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drawings/drawing3.xml" ContentType="application/vnd.openxmlformats-officedocument.drawing+xml"/>
  <Override PartName="/xl/charts/chart8.xml" ContentType="application/vnd.openxmlformats-officedocument.drawingml.chart+xml"/>
  <Override PartName="/xl/drawings/drawing4.xml" ContentType="application/vnd.openxmlformats-officedocument.drawing+xml"/>
  <Override PartName="/xl/charts/chart9.xml" ContentType="application/vnd.openxmlformats-officedocument.drawingml.chart+xml"/>
  <Override PartName="/xl/drawings/drawing5.xml" ContentType="application/vnd.openxmlformats-officedocument.drawing+xml"/>
  <Override PartName="/xl/charts/chart10.xml" ContentType="application/vnd.openxmlformats-officedocument.drawingml.chart+xml"/>
  <Override PartName="/xl/drawings/drawing6.xml" ContentType="application/vnd.openxmlformats-officedocument.drawing+xml"/>
  <Override PartName="/xl/charts/chart11.xml" ContentType="application/vnd.openxmlformats-officedocument.drawingml.chart+xml"/>
  <Override PartName="/xl/drawings/drawing7.xml" ContentType="application/vnd.openxmlformats-officedocument.drawing+xml"/>
  <Override PartName="/xl/charts/chart12.xml" ContentType="application/vnd.openxmlformats-officedocument.drawingml.chart+xml"/>
  <Override PartName="/xl/drawings/drawing8.xml" ContentType="application/vnd.openxmlformats-officedocument.drawing+xml"/>
  <Override PartName="/xl/charts/chart13.xml" ContentType="application/vnd.openxmlformats-officedocument.drawingml.chart+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mc:AlternateContent xmlns:mc="http://schemas.openxmlformats.org/markup-compatibility/2006">
    <mc:Choice Requires="x15">
      <x15ac:absPath xmlns:x15ac="http://schemas.microsoft.com/office/spreadsheetml/2010/11/ac" url="C:\Users\E45389\Desktop\"/>
    </mc:Choice>
  </mc:AlternateContent>
  <xr:revisionPtr revIDLastSave="0" documentId="13_ncr:1_{2DAC5F1D-9B99-442E-B44C-18161C754FFD}" xr6:coauthVersionLast="47" xr6:coauthVersionMax="47" xr10:uidLastSave="{00000000-0000-0000-0000-000000000000}"/>
  <bookViews>
    <workbookView xWindow="-108" yWindow="-108" windowWidth="23256" windowHeight="12576" firstSheet="1" activeTab="1" xr2:uid="{00000000-000D-0000-FFFF-FFFF00000000}"/>
  </bookViews>
  <sheets>
    <sheet name="Workbook Intro" sheetId="1" r:id="rId1"/>
    <sheet name="SBT" sheetId="2" r:id="rId2"/>
    <sheet name="Visual Summary" sheetId="3" r:id="rId3"/>
    <sheet name="Co_Pollutants" sheetId="4" r:id="rId4"/>
    <sheet name="City of Albuquerque Data" sheetId="5" r:id="rId5"/>
    <sheet name="Bernalillo County Data" sheetId="6" r:id="rId6"/>
    <sheet name="Sandoval County Data" sheetId="7" r:id="rId7"/>
    <sheet name="Torrance County Data" sheetId="8" r:id="rId8"/>
    <sheet name="Valencia County Data" sheetId="9" r:id="rId9"/>
    <sheet name="Albuquerque MSA Data" sheetId="10" r:id="rId10"/>
    <sheet name="Conversion Factors and GWP" sheetId="11" r:id="rId11"/>
    <sheet name="Energy Data" sheetId="12" r:id="rId12"/>
    <sheet name="Renewable Energy Data " sheetId="13" r:id="rId13"/>
    <sheet name="Fugitive Emissions Data" sheetId="14" r:id="rId14"/>
    <sheet name="On-Road Data" sheetId="15" r:id="rId15"/>
    <sheet name="Transit Data" sheetId="16" r:id="rId16"/>
    <sheet name="Aviation Data" sheetId="17" r:id="rId17"/>
    <sheet name="Off-Road Data" sheetId="18" r:id="rId18"/>
    <sheet name="Railways Data" sheetId="19" r:id="rId19"/>
    <sheet name="Waste_Recycling Data" sheetId="20" r:id="rId20"/>
    <sheet name="Wastewater Data" sheetId="21" r:id="rId21"/>
    <sheet name="Industrial Processes Data" sheetId="22" r:id="rId22"/>
    <sheet name="Refrigerants Data" sheetId="23" r:id="rId23"/>
    <sheet name="AFOLU Data" sheetId="24" r:id="rId24"/>
    <sheet name="Trees" sheetId="25" r:id="rId25"/>
  </sheets>
  <externalReferences>
    <externalReference r:id="rId26"/>
  </externalReferences>
  <definedNames>
    <definedName name="Bacteria">#REF!</definedName>
    <definedName name="Bacterias">#REF!</definedName>
    <definedName name="Denitrification">#REF!</definedName>
    <definedName name="Denitrifications">#REF!</definedName>
    <definedName name="FTCOLLIN">#REF!</definedName>
    <definedName name="FTCOLLIN2">#REF!</definedName>
    <definedName name="j">#REF!</definedName>
    <definedName name="kg.MT">#REF!</definedName>
    <definedName name="kg_m3">#REF!</definedName>
    <definedName name="LiquidEF">[1]constants!$G$25</definedName>
    <definedName name="Print_Area_MI" localSheetId="3">#REF!</definedName>
    <definedName name="Print_Area_MI">#REF!</definedName>
    <definedName name="Question_1" localSheetId="3">#REF!</definedName>
    <definedName name="Question_1">#REF!</definedName>
    <definedName name="Question_2">#REF!</definedName>
    <definedName name="Question_2_on_this_sheet">#REF!</definedName>
    <definedName name="Question_on_this_sheet">#REF!</definedName>
    <definedName name="Question1">#REF!</definedName>
    <definedName name="Question1onThisSheet">#REF!</definedName>
    <definedName name="Question2">#REF!</definedName>
    <definedName name="QuestiononThisSheet">#REF!</definedName>
    <definedName name="SelectedStateAbbr" localSheetId="3">#REF!</definedName>
    <definedName name="SelectedStateAbbr">#REF!</definedName>
    <definedName name="SolidEF" localSheetId="3">#REF!</definedName>
    <definedName name="SolidEF" localSheetId="24">#REF!</definedName>
    <definedName name="SolidEF">#REF!</definedName>
    <definedName name="UNDR" localSheetId="3">#REF!</definedName>
    <definedName name="UNDR">#REF!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24" i="2" l="1"/>
  <c r="C27" i="2" s="1"/>
  <c r="D24" i="2"/>
  <c r="E24" i="2"/>
  <c r="F24" i="2"/>
  <c r="G24" i="2" s="1"/>
  <c r="H24" i="2" s="1"/>
  <c r="J24" i="2" s="1"/>
  <c r="L24" i="2" s="1"/>
  <c r="B32" i="2"/>
  <c r="B36" i="2"/>
  <c r="H13" i="2"/>
  <c r="E7" i="2"/>
  <c r="D7" i="2"/>
  <c r="C7" i="2"/>
  <c r="K7" i="2" s="1"/>
  <c r="E6" i="2"/>
  <c r="F7" i="2" l="1"/>
  <c r="H7" i="2" s="1"/>
  <c r="G7" i="2"/>
  <c r="I7" i="2" s="1"/>
  <c r="J7" i="2" s="1"/>
  <c r="O20" i="5"/>
  <c r="F70" i="20" l="1"/>
  <c r="G69" i="20"/>
  <c r="F69" i="20"/>
  <c r="E69" i="20"/>
  <c r="D69" i="20"/>
  <c r="C69" i="20"/>
  <c r="B69" i="20"/>
  <c r="G68" i="20"/>
  <c r="F68" i="20"/>
  <c r="B68" i="20"/>
  <c r="B80" i="20" s="1"/>
  <c r="B43" i="20"/>
  <c r="F76" i="20"/>
  <c r="F82" i="20" l="1"/>
  <c r="B8" i="25" l="1"/>
  <c r="B7" i="25"/>
  <c r="B6" i="25"/>
  <c r="B5" i="25"/>
  <c r="B10" i="25" s="1"/>
  <c r="B4" i="25"/>
  <c r="H143" i="24"/>
  <c r="I143" i="24" s="1"/>
  <c r="H140" i="24"/>
  <c r="I140" i="24" s="1"/>
  <c r="H137" i="24"/>
  <c r="I137" i="24" s="1"/>
  <c r="B43" i="7" s="1"/>
  <c r="H134" i="24"/>
  <c r="I134" i="24" s="1"/>
  <c r="G131" i="24"/>
  <c r="H131" i="24" s="1"/>
  <c r="I131" i="24" s="1"/>
  <c r="E127" i="24"/>
  <c r="E124" i="24"/>
  <c r="B42" i="8" s="1"/>
  <c r="D115" i="24"/>
  <c r="G110" i="24"/>
  <c r="H110" i="24" s="1"/>
  <c r="I110" i="24" s="1"/>
  <c r="B110" i="24"/>
  <c r="C110" i="24" s="1"/>
  <c r="D110" i="24" s="1"/>
  <c r="E110" i="24" s="1"/>
  <c r="F110" i="24" s="1"/>
  <c r="G109" i="24"/>
  <c r="H109" i="24" s="1"/>
  <c r="I109" i="24" s="1"/>
  <c r="D109" i="24"/>
  <c r="E109" i="24" s="1"/>
  <c r="F109" i="24" s="1"/>
  <c r="B109" i="24"/>
  <c r="C109" i="24" s="1"/>
  <c r="G108" i="24"/>
  <c r="H108" i="24" s="1"/>
  <c r="I108" i="24" s="1"/>
  <c r="B108" i="24"/>
  <c r="C108" i="24" s="1"/>
  <c r="D108" i="24" s="1"/>
  <c r="E108" i="24" s="1"/>
  <c r="F108" i="24" s="1"/>
  <c r="G107" i="24"/>
  <c r="H107" i="24" s="1"/>
  <c r="I107" i="24" s="1"/>
  <c r="B107" i="24"/>
  <c r="C107" i="24" s="1"/>
  <c r="D107" i="24" s="1"/>
  <c r="E107" i="24" s="1"/>
  <c r="F107" i="24" s="1"/>
  <c r="J107" i="24" s="1"/>
  <c r="G106" i="24"/>
  <c r="H106" i="24" s="1"/>
  <c r="I106" i="24" s="1"/>
  <c r="B106" i="24"/>
  <c r="C106" i="24" s="1"/>
  <c r="D106" i="24" s="1"/>
  <c r="E106" i="24" s="1"/>
  <c r="F106" i="24" s="1"/>
  <c r="J106" i="24" s="1"/>
  <c r="G105" i="24"/>
  <c r="H105" i="24" s="1"/>
  <c r="G104" i="24"/>
  <c r="H104" i="24" s="1"/>
  <c r="I104" i="24" s="1"/>
  <c r="G100" i="24"/>
  <c r="H100" i="24" s="1"/>
  <c r="I100" i="24" s="1"/>
  <c r="B100" i="24"/>
  <c r="C100" i="24" s="1"/>
  <c r="D100" i="24" s="1"/>
  <c r="E100" i="24" s="1"/>
  <c r="F100" i="24" s="1"/>
  <c r="G99" i="24"/>
  <c r="H99" i="24" s="1"/>
  <c r="I99" i="24" s="1"/>
  <c r="B99" i="24"/>
  <c r="C99" i="24" s="1"/>
  <c r="D99" i="24" s="1"/>
  <c r="E99" i="24" s="1"/>
  <c r="F99" i="24" s="1"/>
  <c r="G98" i="24"/>
  <c r="H98" i="24" s="1"/>
  <c r="I98" i="24" s="1"/>
  <c r="B98" i="24"/>
  <c r="C98" i="24" s="1"/>
  <c r="D98" i="24" s="1"/>
  <c r="E98" i="24" s="1"/>
  <c r="F98" i="24" s="1"/>
  <c r="G97" i="24"/>
  <c r="H97" i="24" s="1"/>
  <c r="I97" i="24" s="1"/>
  <c r="B97" i="24"/>
  <c r="C97" i="24" s="1"/>
  <c r="D97" i="24" s="1"/>
  <c r="E97" i="24" s="1"/>
  <c r="F97" i="24" s="1"/>
  <c r="J97" i="24" s="1"/>
  <c r="G96" i="24"/>
  <c r="B96" i="24"/>
  <c r="C96" i="24" s="1"/>
  <c r="D96" i="24" s="1"/>
  <c r="E96" i="24" s="1"/>
  <c r="F96" i="24" s="1"/>
  <c r="H95" i="24"/>
  <c r="I95" i="24" s="1"/>
  <c r="G95" i="24"/>
  <c r="G94" i="24"/>
  <c r="H94" i="24" s="1"/>
  <c r="G90" i="24"/>
  <c r="H90" i="24" s="1"/>
  <c r="I90" i="24" s="1"/>
  <c r="B90" i="24"/>
  <c r="C90" i="24" s="1"/>
  <c r="D90" i="24" s="1"/>
  <c r="E90" i="24" s="1"/>
  <c r="F90" i="24" s="1"/>
  <c r="J90" i="24" s="1"/>
  <c r="G89" i="24"/>
  <c r="H89" i="24" s="1"/>
  <c r="I89" i="24" s="1"/>
  <c r="B89" i="24"/>
  <c r="C89" i="24" s="1"/>
  <c r="D89" i="24" s="1"/>
  <c r="E89" i="24" s="1"/>
  <c r="F89" i="24" s="1"/>
  <c r="G88" i="24"/>
  <c r="H88" i="24" s="1"/>
  <c r="B88" i="24"/>
  <c r="C88" i="24" s="1"/>
  <c r="D88" i="24" s="1"/>
  <c r="E88" i="24" s="1"/>
  <c r="F88" i="24" s="1"/>
  <c r="H87" i="24"/>
  <c r="I87" i="24" s="1"/>
  <c r="G87" i="24"/>
  <c r="B87" i="24"/>
  <c r="C87" i="24" s="1"/>
  <c r="D87" i="24" s="1"/>
  <c r="E87" i="24" s="1"/>
  <c r="F87" i="24" s="1"/>
  <c r="G86" i="24"/>
  <c r="H86" i="24" s="1"/>
  <c r="I86" i="24" s="1"/>
  <c r="B86" i="24"/>
  <c r="C86" i="24" s="1"/>
  <c r="D86" i="24" s="1"/>
  <c r="E86" i="24" s="1"/>
  <c r="F86" i="24" s="1"/>
  <c r="G85" i="24"/>
  <c r="H85" i="24" s="1"/>
  <c r="I85" i="24" s="1"/>
  <c r="B85" i="24"/>
  <c r="C85" i="24" s="1"/>
  <c r="D85" i="24" s="1"/>
  <c r="E85" i="24" s="1"/>
  <c r="F85" i="24" s="1"/>
  <c r="G84" i="24"/>
  <c r="H84" i="24" s="1"/>
  <c r="I84" i="24" s="1"/>
  <c r="B84" i="24"/>
  <c r="H80" i="24"/>
  <c r="I80" i="24" s="1"/>
  <c r="J80" i="24" s="1"/>
  <c r="B42" i="5" s="1"/>
  <c r="G80" i="24"/>
  <c r="B80" i="24"/>
  <c r="C80" i="24" s="1"/>
  <c r="D80" i="24" s="1"/>
  <c r="E80" i="24" s="1"/>
  <c r="F80" i="24" s="1"/>
  <c r="G79" i="24"/>
  <c r="H79" i="24" s="1"/>
  <c r="I79" i="24" s="1"/>
  <c r="C79" i="24"/>
  <c r="D79" i="24" s="1"/>
  <c r="E79" i="24" s="1"/>
  <c r="F79" i="24" s="1"/>
  <c r="B79" i="24"/>
  <c r="G78" i="24"/>
  <c r="H78" i="24" s="1"/>
  <c r="I78" i="24" s="1"/>
  <c r="B78" i="24"/>
  <c r="C78" i="24" s="1"/>
  <c r="D78" i="24" s="1"/>
  <c r="E78" i="24" s="1"/>
  <c r="F78" i="24" s="1"/>
  <c r="G77" i="24"/>
  <c r="H77" i="24" s="1"/>
  <c r="I77" i="24" s="1"/>
  <c r="B77" i="24"/>
  <c r="C77" i="24" s="1"/>
  <c r="D77" i="24" s="1"/>
  <c r="E77" i="24" s="1"/>
  <c r="F77" i="24" s="1"/>
  <c r="G76" i="24"/>
  <c r="H76" i="24" s="1"/>
  <c r="I76" i="24" s="1"/>
  <c r="B76" i="24"/>
  <c r="C76" i="24" s="1"/>
  <c r="D76" i="24" s="1"/>
  <c r="E76" i="24" s="1"/>
  <c r="F76" i="24" s="1"/>
  <c r="G75" i="24"/>
  <c r="H75" i="24" s="1"/>
  <c r="I75" i="24" s="1"/>
  <c r="H74" i="24"/>
  <c r="G74" i="24"/>
  <c r="H70" i="24"/>
  <c r="G70" i="24"/>
  <c r="O70" i="24" s="1"/>
  <c r="H69" i="24"/>
  <c r="G69" i="24"/>
  <c r="O69" i="24" s="1"/>
  <c r="H68" i="24"/>
  <c r="G68" i="24"/>
  <c r="O68" i="24" s="1"/>
  <c r="C68" i="24"/>
  <c r="K68" i="24" s="1"/>
  <c r="B68" i="24"/>
  <c r="H67" i="24"/>
  <c r="G67" i="24"/>
  <c r="O67" i="24" s="1"/>
  <c r="B41" i="5" s="1"/>
  <c r="D62" i="24"/>
  <c r="B95" i="24" s="1"/>
  <c r="C95" i="24" s="1"/>
  <c r="D95" i="24" s="1"/>
  <c r="E95" i="24" s="1"/>
  <c r="F95" i="24" s="1"/>
  <c r="M61" i="24"/>
  <c r="D63" i="24" s="1"/>
  <c r="B61" i="24"/>
  <c r="M60" i="24"/>
  <c r="C63" i="24" s="1"/>
  <c r="J39" i="24"/>
  <c r="E115" i="24" s="1"/>
  <c r="B4" i="24" s="1"/>
  <c r="B32" i="24"/>
  <c r="F68" i="24" s="1"/>
  <c r="N68" i="24" s="1"/>
  <c r="B30" i="24"/>
  <c r="B29" i="24"/>
  <c r="D68" i="24" s="1"/>
  <c r="L68" i="24" s="1"/>
  <c r="J28" i="24"/>
  <c r="J27" i="24"/>
  <c r="C40" i="23"/>
  <c r="D40" i="23" s="1"/>
  <c r="E40" i="23" s="1"/>
  <c r="F40" i="23" s="1"/>
  <c r="G40" i="23" s="1"/>
  <c r="B40" i="23"/>
  <c r="B31" i="23"/>
  <c r="C31" i="23" s="1"/>
  <c r="D31" i="23" s="1"/>
  <c r="E31" i="23" s="1"/>
  <c r="F31" i="23" s="1"/>
  <c r="G31" i="23" s="1"/>
  <c r="A31" i="23"/>
  <c r="B30" i="23"/>
  <c r="C30" i="23" s="1"/>
  <c r="D30" i="23" s="1"/>
  <c r="E30" i="23" s="1"/>
  <c r="F30" i="23" s="1"/>
  <c r="G30" i="23" s="1"/>
  <c r="A30" i="23"/>
  <c r="B29" i="23"/>
  <c r="C29" i="23" s="1"/>
  <c r="D29" i="23" s="1"/>
  <c r="E29" i="23" s="1"/>
  <c r="F29" i="23" s="1"/>
  <c r="G29" i="23" s="1"/>
  <c r="A29" i="23"/>
  <c r="B28" i="23"/>
  <c r="A28" i="23"/>
  <c r="E73" i="22"/>
  <c r="D73" i="22"/>
  <c r="C73" i="22"/>
  <c r="F72" i="22"/>
  <c r="F71" i="22"/>
  <c r="F70" i="22"/>
  <c r="F69" i="22"/>
  <c r="E66" i="22"/>
  <c r="D66" i="22"/>
  <c r="C66" i="22"/>
  <c r="F65" i="22"/>
  <c r="F66" i="22" s="1"/>
  <c r="G7" i="22" s="1"/>
  <c r="E62" i="22"/>
  <c r="D62" i="22"/>
  <c r="C62" i="22"/>
  <c r="F61" i="22"/>
  <c r="F60" i="22"/>
  <c r="F62" i="22" s="1"/>
  <c r="G6" i="22" s="1"/>
  <c r="E57" i="22"/>
  <c r="D57" i="22"/>
  <c r="C57" i="22"/>
  <c r="F56" i="22"/>
  <c r="F55" i="22"/>
  <c r="F54" i="22"/>
  <c r="F53" i="22"/>
  <c r="F52" i="22"/>
  <c r="F51" i="22"/>
  <c r="E48" i="22"/>
  <c r="D48" i="22"/>
  <c r="C48" i="22"/>
  <c r="F47" i="22"/>
  <c r="F46" i="22"/>
  <c r="F45" i="22"/>
  <c r="F44" i="22"/>
  <c r="F43" i="22"/>
  <c r="E38" i="22"/>
  <c r="D38" i="22"/>
  <c r="C38" i="22"/>
  <c r="F37" i="22"/>
  <c r="F38" i="22" s="1"/>
  <c r="B8" i="22" s="1"/>
  <c r="E34" i="22"/>
  <c r="D34" i="22"/>
  <c r="C34" i="22"/>
  <c r="F33" i="22"/>
  <c r="F34" i="22" s="1"/>
  <c r="B7" i="22" s="1"/>
  <c r="P30" i="22"/>
  <c r="O30" i="22"/>
  <c r="N30" i="22"/>
  <c r="M30" i="22"/>
  <c r="L30" i="22"/>
  <c r="K30" i="22"/>
  <c r="J30" i="22"/>
  <c r="I30" i="22"/>
  <c r="H30" i="22"/>
  <c r="G30" i="22"/>
  <c r="E30" i="22"/>
  <c r="D30" i="22"/>
  <c r="C30" i="22"/>
  <c r="Q29" i="22"/>
  <c r="Q30" i="22" s="1"/>
  <c r="B6" i="22" s="1"/>
  <c r="F29" i="22"/>
  <c r="F30" i="22" s="1"/>
  <c r="F26" i="22"/>
  <c r="B5" i="22" s="1"/>
  <c r="B113" i="6" s="1"/>
  <c r="E26" i="22"/>
  <c r="D26" i="22"/>
  <c r="C26" i="22"/>
  <c r="F25" i="22"/>
  <c r="E22" i="22"/>
  <c r="D22" i="22"/>
  <c r="C22" i="22"/>
  <c r="F21" i="22"/>
  <c r="F22" i="22" s="1"/>
  <c r="B4" i="22" s="1"/>
  <c r="B75" i="21"/>
  <c r="B76" i="21" s="1"/>
  <c r="C4" i="21" s="1"/>
  <c r="C9" i="21" s="1"/>
  <c r="F74" i="21"/>
  <c r="F75" i="21" s="1"/>
  <c r="F76" i="21" s="1"/>
  <c r="C8" i="21" s="1"/>
  <c r="E74" i="21"/>
  <c r="E75" i="21" s="1"/>
  <c r="D74" i="21"/>
  <c r="D75" i="21" s="1"/>
  <c r="D76" i="21" s="1"/>
  <c r="C6" i="21" s="1"/>
  <c r="C74" i="21"/>
  <c r="C75" i="21" s="1"/>
  <c r="C76" i="21" s="1"/>
  <c r="C69" i="21"/>
  <c r="C68" i="21"/>
  <c r="C46" i="21" s="1"/>
  <c r="F59" i="21"/>
  <c r="F60" i="21" s="1"/>
  <c r="E59" i="21"/>
  <c r="E60" i="21" s="1"/>
  <c r="D59" i="21"/>
  <c r="D60" i="21" s="1"/>
  <c r="C59" i="21"/>
  <c r="F56" i="21"/>
  <c r="F57" i="21" s="1"/>
  <c r="E56" i="21"/>
  <c r="E57" i="21" s="1"/>
  <c r="D56" i="21"/>
  <c r="D57" i="21" s="1"/>
  <c r="C56" i="21"/>
  <c r="B56" i="21" s="1"/>
  <c r="B57" i="21" s="1"/>
  <c r="F53" i="21"/>
  <c r="F54" i="21" s="1"/>
  <c r="E53" i="21"/>
  <c r="E54" i="21" s="1"/>
  <c r="D53" i="21"/>
  <c r="D40" i="21" s="1"/>
  <c r="C53" i="21"/>
  <c r="B53" i="21" s="1"/>
  <c r="B54" i="21" s="1"/>
  <c r="D51" i="21"/>
  <c r="F50" i="21"/>
  <c r="F51" i="21" s="1"/>
  <c r="E50" i="21"/>
  <c r="E51" i="21" s="1"/>
  <c r="C50" i="21"/>
  <c r="B50" i="21" s="1"/>
  <c r="B51" i="21" s="1"/>
  <c r="D48" i="21"/>
  <c r="F47" i="21"/>
  <c r="E47" i="21"/>
  <c r="F46" i="21"/>
  <c r="E46" i="21"/>
  <c r="E48" i="21" s="1"/>
  <c r="H10" i="21"/>
  <c r="G10" i="21"/>
  <c r="G9" i="21"/>
  <c r="E9" i="21"/>
  <c r="G108" i="20"/>
  <c r="F108" i="20"/>
  <c r="E108" i="20"/>
  <c r="D108" i="20"/>
  <c r="C108" i="20"/>
  <c r="B108" i="20"/>
  <c r="H107" i="20"/>
  <c r="H106" i="20"/>
  <c r="H105" i="20"/>
  <c r="H104" i="20"/>
  <c r="H103" i="20"/>
  <c r="H102" i="20"/>
  <c r="G99" i="20"/>
  <c r="B8" i="20" s="1"/>
  <c r="F99" i="20"/>
  <c r="B7" i="20" s="1"/>
  <c r="H98" i="20"/>
  <c r="B97" i="20"/>
  <c r="C97" i="20" s="1"/>
  <c r="H97" i="20" s="1"/>
  <c r="H96" i="20"/>
  <c r="H95" i="20"/>
  <c r="C94" i="20"/>
  <c r="H94" i="20" s="1"/>
  <c r="H93" i="20"/>
  <c r="H92" i="20"/>
  <c r="E91" i="20"/>
  <c r="E68" i="20" s="1"/>
  <c r="D91" i="20"/>
  <c r="D68" i="20" s="1"/>
  <c r="C91" i="20"/>
  <c r="C68" i="20" s="1"/>
  <c r="H75" i="20"/>
  <c r="H74" i="20"/>
  <c r="E63" i="20"/>
  <c r="D63" i="20"/>
  <c r="E62" i="20"/>
  <c r="D62" i="20"/>
  <c r="E61" i="20"/>
  <c r="D61" i="20"/>
  <c r="D60" i="20"/>
  <c r="E59" i="20"/>
  <c r="D59" i="20"/>
  <c r="E58" i="20"/>
  <c r="D58" i="20"/>
  <c r="E57" i="20"/>
  <c r="D57" i="20"/>
  <c r="E56" i="20"/>
  <c r="D56" i="20"/>
  <c r="E55" i="20"/>
  <c r="D55" i="20"/>
  <c r="E54" i="20"/>
  <c r="D54" i="20"/>
  <c r="E53" i="20"/>
  <c r="D53" i="20"/>
  <c r="E52" i="20"/>
  <c r="D52" i="20"/>
  <c r="B49" i="20"/>
  <c r="B48" i="20"/>
  <c r="F71" i="20"/>
  <c r="D81" i="20"/>
  <c r="F10" i="20"/>
  <c r="F9" i="20"/>
  <c r="D24" i="19"/>
  <c r="C24" i="19"/>
  <c r="B24" i="19"/>
  <c r="D23" i="19"/>
  <c r="C23" i="19"/>
  <c r="B23" i="19"/>
  <c r="E22" i="19"/>
  <c r="E21" i="19"/>
  <c r="E20" i="19"/>
  <c r="B6" i="19" s="1"/>
  <c r="B94" i="7" s="1"/>
  <c r="B34" i="7" s="1"/>
  <c r="E19" i="19"/>
  <c r="B5" i="19" s="1"/>
  <c r="B95" i="6" s="1"/>
  <c r="B34" i="6" s="1"/>
  <c r="C60" i="3" s="1"/>
  <c r="E18" i="19"/>
  <c r="B4" i="19" s="1"/>
  <c r="D4" i="19" s="1"/>
  <c r="D9" i="19" s="1"/>
  <c r="D8" i="19"/>
  <c r="B8" i="19"/>
  <c r="D5" i="19"/>
  <c r="D50" i="18"/>
  <c r="E49" i="18"/>
  <c r="D49" i="18"/>
  <c r="G49" i="18" s="1"/>
  <c r="F48" i="18"/>
  <c r="E48" i="18"/>
  <c r="D48" i="18"/>
  <c r="G48" i="18" s="1"/>
  <c r="G47" i="18"/>
  <c r="D47" i="18"/>
  <c r="F47" i="18" s="1"/>
  <c r="A46" i="18"/>
  <c r="D41" i="18"/>
  <c r="C41" i="18"/>
  <c r="B41" i="18"/>
  <c r="E40" i="18"/>
  <c r="B8" i="18" s="1"/>
  <c r="B91" i="9" s="1"/>
  <c r="B33" i="9" s="1"/>
  <c r="F59" i="3" s="1"/>
  <c r="E39" i="18"/>
  <c r="E38" i="18"/>
  <c r="B6" i="18" s="1"/>
  <c r="E37" i="18"/>
  <c r="B5" i="18" s="1"/>
  <c r="E36" i="18"/>
  <c r="D4" i="18" s="1"/>
  <c r="D9" i="18" s="1"/>
  <c r="C26" i="18"/>
  <c r="I50" i="18" s="1"/>
  <c r="C21" i="18"/>
  <c r="D6" i="18"/>
  <c r="D5" i="18"/>
  <c r="B4" i="18"/>
  <c r="B9" i="18" s="1"/>
  <c r="B64" i="17"/>
  <c r="B63" i="17"/>
  <c r="B62" i="17"/>
  <c r="D61" i="17"/>
  <c r="E61" i="17" s="1"/>
  <c r="D60" i="17"/>
  <c r="D59" i="17"/>
  <c r="E59" i="17" s="1"/>
  <c r="D58" i="17"/>
  <c r="E58" i="17" s="1"/>
  <c r="D57" i="17"/>
  <c r="D62" i="17" s="1"/>
  <c r="E56" i="17"/>
  <c r="G51" i="17"/>
  <c r="G50" i="17"/>
  <c r="G49" i="17"/>
  <c r="I49" i="17" s="1"/>
  <c r="J48" i="17"/>
  <c r="H48" i="17"/>
  <c r="G48" i="17"/>
  <c r="I48" i="17" s="1"/>
  <c r="G47" i="17"/>
  <c r="I47" i="17" s="1"/>
  <c r="J46" i="17"/>
  <c r="I46" i="17"/>
  <c r="H46" i="17"/>
  <c r="G46" i="17"/>
  <c r="G45" i="17"/>
  <c r="G44" i="17"/>
  <c r="G43" i="17"/>
  <c r="B8" i="17"/>
  <c r="B7" i="17"/>
  <c r="B6" i="17"/>
  <c r="D73" i="16"/>
  <c r="B73" i="16"/>
  <c r="A78" i="16" s="1"/>
  <c r="E86" i="5" s="1"/>
  <c r="D72" i="16"/>
  <c r="C72" i="16"/>
  <c r="C73" i="16" s="1"/>
  <c r="B69" i="16"/>
  <c r="C68" i="16"/>
  <c r="B65" i="16"/>
  <c r="C64" i="16"/>
  <c r="F64" i="16" s="1"/>
  <c r="C63" i="16"/>
  <c r="F63" i="16" s="1"/>
  <c r="C62" i="16"/>
  <c r="C65" i="16" s="1"/>
  <c r="C113" i="4" s="1"/>
  <c r="B59" i="16"/>
  <c r="C58" i="16"/>
  <c r="D57" i="16"/>
  <c r="C57" i="16"/>
  <c r="D56" i="16"/>
  <c r="C56" i="16"/>
  <c r="E56" i="16" s="1"/>
  <c r="F55" i="16"/>
  <c r="C55" i="16"/>
  <c r="E55" i="16" s="1"/>
  <c r="B48" i="16"/>
  <c r="C32" i="16"/>
  <c r="D68" i="16" s="1"/>
  <c r="C29" i="16"/>
  <c r="F56" i="16" s="1"/>
  <c r="C28" i="16"/>
  <c r="C27" i="16"/>
  <c r="D58" i="16" s="1"/>
  <c r="C20" i="16"/>
  <c r="B7" i="16"/>
  <c r="F148" i="15"/>
  <c r="E148" i="15"/>
  <c r="E79" i="9" s="1"/>
  <c r="F147" i="15"/>
  <c r="E147" i="15"/>
  <c r="H146" i="15"/>
  <c r="D83" i="12" s="1"/>
  <c r="G146" i="15"/>
  <c r="D74" i="12" s="1"/>
  <c r="F146" i="15"/>
  <c r="E146" i="15"/>
  <c r="F145" i="15"/>
  <c r="E145" i="15"/>
  <c r="F144" i="15"/>
  <c r="E144" i="15"/>
  <c r="B123" i="15"/>
  <c r="I123" i="15" s="1"/>
  <c r="B109" i="15" s="1"/>
  <c r="B122" i="15"/>
  <c r="I122" i="15" s="1"/>
  <c r="B108" i="15" s="1"/>
  <c r="B121" i="15"/>
  <c r="I121" i="15" s="1"/>
  <c r="D105" i="15" s="1"/>
  <c r="I120" i="15"/>
  <c r="D103" i="15" s="1"/>
  <c r="B120" i="15"/>
  <c r="F115" i="15"/>
  <c r="E111" i="15"/>
  <c r="D107" i="15"/>
  <c r="D104" i="15"/>
  <c r="E102" i="15"/>
  <c r="B98" i="15"/>
  <c r="B97" i="15"/>
  <c r="C96" i="15"/>
  <c r="D96" i="15" s="1"/>
  <c r="C95" i="15"/>
  <c r="D95" i="15" s="1"/>
  <c r="C94" i="15"/>
  <c r="D94" i="15" s="1"/>
  <c r="C93" i="15"/>
  <c r="C92" i="15"/>
  <c r="E79" i="5" s="1"/>
  <c r="J74" i="15"/>
  <c r="J73" i="15"/>
  <c r="E29" i="14"/>
  <c r="E31" i="14" s="1"/>
  <c r="B72" i="8" s="1"/>
  <c r="D29" i="14"/>
  <c r="D31" i="14" s="1"/>
  <c r="F26" i="14"/>
  <c r="F25" i="14"/>
  <c r="E72" i="9" s="1"/>
  <c r="E25" i="14"/>
  <c r="E27" i="14" s="1"/>
  <c r="D25" i="14"/>
  <c r="D27" i="14" s="1"/>
  <c r="C25" i="14"/>
  <c r="C27" i="14" s="1"/>
  <c r="B25" i="14"/>
  <c r="B29" i="14" s="1"/>
  <c r="F24" i="14"/>
  <c r="F28" i="14" s="1"/>
  <c r="E24" i="14"/>
  <c r="D24" i="14"/>
  <c r="C24" i="14"/>
  <c r="C28" i="14" s="1"/>
  <c r="B24" i="14"/>
  <c r="B28" i="14" s="1"/>
  <c r="F10" i="14"/>
  <c r="E10" i="14"/>
  <c r="F9" i="14"/>
  <c r="E9" i="14"/>
  <c r="C9" i="14"/>
  <c r="G39" i="13"/>
  <c r="L28" i="13" s="1"/>
  <c r="L29" i="13" s="1"/>
  <c r="G35" i="13"/>
  <c r="L26" i="13" s="1"/>
  <c r="C35" i="13"/>
  <c r="G34" i="13"/>
  <c r="L25" i="13" s="1"/>
  <c r="I29" i="13"/>
  <c r="H29" i="13"/>
  <c r="F28" i="13"/>
  <c r="F130" i="7" s="1"/>
  <c r="F130" i="10" s="1"/>
  <c r="J26" i="13"/>
  <c r="F26" i="13"/>
  <c r="D26" i="13"/>
  <c r="F130" i="6" s="1"/>
  <c r="B26" i="13"/>
  <c r="D25" i="13"/>
  <c r="B25" i="13"/>
  <c r="B29" i="13" s="1"/>
  <c r="B18" i="13"/>
  <c r="F17" i="13"/>
  <c r="D17" i="13"/>
  <c r="B17" i="13"/>
  <c r="B7" i="13"/>
  <c r="D265" i="12"/>
  <c r="D6" i="12" s="1"/>
  <c r="F264" i="12"/>
  <c r="E264" i="12"/>
  <c r="D264" i="12"/>
  <c r="C264" i="12"/>
  <c r="B264" i="12"/>
  <c r="G263" i="12"/>
  <c r="F263" i="12"/>
  <c r="F265" i="12" s="1"/>
  <c r="E263" i="12"/>
  <c r="E265" i="12" s="1"/>
  <c r="D263" i="12"/>
  <c r="C263" i="12"/>
  <c r="C265" i="12" s="1"/>
  <c r="B263" i="12"/>
  <c r="B265" i="12" s="1"/>
  <c r="B58" i="5" s="1"/>
  <c r="B24" i="5" s="1"/>
  <c r="B49" i="3" s="1"/>
  <c r="F261" i="12"/>
  <c r="F262" i="12" s="1"/>
  <c r="E261" i="12"/>
  <c r="E57" i="8" s="1"/>
  <c r="D261" i="12"/>
  <c r="C261" i="12"/>
  <c r="C262" i="12" s="1"/>
  <c r="B261" i="12"/>
  <c r="G260" i="12"/>
  <c r="G264" i="12" s="1"/>
  <c r="G251" i="12"/>
  <c r="F247" i="12"/>
  <c r="E247" i="12"/>
  <c r="D247" i="12"/>
  <c r="B247" i="12"/>
  <c r="F246" i="12"/>
  <c r="E246" i="12"/>
  <c r="D246" i="12"/>
  <c r="B246" i="12"/>
  <c r="C244" i="12"/>
  <c r="B239" i="12"/>
  <c r="G236" i="12"/>
  <c r="B89" i="4" s="1"/>
  <c r="E89" i="4" s="1"/>
  <c r="F232" i="12"/>
  <c r="E232" i="12"/>
  <c r="D232" i="12"/>
  <c r="C232" i="12"/>
  <c r="F229" i="12"/>
  <c r="D229" i="12"/>
  <c r="G227" i="12"/>
  <c r="C80" i="4" s="1"/>
  <c r="F224" i="12"/>
  <c r="E224" i="12"/>
  <c r="D224" i="12"/>
  <c r="C224" i="12"/>
  <c r="B224" i="12"/>
  <c r="F222" i="12"/>
  <c r="C222" i="12"/>
  <c r="G219" i="12"/>
  <c r="F203" i="12"/>
  <c r="E203" i="12"/>
  <c r="C203" i="12"/>
  <c r="C206" i="12" s="1"/>
  <c r="F196" i="12"/>
  <c r="C196" i="12"/>
  <c r="F189" i="12"/>
  <c r="C189" i="12"/>
  <c r="F173" i="12"/>
  <c r="C173" i="12"/>
  <c r="F166" i="12"/>
  <c r="C166" i="12"/>
  <c r="C161" i="12"/>
  <c r="F159" i="12"/>
  <c r="F162" i="12" s="1"/>
  <c r="C159" i="12"/>
  <c r="G146" i="12"/>
  <c r="G143" i="12"/>
  <c r="F143" i="12"/>
  <c r="E143" i="12"/>
  <c r="F136" i="12"/>
  <c r="E136" i="12"/>
  <c r="E139" i="12" s="1"/>
  <c r="F129" i="12"/>
  <c r="F132" i="12" s="1"/>
  <c r="E129" i="12"/>
  <c r="E132" i="12" s="1"/>
  <c r="D120" i="12"/>
  <c r="D123" i="12" s="1"/>
  <c r="D115" i="12"/>
  <c r="G113" i="12"/>
  <c r="G114" i="12" s="1"/>
  <c r="G106" i="12"/>
  <c r="D97" i="12"/>
  <c r="F91" i="12"/>
  <c r="D91" i="12"/>
  <c r="C91" i="12"/>
  <c r="G90" i="12"/>
  <c r="G82" i="12"/>
  <c r="G73" i="12"/>
  <c r="D64" i="12"/>
  <c r="B64" i="12"/>
  <c r="F63" i="12"/>
  <c r="E63" i="12"/>
  <c r="D63" i="12"/>
  <c r="C63" i="12"/>
  <c r="B63" i="12"/>
  <c r="B51" i="12"/>
  <c r="G239" i="12" s="1"/>
  <c r="B50" i="12"/>
  <c r="F238" i="12" s="1"/>
  <c r="B49" i="12"/>
  <c r="B45" i="12"/>
  <c r="B41" i="12"/>
  <c r="F245" i="12" s="1"/>
  <c r="F248" i="12" s="1"/>
  <c r="B38" i="12"/>
  <c r="D222" i="12" s="1"/>
  <c r="B37" i="12"/>
  <c r="E229" i="12" s="1"/>
  <c r="B36" i="12"/>
  <c r="G220" i="12" s="1"/>
  <c r="D29" i="12"/>
  <c r="D20" i="13" s="1"/>
  <c r="D28" i="12"/>
  <c r="C198" i="12" s="1"/>
  <c r="D27" i="12"/>
  <c r="E144" i="12" s="1"/>
  <c r="H9" i="12"/>
  <c r="D4" i="12"/>
  <c r="D9" i="12" s="1"/>
  <c r="B11" i="10"/>
  <c r="B9" i="10"/>
  <c r="B8" i="10"/>
  <c r="B7" i="10"/>
  <c r="G224" i="12" s="1"/>
  <c r="B5" i="10"/>
  <c r="B15" i="5" s="1"/>
  <c r="B4" i="10"/>
  <c r="F129" i="9"/>
  <c r="E119" i="9"/>
  <c r="B119" i="9"/>
  <c r="E118" i="9"/>
  <c r="B118" i="9"/>
  <c r="E113" i="9"/>
  <c r="B88" i="9"/>
  <c r="B87" i="9"/>
  <c r="B31" i="9" s="1"/>
  <c r="F57" i="3" s="1"/>
  <c r="B84" i="9"/>
  <c r="B30" i="9" s="1"/>
  <c r="E83" i="9"/>
  <c r="E78" i="9"/>
  <c r="E71" i="9"/>
  <c r="E57" i="9"/>
  <c r="E56" i="9"/>
  <c r="E54" i="9"/>
  <c r="E53" i="9"/>
  <c r="B43" i="9"/>
  <c r="B42" i="9"/>
  <c r="B32" i="9"/>
  <c r="J19" i="9"/>
  <c r="B10" i="9"/>
  <c r="B41" i="23" s="1"/>
  <c r="C41" i="23" s="1"/>
  <c r="D41" i="23" s="1"/>
  <c r="E41" i="23" s="1"/>
  <c r="F41" i="23" s="1"/>
  <c r="G41" i="23" s="1"/>
  <c r="B134" i="8"/>
  <c r="E119" i="8"/>
  <c r="B119" i="8"/>
  <c r="B122" i="8" s="1"/>
  <c r="E118" i="8"/>
  <c r="E113" i="8"/>
  <c r="E102" i="8"/>
  <c r="E102" i="10" s="1"/>
  <c r="E101" i="8"/>
  <c r="E100" i="8"/>
  <c r="E100" i="10" s="1"/>
  <c r="E99" i="8"/>
  <c r="B88" i="8"/>
  <c r="B32" i="8" s="1"/>
  <c r="E58" i="3" s="1"/>
  <c r="B87" i="8"/>
  <c r="B31" i="8" s="1"/>
  <c r="E57" i="3" s="1"/>
  <c r="B84" i="8"/>
  <c r="B83" i="8"/>
  <c r="B29" i="8" s="1"/>
  <c r="E79" i="8"/>
  <c r="E78" i="8"/>
  <c r="E72" i="8"/>
  <c r="E71" i="8"/>
  <c r="E55" i="8"/>
  <c r="E54" i="8"/>
  <c r="E53" i="8"/>
  <c r="B46" i="8"/>
  <c r="B44" i="8"/>
  <c r="E25" i="8" s="1"/>
  <c r="B30" i="8"/>
  <c r="E56" i="3" s="1"/>
  <c r="J19" i="8"/>
  <c r="E133" i="7"/>
  <c r="E119" i="7"/>
  <c r="B119" i="7"/>
  <c r="E118" i="7"/>
  <c r="E117" i="7"/>
  <c r="B88" i="7"/>
  <c r="B32" i="7" s="1"/>
  <c r="D58" i="3" s="1"/>
  <c r="B87" i="7"/>
  <c r="B84" i="7"/>
  <c r="E83" i="7"/>
  <c r="E79" i="7"/>
  <c r="E72" i="7"/>
  <c r="B72" i="7"/>
  <c r="E63" i="7"/>
  <c r="B57" i="7"/>
  <c r="B23" i="7" s="1"/>
  <c r="D49" i="3" s="1"/>
  <c r="E55" i="7"/>
  <c r="E54" i="7"/>
  <c r="E53" i="7"/>
  <c r="B31" i="7"/>
  <c r="B30" i="7"/>
  <c r="D56" i="3" s="1"/>
  <c r="J19" i="7"/>
  <c r="B10" i="7"/>
  <c r="B39" i="23" s="1"/>
  <c r="C39" i="23" s="1"/>
  <c r="D39" i="23" s="1"/>
  <c r="E39" i="23" s="1"/>
  <c r="F39" i="23" s="1"/>
  <c r="G39" i="23" s="1"/>
  <c r="E120" i="6"/>
  <c r="E119" i="10" s="1"/>
  <c r="B120" i="6"/>
  <c r="E119" i="6"/>
  <c r="E102" i="6"/>
  <c r="E89" i="6"/>
  <c r="E88" i="10" s="1"/>
  <c r="E84" i="6"/>
  <c r="E83" i="10" s="1"/>
  <c r="E83" i="6"/>
  <c r="E79" i="6"/>
  <c r="E78" i="10" s="1"/>
  <c r="E78" i="6"/>
  <c r="E72" i="6"/>
  <c r="E71" i="6"/>
  <c r="E57" i="6"/>
  <c r="E55" i="6"/>
  <c r="E54" i="6"/>
  <c r="E53" i="10" s="1"/>
  <c r="E53" i="6"/>
  <c r="E52" i="10" s="1"/>
  <c r="J19" i="6"/>
  <c r="B10" i="6"/>
  <c r="B6" i="6"/>
  <c r="F131" i="5"/>
  <c r="E121" i="5"/>
  <c r="E120" i="5"/>
  <c r="E103" i="5"/>
  <c r="E102" i="5"/>
  <c r="B93" i="5"/>
  <c r="B34" i="5" s="1"/>
  <c r="B59" i="3" s="1"/>
  <c r="E90" i="5"/>
  <c r="E89" i="5"/>
  <c r="E85" i="5"/>
  <c r="E84" i="5"/>
  <c r="E73" i="5"/>
  <c r="E72" i="5"/>
  <c r="E63" i="5"/>
  <c r="E56" i="5"/>
  <c r="E55" i="5"/>
  <c r="E54" i="5"/>
  <c r="B44" i="5"/>
  <c r="B43" i="5"/>
  <c r="J20" i="5"/>
  <c r="B14" i="5"/>
  <c r="B10" i="5"/>
  <c r="B37" i="23" s="1"/>
  <c r="B42" i="23" s="1"/>
  <c r="B9" i="5"/>
  <c r="G159" i="4"/>
  <c r="F159" i="4"/>
  <c r="E159" i="4"/>
  <c r="D159" i="4"/>
  <c r="C159" i="4"/>
  <c r="B159" i="4"/>
  <c r="G149" i="4"/>
  <c r="F149" i="4"/>
  <c r="E149" i="4"/>
  <c r="D149" i="4"/>
  <c r="C149" i="4"/>
  <c r="B149" i="4"/>
  <c r="H127" i="4"/>
  <c r="C127" i="4"/>
  <c r="B127" i="4"/>
  <c r="I127" i="4" s="1"/>
  <c r="B118" i="4"/>
  <c r="D118" i="4" s="1"/>
  <c r="E118" i="4" s="1"/>
  <c r="B117" i="4"/>
  <c r="I117" i="4" s="1"/>
  <c r="E113" i="4"/>
  <c r="D113" i="4"/>
  <c r="D89" i="4"/>
  <c r="C89" i="4"/>
  <c r="H79" i="4"/>
  <c r="F79" i="4"/>
  <c r="C79" i="4"/>
  <c r="E79" i="4" s="1"/>
  <c r="G49" i="4"/>
  <c r="D38" i="4"/>
  <c r="F89" i="4" s="1"/>
  <c r="D35" i="4"/>
  <c r="E67" i="3"/>
  <c r="E37" i="3" s="1"/>
  <c r="E39" i="3" s="1"/>
  <c r="E55" i="3"/>
  <c r="C17" i="3"/>
  <c r="C16" i="3"/>
  <c r="C15" i="3"/>
  <c r="C14" i="3"/>
  <c r="C18" i="3" s="1"/>
  <c r="C13" i="3"/>
  <c r="B6" i="2"/>
  <c r="E88" i="6" l="1"/>
  <c r="E87" i="10" s="1"/>
  <c r="D220" i="12"/>
  <c r="B238" i="12"/>
  <c r="E23" i="19"/>
  <c r="D107" i="12"/>
  <c r="E131" i="12"/>
  <c r="E150" i="12"/>
  <c r="E220" i="12"/>
  <c r="E223" i="12" s="1"/>
  <c r="F228" i="12"/>
  <c r="C238" i="12"/>
  <c r="C98" i="15"/>
  <c r="D6" i="19"/>
  <c r="E137" i="12"/>
  <c r="F190" i="12"/>
  <c r="C221" i="12"/>
  <c r="B229" i="12"/>
  <c r="D238" i="12"/>
  <c r="G261" i="12"/>
  <c r="D55" i="16"/>
  <c r="E62" i="16"/>
  <c r="E65" i="16" s="1"/>
  <c r="D54" i="21"/>
  <c r="D41" i="21" s="1"/>
  <c r="B8" i="23"/>
  <c r="D8" i="23" s="1"/>
  <c r="J117" i="4"/>
  <c r="E113" i="7"/>
  <c r="D221" i="12"/>
  <c r="C229" i="12"/>
  <c r="G238" i="12"/>
  <c r="F62" i="16"/>
  <c r="F65" i="16" s="1"/>
  <c r="H48" i="18"/>
  <c r="D60" i="24"/>
  <c r="C67" i="24" s="1"/>
  <c r="K67" i="24" s="1"/>
  <c r="J86" i="24"/>
  <c r="E24" i="19"/>
  <c r="E69" i="3"/>
  <c r="D116" i="12"/>
  <c r="F160" i="12"/>
  <c r="F239" i="12"/>
  <c r="B26" i="14"/>
  <c r="B30" i="14" s="1"/>
  <c r="D130" i="15"/>
  <c r="E63" i="16"/>
  <c r="D69" i="24"/>
  <c r="L69" i="24" s="1"/>
  <c r="F69" i="24"/>
  <c r="N69" i="24" s="1"/>
  <c r="J76" i="24"/>
  <c r="J109" i="24"/>
  <c r="G120" i="12"/>
  <c r="G122" i="12" s="1"/>
  <c r="C167" i="12"/>
  <c r="C170" i="12" s="1"/>
  <c r="E204" i="12"/>
  <c r="D245" i="12"/>
  <c r="D248" i="12" s="1"/>
  <c r="B27" i="14"/>
  <c r="E64" i="16"/>
  <c r="H47" i="17"/>
  <c r="F49" i="18"/>
  <c r="F39" i="21"/>
  <c r="G91" i="24"/>
  <c r="D39" i="21"/>
  <c r="D117" i="4"/>
  <c r="E117" i="4" s="1"/>
  <c r="E78" i="7"/>
  <c r="E77" i="10" s="1"/>
  <c r="E130" i="7"/>
  <c r="F161" i="12"/>
  <c r="D65" i="12"/>
  <c r="I65" i="12" s="1"/>
  <c r="C92" i="12"/>
  <c r="E245" i="12"/>
  <c r="F117" i="4"/>
  <c r="D93" i="12"/>
  <c r="G129" i="12"/>
  <c r="G130" i="12" s="1"/>
  <c r="G166" i="12"/>
  <c r="C204" i="12"/>
  <c r="G265" i="12"/>
  <c r="B108" i="4"/>
  <c r="E108" i="4" s="1"/>
  <c r="F48" i="21"/>
  <c r="F41" i="21" s="1"/>
  <c r="D67" i="24"/>
  <c r="L67" i="24" s="1"/>
  <c r="D70" i="24"/>
  <c r="L70" i="24" s="1"/>
  <c r="G117" i="4"/>
  <c r="F93" i="12"/>
  <c r="G145" i="12"/>
  <c r="C64" i="12"/>
  <c r="C65" i="12" s="1"/>
  <c r="I64" i="12" s="1"/>
  <c r="E47" i="18"/>
  <c r="H47" i="18" s="1"/>
  <c r="B11" i="18" s="1"/>
  <c r="C47" i="21"/>
  <c r="F73" i="22"/>
  <c r="G8" i="22" s="1"/>
  <c r="F67" i="24"/>
  <c r="N67" i="24" s="1"/>
  <c r="F70" i="24"/>
  <c r="N70" i="24" s="1"/>
  <c r="E118" i="24"/>
  <c r="J6" i="24" s="1"/>
  <c r="G79" i="4"/>
  <c r="E67" i="7"/>
  <c r="E130" i="12"/>
  <c r="E121" i="24"/>
  <c r="B42" i="7" s="1"/>
  <c r="B118" i="8"/>
  <c r="B43" i="8"/>
  <c r="B105" i="24"/>
  <c r="C105" i="24" s="1"/>
  <c r="D105" i="24" s="1"/>
  <c r="E105" i="24" s="1"/>
  <c r="F105" i="24" s="1"/>
  <c r="C70" i="24"/>
  <c r="K70" i="24" s="1"/>
  <c r="E118" i="10"/>
  <c r="B75" i="24"/>
  <c r="C75" i="24" s="1"/>
  <c r="D75" i="24" s="1"/>
  <c r="E75" i="24" s="1"/>
  <c r="F75" i="24" s="1"/>
  <c r="J75" i="24" s="1"/>
  <c r="J87" i="24"/>
  <c r="J100" i="24"/>
  <c r="C69" i="24"/>
  <c r="K69" i="24" s="1"/>
  <c r="J77" i="24"/>
  <c r="J98" i="24"/>
  <c r="J78" i="24"/>
  <c r="J108" i="24"/>
  <c r="E134" i="6"/>
  <c r="E133" i="10" s="1"/>
  <c r="E135" i="5"/>
  <c r="E99" i="20"/>
  <c r="E80" i="20"/>
  <c r="G70" i="20"/>
  <c r="B86" i="20"/>
  <c r="E100" i="6"/>
  <c r="C80" i="20"/>
  <c r="E99" i="7"/>
  <c r="B99" i="20"/>
  <c r="B4" i="20" s="1"/>
  <c r="B9" i="20" s="1"/>
  <c r="C99" i="20"/>
  <c r="B5" i="20" s="1"/>
  <c r="D99" i="20"/>
  <c r="B6" i="20" s="1"/>
  <c r="D6" i="22"/>
  <c r="B112" i="7"/>
  <c r="B38" i="7" s="1"/>
  <c r="D64" i="3" s="1"/>
  <c r="D8" i="22"/>
  <c r="B112" i="9"/>
  <c r="B38" i="9" s="1"/>
  <c r="F64" i="3" s="1"/>
  <c r="F48" i="22"/>
  <c r="G4" i="22" s="1"/>
  <c r="G9" i="22" s="1"/>
  <c r="E101" i="10"/>
  <c r="C86" i="20"/>
  <c r="B57" i="8"/>
  <c r="B23" i="8" s="1"/>
  <c r="D7" i="12"/>
  <c r="G80" i="4"/>
  <c r="F80" i="4"/>
  <c r="C81" i="4"/>
  <c r="H80" i="4"/>
  <c r="H81" i="4" s="1"/>
  <c r="E80" i="4"/>
  <c r="E81" i="4" s="1"/>
  <c r="D80" i="4"/>
  <c r="J64" i="12"/>
  <c r="K64" i="12" s="1"/>
  <c r="I145" i="15" s="1"/>
  <c r="B57" i="6"/>
  <c r="D5" i="12"/>
  <c r="D10" i="12" s="1"/>
  <c r="D4" i="24"/>
  <c r="D9" i="24" s="1"/>
  <c r="B9" i="24"/>
  <c r="B120" i="5"/>
  <c r="F130" i="5"/>
  <c r="F204" i="12"/>
  <c r="F206" i="12"/>
  <c r="F205" i="12"/>
  <c r="D29" i="13"/>
  <c r="F129" i="6"/>
  <c r="F128" i="10" s="1"/>
  <c r="D7" i="18"/>
  <c r="E41" i="18"/>
  <c r="D7" i="22"/>
  <c r="B112" i="8"/>
  <c r="H96" i="24"/>
  <c r="I96" i="24" s="1"/>
  <c r="J96" i="24" s="1"/>
  <c r="G101" i="24"/>
  <c r="B94" i="9"/>
  <c r="B34" i="9" s="1"/>
  <c r="B118" i="7"/>
  <c r="F64" i="12"/>
  <c r="E133" i="12"/>
  <c r="D69" i="16"/>
  <c r="I118" i="4"/>
  <c r="G118" i="4"/>
  <c r="J118" i="4"/>
  <c r="F118" i="4"/>
  <c r="E85" i="6"/>
  <c r="E84" i="10" s="1"/>
  <c r="G91" i="12"/>
  <c r="G92" i="12"/>
  <c r="G93" i="12"/>
  <c r="E206" i="12"/>
  <c r="E205" i="12"/>
  <c r="E207" i="12" s="1"/>
  <c r="E63" i="8"/>
  <c r="D128" i="15"/>
  <c r="C128" i="15"/>
  <c r="G144" i="15"/>
  <c r="B74" i="12" s="1"/>
  <c r="E80" i="5"/>
  <c r="I88" i="24"/>
  <c r="J88" i="24" s="1"/>
  <c r="H91" i="24"/>
  <c r="B38" i="23"/>
  <c r="B10" i="10"/>
  <c r="D223" i="12"/>
  <c r="H144" i="15"/>
  <c r="B83" i="12" s="1"/>
  <c r="J7" i="24"/>
  <c r="B43" i="6"/>
  <c r="B44" i="9"/>
  <c r="B122" i="9"/>
  <c r="F176" i="12"/>
  <c r="F175" i="12"/>
  <c r="E63" i="9"/>
  <c r="F174" i="12"/>
  <c r="F177" i="12" s="1"/>
  <c r="D76" i="12"/>
  <c r="E62" i="7"/>
  <c r="D75" i="12"/>
  <c r="D77" i="12"/>
  <c r="E71" i="20"/>
  <c r="C70" i="20"/>
  <c r="B70" i="20"/>
  <c r="G71" i="20"/>
  <c r="C71" i="20"/>
  <c r="D71" i="20"/>
  <c r="B71" i="20"/>
  <c r="E70" i="20"/>
  <c r="D70" i="20"/>
  <c r="D85" i="12"/>
  <c r="D84" i="12"/>
  <c r="E61" i="7"/>
  <c r="D86" i="12"/>
  <c r="B91" i="7"/>
  <c r="B33" i="7" s="1"/>
  <c r="D77" i="20"/>
  <c r="G76" i="20"/>
  <c r="B76" i="20"/>
  <c r="C77" i="20"/>
  <c r="B77" i="20"/>
  <c r="C76" i="20"/>
  <c r="E77" i="20"/>
  <c r="E76" i="20"/>
  <c r="D76" i="20"/>
  <c r="G77" i="20"/>
  <c r="F77" i="20"/>
  <c r="F83" i="20" s="1"/>
  <c r="B102" i="8" s="1"/>
  <c r="B107" i="7"/>
  <c r="E82" i="10"/>
  <c r="G109" i="12"/>
  <c r="G108" i="12"/>
  <c r="G107" i="12"/>
  <c r="B262" i="12"/>
  <c r="E58" i="5"/>
  <c r="D8" i="12"/>
  <c r="B57" i="9"/>
  <c r="B23" i="9" s="1"/>
  <c r="B7" i="18"/>
  <c r="E76" i="21"/>
  <c r="C7" i="21" s="1"/>
  <c r="E39" i="21"/>
  <c r="F58" i="3"/>
  <c r="G244" i="12"/>
  <c r="C247" i="12"/>
  <c r="C246" i="12"/>
  <c r="B108" i="6"/>
  <c r="C5" i="21"/>
  <c r="G229" i="12"/>
  <c r="G232" i="12"/>
  <c r="G228" i="12"/>
  <c r="B78" i="16"/>
  <c r="C78" i="16"/>
  <c r="D78" i="16"/>
  <c r="I50" i="17"/>
  <c r="I52" i="17" s="1"/>
  <c r="J50" i="17"/>
  <c r="H50" i="17"/>
  <c r="B38" i="6"/>
  <c r="D100" i="12"/>
  <c r="D99" i="12"/>
  <c r="D98" i="12"/>
  <c r="F81" i="4"/>
  <c r="G230" i="12"/>
  <c r="G173" i="12"/>
  <c r="E63" i="6"/>
  <c r="C176" i="12"/>
  <c r="C175" i="12"/>
  <c r="C174" i="12"/>
  <c r="C177" i="12" s="1"/>
  <c r="E25" i="5"/>
  <c r="B66" i="3"/>
  <c r="B36" i="3" s="1"/>
  <c r="E71" i="10"/>
  <c r="D79" i="12"/>
  <c r="D57" i="3"/>
  <c r="G63" i="12"/>
  <c r="C116" i="15"/>
  <c r="I82" i="15" s="1"/>
  <c r="I83" i="15" s="1"/>
  <c r="B116" i="15"/>
  <c r="E116" i="15"/>
  <c r="N84" i="15" s="1"/>
  <c r="N85" i="15" s="1"/>
  <c r="D116" i="15"/>
  <c r="J84" i="15" s="1"/>
  <c r="J85" i="15" s="1"/>
  <c r="B122" i="7"/>
  <c r="B44" i="7"/>
  <c r="C197" i="12"/>
  <c r="C210" i="12"/>
  <c r="C199" i="12"/>
  <c r="G26" i="13"/>
  <c r="F29" i="13"/>
  <c r="E129" i="7"/>
  <c r="F129" i="7"/>
  <c r="F129" i="10" s="1"/>
  <c r="B10" i="22"/>
  <c r="C8" i="22" s="1"/>
  <c r="D5" i="22"/>
  <c r="J99" i="24"/>
  <c r="F139" i="12"/>
  <c r="F137" i="12"/>
  <c r="F150" i="12"/>
  <c r="G136" i="12"/>
  <c r="B49" i="16"/>
  <c r="C48" i="16"/>
  <c r="E48" i="16"/>
  <c r="D48" i="16"/>
  <c r="B107" i="9"/>
  <c r="B6" i="10"/>
  <c r="B6" i="5"/>
  <c r="F56" i="3"/>
  <c r="F145" i="12"/>
  <c r="F191" i="12"/>
  <c r="F193" i="12" s="1"/>
  <c r="F92" i="12"/>
  <c r="F94" i="12" s="1"/>
  <c r="D108" i="12"/>
  <c r="C191" i="12"/>
  <c r="F168" i="12"/>
  <c r="C168" i="12"/>
  <c r="E72" i="16"/>
  <c r="D122" i="12"/>
  <c r="E138" i="12"/>
  <c r="E140" i="12" s="1"/>
  <c r="C132" i="15"/>
  <c r="D92" i="12"/>
  <c r="D94" i="12" s="1"/>
  <c r="B63" i="7" s="1"/>
  <c r="C131" i="15"/>
  <c r="F138" i="12"/>
  <c r="F197" i="12"/>
  <c r="F199" i="12"/>
  <c r="F210" i="12"/>
  <c r="F198" i="12"/>
  <c r="E64" i="20"/>
  <c r="D262" i="12"/>
  <c r="E57" i="7"/>
  <c r="E56" i="10" s="1"/>
  <c r="G237" i="12"/>
  <c r="G240" i="12" s="1"/>
  <c r="D237" i="12"/>
  <c r="C237" i="12"/>
  <c r="B237" i="12"/>
  <c r="B240" i="12" s="1"/>
  <c r="B56" i="5" s="1"/>
  <c r="B22" i="5" s="1"/>
  <c r="F237" i="12"/>
  <c r="F240" i="12" s="1"/>
  <c r="B55" i="9" s="1"/>
  <c r="B21" i="9" s="1"/>
  <c r="E237" i="12"/>
  <c r="D109" i="15"/>
  <c r="C109" i="15" s="1"/>
  <c r="E109" i="15" s="1"/>
  <c r="D110" i="15"/>
  <c r="B110" i="15"/>
  <c r="G56" i="16"/>
  <c r="D59" i="16"/>
  <c r="D87" i="20"/>
  <c r="E86" i="20"/>
  <c r="F87" i="20"/>
  <c r="G87" i="20"/>
  <c r="E87" i="20"/>
  <c r="C60" i="21"/>
  <c r="G59" i="21"/>
  <c r="B59" i="21"/>
  <c r="B60" i="21" s="1"/>
  <c r="C37" i="23"/>
  <c r="B70" i="24"/>
  <c r="B104" i="24"/>
  <c r="E117" i="9"/>
  <c r="H101" i="24"/>
  <c r="I94" i="24"/>
  <c r="I101" i="24" s="1"/>
  <c r="B119" i="10"/>
  <c r="B123" i="6"/>
  <c r="B44" i="6"/>
  <c r="D4" i="22"/>
  <c r="D9" i="22" s="1"/>
  <c r="B9" i="22"/>
  <c r="B114" i="5"/>
  <c r="E58" i="16"/>
  <c r="F58" i="16"/>
  <c r="D93" i="15"/>
  <c r="C59" i="16"/>
  <c r="B232" i="12"/>
  <c r="B27" i="23"/>
  <c r="D60" i="3"/>
  <c r="B65" i="12"/>
  <c r="I63" i="12"/>
  <c r="G121" i="12"/>
  <c r="G123" i="12"/>
  <c r="D19" i="13"/>
  <c r="C25" i="13" s="1"/>
  <c r="F30" i="14"/>
  <c r="E68" i="24"/>
  <c r="M68" i="24" s="1"/>
  <c r="E70" i="24"/>
  <c r="M70" i="24" s="1"/>
  <c r="E67" i="24"/>
  <c r="M67" i="24" s="1"/>
  <c r="E69" i="24"/>
  <c r="M69" i="24" s="1"/>
  <c r="F65" i="12"/>
  <c r="I67" i="12" s="1"/>
  <c r="F220" i="12"/>
  <c r="F223" i="12" s="1"/>
  <c r="E248" i="12"/>
  <c r="H148" i="15"/>
  <c r="F83" i="12" s="1"/>
  <c r="G148" i="15"/>
  <c r="F74" i="12" s="1"/>
  <c r="F80" i="20"/>
  <c r="G46" i="21"/>
  <c r="G75" i="21"/>
  <c r="G76" i="21" s="1"/>
  <c r="B107" i="10" s="1"/>
  <c r="C160" i="12"/>
  <c r="G159" i="12"/>
  <c r="C162" i="12"/>
  <c r="E230" i="12"/>
  <c r="D132" i="15"/>
  <c r="G47" i="21"/>
  <c r="B47" i="21"/>
  <c r="C40" i="21"/>
  <c r="G115" i="12"/>
  <c r="G116" i="12"/>
  <c r="C180" i="12"/>
  <c r="B9" i="19"/>
  <c r="B96" i="5"/>
  <c r="B35" i="5" s="1"/>
  <c r="B109" i="5"/>
  <c r="C169" i="12"/>
  <c r="C93" i="12"/>
  <c r="C94" i="12" s="1"/>
  <c r="D109" i="12"/>
  <c r="F169" i="12"/>
  <c r="F146" i="12"/>
  <c r="F72" i="16"/>
  <c r="F73" i="16" s="1"/>
  <c r="G24" i="14"/>
  <c r="C26" i="14"/>
  <c r="C97" i="15"/>
  <c r="D92" i="15"/>
  <c r="H145" i="15"/>
  <c r="C83" i="12" s="1"/>
  <c r="G145" i="15"/>
  <c r="C74" i="12" s="1"/>
  <c r="D129" i="15"/>
  <c r="C129" i="15"/>
  <c r="J43" i="17"/>
  <c r="J51" i="17" s="1"/>
  <c r="I43" i="17"/>
  <c r="H43" i="17"/>
  <c r="H49" i="18"/>
  <c r="E61" i="21"/>
  <c r="B7" i="21" s="1"/>
  <c r="B6" i="23"/>
  <c r="J18" i="10"/>
  <c r="B14" i="9"/>
  <c r="B14" i="6"/>
  <c r="B14" i="8"/>
  <c r="E28" i="14"/>
  <c r="E26" i="14"/>
  <c r="D64" i="16"/>
  <c r="G64" i="16" s="1"/>
  <c r="D62" i="16"/>
  <c r="D63" i="16"/>
  <c r="G63" i="16" s="1"/>
  <c r="J45" i="17"/>
  <c r="I45" i="17"/>
  <c r="F57" i="22"/>
  <c r="G5" i="22" s="1"/>
  <c r="G10" i="22" s="1"/>
  <c r="B7" i="23"/>
  <c r="D127" i="4"/>
  <c r="E127" i="4"/>
  <c r="D230" i="12"/>
  <c r="B230" i="12"/>
  <c r="G222" i="12"/>
  <c r="E222" i="12"/>
  <c r="F230" i="12"/>
  <c r="C230" i="12"/>
  <c r="B222" i="12"/>
  <c r="G144" i="12"/>
  <c r="G147" i="12" s="1"/>
  <c r="G167" i="12"/>
  <c r="G168" i="12"/>
  <c r="G169" i="12"/>
  <c r="H45" i="17"/>
  <c r="I49" i="18"/>
  <c r="J79" i="24"/>
  <c r="D79" i="4"/>
  <c r="D81" i="4" s="1"/>
  <c r="F127" i="4"/>
  <c r="B14" i="7"/>
  <c r="C245" i="12"/>
  <c r="C248" i="12" s="1"/>
  <c r="B245" i="12"/>
  <c r="B248" i="12" s="1"/>
  <c r="E262" i="12"/>
  <c r="B31" i="14"/>
  <c r="B73" i="5" s="1"/>
  <c r="B106" i="15"/>
  <c r="B105" i="15"/>
  <c r="D106" i="15"/>
  <c r="B10" i="18"/>
  <c r="C6" i="18" s="1"/>
  <c r="B92" i="6"/>
  <c r="G50" i="18"/>
  <c r="F50" i="18"/>
  <c r="E50" i="18"/>
  <c r="H50" i="18" s="1"/>
  <c r="B12" i="18" s="1"/>
  <c r="H81" i="24"/>
  <c r="I74" i="24"/>
  <c r="I81" i="24" s="1"/>
  <c r="D228" i="12"/>
  <c r="D231" i="12" s="1"/>
  <c r="B53" i="7" s="1"/>
  <c r="C228" i="12"/>
  <c r="C231" i="12" s="1"/>
  <c r="B53" i="6" s="1"/>
  <c r="B228" i="12"/>
  <c r="B231" i="12" s="1"/>
  <c r="B54" i="5" s="1"/>
  <c r="C220" i="12"/>
  <c r="C223" i="12" s="1"/>
  <c r="B220" i="12"/>
  <c r="E228" i="12"/>
  <c r="D28" i="14"/>
  <c r="E71" i="7"/>
  <c r="E70" i="10" s="1"/>
  <c r="D26" i="14"/>
  <c r="I44" i="17"/>
  <c r="J44" i="17"/>
  <c r="H44" i="17"/>
  <c r="K44" i="17" s="1"/>
  <c r="F61" i="21"/>
  <c r="B8" i="21" s="1"/>
  <c r="F8" i="21" s="1"/>
  <c r="B9" i="25"/>
  <c r="B121" i="5"/>
  <c r="G127" i="4"/>
  <c r="E252" i="12"/>
  <c r="D252" i="12"/>
  <c r="D253" i="12" s="1"/>
  <c r="C252" i="12"/>
  <c r="C253" i="12" s="1"/>
  <c r="F252" i="12"/>
  <c r="B252" i="12"/>
  <c r="B253" i="12" s="1"/>
  <c r="F130" i="12"/>
  <c r="F131" i="12"/>
  <c r="E146" i="12"/>
  <c r="F192" i="12"/>
  <c r="C29" i="14"/>
  <c r="G25" i="14"/>
  <c r="D108" i="15"/>
  <c r="C108" i="15" s="1"/>
  <c r="E108" i="15" s="1"/>
  <c r="B107" i="15"/>
  <c r="K46" i="17"/>
  <c r="D64" i="17"/>
  <c r="E60" i="17"/>
  <c r="E64" i="17" s="1"/>
  <c r="B46" i="21"/>
  <c r="C39" i="21"/>
  <c r="C48" i="21"/>
  <c r="J68" i="24"/>
  <c r="H111" i="24"/>
  <c r="I105" i="24"/>
  <c r="I111" i="24" s="1"/>
  <c r="E151" i="12"/>
  <c r="E152" i="12"/>
  <c r="C130" i="15"/>
  <c r="K48" i="17"/>
  <c r="C62" i="24"/>
  <c r="C60" i="24"/>
  <c r="E239" i="12"/>
  <c r="D239" i="12"/>
  <c r="C239" i="12"/>
  <c r="C69" i="16"/>
  <c r="E68" i="16"/>
  <c r="E69" i="16" s="1"/>
  <c r="F68" i="16"/>
  <c r="F69" i="16" s="1"/>
  <c r="E40" i="21"/>
  <c r="G74" i="21"/>
  <c r="F40" i="21"/>
  <c r="G111" i="24"/>
  <c r="E145" i="12"/>
  <c r="D63" i="17"/>
  <c r="C51" i="21"/>
  <c r="G51" i="21" s="1"/>
  <c r="G50" i="21"/>
  <c r="B33" i="23"/>
  <c r="J95" i="24"/>
  <c r="D114" i="12"/>
  <c r="D117" i="12" s="1"/>
  <c r="D121" i="12"/>
  <c r="D124" i="12" s="1"/>
  <c r="D18" i="13"/>
  <c r="G55" i="16"/>
  <c r="E57" i="17"/>
  <c r="C28" i="23"/>
  <c r="J110" i="24"/>
  <c r="H108" i="20"/>
  <c r="G81" i="24"/>
  <c r="D10" i="19"/>
  <c r="J85" i="24"/>
  <c r="J89" i="24"/>
  <c r="G52" i="17"/>
  <c r="J49" i="17"/>
  <c r="H49" i="17"/>
  <c r="K49" i="17" s="1"/>
  <c r="C190" i="12"/>
  <c r="C192" i="12"/>
  <c r="J29" i="13"/>
  <c r="K26" i="13"/>
  <c r="C54" i="21"/>
  <c r="G54" i="21" s="1"/>
  <c r="G53" i="21"/>
  <c r="G147" i="15"/>
  <c r="E189" i="12" s="1"/>
  <c r="D131" i="15"/>
  <c r="D8" i="18"/>
  <c r="B87" i="20"/>
  <c r="G86" i="20"/>
  <c r="D86" i="20"/>
  <c r="G221" i="12"/>
  <c r="G223" i="12" s="1"/>
  <c r="F221" i="12"/>
  <c r="E221" i="12"/>
  <c r="B221" i="12"/>
  <c r="F167" i="12"/>
  <c r="F180" i="12"/>
  <c r="C205" i="12"/>
  <c r="C207" i="12" s="1"/>
  <c r="G203" i="12"/>
  <c r="E238" i="12"/>
  <c r="H147" i="15"/>
  <c r="E196" i="12" s="1"/>
  <c r="H91" i="20"/>
  <c r="H99" i="20" s="1"/>
  <c r="B10" i="20" s="1"/>
  <c r="F144" i="12"/>
  <c r="C57" i="21"/>
  <c r="G57" i="21" s="1"/>
  <c r="G56" i="21"/>
  <c r="F57" i="16"/>
  <c r="F59" i="16" s="1"/>
  <c r="F74" i="16" s="1"/>
  <c r="E57" i="16"/>
  <c r="E59" i="16" s="1"/>
  <c r="G81" i="20"/>
  <c r="F81" i="20"/>
  <c r="B81" i="20"/>
  <c r="F86" i="20"/>
  <c r="B91" i="24"/>
  <c r="F27" i="14"/>
  <c r="G27" i="14" s="1"/>
  <c r="F29" i="14"/>
  <c r="F31" i="14" s="1"/>
  <c r="B72" i="9" s="1"/>
  <c r="B104" i="15"/>
  <c r="B103" i="15"/>
  <c r="D7" i="19"/>
  <c r="B7" i="19"/>
  <c r="C87" i="20"/>
  <c r="C84" i="24"/>
  <c r="J47" i="17"/>
  <c r="J65" i="12" l="1"/>
  <c r="L65" i="12" s="1"/>
  <c r="B130" i="15" s="1"/>
  <c r="K65" i="12"/>
  <c r="I146" i="15" s="1"/>
  <c r="B72" i="5"/>
  <c r="B74" i="5" s="1"/>
  <c r="B25" i="5" s="1"/>
  <c r="B4" i="14"/>
  <c r="B86" i="15"/>
  <c r="J52" i="17"/>
  <c r="E62" i="10"/>
  <c r="B113" i="9"/>
  <c r="B39" i="9" s="1"/>
  <c r="G132" i="12"/>
  <c r="C240" i="12"/>
  <c r="B55" i="6" s="1"/>
  <c r="B21" i="6" s="1"/>
  <c r="E67" i="8"/>
  <c r="E153" i="12"/>
  <c r="G131" i="12"/>
  <c r="G133" i="12" s="1"/>
  <c r="D240" i="12"/>
  <c r="B55" i="7" s="1"/>
  <c r="B21" i="7" s="1"/>
  <c r="G231" i="12"/>
  <c r="D82" i="15"/>
  <c r="D83" i="15" s="1"/>
  <c r="G262" i="12"/>
  <c r="B93" i="4"/>
  <c r="C93" i="4" s="1"/>
  <c r="G26" i="14"/>
  <c r="E41" i="21"/>
  <c r="D101" i="12"/>
  <c r="F82" i="15"/>
  <c r="F83" i="15" s="1"/>
  <c r="D110" i="12"/>
  <c r="G110" i="12" s="1"/>
  <c r="E62" i="17"/>
  <c r="G117" i="12"/>
  <c r="D61" i="21"/>
  <c r="B6" i="21" s="1"/>
  <c r="E82" i="15"/>
  <c r="E83" i="15" s="1"/>
  <c r="B119" i="6"/>
  <c r="F108" i="4"/>
  <c r="B42" i="6"/>
  <c r="D10" i="18"/>
  <c r="B40" i="21"/>
  <c r="C108" i="4"/>
  <c r="G81" i="4"/>
  <c r="E231" i="12"/>
  <c r="B53" i="8" s="1"/>
  <c r="B20" i="8" s="1"/>
  <c r="B223" i="12"/>
  <c r="F231" i="12"/>
  <c r="B53" i="9" s="1"/>
  <c r="F163" i="12"/>
  <c r="B118" i="10"/>
  <c r="E99" i="10"/>
  <c r="B134" i="6"/>
  <c r="D78" i="20"/>
  <c r="B82" i="20"/>
  <c r="B103" i="5" s="1"/>
  <c r="C72" i="20"/>
  <c r="E23" i="9"/>
  <c r="C5" i="22"/>
  <c r="D10" i="22"/>
  <c r="C88" i="20"/>
  <c r="D83" i="20"/>
  <c r="F88" i="20"/>
  <c r="B101" i="8"/>
  <c r="B36" i="8" s="1"/>
  <c r="B83" i="20"/>
  <c r="B104" i="5" s="1"/>
  <c r="B87" i="15"/>
  <c r="K145" i="15"/>
  <c r="E80" i="6"/>
  <c r="J145" i="15"/>
  <c r="C137" i="15"/>
  <c r="D137" i="15"/>
  <c r="C130" i="5"/>
  <c r="B94" i="24"/>
  <c r="B69" i="24"/>
  <c r="E117" i="8"/>
  <c r="E73" i="16"/>
  <c r="E74" i="16" s="1"/>
  <c r="G72" i="16"/>
  <c r="F140" i="12"/>
  <c r="E82" i="20"/>
  <c r="C7" i="22"/>
  <c r="D88" i="20"/>
  <c r="B133" i="7"/>
  <c r="B50" i="3"/>
  <c r="F60" i="3"/>
  <c r="B23" i="6"/>
  <c r="B56" i="10"/>
  <c r="B22" i="10" s="1"/>
  <c r="M86" i="15"/>
  <c r="M87" i="15" s="1"/>
  <c r="J86" i="15"/>
  <c r="J87" i="15" s="1"/>
  <c r="M84" i="15"/>
  <c r="M85" i="15" s="1"/>
  <c r="E78" i="20"/>
  <c r="C83" i="20"/>
  <c r="H71" i="20"/>
  <c r="M82" i="15"/>
  <c r="M83" i="15" s="1"/>
  <c r="E78" i="16"/>
  <c r="D37" i="23"/>
  <c r="C42" i="23"/>
  <c r="J70" i="24"/>
  <c r="Q70" i="24" s="1"/>
  <c r="I70" i="24"/>
  <c r="E62" i="8"/>
  <c r="E192" i="12"/>
  <c r="E191" i="12"/>
  <c r="E190" i="12"/>
  <c r="B111" i="24"/>
  <c r="C104" i="24"/>
  <c r="H77" i="20"/>
  <c r="E83" i="20"/>
  <c r="G4" i="20"/>
  <c r="G9" i="20" s="1"/>
  <c r="B102" i="5"/>
  <c r="G83" i="20"/>
  <c r="B102" i="9" s="1"/>
  <c r="C86" i="12"/>
  <c r="E61" i="6"/>
  <c r="C84" i="12"/>
  <c r="C85" i="12"/>
  <c r="G83" i="12"/>
  <c r="D97" i="15"/>
  <c r="J78" i="15"/>
  <c r="J79" i="15" s="1"/>
  <c r="G78" i="15"/>
  <c r="G79" i="15" s="1"/>
  <c r="F78" i="15"/>
  <c r="F79" i="15" s="1"/>
  <c r="I78" i="15"/>
  <c r="I79" i="15" s="1"/>
  <c r="N78" i="15"/>
  <c r="N79" i="15" s="1"/>
  <c r="M78" i="15"/>
  <c r="M79" i="15" s="1"/>
  <c r="E78" i="15"/>
  <c r="E79" i="15" s="1"/>
  <c r="H78" i="15"/>
  <c r="D78" i="15"/>
  <c r="D79" i="15" s="1"/>
  <c r="C61" i="21"/>
  <c r="G60" i="21"/>
  <c r="B78" i="20"/>
  <c r="E81" i="20"/>
  <c r="E72" i="20"/>
  <c r="B54" i="6"/>
  <c r="B20" i="6" s="1"/>
  <c r="C5" i="12"/>
  <c r="H51" i="17"/>
  <c r="K43" i="17"/>
  <c r="C183" i="12"/>
  <c r="C182" i="12"/>
  <c r="C181" i="12"/>
  <c r="C184" i="12" s="1"/>
  <c r="G180" i="12"/>
  <c r="J63" i="12"/>
  <c r="L63" i="12" s="1"/>
  <c r="B128" i="15" s="1"/>
  <c r="E128" i="15" s="1"/>
  <c r="E4" i="15" s="1"/>
  <c r="G88" i="20"/>
  <c r="B133" i="9"/>
  <c r="G94" i="12"/>
  <c r="B55" i="5"/>
  <c r="B21" i="5" s="1"/>
  <c r="C4" i="12"/>
  <c r="B54" i="7"/>
  <c r="B20" i="7" s="1"/>
  <c r="C6" i="12"/>
  <c r="F76" i="12"/>
  <c r="F75" i="12"/>
  <c r="F79" i="12"/>
  <c r="F77" i="12"/>
  <c r="F97" i="12"/>
  <c r="E62" i="9"/>
  <c r="F151" i="12"/>
  <c r="F152" i="12"/>
  <c r="F153" i="12"/>
  <c r="C31" i="14"/>
  <c r="B72" i="6" s="1"/>
  <c r="G29" i="14"/>
  <c r="G31" i="14" s="1"/>
  <c r="B71" i="10" s="1"/>
  <c r="I51" i="17"/>
  <c r="D7" i="23"/>
  <c r="B113" i="8"/>
  <c r="B39" i="8" s="1"/>
  <c r="E62" i="5"/>
  <c r="B84" i="12"/>
  <c r="B85" i="12"/>
  <c r="B86" i="12"/>
  <c r="G150" i="12"/>
  <c r="D65" i="16"/>
  <c r="D74" i="16" s="1"/>
  <c r="G62" i="16"/>
  <c r="G65" i="16" s="1"/>
  <c r="N80" i="15"/>
  <c r="N81" i="15" s="1"/>
  <c r="F80" i="15"/>
  <c r="F81" i="15" s="1"/>
  <c r="I80" i="15"/>
  <c r="H80" i="15"/>
  <c r="D80" i="15"/>
  <c r="D98" i="15"/>
  <c r="G80" i="15"/>
  <c r="G81" i="15" s="1"/>
  <c r="E80" i="15"/>
  <c r="J80" i="15"/>
  <c r="M80" i="15"/>
  <c r="M81" i="15" s="1"/>
  <c r="C10" i="21"/>
  <c r="K4" i="21" s="1"/>
  <c r="D80" i="20"/>
  <c r="D72" i="20"/>
  <c r="C254" i="12"/>
  <c r="C255" i="12"/>
  <c r="G252" i="12"/>
  <c r="B85" i="4" s="1"/>
  <c r="B72" i="20"/>
  <c r="C8" i="12"/>
  <c r="B54" i="9"/>
  <c r="G176" i="12"/>
  <c r="G175" i="12"/>
  <c r="G174" i="12"/>
  <c r="B63" i="6"/>
  <c r="D255" i="12"/>
  <c r="E56" i="7"/>
  <c r="D254" i="12"/>
  <c r="B114" i="9"/>
  <c r="F147" i="12"/>
  <c r="B63" i="9" s="1"/>
  <c r="C38" i="23"/>
  <c r="B43" i="23"/>
  <c r="E114" i="6"/>
  <c r="E113" i="10" s="1"/>
  <c r="D84" i="15"/>
  <c r="D85" i="15" s="1"/>
  <c r="B52" i="10"/>
  <c r="G40" i="21"/>
  <c r="B113" i="4"/>
  <c r="C74" i="16"/>
  <c r="H76" i="20"/>
  <c r="C78" i="20"/>
  <c r="E147" i="12"/>
  <c r="B63" i="8" s="1"/>
  <c r="D6" i="21"/>
  <c r="B106" i="7"/>
  <c r="B108" i="7" s="1"/>
  <c r="B37" i="7" s="1"/>
  <c r="F65" i="3"/>
  <c r="F35" i="3" s="1"/>
  <c r="J82" i="15"/>
  <c r="J83" i="15" s="1"/>
  <c r="C129" i="9"/>
  <c r="K29" i="13"/>
  <c r="B8" i="13" s="1"/>
  <c r="F84" i="15"/>
  <c r="F85" i="15" s="1"/>
  <c r="Q68" i="24"/>
  <c r="E30" i="14"/>
  <c r="J105" i="24"/>
  <c r="G78" i="20"/>
  <c r="E197" i="12"/>
  <c r="E198" i="12"/>
  <c r="E210" i="12"/>
  <c r="E199" i="12"/>
  <c r="E61" i="8"/>
  <c r="C81" i="20"/>
  <c r="H69" i="20"/>
  <c r="G161" i="12"/>
  <c r="G162" i="12"/>
  <c r="G160" i="12"/>
  <c r="C129" i="7"/>
  <c r="C193" i="12"/>
  <c r="B48" i="21"/>
  <c r="B41" i="21" s="1"/>
  <c r="B39" i="21"/>
  <c r="G196" i="12"/>
  <c r="C64" i="3"/>
  <c r="E25" i="13"/>
  <c r="C110" i="15"/>
  <c r="L86" i="15" s="1"/>
  <c r="L87" i="15" s="1"/>
  <c r="C212" i="12"/>
  <c r="C213" i="12"/>
  <c r="G210" i="12"/>
  <c r="C211" i="12"/>
  <c r="F170" i="12"/>
  <c r="D6" i="23"/>
  <c r="B113" i="7"/>
  <c r="G39" i="21"/>
  <c r="D50" i="16"/>
  <c r="C25" i="19" s="1"/>
  <c r="D49" i="16"/>
  <c r="D87" i="12"/>
  <c r="B61" i="7" s="1"/>
  <c r="E49" i="3"/>
  <c r="C104" i="15"/>
  <c r="C78" i="15" s="1"/>
  <c r="C79" i="15" s="1"/>
  <c r="B60" i="3"/>
  <c r="B99" i="8"/>
  <c r="B43" i="10"/>
  <c r="B122" i="10"/>
  <c r="C49" i="16"/>
  <c r="F48" i="16"/>
  <c r="C50" i="16"/>
  <c r="B25" i="19" s="1"/>
  <c r="E130" i="15"/>
  <c r="E6" i="15" s="1"/>
  <c r="B79" i="7" s="1"/>
  <c r="B27" i="7" s="1"/>
  <c r="K50" i="17"/>
  <c r="F5" i="17" s="1"/>
  <c r="F67" i="3"/>
  <c r="E25" i="9"/>
  <c r="B46" i="9"/>
  <c r="F207" i="12"/>
  <c r="F84" i="12"/>
  <c r="F85" i="12"/>
  <c r="F86" i="12"/>
  <c r="E61" i="9"/>
  <c r="G7" i="20"/>
  <c r="B100" i="8"/>
  <c r="D256" i="12"/>
  <c r="B32" i="23"/>
  <c r="E115" i="5"/>
  <c r="C27" i="23"/>
  <c r="F133" i="12"/>
  <c r="C77" i="12"/>
  <c r="C97" i="12"/>
  <c r="C76" i="12"/>
  <c r="C75" i="12"/>
  <c r="G74" i="12"/>
  <c r="C79" i="12"/>
  <c r="E62" i="6"/>
  <c r="J67" i="12"/>
  <c r="L67" i="12" s="1"/>
  <c r="B132" i="15" s="1"/>
  <c r="E132" i="15" s="1"/>
  <c r="E8" i="15" s="1"/>
  <c r="B79" i="9" s="1"/>
  <c r="B27" i="9" s="1"/>
  <c r="K67" i="12"/>
  <c r="I148" i="15" s="1"/>
  <c r="N86" i="15"/>
  <c r="N87" i="15" s="1"/>
  <c r="E84" i="15"/>
  <c r="E85" i="15" s="1"/>
  <c r="E86" i="15"/>
  <c r="E87" i="15" s="1"/>
  <c r="N82" i="15"/>
  <c r="N83" i="15" s="1"/>
  <c r="L64" i="12"/>
  <c r="B129" i="15" s="1"/>
  <c r="E129" i="15" s="1"/>
  <c r="E5" i="15" s="1"/>
  <c r="B255" i="12"/>
  <c r="E57" i="5"/>
  <c r="B254" i="12"/>
  <c r="B256" i="12" s="1"/>
  <c r="C6" i="22"/>
  <c r="B112" i="10"/>
  <c r="F116" i="15"/>
  <c r="H86" i="15"/>
  <c r="F254" i="12"/>
  <c r="F253" i="12"/>
  <c r="F255" i="12"/>
  <c r="I84" i="15"/>
  <c r="I85" i="15" s="1"/>
  <c r="G86" i="15"/>
  <c r="G87" i="15" s="1"/>
  <c r="I86" i="15"/>
  <c r="I87" i="15" s="1"/>
  <c r="L84" i="15"/>
  <c r="L85" i="15" s="1"/>
  <c r="G82" i="15"/>
  <c r="G83" i="15" s="1"/>
  <c r="C82" i="20"/>
  <c r="H70" i="20"/>
  <c r="B38" i="8"/>
  <c r="B114" i="8"/>
  <c r="E154" i="12"/>
  <c r="G72" i="20"/>
  <c r="G80" i="20"/>
  <c r="C84" i="15"/>
  <c r="C85" i="15" s="1"/>
  <c r="G58" i="16"/>
  <c r="B100" i="6"/>
  <c r="B88" i="20"/>
  <c r="B135" i="5" s="1"/>
  <c r="K45" i="17"/>
  <c r="F78" i="20"/>
  <c r="B79" i="12"/>
  <c r="B97" i="12"/>
  <c r="B76" i="12"/>
  <c r="B77" i="12"/>
  <c r="B75" i="12"/>
  <c r="F49" i="3"/>
  <c r="H86" i="20"/>
  <c r="H84" i="15"/>
  <c r="I68" i="24"/>
  <c r="E88" i="20"/>
  <c r="F6" i="12"/>
  <c r="C91" i="24"/>
  <c r="D84" i="24"/>
  <c r="B45" i="5"/>
  <c r="B124" i="5"/>
  <c r="B33" i="6"/>
  <c r="B91" i="10"/>
  <c r="B32" i="10" s="1"/>
  <c r="B8" i="14"/>
  <c r="B71" i="9"/>
  <c r="B73" i="9" s="1"/>
  <c r="B24" i="9" s="1"/>
  <c r="H87" i="20"/>
  <c r="B10" i="19"/>
  <c r="C7" i="19" s="1"/>
  <c r="B94" i="8"/>
  <c r="B34" i="8" s="1"/>
  <c r="D8" i="21"/>
  <c r="B106" i="9"/>
  <c r="B108" i="9" s="1"/>
  <c r="B37" i="9" s="1"/>
  <c r="H52" i="17"/>
  <c r="D28" i="23"/>
  <c r="C33" i="23"/>
  <c r="C105" i="15"/>
  <c r="B82" i="15" s="1"/>
  <c r="F200" i="12"/>
  <c r="G57" i="16"/>
  <c r="D8" i="16" s="1"/>
  <c r="F86" i="15"/>
  <c r="F87" i="15" s="1"/>
  <c r="C106" i="15"/>
  <c r="L82" i="15" s="1"/>
  <c r="L83" i="15" s="1"/>
  <c r="C200" i="12"/>
  <c r="F7" i="21"/>
  <c r="B107" i="8"/>
  <c r="K86" i="15"/>
  <c r="C7" i="18"/>
  <c r="B91" i="8"/>
  <c r="B33" i="8" s="1"/>
  <c r="G68" i="16"/>
  <c r="G69" i="16" s="1"/>
  <c r="E64" i="12"/>
  <c r="E65" i="12" s="1"/>
  <c r="I66" i="12" s="1"/>
  <c r="C107" i="15"/>
  <c r="K84" i="15" s="1"/>
  <c r="E63" i="17"/>
  <c r="F72" i="20"/>
  <c r="B46" i="7"/>
  <c r="D67" i="3"/>
  <c r="E25" i="7"/>
  <c r="I91" i="24"/>
  <c r="B100" i="9"/>
  <c r="D138" i="15"/>
  <c r="C138" i="15"/>
  <c r="K146" i="15"/>
  <c r="J146" i="15"/>
  <c r="E80" i="7"/>
  <c r="B138" i="15"/>
  <c r="E254" i="12"/>
  <c r="E253" i="12"/>
  <c r="E255" i="12"/>
  <c r="E56" i="8"/>
  <c r="D4" i="14"/>
  <c r="D9" i="14" s="1"/>
  <c r="B9" i="14"/>
  <c r="H68" i="20"/>
  <c r="G84" i="15"/>
  <c r="G85" i="15" s="1"/>
  <c r="B39" i="5"/>
  <c r="E56" i="6"/>
  <c r="D78" i="12"/>
  <c r="G246" i="12"/>
  <c r="G247" i="12"/>
  <c r="G245" i="12"/>
  <c r="G82" i="20"/>
  <c r="B101" i="9" s="1"/>
  <c r="G189" i="12"/>
  <c r="G64" i="12" s="1"/>
  <c r="G65" i="12" s="1"/>
  <c r="G48" i="21"/>
  <c r="G41" i="21" s="1"/>
  <c r="C41" i="21"/>
  <c r="G170" i="12"/>
  <c r="G204" i="12"/>
  <c r="G205" i="12"/>
  <c r="G206" i="12"/>
  <c r="C8" i="18"/>
  <c r="C5" i="18"/>
  <c r="C163" i="12"/>
  <c r="C26" i="13"/>
  <c r="C131" i="5" s="1"/>
  <c r="E26" i="13"/>
  <c r="K47" i="17"/>
  <c r="F212" i="12"/>
  <c r="F211" i="12"/>
  <c r="F213" i="12"/>
  <c r="D59" i="3"/>
  <c r="F182" i="12"/>
  <c r="F181" i="12"/>
  <c r="F183" i="12"/>
  <c r="B41" i="10"/>
  <c r="E25" i="6"/>
  <c r="C67" i="3"/>
  <c r="B46" i="6"/>
  <c r="B54" i="8"/>
  <c r="C103" i="15"/>
  <c r="B80" i="15" s="1"/>
  <c r="D7" i="21"/>
  <c r="B106" i="8"/>
  <c r="B108" i="8" s="1"/>
  <c r="B37" i="8" s="1"/>
  <c r="E50" i="16"/>
  <c r="D25" i="19" s="1"/>
  <c r="E49" i="16"/>
  <c r="D86" i="15"/>
  <c r="D87" i="15" s="1"/>
  <c r="G28" i="13"/>
  <c r="B67" i="24"/>
  <c r="B74" i="24"/>
  <c r="E118" i="6"/>
  <c r="G28" i="14"/>
  <c r="G30" i="14" s="1"/>
  <c r="B70" i="10" s="1"/>
  <c r="D30" i="14"/>
  <c r="C30" i="14"/>
  <c r="G124" i="12"/>
  <c r="E240" i="12"/>
  <c r="B55" i="8" s="1"/>
  <c r="B21" i="8" s="1"/>
  <c r="G139" i="12"/>
  <c r="G138" i="12"/>
  <c r="G137" i="12"/>
  <c r="G140" i="12" s="1"/>
  <c r="H82" i="15"/>
  <c r="F6" i="21"/>
  <c r="D82" i="20"/>
  <c r="B42" i="10"/>
  <c r="B122" i="5"/>
  <c r="C7" i="12" l="1"/>
  <c r="F214" i="12"/>
  <c r="G248" i="12"/>
  <c r="G93" i="4"/>
  <c r="E93" i="4"/>
  <c r="D93" i="4"/>
  <c r="F93" i="4"/>
  <c r="G255" i="12"/>
  <c r="E193" i="12"/>
  <c r="G254" i="12"/>
  <c r="K80" i="15"/>
  <c r="C10" i="18"/>
  <c r="E138" i="15"/>
  <c r="F6" i="15" s="1"/>
  <c r="B80" i="7" s="1"/>
  <c r="B28" i="7" s="1"/>
  <c r="F184" i="12"/>
  <c r="E107" i="15"/>
  <c r="K78" i="15"/>
  <c r="E105" i="15"/>
  <c r="B78" i="12"/>
  <c r="E110" i="15"/>
  <c r="G177" i="12"/>
  <c r="B61" i="21"/>
  <c r="B4" i="21" s="1"/>
  <c r="D4" i="21" s="1"/>
  <c r="D9" i="21" s="1"/>
  <c r="B102" i="7"/>
  <c r="B37" i="5"/>
  <c r="B62" i="3" s="1"/>
  <c r="B36" i="9"/>
  <c r="F62" i="3" s="1"/>
  <c r="H88" i="20"/>
  <c r="E7" i="20"/>
  <c r="F84" i="20"/>
  <c r="C7" i="20" s="1"/>
  <c r="H78" i="20"/>
  <c r="G8" i="20"/>
  <c r="G6" i="20"/>
  <c r="C10" i="22"/>
  <c r="B101" i="7"/>
  <c r="H72" i="20"/>
  <c r="K85" i="15"/>
  <c r="J95" i="15" s="1"/>
  <c r="N71" i="15" s="1"/>
  <c r="O71" i="15" s="1"/>
  <c r="L71" i="15"/>
  <c r="G95" i="15"/>
  <c r="K71" i="15"/>
  <c r="D47" i="3"/>
  <c r="B57" i="5"/>
  <c r="B23" i="5" s="1"/>
  <c r="E4" i="12"/>
  <c r="E9" i="12" s="1"/>
  <c r="I68" i="12"/>
  <c r="B47" i="3"/>
  <c r="C85" i="4"/>
  <c r="F85" i="4"/>
  <c r="D85" i="4"/>
  <c r="E94" i="4" s="1"/>
  <c r="E85" i="4"/>
  <c r="B81" i="15"/>
  <c r="B80" i="5"/>
  <c r="B28" i="5" s="1"/>
  <c r="E9" i="15"/>
  <c r="B8" i="16"/>
  <c r="B83" i="9"/>
  <c r="B29" i="9" s="1"/>
  <c r="F10" i="17"/>
  <c r="B89" i="6"/>
  <c r="F53" i="3"/>
  <c r="G67" i="3"/>
  <c r="B45" i="10"/>
  <c r="E24" i="10"/>
  <c r="E64" i="3"/>
  <c r="E23" i="8"/>
  <c r="E104" i="15"/>
  <c r="B103" i="6"/>
  <c r="H83" i="20"/>
  <c r="M28" i="13"/>
  <c r="C130" i="7"/>
  <c r="C130" i="10" s="1"/>
  <c r="B62" i="7"/>
  <c r="B6" i="12"/>
  <c r="D91" i="24"/>
  <c r="E84" i="24"/>
  <c r="C214" i="12"/>
  <c r="C80" i="15"/>
  <c r="E93" i="15" s="1"/>
  <c r="H68" i="15"/>
  <c r="H73" i="15" s="1"/>
  <c r="G68" i="15"/>
  <c r="G73" i="15" s="1"/>
  <c r="F92" i="15"/>
  <c r="F97" i="15" s="1"/>
  <c r="H79" i="15"/>
  <c r="I92" i="15" s="1"/>
  <c r="D104" i="24"/>
  <c r="C111" i="24"/>
  <c r="E62" i="3"/>
  <c r="E55" i="10"/>
  <c r="E8" i="20"/>
  <c r="B99" i="9"/>
  <c r="G84" i="20"/>
  <c r="C8" i="20" s="1"/>
  <c r="B84" i="15"/>
  <c r="B100" i="4" s="1"/>
  <c r="G212" i="12"/>
  <c r="G213" i="12"/>
  <c r="G211" i="12"/>
  <c r="E212" i="12"/>
  <c r="E211" i="12"/>
  <c r="E213" i="12"/>
  <c r="F93" i="15"/>
  <c r="H69" i="15"/>
  <c r="H81" i="15"/>
  <c r="G69" i="15"/>
  <c r="B104" i="4"/>
  <c r="K63" i="12"/>
  <c r="I144" i="15" s="1"/>
  <c r="I69" i="24"/>
  <c r="J69" i="24"/>
  <c r="Q69" i="24" s="1"/>
  <c r="B37" i="10"/>
  <c r="F99" i="12"/>
  <c r="F100" i="12"/>
  <c r="E67" i="9"/>
  <c r="F98" i="12"/>
  <c r="M26" i="13"/>
  <c r="C130" i="6"/>
  <c r="C129" i="10" s="1"/>
  <c r="G71" i="15"/>
  <c r="H71" i="15"/>
  <c r="F95" i="15"/>
  <c r="H85" i="15"/>
  <c r="I95" i="15" s="1"/>
  <c r="F71" i="15" s="1"/>
  <c r="L78" i="15"/>
  <c r="L79" i="15" s="1"/>
  <c r="M25" i="13"/>
  <c r="E29" i="13"/>
  <c r="B5" i="13" s="1"/>
  <c r="C129" i="6"/>
  <c r="B7" i="14"/>
  <c r="B71" i="8"/>
  <c r="B73" i="8" s="1"/>
  <c r="B24" i="8" s="1"/>
  <c r="D4" i="17"/>
  <c r="K51" i="17"/>
  <c r="H4" i="21"/>
  <c r="H9" i="21" s="1"/>
  <c r="B9" i="21"/>
  <c r="B108" i="5"/>
  <c r="B110" i="5" s="1"/>
  <c r="B38" i="5" s="1"/>
  <c r="F4" i="21"/>
  <c r="F9" i="21" s="1"/>
  <c r="K81" i="15"/>
  <c r="B83" i="15"/>
  <c r="G49" i="3"/>
  <c r="C29" i="13"/>
  <c r="B4" i="13" s="1"/>
  <c r="B9" i="13" s="1"/>
  <c r="G153" i="12"/>
  <c r="G152" i="12"/>
  <c r="G151" i="12"/>
  <c r="G154" i="12" s="1"/>
  <c r="C49" i="3"/>
  <c r="B64" i="3"/>
  <c r="G183" i="12"/>
  <c r="G182" i="12"/>
  <c r="G181" i="12"/>
  <c r="G184" i="12" s="1"/>
  <c r="B101" i="24"/>
  <c r="C94" i="24"/>
  <c r="D5" i="17"/>
  <c r="K52" i="17"/>
  <c r="C47" i="3"/>
  <c r="E63" i="3"/>
  <c r="E22" i="8"/>
  <c r="B84" i="20"/>
  <c r="C4" i="20" s="1"/>
  <c r="C9" i="20" s="1"/>
  <c r="B101" i="5"/>
  <c r="E4" i="20"/>
  <c r="E9" i="20" s="1"/>
  <c r="F78" i="12"/>
  <c r="D37" i="3"/>
  <c r="D39" i="3" s="1"/>
  <c r="D69" i="3"/>
  <c r="E28" i="23"/>
  <c r="D33" i="23"/>
  <c r="B40" i="7"/>
  <c r="B78" i="15"/>
  <c r="E103" i="15"/>
  <c r="B79" i="6"/>
  <c r="C10" i="12"/>
  <c r="E256" i="12"/>
  <c r="C82" i="15"/>
  <c r="C83" i="15" s="1"/>
  <c r="C256" i="12"/>
  <c r="G207" i="12"/>
  <c r="B62" i="10" s="1"/>
  <c r="J66" i="12"/>
  <c r="K66" i="12" s="1"/>
  <c r="I147" i="15" s="1"/>
  <c r="B100" i="12"/>
  <c r="E68" i="5"/>
  <c r="B99" i="12"/>
  <c r="B98" i="12"/>
  <c r="D6" i="16"/>
  <c r="C9" i="12"/>
  <c r="G85" i="12"/>
  <c r="G86" i="12"/>
  <c r="G84" i="12"/>
  <c r="G87" i="12" s="1"/>
  <c r="C86" i="15"/>
  <c r="B140" i="15"/>
  <c r="C140" i="15"/>
  <c r="D140" i="15"/>
  <c r="K148" i="15"/>
  <c r="E80" i="9"/>
  <c r="J148" i="15"/>
  <c r="B62" i="8"/>
  <c r="G59" i="16"/>
  <c r="E65" i="3"/>
  <c r="B100" i="7"/>
  <c r="E84" i="20"/>
  <c r="B134" i="7"/>
  <c r="H20" i="7"/>
  <c r="B64" i="7"/>
  <c r="B19" i="7" s="1"/>
  <c r="D63" i="3"/>
  <c r="E22" i="7"/>
  <c r="B133" i="10"/>
  <c r="C87" i="12"/>
  <c r="B61" i="6" s="1"/>
  <c r="E22" i="9"/>
  <c r="F63" i="3"/>
  <c r="G253" i="12"/>
  <c r="G256" i="12" s="1"/>
  <c r="B87" i="12"/>
  <c r="B62" i="5" s="1"/>
  <c r="D54" i="3"/>
  <c r="E59" i="3"/>
  <c r="F4" i="17"/>
  <c r="G29" i="13"/>
  <c r="B6" i="13" s="1"/>
  <c r="J81" i="15"/>
  <c r="D104" i="4"/>
  <c r="B54" i="10"/>
  <c r="B20" i="10" s="1"/>
  <c r="E60" i="10"/>
  <c r="B103" i="8"/>
  <c r="B109" i="8" s="1"/>
  <c r="B35" i="8"/>
  <c r="E200" i="12"/>
  <c r="B61" i="8" s="1"/>
  <c r="B56" i="7"/>
  <c r="E6" i="12"/>
  <c r="I6" i="12" s="1"/>
  <c r="B63" i="5"/>
  <c r="B53" i="10"/>
  <c r="B19" i="10" s="1"/>
  <c r="D42" i="23"/>
  <c r="E37" i="23"/>
  <c r="E60" i="3"/>
  <c r="D84" i="20"/>
  <c r="B99" i="7"/>
  <c r="E6" i="20"/>
  <c r="C37" i="3"/>
  <c r="C39" i="3" s="1"/>
  <c r="C69" i="3"/>
  <c r="C6" i="19"/>
  <c r="C5" i="19"/>
  <c r="C8" i="19"/>
  <c r="F4" i="16"/>
  <c r="F5" i="16"/>
  <c r="B5" i="14"/>
  <c r="B71" i="6"/>
  <c r="B73" i="6" s="1"/>
  <c r="B24" i="6" s="1"/>
  <c r="G190" i="12"/>
  <c r="G191" i="12"/>
  <c r="G192" i="12"/>
  <c r="F50" i="3"/>
  <c r="B136" i="5"/>
  <c r="E61" i="10"/>
  <c r="G163" i="12"/>
  <c r="L80" i="15"/>
  <c r="L81" i="15" s="1"/>
  <c r="K82" i="15"/>
  <c r="B20" i="9"/>
  <c r="K6" i="12"/>
  <c r="B67" i="7"/>
  <c r="I81" i="15"/>
  <c r="C104" i="4"/>
  <c r="D38" i="23"/>
  <c r="C43" i="23"/>
  <c r="E47" i="3"/>
  <c r="B40" i="9"/>
  <c r="F94" i="15"/>
  <c r="H70" i="15"/>
  <c r="G70" i="15"/>
  <c r="H83" i="15"/>
  <c r="I94" i="15" s="1"/>
  <c r="F70" i="15" s="1"/>
  <c r="H82" i="20"/>
  <c r="B102" i="6"/>
  <c r="G197" i="12"/>
  <c r="G199" i="12"/>
  <c r="G198" i="12"/>
  <c r="F87" i="12"/>
  <c r="B61" i="9" s="1"/>
  <c r="B137" i="15"/>
  <c r="E137" i="15" s="1"/>
  <c r="F5" i="15" s="1"/>
  <c r="B6" i="14"/>
  <c r="B71" i="7"/>
  <c r="B73" i="7" s="1"/>
  <c r="B24" i="7" s="1"/>
  <c r="K87" i="15"/>
  <c r="J96" i="15" s="1"/>
  <c r="N72" i="15" s="1"/>
  <c r="O72" i="15" s="1"/>
  <c r="L72" i="15"/>
  <c r="K72" i="15"/>
  <c r="G96" i="15"/>
  <c r="D8" i="14"/>
  <c r="C84" i="20"/>
  <c r="C5" i="20" s="1"/>
  <c r="F37" i="3"/>
  <c r="F39" i="3" s="1"/>
  <c r="F69" i="3"/>
  <c r="E100" i="4"/>
  <c r="E81" i="15"/>
  <c r="B72" i="10"/>
  <c r="B23" i="10" s="1"/>
  <c r="G59" i="3"/>
  <c r="F256" i="12"/>
  <c r="G76" i="12"/>
  <c r="G79" i="12"/>
  <c r="G75" i="12"/>
  <c r="G77" i="12"/>
  <c r="B114" i="7"/>
  <c r="B39" i="7"/>
  <c r="E117" i="10"/>
  <c r="C59" i="3"/>
  <c r="E5" i="20"/>
  <c r="C78" i="12"/>
  <c r="G61" i="21"/>
  <c r="B5" i="21"/>
  <c r="C74" i="24"/>
  <c r="B81" i="24"/>
  <c r="H80" i="20"/>
  <c r="G5" i="20"/>
  <c r="B101" i="6"/>
  <c r="H81" i="20"/>
  <c r="C32" i="23"/>
  <c r="D27" i="23"/>
  <c r="K79" i="15"/>
  <c r="K68" i="15"/>
  <c r="D53" i="3"/>
  <c r="B134" i="9"/>
  <c r="E4" i="16"/>
  <c r="G73" i="16"/>
  <c r="E5" i="16" s="1"/>
  <c r="J67" i="24"/>
  <c r="Q67" i="24" s="1"/>
  <c r="I67" i="24"/>
  <c r="E106" i="15"/>
  <c r="E26" i="5"/>
  <c r="B47" i="5"/>
  <c r="B67" i="3"/>
  <c r="D4" i="16"/>
  <c r="D5" i="16"/>
  <c r="G72" i="15"/>
  <c r="H87" i="15"/>
  <c r="I96" i="15" s="1"/>
  <c r="F72" i="15" s="1"/>
  <c r="H72" i="15"/>
  <c r="F96" i="15"/>
  <c r="C99" i="12"/>
  <c r="C100" i="12"/>
  <c r="C98" i="12"/>
  <c r="C101" i="12" s="1"/>
  <c r="F5" i="12" s="1"/>
  <c r="E67" i="6"/>
  <c r="E66" i="10" s="1"/>
  <c r="G97" i="12"/>
  <c r="B75" i="4" s="1"/>
  <c r="F50" i="16"/>
  <c r="F49" i="16"/>
  <c r="J113" i="4"/>
  <c r="F113" i="4"/>
  <c r="G113" i="4"/>
  <c r="I113" i="4"/>
  <c r="H113" i="4"/>
  <c r="D100" i="4"/>
  <c r="D81" i="15"/>
  <c r="F154" i="12"/>
  <c r="J92" i="15" l="1"/>
  <c r="C10" i="19"/>
  <c r="G92" i="15"/>
  <c r="G97" i="15" s="1"/>
  <c r="L68" i="15"/>
  <c r="L73" i="15" s="1"/>
  <c r="M72" i="15"/>
  <c r="L66" i="12"/>
  <c r="B131" i="15" s="1"/>
  <c r="E131" i="15" s="1"/>
  <c r="E7" i="15" s="1"/>
  <c r="B79" i="8" s="1"/>
  <c r="B27" i="8" s="1"/>
  <c r="M29" i="13"/>
  <c r="G214" i="12"/>
  <c r="B102" i="10"/>
  <c r="M71" i="15"/>
  <c r="B36" i="7"/>
  <c r="D62" i="3" s="1"/>
  <c r="G10" i="20"/>
  <c r="B100" i="10"/>
  <c r="G47" i="3"/>
  <c r="E75" i="4"/>
  <c r="F94" i="4" s="1"/>
  <c r="F75" i="4"/>
  <c r="G94" i="4" s="1"/>
  <c r="C75" i="4"/>
  <c r="D94" i="4" s="1"/>
  <c r="G75" i="4"/>
  <c r="H94" i="4" s="1"/>
  <c r="K147" i="15"/>
  <c r="J147" i="15"/>
  <c r="D139" i="15"/>
  <c r="C139" i="15"/>
  <c r="B139" i="15"/>
  <c r="E139" i="15" s="1"/>
  <c r="F7" i="15" s="1"/>
  <c r="B80" i="8" s="1"/>
  <c r="B28" i="8" s="1"/>
  <c r="E80" i="8"/>
  <c r="E79" i="10" s="1"/>
  <c r="E42" i="23"/>
  <c r="F37" i="23"/>
  <c r="F101" i="12"/>
  <c r="F8" i="12" s="1"/>
  <c r="D69" i="15"/>
  <c r="B4" i="17"/>
  <c r="B9" i="17" s="1"/>
  <c r="D9" i="17"/>
  <c r="B89" i="5"/>
  <c r="B32" i="5" s="1"/>
  <c r="E10" i="20"/>
  <c r="B101" i="10"/>
  <c r="B36" i="6"/>
  <c r="B35" i="7"/>
  <c r="B103" i="7"/>
  <c r="B109" i="7" s="1"/>
  <c r="B101" i="12"/>
  <c r="F4" i="12" s="1"/>
  <c r="J4" i="24"/>
  <c r="B40" i="6"/>
  <c r="C6" i="20"/>
  <c r="B103" i="9"/>
  <c r="B109" i="9" s="1"/>
  <c r="B35" i="9"/>
  <c r="E10" i="16"/>
  <c r="B83" i="10" s="1"/>
  <c r="B84" i="6"/>
  <c r="B4" i="12"/>
  <c r="E5" i="12"/>
  <c r="B56" i="6"/>
  <c r="B10" i="13"/>
  <c r="C6" i="13" s="1"/>
  <c r="K144" i="15"/>
  <c r="J144" i="15"/>
  <c r="D136" i="15"/>
  <c r="C136" i="15"/>
  <c r="B136" i="15"/>
  <c r="E136" i="15" s="1"/>
  <c r="F4" i="15" s="1"/>
  <c r="E81" i="5"/>
  <c r="I97" i="15"/>
  <c r="F68" i="15"/>
  <c r="E50" i="3"/>
  <c r="B40" i="8"/>
  <c r="J97" i="15"/>
  <c r="N68" i="15"/>
  <c r="C50" i="3"/>
  <c r="G37" i="3"/>
  <c r="G39" i="3" s="1"/>
  <c r="G69" i="3"/>
  <c r="D32" i="23"/>
  <c r="E27" i="23"/>
  <c r="E38" i="23"/>
  <c r="D43" i="23"/>
  <c r="B10" i="14"/>
  <c r="C8" i="14" s="1"/>
  <c r="D5" i="14"/>
  <c r="H94" i="15"/>
  <c r="B70" i="15" s="1"/>
  <c r="I93" i="15"/>
  <c r="D10" i="16"/>
  <c r="B82" i="10" s="1"/>
  <c r="B28" i="10" s="1"/>
  <c r="B10" i="16"/>
  <c r="C7" i="16" s="1"/>
  <c r="B105" i="5"/>
  <c r="B111" i="5" s="1"/>
  <c r="B36" i="5"/>
  <c r="G64" i="3"/>
  <c r="D7" i="14"/>
  <c r="C7" i="14"/>
  <c r="I70" i="15"/>
  <c r="B85" i="5"/>
  <c r="E9" i="16"/>
  <c r="B8" i="12"/>
  <c r="B62" i="9"/>
  <c r="B64" i="9" s="1"/>
  <c r="B19" i="9" s="1"/>
  <c r="E53" i="3"/>
  <c r="B65" i="5"/>
  <c r="B20" i="5" s="1"/>
  <c r="H21" i="5"/>
  <c r="E25" i="19"/>
  <c r="D11" i="19"/>
  <c r="G100" i="12"/>
  <c r="G98" i="12"/>
  <c r="G99" i="12"/>
  <c r="G78" i="12"/>
  <c r="G193" i="12"/>
  <c r="B22" i="7"/>
  <c r="B74" i="7"/>
  <c r="D50" i="3"/>
  <c r="B64" i="8"/>
  <c r="B19" i="8" s="1"/>
  <c r="H20" i="8"/>
  <c r="B48" i="3"/>
  <c r="F10" i="16"/>
  <c r="B84" i="10" s="1"/>
  <c r="B85" i="6"/>
  <c r="E140" i="15"/>
  <c r="F8" i="15" s="1"/>
  <c r="B80" i="9" s="1"/>
  <c r="B28" i="9" s="1"/>
  <c r="D70" i="15"/>
  <c r="F98" i="15"/>
  <c r="K73" i="15"/>
  <c r="M68" i="15"/>
  <c r="M73" i="15" s="1"/>
  <c r="D111" i="24"/>
  <c r="E104" i="24"/>
  <c r="G74" i="15"/>
  <c r="B35" i="6"/>
  <c r="B79" i="15"/>
  <c r="H92" i="15" s="1"/>
  <c r="D68" i="15"/>
  <c r="C68" i="15"/>
  <c r="E92" i="15"/>
  <c r="E97" i="15" s="1"/>
  <c r="C101" i="24"/>
  <c r="D94" i="24"/>
  <c r="J93" i="15"/>
  <c r="I71" i="15"/>
  <c r="E214" i="12"/>
  <c r="F7" i="12" s="1"/>
  <c r="F10" i="12" s="1"/>
  <c r="F55" i="3"/>
  <c r="D65" i="3"/>
  <c r="D35" i="3" s="1"/>
  <c r="E23" i="7"/>
  <c r="G74" i="16"/>
  <c r="E35" i="3"/>
  <c r="C128" i="10"/>
  <c r="B134" i="10" s="1"/>
  <c r="B135" i="6"/>
  <c r="J68" i="12"/>
  <c r="K68" i="12" s="1"/>
  <c r="B56" i="9"/>
  <c r="E8" i="12"/>
  <c r="I8" i="12" s="1"/>
  <c r="C70" i="15"/>
  <c r="C81" i="15"/>
  <c r="H93" i="15" s="1"/>
  <c r="C100" i="4"/>
  <c r="K100" i="4" s="1"/>
  <c r="F134" i="4" s="1"/>
  <c r="E164" i="4" s="1"/>
  <c r="F5" i="4" s="1"/>
  <c r="B104" i="6"/>
  <c r="C6" i="14"/>
  <c r="D6" i="14"/>
  <c r="B7" i="12"/>
  <c r="I72" i="15"/>
  <c r="B80" i="6"/>
  <c r="F9" i="16"/>
  <c r="B86" i="5"/>
  <c r="E94" i="15"/>
  <c r="E98" i="15" s="1"/>
  <c r="H20" i="9"/>
  <c r="E91" i="24"/>
  <c r="F84" i="24"/>
  <c r="H84" i="20"/>
  <c r="K5" i="12"/>
  <c r="B67" i="6"/>
  <c r="I104" i="4"/>
  <c r="J104" i="4"/>
  <c r="H104" i="4"/>
  <c r="G104" i="4"/>
  <c r="F104" i="4"/>
  <c r="E104" i="4"/>
  <c r="B56" i="8"/>
  <c r="E7" i="12"/>
  <c r="I7" i="12" s="1"/>
  <c r="H74" i="15"/>
  <c r="E21" i="8"/>
  <c r="E61" i="3"/>
  <c r="E34" i="3" s="1"/>
  <c r="B27" i="6"/>
  <c r="B78" i="10"/>
  <c r="B26" i="10" s="1"/>
  <c r="B58" i="7"/>
  <c r="C87" i="15"/>
  <c r="H96" i="15" s="1"/>
  <c r="B72" i="15" s="1"/>
  <c r="D72" i="15"/>
  <c r="R72" i="15" s="1"/>
  <c r="E96" i="15"/>
  <c r="C72" i="15"/>
  <c r="Q72" i="15" s="1"/>
  <c r="B32" i="6"/>
  <c r="B88" i="10"/>
  <c r="B31" i="10" s="1"/>
  <c r="D10" i="17"/>
  <c r="B5" i="17"/>
  <c r="B88" i="6"/>
  <c r="B5" i="16"/>
  <c r="B83" i="6"/>
  <c r="B29" i="6" s="1"/>
  <c r="B60" i="10"/>
  <c r="B4" i="16"/>
  <c r="B9" i="16" s="1"/>
  <c r="D9" i="16"/>
  <c r="B84" i="5"/>
  <c r="B30" i="5" s="1"/>
  <c r="K69" i="15"/>
  <c r="D74" i="24"/>
  <c r="C81" i="24"/>
  <c r="G94" i="15"/>
  <c r="K83" i="15"/>
  <c r="J94" i="15" s="1"/>
  <c r="N70" i="15" s="1"/>
  <c r="O70" i="15" s="1"/>
  <c r="K70" i="15"/>
  <c r="M70" i="15" s="1"/>
  <c r="L70" i="15"/>
  <c r="B10" i="21"/>
  <c r="K5" i="21" s="1"/>
  <c r="K6" i="21" s="1"/>
  <c r="D5" i="21"/>
  <c r="B107" i="6"/>
  <c r="F5" i="21"/>
  <c r="F10" i="21" s="1"/>
  <c r="G200" i="12"/>
  <c r="D46" i="3"/>
  <c r="L69" i="15"/>
  <c r="L74" i="15" s="1"/>
  <c r="B53" i="3"/>
  <c r="G50" i="3"/>
  <c r="B11" i="19"/>
  <c r="B94" i="10" s="1"/>
  <c r="B33" i="10" s="1"/>
  <c r="B59" i="5"/>
  <c r="D24" i="3"/>
  <c r="I4" i="12"/>
  <c r="I9" i="12" s="1"/>
  <c r="E33" i="23"/>
  <c r="F28" i="23"/>
  <c r="B68" i="7"/>
  <c r="B25" i="7" s="1"/>
  <c r="H21" i="7"/>
  <c r="E10" i="15"/>
  <c r="B99" i="10"/>
  <c r="F47" i="3"/>
  <c r="B37" i="3"/>
  <c r="B39" i="3" s="1"/>
  <c r="B69" i="3"/>
  <c r="G93" i="15"/>
  <c r="J6" i="12"/>
  <c r="G6" i="12"/>
  <c r="B62" i="6"/>
  <c r="B64" i="6" s="1"/>
  <c r="B19" i="6" s="1"/>
  <c r="B5" i="12"/>
  <c r="B90" i="5"/>
  <c r="B33" i="5" s="1"/>
  <c r="F9" i="17"/>
  <c r="B6" i="16"/>
  <c r="B83" i="7"/>
  <c r="B29" i="7" s="1"/>
  <c r="E23" i="5"/>
  <c r="B63" i="3"/>
  <c r="B85" i="15"/>
  <c r="H95" i="15" s="1"/>
  <c r="B71" i="15" s="1"/>
  <c r="E95" i="15"/>
  <c r="D71" i="15"/>
  <c r="R71" i="15" s="1"/>
  <c r="C71" i="15"/>
  <c r="Q71" i="15" s="1"/>
  <c r="C69" i="15"/>
  <c r="F100" i="4" l="1"/>
  <c r="B134" i="4" s="1"/>
  <c r="A164" i="4" s="1"/>
  <c r="B5" i="4" s="1"/>
  <c r="G100" i="4"/>
  <c r="C134" i="4" s="1"/>
  <c r="B164" i="4" s="1"/>
  <c r="C5" i="4" s="1"/>
  <c r="F10" i="15"/>
  <c r="C5" i="14"/>
  <c r="H100" i="4"/>
  <c r="B35" i="10"/>
  <c r="I100" i="4"/>
  <c r="E72" i="15"/>
  <c r="S72" i="15" s="1"/>
  <c r="D8" i="15" s="1"/>
  <c r="B8" i="15" s="1"/>
  <c r="P72" i="15"/>
  <c r="L68" i="12"/>
  <c r="R70" i="15"/>
  <c r="B30" i="6"/>
  <c r="C56" i="3" s="1"/>
  <c r="J100" i="4"/>
  <c r="E134" i="4" s="1"/>
  <c r="D164" i="4" s="1"/>
  <c r="E5" i="4" s="1"/>
  <c r="B29" i="10"/>
  <c r="H98" i="15"/>
  <c r="B69" i="15"/>
  <c r="C46" i="3"/>
  <c r="B78" i="9"/>
  <c r="F46" i="3"/>
  <c r="F24" i="3"/>
  <c r="Q68" i="15"/>
  <c r="Q73" i="15" s="1"/>
  <c r="C73" i="15"/>
  <c r="G56" i="3"/>
  <c r="F42" i="23"/>
  <c r="G37" i="23"/>
  <c r="G42" i="23" s="1"/>
  <c r="B58" i="3"/>
  <c r="J5" i="12"/>
  <c r="B10" i="12"/>
  <c r="G5" i="12"/>
  <c r="G53" i="3"/>
  <c r="O68" i="15"/>
  <c r="O73" i="15" s="1"/>
  <c r="N73" i="15"/>
  <c r="C53" i="3"/>
  <c r="B68" i="15"/>
  <c r="H97" i="15"/>
  <c r="D73" i="15"/>
  <c r="R68" i="15"/>
  <c r="R73" i="15" s="1"/>
  <c r="E21" i="9"/>
  <c r="F61" i="3"/>
  <c r="F34" i="3" s="1"/>
  <c r="D48" i="3"/>
  <c r="E74" i="24"/>
  <c r="D81" i="24"/>
  <c r="G60" i="3"/>
  <c r="F9" i="12"/>
  <c r="B68" i="5"/>
  <c r="H22" i="5" s="1"/>
  <c r="K4" i="12"/>
  <c r="K9" i="12" s="1"/>
  <c r="G98" i="15"/>
  <c r="B61" i="10"/>
  <c r="H19" i="10" s="1"/>
  <c r="F104" i="24"/>
  <c r="E111" i="24"/>
  <c r="G7" i="12"/>
  <c r="J7" i="12"/>
  <c r="I98" i="15"/>
  <c r="F69" i="15"/>
  <c r="D61" i="3"/>
  <c r="D34" i="3" s="1"/>
  <c r="E21" i="7"/>
  <c r="E54" i="3"/>
  <c r="C62" i="3"/>
  <c r="D134" i="4"/>
  <c r="C164" i="4" s="1"/>
  <c r="D5" i="4" s="1"/>
  <c r="M69" i="15"/>
  <c r="M74" i="15" s="1"/>
  <c r="K74" i="15"/>
  <c r="E22" i="5"/>
  <c r="B61" i="3"/>
  <c r="B34" i="3" s="1"/>
  <c r="G101" i="12"/>
  <c r="B24" i="3"/>
  <c r="C10" i="14"/>
  <c r="F9" i="15"/>
  <c r="B81" i="5"/>
  <c r="B29" i="5" s="1"/>
  <c r="G62" i="3"/>
  <c r="C5" i="16"/>
  <c r="H20" i="6"/>
  <c r="F54" i="3"/>
  <c r="B46" i="3"/>
  <c r="D10" i="14"/>
  <c r="E19" i="7"/>
  <c r="B87" i="10"/>
  <c r="B30" i="10" s="1"/>
  <c r="B31" i="6"/>
  <c r="B57" i="3"/>
  <c r="G55" i="3"/>
  <c r="I68" i="15"/>
  <c r="I73" i="15" s="1"/>
  <c r="P68" i="15"/>
  <c r="P73" i="15" s="1"/>
  <c r="F73" i="15"/>
  <c r="Q69" i="15"/>
  <c r="Q74" i="15" s="1"/>
  <c r="C74" i="15"/>
  <c r="E21" i="6"/>
  <c r="C61" i="3"/>
  <c r="B39" i="10"/>
  <c r="B28" i="6"/>
  <c r="B79" i="10"/>
  <c r="B27" i="10" s="1"/>
  <c r="B55" i="3"/>
  <c r="E70" i="15"/>
  <c r="S70" i="15" s="1"/>
  <c r="D6" i="15" s="1"/>
  <c r="E71" i="15"/>
  <c r="S71" i="15" s="1"/>
  <c r="D7" i="15" s="1"/>
  <c r="B10" i="17"/>
  <c r="C5" i="17" s="1"/>
  <c r="B68" i="6"/>
  <c r="B25" i="6" s="1"/>
  <c r="H21" i="6"/>
  <c r="G8" i="12"/>
  <c r="J8" i="12"/>
  <c r="C7" i="13"/>
  <c r="C8" i="13"/>
  <c r="C10" i="20"/>
  <c r="D6" i="20" s="1"/>
  <c r="B22" i="8"/>
  <c r="B58" i="8"/>
  <c r="G58" i="3"/>
  <c r="F27" i="23"/>
  <c r="E32" i="23"/>
  <c r="P71" i="15"/>
  <c r="C5" i="13"/>
  <c r="C10" i="13" s="1"/>
  <c r="Q70" i="15"/>
  <c r="B55" i="10"/>
  <c r="B22" i="6"/>
  <c r="E19" i="6" s="1"/>
  <c r="B74" i="6"/>
  <c r="B58" i="6"/>
  <c r="D51" i="3"/>
  <c r="E46" i="3"/>
  <c r="E10" i="12"/>
  <c r="I5" i="12"/>
  <c r="I10" i="12" s="1"/>
  <c r="C8" i="16"/>
  <c r="C55" i="3"/>
  <c r="B34" i="10"/>
  <c r="B103" i="10"/>
  <c r="K7" i="12"/>
  <c r="B67" i="8"/>
  <c r="F38" i="23"/>
  <c r="E43" i="23"/>
  <c r="C58" i="3"/>
  <c r="D55" i="3"/>
  <c r="D25" i="3"/>
  <c r="B106" i="10"/>
  <c r="B108" i="10" s="1"/>
  <c r="B36" i="10" s="1"/>
  <c r="B109" i="6"/>
  <c r="B37" i="6" s="1"/>
  <c r="N69" i="15"/>
  <c r="J98" i="15"/>
  <c r="E24" i="3"/>
  <c r="B31" i="5"/>
  <c r="R69" i="15"/>
  <c r="D74" i="15"/>
  <c r="C6" i="16"/>
  <c r="D10" i="21"/>
  <c r="E5" i="21" s="1"/>
  <c r="F91" i="24"/>
  <c r="J84" i="24"/>
  <c r="J91" i="24" s="1"/>
  <c r="E94" i="24"/>
  <c r="D101" i="24"/>
  <c r="G28" i="23"/>
  <c r="F33" i="23"/>
  <c r="B22" i="9"/>
  <c r="B58" i="9"/>
  <c r="P70" i="15"/>
  <c r="J4" i="12"/>
  <c r="J9" i="12" s="1"/>
  <c r="G4" i="12"/>
  <c r="G9" i="12" s="1"/>
  <c r="B9" i="12"/>
  <c r="K8" i="12"/>
  <c r="B67" i="9"/>
  <c r="B74" i="9" s="1"/>
  <c r="K10" i="12" l="1"/>
  <c r="B66" i="10" s="1"/>
  <c r="R74" i="15"/>
  <c r="B110" i="6"/>
  <c r="B109" i="10"/>
  <c r="G24" i="3"/>
  <c r="B67" i="10"/>
  <c r="B24" i="10" s="1"/>
  <c r="H20" i="10"/>
  <c r="F48" i="3"/>
  <c r="D32" i="3"/>
  <c r="C25" i="3"/>
  <c r="C48" i="3"/>
  <c r="C32" i="3" s="1"/>
  <c r="G38" i="23"/>
  <c r="G43" i="23" s="1"/>
  <c r="F43" i="23"/>
  <c r="B7" i="15"/>
  <c r="B78" i="8"/>
  <c r="B63" i="10"/>
  <c r="B18" i="10" s="1"/>
  <c r="C57" i="3"/>
  <c r="B73" i="15"/>
  <c r="E68" i="15"/>
  <c r="G61" i="3"/>
  <c r="G34" i="3" s="1"/>
  <c r="E20" i="10"/>
  <c r="G57" i="3"/>
  <c r="B54" i="3"/>
  <c r="E101" i="24"/>
  <c r="F94" i="24"/>
  <c r="C6" i="17"/>
  <c r="C7" i="17"/>
  <c r="C8" i="17"/>
  <c r="B68" i="8"/>
  <c r="B25" i="8" s="1"/>
  <c r="H21" i="8"/>
  <c r="E21" i="10"/>
  <c r="G63" i="3"/>
  <c r="J10" i="12"/>
  <c r="G33" i="23"/>
  <c r="I69" i="15"/>
  <c r="I74" i="15" s="1"/>
  <c r="F74" i="15"/>
  <c r="P69" i="15"/>
  <c r="P74" i="15" s="1"/>
  <c r="C51" i="3"/>
  <c r="B6" i="24"/>
  <c r="B41" i="7"/>
  <c r="B117" i="7"/>
  <c r="B120" i="7" s="1"/>
  <c r="B21" i="10"/>
  <c r="B73" i="10"/>
  <c r="B57" i="10"/>
  <c r="B78" i="7"/>
  <c r="B6" i="15"/>
  <c r="B56" i="3"/>
  <c r="H21" i="9"/>
  <c r="B68" i="9"/>
  <c r="B25" i="9" s="1"/>
  <c r="C54" i="3"/>
  <c r="B95" i="9"/>
  <c r="B26" i="9"/>
  <c r="B74" i="8"/>
  <c r="O69" i="15"/>
  <c r="O74" i="15" s="1"/>
  <c r="N74" i="15"/>
  <c r="F74" i="24"/>
  <c r="E81" i="24"/>
  <c r="G10" i="12"/>
  <c r="H6" i="12" s="1"/>
  <c r="E48" i="3"/>
  <c r="D7" i="20"/>
  <c r="D8" i="20"/>
  <c r="D5" i="20"/>
  <c r="C24" i="3"/>
  <c r="B74" i="15"/>
  <c r="E69" i="15"/>
  <c r="F111" i="24"/>
  <c r="J104" i="24"/>
  <c r="J111" i="24" s="1"/>
  <c r="E8" i="21"/>
  <c r="E6" i="21"/>
  <c r="E10" i="21" s="1"/>
  <c r="E7" i="21"/>
  <c r="F32" i="23"/>
  <c r="G27" i="23"/>
  <c r="B69" i="5"/>
  <c r="B26" i="5" s="1"/>
  <c r="B75" i="5"/>
  <c r="G54" i="3"/>
  <c r="C63" i="3"/>
  <c r="C34" i="3" s="1"/>
  <c r="E22" i="6"/>
  <c r="C10" i="16"/>
  <c r="C10" i="17" l="1"/>
  <c r="D10" i="20"/>
  <c r="E25" i="3"/>
  <c r="B26" i="7"/>
  <c r="B95" i="7"/>
  <c r="B121" i="7" s="1"/>
  <c r="B123" i="7" s="1"/>
  <c r="H19" i="7"/>
  <c r="H5" i="12"/>
  <c r="B26" i="8"/>
  <c r="B95" i="8"/>
  <c r="B8" i="24"/>
  <c r="B41" i="9"/>
  <c r="B117" i="9"/>
  <c r="D6" i="24"/>
  <c r="S69" i="15"/>
  <c r="E74" i="15"/>
  <c r="F52" i="3"/>
  <c r="F33" i="3" s="1"/>
  <c r="E20" i="9"/>
  <c r="G25" i="3"/>
  <c r="E51" i="3"/>
  <c r="B4" i="23"/>
  <c r="G32" i="23"/>
  <c r="H7" i="12"/>
  <c r="F81" i="24"/>
  <c r="J74" i="24"/>
  <c r="J81" i="24" s="1"/>
  <c r="E24" i="7"/>
  <c r="D66" i="3"/>
  <c r="D36" i="3" s="1"/>
  <c r="J94" i="24"/>
  <c r="J101" i="24" s="1"/>
  <c r="F101" i="24"/>
  <c r="G46" i="3"/>
  <c r="E18" i="10"/>
  <c r="B5" i="23"/>
  <c r="B113" i="10"/>
  <c r="F25" i="3"/>
  <c r="G51" i="3"/>
  <c r="E19" i="8"/>
  <c r="B25" i="3"/>
  <c r="G48" i="3"/>
  <c r="H8" i="12"/>
  <c r="F51" i="3"/>
  <c r="F32" i="3"/>
  <c r="E19" i="9"/>
  <c r="B51" i="3"/>
  <c r="E20" i="5"/>
  <c r="S68" i="15"/>
  <c r="E73" i="15"/>
  <c r="B32" i="3" l="1"/>
  <c r="G32" i="3"/>
  <c r="S74" i="15"/>
  <c r="D5" i="15"/>
  <c r="B7" i="24"/>
  <c r="B41" i="8"/>
  <c r="B117" i="8"/>
  <c r="B120" i="9"/>
  <c r="H19" i="9"/>
  <c r="B121" i="9"/>
  <c r="B123" i="9" s="1"/>
  <c r="F66" i="3"/>
  <c r="F36" i="3" s="1"/>
  <c r="F38" i="3" s="1"/>
  <c r="F40" i="3" s="1"/>
  <c r="E24" i="9"/>
  <c r="E26" i="9" s="1"/>
  <c r="D8" i="24"/>
  <c r="E20" i="8"/>
  <c r="E52" i="3"/>
  <c r="E33" i="3" s="1"/>
  <c r="J5" i="24"/>
  <c r="J8" i="24" s="1"/>
  <c r="B5" i="24"/>
  <c r="B41" i="6"/>
  <c r="B118" i="6"/>
  <c r="H10" i="12"/>
  <c r="H22" i="7"/>
  <c r="I19" i="7" s="1"/>
  <c r="D23" i="3"/>
  <c r="D26" i="3" s="1"/>
  <c r="B15" i="3" s="1"/>
  <c r="E20" i="7"/>
  <c r="D52" i="3"/>
  <c r="B45" i="7"/>
  <c r="D4" i="23"/>
  <c r="B9" i="23"/>
  <c r="D9" i="23" s="1"/>
  <c r="B115" i="5"/>
  <c r="E32" i="3"/>
  <c r="S73" i="15"/>
  <c r="D4" i="15"/>
  <c r="B38" i="10"/>
  <c r="B114" i="10"/>
  <c r="B45" i="9"/>
  <c r="C41" i="9" s="1"/>
  <c r="D5" i="23"/>
  <c r="D10" i="23" s="1"/>
  <c r="B10" i="23"/>
  <c r="B114" i="6"/>
  <c r="F23" i="9" l="1"/>
  <c r="F25" i="9"/>
  <c r="F22" i="9"/>
  <c r="F21" i="9"/>
  <c r="F20" i="9"/>
  <c r="F19" i="9"/>
  <c r="E66" i="3"/>
  <c r="E36" i="3" s="1"/>
  <c r="E38" i="3" s="1"/>
  <c r="E40" i="3" s="1"/>
  <c r="E24" i="8"/>
  <c r="B45" i="8"/>
  <c r="C41" i="8" s="1"/>
  <c r="D10" i="15"/>
  <c r="B5" i="15"/>
  <c r="B78" i="6"/>
  <c r="B47" i="7"/>
  <c r="K19" i="7" s="1"/>
  <c r="L19" i="7" s="1"/>
  <c r="C23" i="7"/>
  <c r="C38" i="7"/>
  <c r="C30" i="7"/>
  <c r="C42" i="7"/>
  <c r="C31" i="7"/>
  <c r="C32" i="7"/>
  <c r="C34" i="7"/>
  <c r="C43" i="7"/>
  <c r="C21" i="7"/>
  <c r="C33" i="7"/>
  <c r="C37" i="7"/>
  <c r="C20" i="7"/>
  <c r="C28" i="7"/>
  <c r="C36" i="7"/>
  <c r="C27" i="7"/>
  <c r="C24" i="7"/>
  <c r="C19" i="7"/>
  <c r="C39" i="7"/>
  <c r="C40" i="7"/>
  <c r="C29" i="7"/>
  <c r="C22" i="7"/>
  <c r="C25" i="7"/>
  <c r="C35" i="7"/>
  <c r="C41" i="7"/>
  <c r="H22" i="9"/>
  <c r="I19" i="9" s="1"/>
  <c r="F23" i="3"/>
  <c r="F26" i="3" s="1"/>
  <c r="B17" i="3" s="1"/>
  <c r="B120" i="8"/>
  <c r="H19" i="8"/>
  <c r="C8" i="23"/>
  <c r="C6" i="23"/>
  <c r="C7" i="23"/>
  <c r="D7" i="24"/>
  <c r="I20" i="7"/>
  <c r="I21" i="7"/>
  <c r="B117" i="10"/>
  <c r="B120" i="10" s="1"/>
  <c r="B121" i="6"/>
  <c r="B40" i="10"/>
  <c r="E24" i="6"/>
  <c r="C66" i="3"/>
  <c r="C36" i="3" s="1"/>
  <c r="D5" i="24"/>
  <c r="B10" i="24"/>
  <c r="C7" i="24" s="1"/>
  <c r="B4" i="15"/>
  <c r="B9" i="15" s="1"/>
  <c r="B79" i="5"/>
  <c r="D9" i="15"/>
  <c r="B121" i="8"/>
  <c r="B123" i="8" s="1"/>
  <c r="E68" i="3"/>
  <c r="E70" i="3" s="1"/>
  <c r="B40" i="5"/>
  <c r="B116" i="5"/>
  <c r="F24" i="9"/>
  <c r="D33" i="3"/>
  <c r="D38" i="3" s="1"/>
  <c r="D40" i="3" s="1"/>
  <c r="D68" i="3"/>
  <c r="D70" i="3" s="1"/>
  <c r="C26" i="7"/>
  <c r="E26" i="7"/>
  <c r="B39" i="6"/>
  <c r="B115" i="6"/>
  <c r="D15" i="3"/>
  <c r="B6" i="3"/>
  <c r="C5" i="23"/>
  <c r="C10" i="23" s="1"/>
  <c r="C43" i="9"/>
  <c r="C31" i="9"/>
  <c r="B47" i="9"/>
  <c r="K19" i="9" s="1"/>
  <c r="L19" i="9" s="1"/>
  <c r="C32" i="9"/>
  <c r="C42" i="9"/>
  <c r="C30" i="9"/>
  <c r="C33" i="9"/>
  <c r="C38" i="9"/>
  <c r="C34" i="9"/>
  <c r="C39" i="9"/>
  <c r="C21" i="9"/>
  <c r="C23" i="9"/>
  <c r="C27" i="9"/>
  <c r="C36" i="9"/>
  <c r="C24" i="9"/>
  <c r="C37" i="9"/>
  <c r="C29" i="9"/>
  <c r="C20" i="9"/>
  <c r="C40" i="9"/>
  <c r="C28" i="9"/>
  <c r="C19" i="9"/>
  <c r="C35" i="9"/>
  <c r="C22" i="9"/>
  <c r="C26" i="9"/>
  <c r="C25" i="9"/>
  <c r="G65" i="3"/>
  <c r="G35" i="3" s="1"/>
  <c r="E22" i="10"/>
  <c r="F68" i="3"/>
  <c r="F70" i="3" s="1"/>
  <c r="D10" i="24" l="1"/>
  <c r="F26" i="9"/>
  <c r="I22" i="7"/>
  <c r="C65" i="3"/>
  <c r="C35" i="3" s="1"/>
  <c r="E23" i="6"/>
  <c r="B27" i="5"/>
  <c r="B97" i="5"/>
  <c r="H20" i="5"/>
  <c r="B122" i="6"/>
  <c r="B124" i="6" s="1"/>
  <c r="C45" i="7"/>
  <c r="F25" i="7"/>
  <c r="F22" i="7"/>
  <c r="F23" i="7"/>
  <c r="F21" i="7"/>
  <c r="F19" i="7"/>
  <c r="F24" i="7"/>
  <c r="E26" i="8"/>
  <c r="F24" i="8" s="1"/>
  <c r="F20" i="7"/>
  <c r="B123" i="5"/>
  <c r="B125" i="5" s="1"/>
  <c r="H22" i="8"/>
  <c r="E23" i="3"/>
  <c r="E26" i="3" s="1"/>
  <c r="B16" i="3" s="1"/>
  <c r="I20" i="9"/>
  <c r="I21" i="9"/>
  <c r="B77" i="10"/>
  <c r="B26" i="6"/>
  <c r="B96" i="6"/>
  <c r="H19" i="6"/>
  <c r="B10" i="15"/>
  <c r="C5" i="15" s="1"/>
  <c r="B65" i="3"/>
  <c r="B35" i="3" s="1"/>
  <c r="E24" i="5"/>
  <c r="D17" i="3"/>
  <c r="B8" i="3"/>
  <c r="C6" i="24"/>
  <c r="C8" i="24"/>
  <c r="C5" i="24"/>
  <c r="C45" i="9"/>
  <c r="G66" i="3"/>
  <c r="G36" i="3" s="1"/>
  <c r="E23" i="10"/>
  <c r="B47" i="8"/>
  <c r="K19" i="8" s="1"/>
  <c r="L19" i="8" s="1"/>
  <c r="C29" i="8"/>
  <c r="C42" i="8"/>
  <c r="C30" i="8"/>
  <c r="C31" i="8"/>
  <c r="C32" i="8"/>
  <c r="C43" i="8"/>
  <c r="C23" i="8"/>
  <c r="C21" i="8"/>
  <c r="C36" i="8"/>
  <c r="C39" i="8"/>
  <c r="C37" i="8"/>
  <c r="C38" i="8"/>
  <c r="C20" i="8"/>
  <c r="C34" i="8"/>
  <c r="C33" i="8"/>
  <c r="C27" i="8"/>
  <c r="C35" i="8"/>
  <c r="C24" i="8"/>
  <c r="C40" i="8"/>
  <c r="C28" i="8"/>
  <c r="C19" i="8"/>
  <c r="C22" i="8"/>
  <c r="C25" i="8"/>
  <c r="C26" i="8"/>
  <c r="C10" i="24" l="1"/>
  <c r="I22" i="9"/>
  <c r="F26" i="7"/>
  <c r="H22" i="6"/>
  <c r="I19" i="6" s="1"/>
  <c r="C23" i="3"/>
  <c r="C26" i="3" s="1"/>
  <c r="B14" i="3" s="1"/>
  <c r="F25" i="8"/>
  <c r="F23" i="8"/>
  <c r="F22" i="8"/>
  <c r="F21" i="8"/>
  <c r="F19" i="8"/>
  <c r="F20" i="8"/>
  <c r="C8" i="15"/>
  <c r="C6" i="15"/>
  <c r="C7" i="15"/>
  <c r="E20" i="6"/>
  <c r="C52" i="3"/>
  <c r="B45" i="6"/>
  <c r="B95" i="10"/>
  <c r="B121" i="10" s="1"/>
  <c r="B123" i="10" s="1"/>
  <c r="B25" i="10"/>
  <c r="H18" i="10"/>
  <c r="D16" i="3"/>
  <c r="B7" i="3"/>
  <c r="I20" i="8"/>
  <c r="I21" i="8"/>
  <c r="B23" i="3"/>
  <c r="B26" i="3" s="1"/>
  <c r="B13" i="3" s="1"/>
  <c r="H23" i="5"/>
  <c r="E21" i="5"/>
  <c r="B52" i="3"/>
  <c r="B46" i="5"/>
  <c r="C45" i="8"/>
  <c r="I19" i="8"/>
  <c r="C10" i="15" l="1"/>
  <c r="P21" i="5"/>
  <c r="I20" i="5"/>
  <c r="O21" i="5"/>
  <c r="N21" i="5"/>
  <c r="M21" i="5"/>
  <c r="I22" i="8"/>
  <c r="B47" i="6"/>
  <c r="K19" i="6" s="1"/>
  <c r="L19" i="6" s="1"/>
  <c r="C34" i="6"/>
  <c r="C42" i="6"/>
  <c r="C38" i="6"/>
  <c r="C43" i="6"/>
  <c r="C21" i="6"/>
  <c r="C20" i="6"/>
  <c r="C23" i="6"/>
  <c r="C33" i="6"/>
  <c r="C24" i="6"/>
  <c r="C40" i="6"/>
  <c r="C19" i="6"/>
  <c r="C35" i="6"/>
  <c r="C29" i="6"/>
  <c r="C32" i="6"/>
  <c r="C36" i="6"/>
  <c r="C27" i="6"/>
  <c r="C30" i="6"/>
  <c r="C28" i="6"/>
  <c r="C37" i="6"/>
  <c r="C22" i="6"/>
  <c r="C31" i="6"/>
  <c r="C25" i="6"/>
  <c r="C41" i="6"/>
  <c r="C39" i="6"/>
  <c r="E26" i="6"/>
  <c r="F26" i="8"/>
  <c r="B4" i="3"/>
  <c r="D13" i="3"/>
  <c r="B5" i="3"/>
  <c r="B18" i="3"/>
  <c r="D14" i="3"/>
  <c r="C33" i="3"/>
  <c r="C38" i="3" s="1"/>
  <c r="C40" i="3" s="1"/>
  <c r="C68" i="3"/>
  <c r="C70" i="3" s="1"/>
  <c r="C26" i="6"/>
  <c r="B48" i="5"/>
  <c r="K20" i="5" s="1"/>
  <c r="L20" i="5" s="1"/>
  <c r="C42" i="5"/>
  <c r="C41" i="5"/>
  <c r="C44" i="5"/>
  <c r="C43" i="5"/>
  <c r="C24" i="5"/>
  <c r="C34" i="5"/>
  <c r="C22" i="5"/>
  <c r="C25" i="5"/>
  <c r="C35" i="5"/>
  <c r="C21" i="5"/>
  <c r="C39" i="5"/>
  <c r="C37" i="5"/>
  <c r="C23" i="5"/>
  <c r="C38" i="5"/>
  <c r="C28" i="5"/>
  <c r="C33" i="5"/>
  <c r="C20" i="5"/>
  <c r="C30" i="5"/>
  <c r="C36" i="5"/>
  <c r="C32" i="5"/>
  <c r="C31" i="5"/>
  <c r="C29" i="5"/>
  <c r="C26" i="5"/>
  <c r="C40" i="5"/>
  <c r="B33" i="3"/>
  <c r="B38" i="3" s="1"/>
  <c r="B40" i="3" s="1"/>
  <c r="B68" i="3"/>
  <c r="B70" i="3" s="1"/>
  <c r="C27" i="5"/>
  <c r="E27" i="5"/>
  <c r="F21" i="5" s="1"/>
  <c r="I21" i="5"/>
  <c r="I22" i="5"/>
  <c r="I20" i="6"/>
  <c r="I21" i="6"/>
  <c r="C6" i="2"/>
  <c r="H21" i="10"/>
  <c r="I18" i="10" s="1"/>
  <c r="G23" i="3"/>
  <c r="G26" i="3" s="1"/>
  <c r="E19" i="10"/>
  <c r="G52" i="3"/>
  <c r="B44" i="10"/>
  <c r="F6" i="2" l="1"/>
  <c r="H6" i="2" s="1"/>
  <c r="I6" i="2" s="1"/>
  <c r="J6" i="2" s="1"/>
  <c r="K6" i="2"/>
  <c r="I23" i="5"/>
  <c r="I22" i="6"/>
  <c r="C46" i="5"/>
  <c r="F25" i="6"/>
  <c r="F19" i="6"/>
  <c r="F21" i="6"/>
  <c r="F22" i="6"/>
  <c r="F24" i="6"/>
  <c r="F23" i="6"/>
  <c r="F20" i="6"/>
  <c r="B46" i="10"/>
  <c r="K18" i="10" s="1"/>
  <c r="L18" i="10" s="1"/>
  <c r="C32" i="10"/>
  <c r="C42" i="10"/>
  <c r="C22" i="10"/>
  <c r="C41" i="10"/>
  <c r="C19" i="10"/>
  <c r="C23" i="10"/>
  <c r="C20" i="10"/>
  <c r="C37" i="10"/>
  <c r="C33" i="10"/>
  <c r="C31" i="10"/>
  <c r="C28" i="10"/>
  <c r="C29" i="10"/>
  <c r="C35" i="10"/>
  <c r="C26" i="10"/>
  <c r="C34" i="10"/>
  <c r="C27" i="10"/>
  <c r="C36" i="10"/>
  <c r="C30" i="10"/>
  <c r="C39" i="10"/>
  <c r="C24" i="10"/>
  <c r="C21" i="10"/>
  <c r="C18" i="10"/>
  <c r="C38" i="10"/>
  <c r="C40" i="10"/>
  <c r="G33" i="3"/>
  <c r="G38" i="3" s="1"/>
  <c r="G40" i="3" s="1"/>
  <c r="G68" i="3"/>
  <c r="G70" i="3" s="1"/>
  <c r="C25" i="10"/>
  <c r="C45" i="6"/>
  <c r="E25" i="10"/>
  <c r="B9" i="3"/>
  <c r="C5" i="3" s="1"/>
  <c r="D18" i="3"/>
  <c r="I19" i="10"/>
  <c r="I20" i="10"/>
  <c r="F25" i="5"/>
  <c r="F26" i="5"/>
  <c r="F23" i="5"/>
  <c r="F22" i="5"/>
  <c r="F20" i="5"/>
  <c r="F24" i="5"/>
  <c r="I21" i="10" l="1"/>
  <c r="F24" i="10"/>
  <c r="F21" i="10"/>
  <c r="F20" i="10"/>
  <c r="F18" i="10"/>
  <c r="F22" i="10"/>
  <c r="F23" i="10"/>
  <c r="F19" i="10"/>
  <c r="C6" i="3"/>
  <c r="C8" i="3"/>
  <c r="C7" i="3"/>
  <c r="C44" i="10"/>
  <c r="F27" i="5"/>
  <c r="F26" i="6"/>
  <c r="C9" i="3" l="1"/>
  <c r="F25" i="1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West, Sandra</author>
  </authors>
  <commentList>
    <comment ref="F23" authorId="0" shapeId="0" xr:uid="{DA7489CE-A14D-455B-A3C1-6B301DF34EB3}">
      <text>
        <r>
          <rPr>
            <b/>
            <sz val="9"/>
            <color indexed="81"/>
            <rFont val="Tahoma"/>
            <charset val="1"/>
          </rPr>
          <t>West, Sandra:</t>
        </r>
        <r>
          <rPr>
            <sz val="9"/>
            <color indexed="81"/>
            <rFont val="Tahoma"/>
            <charset val="1"/>
          </rPr>
          <t xml:space="preserve">
Source: https://hdr.undp.org/data-center/specific-country-data#/countries/USA</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Jenna</author>
  </authors>
  <commentList>
    <comment ref="A12" authorId="0" shapeId="0" xr:uid="{C2A7200F-519B-432A-A352-60C1811B5828}">
      <text>
        <r>
          <rPr>
            <b/>
            <sz val="9"/>
            <color indexed="81"/>
            <rFont val="Tahoma"/>
            <charset val="1"/>
          </rPr>
          <t>Jenna:</t>
        </r>
        <r>
          <rPr>
            <sz val="9"/>
            <color indexed="81"/>
            <rFont val="Tahoma"/>
            <charset val="1"/>
          </rPr>
          <t xml:space="preserve">
Sandoval County does not have LFG.</t>
        </r>
      </text>
    </comment>
  </commentList>
</comments>
</file>

<file path=xl/sharedStrings.xml><?xml version="1.0" encoding="utf-8"?>
<sst xmlns="http://schemas.openxmlformats.org/spreadsheetml/2006/main" count="5727" uniqueCount="1702">
  <si>
    <t>Workbook Introduction and Guide</t>
  </si>
  <si>
    <t>Legend for Data Entry and Inventory Year</t>
  </si>
  <si>
    <t>Legend for data entry</t>
  </si>
  <si>
    <t>Inventory Year</t>
  </si>
  <si>
    <t>Do not edit; these cells contain formulas.</t>
  </si>
  <si>
    <t>These cells may need to be updated depending on if a protocol releases new emission factors, large infrastructure changes, etc. These cell are not updated regularly. </t>
  </si>
  <si>
    <t>These cells require manual entry each year since data updates on an annual basis. </t>
  </si>
  <si>
    <t>Lead Coordinator and Lead Consultant</t>
  </si>
  <si>
    <t xml:space="preserve"> Lead Coordinator</t>
  </si>
  <si>
    <t>Lead Consultant</t>
  </si>
  <si>
    <t>Entity</t>
  </si>
  <si>
    <t>Albuquerque MSA</t>
  </si>
  <si>
    <t xml:space="preserve"> Company</t>
  </si>
  <si>
    <t xml:space="preserve">Lotus Engineering and Sustainability </t>
  </si>
  <si>
    <t xml:space="preserve"> Name</t>
  </si>
  <si>
    <t>Alice Main</t>
  </si>
  <si>
    <t>Rachel Meier</t>
  </si>
  <si>
    <t xml:space="preserve"> Title</t>
  </si>
  <si>
    <t>Climate Pollution Reduction Grant Manager</t>
  </si>
  <si>
    <t>Senior Associate</t>
  </si>
  <si>
    <t xml:space="preserve">Telephone </t>
  </si>
  <si>
    <t>505-868-0841</t>
  </si>
  <si>
    <t xml:space="preserve"> Telephone</t>
  </si>
  <si>
    <t>612.558.6296</t>
  </si>
  <si>
    <t xml:space="preserve"> Email</t>
  </si>
  <si>
    <t>ahmain@cabq.gov</t>
  </si>
  <si>
    <t>rachel@lotussustainability.com</t>
  </si>
  <si>
    <t>Inventory Management Spreadsheet Contents</t>
  </si>
  <si>
    <t>Source/Activity</t>
  </si>
  <si>
    <t xml:space="preserve">Worksheet </t>
  </si>
  <si>
    <t>Description</t>
  </si>
  <si>
    <t>Background</t>
  </si>
  <si>
    <t>Various</t>
  </si>
  <si>
    <t>Workbook Intro</t>
  </si>
  <si>
    <t>Overview of Workbook</t>
  </si>
  <si>
    <t>SBT</t>
  </si>
  <si>
    <t>Calculates the MSA's science based target.</t>
  </si>
  <si>
    <t xml:space="preserve">Visual Summary </t>
  </si>
  <si>
    <t xml:space="preserve">Provides summary information, including charts and graphs, for the inventory. </t>
  </si>
  <si>
    <t>Co-Pollutants</t>
  </si>
  <si>
    <t xml:space="preserve">Calculates the MSA's total criteria air pollutants related to GHG emitting activities. </t>
  </si>
  <si>
    <t>Summary Tabs</t>
  </si>
  <si>
    <t>City of Albuquerque Data</t>
  </si>
  <si>
    <t>City of Albuquerque 2023 GHG Inventory</t>
  </si>
  <si>
    <t>Bernalillo County Data</t>
  </si>
  <si>
    <t>Bernalillo County 2023 GHG Inventory</t>
  </si>
  <si>
    <t>Sandoval County Data</t>
  </si>
  <si>
    <t>Sandoval County 2023 GHG Inventory</t>
  </si>
  <si>
    <t>Torrance County Data</t>
  </si>
  <si>
    <t>Torrance County 2023 GHG Inventory</t>
  </si>
  <si>
    <t>Valencia County Data</t>
  </si>
  <si>
    <t>Valencia County 2023 GHG Inventory</t>
  </si>
  <si>
    <t>Albuquerque MSA Data</t>
  </si>
  <si>
    <t>Albuquerque MSA 2023 GHG Inventory</t>
  </si>
  <si>
    <t xml:space="preserve">Data Inputs: Supporting Data </t>
  </si>
  <si>
    <t>Conversion Factors and GWPs</t>
  </si>
  <si>
    <t>Provides standard conversion factors and the most recent 100-year Global Warming Potential values.</t>
  </si>
  <si>
    <t>Data Inputs: Source Data</t>
  </si>
  <si>
    <t>Source and Activity Data</t>
  </si>
  <si>
    <t>Energy Data</t>
  </si>
  <si>
    <t>Energy data for Albuquerque MSA.</t>
  </si>
  <si>
    <t>Renewable Energy Data</t>
  </si>
  <si>
    <t>Renewable energy data for Albuquerque MSA.</t>
  </si>
  <si>
    <t>Fugitive Emission Data</t>
  </si>
  <si>
    <t>Fugitive emission data for Albuquerque MSA.</t>
  </si>
  <si>
    <t>On-Road Data</t>
  </si>
  <si>
    <t>On-road transportation data for Albuquerque MSA.</t>
  </si>
  <si>
    <t>Transit Data</t>
  </si>
  <si>
    <t>Transit data for Albuquerque MSA.</t>
  </si>
  <si>
    <t>Aviation Data</t>
  </si>
  <si>
    <t>Aviation data for Albuquerque MSA</t>
  </si>
  <si>
    <t>Off-Road Data</t>
  </si>
  <si>
    <t>Off-road transportation data for Albuquerque MSA.</t>
  </si>
  <si>
    <t>Railways Data</t>
  </si>
  <si>
    <t>Railways data for Albuquerque MSA.</t>
  </si>
  <si>
    <t>Waste Recycling Data</t>
  </si>
  <si>
    <t>Waste, recycling, and composting data for Albuquerque MSA.</t>
  </si>
  <si>
    <t>Wastewater Data</t>
  </si>
  <si>
    <t>Wastewater data for Albuquerque MSA.</t>
  </si>
  <si>
    <t>Industrial Processes Data</t>
  </si>
  <si>
    <t>Industrial processes data for Albuquerque MSA.</t>
  </si>
  <si>
    <t>Refrigerants Data</t>
  </si>
  <si>
    <t>Refrigerant leakage data for Albuquerque MSA.</t>
  </si>
  <si>
    <t>AFOLU Data</t>
  </si>
  <si>
    <t>Agricultural data for Albuquerque MSA.</t>
  </si>
  <si>
    <t>Trees!A1</t>
  </si>
  <si>
    <t>Carbon sequestration data for Albuquerque MSA.</t>
  </si>
  <si>
    <t>Science-based Target</t>
  </si>
  <si>
    <t>Calculations</t>
  </si>
  <si>
    <t>* The Albuquerque MSA Science-based Target is calculated using the methodology created by the One Planet City Challenge and World Wildlife Fund for Nature. See this link for methodology: https://sciencebasedtargetsnetwork.org/wp-content/uploads/2021/04/SBTs-for-cities-guide.pdf</t>
  </si>
  <si>
    <t>* HDSI and global average was collected from the HDSI report dated March 2024.</t>
  </si>
  <si>
    <t>City</t>
  </si>
  <si>
    <t>Scope 1 &amp; 2 emissions</t>
  </si>
  <si>
    <t>Per Capita SBT</t>
  </si>
  <si>
    <t>Baseline Year Population</t>
  </si>
  <si>
    <t>Baseline Per Capita Emissions</t>
  </si>
  <si>
    <t>2030 Population</t>
  </si>
  <si>
    <t>2030 Per Capita Emissions Target</t>
  </si>
  <si>
    <t>Absolute Emissions Target</t>
  </si>
  <si>
    <t>ABQ MSA</t>
  </si>
  <si>
    <t>Visual Summary</t>
  </si>
  <si>
    <t>Total Emissions</t>
  </si>
  <si>
    <t>Municipality</t>
  </si>
  <si>
    <r>
      <rPr>
        <b/>
        <sz val="12"/>
        <color theme="0"/>
        <rFont val="Poppins"/>
      </rPr>
      <t>Emissions (mt CO</t>
    </r>
    <r>
      <rPr>
        <b/>
        <vertAlign val="subscript"/>
        <sz val="12"/>
        <color theme="0"/>
        <rFont val="Poppins"/>
      </rPr>
      <t>2</t>
    </r>
    <r>
      <rPr>
        <b/>
        <sz val="12"/>
        <color theme="0"/>
        <rFont val="Poppins"/>
      </rPr>
      <t>e)</t>
    </r>
  </si>
  <si>
    <t>Percent of Total MSA Emissions</t>
  </si>
  <si>
    <t>City of Albuquerque</t>
  </si>
  <si>
    <t>N/A</t>
  </si>
  <si>
    <t>Bernalillo</t>
  </si>
  <si>
    <t>Sandoval</t>
  </si>
  <si>
    <t>Torrance</t>
  </si>
  <si>
    <t>Valencia</t>
  </si>
  <si>
    <t>Total MSA</t>
  </si>
  <si>
    <t>Emissions per Capita</t>
  </si>
  <si>
    <r>
      <rPr>
        <b/>
        <sz val="12"/>
        <color theme="0"/>
        <rFont val="Poppins"/>
      </rPr>
      <t>Emissions (mt CO</t>
    </r>
    <r>
      <rPr>
        <b/>
        <vertAlign val="subscript"/>
        <sz val="12"/>
        <color theme="0"/>
        <rFont val="Poppins"/>
      </rPr>
      <t>2</t>
    </r>
    <r>
      <rPr>
        <b/>
        <sz val="12"/>
        <color theme="0"/>
        <rFont val="Poppins"/>
      </rPr>
      <t>e)</t>
    </r>
  </si>
  <si>
    <t>Resident Population</t>
  </si>
  <si>
    <r>
      <rPr>
        <b/>
        <sz val="12"/>
        <color theme="0"/>
        <rFont val="Poppins"/>
      </rPr>
      <t>Emissions per Capita (mt CO</t>
    </r>
    <r>
      <rPr>
        <b/>
        <vertAlign val="subscript"/>
        <sz val="12"/>
        <color theme="0"/>
        <rFont val="Poppins"/>
      </rPr>
      <t>2</t>
    </r>
    <r>
      <rPr>
        <b/>
        <sz val="12"/>
        <color theme="0"/>
        <rFont val="Poppins"/>
      </rPr>
      <t>e)</t>
    </r>
  </si>
  <si>
    <t>Emissions by Scope</t>
  </si>
  <si>
    <t>Scope</t>
  </si>
  <si>
    <t>Emissions (mt CO2e)</t>
  </si>
  <si>
    <t>Total</t>
  </si>
  <si>
    <t>Scope 1</t>
  </si>
  <si>
    <t>Scope 2</t>
  </si>
  <si>
    <t>Scope 3</t>
  </si>
  <si>
    <t>Net Emissions</t>
  </si>
  <si>
    <t>Emissions by Sector</t>
  </si>
  <si>
    <t>Sector</t>
  </si>
  <si>
    <t>Bernalillo County</t>
  </si>
  <si>
    <t>Sandoval County</t>
  </si>
  <si>
    <t>Torrance County</t>
  </si>
  <si>
    <t>Valencia County</t>
  </si>
  <si>
    <t>Building Energy</t>
  </si>
  <si>
    <t>Transportation</t>
  </si>
  <si>
    <t xml:space="preserve">Waste </t>
  </si>
  <si>
    <t>Industrial Processes &amp; Product Use</t>
  </si>
  <si>
    <t>Agriculture</t>
  </si>
  <si>
    <t>Trees and Forests</t>
  </si>
  <si>
    <t>Total Removals</t>
  </si>
  <si>
    <t>Emissions by Source</t>
  </si>
  <si>
    <t>Source</t>
  </si>
  <si>
    <t>Electricity</t>
  </si>
  <si>
    <t>Natural Gas</t>
  </si>
  <si>
    <t>Propane</t>
  </si>
  <si>
    <t>Wood</t>
  </si>
  <si>
    <t>Natural Gas Fugitive Emissions</t>
  </si>
  <si>
    <t>Transmission &amp; Distribution Losses</t>
  </si>
  <si>
    <t>On-Road Fossil Fuel</t>
  </si>
  <si>
    <t>Electric Vehicles</t>
  </si>
  <si>
    <t>Electric Vehicles T&amp;D Losses</t>
  </si>
  <si>
    <t>Public Transit</t>
  </si>
  <si>
    <t>Public Transit Electricity Use</t>
  </si>
  <si>
    <t>Local Aviation</t>
  </si>
  <si>
    <t>Itinerant Aviation</t>
  </si>
  <si>
    <t>Off-Road Vehicles</t>
  </si>
  <si>
    <t>Railways</t>
  </si>
  <si>
    <t>Landfilled Waste</t>
  </si>
  <si>
    <t>Compost</t>
  </si>
  <si>
    <t>Wastewater</t>
  </si>
  <si>
    <t>IPPU</t>
  </si>
  <si>
    <t>Refrigerant Leaks</t>
  </si>
  <si>
    <t>AFOLU</t>
  </si>
  <si>
    <t>Criteria Air Pollutant Emissions</t>
  </si>
  <si>
    <t>Criteria Air Pollutant Emissions Summary</t>
  </si>
  <si>
    <t>Community</t>
  </si>
  <si>
    <t>Criteria Air Pollutant Emissions (metric tons)</t>
  </si>
  <si>
    <r>
      <rPr>
        <b/>
        <sz val="12"/>
        <color theme="0"/>
        <rFont val="Poppins"/>
      </rPr>
      <t>NO</t>
    </r>
    <r>
      <rPr>
        <b/>
        <vertAlign val="subscript"/>
        <sz val="12"/>
        <color theme="0"/>
        <rFont val="Poppins"/>
      </rPr>
      <t>x</t>
    </r>
  </si>
  <si>
    <t>CO</t>
  </si>
  <si>
    <t>PM</t>
  </si>
  <si>
    <r>
      <rPr>
        <b/>
        <sz val="12"/>
        <color theme="0"/>
        <rFont val="Poppins"/>
      </rPr>
      <t>SO</t>
    </r>
    <r>
      <rPr>
        <b/>
        <vertAlign val="subscript"/>
        <sz val="12"/>
        <color theme="0"/>
        <rFont val="Poppins"/>
      </rPr>
      <t>2</t>
    </r>
  </si>
  <si>
    <t>VOC</t>
  </si>
  <si>
    <t>Notes and Assumptions</t>
  </si>
  <si>
    <t>1) Criteria Air Pollutants include NOx, CO, PM, SO2, and VOC. The values reported here do not reflect a full inventory of criteria pollutant emissions within the Albuquerque MSA. This tab calculates air pollutant emissions from activities already included in the GHG inventory. Other sources of criteria air pollutants that do not also produce GHG emissions are not included.</t>
  </si>
  <si>
    <t>2) Criteria Air Pollutant emission factors for all stationary emission sources taken from the EPA AP-42 report: https://www.epa.gov/air-emissions-factors-and-quantification/ap-42-compilation-air-emissions-factors.</t>
  </si>
  <si>
    <t>3) Pollutant emissions from electricity directly depend on the mix of fuel used to generate electricity. Individual utilities do not generally report emission factors for criteria air pollutants outside of CO2 emission factors. EPA eGRID estimates emission rates for individual eGRID subregions. NOx, PM, and SO2 emission factors for the EPA subregion AZNM used to estimate emissions from electricity generation for each municipality. 2002 data is the most recent year of data. No electricity emission factors for CO are available from eGRID.</t>
  </si>
  <si>
    <t>4) Criteria air pollutant emissions were calculated for all stationary energy, on-road transportation, transit, and aviation activity. Criteria air pollutant emissions from off-road transportation, railways, waste and industrial processes were taken from the 2020 National Emissions Inventory (NEI). NEI reports data at the county level so values reflect emissions estimated within the ABQ MSA.</t>
  </si>
  <si>
    <t>5) NOx and CO emissions from natural gas depend on the type of furnace utilized. Lotus assumed that most residential boilers in the region are small, uncontrolled boilers and have less than 100 MMBtu/hr Heat Input. An average Nox emission rate for commercial natural gas equipment was provided by a summary document of the EPA-42 stationary combustion chapter.</t>
  </si>
  <si>
    <t>6) PM emission factors for on-road transportation are PM10 and PM2.5 produced from exhaust and tire and brake wear. Some emission factors are for total PM and are not split between PM2.5 and PM10, therefore the sum of both PM2.5 and PM10 are used in totals for PM.</t>
  </si>
  <si>
    <t>7)Lotus utilized CA Air Resources Board estimates of New Clean Fuels for Urban Transit Vehicles for CNG transit.</t>
  </si>
  <si>
    <t>8) Criteria air pollutant emissions for jet fuel only calculated for the fuel burned during landing and take off cycles. All other pollutant emissions from jet fuel occur in the mixing layer of the atmosphere and do not impact health on the ground.</t>
  </si>
  <si>
    <t>9) It is assumed 10% of jet fuel consumption is from LTO cycles. The remainder is from cruising and is not included in calculations. Assumption taken from: https://www.ipcc-nggip.iges.or.jp/public/gp/bgp/2_5_Aircraft.pdf.</t>
  </si>
  <si>
    <t>10) Emission factors for jet fuel are different for domestic and international travel. LTOs for ABQ's domestic and international flights were taken from https://www.transtats.bts.gov/Data_Elements.aspx?Data=1 (download for ABQ on file). For the Double Eagle airport, LTOs were provided and added to the LTOs from ABQ. LTOs are split between jet fuel and avgas. Jet fuel emissions can be calcualted from LTOs but the fuel used per LTO had to be calcualted for AvGas. The tons of fuel used were estimated based on the IPCC source lsited in the note above.</t>
  </si>
  <si>
    <t>11) Off-road and railway emissions were taken from the 2020 National Emissions Inventory. Off-road vehicle emissions from the airport are calculated separately as fuel use data could be collected. Biodiesel fuel is assumed to emit the same level of CAPs as regular diesel.</t>
  </si>
  <si>
    <t xml:space="preserve">12) Waste emissions were taken from the 2020 National Emissions Inventory. Emissions from compost and wastewater are included at the county level in the NEI. Compost and wastewater activities primarily produce VOCs and ammonia. Ammonia emission factors are not available for most sources and are not included in this summary. Landfills are considered point sources. Emissions from all landfills in the MSA were summed. </t>
  </si>
  <si>
    <t xml:space="preserve">13) Industrial process emissions are included in the NEI as point sources. Each facility included on the industrial processes tab was searched within NEI and pollutants reported if available. New Mexico Natural Gas Company and ENPG Belen Compressor Station are natural gas processing/distribution facilities. Primary emissions are methane leakage but a small amount of NOx is reported. </t>
  </si>
  <si>
    <t>Emission Factors</t>
  </si>
  <si>
    <t>Stationary Energy</t>
  </si>
  <si>
    <t>Electricity (lb/MWh)</t>
  </si>
  <si>
    <r>
      <rPr>
        <b/>
        <sz val="12"/>
        <color theme="0"/>
        <rFont val="Poppins"/>
      </rPr>
      <t>No</t>
    </r>
    <r>
      <rPr>
        <b/>
        <vertAlign val="subscript"/>
        <sz val="12"/>
        <color theme="0"/>
        <rFont val="Poppins"/>
      </rPr>
      <t>x</t>
    </r>
  </si>
  <si>
    <r>
      <rPr>
        <b/>
        <sz val="12"/>
        <color theme="0"/>
        <rFont val="Poppins"/>
      </rPr>
      <t>SO</t>
    </r>
    <r>
      <rPr>
        <b/>
        <vertAlign val="subscript"/>
        <sz val="12"/>
        <color theme="0"/>
        <rFont val="Poppins"/>
      </rPr>
      <t>2</t>
    </r>
  </si>
  <si>
    <t>Not Available</t>
  </si>
  <si>
    <t>EPA eGRID 2022 AZNM region: https://www.epa.gov/system/files/documents/2024-01/egrid2022_summary_tables.pdf
EPA eGRID provides Nox and SO2 emission factors. PM emission factors are taken from a 2020 study which estimated PM factors for each eGRID region: https://www.epa.gov/sites/default/files/2020-07/documents/draft_egrid_pm_white_paper_7-20-20.pdf  
EPA eGRID has provided draft estimates of VOCs associated with electricity generation at the subregion level. https://www.epa.gov/system/files/documents/2024-06/egrid2021-draft-voc-emissions.xlsx
 No emission factors for CO  are available from eGRID.</t>
  </si>
  <si>
    <r>
      <rPr>
        <b/>
        <sz val="12"/>
        <color theme="0"/>
        <rFont val="Poppins"/>
      </rPr>
      <t>Natural Gas (lb/10</t>
    </r>
    <r>
      <rPr>
        <b/>
        <vertAlign val="superscript"/>
        <sz val="12"/>
        <color theme="0"/>
        <rFont val="Poppins"/>
      </rPr>
      <t>6</t>
    </r>
    <r>
      <rPr>
        <b/>
        <sz val="12"/>
        <color theme="0"/>
        <rFont val="Poppins"/>
      </rPr>
      <t xml:space="preserve"> scf)</t>
    </r>
  </si>
  <si>
    <t>Commercial</t>
  </si>
  <si>
    <r>
      <rPr>
        <b/>
        <sz val="12"/>
        <color theme="0"/>
        <rFont val="Poppins"/>
      </rPr>
      <t>NO</t>
    </r>
    <r>
      <rPr>
        <b/>
        <vertAlign val="subscript"/>
        <sz val="12"/>
        <color theme="0"/>
        <rFont val="Poppins"/>
      </rPr>
      <t>x</t>
    </r>
  </si>
  <si>
    <r>
      <rPr>
        <b/>
        <sz val="12"/>
        <color theme="0"/>
        <rFont val="Poppins"/>
      </rPr>
      <t>SO</t>
    </r>
    <r>
      <rPr>
        <b/>
        <vertAlign val="subscript"/>
        <sz val="12"/>
        <color theme="0"/>
        <rFont val="Poppins"/>
      </rPr>
      <t>2</t>
    </r>
  </si>
  <si>
    <t xml:space="preserve">NOx emission factor taken from the EPA WebFIRE search tool for external commercial/institutional natural gas combustion.: https://cfpub.epa.gov/webfire/SearchEmissionFactor/detail.cfm?fid=11243
EPA AP-42 Chapter 1.4: https://www.epa.gov/air-emissions-factors-and-quantification/ap-42-fifth-edition-volume-i-chapter-1-external-0
Commercial Nox emissions vary by equipment type and age. </t>
  </si>
  <si>
    <t>Residential</t>
  </si>
  <si>
    <r>
      <rPr>
        <b/>
        <sz val="12"/>
        <color theme="0"/>
        <rFont val="Poppins"/>
      </rPr>
      <t>NO</t>
    </r>
    <r>
      <rPr>
        <b/>
        <vertAlign val="subscript"/>
        <sz val="12"/>
        <color theme="0"/>
        <rFont val="Poppins"/>
      </rPr>
      <t>x</t>
    </r>
  </si>
  <si>
    <r>
      <rPr>
        <b/>
        <sz val="12"/>
        <color theme="0"/>
        <rFont val="Poppins"/>
      </rPr>
      <t>SO</t>
    </r>
    <r>
      <rPr>
        <b/>
        <vertAlign val="subscript"/>
        <sz val="12"/>
        <color theme="0"/>
        <rFont val="Poppins"/>
      </rPr>
      <t>2</t>
    </r>
  </si>
  <si>
    <t>EPA AP-42 Chapter 1.4: https://www.epa.gov/air-emissions-factors-and-quantification/ap-42-fifth-edition-volume-i-chapter-1-external-0</t>
  </si>
  <si>
    <r>
      <rPr>
        <b/>
        <sz val="12"/>
        <color theme="0"/>
        <rFont val="Poppins"/>
      </rPr>
      <t>Propane (lb/10</t>
    </r>
    <r>
      <rPr>
        <b/>
        <vertAlign val="superscript"/>
        <sz val="12"/>
        <color theme="0"/>
        <rFont val="Poppins"/>
      </rPr>
      <t>3</t>
    </r>
    <r>
      <rPr>
        <b/>
        <sz val="12"/>
        <color theme="0"/>
        <rFont val="Poppins"/>
      </rPr>
      <t xml:space="preserve"> gal)</t>
    </r>
  </si>
  <si>
    <r>
      <rPr>
        <b/>
        <sz val="12"/>
        <color theme="0"/>
        <rFont val="Poppins"/>
      </rPr>
      <t>NO</t>
    </r>
    <r>
      <rPr>
        <b/>
        <vertAlign val="subscript"/>
        <sz val="12"/>
        <color theme="0"/>
        <rFont val="Poppins"/>
      </rPr>
      <t>x</t>
    </r>
  </si>
  <si>
    <r>
      <rPr>
        <b/>
        <sz val="12"/>
        <color theme="0"/>
        <rFont val="Poppins"/>
      </rPr>
      <t>SO</t>
    </r>
    <r>
      <rPr>
        <b/>
        <vertAlign val="subscript"/>
        <sz val="12"/>
        <color theme="0"/>
        <rFont val="Poppins"/>
      </rPr>
      <t>2</t>
    </r>
  </si>
  <si>
    <t>EPA Report AP 42, 5th Edition Chapter 1.5: https://www.epa.gov/sites/default/files/2020-09/documents/1.5_liquefied_petroleum_gas_combustion.pdf 
The SO2 emission factor for sulfur dioxide is dependent on the sulfur content of propane. Current standards for propane are 254 ppm of S or 0.0254%. The EPA SO2 emission factor is multiplied by this percent to get the actual emission factor of SO2 for propane.
No VOC emission factor was available for propane.</t>
  </si>
  <si>
    <r>
      <rPr>
        <b/>
        <sz val="12"/>
        <color theme="0"/>
        <rFont val="Poppins"/>
      </rPr>
      <t>Stationary Diesel (lb/10</t>
    </r>
    <r>
      <rPr>
        <b/>
        <vertAlign val="superscript"/>
        <sz val="12"/>
        <color theme="0"/>
        <rFont val="Poppins"/>
      </rPr>
      <t>3</t>
    </r>
    <r>
      <rPr>
        <b/>
        <sz val="12"/>
        <color theme="0"/>
        <rFont val="Poppins"/>
      </rPr>
      <t xml:space="preserve"> gal)</t>
    </r>
  </si>
  <si>
    <r>
      <rPr>
        <b/>
        <sz val="12"/>
        <color theme="0"/>
        <rFont val="Poppins"/>
      </rPr>
      <t>NO</t>
    </r>
    <r>
      <rPr>
        <b/>
        <vertAlign val="subscript"/>
        <sz val="12"/>
        <color theme="0"/>
        <rFont val="Poppins"/>
      </rPr>
      <t>x</t>
    </r>
  </si>
  <si>
    <r>
      <rPr>
        <b/>
        <sz val="12"/>
        <color theme="0"/>
        <rFont val="Poppins"/>
      </rPr>
      <t>SO</t>
    </r>
    <r>
      <rPr>
        <b/>
        <vertAlign val="subscript"/>
        <sz val="12"/>
        <color theme="0"/>
        <rFont val="Poppins"/>
      </rPr>
      <t>2</t>
    </r>
  </si>
  <si>
    <t>EPA Report AP 42, 5th Edition Chapter 1.3: https://www.epa.gov/sites/default/files/2020-09/documents/1.3_fuel_oil_combustion.pdf
The SO2 emission factor is dependent on the quantity of sulfur in the diesel fuel. An assumed percentage of 0.0015% is used. This percentage represents the sulfur content of ultra-low sulfur fuel, which is required by the EPA's 2014 standards: https://www.epa.gov/diesel-fuel-standards/diesel-fuel-standards-and-rulemakings#:~:text=Beginning%20in%202006%2C%20EPA%20began,diesel%20fuel%20to%2015%20ppm.
No VOC emission factor was available for stationary diesel.</t>
  </si>
  <si>
    <t>Wood (lb/ton)</t>
  </si>
  <si>
    <r>
      <rPr>
        <b/>
        <sz val="12"/>
        <color theme="0"/>
        <rFont val="Poppins"/>
      </rPr>
      <t>NO</t>
    </r>
    <r>
      <rPr>
        <b/>
        <vertAlign val="subscript"/>
        <sz val="12"/>
        <color theme="0"/>
        <rFont val="Poppins"/>
      </rPr>
      <t>x</t>
    </r>
  </si>
  <si>
    <r>
      <rPr>
        <b/>
        <sz val="12"/>
        <color theme="0"/>
        <rFont val="Poppins"/>
      </rPr>
      <t>SO</t>
    </r>
    <r>
      <rPr>
        <b/>
        <vertAlign val="subscript"/>
        <sz val="12"/>
        <color theme="0"/>
        <rFont val="Poppins"/>
      </rPr>
      <t>2</t>
    </r>
  </si>
  <si>
    <t>EPA Report AP 42, 5th Edition Chapter 1.10: https://www.epa.gov/sites/default/files/2020-09/documents/1.10_residential_wood_stoves.pdf
Emission factors for conventional residential wood stoves. It was assumed that most residences with wood stoves did not have emission control technologies for wood stoves.</t>
  </si>
  <si>
    <t>On-Road Gasoline Vehicles (g/mile)</t>
  </si>
  <si>
    <t>Vehicle Type</t>
  </si>
  <si>
    <r>
      <rPr>
        <b/>
        <sz val="12"/>
        <color theme="0"/>
        <rFont val="Poppins"/>
      </rPr>
      <t>NO</t>
    </r>
    <r>
      <rPr>
        <b/>
        <vertAlign val="subscript"/>
        <sz val="12"/>
        <color theme="0"/>
        <rFont val="Poppins"/>
      </rPr>
      <t>x</t>
    </r>
  </si>
  <si>
    <r>
      <rPr>
        <b/>
        <sz val="12"/>
        <color theme="0"/>
        <rFont val="Poppins"/>
      </rPr>
      <t>PM</t>
    </r>
    <r>
      <rPr>
        <b/>
        <vertAlign val="subscript"/>
        <sz val="12"/>
        <color theme="0"/>
        <rFont val="Poppins"/>
      </rPr>
      <t>2.5</t>
    </r>
  </si>
  <si>
    <r>
      <rPr>
        <b/>
        <sz val="12"/>
        <color theme="0"/>
        <rFont val="Poppins"/>
      </rPr>
      <t>PM</t>
    </r>
    <r>
      <rPr>
        <b/>
        <vertAlign val="subscript"/>
        <sz val="12"/>
        <color theme="0"/>
        <rFont val="Poppins"/>
      </rPr>
      <t>10</t>
    </r>
  </si>
  <si>
    <r>
      <rPr>
        <b/>
        <sz val="12"/>
        <color theme="0"/>
        <rFont val="Poppins"/>
      </rPr>
      <t>SO</t>
    </r>
    <r>
      <rPr>
        <b/>
        <vertAlign val="subscript"/>
        <sz val="12"/>
        <color theme="0"/>
        <rFont val="Poppins"/>
      </rPr>
      <t>2</t>
    </r>
  </si>
  <si>
    <t>Passenger Vehicle</t>
  </si>
  <si>
    <t xml:space="preserve">Emission factors taken from the following reports from Argonne National Laboratory: 
MOVES3 Vehicle Operation Emission Factors
Updated Emission Factors of Air Pollutants from Vehicle Operations in GREET Using MOVES
Emission factors are provided by vehicle model year. Model year 2010 is used as the average age of vehicles in New Mexico is ~12 years.
</t>
  </si>
  <si>
    <t>Light Truck</t>
  </si>
  <si>
    <t>Bus</t>
  </si>
  <si>
    <t>Single Unit Truck</t>
  </si>
  <si>
    <t>Motorcycle</t>
  </si>
  <si>
    <t>On-Road Diesel Vehicles (g/mile)</t>
  </si>
  <si>
    <r>
      <rPr>
        <b/>
        <sz val="12"/>
        <color theme="0"/>
        <rFont val="Poppins"/>
      </rPr>
      <t>NO</t>
    </r>
    <r>
      <rPr>
        <b/>
        <vertAlign val="subscript"/>
        <sz val="12"/>
        <color theme="0"/>
        <rFont val="Poppins"/>
      </rPr>
      <t>x</t>
    </r>
  </si>
  <si>
    <r>
      <rPr>
        <b/>
        <sz val="12"/>
        <color theme="0"/>
        <rFont val="Poppins"/>
      </rPr>
      <t>PM</t>
    </r>
    <r>
      <rPr>
        <b/>
        <vertAlign val="subscript"/>
        <sz val="12"/>
        <color theme="0"/>
        <rFont val="Poppins"/>
      </rPr>
      <t>2.5</t>
    </r>
  </si>
  <si>
    <r>
      <rPr>
        <b/>
        <sz val="12"/>
        <color theme="0"/>
        <rFont val="Poppins"/>
      </rPr>
      <t>PM</t>
    </r>
    <r>
      <rPr>
        <b/>
        <vertAlign val="subscript"/>
        <sz val="12"/>
        <color theme="0"/>
        <rFont val="Poppins"/>
      </rPr>
      <t>10</t>
    </r>
  </si>
  <si>
    <r>
      <rPr>
        <b/>
        <sz val="12"/>
        <color theme="0"/>
        <rFont val="Poppins"/>
      </rPr>
      <t>SO</t>
    </r>
    <r>
      <rPr>
        <b/>
        <vertAlign val="subscript"/>
        <sz val="12"/>
        <color theme="0"/>
        <rFont val="Poppins"/>
      </rPr>
      <t>2</t>
    </r>
  </si>
  <si>
    <t>Emission factors taken from the following reports from Argonne National Laboratory: 
MOVES3 Vehicle Operation Emission Factors
Updated Emission Factors of Air Pollutants from Vehicle Operations in GREET Using MOVES
Emission factors are provided by vehicle model year. Model year 2010 is used as the average age of vehicles in New Mexico is ~12 years.</t>
  </si>
  <si>
    <t>Combination Unit Truck</t>
  </si>
  <si>
    <t>Compressed Natural Gas (kg/MMBtu)</t>
  </si>
  <si>
    <r>
      <rPr>
        <b/>
        <sz val="12"/>
        <color theme="0"/>
        <rFont val="Poppins"/>
      </rPr>
      <t>NO</t>
    </r>
    <r>
      <rPr>
        <b/>
        <vertAlign val="subscript"/>
        <sz val="12"/>
        <color theme="0"/>
        <rFont val="Poppins"/>
      </rPr>
      <t>x</t>
    </r>
  </si>
  <si>
    <r>
      <rPr>
        <b/>
        <sz val="12"/>
        <color theme="0"/>
        <rFont val="Poppins"/>
      </rPr>
      <t>PM</t>
    </r>
    <r>
      <rPr>
        <b/>
        <vertAlign val="subscript"/>
        <sz val="12"/>
        <color theme="0"/>
        <rFont val="Poppins"/>
      </rPr>
      <t>2.5</t>
    </r>
  </si>
  <si>
    <r>
      <rPr>
        <b/>
        <sz val="12"/>
        <color theme="0"/>
        <rFont val="Poppins"/>
      </rPr>
      <t>PM</t>
    </r>
    <r>
      <rPr>
        <b/>
        <vertAlign val="subscript"/>
        <sz val="12"/>
        <color theme="0"/>
        <rFont val="Poppins"/>
      </rPr>
      <t>10</t>
    </r>
  </si>
  <si>
    <r>
      <rPr>
        <b/>
        <sz val="12"/>
        <color theme="0"/>
        <rFont val="Poppins"/>
      </rPr>
      <t>SO</t>
    </r>
    <r>
      <rPr>
        <b/>
        <vertAlign val="subscript"/>
        <sz val="12"/>
        <color theme="0"/>
        <rFont val="Poppins"/>
      </rPr>
      <t>2</t>
    </r>
  </si>
  <si>
    <t>Buses</t>
  </si>
  <si>
    <t>CNG Bus emission factors taken from estimates of CA Air Resources Board.  Assumes New Cleaner Vehicle Purchase (not retrofit).  The emissions factors are bases on typical CNG vehicles. https://ww2.arb.ca.gov/sites/default/files/classic/stcd/CMAQ%20EFs/Cost%20Effectiveness%20Tables%202022_final%20%28revised%29.pdf Table 5 - After Project New Cleaner Vehicle Purchase.  Assumed 2018-2202 MY for Urban Transit Buses.</t>
  </si>
  <si>
    <t>Aviation Gasoline (kg/ton of fuel)</t>
  </si>
  <si>
    <r>
      <rPr>
        <b/>
        <sz val="12"/>
        <color theme="0"/>
        <rFont val="Poppins"/>
      </rPr>
      <t>NO</t>
    </r>
    <r>
      <rPr>
        <b/>
        <vertAlign val="subscript"/>
        <sz val="12"/>
        <color theme="0"/>
        <rFont val="Poppins"/>
      </rPr>
      <t>x</t>
    </r>
  </si>
  <si>
    <r>
      <rPr>
        <b/>
        <sz val="12"/>
        <color theme="0"/>
        <rFont val="Poppins"/>
      </rPr>
      <t>SO</t>
    </r>
    <r>
      <rPr>
        <b/>
        <vertAlign val="subscript"/>
        <sz val="12"/>
        <color theme="0"/>
        <rFont val="Poppins"/>
      </rPr>
      <t>2</t>
    </r>
  </si>
  <si>
    <t>European Environment Agency Air Pollutant Emissions Inventory Guidebook 2019 emission factor database: https://www.eea.europa.eu/publications/emep-eea-guidebook-2019/emission-factors-database</t>
  </si>
  <si>
    <t>Jet Fuel (kg/LTO)</t>
  </si>
  <si>
    <t>Flight Type</t>
  </si>
  <si>
    <t>Fuel Consumption (kg)</t>
  </si>
  <si>
    <r>
      <rPr>
        <b/>
        <sz val="12"/>
        <color theme="0"/>
        <rFont val="Poppins"/>
      </rPr>
      <t>NO</t>
    </r>
    <r>
      <rPr>
        <b/>
        <vertAlign val="subscript"/>
        <sz val="12"/>
        <color theme="0"/>
        <rFont val="Poppins"/>
      </rPr>
      <t>x</t>
    </r>
  </si>
  <si>
    <r>
      <rPr>
        <b/>
        <sz val="12"/>
        <color theme="0"/>
        <rFont val="Poppins"/>
      </rPr>
      <t>SO</t>
    </r>
    <r>
      <rPr>
        <b/>
        <vertAlign val="subscript"/>
        <sz val="12"/>
        <color theme="0"/>
        <rFont val="Poppins"/>
      </rPr>
      <t>2</t>
    </r>
  </si>
  <si>
    <t>Domestic</t>
  </si>
  <si>
    <t>Emission factors for an average aged fleet were used for both domestic and international emission factors https://www.ipcc-nggip.iges.or.jp/public/gp/bgp/2_5_Aircraft.pdf</t>
  </si>
  <si>
    <t>International</t>
  </si>
  <si>
    <t>Aviation Assumptions</t>
  </si>
  <si>
    <t>Category</t>
  </si>
  <si>
    <t>Value</t>
  </si>
  <si>
    <t>Share of fuel used in LTO</t>
  </si>
  <si>
    <t>https://www.ipcc-nggip.iges.or.jp/public/gp/bgp/2_5_Aircraft.pdf</t>
  </si>
  <si>
    <t>Data Calculations</t>
  </si>
  <si>
    <t>Electricity Consumption (kWh)</t>
  </si>
  <si>
    <r>
      <rPr>
        <b/>
        <sz val="12"/>
        <color theme="0"/>
        <rFont val="Poppins"/>
      </rPr>
      <t>NO</t>
    </r>
    <r>
      <rPr>
        <b/>
        <vertAlign val="subscript"/>
        <sz val="12"/>
        <color theme="0"/>
        <rFont val="Poppins"/>
      </rPr>
      <t>x</t>
    </r>
  </si>
  <si>
    <r>
      <rPr>
        <b/>
        <sz val="12"/>
        <color theme="0"/>
        <rFont val="Poppins"/>
      </rPr>
      <t>SO</t>
    </r>
    <r>
      <rPr>
        <b/>
        <vertAlign val="subscript"/>
        <sz val="12"/>
        <color theme="0"/>
        <rFont val="Poppins"/>
      </rPr>
      <t>2</t>
    </r>
  </si>
  <si>
    <t>NA</t>
  </si>
  <si>
    <t>Natural Gas Consumption (th)</t>
  </si>
  <si>
    <r>
      <rPr>
        <b/>
        <sz val="12"/>
        <color theme="0"/>
        <rFont val="Poppins"/>
      </rPr>
      <t>NO</t>
    </r>
    <r>
      <rPr>
        <b/>
        <vertAlign val="subscript"/>
        <sz val="12"/>
        <color theme="0"/>
        <rFont val="Poppins"/>
      </rPr>
      <t>x</t>
    </r>
  </si>
  <si>
    <r>
      <rPr>
        <b/>
        <sz val="12"/>
        <color theme="0"/>
        <rFont val="Poppins"/>
      </rPr>
      <t>SO</t>
    </r>
    <r>
      <rPr>
        <b/>
        <vertAlign val="subscript"/>
        <sz val="12"/>
        <color theme="0"/>
        <rFont val="Poppins"/>
      </rPr>
      <t>2</t>
    </r>
  </si>
  <si>
    <t>Commercial and Industrial</t>
  </si>
  <si>
    <t>Propane Consumption (gal)</t>
  </si>
  <si>
    <r>
      <rPr>
        <b/>
        <sz val="12"/>
        <color theme="0"/>
        <rFont val="Poppins"/>
      </rPr>
      <t>NO</t>
    </r>
    <r>
      <rPr>
        <b/>
        <vertAlign val="subscript"/>
        <sz val="12"/>
        <color theme="0"/>
        <rFont val="Poppins"/>
      </rPr>
      <t>x</t>
    </r>
  </si>
  <si>
    <r>
      <rPr>
        <b/>
        <sz val="12"/>
        <color theme="0"/>
        <rFont val="Poppins"/>
      </rPr>
      <t>SO</t>
    </r>
    <r>
      <rPr>
        <b/>
        <vertAlign val="subscript"/>
        <sz val="12"/>
        <color theme="0"/>
        <rFont val="Poppins"/>
      </rPr>
      <t>2</t>
    </r>
  </si>
  <si>
    <t>Stationary Diesel</t>
  </si>
  <si>
    <t>Stationary Diesel Consumption (gal)</t>
  </si>
  <si>
    <r>
      <rPr>
        <b/>
        <sz val="12"/>
        <color theme="0"/>
        <rFont val="Poppins"/>
      </rPr>
      <t>NO</t>
    </r>
    <r>
      <rPr>
        <b/>
        <vertAlign val="subscript"/>
        <sz val="12"/>
        <color theme="0"/>
        <rFont val="Poppins"/>
      </rPr>
      <t>x</t>
    </r>
  </si>
  <si>
    <r>
      <rPr>
        <b/>
        <sz val="12"/>
        <color theme="0"/>
        <rFont val="Poppins"/>
      </rPr>
      <t>SO</t>
    </r>
    <r>
      <rPr>
        <b/>
        <vertAlign val="subscript"/>
        <sz val="12"/>
        <color theme="0"/>
        <rFont val="Poppins"/>
      </rPr>
      <t>2</t>
    </r>
  </si>
  <si>
    <t>Wood Energy Consumption (MMBtu)</t>
  </si>
  <si>
    <t>Tons of Wood Consumed</t>
  </si>
  <si>
    <r>
      <rPr>
        <b/>
        <sz val="12"/>
        <color theme="0"/>
        <rFont val="Poppins"/>
      </rPr>
      <t>NO</t>
    </r>
    <r>
      <rPr>
        <b/>
        <vertAlign val="subscript"/>
        <sz val="12"/>
        <color theme="0"/>
        <rFont val="Poppins"/>
      </rPr>
      <t>x</t>
    </r>
  </si>
  <si>
    <r>
      <rPr>
        <b/>
        <sz val="12"/>
        <color theme="0"/>
        <rFont val="Poppins"/>
      </rPr>
      <t>SO</t>
    </r>
    <r>
      <rPr>
        <b/>
        <vertAlign val="subscript"/>
        <sz val="12"/>
        <color theme="0"/>
        <rFont val="Poppins"/>
      </rPr>
      <t>2</t>
    </r>
  </si>
  <si>
    <t>Total Stationary Energy Criteria Air Pollutant Emissions</t>
  </si>
  <si>
    <t>Gasoline Vehicles</t>
  </si>
  <si>
    <t>Passenger Vehicle VMT</t>
  </si>
  <si>
    <t>Light Truck VMT</t>
  </si>
  <si>
    <t>Heavy Truck VMT</t>
  </si>
  <si>
    <t>Motorcycle VMT</t>
  </si>
  <si>
    <r>
      <rPr>
        <b/>
        <sz val="12"/>
        <color theme="0"/>
        <rFont val="Poppins"/>
      </rPr>
      <t>NO</t>
    </r>
    <r>
      <rPr>
        <b/>
        <vertAlign val="subscript"/>
        <sz val="12"/>
        <color theme="0"/>
        <rFont val="Poppins"/>
      </rPr>
      <t>x</t>
    </r>
  </si>
  <si>
    <r>
      <rPr>
        <b/>
        <sz val="12"/>
        <color theme="0"/>
        <rFont val="Poppins"/>
      </rPr>
      <t>PM</t>
    </r>
    <r>
      <rPr>
        <b/>
        <vertAlign val="subscript"/>
        <sz val="12"/>
        <color theme="0"/>
        <rFont val="Poppins"/>
      </rPr>
      <t>2.5</t>
    </r>
  </si>
  <si>
    <r>
      <rPr>
        <b/>
        <sz val="12"/>
        <color theme="0"/>
        <rFont val="Poppins"/>
      </rPr>
      <t>PM</t>
    </r>
    <r>
      <rPr>
        <b/>
        <vertAlign val="subscript"/>
        <sz val="12"/>
        <color theme="0"/>
        <rFont val="Poppins"/>
      </rPr>
      <t>10</t>
    </r>
  </si>
  <si>
    <r>
      <rPr>
        <b/>
        <sz val="12"/>
        <color theme="0"/>
        <rFont val="Poppins"/>
      </rPr>
      <t>SO</t>
    </r>
    <r>
      <rPr>
        <b/>
        <vertAlign val="subscript"/>
        <sz val="12"/>
        <color theme="0"/>
        <rFont val="Poppins"/>
      </rPr>
      <t>2</t>
    </r>
  </si>
  <si>
    <t>Diesel Vehicles</t>
  </si>
  <si>
    <r>
      <rPr>
        <b/>
        <sz val="12"/>
        <color theme="0"/>
        <rFont val="Poppins"/>
      </rPr>
      <t>NO</t>
    </r>
    <r>
      <rPr>
        <b/>
        <vertAlign val="subscript"/>
        <sz val="12"/>
        <color theme="0"/>
        <rFont val="Poppins"/>
      </rPr>
      <t>x</t>
    </r>
  </si>
  <si>
    <r>
      <rPr>
        <b/>
        <sz val="12"/>
        <color theme="0"/>
        <rFont val="Poppins"/>
      </rPr>
      <t>PM</t>
    </r>
    <r>
      <rPr>
        <b/>
        <vertAlign val="subscript"/>
        <sz val="12"/>
        <color theme="0"/>
        <rFont val="Poppins"/>
      </rPr>
      <t>2.5</t>
    </r>
  </si>
  <si>
    <r>
      <rPr>
        <b/>
        <sz val="12"/>
        <color theme="0"/>
        <rFont val="Poppins"/>
      </rPr>
      <t>PM</t>
    </r>
    <r>
      <rPr>
        <b/>
        <vertAlign val="subscript"/>
        <sz val="12"/>
        <color theme="0"/>
        <rFont val="Poppins"/>
      </rPr>
      <t>10</t>
    </r>
  </si>
  <si>
    <r>
      <rPr>
        <b/>
        <sz val="12"/>
        <color theme="0"/>
        <rFont val="Poppins"/>
      </rPr>
      <t>SO</t>
    </r>
    <r>
      <rPr>
        <b/>
        <vertAlign val="subscript"/>
        <sz val="12"/>
        <color theme="0"/>
        <rFont val="Poppins"/>
      </rPr>
      <t>2</t>
    </r>
  </si>
  <si>
    <t>Electric Vehicle Electricity Consumption (kWh)</t>
  </si>
  <si>
    <r>
      <rPr>
        <b/>
        <sz val="12"/>
        <color theme="0"/>
        <rFont val="Poppins"/>
      </rPr>
      <t>NO</t>
    </r>
    <r>
      <rPr>
        <b/>
        <vertAlign val="subscript"/>
        <sz val="12"/>
        <color theme="0"/>
        <rFont val="Poppins"/>
      </rPr>
      <t>x</t>
    </r>
  </si>
  <si>
    <r>
      <rPr>
        <b/>
        <sz val="12"/>
        <color theme="0"/>
        <rFont val="Poppins"/>
      </rPr>
      <t>SO</t>
    </r>
    <r>
      <rPr>
        <b/>
        <vertAlign val="subscript"/>
        <sz val="12"/>
        <color theme="0"/>
        <rFont val="Poppins"/>
      </rPr>
      <t>2</t>
    </r>
  </si>
  <si>
    <t>Transit</t>
  </si>
  <si>
    <t>Gasoline Bus VMT</t>
  </si>
  <si>
    <t>Diesel Bus VMT</t>
  </si>
  <si>
    <t>CNG Bus  fue scf</t>
  </si>
  <si>
    <t>Electric Bus kWh</t>
  </si>
  <si>
    <r>
      <rPr>
        <b/>
        <sz val="12"/>
        <color theme="0"/>
        <rFont val="Poppins"/>
      </rPr>
      <t>NO</t>
    </r>
    <r>
      <rPr>
        <b/>
        <vertAlign val="subscript"/>
        <sz val="12"/>
        <color theme="0"/>
        <rFont val="Poppins"/>
      </rPr>
      <t>x</t>
    </r>
  </si>
  <si>
    <r>
      <rPr>
        <b/>
        <sz val="12"/>
        <color theme="0"/>
        <rFont val="Poppins"/>
      </rPr>
      <t>SO</t>
    </r>
    <r>
      <rPr>
        <b/>
        <vertAlign val="subscript"/>
        <sz val="12"/>
        <color theme="0"/>
        <rFont val="Poppins"/>
      </rPr>
      <t>2</t>
    </r>
  </si>
  <si>
    <t>Aviation</t>
  </si>
  <si>
    <t>Fuel Type</t>
  </si>
  <si>
    <t xml:space="preserve"> Domestic LTOs </t>
  </si>
  <si>
    <t>International LTOs</t>
  </si>
  <si>
    <t>Fuel Consumption (ton)</t>
  </si>
  <si>
    <r>
      <rPr>
        <b/>
        <sz val="12"/>
        <color theme="0"/>
        <rFont val="Poppins"/>
      </rPr>
      <t>NO</t>
    </r>
    <r>
      <rPr>
        <b/>
        <vertAlign val="subscript"/>
        <sz val="12"/>
        <color theme="0"/>
        <rFont val="Poppins"/>
      </rPr>
      <t>x</t>
    </r>
  </si>
  <si>
    <r>
      <rPr>
        <b/>
        <sz val="12"/>
        <color theme="0"/>
        <rFont val="Poppins"/>
      </rPr>
      <t>SO</t>
    </r>
    <r>
      <rPr>
        <b/>
        <vertAlign val="subscript"/>
        <sz val="12"/>
        <color theme="0"/>
        <rFont val="Poppins"/>
      </rPr>
      <t>2</t>
    </r>
  </si>
  <si>
    <t>Jet Fuel</t>
  </si>
  <si>
    <t>AvGas</t>
  </si>
  <si>
    <t xml:space="preserve">Off-Road </t>
  </si>
  <si>
    <t>Community-wide</t>
  </si>
  <si>
    <r>
      <rPr>
        <b/>
        <sz val="12"/>
        <color theme="0"/>
        <rFont val="Poppins"/>
      </rPr>
      <t>NO</t>
    </r>
    <r>
      <rPr>
        <b/>
        <vertAlign val="subscript"/>
        <sz val="12"/>
        <color theme="0"/>
        <rFont val="Poppins"/>
      </rPr>
      <t>x</t>
    </r>
  </si>
  <si>
    <r>
      <rPr>
        <b/>
        <sz val="12"/>
        <color theme="0"/>
        <rFont val="Poppins"/>
      </rPr>
      <t>PM</t>
    </r>
    <r>
      <rPr>
        <b/>
        <vertAlign val="subscript"/>
        <sz val="12"/>
        <color theme="0"/>
        <rFont val="Poppins"/>
      </rPr>
      <t>2.5</t>
    </r>
  </si>
  <si>
    <r>
      <rPr>
        <b/>
        <sz val="12"/>
        <color theme="0"/>
        <rFont val="Poppins"/>
      </rPr>
      <t>PM</t>
    </r>
    <r>
      <rPr>
        <b/>
        <vertAlign val="subscript"/>
        <sz val="12"/>
        <color theme="0"/>
        <rFont val="Poppins"/>
      </rPr>
      <t>10</t>
    </r>
  </si>
  <si>
    <r>
      <rPr>
        <b/>
        <sz val="12"/>
        <color theme="0"/>
        <rFont val="Poppins"/>
      </rPr>
      <t>SO</t>
    </r>
    <r>
      <rPr>
        <b/>
        <vertAlign val="subscript"/>
        <sz val="12"/>
        <color theme="0"/>
        <rFont val="Poppins"/>
      </rPr>
      <t>2</t>
    </r>
  </si>
  <si>
    <t>Albuquerque International Sunport</t>
  </si>
  <si>
    <t>Gasoline consumption (gal)</t>
  </si>
  <si>
    <t>Biodesel consumption (gal)</t>
  </si>
  <si>
    <r>
      <rPr>
        <b/>
        <sz val="12"/>
        <color theme="0"/>
        <rFont val="Poppins"/>
      </rPr>
      <t>NO</t>
    </r>
    <r>
      <rPr>
        <b/>
        <vertAlign val="subscript"/>
        <sz val="12"/>
        <color theme="0"/>
        <rFont val="Poppins"/>
      </rPr>
      <t>x</t>
    </r>
  </si>
  <si>
    <r>
      <rPr>
        <b/>
        <sz val="12"/>
        <color theme="0"/>
        <rFont val="Poppins"/>
      </rPr>
      <t>PM</t>
    </r>
    <r>
      <rPr>
        <b/>
        <vertAlign val="subscript"/>
        <sz val="12"/>
        <color theme="0"/>
        <rFont val="Poppins"/>
      </rPr>
      <t>2.5</t>
    </r>
  </si>
  <si>
    <r>
      <rPr>
        <b/>
        <sz val="12"/>
        <color theme="0"/>
        <rFont val="Poppins"/>
      </rPr>
      <t>PM</t>
    </r>
    <r>
      <rPr>
        <b/>
        <vertAlign val="subscript"/>
        <sz val="12"/>
        <color theme="0"/>
        <rFont val="Poppins"/>
      </rPr>
      <t>10</t>
    </r>
  </si>
  <si>
    <r>
      <rPr>
        <b/>
        <sz val="12"/>
        <color theme="0"/>
        <rFont val="Poppins"/>
      </rPr>
      <t>SO</t>
    </r>
    <r>
      <rPr>
        <b/>
        <vertAlign val="subscript"/>
        <sz val="12"/>
        <color theme="0"/>
        <rFont val="Poppins"/>
      </rPr>
      <t>2</t>
    </r>
  </si>
  <si>
    <r>
      <rPr>
        <b/>
        <sz val="12"/>
        <color theme="0"/>
        <rFont val="Poppins"/>
      </rPr>
      <t>NO</t>
    </r>
    <r>
      <rPr>
        <b/>
        <vertAlign val="subscript"/>
        <sz val="12"/>
        <color theme="0"/>
        <rFont val="Poppins"/>
      </rPr>
      <t>x</t>
    </r>
  </si>
  <si>
    <r>
      <rPr>
        <b/>
        <sz val="12"/>
        <color theme="0"/>
        <rFont val="Poppins"/>
      </rPr>
      <t>PM</t>
    </r>
    <r>
      <rPr>
        <b/>
        <vertAlign val="subscript"/>
        <sz val="12"/>
        <color theme="0"/>
        <rFont val="Poppins"/>
      </rPr>
      <t>2.5</t>
    </r>
  </si>
  <si>
    <r>
      <rPr>
        <b/>
        <sz val="12"/>
        <color theme="0"/>
        <rFont val="Poppins"/>
      </rPr>
      <t>PM</t>
    </r>
    <r>
      <rPr>
        <b/>
        <vertAlign val="subscript"/>
        <sz val="12"/>
        <color theme="0"/>
        <rFont val="Poppins"/>
      </rPr>
      <t>10</t>
    </r>
  </si>
  <si>
    <r>
      <rPr>
        <b/>
        <sz val="12"/>
        <color theme="0"/>
        <rFont val="Poppins"/>
      </rPr>
      <t>SO</t>
    </r>
    <r>
      <rPr>
        <b/>
        <vertAlign val="subscript"/>
        <sz val="12"/>
        <color theme="0"/>
        <rFont val="Poppins"/>
      </rPr>
      <t>2</t>
    </r>
  </si>
  <si>
    <t>Transportation Summary</t>
  </si>
  <si>
    <t>Total Transportation Criteria Air Pollutant Emissions</t>
  </si>
  <si>
    <r>
      <rPr>
        <b/>
        <sz val="12"/>
        <color theme="0"/>
        <rFont val="Poppins"/>
      </rPr>
      <t>NO</t>
    </r>
    <r>
      <rPr>
        <b/>
        <vertAlign val="subscript"/>
        <sz val="12"/>
        <color theme="0"/>
        <rFont val="Poppins"/>
      </rPr>
      <t>x</t>
    </r>
  </si>
  <si>
    <r>
      <rPr>
        <b/>
        <sz val="12"/>
        <color theme="0"/>
        <rFont val="Poppins"/>
      </rPr>
      <t>SO</t>
    </r>
    <r>
      <rPr>
        <b/>
        <vertAlign val="subscript"/>
        <sz val="12"/>
        <color theme="0"/>
        <rFont val="Poppins"/>
      </rPr>
      <t>2</t>
    </r>
  </si>
  <si>
    <t>Waste</t>
  </si>
  <si>
    <t>Landfill</t>
  </si>
  <si>
    <r>
      <rPr>
        <b/>
        <sz val="12"/>
        <color theme="0"/>
        <rFont val="Poppins"/>
      </rPr>
      <t>NO</t>
    </r>
    <r>
      <rPr>
        <b/>
        <vertAlign val="subscript"/>
        <sz val="12"/>
        <color theme="0"/>
        <rFont val="Poppins"/>
      </rPr>
      <t>x</t>
    </r>
  </si>
  <si>
    <r>
      <rPr>
        <b/>
        <sz val="12"/>
        <color theme="0"/>
        <rFont val="Poppins"/>
      </rPr>
      <t>PM</t>
    </r>
    <r>
      <rPr>
        <b/>
        <vertAlign val="subscript"/>
        <sz val="12"/>
        <color theme="0"/>
        <rFont val="Poppins"/>
      </rPr>
      <t>2.5</t>
    </r>
  </si>
  <si>
    <r>
      <rPr>
        <b/>
        <sz val="12"/>
        <color theme="0"/>
        <rFont val="Poppins"/>
      </rPr>
      <t>PM</t>
    </r>
    <r>
      <rPr>
        <b/>
        <vertAlign val="subscript"/>
        <sz val="12"/>
        <color theme="0"/>
        <rFont val="Poppins"/>
      </rPr>
      <t>10</t>
    </r>
  </si>
  <si>
    <r>
      <rPr>
        <b/>
        <sz val="12"/>
        <color theme="0"/>
        <rFont val="Poppins"/>
      </rPr>
      <t>SO</t>
    </r>
    <r>
      <rPr>
        <b/>
        <vertAlign val="subscript"/>
        <sz val="12"/>
        <color theme="0"/>
        <rFont val="Poppins"/>
      </rPr>
      <t>2</t>
    </r>
  </si>
  <si>
    <t>Composting</t>
  </si>
  <si>
    <r>
      <rPr>
        <b/>
        <sz val="12"/>
        <color theme="0"/>
        <rFont val="Poppins"/>
      </rPr>
      <t>NO</t>
    </r>
    <r>
      <rPr>
        <b/>
        <vertAlign val="subscript"/>
        <sz val="12"/>
        <color theme="0"/>
        <rFont val="Poppins"/>
      </rPr>
      <t>x</t>
    </r>
  </si>
  <si>
    <r>
      <rPr>
        <b/>
        <sz val="12"/>
        <color theme="0"/>
        <rFont val="Poppins"/>
      </rPr>
      <t>PM</t>
    </r>
    <r>
      <rPr>
        <b/>
        <vertAlign val="subscript"/>
        <sz val="12"/>
        <color theme="0"/>
        <rFont val="Poppins"/>
      </rPr>
      <t>2.5</t>
    </r>
  </si>
  <si>
    <r>
      <rPr>
        <b/>
        <sz val="12"/>
        <color theme="0"/>
        <rFont val="Poppins"/>
      </rPr>
      <t>PM</t>
    </r>
    <r>
      <rPr>
        <b/>
        <vertAlign val="subscript"/>
        <sz val="12"/>
        <color theme="0"/>
        <rFont val="Poppins"/>
      </rPr>
      <t>10</t>
    </r>
  </si>
  <si>
    <r>
      <rPr>
        <b/>
        <sz val="12"/>
        <color theme="0"/>
        <rFont val="Poppins"/>
      </rPr>
      <t>SO</t>
    </r>
    <r>
      <rPr>
        <b/>
        <vertAlign val="subscript"/>
        <sz val="12"/>
        <color theme="0"/>
        <rFont val="Poppins"/>
      </rPr>
      <t>2</t>
    </r>
  </si>
  <si>
    <t>Wastewater Treatment</t>
  </si>
  <si>
    <r>
      <rPr>
        <b/>
        <sz val="12"/>
        <color theme="0"/>
        <rFont val="Poppins"/>
      </rPr>
      <t>NO</t>
    </r>
    <r>
      <rPr>
        <b/>
        <vertAlign val="subscript"/>
        <sz val="12"/>
        <color theme="0"/>
        <rFont val="Poppins"/>
      </rPr>
      <t>x</t>
    </r>
  </si>
  <si>
    <r>
      <rPr>
        <b/>
        <sz val="12"/>
        <color theme="0"/>
        <rFont val="Poppins"/>
      </rPr>
      <t>PM</t>
    </r>
    <r>
      <rPr>
        <b/>
        <vertAlign val="subscript"/>
        <sz val="12"/>
        <color theme="0"/>
        <rFont val="Poppins"/>
      </rPr>
      <t>2.5</t>
    </r>
  </si>
  <si>
    <r>
      <rPr>
        <b/>
        <sz val="12"/>
        <color theme="0"/>
        <rFont val="Poppins"/>
      </rPr>
      <t>PM</t>
    </r>
    <r>
      <rPr>
        <b/>
        <vertAlign val="subscript"/>
        <sz val="12"/>
        <color theme="0"/>
        <rFont val="Poppins"/>
      </rPr>
      <t>10</t>
    </r>
  </si>
  <si>
    <r>
      <rPr>
        <b/>
        <sz val="12"/>
        <color theme="0"/>
        <rFont val="Poppins"/>
      </rPr>
      <t>SO</t>
    </r>
    <r>
      <rPr>
        <b/>
        <vertAlign val="subscript"/>
        <sz val="12"/>
        <color theme="0"/>
        <rFont val="Poppins"/>
      </rPr>
      <t>2</t>
    </r>
  </si>
  <si>
    <t>Total Waste Criteria Air Pollutant Emissions</t>
  </si>
  <si>
    <t>Industrial Processes</t>
  </si>
  <si>
    <t>Site Name</t>
  </si>
  <si>
    <r>
      <rPr>
        <b/>
        <sz val="12"/>
        <color theme="0"/>
        <rFont val="Poppins"/>
      </rPr>
      <t>NO</t>
    </r>
    <r>
      <rPr>
        <b/>
        <vertAlign val="subscript"/>
        <sz val="12"/>
        <color theme="0"/>
        <rFont val="Poppins"/>
      </rPr>
      <t>x</t>
    </r>
  </si>
  <si>
    <r>
      <rPr>
        <b/>
        <sz val="12"/>
        <color theme="0"/>
        <rFont val="Poppins"/>
      </rPr>
      <t>PM</t>
    </r>
    <r>
      <rPr>
        <b/>
        <vertAlign val="subscript"/>
        <sz val="12"/>
        <color theme="0"/>
        <rFont val="Poppins"/>
      </rPr>
      <t>2.5</t>
    </r>
  </si>
  <si>
    <r>
      <rPr>
        <b/>
        <sz val="12"/>
        <color theme="0"/>
        <rFont val="Poppins"/>
      </rPr>
      <t>PM</t>
    </r>
    <r>
      <rPr>
        <b/>
        <vertAlign val="subscript"/>
        <sz val="12"/>
        <color theme="0"/>
        <rFont val="Poppins"/>
      </rPr>
      <t>10</t>
    </r>
  </si>
  <si>
    <r>
      <rPr>
        <b/>
        <sz val="12"/>
        <color theme="0"/>
        <rFont val="Poppins"/>
      </rPr>
      <t>SO</t>
    </r>
    <r>
      <rPr>
        <b/>
        <vertAlign val="subscript"/>
        <sz val="12"/>
        <color theme="0"/>
        <rFont val="Poppins"/>
      </rPr>
      <t>2</t>
    </r>
  </si>
  <si>
    <t>New Mexico Natural Gas Company</t>
  </si>
  <si>
    <t>GCC Rio Grande, Inc. Tijeras Plant</t>
  </si>
  <si>
    <t>Intel Corporation - Rio Rancho Facility</t>
  </si>
  <si>
    <t>Station #7 - Mountainair Cmp Stn</t>
  </si>
  <si>
    <t>ENPG Belen Compressor Station</t>
  </si>
  <si>
    <t>Total Industrial Processes Criteria Air Pollutant Emissions</t>
  </si>
  <si>
    <t>Total Summary</t>
  </si>
  <si>
    <r>
      <rPr>
        <b/>
        <sz val="12"/>
        <color theme="0"/>
        <rFont val="Poppins"/>
      </rPr>
      <t>NO</t>
    </r>
    <r>
      <rPr>
        <b/>
        <vertAlign val="subscript"/>
        <sz val="12"/>
        <color theme="0"/>
        <rFont val="Poppins"/>
      </rPr>
      <t>x</t>
    </r>
  </si>
  <si>
    <r>
      <rPr>
        <b/>
        <sz val="12"/>
        <color theme="0"/>
        <rFont val="Poppins"/>
      </rPr>
      <t>SO</t>
    </r>
    <r>
      <rPr>
        <b/>
        <vertAlign val="subscript"/>
        <sz val="12"/>
        <color theme="0"/>
        <rFont val="Poppins"/>
      </rPr>
      <t>2</t>
    </r>
  </si>
  <si>
    <t>Community Indicators</t>
  </si>
  <si>
    <t>Unit</t>
  </si>
  <si>
    <t xml:space="preserve">Land area </t>
  </si>
  <si>
    <t>square miles</t>
  </si>
  <si>
    <t xml:space="preserve"> Land area (2020) is from US Census QuickFacts for City of Albuquerque. PDF on file.</t>
  </si>
  <si>
    <t>Resident population</t>
  </si>
  <si>
    <t>people</t>
  </si>
  <si>
    <t>Population (2022) is from the US Census American Community Survey Table S0101. Spreadsheet on file.</t>
  </si>
  <si>
    <t>GDP</t>
  </si>
  <si>
    <t>USD</t>
  </si>
  <si>
    <t>GDP is from the US BEA GDP data by county for 2022. Spreadsheet on file. Values are reported in 2017 dollars and were updated to 2022 dollars using the inflation estimator at https://www.usinflationcalculator.com/. Population was used to scale down county-level GDP data to the City of Albuquerque.</t>
  </si>
  <si>
    <t>Number of housing units</t>
  </si>
  <si>
    <t>Housing Units</t>
  </si>
  <si>
    <t>Number of housing units (2022) is from the US Census American Community Survey Table B25001. Spreadsheet on file.</t>
  </si>
  <si>
    <t>Number of occupied housing units</t>
  </si>
  <si>
    <t>Number of occupied housing units (2022) is from the US Census American Community Survey Table S2501. Spreadsheet on file.</t>
  </si>
  <si>
    <t>Commercial businesses and institutional units area</t>
  </si>
  <si>
    <t>Square feet</t>
  </si>
  <si>
    <t>Commercial square footage from Google EIE. Spreadsheet on file. Data in spreadsheet are in square meters and are converted into square feet in this tab.</t>
  </si>
  <si>
    <t>Residential area</t>
  </si>
  <si>
    <t>Residential square footage from Google EIE. Spreadsheet on file. Data in spreadsheet are in square meters and are converted into square feet in this tab.</t>
  </si>
  <si>
    <t>Number of people employed in the city</t>
  </si>
  <si>
    <t>Employees</t>
  </si>
  <si>
    <t>Number of employees (2022) is from the US Census American Community Survey Table DP03. Spreadsheet on file.</t>
  </si>
  <si>
    <t>Heating degree days</t>
  </si>
  <si>
    <t>HDD</t>
  </si>
  <si>
    <t>HDD and CDD data were calculated for zip code 87121 (assumed to be representative of the City of Albuquerque) from www.weatherdatadepot.com using 60 degrees Fahrenheit as the balance point temperature. PDF on file.</t>
  </si>
  <si>
    <t>Cooling degree days</t>
  </si>
  <si>
    <t>CDD</t>
  </si>
  <si>
    <t>ABQ % of Bernalillo County (population)</t>
  </si>
  <si>
    <t>%</t>
  </si>
  <si>
    <t>ABQ % of MSA (population)</t>
  </si>
  <si>
    <t>Emissions Summary</t>
  </si>
  <si>
    <t>Emissions Per Capita</t>
  </si>
  <si>
    <t>% of Total</t>
  </si>
  <si>
    <t>2023 Population</t>
  </si>
  <si>
    <t xml:space="preserve">Emissions per Capita </t>
  </si>
  <si>
    <t xml:space="preserve">Total </t>
  </si>
  <si>
    <t>Agriculture - Emissions</t>
  </si>
  <si>
    <t>Energy T&amp;D Losses</t>
  </si>
  <si>
    <t>Agriculture - Removals</t>
  </si>
  <si>
    <t>Enteric Emissions</t>
  </si>
  <si>
    <t>Manure Management</t>
  </si>
  <si>
    <t>Urea</t>
  </si>
  <si>
    <t>Managed Soils</t>
  </si>
  <si>
    <t>Forestry and Trees</t>
  </si>
  <si>
    <t>Detailed Emissions Breakdown by Sector</t>
  </si>
  <si>
    <t>Fuel Combustion</t>
  </si>
  <si>
    <t>Type</t>
  </si>
  <si>
    <t>GHG Emissions</t>
  </si>
  <si>
    <t>Commercial and Industrial Natural Gas</t>
  </si>
  <si>
    <t>mtCO2e</t>
  </si>
  <si>
    <t>therms</t>
  </si>
  <si>
    <t>Residential Natural Gas</t>
  </si>
  <si>
    <t>gallons diesel</t>
  </si>
  <si>
    <t>gallons propane</t>
  </si>
  <si>
    <t>MMBtu</t>
  </si>
  <si>
    <t>Total Fuel Combustion</t>
  </si>
  <si>
    <t>Grid-Supplied Energy (Electricity)</t>
  </si>
  <si>
    <t>Commercial Electricity</t>
  </si>
  <si>
    <t>kWh</t>
  </si>
  <si>
    <t>Residential Electricity</t>
  </si>
  <si>
    <t>Industrial Electricity</t>
  </si>
  <si>
    <t>Total Electricity</t>
  </si>
  <si>
    <t>Transmission and Distribution Losses</t>
  </si>
  <si>
    <t>T&amp;D Losses</t>
  </si>
  <si>
    <t>Total T&amp;D Losses</t>
  </si>
  <si>
    <t xml:space="preserve">Fugitive Emissions </t>
  </si>
  <si>
    <t>Commercial fugitive natural gas</t>
  </si>
  <si>
    <t xml:space="preserve">Residential fugitive natural gas </t>
  </si>
  <si>
    <t>Total Fugitive Emissions</t>
  </si>
  <si>
    <t xml:space="preserve">Total Stationary Energy </t>
  </si>
  <si>
    <t>On-Road Vehicles</t>
  </si>
  <si>
    <t>On-road fossil fuels</t>
  </si>
  <si>
    <t xml:space="preserve">VMT </t>
  </si>
  <si>
    <t>On-road electricity</t>
  </si>
  <si>
    <t>On-road T&amp;D losses</t>
  </si>
  <si>
    <t xml:space="preserve">Public transit fossil fuel </t>
  </si>
  <si>
    <t>Gallons fuel</t>
  </si>
  <si>
    <t xml:space="preserve">Public transit electricity </t>
  </si>
  <si>
    <t xml:space="preserve">Public transit T&amp;D losses </t>
  </si>
  <si>
    <t xml:space="preserve">Gallons fuel local </t>
  </si>
  <si>
    <t>Gallons fuel itinerant travel</t>
  </si>
  <si>
    <t>Off-road fuel combustion</t>
  </si>
  <si>
    <t>Railway activity fuel combustion</t>
  </si>
  <si>
    <t>Total Transportation</t>
  </si>
  <si>
    <t>Community Solid Waste</t>
  </si>
  <si>
    <t>Waste landfilled inside the boundary</t>
  </si>
  <si>
    <t>Tons</t>
  </si>
  <si>
    <t>Waste landfilled outside the boundary</t>
  </si>
  <si>
    <t>Compost treated inside the boundary</t>
  </si>
  <si>
    <t>Compost treated outside the boundary</t>
  </si>
  <si>
    <t>Total Waste</t>
  </si>
  <si>
    <t>Wastewater Treatment and Discharge</t>
  </si>
  <si>
    <t>Wastewater generated and treated outside the boundary</t>
  </si>
  <si>
    <t>Septic tanks</t>
  </si>
  <si>
    <t>Total Wastewater</t>
  </si>
  <si>
    <t>Industrial Processes and Product Use</t>
  </si>
  <si>
    <t>Industrial processes within the boundary</t>
  </si>
  <si>
    <t>Refrigerant leakage</t>
  </si>
  <si>
    <t>Commercial Square footage</t>
  </si>
  <si>
    <t>Total Industrial Processes and Product Use</t>
  </si>
  <si>
    <t>Agriculture, Forestry, and Other Land Use</t>
  </si>
  <si>
    <t>Emissions from livestock within the boundary</t>
  </si>
  <si>
    <t>Number of animals</t>
  </si>
  <si>
    <t>Emissions from land within the boundary</t>
  </si>
  <si>
    <t>Acres farmland treated</t>
  </si>
  <si>
    <t>Carbon sequestration from forests and trees</t>
  </si>
  <si>
    <t>ha</t>
  </si>
  <si>
    <t>Total Agriculture, Forestry, and Other Land Use</t>
  </si>
  <si>
    <t>Information-Only Emissions</t>
  </si>
  <si>
    <t>Energy Related</t>
  </si>
  <si>
    <t>Utility</t>
  </si>
  <si>
    <t>PNM</t>
  </si>
  <si>
    <t>SolarDirect</t>
  </si>
  <si>
    <t>MWh</t>
  </si>
  <si>
    <t>SkyBlue</t>
  </si>
  <si>
    <t>Jemez Mountains</t>
  </si>
  <si>
    <t>Utility Renewable Energy Programs</t>
  </si>
  <si>
    <t xml:space="preserve">Recycling </t>
  </si>
  <si>
    <t>Recycling</t>
  </si>
  <si>
    <t>Tons Recycled</t>
  </si>
  <si>
    <t>Total Information-Only</t>
  </si>
  <si>
    <t xml:space="preserve"> Land area (2020) is from US Census QuickFacts for Bernalillo County. PDF on file.</t>
  </si>
  <si>
    <t xml:space="preserve">GDP is from the US BEA GDP data by county for 2022. Spreadsheet on file. Values are reported in 2017 dollars and were updated to 2022 dollars using the inflation estimator at https://www.usinflationcalculator.com/. </t>
  </si>
  <si>
    <t>Commercial square footage from SLOPE: https://maps.nrel.gov/slope. Screenshot on file. SLOPE includes multifamily square footage in the commercial total. Multifamily square footage is removed to avoid double counting with residential area.</t>
  </si>
  <si>
    <t>Number of people employed in the county</t>
  </si>
  <si>
    <t>HDD and CDD data were calculated for zip code 87121 (assumed to be representative of Bernalillo County) from www.weatherdatadepot.com using 60 degrees Fahrenheit as the balance point temperature. PDF on file.</t>
  </si>
  <si>
    <t>Bernalillo County % of MSA (population)</t>
  </si>
  <si>
    <t xml:space="preserve">Public transit T&amp;D Losses </t>
  </si>
  <si>
    <t>Wastewater generated and treated inside the boundary</t>
  </si>
  <si>
    <t>Land area (2020) is from US Census QuickFacts for Sandoval County. PDF on file.</t>
  </si>
  <si>
    <t>HDD and CDD data were calculated for zip code 87004 (assumed to be representative of Sandoval County) from www.weatherdatadepot.com using 60 degrees Fahrenheit as the balance point temperature. PDF on file.</t>
  </si>
  <si>
    <t>Sandoval County % of MSA (population)</t>
  </si>
  <si>
    <t>Utiity Renewable Energy Programs</t>
  </si>
  <si>
    <t>Land area (2020) is from US Census QuickFacts for Torrance County. PDF on file.</t>
  </si>
  <si>
    <t>HDD and CDD data were calculated for zip code 87016 (assumed to be representative of Torrance County) from www.weatherdatadepot.com using 60 degrees Fahrenheit as the balance point temperature. PDF on file.</t>
  </si>
  <si>
    <t>Torrance County % of MSA (population)</t>
  </si>
  <si>
    <t>Land area (2020) is from US Census QuickFacts for Valencia County. PDF on file.</t>
  </si>
  <si>
    <t>HDD and CDD data were calculated for zip code 87031 (assumed to be representative of Valencia County) from www.weatherdatadepot.com using 60 degrees Fahrenheit as the balance point temperature. PDF on file.</t>
  </si>
  <si>
    <t>Valencia County % of MSA (population)</t>
  </si>
  <si>
    <t>Albuquerque MSA (Bernalillo, Sandoval, Torrance, and Valencia Counties)</t>
  </si>
  <si>
    <t>Land area (2020) is from US Census QuickFacts.</t>
  </si>
  <si>
    <t>Population (2022) is from the US Census American Community Survey Table S0101.</t>
  </si>
  <si>
    <t xml:space="preserve">GDP is from the US BEA GDP data by county for 2022. Values are reported in 2017 dollars and were updated to 2022 dollars using the inflation estimator at https://www.usinflationcalculator.com/. </t>
  </si>
  <si>
    <t>Number of housing units (2022) is from the US Census American Community Survey Table B25001.</t>
  </si>
  <si>
    <t>Number of occupied housing units (2022) is from the US Census American Community Survey Table S2501.</t>
  </si>
  <si>
    <t>Commercial square footage for City of Albuquerque from Google EIE. Spreadsheet on file. Data in spreadsheet are in square meters and are converted into square feet in this tab. Commercial square footage for all counties from SLOPE: https://maps.nrel.gov/slope. Screenshots on file.</t>
  </si>
  <si>
    <t>Number of people employed in the MSA</t>
  </si>
  <si>
    <t>Number of employees (2022) is from the US Census American Community Survey Table DP03.</t>
  </si>
  <si>
    <t>HDD and CDD data were calculated for zip code 87121 (assumed to be representative of the ABQ MSA) from www.weatherdatadepot.com using 60 degrees Fahrenheit as the balance point temperature.</t>
  </si>
  <si>
    <t>`</t>
  </si>
  <si>
    <t>Conversion Factors &amp; Global Warming Factors</t>
  </si>
  <si>
    <t>Conversion Factors</t>
  </si>
  <si>
    <t>lbs.</t>
  </si>
  <si>
    <t>metric ton</t>
  </si>
  <si>
    <t>US ton</t>
  </si>
  <si>
    <t>GWh</t>
  </si>
  <si>
    <t>kg</t>
  </si>
  <si>
    <t>g</t>
  </si>
  <si>
    <t>100 cubic ft. of natural gas</t>
  </si>
  <si>
    <t>therm</t>
  </si>
  <si>
    <t>scf of natural gas</t>
  </si>
  <si>
    <t>cubic ft. of natural gas</t>
  </si>
  <si>
    <t>MMBtu of natural gas</t>
  </si>
  <si>
    <t>MMBtu of distillate fuel</t>
  </si>
  <si>
    <t>gal diesel</t>
  </si>
  <si>
    <t>MMBtu of propane</t>
  </si>
  <si>
    <t>gal propane</t>
  </si>
  <si>
    <t>Acre</t>
  </si>
  <si>
    <t>Hectares</t>
  </si>
  <si>
    <t>cubic meter of methane</t>
  </si>
  <si>
    <t>kilograms</t>
  </si>
  <si>
    <t>btu</t>
  </si>
  <si>
    <t>gal AvGas</t>
  </si>
  <si>
    <t>gal Jet Fuel</t>
  </si>
  <si>
    <t>cubic ft. of CNG</t>
  </si>
  <si>
    <t>Diesel Gallon Equivalent</t>
  </si>
  <si>
    <t>scf of CNG</t>
  </si>
  <si>
    <t>cubic yard of yard waste</t>
  </si>
  <si>
    <t>feet</t>
  </si>
  <si>
    <t>meter</t>
  </si>
  <si>
    <t>Global Warming Factors</t>
  </si>
  <si>
    <t>Common Name</t>
  </si>
  <si>
    <t>Formula</t>
  </si>
  <si>
    <t>GWP</t>
  </si>
  <si>
    <t>Carbon Dioxide</t>
  </si>
  <si>
    <r>
      <rPr>
        <sz val="10"/>
        <color theme="1"/>
        <rFont val="Poppins"/>
      </rPr>
      <t>CO</t>
    </r>
    <r>
      <rPr>
        <vertAlign val="subscript"/>
        <sz val="10"/>
        <color theme="1"/>
        <rFont val="Poppins"/>
      </rPr>
      <t>2</t>
    </r>
  </si>
  <si>
    <t>IPCC AR5 Chapter 8: https://www.ipcc.ch/site/assets/uploads/2018/02/WG1AR5_Chapter08_FINAL.pdf</t>
  </si>
  <si>
    <t>Methane</t>
  </si>
  <si>
    <t>CH4</t>
  </si>
  <si>
    <t>Nitrous Oxide</t>
  </si>
  <si>
    <t>N2O</t>
  </si>
  <si>
    <t>R-134A</t>
  </si>
  <si>
    <t>1,1,1,2-tetrafluoroethane</t>
  </si>
  <si>
    <t>PFC-14</t>
  </si>
  <si>
    <t>CF4</t>
  </si>
  <si>
    <t>R-23</t>
  </si>
  <si>
    <t>CHF3</t>
  </si>
  <si>
    <t>R-32</t>
  </si>
  <si>
    <t>CH2F2</t>
  </si>
  <si>
    <t>R-41</t>
  </si>
  <si>
    <t>CH3F</t>
  </si>
  <si>
    <t>Nitrogen trifluoride</t>
  </si>
  <si>
    <t>NF3</t>
  </si>
  <si>
    <t>Sulfur hexafluoride</t>
  </si>
  <si>
    <t>SF6</t>
  </si>
  <si>
    <t>PFC-116</t>
  </si>
  <si>
    <t>C2F6</t>
  </si>
  <si>
    <t>HFE-7500</t>
  </si>
  <si>
    <t>CF3CF2CF2CF(OC2H5)CF(CF3)2</t>
  </si>
  <si>
    <t>https://www.3m.com/3M/en_US/p/d/b40045191/</t>
  </si>
  <si>
    <t>HT-110</t>
  </si>
  <si>
    <t>CF3(OCFCF3CF2)n-(OCF2)m-OCF3</t>
  </si>
  <si>
    <t>https://www.epa.gov/sites/default/files/2016-02/documents/pfc_heat_tranfer_fluid_emission.pdf</t>
  </si>
  <si>
    <t>Perfluorobuta-1,3-diene</t>
  </si>
  <si>
    <t>https://health.hawaii.gov/cab/files/2015/04/GWP-Table-A-1.pdf</t>
  </si>
  <si>
    <t>R-410A</t>
  </si>
  <si>
    <t>CH2F2+CHF2CF</t>
  </si>
  <si>
    <t>California Air Resources Board: https://ww2.arb.ca.gov/resources/documents/high-gwp-refrigerants.</t>
  </si>
  <si>
    <t xml:space="preserve">Emissions Summary </t>
  </si>
  <si>
    <t xml:space="preserve">Municipality </t>
  </si>
  <si>
    <t>Emissions from Electricity</t>
  </si>
  <si>
    <t>Emissions from Natural Gas</t>
  </si>
  <si>
    <t>Emissions from Wood</t>
  </si>
  <si>
    <t>Emissions from Propane</t>
  </si>
  <si>
    <t>Emissions from T&amp;D Losses</t>
  </si>
  <si>
    <r>
      <rPr>
        <b/>
        <sz val="11"/>
        <color theme="0"/>
        <rFont val="Poppins"/>
      </rPr>
      <t>Total Emissions (mt CO</t>
    </r>
    <r>
      <rPr>
        <b/>
        <vertAlign val="subscript"/>
        <sz val="11"/>
        <color theme="0"/>
        <rFont val="Poppins"/>
      </rPr>
      <t>2</t>
    </r>
    <r>
      <rPr>
        <b/>
        <sz val="11"/>
        <color theme="0"/>
        <rFont val="Poppins"/>
      </rPr>
      <t>e)</t>
    </r>
  </si>
  <si>
    <t>% of MSA Stationary Energy</t>
  </si>
  <si>
    <t>Total City</t>
  </si>
  <si>
    <t>Notes &amp; Assumptions</t>
  </si>
  <si>
    <t>1) PNM data provided by Alaric Babej. Spreadsheets on file. Residential class reported as residential and industrial class reported as industrial. All other classes reported as commercial. TEP charging data included a list of zip codes that the data applied to, including some that were outside of the inventory boundary. Lotus categorized the zip codes by county and attributed usage to each county based on the number of housing units in each county.</t>
  </si>
  <si>
    <t>2) Jemez Mountains electricity data provided by Eva Deaguero with Jemez Mountains. Email and spreadsheet on file.</t>
  </si>
  <si>
    <t>3) T&amp;D losses for Tri-State (the electric provider for the 4 co-ops in the MSA) were calculated from the EIA's State Electricity Profile for New Mexico (data are from 2022, most recent year available). Losses were calculated by dividing estimated losses by total supply (found on the Source-Disposition tab). Spreadsheet on file.</t>
  </si>
  <si>
    <t>4) Natural gas data provided Beilin Nesbitt and Derek Stout with New Mexico Gas Company. Email and spreadsheet on file. Commercial therms, industrial therms, public authority therms, and other therms were combined into a Commercial and Industrial category.</t>
  </si>
  <si>
    <t>5) Stationary diesel data unable to be collected and is considered de minimis.</t>
  </si>
  <si>
    <t xml:space="preserve">6) FerrellGas data was used to estimate commercial propane emissions. Data were provided by Matt Hanson with Ferrellgas. Spreadsheet on file. </t>
  </si>
  <si>
    <t>7) Propane household numbers estimated using the US Census ACS Home Heating Fuels data. Spreadsheets on file. Propane calculated using data from EIA RECs 2020 Survey: CE4.6 Annual household site end-use consumption by fuel in the U.S. - averages. Utilized Mtn South data. Note that we are only calculating heating fuel not fuel for cooking or other end uses.</t>
  </si>
  <si>
    <t>8) Wood data estimated using the US Census ACS Home Heating Fuels data. Spreadsheets on file.</t>
  </si>
  <si>
    <t xml:space="preserve">9) In order to estimate additional electricity usage from rural co-ops in the inventory boundary (Socorro Electric Co-op, Continental Divide Electric Co-op, and Central New Mexico Electric Co-op), Lotus pulled data from the EIA's 861 form (on file). For Continental Divide and Central NM, electricity usage was split into residential, commercial, and industrial classes. Socorro, a smaller utility, did not split out those classes, so the average breakdown of classes from the other two co-ops was applies to Socorro's data. For all three co-ops, Lotus found the total customers served by the co-op, as well as the number of customers by co-op in each county served. These ratios were used to scale down each co-ops electricity usage by county. For Socorro and Central NM, customer data were found on each utility's outage map (https://outage.socorroelectric.com/OMSWebMap/OMSWebMap.htm?clientKey=undefined and https://ebill.cnmec.org/woViewer/mapviewer.html?config=Outage%20Web%20Map). US Census ACS data were used to estimate the number of customers by county for Continental Divide. Methods on file in spreadsheet titled "FINAL_COOP_DATA." </t>
  </si>
  <si>
    <t>10) SLOPE data was used for natural gas consumption in Torrance County. SLOPE data on file.</t>
  </si>
  <si>
    <t>11) EV electricity use was subtracted from each county from the On-Road tab. For Torrance County, EV electric use was subtracted from Central New Mexico.</t>
  </si>
  <si>
    <t xml:space="preserve">Electricity </t>
  </si>
  <si>
    <t xml:space="preserve">Utility </t>
  </si>
  <si>
    <t>Locations Served</t>
  </si>
  <si>
    <t>Greenhouse Gas</t>
  </si>
  <si>
    <t xml:space="preserve">Value </t>
  </si>
  <si>
    <t>Units</t>
  </si>
  <si>
    <t>Sources</t>
  </si>
  <si>
    <t>Bernalillo, Sandoval, and Valencia Counties</t>
  </si>
  <si>
    <r>
      <rPr>
        <sz val="11"/>
        <color theme="1"/>
        <rFont val="Poppins"/>
      </rPr>
      <t>CO</t>
    </r>
    <r>
      <rPr>
        <vertAlign val="subscript"/>
        <sz val="11"/>
        <color theme="1"/>
        <rFont val="Poppins"/>
      </rPr>
      <t>2</t>
    </r>
  </si>
  <si>
    <r>
      <rPr>
        <sz val="11"/>
        <color theme="1"/>
        <rFont val="Poppins"/>
      </rPr>
      <t>mt CO</t>
    </r>
    <r>
      <rPr>
        <vertAlign val="subscript"/>
        <sz val="11"/>
        <color theme="1"/>
        <rFont val="Poppins"/>
      </rPr>
      <t>2</t>
    </r>
    <r>
      <rPr>
        <sz val="11"/>
        <color theme="1"/>
        <rFont val="Poppins"/>
      </rPr>
      <t>/MWh</t>
    </r>
  </si>
  <si>
    <t>Email from Alaric Babej. PDF on file.</t>
  </si>
  <si>
    <t>Tri-State</t>
  </si>
  <si>
    <t>Sandoval, Torrance, and Valencia Counties</t>
  </si>
  <si>
    <r>
      <rPr>
        <sz val="11"/>
        <color theme="1"/>
        <rFont val="Poppins"/>
      </rPr>
      <t>CO</t>
    </r>
    <r>
      <rPr>
        <vertAlign val="subscript"/>
        <sz val="11"/>
        <color theme="1"/>
        <rFont val="Poppins"/>
      </rPr>
      <t>2</t>
    </r>
  </si>
  <si>
    <r>
      <rPr>
        <sz val="11"/>
        <color theme="1"/>
        <rFont val="Poppins"/>
      </rPr>
      <t>mt CO</t>
    </r>
    <r>
      <rPr>
        <vertAlign val="subscript"/>
        <sz val="11"/>
        <color theme="1"/>
        <rFont val="Poppins"/>
      </rPr>
      <t>2</t>
    </r>
    <r>
      <rPr>
        <sz val="11"/>
        <color theme="1"/>
        <rFont val="Poppins"/>
      </rPr>
      <t>/MWh</t>
    </r>
  </si>
  <si>
    <t>Tri-State's Carbon Rate May 2024 Briefing. PDF on file.</t>
  </si>
  <si>
    <t>All</t>
  </si>
  <si>
    <r>
      <rPr>
        <sz val="11"/>
        <color theme="1"/>
        <rFont val="Poppins"/>
      </rPr>
      <t>CH</t>
    </r>
    <r>
      <rPr>
        <vertAlign val="subscript"/>
        <sz val="11"/>
        <color theme="1"/>
        <rFont val="Poppins"/>
      </rPr>
      <t>4</t>
    </r>
  </si>
  <si>
    <r>
      <rPr>
        <sz val="11"/>
        <color theme="1"/>
        <rFont val="Poppins"/>
      </rPr>
      <t>mt CH</t>
    </r>
    <r>
      <rPr>
        <vertAlign val="subscript"/>
        <sz val="11"/>
        <color theme="1"/>
        <rFont val="Poppins"/>
      </rPr>
      <t>4</t>
    </r>
    <r>
      <rPr>
        <sz val="11"/>
        <color theme="1"/>
        <rFont val="Poppins"/>
      </rPr>
      <t>/MWh</t>
    </r>
  </si>
  <si>
    <t>EPA's eGrid: eGRID 2022 summary tables, table 1, sub region AZNM. https://www.epa.gov/system/files/documents/2024-01/egrid2022_summary_tables.pdf.</t>
  </si>
  <si>
    <r>
      <rPr>
        <sz val="11"/>
        <color theme="1"/>
        <rFont val="Poppins"/>
      </rPr>
      <t>N</t>
    </r>
    <r>
      <rPr>
        <vertAlign val="subscript"/>
        <sz val="11"/>
        <color theme="1"/>
        <rFont val="Poppins"/>
      </rPr>
      <t>2</t>
    </r>
    <r>
      <rPr>
        <sz val="11"/>
        <color theme="1"/>
        <rFont val="Poppins"/>
      </rPr>
      <t>O</t>
    </r>
  </si>
  <si>
    <r>
      <rPr>
        <sz val="11"/>
        <color theme="1"/>
        <rFont val="Poppins"/>
      </rPr>
      <t>mt N</t>
    </r>
    <r>
      <rPr>
        <vertAlign val="subscript"/>
        <sz val="11"/>
        <color theme="1"/>
        <rFont val="Poppins"/>
      </rPr>
      <t>2</t>
    </r>
    <r>
      <rPr>
        <sz val="11"/>
        <color theme="1"/>
        <rFont val="Poppins"/>
      </rPr>
      <t>O/MWh</t>
    </r>
  </si>
  <si>
    <t>Electricity  - T&amp;D Losses</t>
  </si>
  <si>
    <t>EIA State Electricity Profile for NM: https://www.eia.gov/electricity/state/newmexico/.</t>
  </si>
  <si>
    <r>
      <rPr>
        <sz val="11"/>
        <color theme="1"/>
        <rFont val="Poppins"/>
      </rPr>
      <t>CO</t>
    </r>
    <r>
      <rPr>
        <vertAlign val="subscript"/>
        <sz val="11"/>
        <color theme="1"/>
        <rFont val="Poppins"/>
      </rPr>
      <t>2</t>
    </r>
  </si>
  <si>
    <r>
      <rPr>
        <sz val="11"/>
        <color theme="1"/>
        <rFont val="Poppins"/>
      </rPr>
      <t>mtCO</t>
    </r>
    <r>
      <rPr>
        <vertAlign val="subscript"/>
        <sz val="11"/>
        <color theme="1"/>
        <rFont val="Poppins"/>
      </rPr>
      <t>2</t>
    </r>
    <r>
      <rPr>
        <sz val="11"/>
        <color theme="1"/>
        <rFont val="Poppins"/>
      </rPr>
      <t>/th</t>
    </r>
  </si>
  <si>
    <t>US EPA Emission Factor Hub: https://www.epa.gov/system/files/documents/2024-02/ghg-emission-factors-hub-2024.pdf</t>
  </si>
  <si>
    <r>
      <rPr>
        <sz val="11"/>
        <color theme="1"/>
        <rFont val="Poppins"/>
      </rPr>
      <t>CH</t>
    </r>
    <r>
      <rPr>
        <vertAlign val="subscript"/>
        <sz val="11"/>
        <color theme="1"/>
        <rFont val="Poppins"/>
      </rPr>
      <t>4</t>
    </r>
  </si>
  <si>
    <r>
      <rPr>
        <sz val="11"/>
        <color theme="1"/>
        <rFont val="Poppins"/>
      </rPr>
      <t>mtCH</t>
    </r>
    <r>
      <rPr>
        <vertAlign val="subscript"/>
        <sz val="11"/>
        <color theme="1"/>
        <rFont val="Poppins"/>
      </rPr>
      <t>4</t>
    </r>
    <r>
      <rPr>
        <sz val="11"/>
        <color theme="1"/>
        <rFont val="Poppins"/>
      </rPr>
      <t>/th</t>
    </r>
  </si>
  <si>
    <r>
      <rPr>
        <sz val="11"/>
        <color theme="1"/>
        <rFont val="Poppins"/>
      </rPr>
      <t>N</t>
    </r>
    <r>
      <rPr>
        <vertAlign val="subscript"/>
        <sz val="11"/>
        <color theme="1"/>
        <rFont val="Poppins"/>
      </rPr>
      <t>2</t>
    </r>
    <r>
      <rPr>
        <sz val="11"/>
        <color theme="1"/>
        <rFont val="Poppins"/>
      </rPr>
      <t>O</t>
    </r>
  </si>
  <si>
    <r>
      <rPr>
        <sz val="11"/>
        <color theme="1"/>
        <rFont val="Poppins"/>
      </rPr>
      <t>mtN</t>
    </r>
    <r>
      <rPr>
        <vertAlign val="subscript"/>
        <sz val="11"/>
        <color theme="1"/>
        <rFont val="Poppins"/>
      </rPr>
      <t>2</t>
    </r>
    <r>
      <rPr>
        <sz val="11"/>
        <color theme="1"/>
        <rFont val="Poppins"/>
      </rPr>
      <t>O/th</t>
    </r>
  </si>
  <si>
    <r>
      <rPr>
        <sz val="11"/>
        <color rgb="FF000000"/>
        <rFont val="Poppins"/>
      </rPr>
      <t>CO</t>
    </r>
    <r>
      <rPr>
        <vertAlign val="subscript"/>
        <sz val="11"/>
        <color rgb="FF000000"/>
        <rFont val="Poppins"/>
      </rPr>
      <t>2</t>
    </r>
  </si>
  <si>
    <r>
      <rPr>
        <sz val="11"/>
        <color rgb="FF000000"/>
        <rFont val="Poppins"/>
      </rPr>
      <t>mt CO</t>
    </r>
    <r>
      <rPr>
        <vertAlign val="subscript"/>
        <sz val="11"/>
        <color rgb="FF000000"/>
        <rFont val="Poppins"/>
      </rPr>
      <t>2</t>
    </r>
    <r>
      <rPr>
        <sz val="11"/>
        <color rgb="FF000000"/>
        <rFont val="Poppins"/>
      </rPr>
      <t>/gal</t>
    </r>
  </si>
  <si>
    <t xml:space="preserve">ICLEI’s U.S. Community Protocol for Accounting and Reporting of Greenhouse Gas Emissions (Community Protocol) – Appendix C: Built Environment Emission Activities and Sources, Version 1.1, July 2013: http://icleiusa.org/ghg-protocols/.  Assumes distillate fuel oil number 2 and that diesel is primarily used in generators by the industrial sector. </t>
  </si>
  <si>
    <r>
      <rPr>
        <sz val="11"/>
        <color rgb="FF000000"/>
        <rFont val="Poppins"/>
      </rPr>
      <t>CH</t>
    </r>
    <r>
      <rPr>
        <vertAlign val="subscript"/>
        <sz val="11"/>
        <color rgb="FF000000"/>
        <rFont val="Poppins"/>
      </rPr>
      <t>4</t>
    </r>
  </si>
  <si>
    <r>
      <rPr>
        <sz val="11"/>
        <color rgb="FF000000"/>
        <rFont val="Poppins"/>
      </rPr>
      <t>mt CH</t>
    </r>
    <r>
      <rPr>
        <vertAlign val="subscript"/>
        <sz val="11"/>
        <color rgb="FF000000"/>
        <rFont val="Poppins"/>
      </rPr>
      <t>4</t>
    </r>
    <r>
      <rPr>
        <sz val="11"/>
        <color rgb="FF000000"/>
        <rFont val="Poppins"/>
      </rPr>
      <t>/gal</t>
    </r>
  </si>
  <si>
    <r>
      <rPr>
        <sz val="11"/>
        <color rgb="FF000000"/>
        <rFont val="Poppins"/>
      </rPr>
      <t>N</t>
    </r>
    <r>
      <rPr>
        <vertAlign val="subscript"/>
        <sz val="11"/>
        <color rgb="FF000000"/>
        <rFont val="Poppins"/>
      </rPr>
      <t>2</t>
    </r>
    <r>
      <rPr>
        <sz val="11"/>
        <color rgb="FF000000"/>
        <rFont val="Poppins"/>
      </rPr>
      <t>O</t>
    </r>
  </si>
  <si>
    <r>
      <rPr>
        <sz val="11"/>
        <color rgb="FF000000"/>
        <rFont val="Poppins"/>
      </rPr>
      <t>mt N</t>
    </r>
    <r>
      <rPr>
        <vertAlign val="subscript"/>
        <sz val="11"/>
        <color rgb="FF000000"/>
        <rFont val="Poppins"/>
      </rPr>
      <t>2</t>
    </r>
    <r>
      <rPr>
        <sz val="11"/>
        <color rgb="FF000000"/>
        <rFont val="Poppins"/>
      </rPr>
      <t>O/gal</t>
    </r>
  </si>
  <si>
    <t>Annual Gallons of Propane Used for an average house</t>
  </si>
  <si>
    <t>Total Average Usage per Household</t>
  </si>
  <si>
    <t>gallons/yr</t>
  </si>
  <si>
    <t>CRECs</t>
  </si>
  <si>
    <t>MMBTU per houshold</t>
  </si>
  <si>
    <r>
      <rPr>
        <sz val="11"/>
        <color theme="1"/>
        <rFont val="Poppins"/>
      </rPr>
      <t>CO</t>
    </r>
    <r>
      <rPr>
        <vertAlign val="subscript"/>
        <sz val="11"/>
        <color theme="1"/>
        <rFont val="Poppins"/>
      </rPr>
      <t>2</t>
    </r>
  </si>
  <si>
    <r>
      <rPr>
        <sz val="11"/>
        <color theme="1"/>
        <rFont val="Poppins"/>
      </rPr>
      <t>mtCO</t>
    </r>
    <r>
      <rPr>
        <vertAlign val="subscript"/>
        <sz val="11"/>
        <color theme="1"/>
        <rFont val="Poppins"/>
      </rPr>
      <t>2</t>
    </r>
    <r>
      <rPr>
        <sz val="11"/>
        <color theme="1"/>
        <rFont val="Poppins"/>
      </rPr>
      <t>/gal</t>
    </r>
  </si>
  <si>
    <t xml:space="preserve">ICLEI’s U.S. Community Protocol for Accounting and Reporting of Greenhouse Gas Emissions (Community Protocol) – Appendix C: Built Environment Emission Activities and Sources, Version 1.1, July 2013: http://icleiusa.org/ghg-protocols/.   Assumes distillate fuel oil number 2. Value is 73.96 kg CO2/MMBtu.  Value is 0.003 kg CH4/MMBtu. Value is 0.0006 kg N2O/MMBtu.  Assumes distillate fuel oil number 2 and that diesel is primarily used in the commercial/industrial sector. </t>
  </si>
  <si>
    <r>
      <rPr>
        <sz val="11"/>
        <color theme="1"/>
        <rFont val="Poppins"/>
      </rPr>
      <t>CH</t>
    </r>
    <r>
      <rPr>
        <vertAlign val="subscript"/>
        <sz val="11"/>
        <color theme="1"/>
        <rFont val="Poppins"/>
      </rPr>
      <t>4</t>
    </r>
  </si>
  <si>
    <r>
      <rPr>
        <sz val="11"/>
        <color theme="1"/>
        <rFont val="Poppins"/>
      </rPr>
      <t>mtCH</t>
    </r>
    <r>
      <rPr>
        <vertAlign val="subscript"/>
        <sz val="11"/>
        <color theme="1"/>
        <rFont val="Poppins"/>
      </rPr>
      <t>4</t>
    </r>
    <r>
      <rPr>
        <sz val="11"/>
        <color theme="1"/>
        <rFont val="Poppins"/>
      </rPr>
      <t>/gal</t>
    </r>
  </si>
  <si>
    <r>
      <rPr>
        <sz val="11"/>
        <color theme="1"/>
        <rFont val="Poppins"/>
      </rPr>
      <t>N</t>
    </r>
    <r>
      <rPr>
        <vertAlign val="subscript"/>
        <sz val="11"/>
        <color theme="1"/>
        <rFont val="Poppins"/>
      </rPr>
      <t>2</t>
    </r>
    <r>
      <rPr>
        <sz val="11"/>
        <color theme="1"/>
        <rFont val="Poppins"/>
      </rPr>
      <t>O</t>
    </r>
  </si>
  <si>
    <r>
      <rPr>
        <sz val="11"/>
        <color theme="1"/>
        <rFont val="Poppins"/>
      </rPr>
      <t>mtN</t>
    </r>
    <r>
      <rPr>
        <vertAlign val="subscript"/>
        <sz val="11"/>
        <color theme="1"/>
        <rFont val="Poppins"/>
      </rPr>
      <t>2</t>
    </r>
    <r>
      <rPr>
        <sz val="11"/>
        <color theme="1"/>
        <rFont val="Poppins"/>
      </rPr>
      <t>O/gal</t>
    </r>
  </si>
  <si>
    <t>Biogenic CO2</t>
  </si>
  <si>
    <t>kg/MMBTU</t>
  </si>
  <si>
    <t xml:space="preserve">ICLEI’s U.S. Community Protocol for Accounting and Reporting of Greenhouse Gas Emissions (Community Protocol) – Appendix C: Built Environment Emission Activities and Sources, Version 1.1, July 2013: http://icleiusa.org/ghg-protocols/.  </t>
  </si>
  <si>
    <t>Average Usage Per House</t>
  </si>
  <si>
    <t>Average wood consumption per household (btu)</t>
  </si>
  <si>
    <t>btu per household</t>
  </si>
  <si>
    <t xml:space="preserve">Average btu used per household in west for wood as a primary heat found here: https://www.eia.gov/consumption/residential/data/2015/c&amp;e/pdf/ce7.2.pdf </t>
  </si>
  <si>
    <t>Total Electricity by Utility</t>
  </si>
  <si>
    <t>Percent Electricity by Utility</t>
  </si>
  <si>
    <t>PNM (kWh)</t>
  </si>
  <si>
    <t>Tri-State (kWh)</t>
  </si>
  <si>
    <t xml:space="preserve">Average T&amp;D Loss </t>
  </si>
  <si>
    <t xml:space="preserve">Average CO2 Emission Factor </t>
  </si>
  <si>
    <t xml:space="preserve">Total  </t>
  </si>
  <si>
    <t>Total ABQ MSA</t>
  </si>
  <si>
    <t>PNM Emissions</t>
  </si>
  <si>
    <t>Residential Electricity Emissions: PNM</t>
  </si>
  <si>
    <t>Residential Electricity (kWh)</t>
  </si>
  <si>
    <t>Residential Electricity without EV electricity (kWh)</t>
  </si>
  <si>
    <r>
      <rPr>
        <b/>
        <sz val="11"/>
        <color theme="1"/>
        <rFont val="Poppins"/>
      </rPr>
      <t>Residential Electricity Emissions - mt CO</t>
    </r>
    <r>
      <rPr>
        <b/>
        <vertAlign val="subscript"/>
        <sz val="11"/>
        <color theme="1"/>
        <rFont val="Poppins"/>
      </rPr>
      <t>2</t>
    </r>
  </si>
  <si>
    <r>
      <rPr>
        <b/>
        <sz val="11"/>
        <color theme="1"/>
        <rFont val="Poppins"/>
      </rPr>
      <t>Residential Electricity Emissions - mt CH</t>
    </r>
    <r>
      <rPr>
        <b/>
        <vertAlign val="subscript"/>
        <sz val="11"/>
        <color theme="1"/>
        <rFont val="Poppins"/>
      </rPr>
      <t>4</t>
    </r>
  </si>
  <si>
    <r>
      <rPr>
        <b/>
        <sz val="11"/>
        <color theme="1"/>
        <rFont val="Poppins"/>
      </rPr>
      <t>Residential Electricity Emissions - mt N</t>
    </r>
    <r>
      <rPr>
        <b/>
        <vertAlign val="subscript"/>
        <sz val="11"/>
        <color theme="1"/>
        <rFont val="Poppins"/>
      </rPr>
      <t>2</t>
    </r>
    <r>
      <rPr>
        <b/>
        <sz val="11"/>
        <color theme="1"/>
        <rFont val="Poppins"/>
      </rPr>
      <t>O</t>
    </r>
  </si>
  <si>
    <r>
      <rPr>
        <b/>
        <sz val="11"/>
        <color theme="1"/>
        <rFont val="Poppins"/>
      </rPr>
      <t>Residential Electricity Emissions (mt CO</t>
    </r>
    <r>
      <rPr>
        <b/>
        <vertAlign val="subscript"/>
        <sz val="11"/>
        <color theme="1"/>
        <rFont val="Poppins"/>
      </rPr>
      <t>2</t>
    </r>
    <r>
      <rPr>
        <b/>
        <sz val="11"/>
        <color theme="1"/>
        <rFont val="Poppins"/>
      </rPr>
      <t>e)</t>
    </r>
  </si>
  <si>
    <t>Usage per Household</t>
  </si>
  <si>
    <t>Commercial Electricity Emissions: PNM</t>
  </si>
  <si>
    <t>Commercial Electricity (kWh)</t>
  </si>
  <si>
    <t>Commercial Electricity Total without EV electricity (kWh)</t>
  </si>
  <si>
    <r>
      <rPr>
        <b/>
        <sz val="11"/>
        <color theme="1"/>
        <rFont val="Poppins"/>
      </rPr>
      <t>Commercial Electricity Emissions - mt CO</t>
    </r>
    <r>
      <rPr>
        <b/>
        <vertAlign val="subscript"/>
        <sz val="11"/>
        <color theme="1"/>
        <rFont val="Poppins"/>
      </rPr>
      <t>2</t>
    </r>
  </si>
  <si>
    <r>
      <rPr>
        <b/>
        <sz val="11"/>
        <color theme="1"/>
        <rFont val="Poppins"/>
      </rPr>
      <t>Commercial Electricity Emissions - mt CH</t>
    </r>
    <r>
      <rPr>
        <b/>
        <vertAlign val="subscript"/>
        <sz val="11"/>
        <color theme="1"/>
        <rFont val="Poppins"/>
      </rPr>
      <t>4</t>
    </r>
  </si>
  <si>
    <r>
      <rPr>
        <b/>
        <sz val="11"/>
        <color theme="1"/>
        <rFont val="Poppins"/>
      </rPr>
      <t>Commercial Electricity Emissions - mt N</t>
    </r>
    <r>
      <rPr>
        <b/>
        <vertAlign val="subscript"/>
        <sz val="11"/>
        <color theme="1"/>
        <rFont val="Poppins"/>
      </rPr>
      <t>2</t>
    </r>
    <r>
      <rPr>
        <b/>
        <sz val="11"/>
        <color theme="1"/>
        <rFont val="Poppins"/>
      </rPr>
      <t>O</t>
    </r>
  </si>
  <si>
    <r>
      <rPr>
        <b/>
        <sz val="11"/>
        <color theme="1"/>
        <rFont val="Poppins"/>
      </rPr>
      <t>Commercial Electricity Emissions (mt CO</t>
    </r>
    <r>
      <rPr>
        <b/>
        <vertAlign val="subscript"/>
        <sz val="11"/>
        <color theme="1"/>
        <rFont val="Poppins"/>
      </rPr>
      <t>2</t>
    </r>
    <r>
      <rPr>
        <b/>
        <sz val="11"/>
        <color theme="1"/>
        <rFont val="Poppins"/>
      </rPr>
      <t>e)</t>
    </r>
  </si>
  <si>
    <t>Industrial Electricity Emissions: PNM</t>
  </si>
  <si>
    <t>Industrial Electricity (kWh)</t>
  </si>
  <si>
    <r>
      <rPr>
        <b/>
        <sz val="11"/>
        <color theme="1"/>
        <rFont val="Poppins"/>
      </rPr>
      <t>Industrial Electricity Emissions - mt CO</t>
    </r>
    <r>
      <rPr>
        <b/>
        <vertAlign val="subscript"/>
        <sz val="11"/>
        <color theme="1"/>
        <rFont val="Poppins"/>
      </rPr>
      <t>2</t>
    </r>
  </si>
  <si>
    <r>
      <rPr>
        <b/>
        <sz val="11"/>
        <color theme="1"/>
        <rFont val="Poppins"/>
      </rPr>
      <t>Industrial Electricity Emissions - mt CH</t>
    </r>
    <r>
      <rPr>
        <b/>
        <vertAlign val="subscript"/>
        <sz val="11"/>
        <color theme="1"/>
        <rFont val="Poppins"/>
      </rPr>
      <t>4</t>
    </r>
  </si>
  <si>
    <r>
      <rPr>
        <b/>
        <sz val="11"/>
        <color theme="1"/>
        <rFont val="Poppins"/>
      </rPr>
      <t>Industrial Electricity Emissions - mt N</t>
    </r>
    <r>
      <rPr>
        <b/>
        <vertAlign val="subscript"/>
        <sz val="11"/>
        <color theme="1"/>
        <rFont val="Poppins"/>
      </rPr>
      <t>2</t>
    </r>
    <r>
      <rPr>
        <b/>
        <sz val="11"/>
        <color theme="1"/>
        <rFont val="Poppins"/>
      </rPr>
      <t>O</t>
    </r>
  </si>
  <si>
    <r>
      <rPr>
        <b/>
        <sz val="11"/>
        <color theme="1"/>
        <rFont val="Poppins"/>
      </rPr>
      <t>Industrial Electricity Emissions (mt CO</t>
    </r>
    <r>
      <rPr>
        <b/>
        <vertAlign val="subscript"/>
        <sz val="11"/>
        <color theme="1"/>
        <rFont val="Poppins"/>
      </rPr>
      <t>2</t>
    </r>
    <r>
      <rPr>
        <b/>
        <sz val="11"/>
        <color theme="1"/>
        <rFont val="Poppins"/>
      </rPr>
      <t>e)</t>
    </r>
  </si>
  <si>
    <t>T&amp;D Emissions: PNM</t>
  </si>
  <si>
    <t>Transmission Losses (kWh)</t>
  </si>
  <si>
    <r>
      <rPr>
        <b/>
        <sz val="11"/>
        <color theme="1"/>
        <rFont val="Poppins"/>
      </rPr>
      <t>T&amp;D Emissions - mt CO</t>
    </r>
    <r>
      <rPr>
        <b/>
        <vertAlign val="subscript"/>
        <sz val="11"/>
        <color theme="1"/>
        <rFont val="Poppins"/>
      </rPr>
      <t>2</t>
    </r>
  </si>
  <si>
    <r>
      <rPr>
        <b/>
        <sz val="11"/>
        <color theme="1"/>
        <rFont val="Poppins"/>
      </rPr>
      <t>T&amp;D Emissions - mt CH</t>
    </r>
    <r>
      <rPr>
        <b/>
        <vertAlign val="subscript"/>
        <sz val="11"/>
        <color theme="1"/>
        <rFont val="Poppins"/>
      </rPr>
      <t>4</t>
    </r>
  </si>
  <si>
    <r>
      <rPr>
        <b/>
        <sz val="11"/>
        <color theme="1"/>
        <rFont val="Poppins"/>
      </rPr>
      <t>T&amp;D Emissions - mt N</t>
    </r>
    <r>
      <rPr>
        <b/>
        <vertAlign val="subscript"/>
        <sz val="11"/>
        <color theme="1"/>
        <rFont val="Poppins"/>
      </rPr>
      <t>2</t>
    </r>
    <r>
      <rPr>
        <b/>
        <sz val="11"/>
        <color theme="1"/>
        <rFont val="Poppins"/>
      </rPr>
      <t>O</t>
    </r>
  </si>
  <si>
    <r>
      <rPr>
        <b/>
        <sz val="11"/>
        <color theme="1"/>
        <rFont val="Poppins"/>
      </rPr>
      <t>T&amp;D Emissions (mt CO</t>
    </r>
    <r>
      <rPr>
        <b/>
        <vertAlign val="subscript"/>
        <sz val="11"/>
        <color theme="1"/>
        <rFont val="Poppins"/>
      </rPr>
      <t>2</t>
    </r>
    <r>
      <rPr>
        <b/>
        <sz val="11"/>
        <color theme="1"/>
        <rFont val="Poppins"/>
      </rPr>
      <t>e)</t>
    </r>
  </si>
  <si>
    <t xml:space="preserve">Jemez Mtns Emissions </t>
  </si>
  <si>
    <t>Residential Electricity Emissions: Jemez Mountains</t>
  </si>
  <si>
    <r>
      <rPr>
        <b/>
        <sz val="11"/>
        <color theme="1"/>
        <rFont val="Poppins"/>
      </rPr>
      <t>Residential Electricity Emissions - mt CO</t>
    </r>
    <r>
      <rPr>
        <b/>
        <vertAlign val="subscript"/>
        <sz val="11"/>
        <color theme="1"/>
        <rFont val="Poppins"/>
      </rPr>
      <t>2</t>
    </r>
  </si>
  <si>
    <r>
      <rPr>
        <b/>
        <sz val="11"/>
        <color theme="1"/>
        <rFont val="Poppins"/>
      </rPr>
      <t>Residential Electricity Emissions - mt CH</t>
    </r>
    <r>
      <rPr>
        <b/>
        <vertAlign val="subscript"/>
        <sz val="11"/>
        <color theme="1"/>
        <rFont val="Poppins"/>
      </rPr>
      <t>4</t>
    </r>
  </si>
  <si>
    <r>
      <rPr>
        <b/>
        <sz val="11"/>
        <color theme="1"/>
        <rFont val="Poppins"/>
      </rPr>
      <t>Residential Electricity Emissions - mt N</t>
    </r>
    <r>
      <rPr>
        <b/>
        <vertAlign val="subscript"/>
        <sz val="11"/>
        <color theme="1"/>
        <rFont val="Poppins"/>
      </rPr>
      <t>2</t>
    </r>
    <r>
      <rPr>
        <b/>
        <sz val="11"/>
        <color theme="1"/>
        <rFont val="Poppins"/>
      </rPr>
      <t>O</t>
    </r>
  </si>
  <si>
    <r>
      <rPr>
        <b/>
        <sz val="11"/>
        <color theme="1"/>
        <rFont val="Poppins"/>
      </rPr>
      <t>Residential Electricity Emissions (mt CO</t>
    </r>
    <r>
      <rPr>
        <b/>
        <vertAlign val="subscript"/>
        <sz val="11"/>
        <color theme="1"/>
        <rFont val="Poppins"/>
      </rPr>
      <t>2</t>
    </r>
    <r>
      <rPr>
        <b/>
        <sz val="11"/>
        <color theme="1"/>
        <rFont val="Poppins"/>
      </rPr>
      <t>e)</t>
    </r>
  </si>
  <si>
    <t>Commercial Electricity Emissions: Jemez Mountains</t>
  </si>
  <si>
    <r>
      <rPr>
        <b/>
        <sz val="11"/>
        <color theme="1"/>
        <rFont val="Poppins"/>
      </rPr>
      <t>Commercial Electricity Emissions - mt CO</t>
    </r>
    <r>
      <rPr>
        <b/>
        <vertAlign val="subscript"/>
        <sz val="11"/>
        <color theme="1"/>
        <rFont val="Poppins"/>
      </rPr>
      <t>2</t>
    </r>
  </si>
  <si>
    <r>
      <rPr>
        <b/>
        <sz val="11"/>
        <color theme="1"/>
        <rFont val="Poppins"/>
      </rPr>
      <t>Commercial Electricity Emissions - mt CH</t>
    </r>
    <r>
      <rPr>
        <b/>
        <vertAlign val="subscript"/>
        <sz val="11"/>
        <color theme="1"/>
        <rFont val="Poppins"/>
      </rPr>
      <t>4</t>
    </r>
  </si>
  <si>
    <r>
      <rPr>
        <b/>
        <sz val="11"/>
        <color theme="1"/>
        <rFont val="Poppins"/>
      </rPr>
      <t>Commercial Electricity Emissions - mt N</t>
    </r>
    <r>
      <rPr>
        <b/>
        <vertAlign val="subscript"/>
        <sz val="11"/>
        <color theme="1"/>
        <rFont val="Poppins"/>
      </rPr>
      <t>2</t>
    </r>
    <r>
      <rPr>
        <b/>
        <sz val="11"/>
        <color theme="1"/>
        <rFont val="Poppins"/>
      </rPr>
      <t>O</t>
    </r>
  </si>
  <si>
    <r>
      <rPr>
        <b/>
        <sz val="11"/>
        <color theme="1"/>
        <rFont val="Poppins"/>
      </rPr>
      <t>Commercial Electricity Emissions (mt CO</t>
    </r>
    <r>
      <rPr>
        <b/>
        <vertAlign val="subscript"/>
        <sz val="11"/>
        <color theme="1"/>
        <rFont val="Poppins"/>
      </rPr>
      <t>2</t>
    </r>
    <r>
      <rPr>
        <b/>
        <sz val="11"/>
        <color theme="1"/>
        <rFont val="Poppins"/>
      </rPr>
      <t>e)</t>
    </r>
  </si>
  <si>
    <t>T&amp;D Emissions: Jemez Mountains</t>
  </si>
  <si>
    <r>
      <rPr>
        <b/>
        <sz val="11"/>
        <color theme="1"/>
        <rFont val="Poppins"/>
      </rPr>
      <t>T&amp;D Emissions - mt CO</t>
    </r>
    <r>
      <rPr>
        <b/>
        <vertAlign val="subscript"/>
        <sz val="11"/>
        <color theme="1"/>
        <rFont val="Poppins"/>
      </rPr>
      <t>2</t>
    </r>
  </si>
  <si>
    <r>
      <rPr>
        <b/>
        <sz val="11"/>
        <color theme="1"/>
        <rFont val="Poppins"/>
      </rPr>
      <t>T&amp;D Emissions - mt CH</t>
    </r>
    <r>
      <rPr>
        <b/>
        <vertAlign val="subscript"/>
        <sz val="11"/>
        <color theme="1"/>
        <rFont val="Poppins"/>
      </rPr>
      <t>4</t>
    </r>
  </si>
  <si>
    <r>
      <rPr>
        <b/>
        <sz val="11"/>
        <color theme="1"/>
        <rFont val="Poppins"/>
      </rPr>
      <t>T&amp;D Emissions - mt N</t>
    </r>
    <r>
      <rPr>
        <b/>
        <vertAlign val="subscript"/>
        <sz val="11"/>
        <color theme="1"/>
        <rFont val="Poppins"/>
      </rPr>
      <t>2</t>
    </r>
    <r>
      <rPr>
        <b/>
        <sz val="11"/>
        <color theme="1"/>
        <rFont val="Poppins"/>
      </rPr>
      <t>O</t>
    </r>
  </si>
  <si>
    <r>
      <rPr>
        <b/>
        <sz val="11"/>
        <color theme="1"/>
        <rFont val="Poppins"/>
      </rPr>
      <t>T&amp;D Emissions (mt CO</t>
    </r>
    <r>
      <rPr>
        <b/>
        <vertAlign val="subscript"/>
        <sz val="11"/>
        <color theme="1"/>
        <rFont val="Poppins"/>
      </rPr>
      <t>2</t>
    </r>
    <r>
      <rPr>
        <b/>
        <sz val="11"/>
        <color theme="1"/>
        <rFont val="Poppins"/>
      </rPr>
      <t>e)</t>
    </r>
  </si>
  <si>
    <t>Socorro Electric Cooperative</t>
  </si>
  <si>
    <t>Residential Electricity Emissions: Socorro</t>
  </si>
  <si>
    <r>
      <rPr>
        <b/>
        <sz val="11"/>
        <color theme="1"/>
        <rFont val="Poppins"/>
      </rPr>
      <t>Residential Electricity Emissions - mt CO</t>
    </r>
    <r>
      <rPr>
        <b/>
        <vertAlign val="subscript"/>
        <sz val="11"/>
        <color theme="1"/>
        <rFont val="Poppins"/>
      </rPr>
      <t>2</t>
    </r>
  </si>
  <si>
    <r>
      <rPr>
        <b/>
        <sz val="11"/>
        <color theme="1"/>
        <rFont val="Poppins"/>
      </rPr>
      <t>Residential Electricity Emissions - mt CH</t>
    </r>
    <r>
      <rPr>
        <b/>
        <vertAlign val="subscript"/>
        <sz val="11"/>
        <color theme="1"/>
        <rFont val="Poppins"/>
      </rPr>
      <t>4</t>
    </r>
  </si>
  <si>
    <r>
      <rPr>
        <b/>
        <sz val="11"/>
        <color theme="1"/>
        <rFont val="Poppins"/>
      </rPr>
      <t>Residential Electricity Emissions - mt N</t>
    </r>
    <r>
      <rPr>
        <b/>
        <vertAlign val="subscript"/>
        <sz val="11"/>
        <color theme="1"/>
        <rFont val="Poppins"/>
      </rPr>
      <t>2</t>
    </r>
    <r>
      <rPr>
        <b/>
        <sz val="11"/>
        <color theme="1"/>
        <rFont val="Poppins"/>
      </rPr>
      <t>O</t>
    </r>
  </si>
  <si>
    <r>
      <rPr>
        <b/>
        <sz val="11"/>
        <color theme="1"/>
        <rFont val="Poppins"/>
      </rPr>
      <t>Residential Electricity Emissions (mt CO</t>
    </r>
    <r>
      <rPr>
        <b/>
        <vertAlign val="subscript"/>
        <sz val="11"/>
        <color theme="1"/>
        <rFont val="Poppins"/>
      </rPr>
      <t>2</t>
    </r>
    <r>
      <rPr>
        <b/>
        <sz val="11"/>
        <color theme="1"/>
        <rFont val="Poppins"/>
      </rPr>
      <t>e)</t>
    </r>
  </si>
  <si>
    <t>Commercial Electricity Emissions: Socorro</t>
  </si>
  <si>
    <r>
      <rPr>
        <b/>
        <sz val="11"/>
        <color theme="1"/>
        <rFont val="Poppins"/>
      </rPr>
      <t>Commercial Electricity Emissions - mt CO</t>
    </r>
    <r>
      <rPr>
        <b/>
        <vertAlign val="subscript"/>
        <sz val="11"/>
        <color theme="1"/>
        <rFont val="Poppins"/>
      </rPr>
      <t>2</t>
    </r>
  </si>
  <si>
    <r>
      <rPr>
        <b/>
        <sz val="11"/>
        <color theme="1"/>
        <rFont val="Poppins"/>
      </rPr>
      <t>Commercial Electricity Emissions - mt CH</t>
    </r>
    <r>
      <rPr>
        <b/>
        <vertAlign val="subscript"/>
        <sz val="11"/>
        <color theme="1"/>
        <rFont val="Poppins"/>
      </rPr>
      <t>4</t>
    </r>
  </si>
  <si>
    <r>
      <rPr>
        <b/>
        <sz val="11"/>
        <color theme="1"/>
        <rFont val="Poppins"/>
      </rPr>
      <t>Commercial Electricity Emissions - mt N</t>
    </r>
    <r>
      <rPr>
        <b/>
        <vertAlign val="subscript"/>
        <sz val="11"/>
        <color theme="1"/>
        <rFont val="Poppins"/>
      </rPr>
      <t>2</t>
    </r>
    <r>
      <rPr>
        <b/>
        <sz val="11"/>
        <color theme="1"/>
        <rFont val="Poppins"/>
      </rPr>
      <t>O</t>
    </r>
  </si>
  <si>
    <r>
      <rPr>
        <b/>
        <sz val="11"/>
        <color theme="1"/>
        <rFont val="Poppins"/>
      </rPr>
      <t>Commercial Electricity Emissions (mt CO</t>
    </r>
    <r>
      <rPr>
        <b/>
        <vertAlign val="subscript"/>
        <sz val="11"/>
        <color theme="1"/>
        <rFont val="Poppins"/>
      </rPr>
      <t>2</t>
    </r>
    <r>
      <rPr>
        <b/>
        <sz val="11"/>
        <color theme="1"/>
        <rFont val="Poppins"/>
      </rPr>
      <t>e)</t>
    </r>
  </si>
  <si>
    <t>Industrial Electricity Emissions: Socorro</t>
  </si>
  <si>
    <r>
      <rPr>
        <b/>
        <sz val="11"/>
        <color theme="1"/>
        <rFont val="Poppins"/>
      </rPr>
      <t>Industrial Electricity Emissions - mt CO</t>
    </r>
    <r>
      <rPr>
        <b/>
        <vertAlign val="subscript"/>
        <sz val="11"/>
        <color theme="1"/>
        <rFont val="Poppins"/>
      </rPr>
      <t>2</t>
    </r>
  </si>
  <si>
    <r>
      <rPr>
        <b/>
        <sz val="11"/>
        <color theme="1"/>
        <rFont val="Poppins"/>
      </rPr>
      <t>Industrial Electricity Emissions - mt CH</t>
    </r>
    <r>
      <rPr>
        <b/>
        <vertAlign val="subscript"/>
        <sz val="11"/>
        <color theme="1"/>
        <rFont val="Poppins"/>
      </rPr>
      <t>4</t>
    </r>
  </si>
  <si>
    <r>
      <rPr>
        <b/>
        <sz val="11"/>
        <color theme="1"/>
        <rFont val="Poppins"/>
      </rPr>
      <t>Industrial Electricity Emissions - mt N</t>
    </r>
    <r>
      <rPr>
        <b/>
        <vertAlign val="subscript"/>
        <sz val="11"/>
        <color theme="1"/>
        <rFont val="Poppins"/>
      </rPr>
      <t>2</t>
    </r>
    <r>
      <rPr>
        <b/>
        <sz val="11"/>
        <color theme="1"/>
        <rFont val="Poppins"/>
      </rPr>
      <t>O</t>
    </r>
  </si>
  <si>
    <r>
      <rPr>
        <b/>
        <sz val="11"/>
        <color theme="1"/>
        <rFont val="Poppins"/>
      </rPr>
      <t>Industrial Electricity Emissions (mt CO</t>
    </r>
    <r>
      <rPr>
        <b/>
        <vertAlign val="subscript"/>
        <sz val="11"/>
        <color theme="1"/>
        <rFont val="Poppins"/>
      </rPr>
      <t>2</t>
    </r>
    <r>
      <rPr>
        <b/>
        <sz val="11"/>
        <color theme="1"/>
        <rFont val="Poppins"/>
      </rPr>
      <t>e)</t>
    </r>
  </si>
  <si>
    <t>T&amp;D Emissions: Socorro</t>
  </si>
  <si>
    <r>
      <rPr>
        <b/>
        <sz val="11"/>
        <color theme="1"/>
        <rFont val="Poppins"/>
      </rPr>
      <t>T&amp;D Emissions - mt CO</t>
    </r>
    <r>
      <rPr>
        <b/>
        <vertAlign val="subscript"/>
        <sz val="11"/>
        <color theme="1"/>
        <rFont val="Poppins"/>
      </rPr>
      <t>2</t>
    </r>
  </si>
  <si>
    <r>
      <rPr>
        <b/>
        <sz val="11"/>
        <color theme="1"/>
        <rFont val="Poppins"/>
      </rPr>
      <t>T&amp;D Emissions - mt CH</t>
    </r>
    <r>
      <rPr>
        <b/>
        <vertAlign val="subscript"/>
        <sz val="11"/>
        <color theme="1"/>
        <rFont val="Poppins"/>
      </rPr>
      <t>4</t>
    </r>
  </si>
  <si>
    <r>
      <rPr>
        <b/>
        <sz val="11"/>
        <color theme="1"/>
        <rFont val="Poppins"/>
      </rPr>
      <t>T&amp;D Emissions - mt N</t>
    </r>
    <r>
      <rPr>
        <b/>
        <vertAlign val="subscript"/>
        <sz val="11"/>
        <color theme="1"/>
        <rFont val="Poppins"/>
      </rPr>
      <t>2</t>
    </r>
    <r>
      <rPr>
        <b/>
        <sz val="11"/>
        <color theme="1"/>
        <rFont val="Poppins"/>
      </rPr>
      <t>O</t>
    </r>
  </si>
  <si>
    <r>
      <rPr>
        <b/>
        <sz val="11"/>
        <color theme="1"/>
        <rFont val="Poppins"/>
      </rPr>
      <t>T&amp;D Emissions (mt CO</t>
    </r>
    <r>
      <rPr>
        <b/>
        <vertAlign val="subscript"/>
        <sz val="11"/>
        <color theme="1"/>
        <rFont val="Poppins"/>
      </rPr>
      <t>2</t>
    </r>
    <r>
      <rPr>
        <b/>
        <sz val="11"/>
        <color theme="1"/>
        <rFont val="Poppins"/>
      </rPr>
      <t>e)</t>
    </r>
  </si>
  <si>
    <t>Continental Divide Electric Cooperative</t>
  </si>
  <si>
    <t>Residential Electricity Emissions: Continental Divide</t>
  </si>
  <si>
    <r>
      <rPr>
        <b/>
        <sz val="11"/>
        <color theme="1"/>
        <rFont val="Poppins"/>
      </rPr>
      <t>Residential Electricity Emissions - mt CO</t>
    </r>
    <r>
      <rPr>
        <b/>
        <vertAlign val="subscript"/>
        <sz val="11"/>
        <color theme="1"/>
        <rFont val="Poppins"/>
      </rPr>
      <t>2</t>
    </r>
  </si>
  <si>
    <r>
      <rPr>
        <b/>
        <sz val="11"/>
        <color theme="1"/>
        <rFont val="Poppins"/>
      </rPr>
      <t>Residential Electricity Emissions - mt CH</t>
    </r>
    <r>
      <rPr>
        <b/>
        <vertAlign val="subscript"/>
        <sz val="11"/>
        <color theme="1"/>
        <rFont val="Poppins"/>
      </rPr>
      <t>4</t>
    </r>
  </si>
  <si>
    <r>
      <rPr>
        <b/>
        <sz val="11"/>
        <color theme="1"/>
        <rFont val="Poppins"/>
      </rPr>
      <t>Residential Electricity Emissions - mt N</t>
    </r>
    <r>
      <rPr>
        <b/>
        <vertAlign val="subscript"/>
        <sz val="11"/>
        <color theme="1"/>
        <rFont val="Poppins"/>
      </rPr>
      <t>2</t>
    </r>
    <r>
      <rPr>
        <b/>
        <sz val="11"/>
        <color theme="1"/>
        <rFont val="Poppins"/>
      </rPr>
      <t>O</t>
    </r>
  </si>
  <si>
    <r>
      <rPr>
        <b/>
        <sz val="11"/>
        <color theme="1"/>
        <rFont val="Poppins"/>
      </rPr>
      <t>Residential Electricity Emissions (mt CO</t>
    </r>
    <r>
      <rPr>
        <b/>
        <vertAlign val="subscript"/>
        <sz val="11"/>
        <color theme="1"/>
        <rFont val="Poppins"/>
      </rPr>
      <t>2</t>
    </r>
    <r>
      <rPr>
        <b/>
        <sz val="11"/>
        <color theme="1"/>
        <rFont val="Poppins"/>
      </rPr>
      <t>e)</t>
    </r>
  </si>
  <si>
    <t>Commercial Electricity Emissions: Continental Divide</t>
  </si>
  <si>
    <r>
      <rPr>
        <b/>
        <sz val="11"/>
        <color theme="1"/>
        <rFont val="Poppins"/>
      </rPr>
      <t>Commercial Electricity Emissions - mt CO</t>
    </r>
    <r>
      <rPr>
        <b/>
        <vertAlign val="subscript"/>
        <sz val="11"/>
        <color theme="1"/>
        <rFont val="Poppins"/>
      </rPr>
      <t>2</t>
    </r>
  </si>
  <si>
    <r>
      <rPr>
        <b/>
        <sz val="11"/>
        <color theme="1"/>
        <rFont val="Poppins"/>
      </rPr>
      <t>Commercial Electricity Emissions - mt CH</t>
    </r>
    <r>
      <rPr>
        <b/>
        <vertAlign val="subscript"/>
        <sz val="11"/>
        <color theme="1"/>
        <rFont val="Poppins"/>
      </rPr>
      <t>4</t>
    </r>
  </si>
  <si>
    <r>
      <rPr>
        <b/>
        <sz val="11"/>
        <color theme="1"/>
        <rFont val="Poppins"/>
      </rPr>
      <t>Commercial Electricity Emissions - mt N</t>
    </r>
    <r>
      <rPr>
        <b/>
        <vertAlign val="subscript"/>
        <sz val="11"/>
        <color theme="1"/>
        <rFont val="Poppins"/>
      </rPr>
      <t>2</t>
    </r>
    <r>
      <rPr>
        <b/>
        <sz val="11"/>
        <color theme="1"/>
        <rFont val="Poppins"/>
      </rPr>
      <t>O</t>
    </r>
  </si>
  <si>
    <r>
      <rPr>
        <b/>
        <sz val="11"/>
        <color theme="1"/>
        <rFont val="Poppins"/>
      </rPr>
      <t>Commercial Electricity Emissions (mt CO</t>
    </r>
    <r>
      <rPr>
        <b/>
        <vertAlign val="subscript"/>
        <sz val="11"/>
        <color theme="1"/>
        <rFont val="Poppins"/>
      </rPr>
      <t>2</t>
    </r>
    <r>
      <rPr>
        <b/>
        <sz val="11"/>
        <color theme="1"/>
        <rFont val="Poppins"/>
      </rPr>
      <t>e)</t>
    </r>
  </si>
  <si>
    <t>Industrial Electricity Emissions: Continental Divide</t>
  </si>
  <si>
    <r>
      <rPr>
        <b/>
        <sz val="11"/>
        <color theme="1"/>
        <rFont val="Poppins"/>
      </rPr>
      <t>Industrial Electricity Emissions - mt CO</t>
    </r>
    <r>
      <rPr>
        <b/>
        <vertAlign val="subscript"/>
        <sz val="11"/>
        <color theme="1"/>
        <rFont val="Poppins"/>
      </rPr>
      <t>2</t>
    </r>
  </si>
  <si>
    <r>
      <rPr>
        <b/>
        <sz val="11"/>
        <color theme="1"/>
        <rFont val="Poppins"/>
      </rPr>
      <t>Industrial Electricity Emissions - mt CH</t>
    </r>
    <r>
      <rPr>
        <b/>
        <vertAlign val="subscript"/>
        <sz val="11"/>
        <color theme="1"/>
        <rFont val="Poppins"/>
      </rPr>
      <t>4</t>
    </r>
  </si>
  <si>
    <r>
      <rPr>
        <b/>
        <sz val="11"/>
        <color theme="1"/>
        <rFont val="Poppins"/>
      </rPr>
      <t>Industrial Electricity Emissions - mt N</t>
    </r>
    <r>
      <rPr>
        <b/>
        <vertAlign val="subscript"/>
        <sz val="11"/>
        <color theme="1"/>
        <rFont val="Poppins"/>
      </rPr>
      <t>2</t>
    </r>
    <r>
      <rPr>
        <b/>
        <sz val="11"/>
        <color theme="1"/>
        <rFont val="Poppins"/>
      </rPr>
      <t>O</t>
    </r>
  </si>
  <si>
    <r>
      <rPr>
        <b/>
        <sz val="11"/>
        <color theme="1"/>
        <rFont val="Poppins"/>
      </rPr>
      <t>Industrial Electricity Emissions (mt CO</t>
    </r>
    <r>
      <rPr>
        <b/>
        <vertAlign val="subscript"/>
        <sz val="11"/>
        <color theme="1"/>
        <rFont val="Poppins"/>
      </rPr>
      <t>2</t>
    </r>
    <r>
      <rPr>
        <b/>
        <sz val="11"/>
        <color theme="1"/>
        <rFont val="Poppins"/>
      </rPr>
      <t>e)</t>
    </r>
  </si>
  <si>
    <t>T&amp;D Emissions: Continental Divide</t>
  </si>
  <si>
    <r>
      <rPr>
        <b/>
        <sz val="11"/>
        <color theme="1"/>
        <rFont val="Poppins"/>
      </rPr>
      <t>T&amp;D Emissions - mt CO</t>
    </r>
    <r>
      <rPr>
        <b/>
        <vertAlign val="subscript"/>
        <sz val="11"/>
        <color theme="1"/>
        <rFont val="Poppins"/>
      </rPr>
      <t>2</t>
    </r>
  </si>
  <si>
    <r>
      <rPr>
        <b/>
        <sz val="11"/>
        <color theme="1"/>
        <rFont val="Poppins"/>
      </rPr>
      <t>T&amp;D Emissions - mt CH</t>
    </r>
    <r>
      <rPr>
        <b/>
        <vertAlign val="subscript"/>
        <sz val="11"/>
        <color theme="1"/>
        <rFont val="Poppins"/>
      </rPr>
      <t>4</t>
    </r>
  </si>
  <si>
    <r>
      <rPr>
        <b/>
        <sz val="11"/>
        <color theme="1"/>
        <rFont val="Poppins"/>
      </rPr>
      <t>T&amp;D Emissions - mt N</t>
    </r>
    <r>
      <rPr>
        <b/>
        <vertAlign val="subscript"/>
        <sz val="11"/>
        <color theme="1"/>
        <rFont val="Poppins"/>
      </rPr>
      <t>2</t>
    </r>
    <r>
      <rPr>
        <b/>
        <sz val="11"/>
        <color theme="1"/>
        <rFont val="Poppins"/>
      </rPr>
      <t>O</t>
    </r>
  </si>
  <si>
    <r>
      <rPr>
        <b/>
        <sz val="11"/>
        <color theme="1"/>
        <rFont val="Poppins"/>
      </rPr>
      <t>T&amp;D Emissions (mt CO</t>
    </r>
    <r>
      <rPr>
        <b/>
        <vertAlign val="subscript"/>
        <sz val="11"/>
        <color theme="1"/>
        <rFont val="Poppins"/>
      </rPr>
      <t>2</t>
    </r>
    <r>
      <rPr>
        <b/>
        <sz val="11"/>
        <color theme="1"/>
        <rFont val="Poppins"/>
      </rPr>
      <t>e)</t>
    </r>
  </si>
  <si>
    <t>Central New Mexico Electric Cooperative</t>
  </si>
  <si>
    <t>Residential Electricity Emissions: Central NM</t>
  </si>
  <si>
    <r>
      <rPr>
        <b/>
        <sz val="11"/>
        <color theme="1"/>
        <rFont val="Poppins"/>
      </rPr>
      <t>Residential Electricity Emissions - mt CO</t>
    </r>
    <r>
      <rPr>
        <b/>
        <vertAlign val="subscript"/>
        <sz val="11"/>
        <color theme="1"/>
        <rFont val="Poppins"/>
      </rPr>
      <t>2</t>
    </r>
  </si>
  <si>
    <r>
      <rPr>
        <b/>
        <sz val="11"/>
        <color theme="1"/>
        <rFont val="Poppins"/>
      </rPr>
      <t>Residential Electricity Emissions - mt CH</t>
    </r>
    <r>
      <rPr>
        <b/>
        <vertAlign val="subscript"/>
        <sz val="11"/>
        <color theme="1"/>
        <rFont val="Poppins"/>
      </rPr>
      <t>4</t>
    </r>
  </si>
  <si>
    <r>
      <rPr>
        <b/>
        <sz val="11"/>
        <color theme="1"/>
        <rFont val="Poppins"/>
      </rPr>
      <t>Residential Electricity Emissions - mt N</t>
    </r>
    <r>
      <rPr>
        <b/>
        <vertAlign val="subscript"/>
        <sz val="11"/>
        <color theme="1"/>
        <rFont val="Poppins"/>
      </rPr>
      <t>2</t>
    </r>
    <r>
      <rPr>
        <b/>
        <sz val="11"/>
        <color theme="1"/>
        <rFont val="Poppins"/>
      </rPr>
      <t>O</t>
    </r>
  </si>
  <si>
    <r>
      <rPr>
        <b/>
        <sz val="11"/>
        <color theme="1"/>
        <rFont val="Poppins"/>
      </rPr>
      <t>Residential Electricity Emissions (mt CO</t>
    </r>
    <r>
      <rPr>
        <b/>
        <vertAlign val="subscript"/>
        <sz val="11"/>
        <color theme="1"/>
        <rFont val="Poppins"/>
      </rPr>
      <t>2</t>
    </r>
    <r>
      <rPr>
        <b/>
        <sz val="11"/>
        <color theme="1"/>
        <rFont val="Poppins"/>
      </rPr>
      <t>e)</t>
    </r>
  </si>
  <si>
    <t>Commercial Electricity Emissions: Central NM</t>
  </si>
  <si>
    <r>
      <rPr>
        <b/>
        <sz val="11"/>
        <color theme="1"/>
        <rFont val="Poppins"/>
      </rPr>
      <t>Commercial Electricity Emissions - mt CO</t>
    </r>
    <r>
      <rPr>
        <b/>
        <vertAlign val="subscript"/>
        <sz val="11"/>
        <color theme="1"/>
        <rFont val="Poppins"/>
      </rPr>
      <t>2</t>
    </r>
  </si>
  <si>
    <r>
      <rPr>
        <b/>
        <sz val="11"/>
        <color theme="1"/>
        <rFont val="Poppins"/>
      </rPr>
      <t>Commercial Electricity Emissions - mt CH</t>
    </r>
    <r>
      <rPr>
        <b/>
        <vertAlign val="subscript"/>
        <sz val="11"/>
        <color theme="1"/>
        <rFont val="Poppins"/>
      </rPr>
      <t>4</t>
    </r>
  </si>
  <si>
    <r>
      <rPr>
        <b/>
        <sz val="11"/>
        <color theme="1"/>
        <rFont val="Poppins"/>
      </rPr>
      <t>Commercial Electricity Emissions - mt N</t>
    </r>
    <r>
      <rPr>
        <b/>
        <vertAlign val="subscript"/>
        <sz val="11"/>
        <color theme="1"/>
        <rFont val="Poppins"/>
      </rPr>
      <t>2</t>
    </r>
    <r>
      <rPr>
        <b/>
        <sz val="11"/>
        <color theme="1"/>
        <rFont val="Poppins"/>
      </rPr>
      <t>O</t>
    </r>
  </si>
  <si>
    <r>
      <rPr>
        <b/>
        <sz val="11"/>
        <color theme="1"/>
        <rFont val="Poppins"/>
      </rPr>
      <t>Commercial Electricity Emissions (mt CO</t>
    </r>
    <r>
      <rPr>
        <b/>
        <vertAlign val="subscript"/>
        <sz val="11"/>
        <color theme="1"/>
        <rFont val="Poppins"/>
      </rPr>
      <t>2</t>
    </r>
    <r>
      <rPr>
        <b/>
        <sz val="11"/>
        <color theme="1"/>
        <rFont val="Poppins"/>
      </rPr>
      <t>e)</t>
    </r>
  </si>
  <si>
    <t>Industrial Electricity Emissions: Central NM</t>
  </si>
  <si>
    <r>
      <rPr>
        <b/>
        <sz val="11"/>
        <color theme="1"/>
        <rFont val="Poppins"/>
      </rPr>
      <t>Industrial Electricity Emissions - mt CO</t>
    </r>
    <r>
      <rPr>
        <b/>
        <vertAlign val="subscript"/>
        <sz val="11"/>
        <color theme="1"/>
        <rFont val="Poppins"/>
      </rPr>
      <t>2</t>
    </r>
  </si>
  <si>
    <r>
      <rPr>
        <b/>
        <sz val="11"/>
        <color theme="1"/>
        <rFont val="Poppins"/>
      </rPr>
      <t>Industrial Electricity Emissions - mt CH</t>
    </r>
    <r>
      <rPr>
        <b/>
        <vertAlign val="subscript"/>
        <sz val="11"/>
        <color theme="1"/>
        <rFont val="Poppins"/>
      </rPr>
      <t>4</t>
    </r>
  </si>
  <si>
    <r>
      <rPr>
        <b/>
        <sz val="11"/>
        <color theme="1"/>
        <rFont val="Poppins"/>
      </rPr>
      <t>Industrial Electricity Emissions - mt N</t>
    </r>
    <r>
      <rPr>
        <b/>
        <vertAlign val="subscript"/>
        <sz val="11"/>
        <color theme="1"/>
        <rFont val="Poppins"/>
      </rPr>
      <t>2</t>
    </r>
    <r>
      <rPr>
        <b/>
        <sz val="11"/>
        <color theme="1"/>
        <rFont val="Poppins"/>
      </rPr>
      <t>O</t>
    </r>
  </si>
  <si>
    <r>
      <rPr>
        <b/>
        <sz val="11"/>
        <color theme="1"/>
        <rFont val="Poppins"/>
      </rPr>
      <t>Industrial Electricity Emissions (mt CO</t>
    </r>
    <r>
      <rPr>
        <b/>
        <vertAlign val="subscript"/>
        <sz val="11"/>
        <color theme="1"/>
        <rFont val="Poppins"/>
      </rPr>
      <t>2</t>
    </r>
    <r>
      <rPr>
        <b/>
        <sz val="11"/>
        <color theme="1"/>
        <rFont val="Poppins"/>
      </rPr>
      <t>e)</t>
    </r>
  </si>
  <si>
    <t>T&amp;D Emissions: Central NM</t>
  </si>
  <si>
    <r>
      <rPr>
        <b/>
        <sz val="11"/>
        <color theme="1"/>
        <rFont val="Poppins"/>
      </rPr>
      <t>T&amp;D Emissions - mt CO</t>
    </r>
    <r>
      <rPr>
        <b/>
        <vertAlign val="subscript"/>
        <sz val="11"/>
        <color theme="1"/>
        <rFont val="Poppins"/>
      </rPr>
      <t>2</t>
    </r>
  </si>
  <si>
    <r>
      <rPr>
        <b/>
        <sz val="11"/>
        <color theme="1"/>
        <rFont val="Poppins"/>
      </rPr>
      <t>T&amp;D Emissions - mt CH</t>
    </r>
    <r>
      <rPr>
        <b/>
        <vertAlign val="subscript"/>
        <sz val="11"/>
        <color theme="1"/>
        <rFont val="Poppins"/>
      </rPr>
      <t>4</t>
    </r>
  </si>
  <si>
    <r>
      <rPr>
        <b/>
        <sz val="11"/>
        <color theme="1"/>
        <rFont val="Poppins"/>
      </rPr>
      <t>T&amp;D Emissions - mt N</t>
    </r>
    <r>
      <rPr>
        <b/>
        <vertAlign val="subscript"/>
        <sz val="11"/>
        <color theme="1"/>
        <rFont val="Poppins"/>
      </rPr>
      <t>2</t>
    </r>
    <r>
      <rPr>
        <b/>
        <sz val="11"/>
        <color theme="1"/>
        <rFont val="Poppins"/>
      </rPr>
      <t>O</t>
    </r>
  </si>
  <si>
    <r>
      <rPr>
        <b/>
        <sz val="11"/>
        <color theme="1"/>
        <rFont val="Poppins"/>
      </rPr>
      <t>T&amp;D Emissions (mt CO</t>
    </r>
    <r>
      <rPr>
        <b/>
        <vertAlign val="subscript"/>
        <sz val="11"/>
        <color theme="1"/>
        <rFont val="Poppins"/>
      </rPr>
      <t>2</t>
    </r>
    <r>
      <rPr>
        <b/>
        <sz val="11"/>
        <color theme="1"/>
        <rFont val="Poppins"/>
      </rPr>
      <t>e)</t>
    </r>
  </si>
  <si>
    <t>Residential Natural Gas Emissions</t>
  </si>
  <si>
    <t>Residential Natural Gas  (therms)</t>
  </si>
  <si>
    <r>
      <rPr>
        <b/>
        <sz val="11"/>
        <color theme="1"/>
        <rFont val="Poppins"/>
      </rPr>
      <t>Natural Gas Emissions - mt CO</t>
    </r>
    <r>
      <rPr>
        <b/>
        <vertAlign val="subscript"/>
        <sz val="11"/>
        <color theme="1"/>
        <rFont val="Poppins"/>
      </rPr>
      <t>2</t>
    </r>
  </si>
  <si>
    <r>
      <rPr>
        <b/>
        <sz val="11"/>
        <color theme="1"/>
        <rFont val="Poppins"/>
      </rPr>
      <t>Natural Gas Emissions - mt CH</t>
    </r>
    <r>
      <rPr>
        <b/>
        <vertAlign val="subscript"/>
        <sz val="11"/>
        <color theme="1"/>
        <rFont val="Poppins"/>
      </rPr>
      <t>4</t>
    </r>
  </si>
  <si>
    <r>
      <rPr>
        <b/>
        <sz val="11"/>
        <color theme="1"/>
        <rFont val="Poppins"/>
      </rPr>
      <t>Natural Gas Emissions - mt N</t>
    </r>
    <r>
      <rPr>
        <b/>
        <vertAlign val="subscript"/>
        <sz val="11"/>
        <color theme="1"/>
        <rFont val="Poppins"/>
      </rPr>
      <t>2</t>
    </r>
    <r>
      <rPr>
        <b/>
        <sz val="11"/>
        <color theme="1"/>
        <rFont val="Poppins"/>
      </rPr>
      <t>O</t>
    </r>
  </si>
  <si>
    <t>Natural Gas Emissions (mt CO2e)</t>
  </si>
  <si>
    <t>Commercial and Industrial Natural Gas Emissions</t>
  </si>
  <si>
    <t>Commercial Natural Gas (therms)</t>
  </si>
  <si>
    <r>
      <rPr>
        <b/>
        <sz val="11"/>
        <color theme="1"/>
        <rFont val="Poppins"/>
      </rPr>
      <t>Natural Gas Emissions - mt CO</t>
    </r>
    <r>
      <rPr>
        <b/>
        <vertAlign val="subscript"/>
        <sz val="11"/>
        <color theme="1"/>
        <rFont val="Poppins"/>
      </rPr>
      <t>2</t>
    </r>
  </si>
  <si>
    <r>
      <rPr>
        <b/>
        <sz val="11"/>
        <color theme="1"/>
        <rFont val="Poppins"/>
      </rPr>
      <t>Natural Gas Emissions - mt CH</t>
    </r>
    <r>
      <rPr>
        <b/>
        <vertAlign val="subscript"/>
        <sz val="11"/>
        <color theme="1"/>
        <rFont val="Poppins"/>
      </rPr>
      <t>4</t>
    </r>
  </si>
  <si>
    <r>
      <rPr>
        <b/>
        <sz val="11"/>
        <color theme="1"/>
        <rFont val="Poppins"/>
      </rPr>
      <t>Natural Gas Emissions - mt N</t>
    </r>
    <r>
      <rPr>
        <b/>
        <vertAlign val="subscript"/>
        <sz val="11"/>
        <color theme="1"/>
        <rFont val="Poppins"/>
      </rPr>
      <t>2</t>
    </r>
    <r>
      <rPr>
        <b/>
        <sz val="11"/>
        <color theme="1"/>
        <rFont val="Poppins"/>
      </rPr>
      <t>O</t>
    </r>
  </si>
  <si>
    <r>
      <rPr>
        <b/>
        <sz val="11"/>
        <color theme="1"/>
        <rFont val="Poppins"/>
      </rPr>
      <t>Natural Gas Emissions (mt CO</t>
    </r>
    <r>
      <rPr>
        <b/>
        <vertAlign val="subscript"/>
        <sz val="11"/>
        <color theme="1"/>
        <rFont val="Poppins"/>
      </rPr>
      <t>2</t>
    </r>
    <r>
      <rPr>
        <b/>
        <sz val="11"/>
        <color theme="1"/>
        <rFont val="Poppins"/>
      </rPr>
      <t>e)</t>
    </r>
  </si>
  <si>
    <t>Usage per Commercial Square Foot</t>
  </si>
  <si>
    <t>Stationary Diesel Emissions</t>
  </si>
  <si>
    <t>Stationary Diesel (gal)</t>
  </si>
  <si>
    <r>
      <rPr>
        <b/>
        <sz val="11"/>
        <color theme="1"/>
        <rFont val="Poppins"/>
      </rPr>
      <t>Stationary Diesel Emissions - mt CO</t>
    </r>
    <r>
      <rPr>
        <b/>
        <vertAlign val="subscript"/>
        <sz val="11"/>
        <color theme="1"/>
        <rFont val="Poppins"/>
      </rPr>
      <t>2</t>
    </r>
  </si>
  <si>
    <r>
      <rPr>
        <b/>
        <sz val="11"/>
        <color theme="1"/>
        <rFont val="Poppins"/>
      </rPr>
      <t>Stationary Diesel Emissions - mt CH</t>
    </r>
    <r>
      <rPr>
        <b/>
        <vertAlign val="subscript"/>
        <sz val="11"/>
        <color theme="1"/>
        <rFont val="Poppins"/>
      </rPr>
      <t>4</t>
    </r>
  </si>
  <si>
    <r>
      <rPr>
        <b/>
        <sz val="11"/>
        <color theme="1"/>
        <rFont val="Poppins"/>
      </rPr>
      <t>Stationary Diesel Emissions - mt N</t>
    </r>
    <r>
      <rPr>
        <b/>
        <vertAlign val="subscript"/>
        <sz val="11"/>
        <color theme="1"/>
        <rFont val="Poppins"/>
      </rPr>
      <t>2</t>
    </r>
    <r>
      <rPr>
        <b/>
        <sz val="11"/>
        <color theme="1"/>
        <rFont val="Poppins"/>
      </rPr>
      <t>O</t>
    </r>
  </si>
  <si>
    <r>
      <rPr>
        <b/>
        <sz val="11"/>
        <color theme="1"/>
        <rFont val="Poppins"/>
      </rPr>
      <t>Stationary Diesel Emissions (mt CO</t>
    </r>
    <r>
      <rPr>
        <b/>
        <vertAlign val="subscript"/>
        <sz val="11"/>
        <color theme="1"/>
        <rFont val="Poppins"/>
      </rPr>
      <t>2</t>
    </r>
    <r>
      <rPr>
        <b/>
        <sz val="11"/>
        <color theme="1"/>
        <rFont val="Poppins"/>
      </rPr>
      <t>e)</t>
    </r>
  </si>
  <si>
    <t>Commercial Propane - FerrellGas</t>
  </si>
  <si>
    <t>Commercial (gal)</t>
  </si>
  <si>
    <r>
      <rPr>
        <b/>
        <sz val="11"/>
        <color theme="1"/>
        <rFont val="Poppins"/>
      </rPr>
      <t>Propane Emissions - mt CO</t>
    </r>
    <r>
      <rPr>
        <b/>
        <vertAlign val="subscript"/>
        <sz val="11"/>
        <color theme="1"/>
        <rFont val="Poppins"/>
      </rPr>
      <t>2</t>
    </r>
  </si>
  <si>
    <r>
      <rPr>
        <b/>
        <sz val="11"/>
        <color theme="1"/>
        <rFont val="Poppins"/>
      </rPr>
      <t>Propane Emissions - mt CH</t>
    </r>
    <r>
      <rPr>
        <b/>
        <vertAlign val="subscript"/>
        <sz val="11"/>
        <color theme="1"/>
        <rFont val="Poppins"/>
      </rPr>
      <t>4</t>
    </r>
  </si>
  <si>
    <r>
      <rPr>
        <b/>
        <sz val="11"/>
        <color theme="1"/>
        <rFont val="Poppins"/>
      </rPr>
      <t>Propane Emissions - mt N</t>
    </r>
    <r>
      <rPr>
        <b/>
        <vertAlign val="subscript"/>
        <sz val="11"/>
        <color theme="1"/>
        <rFont val="Poppins"/>
      </rPr>
      <t>2</t>
    </r>
    <r>
      <rPr>
        <b/>
        <sz val="11"/>
        <color theme="1"/>
        <rFont val="Poppins"/>
      </rPr>
      <t>O</t>
    </r>
  </si>
  <si>
    <r>
      <rPr>
        <b/>
        <sz val="11"/>
        <color theme="1"/>
        <rFont val="Poppins"/>
      </rPr>
      <t>Propane Emissions (mt CO</t>
    </r>
    <r>
      <rPr>
        <b/>
        <vertAlign val="subscript"/>
        <sz val="11"/>
        <color theme="1"/>
        <rFont val="Poppins"/>
      </rPr>
      <t>2</t>
    </r>
    <r>
      <rPr>
        <b/>
        <sz val="11"/>
        <color theme="1"/>
        <rFont val="Poppins"/>
      </rPr>
      <t>e)</t>
    </r>
  </si>
  <si>
    <t>Residential Propane - US Census ACS</t>
  </si>
  <si>
    <t>Homes Heated with Propane</t>
  </si>
  <si>
    <t>Total Consumption (gal)</t>
  </si>
  <si>
    <r>
      <rPr>
        <b/>
        <sz val="11"/>
        <color theme="1"/>
        <rFont val="Poppins"/>
      </rPr>
      <t>Propane Emissions - mt CO</t>
    </r>
    <r>
      <rPr>
        <b/>
        <vertAlign val="subscript"/>
        <sz val="11"/>
        <color theme="1"/>
        <rFont val="Poppins"/>
      </rPr>
      <t>2</t>
    </r>
  </si>
  <si>
    <r>
      <rPr>
        <b/>
        <sz val="11"/>
        <color theme="1"/>
        <rFont val="Poppins"/>
      </rPr>
      <t>Propane Emissions - mt CH</t>
    </r>
    <r>
      <rPr>
        <b/>
        <vertAlign val="subscript"/>
        <sz val="11"/>
        <color theme="1"/>
        <rFont val="Poppins"/>
      </rPr>
      <t>4</t>
    </r>
  </si>
  <si>
    <r>
      <rPr>
        <b/>
        <sz val="11"/>
        <color theme="1"/>
        <rFont val="Poppins"/>
      </rPr>
      <t>Propane Emissions - mt N</t>
    </r>
    <r>
      <rPr>
        <b/>
        <vertAlign val="subscript"/>
        <sz val="11"/>
        <color theme="1"/>
        <rFont val="Poppins"/>
      </rPr>
      <t>2</t>
    </r>
    <r>
      <rPr>
        <b/>
        <sz val="11"/>
        <color theme="1"/>
        <rFont val="Poppins"/>
      </rPr>
      <t>O</t>
    </r>
  </si>
  <si>
    <r>
      <rPr>
        <b/>
        <sz val="11"/>
        <color theme="1"/>
        <rFont val="Poppins"/>
      </rPr>
      <t>Propane Emissions (mt CO</t>
    </r>
    <r>
      <rPr>
        <b/>
        <vertAlign val="subscript"/>
        <sz val="11"/>
        <color theme="1"/>
        <rFont val="Poppins"/>
      </rPr>
      <t>2</t>
    </r>
    <r>
      <rPr>
        <b/>
        <sz val="11"/>
        <color theme="1"/>
        <rFont val="Poppins"/>
      </rPr>
      <t>e)</t>
    </r>
  </si>
  <si>
    <t>Homes Heated with Wood</t>
  </si>
  <si>
    <t>Total Consumption (MMBtu)</t>
  </si>
  <si>
    <r>
      <rPr>
        <b/>
        <sz val="11"/>
        <color theme="1"/>
        <rFont val="Poppins"/>
      </rPr>
      <t>Wood Emissions - mt biogenic CO</t>
    </r>
    <r>
      <rPr>
        <b/>
        <vertAlign val="subscript"/>
        <sz val="11"/>
        <color theme="1"/>
        <rFont val="Poppins"/>
      </rPr>
      <t>2</t>
    </r>
  </si>
  <si>
    <r>
      <rPr>
        <b/>
        <sz val="11"/>
        <color theme="1"/>
        <rFont val="Poppins"/>
      </rPr>
      <t>Wood Emissions - mt CH</t>
    </r>
    <r>
      <rPr>
        <b/>
        <vertAlign val="subscript"/>
        <sz val="11"/>
        <color theme="1"/>
        <rFont val="Poppins"/>
      </rPr>
      <t>4</t>
    </r>
  </si>
  <si>
    <r>
      <rPr>
        <b/>
        <sz val="11"/>
        <color theme="1"/>
        <rFont val="Poppins"/>
      </rPr>
      <t>Wood Emissions - mt N</t>
    </r>
    <r>
      <rPr>
        <b/>
        <vertAlign val="subscript"/>
        <sz val="11"/>
        <color theme="1"/>
        <rFont val="Poppins"/>
      </rPr>
      <t>2</t>
    </r>
    <r>
      <rPr>
        <b/>
        <sz val="11"/>
        <color theme="1"/>
        <rFont val="Poppins"/>
      </rPr>
      <t>O</t>
    </r>
  </si>
  <si>
    <r>
      <rPr>
        <b/>
        <sz val="11"/>
        <color theme="1"/>
        <rFont val="Poppins"/>
      </rPr>
      <t>Wood Emissions (mt CO</t>
    </r>
    <r>
      <rPr>
        <b/>
        <vertAlign val="subscript"/>
        <sz val="11"/>
        <color theme="1"/>
        <rFont val="Poppins"/>
      </rPr>
      <t>2</t>
    </r>
    <r>
      <rPr>
        <b/>
        <sz val="11"/>
        <color theme="1"/>
        <rFont val="Poppins"/>
      </rPr>
      <t>e)</t>
    </r>
  </si>
  <si>
    <t>Avoided Emissions</t>
  </si>
  <si>
    <t>% of MSA Renewable Energy</t>
  </si>
  <si>
    <t>1) PNM data provided by Alaric Babej. Spreadsheets on file. SkyBlue data included a list of communities that the data applied to. Lotus attributed usage to each county based on the number of housing units in each county.</t>
  </si>
  <si>
    <t>2) Renewable energy data for Jemez Mountains provided by Eva Deaguero with Jemez Mountains. Email and spreadsheet on file.</t>
  </si>
  <si>
    <r>
      <rPr>
        <sz val="11"/>
        <color theme="1"/>
        <rFont val="Poppins"/>
      </rPr>
      <t>CO</t>
    </r>
    <r>
      <rPr>
        <vertAlign val="subscript"/>
        <sz val="11"/>
        <color theme="1"/>
        <rFont val="Poppins"/>
      </rPr>
      <t>2</t>
    </r>
  </si>
  <si>
    <r>
      <rPr>
        <sz val="11"/>
        <color theme="1"/>
        <rFont val="Poppins"/>
      </rPr>
      <t>mtCO</t>
    </r>
    <r>
      <rPr>
        <vertAlign val="subscript"/>
        <sz val="11"/>
        <color theme="1"/>
        <rFont val="Poppins"/>
      </rPr>
      <t>2</t>
    </r>
    <r>
      <rPr>
        <sz val="11"/>
        <color theme="1"/>
        <rFont val="Poppins"/>
      </rPr>
      <t>/MWh</t>
    </r>
  </si>
  <si>
    <r>
      <rPr>
        <sz val="11"/>
        <color theme="1"/>
        <rFont val="Poppins"/>
      </rPr>
      <t>CO</t>
    </r>
    <r>
      <rPr>
        <vertAlign val="subscript"/>
        <sz val="11"/>
        <color theme="1"/>
        <rFont val="Poppins"/>
      </rPr>
      <t>2</t>
    </r>
  </si>
  <si>
    <r>
      <rPr>
        <sz val="11"/>
        <color theme="1"/>
        <rFont val="Poppins"/>
      </rPr>
      <t>mtCO</t>
    </r>
    <r>
      <rPr>
        <vertAlign val="subscript"/>
        <sz val="11"/>
        <color theme="1"/>
        <rFont val="Poppins"/>
      </rPr>
      <t>2</t>
    </r>
    <r>
      <rPr>
        <sz val="11"/>
        <color theme="1"/>
        <rFont val="Poppins"/>
      </rPr>
      <t>/MWh</t>
    </r>
  </si>
  <si>
    <t>Tri-State's Carbon Rate April 2021 Briefing. PDF on file.</t>
  </si>
  <si>
    <r>
      <rPr>
        <sz val="11"/>
        <color theme="1"/>
        <rFont val="Poppins"/>
      </rPr>
      <t>CH</t>
    </r>
    <r>
      <rPr>
        <vertAlign val="subscript"/>
        <sz val="11"/>
        <color theme="1"/>
        <rFont val="Poppins"/>
      </rPr>
      <t>4</t>
    </r>
  </si>
  <si>
    <r>
      <rPr>
        <sz val="11"/>
        <color theme="1"/>
        <rFont val="Poppins"/>
      </rPr>
      <t>mtCH</t>
    </r>
    <r>
      <rPr>
        <vertAlign val="subscript"/>
        <sz val="11"/>
        <color theme="1"/>
        <rFont val="Poppins"/>
      </rPr>
      <t>4</t>
    </r>
    <r>
      <rPr>
        <sz val="11"/>
        <color theme="1"/>
        <rFont val="Poppins"/>
      </rPr>
      <t>/MWh</t>
    </r>
  </si>
  <si>
    <r>
      <rPr>
        <sz val="11"/>
        <color theme="1"/>
        <rFont val="Poppins"/>
      </rPr>
      <t>N</t>
    </r>
    <r>
      <rPr>
        <vertAlign val="subscript"/>
        <sz val="11"/>
        <color theme="1"/>
        <rFont val="Poppins"/>
      </rPr>
      <t>2</t>
    </r>
    <r>
      <rPr>
        <sz val="11"/>
        <color theme="1"/>
        <rFont val="Poppins"/>
      </rPr>
      <t>O</t>
    </r>
  </si>
  <si>
    <r>
      <rPr>
        <sz val="11"/>
        <color theme="1"/>
        <rFont val="Poppins"/>
      </rPr>
      <t>mtN</t>
    </r>
    <r>
      <rPr>
        <vertAlign val="subscript"/>
        <sz val="11"/>
        <color theme="1"/>
        <rFont val="Poppins"/>
      </rPr>
      <t>2</t>
    </r>
    <r>
      <rPr>
        <sz val="11"/>
        <color theme="1"/>
        <rFont val="Poppins"/>
      </rPr>
      <t>O/MWh</t>
    </r>
  </si>
  <si>
    <t>MSA Total</t>
  </si>
  <si>
    <t>mt CO2e</t>
  </si>
  <si>
    <t>Input Data</t>
  </si>
  <si>
    <t>Program</t>
  </si>
  <si>
    <t>Subscribed Energy (kWh)</t>
  </si>
  <si>
    <t>Fugitive Emissions from Oil and Natural Gas Systems</t>
  </si>
  <si>
    <t>Emissions from Natural Gas Leakage</t>
  </si>
  <si>
    <t xml:space="preserve">% of MSA Fugitive Emissions </t>
  </si>
  <si>
    <t>1) According to the New Mexico Oil Conservation Division (https://ocd-hub-nm-emnrd.hub.arcgis.com/), there are no active oil and gas extraction areas within the boundary for this inventory. The only fugitive emissions calculated in this inventory are those that result from natural gas leakage.</t>
  </si>
  <si>
    <t>Natural Gas Leakage Rate</t>
  </si>
  <si>
    <t>Natural Gas Energy Density</t>
  </si>
  <si>
    <t>Natural Gas Leakage Rate (standard)</t>
  </si>
  <si>
    <t xml:space="preserve">Natural Gas Density </t>
  </si>
  <si>
    <t>Natural Gas %CH4</t>
  </si>
  <si>
    <t xml:space="preserve">Natural Gas %CO2 </t>
  </si>
  <si>
    <t>Cubic meters/cubic foot</t>
  </si>
  <si>
    <t>Fugitive Emissions from Natural Gas Leakage</t>
  </si>
  <si>
    <t>Commercial and Industrial (th)</t>
  </si>
  <si>
    <t>Residential (th)</t>
  </si>
  <si>
    <r>
      <rPr>
        <sz val="11"/>
        <color theme="1"/>
        <rFont val="Poppins"/>
      </rPr>
      <t>Commercial and Industrial (mt CO</t>
    </r>
    <r>
      <rPr>
        <vertAlign val="subscript"/>
        <sz val="11"/>
        <color theme="1"/>
        <rFont val="Poppins"/>
      </rPr>
      <t>2</t>
    </r>
    <r>
      <rPr>
        <sz val="11"/>
        <color theme="1"/>
        <rFont val="Poppins"/>
      </rPr>
      <t>)</t>
    </r>
  </si>
  <si>
    <r>
      <rPr>
        <sz val="11"/>
        <color theme="1"/>
        <rFont val="Poppins"/>
      </rPr>
      <t>Residential (mt CO</t>
    </r>
    <r>
      <rPr>
        <vertAlign val="subscript"/>
        <sz val="11"/>
        <color theme="1"/>
        <rFont val="Poppins"/>
      </rPr>
      <t>2</t>
    </r>
    <r>
      <rPr>
        <sz val="11"/>
        <color theme="1"/>
        <rFont val="Poppins"/>
      </rPr>
      <t>)</t>
    </r>
  </si>
  <si>
    <r>
      <rPr>
        <sz val="11"/>
        <color theme="1"/>
        <rFont val="Poppins"/>
      </rPr>
      <t>Commercial and Industrial (mt CH</t>
    </r>
    <r>
      <rPr>
        <vertAlign val="subscript"/>
        <sz val="11"/>
        <color theme="1"/>
        <rFont val="Poppins"/>
      </rPr>
      <t>4</t>
    </r>
    <r>
      <rPr>
        <sz val="11"/>
        <color theme="1"/>
        <rFont val="Poppins"/>
      </rPr>
      <t>)</t>
    </r>
  </si>
  <si>
    <r>
      <rPr>
        <sz val="11"/>
        <color theme="1"/>
        <rFont val="Poppins"/>
      </rPr>
      <t>Residential (mt CH</t>
    </r>
    <r>
      <rPr>
        <vertAlign val="subscript"/>
        <sz val="11"/>
        <color theme="1"/>
        <rFont val="Poppins"/>
      </rPr>
      <t>4</t>
    </r>
    <r>
      <rPr>
        <sz val="11"/>
        <color theme="1"/>
        <rFont val="Poppins"/>
      </rPr>
      <t>)</t>
    </r>
  </si>
  <si>
    <r>
      <rPr>
        <b/>
        <sz val="11"/>
        <color theme="1"/>
        <rFont val="Poppins"/>
      </rPr>
      <t>Commercial and Industrial (mt CO</t>
    </r>
    <r>
      <rPr>
        <b/>
        <vertAlign val="subscript"/>
        <sz val="11"/>
        <color theme="1"/>
        <rFont val="Poppins"/>
      </rPr>
      <t>2</t>
    </r>
    <r>
      <rPr>
        <b/>
        <sz val="11"/>
        <color theme="1"/>
        <rFont val="Poppins"/>
      </rPr>
      <t>e)</t>
    </r>
  </si>
  <si>
    <r>
      <rPr>
        <b/>
        <sz val="11"/>
        <color theme="1"/>
        <rFont val="Poppins"/>
      </rPr>
      <t>Residential (mt CO</t>
    </r>
    <r>
      <rPr>
        <b/>
        <vertAlign val="subscript"/>
        <sz val="11"/>
        <color theme="1"/>
        <rFont val="Poppins"/>
      </rPr>
      <t>2</t>
    </r>
    <r>
      <rPr>
        <b/>
        <sz val="11"/>
        <color theme="1"/>
        <rFont val="Poppins"/>
      </rPr>
      <t>e)</t>
    </r>
  </si>
  <si>
    <r>
      <rPr>
        <b/>
        <sz val="12"/>
        <color theme="0"/>
        <rFont val="Poppins"/>
      </rPr>
      <t>Total Emissions (mt CO</t>
    </r>
    <r>
      <rPr>
        <b/>
        <vertAlign val="subscript"/>
        <sz val="12"/>
        <color theme="0"/>
        <rFont val="Poppins"/>
      </rPr>
      <t>2</t>
    </r>
    <r>
      <rPr>
        <b/>
        <sz val="12"/>
        <color theme="0"/>
        <rFont val="Poppins"/>
      </rPr>
      <t>e)</t>
    </r>
  </si>
  <si>
    <t xml:space="preserve">% of MSA On-Road Emissions </t>
  </si>
  <si>
    <t>1) VMT data provided by Nathan Masek as a shapefile. Lotus clipped the shapefile by county and exported the data as spreadsheets, which are on file. VMT numbers were multiplied by 365 to get an annual VMT estimate.</t>
  </si>
  <si>
    <t>2) Assumptions: a) 10% ethanol in gasoline; b) 0% biodiesel in diesel.</t>
  </si>
  <si>
    <t>3) Vehicle efficiencies are from the EPA state inventory tool.</t>
  </si>
  <si>
    <t xml:space="preserve">4) Based on a report by the Idaho National Laboratory titled Plugged In: How Americans Charge Their Electric Vehicles (https://avt.inl.gov/sites/default/files/pdf/arra/PluggedInSummaryReport.pdf), 85% of EV charging is assumed to occur at residences, while 15% of charging is assumed to occur outside the home.  </t>
  </si>
  <si>
    <t>5) Electric vehicle fuel efficiency from the U.S. DOE: http://www.afdc.energy.gov/fuels/electricity_charging_home.html. Hybrid electric vehicle fuel efficiency from: http://www.mdpi.com/1996-1073/4/3/435/pdf. Estimated by averaging the efficiencies for several common electric vehicles.</t>
  </si>
  <si>
    <t>6) Vehicle distribution from EPA SIT mobile combustion module for the State of New Mexico, tab titled "Highway1." Most recent data are available for 2021. VMT were summed into the following categories: light duty vehicle, light duty truck, heavy duty vehicle, and motorcycle. Vehicle registration data from the MVD. Data for PHEVs and EVs were provided in the registration data and are included in the data table for registrations for accurate totals; however, Lotus used data from the Atlas EValuate NM dashboard to collect more accurate data for PHEV and EV counts. Data from the dashboard are used to estimate PHEV and EV emissions. Data from the dashboard are on file.</t>
  </si>
  <si>
    <t>7) All electric vehicles were assumed to be passenger vehicles.</t>
  </si>
  <si>
    <t>8) Electricity consumption from Evs is subtracted from building energy use totals in the Energy Data tab to avoid double counting.</t>
  </si>
  <si>
    <t>9) Average EV VMT from Alternative Fuels Data Center. See: https://afdc.energy.gov/vehicles/electric-emissions-sources.</t>
  </si>
  <si>
    <t>Gasoline</t>
  </si>
  <si>
    <r>
      <rPr>
        <sz val="11"/>
        <color theme="1"/>
        <rFont val="Poppins"/>
      </rPr>
      <t>CO</t>
    </r>
    <r>
      <rPr>
        <vertAlign val="subscript"/>
        <sz val="11"/>
        <color theme="1"/>
        <rFont val="Poppins"/>
      </rPr>
      <t>2</t>
    </r>
  </si>
  <si>
    <r>
      <rPr>
        <sz val="11"/>
        <color theme="1"/>
        <rFont val="Poppins"/>
      </rPr>
      <t>mt CO</t>
    </r>
    <r>
      <rPr>
        <vertAlign val="subscript"/>
        <sz val="11"/>
        <color theme="1"/>
        <rFont val="Poppins"/>
      </rPr>
      <t>2</t>
    </r>
    <r>
      <rPr>
        <sz val="11"/>
        <color theme="1"/>
        <rFont val="Poppins"/>
      </rPr>
      <t>/gal</t>
    </r>
  </si>
  <si>
    <t xml:space="preserve">Lotus analysis of EPA SIT data to determine a weighted average of emissions across model years and technology. Spreadsheet on file. Data from: EPA Emission Factors for GHG Inventories: https://www.epa.gov/system/files/documents/2024-02/ghg-emission-factors-hub-2024.pdf. </t>
  </si>
  <si>
    <r>
      <rPr>
        <sz val="11"/>
        <color theme="1"/>
        <rFont val="Poppins"/>
      </rPr>
      <t>CH</t>
    </r>
    <r>
      <rPr>
        <vertAlign val="subscript"/>
        <sz val="11"/>
        <color theme="1"/>
        <rFont val="Poppins"/>
      </rPr>
      <t>4</t>
    </r>
  </si>
  <si>
    <r>
      <rPr>
        <sz val="11"/>
        <color theme="1"/>
        <rFont val="Poppins"/>
      </rPr>
      <t>g CH</t>
    </r>
    <r>
      <rPr>
        <vertAlign val="subscript"/>
        <sz val="11"/>
        <color theme="1"/>
        <rFont val="Poppins"/>
      </rPr>
      <t>4</t>
    </r>
    <r>
      <rPr>
        <sz val="11"/>
        <color theme="1"/>
        <rFont val="Poppins"/>
      </rPr>
      <t>/mile</t>
    </r>
  </si>
  <si>
    <r>
      <rPr>
        <sz val="11"/>
        <color theme="1"/>
        <rFont val="Poppins"/>
      </rPr>
      <t>CH</t>
    </r>
    <r>
      <rPr>
        <vertAlign val="subscript"/>
        <sz val="11"/>
        <color theme="1"/>
        <rFont val="Poppins"/>
      </rPr>
      <t>4</t>
    </r>
  </si>
  <si>
    <r>
      <rPr>
        <sz val="11"/>
        <color theme="1"/>
        <rFont val="Poppins"/>
      </rPr>
      <t>g CH</t>
    </r>
    <r>
      <rPr>
        <vertAlign val="subscript"/>
        <sz val="11"/>
        <color theme="1"/>
        <rFont val="Poppins"/>
      </rPr>
      <t>4</t>
    </r>
    <r>
      <rPr>
        <sz val="11"/>
        <color theme="1"/>
        <rFont val="Poppins"/>
      </rPr>
      <t>/mile</t>
    </r>
  </si>
  <si>
    <r>
      <rPr>
        <sz val="11"/>
        <color theme="1"/>
        <rFont val="Poppins"/>
      </rPr>
      <t>CH</t>
    </r>
    <r>
      <rPr>
        <vertAlign val="subscript"/>
        <sz val="11"/>
        <color theme="1"/>
        <rFont val="Poppins"/>
      </rPr>
      <t>4</t>
    </r>
  </si>
  <si>
    <t>Heavy Vehicle</t>
  </si>
  <si>
    <r>
      <rPr>
        <sz val="11"/>
        <color theme="1"/>
        <rFont val="Poppins"/>
      </rPr>
      <t>g CH</t>
    </r>
    <r>
      <rPr>
        <vertAlign val="subscript"/>
        <sz val="11"/>
        <color theme="1"/>
        <rFont val="Poppins"/>
      </rPr>
      <t>4</t>
    </r>
    <r>
      <rPr>
        <sz val="11"/>
        <color theme="1"/>
        <rFont val="Poppins"/>
      </rPr>
      <t>/mile</t>
    </r>
  </si>
  <si>
    <r>
      <rPr>
        <sz val="11"/>
        <color theme="1"/>
        <rFont val="Poppins"/>
      </rPr>
      <t>CH</t>
    </r>
    <r>
      <rPr>
        <vertAlign val="subscript"/>
        <sz val="11"/>
        <color theme="1"/>
        <rFont val="Poppins"/>
      </rPr>
      <t>4</t>
    </r>
  </si>
  <si>
    <r>
      <rPr>
        <sz val="11"/>
        <color theme="1"/>
        <rFont val="Poppins"/>
      </rPr>
      <t>g CH</t>
    </r>
    <r>
      <rPr>
        <vertAlign val="subscript"/>
        <sz val="11"/>
        <color theme="1"/>
        <rFont val="Poppins"/>
      </rPr>
      <t>4</t>
    </r>
    <r>
      <rPr>
        <sz val="11"/>
        <color theme="1"/>
        <rFont val="Poppins"/>
      </rPr>
      <t>/mile</t>
    </r>
  </si>
  <si>
    <r>
      <rPr>
        <sz val="11"/>
        <color theme="1"/>
        <rFont val="Poppins"/>
      </rPr>
      <t>N</t>
    </r>
    <r>
      <rPr>
        <vertAlign val="subscript"/>
        <sz val="11"/>
        <color theme="1"/>
        <rFont val="Poppins"/>
      </rPr>
      <t>2</t>
    </r>
    <r>
      <rPr>
        <sz val="11"/>
        <color theme="1"/>
        <rFont val="Poppins"/>
      </rPr>
      <t>O</t>
    </r>
  </si>
  <si>
    <r>
      <rPr>
        <sz val="11"/>
        <color theme="1"/>
        <rFont val="Poppins"/>
      </rPr>
      <t>g N</t>
    </r>
    <r>
      <rPr>
        <vertAlign val="subscript"/>
        <sz val="11"/>
        <color theme="1"/>
        <rFont val="Poppins"/>
      </rPr>
      <t>2</t>
    </r>
    <r>
      <rPr>
        <sz val="11"/>
        <color theme="1"/>
        <rFont val="Poppins"/>
      </rPr>
      <t>O/mile</t>
    </r>
  </si>
  <si>
    <r>
      <rPr>
        <sz val="11"/>
        <color theme="1"/>
        <rFont val="Poppins"/>
      </rPr>
      <t>N</t>
    </r>
    <r>
      <rPr>
        <vertAlign val="subscript"/>
        <sz val="11"/>
        <color theme="1"/>
        <rFont val="Poppins"/>
      </rPr>
      <t>2</t>
    </r>
    <r>
      <rPr>
        <sz val="11"/>
        <color theme="1"/>
        <rFont val="Poppins"/>
      </rPr>
      <t>O</t>
    </r>
  </si>
  <si>
    <r>
      <rPr>
        <sz val="11"/>
        <color theme="1"/>
        <rFont val="Poppins"/>
      </rPr>
      <t>g N</t>
    </r>
    <r>
      <rPr>
        <vertAlign val="subscript"/>
        <sz val="11"/>
        <color theme="1"/>
        <rFont val="Poppins"/>
      </rPr>
      <t>2</t>
    </r>
    <r>
      <rPr>
        <sz val="11"/>
        <color theme="1"/>
        <rFont val="Poppins"/>
      </rPr>
      <t>O/mile</t>
    </r>
  </si>
  <si>
    <r>
      <rPr>
        <sz val="11"/>
        <color theme="1"/>
        <rFont val="Poppins"/>
      </rPr>
      <t>N</t>
    </r>
    <r>
      <rPr>
        <vertAlign val="subscript"/>
        <sz val="11"/>
        <color theme="1"/>
        <rFont val="Poppins"/>
      </rPr>
      <t>2</t>
    </r>
    <r>
      <rPr>
        <sz val="11"/>
        <color theme="1"/>
        <rFont val="Poppins"/>
      </rPr>
      <t>O</t>
    </r>
  </si>
  <si>
    <r>
      <rPr>
        <sz val="11"/>
        <color theme="1"/>
        <rFont val="Poppins"/>
      </rPr>
      <t>g N</t>
    </r>
    <r>
      <rPr>
        <vertAlign val="subscript"/>
        <sz val="11"/>
        <color theme="1"/>
        <rFont val="Poppins"/>
      </rPr>
      <t>2</t>
    </r>
    <r>
      <rPr>
        <sz val="11"/>
        <color theme="1"/>
        <rFont val="Poppins"/>
      </rPr>
      <t>O/mile</t>
    </r>
  </si>
  <si>
    <r>
      <rPr>
        <sz val="11"/>
        <color theme="1"/>
        <rFont val="Poppins"/>
      </rPr>
      <t>N</t>
    </r>
    <r>
      <rPr>
        <vertAlign val="subscript"/>
        <sz val="11"/>
        <color theme="1"/>
        <rFont val="Poppins"/>
      </rPr>
      <t>2</t>
    </r>
    <r>
      <rPr>
        <sz val="11"/>
        <color theme="1"/>
        <rFont val="Poppins"/>
      </rPr>
      <t>O</t>
    </r>
  </si>
  <si>
    <r>
      <rPr>
        <sz val="11"/>
        <color theme="1"/>
        <rFont val="Poppins"/>
      </rPr>
      <t>g N</t>
    </r>
    <r>
      <rPr>
        <vertAlign val="subscript"/>
        <sz val="11"/>
        <color theme="1"/>
        <rFont val="Poppins"/>
      </rPr>
      <t>2</t>
    </r>
    <r>
      <rPr>
        <sz val="11"/>
        <color theme="1"/>
        <rFont val="Poppins"/>
      </rPr>
      <t>O/mile</t>
    </r>
  </si>
  <si>
    <t>Diesel</t>
  </si>
  <si>
    <r>
      <rPr>
        <sz val="11"/>
        <color theme="1"/>
        <rFont val="Poppins"/>
      </rPr>
      <t>CO</t>
    </r>
    <r>
      <rPr>
        <vertAlign val="subscript"/>
        <sz val="11"/>
        <color theme="1"/>
        <rFont val="Poppins"/>
      </rPr>
      <t>2</t>
    </r>
  </si>
  <si>
    <r>
      <rPr>
        <sz val="11"/>
        <color theme="1"/>
        <rFont val="Poppins"/>
      </rPr>
      <t>mt CO</t>
    </r>
    <r>
      <rPr>
        <vertAlign val="subscript"/>
        <sz val="11"/>
        <color theme="1"/>
        <rFont val="Poppins"/>
      </rPr>
      <t>2</t>
    </r>
    <r>
      <rPr>
        <sz val="11"/>
        <color theme="1"/>
        <rFont val="Poppins"/>
      </rPr>
      <t>/gal</t>
    </r>
  </si>
  <si>
    <r>
      <rPr>
        <sz val="11"/>
        <color theme="1"/>
        <rFont val="Poppins"/>
      </rPr>
      <t>CH</t>
    </r>
    <r>
      <rPr>
        <vertAlign val="subscript"/>
        <sz val="11"/>
        <color theme="1"/>
        <rFont val="Poppins"/>
      </rPr>
      <t>4</t>
    </r>
  </si>
  <si>
    <r>
      <rPr>
        <sz val="11"/>
        <color theme="1"/>
        <rFont val="Poppins"/>
      </rPr>
      <t>g CH</t>
    </r>
    <r>
      <rPr>
        <vertAlign val="subscript"/>
        <sz val="11"/>
        <color theme="1"/>
        <rFont val="Poppins"/>
      </rPr>
      <t>4</t>
    </r>
    <r>
      <rPr>
        <sz val="11"/>
        <color theme="1"/>
        <rFont val="Poppins"/>
      </rPr>
      <t>/mile</t>
    </r>
  </si>
  <si>
    <r>
      <rPr>
        <sz val="11"/>
        <color theme="1"/>
        <rFont val="Poppins"/>
      </rPr>
      <t>CH</t>
    </r>
    <r>
      <rPr>
        <vertAlign val="subscript"/>
        <sz val="11"/>
        <color theme="1"/>
        <rFont val="Poppins"/>
      </rPr>
      <t>4</t>
    </r>
  </si>
  <si>
    <r>
      <rPr>
        <sz val="11"/>
        <color theme="1"/>
        <rFont val="Poppins"/>
      </rPr>
      <t>g CH</t>
    </r>
    <r>
      <rPr>
        <vertAlign val="subscript"/>
        <sz val="11"/>
        <color theme="1"/>
        <rFont val="Poppins"/>
      </rPr>
      <t>4</t>
    </r>
    <r>
      <rPr>
        <sz val="11"/>
        <color theme="1"/>
        <rFont val="Poppins"/>
      </rPr>
      <t>/mile</t>
    </r>
  </si>
  <si>
    <r>
      <rPr>
        <sz val="11"/>
        <color theme="1"/>
        <rFont val="Poppins"/>
      </rPr>
      <t>CH</t>
    </r>
    <r>
      <rPr>
        <vertAlign val="subscript"/>
        <sz val="11"/>
        <color theme="1"/>
        <rFont val="Poppins"/>
      </rPr>
      <t>4</t>
    </r>
  </si>
  <si>
    <t>Heavy Truck</t>
  </si>
  <si>
    <r>
      <rPr>
        <sz val="11"/>
        <color theme="1"/>
        <rFont val="Poppins"/>
      </rPr>
      <t>g CH</t>
    </r>
    <r>
      <rPr>
        <vertAlign val="subscript"/>
        <sz val="11"/>
        <color theme="1"/>
        <rFont val="Poppins"/>
      </rPr>
      <t>4</t>
    </r>
    <r>
      <rPr>
        <sz val="11"/>
        <color theme="1"/>
        <rFont val="Poppins"/>
      </rPr>
      <t>/mile</t>
    </r>
  </si>
  <si>
    <r>
      <rPr>
        <sz val="11"/>
        <color theme="1"/>
        <rFont val="Poppins"/>
      </rPr>
      <t>CH</t>
    </r>
    <r>
      <rPr>
        <vertAlign val="subscript"/>
        <sz val="11"/>
        <color theme="1"/>
        <rFont val="Poppins"/>
      </rPr>
      <t>4</t>
    </r>
  </si>
  <si>
    <t>Heavy Vehicle (Bus)</t>
  </si>
  <si>
    <r>
      <rPr>
        <sz val="11"/>
        <color theme="1"/>
        <rFont val="Poppins"/>
      </rPr>
      <t>g CH</t>
    </r>
    <r>
      <rPr>
        <vertAlign val="subscript"/>
        <sz val="11"/>
        <color theme="1"/>
        <rFont val="Poppins"/>
      </rPr>
      <t>4</t>
    </r>
    <r>
      <rPr>
        <sz val="11"/>
        <color theme="1"/>
        <rFont val="Poppins"/>
      </rPr>
      <t>/mile</t>
    </r>
  </si>
  <si>
    <r>
      <rPr>
        <sz val="11"/>
        <color theme="1"/>
        <rFont val="Poppins"/>
      </rPr>
      <t>N</t>
    </r>
    <r>
      <rPr>
        <vertAlign val="subscript"/>
        <sz val="11"/>
        <color theme="1"/>
        <rFont val="Poppins"/>
      </rPr>
      <t>2</t>
    </r>
    <r>
      <rPr>
        <sz val="11"/>
        <color theme="1"/>
        <rFont val="Poppins"/>
      </rPr>
      <t>O</t>
    </r>
  </si>
  <si>
    <r>
      <rPr>
        <sz val="11"/>
        <color theme="1"/>
        <rFont val="Poppins"/>
      </rPr>
      <t>g N</t>
    </r>
    <r>
      <rPr>
        <vertAlign val="subscript"/>
        <sz val="11"/>
        <color theme="1"/>
        <rFont val="Poppins"/>
      </rPr>
      <t>2</t>
    </r>
    <r>
      <rPr>
        <sz val="11"/>
        <color theme="1"/>
        <rFont val="Poppins"/>
      </rPr>
      <t>O/mile</t>
    </r>
  </si>
  <si>
    <r>
      <rPr>
        <sz val="11"/>
        <color theme="1"/>
        <rFont val="Poppins"/>
      </rPr>
      <t>N</t>
    </r>
    <r>
      <rPr>
        <vertAlign val="subscript"/>
        <sz val="11"/>
        <color theme="1"/>
        <rFont val="Poppins"/>
      </rPr>
      <t>2</t>
    </r>
    <r>
      <rPr>
        <sz val="11"/>
        <color theme="1"/>
        <rFont val="Poppins"/>
      </rPr>
      <t>O</t>
    </r>
  </si>
  <si>
    <r>
      <rPr>
        <sz val="11"/>
        <color theme="1"/>
        <rFont val="Poppins"/>
      </rPr>
      <t>g N</t>
    </r>
    <r>
      <rPr>
        <vertAlign val="subscript"/>
        <sz val="11"/>
        <color theme="1"/>
        <rFont val="Poppins"/>
      </rPr>
      <t>2</t>
    </r>
    <r>
      <rPr>
        <sz val="11"/>
        <color theme="1"/>
        <rFont val="Poppins"/>
      </rPr>
      <t>O/mile</t>
    </r>
  </si>
  <si>
    <r>
      <rPr>
        <sz val="11"/>
        <color theme="1"/>
        <rFont val="Poppins"/>
      </rPr>
      <t>N</t>
    </r>
    <r>
      <rPr>
        <vertAlign val="subscript"/>
        <sz val="11"/>
        <color theme="1"/>
        <rFont val="Poppins"/>
      </rPr>
      <t>2</t>
    </r>
    <r>
      <rPr>
        <sz val="11"/>
        <color theme="1"/>
        <rFont val="Poppins"/>
      </rPr>
      <t>O</t>
    </r>
  </si>
  <si>
    <r>
      <rPr>
        <sz val="11"/>
        <color theme="1"/>
        <rFont val="Poppins"/>
      </rPr>
      <t>g N</t>
    </r>
    <r>
      <rPr>
        <vertAlign val="subscript"/>
        <sz val="11"/>
        <color theme="1"/>
        <rFont val="Poppins"/>
      </rPr>
      <t>2</t>
    </r>
    <r>
      <rPr>
        <sz val="11"/>
        <color theme="1"/>
        <rFont val="Poppins"/>
      </rPr>
      <t>O/mile</t>
    </r>
  </si>
  <si>
    <r>
      <rPr>
        <sz val="11"/>
        <color theme="1"/>
        <rFont val="Poppins"/>
      </rPr>
      <t>N</t>
    </r>
    <r>
      <rPr>
        <vertAlign val="subscript"/>
        <sz val="11"/>
        <color theme="1"/>
        <rFont val="Poppins"/>
      </rPr>
      <t>2</t>
    </r>
    <r>
      <rPr>
        <sz val="11"/>
        <color theme="1"/>
        <rFont val="Poppins"/>
      </rPr>
      <t>O</t>
    </r>
  </si>
  <si>
    <r>
      <rPr>
        <sz val="11"/>
        <color theme="1"/>
        <rFont val="Poppins"/>
      </rPr>
      <t>g N</t>
    </r>
    <r>
      <rPr>
        <vertAlign val="subscript"/>
        <sz val="11"/>
        <color theme="1"/>
        <rFont val="Poppins"/>
      </rPr>
      <t>2</t>
    </r>
    <r>
      <rPr>
        <sz val="11"/>
        <color theme="1"/>
        <rFont val="Poppins"/>
      </rPr>
      <t>O/mile</t>
    </r>
  </si>
  <si>
    <t>Ethanol</t>
  </si>
  <si>
    <r>
      <rPr>
        <sz val="11"/>
        <color theme="1"/>
        <rFont val="Poppins"/>
      </rPr>
      <t>CO</t>
    </r>
    <r>
      <rPr>
        <vertAlign val="subscript"/>
        <sz val="11"/>
        <color theme="1"/>
        <rFont val="Poppins"/>
      </rPr>
      <t>2</t>
    </r>
  </si>
  <si>
    <r>
      <rPr>
        <sz val="11"/>
        <color theme="1"/>
        <rFont val="Poppins"/>
      </rPr>
      <t>mt CO</t>
    </r>
    <r>
      <rPr>
        <vertAlign val="subscript"/>
        <sz val="11"/>
        <color theme="1"/>
        <rFont val="Poppins"/>
      </rPr>
      <t>2</t>
    </r>
    <r>
      <rPr>
        <sz val="11"/>
        <color theme="1"/>
        <rFont val="Poppins"/>
      </rPr>
      <t>/gal</t>
    </r>
  </si>
  <si>
    <t xml:space="preserve">EPA Emission Factors for GHG Inventories: https://www.epa.gov/system/files/documents/2024-02/ghg-emission-factors-hub-2024.pdf. </t>
  </si>
  <si>
    <r>
      <rPr>
        <sz val="11"/>
        <color theme="1"/>
        <rFont val="Poppins"/>
      </rPr>
      <t>CH</t>
    </r>
    <r>
      <rPr>
        <vertAlign val="subscript"/>
        <sz val="11"/>
        <color theme="1"/>
        <rFont val="Poppins"/>
      </rPr>
      <t>4</t>
    </r>
  </si>
  <si>
    <t>Light Duty</t>
  </si>
  <si>
    <r>
      <rPr>
        <sz val="11"/>
        <color theme="1"/>
        <rFont val="Poppins"/>
      </rPr>
      <t>g CH</t>
    </r>
    <r>
      <rPr>
        <vertAlign val="subscript"/>
        <sz val="11"/>
        <color theme="1"/>
        <rFont val="Poppins"/>
      </rPr>
      <t>4</t>
    </r>
    <r>
      <rPr>
        <sz val="11"/>
        <color theme="1"/>
        <rFont val="Poppins"/>
      </rPr>
      <t>/mile</t>
    </r>
  </si>
  <si>
    <r>
      <rPr>
        <sz val="11"/>
        <color theme="1"/>
        <rFont val="Poppins"/>
      </rPr>
      <t>CH</t>
    </r>
    <r>
      <rPr>
        <vertAlign val="subscript"/>
        <sz val="11"/>
        <color theme="1"/>
        <rFont val="Poppins"/>
      </rPr>
      <t>4</t>
    </r>
  </si>
  <si>
    <t>Heavy Duty/Buses</t>
  </si>
  <si>
    <r>
      <rPr>
        <sz val="11"/>
        <color theme="1"/>
        <rFont val="Poppins"/>
      </rPr>
      <t>g CH</t>
    </r>
    <r>
      <rPr>
        <vertAlign val="subscript"/>
        <sz val="11"/>
        <color theme="1"/>
        <rFont val="Poppins"/>
      </rPr>
      <t>4</t>
    </r>
    <r>
      <rPr>
        <sz val="11"/>
        <color theme="1"/>
        <rFont val="Poppins"/>
      </rPr>
      <t>/mile</t>
    </r>
  </si>
  <si>
    <r>
      <rPr>
        <sz val="11"/>
        <color theme="1"/>
        <rFont val="Poppins"/>
      </rPr>
      <t>N</t>
    </r>
    <r>
      <rPr>
        <vertAlign val="subscript"/>
        <sz val="11"/>
        <color theme="1"/>
        <rFont val="Poppins"/>
      </rPr>
      <t>2</t>
    </r>
    <r>
      <rPr>
        <sz val="11"/>
        <color theme="1"/>
        <rFont val="Poppins"/>
      </rPr>
      <t>O</t>
    </r>
  </si>
  <si>
    <r>
      <rPr>
        <sz val="11"/>
        <color theme="1"/>
        <rFont val="Poppins"/>
      </rPr>
      <t>g N</t>
    </r>
    <r>
      <rPr>
        <vertAlign val="subscript"/>
        <sz val="11"/>
        <color theme="1"/>
        <rFont val="Poppins"/>
      </rPr>
      <t>2</t>
    </r>
    <r>
      <rPr>
        <sz val="11"/>
        <color theme="1"/>
        <rFont val="Poppins"/>
      </rPr>
      <t>O/mile</t>
    </r>
  </si>
  <si>
    <r>
      <rPr>
        <sz val="11"/>
        <color theme="1"/>
        <rFont val="Poppins"/>
      </rPr>
      <t>N</t>
    </r>
    <r>
      <rPr>
        <vertAlign val="subscript"/>
        <sz val="11"/>
        <color theme="1"/>
        <rFont val="Poppins"/>
      </rPr>
      <t>2</t>
    </r>
    <r>
      <rPr>
        <sz val="11"/>
        <color theme="1"/>
        <rFont val="Poppins"/>
      </rPr>
      <t>O</t>
    </r>
  </si>
  <si>
    <r>
      <rPr>
        <sz val="11"/>
        <color theme="1"/>
        <rFont val="Poppins"/>
      </rPr>
      <t>g N</t>
    </r>
    <r>
      <rPr>
        <vertAlign val="subscript"/>
        <sz val="11"/>
        <color theme="1"/>
        <rFont val="Poppins"/>
      </rPr>
      <t>2</t>
    </r>
    <r>
      <rPr>
        <sz val="11"/>
        <color theme="1"/>
        <rFont val="Poppins"/>
      </rPr>
      <t>O/mile</t>
    </r>
  </si>
  <si>
    <t>Constants and Fuel Efficiencies</t>
  </si>
  <si>
    <t>Fossil Fuel Vehicle Efficiencies</t>
  </si>
  <si>
    <t>Electric Vehicle Efficiencies</t>
  </si>
  <si>
    <t>EV Charging</t>
  </si>
  <si>
    <t>Fuel Additives</t>
  </si>
  <si>
    <t>MPG</t>
  </si>
  <si>
    <t>Estimated electric consumption of electric passenger vehicle (kWh/mile)</t>
  </si>
  <si>
    <t>% Charging at Home</t>
  </si>
  <si>
    <t>% of ethanol in gasoline</t>
  </si>
  <si>
    <t>Gas cars</t>
  </si>
  <si>
    <t>Estimated electric consumption of plug-in hybrid electric vehicle (kWh/mile)</t>
  </si>
  <si>
    <t xml:space="preserve">% Charging at Commercial Stations </t>
  </si>
  <si>
    <t>% of biodiesel in diesel</t>
  </si>
  <si>
    <t>Gas light trucks</t>
  </si>
  <si>
    <t>Gas heavy trucks</t>
  </si>
  <si>
    <t>Gas motorcycle</t>
  </si>
  <si>
    <t>Gas hybrid cars</t>
  </si>
  <si>
    <t>Gas hybrid light trucks</t>
  </si>
  <si>
    <t>Diesel cars</t>
  </si>
  <si>
    <t>Diesel light trucks</t>
  </si>
  <si>
    <t>Diesel heavy trucks</t>
  </si>
  <si>
    <t>Fossil Fuel Vehicles</t>
  </si>
  <si>
    <t>Fossil Fuel Vehicles Summary</t>
  </si>
  <si>
    <t>Emissions from Gasoline (mt CO2)</t>
  </si>
  <si>
    <t>Emissions from Gasoline (mt CH4)</t>
  </si>
  <si>
    <t>Emissions from Gasoline (mt N2O)</t>
  </si>
  <si>
    <t>Emissions from Gasoline (mt CO2e)</t>
  </si>
  <si>
    <t>Emissions from Diesel (mt CO2)</t>
  </si>
  <si>
    <t>Emissions from Diesel (mt CH4)</t>
  </si>
  <si>
    <t>Emissions from Diesel (mt N2O)</t>
  </si>
  <si>
    <t>Emissions from Diesel (mt CO2e)</t>
  </si>
  <si>
    <t>Emissions from Ethanol (mt CO2)</t>
  </si>
  <si>
    <t>Emissions from Ethanol (mt CH4)</t>
  </si>
  <si>
    <t>Emissions from Ethanol (mt N2O)</t>
  </si>
  <si>
    <t>Emissions from Ethanol (mt CO2e)</t>
  </si>
  <si>
    <t>Emissions from Ethanol (mt CO2(b))</t>
  </si>
  <si>
    <r>
      <rPr>
        <b/>
        <sz val="11"/>
        <color theme="0"/>
        <rFont val="Poppins"/>
      </rPr>
      <t>Total Emissions (Biogenic mt CO</t>
    </r>
    <r>
      <rPr>
        <b/>
        <vertAlign val="subscript"/>
        <sz val="11"/>
        <color theme="0"/>
        <rFont val="Poppins"/>
      </rPr>
      <t>2</t>
    </r>
    <r>
      <rPr>
        <b/>
        <sz val="11"/>
        <color theme="0"/>
        <rFont val="Poppins"/>
      </rPr>
      <t>)</t>
    </r>
  </si>
  <si>
    <r>
      <rPr>
        <b/>
        <sz val="11"/>
        <color theme="0"/>
        <rFont val="Poppins"/>
      </rPr>
      <t>Total Emissions (Fossil Fuel mt CO</t>
    </r>
    <r>
      <rPr>
        <b/>
        <vertAlign val="subscript"/>
        <sz val="11"/>
        <color theme="0"/>
        <rFont val="Poppins"/>
      </rPr>
      <t>2</t>
    </r>
    <r>
      <rPr>
        <b/>
        <sz val="11"/>
        <color theme="0"/>
        <rFont val="Poppins"/>
      </rPr>
      <t>)</t>
    </r>
  </si>
  <si>
    <r>
      <rPr>
        <b/>
        <sz val="11"/>
        <color theme="0"/>
        <rFont val="Poppins"/>
      </rPr>
      <t>Total Emissions (mt CH</t>
    </r>
    <r>
      <rPr>
        <b/>
        <vertAlign val="subscript"/>
        <sz val="11"/>
        <color theme="0"/>
        <rFont val="Poppins"/>
      </rPr>
      <t>4</t>
    </r>
    <r>
      <rPr>
        <b/>
        <sz val="11"/>
        <color theme="0"/>
        <rFont val="Poppins"/>
      </rPr>
      <t>)</t>
    </r>
  </si>
  <si>
    <r>
      <rPr>
        <b/>
        <sz val="11"/>
        <color theme="0"/>
        <rFont val="Poppins"/>
      </rPr>
      <t>Total Emissions (mt N</t>
    </r>
    <r>
      <rPr>
        <b/>
        <vertAlign val="subscript"/>
        <sz val="11"/>
        <color theme="0"/>
        <rFont val="Poppins"/>
      </rPr>
      <t>2</t>
    </r>
    <r>
      <rPr>
        <b/>
        <sz val="11"/>
        <color theme="0"/>
        <rFont val="Poppins"/>
      </rPr>
      <t>O)</t>
    </r>
  </si>
  <si>
    <r>
      <rPr>
        <b/>
        <sz val="11"/>
        <color theme="0"/>
        <rFont val="Poppins"/>
      </rPr>
      <t>Total Emissions (mt CO</t>
    </r>
    <r>
      <rPr>
        <b/>
        <vertAlign val="subscript"/>
        <sz val="11"/>
        <color theme="0"/>
        <rFont val="Poppins"/>
      </rPr>
      <t>2</t>
    </r>
    <r>
      <rPr>
        <b/>
        <sz val="11"/>
        <color theme="0"/>
        <rFont val="Poppins"/>
      </rPr>
      <t>e)</t>
    </r>
  </si>
  <si>
    <t>Total City of Albuquerque</t>
  </si>
  <si>
    <t>VMT and Fuel Calculations</t>
  </si>
  <si>
    <t>Ethanol  cars</t>
  </si>
  <si>
    <t>Ethanol light trucks</t>
  </si>
  <si>
    <t>Ethanol heavy trucks</t>
  </si>
  <si>
    <t>Ethanol Motorcycle</t>
  </si>
  <si>
    <t>City of Albuquerque VMT</t>
  </si>
  <si>
    <t>City of Albuquerque Gallons</t>
  </si>
  <si>
    <t>Bernalillo County VMT</t>
  </si>
  <si>
    <t>Bernalillo County Gallons</t>
  </si>
  <si>
    <t>Sandoval County VMT</t>
  </si>
  <si>
    <t>Sandoval County Gallons</t>
  </si>
  <si>
    <t>Torrance County VMT</t>
  </si>
  <si>
    <t>Torrance County Gallons</t>
  </si>
  <si>
    <t>Valencia County VMT</t>
  </si>
  <si>
    <t>Valencia County Gallons</t>
  </si>
  <si>
    <t>VMT Attribution</t>
  </si>
  <si>
    <t>Total VMT per Day</t>
  </si>
  <si>
    <t>Total VMT annually</t>
  </si>
  <si>
    <t>VMT without EV and transit VMT</t>
  </si>
  <si>
    <t>VMT by Gasoline</t>
  </si>
  <si>
    <t>VMT by Diesel</t>
  </si>
  <si>
    <t>VMT by Ethanol</t>
  </si>
  <si>
    <t>Gasoline Consumed (gal)</t>
  </si>
  <si>
    <t>Diesel Consumed (gal)</t>
  </si>
  <si>
    <t>Ethanol Consumed (gal)</t>
  </si>
  <si>
    <t>Fuel Spread by Vehicle Type</t>
  </si>
  <si>
    <t>% Diesel</t>
  </si>
  <si>
    <t>% Gasoline</t>
  </si>
  <si>
    <t>% Hybrid</t>
  </si>
  <si>
    <t>Passenger Car - Bernalillo</t>
  </si>
  <si>
    <t>Light Duty - Bernalillo</t>
  </si>
  <si>
    <t>Passenger Car - Sandoval</t>
  </si>
  <si>
    <t>Light Duty - Sandoval</t>
  </si>
  <si>
    <t>Passenger Car - Torrance</t>
  </si>
  <si>
    <t>Light Duty - Torrance</t>
  </si>
  <si>
    <t>Passenger Car - Valencia</t>
  </si>
  <si>
    <t>Light Duty - Valencia</t>
  </si>
  <si>
    <t>Heavy Duty</t>
  </si>
  <si>
    <t xml:space="preserve">Vehicle Distribution </t>
  </si>
  <si>
    <t>Light duty vehicle</t>
  </si>
  <si>
    <t>Light duty truck</t>
  </si>
  <si>
    <t>Heavy duty vehicle</t>
  </si>
  <si>
    <t>Number of VMT</t>
  </si>
  <si>
    <t>Percent of all VMT</t>
  </si>
  <si>
    <t>Vehicle Registrations</t>
  </si>
  <si>
    <t>Hybrid</t>
  </si>
  <si>
    <t>Plug-In Hybrid</t>
  </si>
  <si>
    <t>Electric</t>
  </si>
  <si>
    <t>Unknown</t>
  </si>
  <si>
    <t>Other</t>
  </si>
  <si>
    <t>Electric Vehicles Summary</t>
  </si>
  <si>
    <r>
      <rPr>
        <b/>
        <sz val="12"/>
        <color theme="0"/>
        <rFont val="Poppins"/>
      </rPr>
      <t>Emissions (mt CO</t>
    </r>
    <r>
      <rPr>
        <b/>
        <vertAlign val="subscript"/>
        <sz val="12"/>
        <color theme="0"/>
        <rFont val="Poppins"/>
      </rPr>
      <t>2</t>
    </r>
    <r>
      <rPr>
        <b/>
        <sz val="12"/>
        <color theme="0"/>
        <rFont val="Poppins"/>
      </rPr>
      <t xml:space="preserve">) </t>
    </r>
  </si>
  <si>
    <r>
      <rPr>
        <b/>
        <sz val="12"/>
        <color theme="0"/>
        <rFont val="Poppins"/>
      </rPr>
      <t>Emissions (mt CH</t>
    </r>
    <r>
      <rPr>
        <b/>
        <vertAlign val="subscript"/>
        <sz val="12"/>
        <color theme="0"/>
        <rFont val="Poppins"/>
      </rPr>
      <t>4</t>
    </r>
    <r>
      <rPr>
        <b/>
        <sz val="12"/>
        <color theme="0"/>
        <rFont val="Poppins"/>
      </rPr>
      <t>)</t>
    </r>
  </si>
  <si>
    <r>
      <rPr>
        <b/>
        <sz val="12"/>
        <color theme="0"/>
        <rFont val="Poppins"/>
      </rPr>
      <t>Emissions (mt N</t>
    </r>
    <r>
      <rPr>
        <b/>
        <vertAlign val="subscript"/>
        <sz val="12"/>
        <color theme="0"/>
        <rFont val="Poppins"/>
      </rPr>
      <t>2</t>
    </r>
    <r>
      <rPr>
        <b/>
        <sz val="12"/>
        <color theme="0"/>
        <rFont val="Poppins"/>
      </rPr>
      <t>O)</t>
    </r>
  </si>
  <si>
    <r>
      <rPr>
        <b/>
        <sz val="12"/>
        <color theme="0"/>
        <rFont val="Poppins"/>
      </rPr>
      <t>Emissions (mt CO</t>
    </r>
    <r>
      <rPr>
        <b/>
        <vertAlign val="subscript"/>
        <sz val="12"/>
        <color theme="0"/>
        <rFont val="Poppins"/>
      </rPr>
      <t>2</t>
    </r>
    <r>
      <rPr>
        <b/>
        <sz val="12"/>
        <color theme="0"/>
        <rFont val="Poppins"/>
      </rPr>
      <t xml:space="preserve">e) </t>
    </r>
  </si>
  <si>
    <t>Electric Vehicles T&amp;D Losses Summary</t>
  </si>
  <si>
    <r>
      <rPr>
        <b/>
        <sz val="12"/>
        <color theme="0"/>
        <rFont val="Poppins"/>
      </rPr>
      <t>Emissions (mt CO</t>
    </r>
    <r>
      <rPr>
        <b/>
        <vertAlign val="subscript"/>
        <sz val="10"/>
        <color theme="0"/>
        <rFont val="Poppins"/>
      </rPr>
      <t>2</t>
    </r>
    <r>
      <rPr>
        <b/>
        <sz val="10"/>
        <color theme="0"/>
        <rFont val="Poppins"/>
      </rPr>
      <t xml:space="preserve">) </t>
    </r>
  </si>
  <si>
    <r>
      <rPr>
        <b/>
        <sz val="12"/>
        <color theme="0"/>
        <rFont val="Poppins"/>
      </rPr>
      <t>Emissions (mt CH</t>
    </r>
    <r>
      <rPr>
        <b/>
        <vertAlign val="subscript"/>
        <sz val="10"/>
        <color theme="0"/>
        <rFont val="Poppins"/>
      </rPr>
      <t>4</t>
    </r>
    <r>
      <rPr>
        <b/>
        <sz val="10"/>
        <color theme="0"/>
        <rFont val="Poppins"/>
      </rPr>
      <t>)</t>
    </r>
  </si>
  <si>
    <r>
      <rPr>
        <b/>
        <sz val="12"/>
        <color theme="0"/>
        <rFont val="Poppins"/>
      </rPr>
      <t>Emissions (mt N</t>
    </r>
    <r>
      <rPr>
        <b/>
        <vertAlign val="subscript"/>
        <sz val="10"/>
        <color theme="0"/>
        <rFont val="Poppins"/>
      </rPr>
      <t>2</t>
    </r>
    <r>
      <rPr>
        <b/>
        <sz val="10"/>
        <color theme="0"/>
        <rFont val="Poppins"/>
      </rPr>
      <t>O)</t>
    </r>
  </si>
  <si>
    <r>
      <rPr>
        <b/>
        <sz val="12"/>
        <color theme="0"/>
        <rFont val="Poppins"/>
      </rPr>
      <t>Emissions (mt CO</t>
    </r>
    <r>
      <rPr>
        <b/>
        <vertAlign val="subscript"/>
        <sz val="12"/>
        <color theme="0"/>
        <rFont val="Poppins"/>
      </rPr>
      <t>2</t>
    </r>
    <r>
      <rPr>
        <b/>
        <sz val="12"/>
        <color theme="0"/>
        <rFont val="Poppins"/>
      </rPr>
      <t xml:space="preserve">e) </t>
    </r>
  </si>
  <si>
    <t>VMT and T&amp;D Loss Calculations</t>
  </si>
  <si>
    <t>Estimated Number of Battery Electric Vehicles (BEVs)</t>
  </si>
  <si>
    <t>Estimated Number of Plug-In Hybrid Electric Vehicles (PHEVs)</t>
  </si>
  <si>
    <t>Average VMT per Vehicle</t>
  </si>
  <si>
    <t>Total Electricity Consumption from BEVs (kWh)</t>
  </si>
  <si>
    <t>Total Electricity Consumption from PHEVs (kWh)</t>
  </si>
  <si>
    <t>Total Residential Electricity Consumption (kWh)</t>
  </si>
  <si>
    <t>Total Commercial Electricity Consumption (kWh)</t>
  </si>
  <si>
    <t>T&amp;D Losses from  Electricity Consumption from Electric Vehicles (kWh)</t>
  </si>
  <si>
    <t>T&amp;D Losses from Residential Electricity Consumption (kWh)</t>
  </si>
  <si>
    <t>T&amp;D Losses from Commercial Electricity Consumption (kWh)</t>
  </si>
  <si>
    <t>Public Transit Data</t>
  </si>
  <si>
    <r>
      <rPr>
        <b/>
        <sz val="12"/>
        <color theme="0"/>
        <rFont val="Poppins"/>
      </rPr>
      <t>Total Emissions (mt CO</t>
    </r>
    <r>
      <rPr>
        <b/>
        <vertAlign val="subscript"/>
        <sz val="12"/>
        <color theme="0"/>
        <rFont val="Poppins"/>
      </rPr>
      <t>2</t>
    </r>
    <r>
      <rPr>
        <b/>
        <sz val="12"/>
        <color theme="0"/>
        <rFont val="Poppins"/>
      </rPr>
      <t>e)</t>
    </r>
  </si>
  <si>
    <t xml:space="preserve">% of MSA Transit Emissions </t>
  </si>
  <si>
    <t>Total MSA (with Rail Runner added)</t>
  </si>
  <si>
    <t>1) Transit data for NM Rail Runner Express, Sandoval County Dial-a-Ride, Sandoval County Fixed Routes, Bernalillo County Fixed Routes, Valencia County Dial-a-Ride, and Valencia County Fixed Routes provided by Grant Brodehl. Email and spreadsheet on file.</t>
  </si>
  <si>
    <t>2) Rail Runner Express miles were attributed to the MSA as a whole, not attributed to counties individually.</t>
  </si>
  <si>
    <t>3) Transit data for ABQRIDE, ART, and Sun Van provided by Madeline Skrak. Email and spreadsheets on file. CNG data were provided in therms and were converted to scf in order to estimate emissions.</t>
  </si>
  <si>
    <t xml:space="preserve">4) ABQRIDE and ART electricity is assumed to be provided solely by PNM Utility. </t>
  </si>
  <si>
    <t>5) Torrance County does not have transit providers.</t>
  </si>
  <si>
    <t xml:space="preserve">Emissions Factors </t>
  </si>
  <si>
    <r>
      <rPr>
        <sz val="11"/>
        <color theme="1"/>
        <rFont val="Poppins"/>
      </rPr>
      <t>CO</t>
    </r>
    <r>
      <rPr>
        <vertAlign val="subscript"/>
        <sz val="11"/>
        <color theme="1"/>
        <rFont val="Poppins"/>
      </rPr>
      <t>2</t>
    </r>
  </si>
  <si>
    <r>
      <rPr>
        <sz val="11"/>
        <color theme="1"/>
        <rFont val="Poppins"/>
      </rPr>
      <t>mt CO</t>
    </r>
    <r>
      <rPr>
        <vertAlign val="subscript"/>
        <sz val="11"/>
        <color theme="1"/>
        <rFont val="Poppins"/>
      </rPr>
      <t>2</t>
    </r>
    <r>
      <rPr>
        <sz val="11"/>
        <color theme="1"/>
        <rFont val="Poppins"/>
      </rPr>
      <t>/gal</t>
    </r>
  </si>
  <si>
    <r>
      <rPr>
        <sz val="11"/>
        <color theme="1"/>
        <rFont val="Poppins"/>
      </rPr>
      <t>CH</t>
    </r>
    <r>
      <rPr>
        <vertAlign val="subscript"/>
        <sz val="11"/>
        <color theme="1"/>
        <rFont val="Poppins"/>
      </rPr>
      <t>4</t>
    </r>
  </si>
  <si>
    <t>Locomotives</t>
  </si>
  <si>
    <r>
      <rPr>
        <sz val="11"/>
        <color theme="1"/>
        <rFont val="Poppins"/>
      </rPr>
      <t>g CH</t>
    </r>
    <r>
      <rPr>
        <vertAlign val="subscript"/>
        <sz val="11"/>
        <color theme="1"/>
        <rFont val="Poppins"/>
      </rPr>
      <t>4</t>
    </r>
    <r>
      <rPr>
        <sz val="11"/>
        <color theme="1"/>
        <rFont val="Poppins"/>
      </rPr>
      <t>/gallon</t>
    </r>
  </si>
  <si>
    <r>
      <rPr>
        <sz val="11"/>
        <color theme="1"/>
        <rFont val="Poppins"/>
      </rPr>
      <t>CH</t>
    </r>
    <r>
      <rPr>
        <vertAlign val="subscript"/>
        <sz val="11"/>
        <color theme="1"/>
        <rFont val="Poppins"/>
      </rPr>
      <t>4</t>
    </r>
  </si>
  <si>
    <t>Light Duty (Bus)</t>
  </si>
  <si>
    <r>
      <rPr>
        <sz val="11"/>
        <color theme="1"/>
        <rFont val="Poppins"/>
      </rPr>
      <t>g CH</t>
    </r>
    <r>
      <rPr>
        <vertAlign val="subscript"/>
        <sz val="11"/>
        <color theme="1"/>
        <rFont val="Poppins"/>
      </rPr>
      <t>4</t>
    </r>
    <r>
      <rPr>
        <sz val="11"/>
        <color theme="1"/>
        <rFont val="Poppins"/>
      </rPr>
      <t>/mile</t>
    </r>
  </si>
  <si>
    <r>
      <rPr>
        <sz val="11"/>
        <color theme="1"/>
        <rFont val="Poppins"/>
      </rPr>
      <t>N</t>
    </r>
    <r>
      <rPr>
        <vertAlign val="subscript"/>
        <sz val="11"/>
        <color theme="1"/>
        <rFont val="Poppins"/>
      </rPr>
      <t>2</t>
    </r>
    <r>
      <rPr>
        <sz val="11"/>
        <color theme="1"/>
        <rFont val="Poppins"/>
      </rPr>
      <t>O</t>
    </r>
  </si>
  <si>
    <t>g N2O/gallon</t>
  </si>
  <si>
    <r>
      <rPr>
        <sz val="11"/>
        <color theme="1"/>
        <rFont val="Poppins"/>
      </rPr>
      <t>N</t>
    </r>
    <r>
      <rPr>
        <vertAlign val="subscript"/>
        <sz val="11"/>
        <color theme="1"/>
        <rFont val="Poppins"/>
      </rPr>
      <t>2</t>
    </r>
    <r>
      <rPr>
        <sz val="11"/>
        <color theme="1"/>
        <rFont val="Poppins"/>
      </rPr>
      <t>O</t>
    </r>
  </si>
  <si>
    <t>g N2O/mile</t>
  </si>
  <si>
    <r>
      <rPr>
        <sz val="11"/>
        <color theme="1"/>
        <rFont val="Poppins"/>
      </rPr>
      <t>CO</t>
    </r>
    <r>
      <rPr>
        <vertAlign val="subscript"/>
        <sz val="11"/>
        <color theme="1"/>
        <rFont val="Poppins"/>
      </rPr>
      <t>2</t>
    </r>
  </si>
  <si>
    <r>
      <rPr>
        <sz val="11"/>
        <color theme="1"/>
        <rFont val="Poppins"/>
      </rPr>
      <t>mt CO</t>
    </r>
    <r>
      <rPr>
        <vertAlign val="subscript"/>
        <sz val="11"/>
        <color theme="1"/>
        <rFont val="Poppins"/>
      </rPr>
      <t>2</t>
    </r>
    <r>
      <rPr>
        <sz val="11"/>
        <color theme="1"/>
        <rFont val="Poppins"/>
      </rPr>
      <t>/gal</t>
    </r>
  </si>
  <si>
    <t>EPA Emission Factors for GHG Inventories: https://www.epa.gov/system/files/documents/2024-02/ghg-emission-factors-hub-2024.pdf. Ch4 and N2O values are vehicles 1996 to present.</t>
  </si>
  <si>
    <r>
      <rPr>
        <sz val="11"/>
        <color theme="1"/>
        <rFont val="Poppins"/>
      </rPr>
      <t>CH</t>
    </r>
    <r>
      <rPr>
        <vertAlign val="subscript"/>
        <sz val="11"/>
        <color theme="1"/>
        <rFont val="Poppins"/>
      </rPr>
      <t>4</t>
    </r>
  </si>
  <si>
    <r>
      <rPr>
        <sz val="11"/>
        <color theme="1"/>
        <rFont val="Poppins"/>
      </rPr>
      <t>g CH</t>
    </r>
    <r>
      <rPr>
        <vertAlign val="subscript"/>
        <sz val="11"/>
        <color theme="1"/>
        <rFont val="Poppins"/>
      </rPr>
      <t>4</t>
    </r>
    <r>
      <rPr>
        <sz val="11"/>
        <color theme="1"/>
        <rFont val="Poppins"/>
      </rPr>
      <t>/mile</t>
    </r>
  </si>
  <si>
    <r>
      <rPr>
        <sz val="11"/>
        <color theme="1"/>
        <rFont val="Poppins"/>
      </rPr>
      <t>N</t>
    </r>
    <r>
      <rPr>
        <vertAlign val="subscript"/>
        <sz val="11"/>
        <color theme="1"/>
        <rFont val="Poppins"/>
      </rPr>
      <t>2</t>
    </r>
    <r>
      <rPr>
        <sz val="11"/>
        <color theme="1"/>
        <rFont val="Poppins"/>
      </rPr>
      <t>O</t>
    </r>
  </si>
  <si>
    <r>
      <rPr>
        <sz val="11"/>
        <color theme="1"/>
        <rFont val="Poppins"/>
      </rPr>
      <t>g N</t>
    </r>
    <r>
      <rPr>
        <vertAlign val="subscript"/>
        <sz val="11"/>
        <color theme="1"/>
        <rFont val="Poppins"/>
      </rPr>
      <t>2</t>
    </r>
    <r>
      <rPr>
        <sz val="11"/>
        <color theme="1"/>
        <rFont val="Poppins"/>
      </rPr>
      <t>O/mile</t>
    </r>
  </si>
  <si>
    <t>CNG</t>
  </si>
  <si>
    <r>
      <rPr>
        <sz val="11"/>
        <color theme="1"/>
        <rFont val="Poppins"/>
      </rPr>
      <t>CO</t>
    </r>
    <r>
      <rPr>
        <vertAlign val="subscript"/>
        <sz val="11"/>
        <color theme="1"/>
        <rFont val="Poppins"/>
      </rPr>
      <t>2</t>
    </r>
  </si>
  <si>
    <r>
      <rPr>
        <sz val="11"/>
        <color theme="1"/>
        <rFont val="Poppins"/>
      </rPr>
      <t>mt CO</t>
    </r>
    <r>
      <rPr>
        <vertAlign val="subscript"/>
        <sz val="11"/>
        <color theme="1"/>
        <rFont val="Poppins"/>
      </rPr>
      <t>2</t>
    </r>
    <r>
      <rPr>
        <sz val="11"/>
        <color theme="1"/>
        <rFont val="Poppins"/>
      </rPr>
      <t>/scf</t>
    </r>
  </si>
  <si>
    <r>
      <rPr>
        <sz val="11"/>
        <color theme="1"/>
        <rFont val="Poppins"/>
      </rPr>
      <t>CH</t>
    </r>
    <r>
      <rPr>
        <vertAlign val="subscript"/>
        <sz val="11"/>
        <color theme="1"/>
        <rFont val="Poppins"/>
      </rPr>
      <t>4</t>
    </r>
  </si>
  <si>
    <r>
      <rPr>
        <sz val="11"/>
        <color theme="1"/>
        <rFont val="Poppins"/>
      </rPr>
      <t>g CH</t>
    </r>
    <r>
      <rPr>
        <vertAlign val="subscript"/>
        <sz val="11"/>
        <color theme="1"/>
        <rFont val="Poppins"/>
      </rPr>
      <t>4</t>
    </r>
    <r>
      <rPr>
        <sz val="11"/>
        <color theme="1"/>
        <rFont val="Poppins"/>
      </rPr>
      <t>/mile</t>
    </r>
  </si>
  <si>
    <r>
      <rPr>
        <sz val="11"/>
        <color theme="1"/>
        <rFont val="Poppins"/>
      </rPr>
      <t>N</t>
    </r>
    <r>
      <rPr>
        <vertAlign val="subscript"/>
        <sz val="11"/>
        <color theme="1"/>
        <rFont val="Poppins"/>
      </rPr>
      <t>2</t>
    </r>
    <r>
      <rPr>
        <sz val="11"/>
        <color theme="1"/>
        <rFont val="Poppins"/>
      </rPr>
      <t>O</t>
    </r>
  </si>
  <si>
    <r>
      <rPr>
        <sz val="11"/>
        <color theme="1"/>
        <rFont val="Poppins"/>
      </rPr>
      <t>g N</t>
    </r>
    <r>
      <rPr>
        <vertAlign val="subscript"/>
        <sz val="11"/>
        <color theme="1"/>
        <rFont val="Poppins"/>
      </rPr>
      <t>2</t>
    </r>
    <r>
      <rPr>
        <sz val="11"/>
        <color theme="1"/>
        <rFont val="Poppins"/>
      </rPr>
      <t>O/mile</t>
    </r>
  </si>
  <si>
    <t>Electric Buses</t>
  </si>
  <si>
    <t>Estimated electric consumption of electric bus (kWh/mile)</t>
  </si>
  <si>
    <t>kWh/mile</t>
  </si>
  <si>
    <t>https://www.nrel.gov/docs/fy19osti/72864.pdf</t>
  </si>
  <si>
    <t>Buses Fuel Economy</t>
  </si>
  <si>
    <t>Efficiency</t>
  </si>
  <si>
    <t>Paratransit Shuttle (gas)</t>
  </si>
  <si>
    <t>Diesel bus</t>
  </si>
  <si>
    <t>Electric Bus</t>
  </si>
  <si>
    <t>CNG Bus</t>
  </si>
  <si>
    <t>mi/DGE</t>
  </si>
  <si>
    <t>Transit: Rail</t>
  </si>
  <si>
    <t>Transit System</t>
  </si>
  <si>
    <t>Diesel Consumption (gal)</t>
  </si>
  <si>
    <r>
      <rPr>
        <b/>
        <sz val="12"/>
        <color theme="0"/>
        <rFont val="Poppins"/>
      </rPr>
      <t>Emissions (mt CO</t>
    </r>
    <r>
      <rPr>
        <b/>
        <vertAlign val="subscript"/>
        <sz val="12"/>
        <color theme="0"/>
        <rFont val="Poppins"/>
      </rPr>
      <t>2</t>
    </r>
    <r>
      <rPr>
        <b/>
        <sz val="12"/>
        <color theme="0"/>
        <rFont val="Poppins"/>
      </rPr>
      <t>)</t>
    </r>
  </si>
  <si>
    <r>
      <rPr>
        <b/>
        <sz val="12"/>
        <color theme="0"/>
        <rFont val="Poppins"/>
      </rPr>
      <t>Emissions (mt CH</t>
    </r>
    <r>
      <rPr>
        <b/>
        <vertAlign val="subscript"/>
        <sz val="12"/>
        <color theme="0"/>
        <rFont val="Poppins"/>
      </rPr>
      <t>4</t>
    </r>
    <r>
      <rPr>
        <b/>
        <sz val="12"/>
        <color theme="0"/>
        <rFont val="Poppins"/>
      </rPr>
      <t>)</t>
    </r>
  </si>
  <si>
    <r>
      <rPr>
        <b/>
        <sz val="12"/>
        <color theme="0"/>
        <rFont val="Poppins"/>
      </rPr>
      <t>Emissions (mt N</t>
    </r>
    <r>
      <rPr>
        <b/>
        <vertAlign val="subscript"/>
        <sz val="12"/>
        <color theme="0"/>
        <rFont val="Poppins"/>
      </rPr>
      <t>2</t>
    </r>
    <r>
      <rPr>
        <b/>
        <sz val="12"/>
        <color theme="0"/>
        <rFont val="Poppins"/>
      </rPr>
      <t>O)</t>
    </r>
  </si>
  <si>
    <r>
      <rPr>
        <b/>
        <sz val="12"/>
        <color theme="0"/>
        <rFont val="Poppins"/>
      </rPr>
      <t>Total Emissions (mt CO</t>
    </r>
    <r>
      <rPr>
        <b/>
        <vertAlign val="subscript"/>
        <sz val="12"/>
        <color theme="0"/>
        <rFont val="Poppins"/>
      </rPr>
      <t>2</t>
    </r>
    <r>
      <rPr>
        <b/>
        <sz val="12"/>
        <color theme="0"/>
        <rFont val="Poppins"/>
      </rPr>
      <t>e)</t>
    </r>
  </si>
  <si>
    <t>NM Rail Runner Express</t>
  </si>
  <si>
    <t>Total Diesel</t>
  </si>
  <si>
    <t>Transit: On Road</t>
  </si>
  <si>
    <t>Gasoline Consumption (gal)</t>
  </si>
  <si>
    <r>
      <rPr>
        <b/>
        <sz val="12"/>
        <color theme="0"/>
        <rFont val="Poppins"/>
      </rPr>
      <t>Emissions (mt CO</t>
    </r>
    <r>
      <rPr>
        <b/>
        <vertAlign val="subscript"/>
        <sz val="12"/>
        <color theme="0"/>
        <rFont val="Poppins"/>
      </rPr>
      <t>2</t>
    </r>
    <r>
      <rPr>
        <b/>
        <sz val="12"/>
        <color theme="0"/>
        <rFont val="Poppins"/>
      </rPr>
      <t>)</t>
    </r>
  </si>
  <si>
    <r>
      <rPr>
        <b/>
        <sz val="12"/>
        <color theme="0"/>
        <rFont val="Poppins"/>
      </rPr>
      <t>Emissions (mt CH</t>
    </r>
    <r>
      <rPr>
        <b/>
        <vertAlign val="subscript"/>
        <sz val="12"/>
        <color theme="0"/>
        <rFont val="Poppins"/>
      </rPr>
      <t>4</t>
    </r>
    <r>
      <rPr>
        <b/>
        <sz val="12"/>
        <color theme="0"/>
        <rFont val="Poppins"/>
      </rPr>
      <t>)</t>
    </r>
  </si>
  <si>
    <r>
      <rPr>
        <b/>
        <sz val="12"/>
        <color theme="0"/>
        <rFont val="Poppins"/>
      </rPr>
      <t>Emissions (mt N</t>
    </r>
    <r>
      <rPr>
        <b/>
        <vertAlign val="subscript"/>
        <sz val="12"/>
        <color theme="0"/>
        <rFont val="Poppins"/>
      </rPr>
      <t>2</t>
    </r>
    <r>
      <rPr>
        <b/>
        <sz val="12"/>
        <color theme="0"/>
        <rFont val="Poppins"/>
      </rPr>
      <t>O)</t>
    </r>
  </si>
  <si>
    <r>
      <rPr>
        <b/>
        <sz val="12"/>
        <color theme="0"/>
        <rFont val="Poppins"/>
      </rPr>
      <t>Total Emissions (mt CO</t>
    </r>
    <r>
      <rPr>
        <b/>
        <vertAlign val="subscript"/>
        <sz val="12"/>
        <color theme="0"/>
        <rFont val="Poppins"/>
      </rPr>
      <t>2</t>
    </r>
    <r>
      <rPr>
        <b/>
        <sz val="12"/>
        <color theme="0"/>
        <rFont val="Poppins"/>
      </rPr>
      <t>e)</t>
    </r>
  </si>
  <si>
    <t>Sandoval County Dial-a-Ride</t>
  </si>
  <si>
    <t>Valencia County Dial-a-Ride</t>
  </si>
  <si>
    <t>Valencia County Fixed Routes</t>
  </si>
  <si>
    <t>Sun Van</t>
  </si>
  <si>
    <t>Total Gasoline</t>
  </si>
  <si>
    <r>
      <rPr>
        <b/>
        <sz val="12"/>
        <color theme="0"/>
        <rFont val="Poppins"/>
      </rPr>
      <t>Emissions (mt CO</t>
    </r>
    <r>
      <rPr>
        <b/>
        <vertAlign val="subscript"/>
        <sz val="12"/>
        <color theme="0"/>
        <rFont val="Poppins"/>
      </rPr>
      <t>2</t>
    </r>
    <r>
      <rPr>
        <b/>
        <sz val="12"/>
        <color theme="0"/>
        <rFont val="Poppins"/>
      </rPr>
      <t>)</t>
    </r>
  </si>
  <si>
    <r>
      <rPr>
        <b/>
        <sz val="12"/>
        <color theme="0"/>
        <rFont val="Poppins"/>
      </rPr>
      <t>Emissions (mt CH</t>
    </r>
    <r>
      <rPr>
        <b/>
        <vertAlign val="subscript"/>
        <sz val="12"/>
        <color theme="0"/>
        <rFont val="Poppins"/>
      </rPr>
      <t>4</t>
    </r>
    <r>
      <rPr>
        <b/>
        <sz val="12"/>
        <color theme="0"/>
        <rFont val="Poppins"/>
      </rPr>
      <t>)</t>
    </r>
  </si>
  <si>
    <r>
      <rPr>
        <b/>
        <sz val="12"/>
        <color theme="0"/>
        <rFont val="Poppins"/>
      </rPr>
      <t>Emissions (mt N</t>
    </r>
    <r>
      <rPr>
        <b/>
        <vertAlign val="subscript"/>
        <sz val="12"/>
        <color theme="0"/>
        <rFont val="Poppins"/>
      </rPr>
      <t>2</t>
    </r>
    <r>
      <rPr>
        <b/>
        <sz val="12"/>
        <color theme="0"/>
        <rFont val="Poppins"/>
      </rPr>
      <t>O)</t>
    </r>
  </si>
  <si>
    <r>
      <rPr>
        <b/>
        <sz val="12"/>
        <color theme="0"/>
        <rFont val="Poppins"/>
      </rPr>
      <t>Total Emissions (mt CO</t>
    </r>
    <r>
      <rPr>
        <b/>
        <vertAlign val="subscript"/>
        <sz val="12"/>
        <color theme="0"/>
        <rFont val="Poppins"/>
      </rPr>
      <t>2</t>
    </r>
    <r>
      <rPr>
        <b/>
        <sz val="12"/>
        <color theme="0"/>
        <rFont val="Poppins"/>
      </rPr>
      <t>e)</t>
    </r>
  </si>
  <si>
    <t>Sandoval County Fixed Routes</t>
  </si>
  <si>
    <t>Bernalillo County Fixed Routes</t>
  </si>
  <si>
    <t>ABQRIDE and ART</t>
  </si>
  <si>
    <t>Compressed Natural Gas</t>
  </si>
  <si>
    <t>CNG Consumption (scf)</t>
  </si>
  <si>
    <r>
      <rPr>
        <b/>
        <sz val="12"/>
        <color theme="0"/>
        <rFont val="Poppins"/>
      </rPr>
      <t>Emissions (mt CO</t>
    </r>
    <r>
      <rPr>
        <b/>
        <vertAlign val="subscript"/>
        <sz val="12"/>
        <color theme="0"/>
        <rFont val="Poppins"/>
      </rPr>
      <t>2</t>
    </r>
    <r>
      <rPr>
        <b/>
        <sz val="12"/>
        <color theme="0"/>
        <rFont val="Poppins"/>
      </rPr>
      <t>)</t>
    </r>
  </si>
  <si>
    <r>
      <rPr>
        <b/>
        <sz val="12"/>
        <color theme="0"/>
        <rFont val="Poppins"/>
      </rPr>
      <t>Emissions (mt CH</t>
    </r>
    <r>
      <rPr>
        <b/>
        <vertAlign val="subscript"/>
        <sz val="12"/>
        <color theme="0"/>
        <rFont val="Poppins"/>
      </rPr>
      <t>4</t>
    </r>
    <r>
      <rPr>
        <b/>
        <sz val="12"/>
        <color theme="0"/>
        <rFont val="Poppins"/>
      </rPr>
      <t>)</t>
    </r>
  </si>
  <si>
    <r>
      <rPr>
        <b/>
        <sz val="12"/>
        <color theme="0"/>
        <rFont val="Poppins"/>
      </rPr>
      <t>Emissions (mt N</t>
    </r>
    <r>
      <rPr>
        <b/>
        <vertAlign val="subscript"/>
        <sz val="12"/>
        <color theme="0"/>
        <rFont val="Poppins"/>
      </rPr>
      <t>2</t>
    </r>
    <r>
      <rPr>
        <b/>
        <sz val="12"/>
        <color theme="0"/>
        <rFont val="Poppins"/>
      </rPr>
      <t>O)</t>
    </r>
  </si>
  <si>
    <r>
      <rPr>
        <b/>
        <sz val="12"/>
        <color theme="0"/>
        <rFont val="Poppins"/>
      </rPr>
      <t>Total Emissions (mt CO</t>
    </r>
    <r>
      <rPr>
        <b/>
        <vertAlign val="subscript"/>
        <sz val="12"/>
        <color theme="0"/>
        <rFont val="Poppins"/>
      </rPr>
      <t>2</t>
    </r>
    <r>
      <rPr>
        <b/>
        <sz val="12"/>
        <color theme="0"/>
        <rFont val="Poppins"/>
      </rPr>
      <t>e)</t>
    </r>
  </si>
  <si>
    <t>Total CNG</t>
  </si>
  <si>
    <r>
      <rPr>
        <b/>
        <sz val="12"/>
        <color theme="0"/>
        <rFont val="Poppins"/>
      </rPr>
      <t>Emissions (mt CO</t>
    </r>
    <r>
      <rPr>
        <b/>
        <vertAlign val="subscript"/>
        <sz val="12"/>
        <color theme="0"/>
        <rFont val="Poppins"/>
      </rPr>
      <t>2</t>
    </r>
    <r>
      <rPr>
        <b/>
        <sz val="12"/>
        <color theme="0"/>
        <rFont val="Poppins"/>
      </rPr>
      <t>)</t>
    </r>
  </si>
  <si>
    <r>
      <rPr>
        <b/>
        <sz val="12"/>
        <color theme="0"/>
        <rFont val="Poppins"/>
      </rPr>
      <t>Emissions (mt CH</t>
    </r>
    <r>
      <rPr>
        <b/>
        <vertAlign val="subscript"/>
        <sz val="12"/>
        <color theme="0"/>
        <rFont val="Poppins"/>
      </rPr>
      <t>4</t>
    </r>
    <r>
      <rPr>
        <b/>
        <sz val="12"/>
        <color theme="0"/>
        <rFont val="Poppins"/>
      </rPr>
      <t>)</t>
    </r>
  </si>
  <si>
    <r>
      <rPr>
        <b/>
        <sz val="12"/>
        <color theme="0"/>
        <rFont val="Poppins"/>
      </rPr>
      <t>Emissions (mt N</t>
    </r>
    <r>
      <rPr>
        <b/>
        <vertAlign val="subscript"/>
        <sz val="12"/>
        <color theme="0"/>
        <rFont val="Poppins"/>
      </rPr>
      <t>2</t>
    </r>
    <r>
      <rPr>
        <b/>
        <sz val="12"/>
        <color theme="0"/>
        <rFont val="Poppins"/>
      </rPr>
      <t>O)</t>
    </r>
  </si>
  <si>
    <r>
      <rPr>
        <b/>
        <sz val="12"/>
        <color theme="0"/>
        <rFont val="Poppins"/>
      </rPr>
      <t>Total Emissions (mt CO</t>
    </r>
    <r>
      <rPr>
        <b/>
        <vertAlign val="subscript"/>
        <sz val="12"/>
        <color theme="0"/>
        <rFont val="Poppins"/>
      </rPr>
      <t>2</t>
    </r>
    <r>
      <rPr>
        <b/>
        <sz val="12"/>
        <color theme="0"/>
        <rFont val="Poppins"/>
      </rPr>
      <t>e)</t>
    </r>
  </si>
  <si>
    <t>T&amp;D Losses (kWh)</t>
  </si>
  <si>
    <r>
      <rPr>
        <b/>
        <sz val="12"/>
        <color theme="0"/>
        <rFont val="Poppins"/>
      </rPr>
      <t>Emissions (mt CO</t>
    </r>
    <r>
      <rPr>
        <b/>
        <vertAlign val="subscript"/>
        <sz val="12"/>
        <color theme="0"/>
        <rFont val="Poppins"/>
      </rPr>
      <t>2</t>
    </r>
    <r>
      <rPr>
        <b/>
        <sz val="12"/>
        <color theme="0"/>
        <rFont val="Poppins"/>
      </rPr>
      <t>)</t>
    </r>
  </si>
  <si>
    <r>
      <rPr>
        <b/>
        <sz val="12"/>
        <color theme="0"/>
        <rFont val="Poppins"/>
      </rPr>
      <t>Emissions (mt CH</t>
    </r>
    <r>
      <rPr>
        <b/>
        <vertAlign val="subscript"/>
        <sz val="12"/>
        <color theme="0"/>
        <rFont val="Poppins"/>
      </rPr>
      <t>4</t>
    </r>
    <r>
      <rPr>
        <b/>
        <sz val="12"/>
        <color theme="0"/>
        <rFont val="Poppins"/>
      </rPr>
      <t>)</t>
    </r>
  </si>
  <si>
    <r>
      <rPr>
        <b/>
        <sz val="12"/>
        <color theme="0"/>
        <rFont val="Poppins"/>
      </rPr>
      <t>Emissions (mt N</t>
    </r>
    <r>
      <rPr>
        <b/>
        <vertAlign val="subscript"/>
        <sz val="12"/>
        <color theme="0"/>
        <rFont val="Poppins"/>
      </rPr>
      <t>2</t>
    </r>
    <r>
      <rPr>
        <b/>
        <sz val="12"/>
        <color theme="0"/>
        <rFont val="Poppins"/>
      </rPr>
      <t>O)</t>
    </r>
  </si>
  <si>
    <r>
      <rPr>
        <b/>
        <sz val="12"/>
        <color theme="0"/>
        <rFont val="Poppins"/>
      </rPr>
      <t>Total Emissions (mt CO</t>
    </r>
    <r>
      <rPr>
        <b/>
        <vertAlign val="subscript"/>
        <sz val="12"/>
        <color theme="0"/>
        <rFont val="Poppins"/>
      </rPr>
      <t>2</t>
    </r>
    <r>
      <rPr>
        <b/>
        <sz val="12"/>
        <color theme="0"/>
        <rFont val="Poppins"/>
      </rPr>
      <t>e)</t>
    </r>
  </si>
  <si>
    <t>Total Emissions (mt CO2e)</t>
  </si>
  <si>
    <t xml:space="preserve">%  of MSA Aviation Emissions </t>
  </si>
  <si>
    <t>1) Total jet fuel for the Sunport provided by Dustin Harris. Email on file. Sunport data is attributed to both the City of Albuquerque and Bernalillo County.</t>
  </si>
  <si>
    <t>2) Local-itinerant split for the Sunport is from the 2020 Sustainable Airport Master Plan: https://www.abqsunport.com/wp-content/uploads/2020/12/ABQ_Executive_Summary-ReducedSize.pdf. Operations data are from 2018. PDF and calculation spreadsheet on file.</t>
  </si>
  <si>
    <t>3) Double Eagle data was estimated using information from the FAA (https://aspm.faa.gov/opsnet/sys/Airport.asp) regarding types of operations and ACERT data on aircraft types and LTO emission factors. Calculations on file. Emissions from Double Eagle are attributed to both the City of Albuquerque and Bernalillo County.</t>
  </si>
  <si>
    <t>4) No data were available for the airports in Belen and Moriarty.</t>
  </si>
  <si>
    <t>Emissions Factors</t>
  </si>
  <si>
    <r>
      <rPr>
        <sz val="11"/>
        <color theme="1"/>
        <rFont val="Poppins"/>
      </rPr>
      <t>CO</t>
    </r>
    <r>
      <rPr>
        <vertAlign val="subscript"/>
        <sz val="11"/>
        <color theme="1"/>
        <rFont val="Poppins"/>
      </rPr>
      <t>2</t>
    </r>
  </si>
  <si>
    <r>
      <rPr>
        <sz val="11"/>
        <color rgb="FF000000"/>
        <rFont val="Poppins"/>
      </rPr>
      <t>kg CO</t>
    </r>
    <r>
      <rPr>
        <vertAlign val="subscript"/>
        <sz val="11"/>
        <color rgb="FF000000"/>
        <rFont val="Poppins"/>
      </rPr>
      <t>2</t>
    </r>
    <r>
      <rPr>
        <sz val="11"/>
        <color rgb="FF000000"/>
        <rFont val="Poppins"/>
      </rPr>
      <t>/gal</t>
    </r>
  </si>
  <si>
    <r>
      <rPr>
        <sz val="11"/>
        <color theme="1"/>
        <rFont val="Poppins"/>
      </rPr>
      <t>CH</t>
    </r>
    <r>
      <rPr>
        <vertAlign val="subscript"/>
        <sz val="11"/>
        <color theme="1"/>
        <rFont val="Poppins"/>
      </rPr>
      <t>4</t>
    </r>
  </si>
  <si>
    <r>
      <rPr>
        <sz val="11"/>
        <color theme="1"/>
        <rFont val="Poppins"/>
      </rPr>
      <t>g CH</t>
    </r>
    <r>
      <rPr>
        <vertAlign val="subscript"/>
        <sz val="11"/>
        <color rgb="FF000000"/>
        <rFont val="Poppins"/>
      </rPr>
      <t>4</t>
    </r>
    <r>
      <rPr>
        <sz val="11"/>
        <color rgb="FF000000"/>
        <rFont val="Poppins"/>
      </rPr>
      <t>/gal</t>
    </r>
  </si>
  <si>
    <r>
      <rPr>
        <sz val="11"/>
        <color theme="1"/>
        <rFont val="Poppins"/>
      </rPr>
      <t>N</t>
    </r>
    <r>
      <rPr>
        <vertAlign val="subscript"/>
        <sz val="11"/>
        <color theme="1"/>
        <rFont val="Poppins"/>
      </rPr>
      <t>2</t>
    </r>
    <r>
      <rPr>
        <sz val="11"/>
        <color theme="1"/>
        <rFont val="Poppins"/>
      </rPr>
      <t>O</t>
    </r>
  </si>
  <si>
    <r>
      <rPr>
        <sz val="11"/>
        <color theme="1"/>
        <rFont val="Poppins"/>
      </rPr>
      <t>g N</t>
    </r>
    <r>
      <rPr>
        <vertAlign val="subscript"/>
        <sz val="11"/>
        <color rgb="FF000000"/>
        <rFont val="Poppins"/>
      </rPr>
      <t>2</t>
    </r>
    <r>
      <rPr>
        <sz val="11"/>
        <color rgb="FF000000"/>
        <rFont val="Poppins"/>
      </rPr>
      <t>O/gal</t>
    </r>
  </si>
  <si>
    <t>Aviation Gasoline</t>
  </si>
  <si>
    <r>
      <rPr>
        <sz val="11"/>
        <color theme="1"/>
        <rFont val="Poppins"/>
      </rPr>
      <t>CO</t>
    </r>
    <r>
      <rPr>
        <vertAlign val="subscript"/>
        <sz val="11"/>
        <color theme="1"/>
        <rFont val="Poppins"/>
      </rPr>
      <t>2</t>
    </r>
  </si>
  <si>
    <r>
      <rPr>
        <sz val="11"/>
        <color rgb="FF000000"/>
        <rFont val="Poppins"/>
      </rPr>
      <t>kg CO</t>
    </r>
    <r>
      <rPr>
        <vertAlign val="subscript"/>
        <sz val="11"/>
        <color rgb="FF000000"/>
        <rFont val="Poppins"/>
      </rPr>
      <t>2</t>
    </r>
    <r>
      <rPr>
        <sz val="11"/>
        <color rgb="FF000000"/>
        <rFont val="Poppins"/>
      </rPr>
      <t>/gal</t>
    </r>
  </si>
  <si>
    <r>
      <rPr>
        <sz val="11"/>
        <color theme="1"/>
        <rFont val="Poppins"/>
      </rPr>
      <t>CH</t>
    </r>
    <r>
      <rPr>
        <vertAlign val="subscript"/>
        <sz val="11"/>
        <color theme="1"/>
        <rFont val="Poppins"/>
      </rPr>
      <t>4</t>
    </r>
  </si>
  <si>
    <r>
      <rPr>
        <sz val="11"/>
        <color rgb="FF000000"/>
        <rFont val="Poppins"/>
      </rPr>
      <t>g CH</t>
    </r>
    <r>
      <rPr>
        <vertAlign val="subscript"/>
        <sz val="11"/>
        <color rgb="FF000000"/>
        <rFont val="Poppins"/>
      </rPr>
      <t>4</t>
    </r>
    <r>
      <rPr>
        <sz val="11"/>
        <color rgb="FF000000"/>
        <rFont val="Poppins"/>
      </rPr>
      <t>/gal</t>
    </r>
  </si>
  <si>
    <r>
      <rPr>
        <sz val="11"/>
        <color theme="1"/>
        <rFont val="Poppins"/>
      </rPr>
      <t>N</t>
    </r>
    <r>
      <rPr>
        <vertAlign val="subscript"/>
        <sz val="11"/>
        <color theme="1"/>
        <rFont val="Poppins"/>
      </rPr>
      <t>2</t>
    </r>
    <r>
      <rPr>
        <sz val="11"/>
        <color theme="1"/>
        <rFont val="Poppins"/>
      </rPr>
      <t>O</t>
    </r>
  </si>
  <si>
    <r>
      <rPr>
        <sz val="11"/>
        <color rgb="FF000000"/>
        <rFont val="Poppins"/>
      </rPr>
      <t>g N</t>
    </r>
    <r>
      <rPr>
        <vertAlign val="subscript"/>
        <sz val="11"/>
        <color rgb="FF000000"/>
        <rFont val="Poppins"/>
      </rPr>
      <t>2</t>
    </r>
    <r>
      <rPr>
        <sz val="11"/>
        <color rgb="FF000000"/>
        <rFont val="Poppins"/>
      </rPr>
      <t>O/gal</t>
    </r>
  </si>
  <si>
    <t>ACERT LTO Fuel Factors</t>
  </si>
  <si>
    <t>Aircraft Type</t>
  </si>
  <si>
    <t>Business (Private jets)</t>
  </si>
  <si>
    <t>kg/LTO</t>
  </si>
  <si>
    <t>Airport Carbon and Emissions Reporting Tool (ACERT). Calculations on file.</t>
  </si>
  <si>
    <t>Helicopter</t>
  </si>
  <si>
    <t>Jet</t>
  </si>
  <si>
    <t>Single engine propeller</t>
  </si>
  <si>
    <t>Turboprop</t>
  </si>
  <si>
    <t>Total Fuel Used (gal)</t>
  </si>
  <si>
    <t>Airport</t>
  </si>
  <si>
    <t>Local/Itinerant</t>
  </si>
  <si>
    <t>Proportion of Flights</t>
  </si>
  <si>
    <t>Fuel Usage (gal)</t>
  </si>
  <si>
    <r>
      <rPr>
        <b/>
        <sz val="12"/>
        <color theme="0"/>
        <rFont val="Poppins"/>
      </rPr>
      <t>Emissions (mt CO</t>
    </r>
    <r>
      <rPr>
        <b/>
        <vertAlign val="subscript"/>
        <sz val="12"/>
        <color theme="0"/>
        <rFont val="Poppins"/>
      </rPr>
      <t>2</t>
    </r>
    <r>
      <rPr>
        <b/>
        <sz val="12"/>
        <color theme="0"/>
        <rFont val="Poppins"/>
      </rPr>
      <t>)</t>
    </r>
  </si>
  <si>
    <r>
      <rPr>
        <b/>
        <sz val="12"/>
        <color theme="0"/>
        <rFont val="Poppins"/>
      </rPr>
      <t>Emissions (mt CH</t>
    </r>
    <r>
      <rPr>
        <b/>
        <vertAlign val="subscript"/>
        <sz val="12"/>
        <color theme="0"/>
        <rFont val="Poppins"/>
      </rPr>
      <t>4</t>
    </r>
    <r>
      <rPr>
        <b/>
        <sz val="12"/>
        <color theme="0"/>
        <rFont val="Poppins"/>
      </rPr>
      <t>)</t>
    </r>
  </si>
  <si>
    <r>
      <rPr>
        <b/>
        <sz val="12"/>
        <color theme="0"/>
        <rFont val="Poppins"/>
      </rPr>
      <t>Emissions (mt N</t>
    </r>
    <r>
      <rPr>
        <b/>
        <vertAlign val="subscript"/>
        <sz val="12"/>
        <color theme="0"/>
        <rFont val="Poppins"/>
      </rPr>
      <t>2</t>
    </r>
    <r>
      <rPr>
        <b/>
        <sz val="12"/>
        <color theme="0"/>
        <rFont val="Poppins"/>
      </rPr>
      <t>O)</t>
    </r>
  </si>
  <si>
    <r>
      <rPr>
        <b/>
        <sz val="12"/>
        <color theme="0"/>
        <rFont val="Poppins"/>
      </rPr>
      <t>Emissions (mt CO</t>
    </r>
    <r>
      <rPr>
        <b/>
        <vertAlign val="subscript"/>
        <sz val="12"/>
        <color theme="0"/>
        <rFont val="Poppins"/>
      </rPr>
      <t>2</t>
    </r>
    <r>
      <rPr>
        <b/>
        <sz val="12"/>
        <color theme="0"/>
        <rFont val="Poppins"/>
      </rPr>
      <t>e)</t>
    </r>
  </si>
  <si>
    <t xml:space="preserve">Local </t>
  </si>
  <si>
    <t>Itinerant</t>
  </si>
  <si>
    <t>Total Bernalillo County</t>
  </si>
  <si>
    <t>Double Eagle Airport</t>
  </si>
  <si>
    <t>Number of Operations</t>
  </si>
  <si>
    <t>Emissions (kg CO2e)</t>
  </si>
  <si>
    <t>Air Carrier</t>
  </si>
  <si>
    <t>Air Taxi</t>
  </si>
  <si>
    <t>General Aviation</t>
  </si>
  <si>
    <t>Military - Local</t>
  </si>
  <si>
    <t>Civil</t>
  </si>
  <si>
    <t>Military - Itinerant</t>
  </si>
  <si>
    <t xml:space="preserve">Total Itinerant </t>
  </si>
  <si>
    <t xml:space="preserve">Total Local </t>
  </si>
  <si>
    <t xml:space="preserve">%  of MSA Off-Road Emissions </t>
  </si>
  <si>
    <t>Info-Only Off-Road for City of Albuquerque</t>
  </si>
  <si>
    <t>Info-Only Off-Road for Bernalillo County</t>
  </si>
  <si>
    <t>Data Sources and Assumptions</t>
  </si>
  <si>
    <t>1) Off-road data came from the 2020 EPA NEI. These data include emissions for agricultural equipment, construction equipment, lawn and garden equipment, recreational equipment, and others. Spreadsheet on file. Data for the City of Albuquerque were estimated by scaling down Bernalillo County's data by the the ratio of land area between the city and the county. Calculations on file.</t>
  </si>
  <si>
    <t>2) Sunport data provided by Dustin Harris. Email on file. Because airport-related off-road data is not separated out in the NEI data, the Sunport off-road data is reported in this tab as info-only to avoid double-counting. Sunport info-only off-road data are atttrbuted to both the City of Albuquerque and Bernalillo County.</t>
  </si>
  <si>
    <t>3) It is assumed that off-road related emissions can be apportioned to the City of Albuquerque based on the proportion of land area in Albuquerque vs Bernalillo County.</t>
  </si>
  <si>
    <r>
      <rPr>
        <sz val="11"/>
        <color theme="1"/>
        <rFont val="Poppins"/>
      </rPr>
      <t>CO</t>
    </r>
    <r>
      <rPr>
        <vertAlign val="subscript"/>
        <sz val="11"/>
        <color theme="1"/>
        <rFont val="Poppins"/>
      </rPr>
      <t>2</t>
    </r>
  </si>
  <si>
    <r>
      <rPr>
        <sz val="11"/>
        <color theme="1"/>
        <rFont val="Poppins"/>
      </rPr>
      <t>mt CO</t>
    </r>
    <r>
      <rPr>
        <vertAlign val="subscript"/>
        <sz val="11"/>
        <color theme="1"/>
        <rFont val="Poppins"/>
      </rPr>
      <t>2</t>
    </r>
    <r>
      <rPr>
        <sz val="11"/>
        <color theme="1"/>
        <rFont val="Poppins"/>
      </rPr>
      <t>/gal</t>
    </r>
  </si>
  <si>
    <r>
      <rPr>
        <sz val="11"/>
        <color theme="1"/>
        <rFont val="Poppins"/>
      </rPr>
      <t>CH</t>
    </r>
    <r>
      <rPr>
        <vertAlign val="subscript"/>
        <sz val="11"/>
        <color theme="1"/>
        <rFont val="Poppins"/>
      </rPr>
      <t>4</t>
    </r>
  </si>
  <si>
    <t>Airport Equipment</t>
  </si>
  <si>
    <r>
      <rPr>
        <sz val="11"/>
        <color theme="1"/>
        <rFont val="Poppins"/>
      </rPr>
      <t>g CH</t>
    </r>
    <r>
      <rPr>
        <vertAlign val="subscript"/>
        <sz val="11"/>
        <color theme="1"/>
        <rFont val="Poppins"/>
      </rPr>
      <t>4</t>
    </r>
    <r>
      <rPr>
        <sz val="11"/>
        <color theme="1"/>
        <rFont val="Poppins"/>
      </rPr>
      <t>/gal</t>
    </r>
  </si>
  <si>
    <r>
      <rPr>
        <sz val="11"/>
        <color theme="1"/>
        <rFont val="Poppins"/>
      </rPr>
      <t>N</t>
    </r>
    <r>
      <rPr>
        <vertAlign val="subscript"/>
        <sz val="11"/>
        <color theme="1"/>
        <rFont val="Poppins"/>
      </rPr>
      <t>2</t>
    </r>
    <r>
      <rPr>
        <sz val="11"/>
        <color theme="1"/>
        <rFont val="Poppins"/>
      </rPr>
      <t>O</t>
    </r>
  </si>
  <si>
    <r>
      <rPr>
        <sz val="11"/>
        <color theme="1"/>
        <rFont val="Poppins"/>
      </rPr>
      <t>g N</t>
    </r>
    <r>
      <rPr>
        <vertAlign val="subscript"/>
        <sz val="11"/>
        <color theme="1"/>
        <rFont val="Poppins"/>
      </rPr>
      <t>2</t>
    </r>
    <r>
      <rPr>
        <sz val="11"/>
        <color theme="1"/>
        <rFont val="Poppins"/>
      </rPr>
      <t>O/gal</t>
    </r>
  </si>
  <si>
    <t>Biodiesel - Equipment</t>
  </si>
  <si>
    <r>
      <rPr>
        <sz val="11"/>
        <color theme="1"/>
        <rFont val="Poppins"/>
      </rPr>
      <t>CO</t>
    </r>
    <r>
      <rPr>
        <vertAlign val="subscript"/>
        <sz val="11"/>
        <color theme="1"/>
        <rFont val="Poppins"/>
      </rPr>
      <t>2</t>
    </r>
  </si>
  <si>
    <r>
      <rPr>
        <sz val="11"/>
        <color theme="1"/>
        <rFont val="Poppins"/>
      </rPr>
      <t>mt CO</t>
    </r>
    <r>
      <rPr>
        <vertAlign val="subscript"/>
        <sz val="11"/>
        <color theme="1"/>
        <rFont val="Poppins"/>
      </rPr>
      <t>2</t>
    </r>
    <r>
      <rPr>
        <sz val="11"/>
        <color theme="1"/>
        <rFont val="Poppins"/>
      </rPr>
      <t>b/gal</t>
    </r>
  </si>
  <si>
    <t>Diesel - Equipment</t>
  </si>
  <si>
    <r>
      <rPr>
        <sz val="11"/>
        <color theme="1"/>
        <rFont val="Poppins"/>
      </rPr>
      <t>CO</t>
    </r>
    <r>
      <rPr>
        <vertAlign val="subscript"/>
        <sz val="11"/>
        <color theme="1"/>
        <rFont val="Poppins"/>
      </rPr>
      <t>2</t>
    </r>
  </si>
  <si>
    <r>
      <rPr>
        <sz val="11"/>
        <color theme="1"/>
        <rFont val="Poppins"/>
      </rPr>
      <t>mt CO</t>
    </r>
    <r>
      <rPr>
        <vertAlign val="subscript"/>
        <sz val="11"/>
        <color theme="1"/>
        <rFont val="Poppins"/>
      </rPr>
      <t>2</t>
    </r>
    <r>
      <rPr>
        <sz val="11"/>
        <color theme="1"/>
        <rFont val="Poppins"/>
      </rPr>
      <t>/gal</t>
    </r>
  </si>
  <si>
    <r>
      <rPr>
        <sz val="11"/>
        <color theme="1"/>
        <rFont val="Poppins"/>
      </rPr>
      <t>CH</t>
    </r>
    <r>
      <rPr>
        <vertAlign val="subscript"/>
        <sz val="11"/>
        <color theme="1"/>
        <rFont val="Poppins"/>
      </rPr>
      <t>4</t>
    </r>
  </si>
  <si>
    <r>
      <rPr>
        <sz val="11"/>
        <color theme="1"/>
        <rFont val="Poppins"/>
      </rPr>
      <t>g CH</t>
    </r>
    <r>
      <rPr>
        <vertAlign val="subscript"/>
        <sz val="11"/>
        <color theme="1"/>
        <rFont val="Poppins"/>
      </rPr>
      <t>4</t>
    </r>
    <r>
      <rPr>
        <sz val="11"/>
        <color theme="1"/>
        <rFont val="Poppins"/>
      </rPr>
      <t>/gal</t>
    </r>
  </si>
  <si>
    <r>
      <rPr>
        <sz val="11"/>
        <color theme="1"/>
        <rFont val="Poppins"/>
      </rPr>
      <t>N</t>
    </r>
    <r>
      <rPr>
        <vertAlign val="subscript"/>
        <sz val="11"/>
        <color theme="1"/>
        <rFont val="Poppins"/>
      </rPr>
      <t>2</t>
    </r>
    <r>
      <rPr>
        <sz val="11"/>
        <color theme="1"/>
        <rFont val="Poppins"/>
      </rPr>
      <t>O</t>
    </r>
  </si>
  <si>
    <r>
      <rPr>
        <sz val="11"/>
        <color theme="1"/>
        <rFont val="Poppins"/>
      </rPr>
      <t>g N</t>
    </r>
    <r>
      <rPr>
        <vertAlign val="subscript"/>
        <sz val="11"/>
        <color theme="1"/>
        <rFont val="Poppins"/>
      </rPr>
      <t>2</t>
    </r>
    <r>
      <rPr>
        <sz val="11"/>
        <color theme="1"/>
        <rFont val="Poppins"/>
      </rPr>
      <t>O/gal</t>
    </r>
  </si>
  <si>
    <t>Off-Road Data from EPA NEI</t>
  </si>
  <si>
    <t>Emissions (t CO2)</t>
  </si>
  <si>
    <t>Emissions (t CH4)</t>
  </si>
  <si>
    <t>Emissions (t N2O)</t>
  </si>
  <si>
    <t>Albuquerque International Sunport - Information-Only</t>
  </si>
  <si>
    <t>Biofuels Split</t>
  </si>
  <si>
    <t>Albuquerque International Sunport (gasoline)</t>
  </si>
  <si>
    <t>Biodiesel</t>
  </si>
  <si>
    <t>Albuquerque International Sunport (biodiesel)</t>
  </si>
  <si>
    <t>% Attribution</t>
  </si>
  <si>
    <t>Fuel Used (gal)</t>
  </si>
  <si>
    <t>Emissions (mt CO2)</t>
  </si>
  <si>
    <t>Emissions (mt CH4)</t>
  </si>
  <si>
    <t>Emissions (mt N2O)</t>
  </si>
  <si>
    <t>Emissions (mt CO2b)</t>
  </si>
  <si>
    <t xml:space="preserve">Gasoline </t>
  </si>
  <si>
    <r>
      <rPr>
        <b/>
        <sz val="12"/>
        <color theme="0"/>
        <rFont val="Poppins"/>
      </rPr>
      <t>Total Emissions (mt CO</t>
    </r>
    <r>
      <rPr>
        <b/>
        <vertAlign val="subscript"/>
        <sz val="12"/>
        <color theme="0"/>
        <rFont val="Poppins"/>
      </rPr>
      <t>2</t>
    </r>
    <r>
      <rPr>
        <b/>
        <sz val="12"/>
        <color theme="0"/>
        <rFont val="Poppins"/>
      </rPr>
      <t>e)</t>
    </r>
  </si>
  <si>
    <t xml:space="preserve">% of MSA Railway Emissions </t>
  </si>
  <si>
    <t>Total MSA minus RailRunner</t>
  </si>
  <si>
    <t>1) Railway emissions data from the 2020 National Emissions Inventory (NEI) from the US EPA. Emissions reported in US tons. Spreadsheet on file.</t>
  </si>
  <si>
    <t>2) The length of railroad in the City of Albuquerque was calculated, and emissions were scaled down based on the proportion of railways in the city to railways in Bernalillo County. QGIS exports and calculations on file.</t>
  </si>
  <si>
    <t>3) RailRunner emissions (calculated in the Transit tab) are attributed to the MSA as a whole; RailRunner emissions are subtracted from the MSA totals in this tab to avoid double-counting rail emissions.</t>
  </si>
  <si>
    <t>Total MSA minus RailRunner (mt CO2e)</t>
  </si>
  <si>
    <t>Waste and Recycling Data</t>
  </si>
  <si>
    <t>Diversion Rate</t>
  </si>
  <si>
    <t>Percent of MSA Waste Emissions</t>
  </si>
  <si>
    <t xml:space="preserve">Scope 1 </t>
  </si>
  <si>
    <t>1) Landfill tonnage data for Cerro Colorado Landfill (Bernalillo County), Rio Rancho Municipal Landfill (Sandoval County), and Sandoval County Landfill (Sandoval County) found in the EPA's FLIGHT tool. PDFs on file.</t>
  </si>
  <si>
    <t xml:space="preserve">2) Waste data for Estancia Valley Landfill (Torrance County) provided by Ericka Lea. Email on file. </t>
  </si>
  <si>
    <t>3) Data was unable to be collected for Valencia County Landfill (Valencia County) and Southwest Construction &amp; Demolition (Bernalillo County).</t>
  </si>
  <si>
    <t>4) Waste data for the City of Albuquerque provided by Alexa Shepard and Angel Urrutia. Email, spreadsheets, and PDFs on file.</t>
  </si>
  <si>
    <t>5) Data for recycling sent to BarCo (within city limits) provided by Lawrence Maldonado. Email and spreadsheets on file. Data attributed to City of Albuquerque and Bernalillo County.</t>
  </si>
  <si>
    <t>6) Food waste and organic material data from Soilutions provided by Dawn Dewey. Email on file. Data attributed to City of Albuquerque and Bernalillo County.</t>
  </si>
  <si>
    <t>7) Cerro Colorado Landfill is outside Albuquerque city limits but within Bernalillo County (scope 3 for the city and scope 1 for the county).</t>
  </si>
  <si>
    <t>8) Cerro Colorado and Rio Rancho Municipal Landfills have LFG collection systems in place. Sandoval County Landfill does not.</t>
  </si>
  <si>
    <t>9) Waste and recycling characterizations taken from the EPA's Advancing Sustainable Materials Management 2018 Fact Sheet. On file. Figure 4</t>
  </si>
  <si>
    <t xml:space="preserve">Emission Factors </t>
  </si>
  <si>
    <t xml:space="preserve">Landfilled Waste </t>
  </si>
  <si>
    <t>Waste Component</t>
  </si>
  <si>
    <t>Percentage of Total Waste</t>
  </si>
  <si>
    <t>Emission Factor</t>
  </si>
  <si>
    <t>Newspaper</t>
  </si>
  <si>
    <t>Office paper</t>
  </si>
  <si>
    <t>Corrugated containers</t>
  </si>
  <si>
    <t>Magazines/third-class mail</t>
  </si>
  <si>
    <t>Food scraps</t>
  </si>
  <si>
    <t>Grass</t>
  </si>
  <si>
    <t>Leaves</t>
  </si>
  <si>
    <t>Branches</t>
  </si>
  <si>
    <t>Dimensional lumber</t>
  </si>
  <si>
    <t>Composted Waste</t>
  </si>
  <si>
    <t>Type of compost</t>
  </si>
  <si>
    <t>Green waste</t>
  </si>
  <si>
    <r>
      <rPr>
        <sz val="11"/>
        <color rgb="FF000000"/>
        <rFont val="Poppins"/>
      </rPr>
      <t>mt CH</t>
    </r>
    <r>
      <rPr>
        <vertAlign val="subscript"/>
        <sz val="11"/>
        <color rgb="FF000000"/>
        <rFont val="Poppins"/>
      </rPr>
      <t>4</t>
    </r>
    <r>
      <rPr>
        <sz val="11"/>
        <color rgb="FF000000"/>
        <rFont val="Poppins"/>
      </rPr>
      <t>/ton waste</t>
    </r>
  </si>
  <si>
    <t xml:space="preserve">Documentation for Greenhouse Gas Emissions and Energy Factors Used in the Waste Reduction Model (WARM): https://www.epa.gov/system/files/documents/2024-01/warm_management_practices_v16_dec.pdf. Assumes green waste. Values are adjusted to CH4 and N2O emission factors. </t>
  </si>
  <si>
    <r>
      <rPr>
        <sz val="11"/>
        <color rgb="FF000000"/>
        <rFont val="Poppins"/>
      </rPr>
      <t>mt N</t>
    </r>
    <r>
      <rPr>
        <vertAlign val="subscript"/>
        <sz val="11"/>
        <color rgb="FF000000"/>
        <rFont val="Poppins"/>
      </rPr>
      <t>2</t>
    </r>
    <r>
      <rPr>
        <sz val="11"/>
        <color rgb="FF000000"/>
        <rFont val="Poppins"/>
      </rPr>
      <t>O/ton waste</t>
    </r>
  </si>
  <si>
    <t>Biowaste</t>
  </si>
  <si>
    <r>
      <rPr>
        <sz val="11"/>
        <color rgb="FF000000"/>
        <rFont val="Poppins"/>
      </rPr>
      <t>mt CH</t>
    </r>
    <r>
      <rPr>
        <vertAlign val="subscript"/>
        <sz val="11"/>
        <color rgb="FF000000"/>
        <rFont val="Poppins"/>
      </rPr>
      <t>4</t>
    </r>
    <r>
      <rPr>
        <sz val="11"/>
        <color rgb="FF000000"/>
        <rFont val="Poppins"/>
      </rPr>
      <t>/ton waste</t>
    </r>
  </si>
  <si>
    <t xml:space="preserve">Documentation for Greenhouse Gas Emissions and Energy Factors Used in the Waste Reduction Model (WARM Version 14. PDF on file. Assumes biowaste. Values are adjusted to CH4 and N2O emission factors. </t>
  </si>
  <si>
    <r>
      <rPr>
        <sz val="11"/>
        <color rgb="FF000000"/>
        <rFont val="Poppins"/>
      </rPr>
      <t>mt N</t>
    </r>
    <r>
      <rPr>
        <vertAlign val="subscript"/>
        <sz val="11"/>
        <color rgb="FF000000"/>
        <rFont val="Poppins"/>
      </rPr>
      <t>2</t>
    </r>
    <r>
      <rPr>
        <sz val="11"/>
        <color rgb="FF000000"/>
        <rFont val="Poppins"/>
      </rPr>
      <t>O/ton waste</t>
    </r>
  </si>
  <si>
    <t>Recycled Waste</t>
  </si>
  <si>
    <t>Recycled material</t>
  </si>
  <si>
    <t>Avoided emission from using recycled inputs instead of virgin inputs (mt CO2e/ton recycled)</t>
  </si>
  <si>
    <t>Avoided emission from not landfilling in landfill with gas collection and energy recovery (mt CO2e/ton recycled)</t>
  </si>
  <si>
    <t>Total avoided emission factor (mt CO2e/ton recycled)</t>
  </si>
  <si>
    <t>Recycling Characterization</t>
  </si>
  <si>
    <r>
      <rPr>
        <b/>
        <sz val="11"/>
        <color theme="1"/>
        <rFont val="Poppins"/>
      </rPr>
      <t>Recycling Characterization:</t>
    </r>
    <r>
      <rPr>
        <sz val="11"/>
        <color theme="1"/>
        <rFont val="Poppins"/>
      </rPr>
      <t xml:space="preserve"> Recycling characterizations taken from the EPA's Advancing Sustainable Materials Management 2018 Fact Sheet. On file.
</t>
    </r>
    <r>
      <rPr>
        <b/>
        <sz val="11"/>
        <color theme="1"/>
        <rFont val="Poppins"/>
      </rPr>
      <t>Documentation for Greenhouse Gas Emissions and Energy Factors Used in the Waste Reduction Model (WARM):</t>
    </r>
    <r>
      <rPr>
        <sz val="11"/>
        <color theme="1"/>
        <rFont val="Poppins"/>
      </rPr>
      <t xml:space="preserve"> https://www.epa.gov/system/files/documents/2024-01/warm_management_practices_v16_dec.pdf.</t>
    </r>
  </si>
  <si>
    <t>Office Paper</t>
  </si>
  <si>
    <t>Corrugated Containers</t>
  </si>
  <si>
    <t>Mixed Paper (general)</t>
  </si>
  <si>
    <t>PET</t>
  </si>
  <si>
    <t>HDPE</t>
  </si>
  <si>
    <t>Mixed Plastics</t>
  </si>
  <si>
    <t>Glass</t>
  </si>
  <si>
    <t>Aluminum Cans</t>
  </si>
  <si>
    <t>Aluminum Ingot</t>
  </si>
  <si>
    <t>Mixed Metals</t>
  </si>
  <si>
    <t>Emission Summary (Compost and Waste)</t>
  </si>
  <si>
    <t>Emissions (mtCH4)</t>
  </si>
  <si>
    <t xml:space="preserve"> Waste Landfilled Inside City/County Limits</t>
  </si>
  <si>
    <t xml:space="preserve"> Waste Landfilled Outside City/County Limits</t>
  </si>
  <si>
    <t xml:space="preserve"> Waste Composted Inside City/County Limits</t>
  </si>
  <si>
    <t xml:space="preserve"> Waste Composted Outside City/County Limits</t>
  </si>
  <si>
    <t>Emissions (mtN2O)</t>
  </si>
  <si>
    <t>Emissions (mtCO2e)</t>
  </si>
  <si>
    <t>Recycling Recycled Inside City/County Limits</t>
  </si>
  <si>
    <t>Recycling Recycled Outside City/County Limits</t>
  </si>
  <si>
    <t>Converted Activity Data Waste, Recycling, Reuse, and Composting (Tons)</t>
  </si>
  <si>
    <t>Bernalillo (Cerro Colorado Landfill)</t>
  </si>
  <si>
    <t>Sandoval (Rio Rancho Municipal Landfill)</t>
  </si>
  <si>
    <t>Sandoval (Sandoval County Landfill)</t>
  </si>
  <si>
    <t>Torrance (Estancia Valley Landfill)</t>
  </si>
  <si>
    <t>Tons of Waste Landfilled Inside City/County Limits</t>
  </si>
  <si>
    <t>Tons of C&amp;D Waste landfilled Inside City/County Limits</t>
  </si>
  <si>
    <t>Tons of Waste Landfilled Outside City/County Limits</t>
  </si>
  <si>
    <t>Tons of Green Waste Composted Inside City/County Limits</t>
  </si>
  <si>
    <t>Tons of Biowaste Composted Inside City/County Limits</t>
  </si>
  <si>
    <t>Tons of Waste Composted Outside City/County Limits</t>
  </si>
  <si>
    <t>Tons of Recycling Recycled Inside City/County Limits</t>
  </si>
  <si>
    <t>Tons of Recycling Recycled Outside City/County Limits</t>
  </si>
  <si>
    <t>Activity Waste, Recycling, Reuse, and Composting (Metric Tons)</t>
  </si>
  <si>
    <t>Tons of Waste Composted Inside City/County Limits (Soilutions)</t>
  </si>
  <si>
    <t>Wastewater Emissions</t>
  </si>
  <si>
    <t>Septic Tank Emissions</t>
  </si>
  <si>
    <t xml:space="preserve">Percent of MSA Wastewater  Emissions </t>
  </si>
  <si>
    <t>Emission Source</t>
  </si>
  <si>
    <t>Septic Tanks</t>
  </si>
  <si>
    <t>1) Data for SWRP (in Bernalillo County) provided by Gregory Larson. Email and spreadsheet on file.</t>
  </si>
  <si>
    <t>2) Data for Rio Rancho's WWTPs provided by Jim Chiasson with the City of Rio Rancho. Email on file. Lotus used data provided in the email to calculate kg N/day. Calculations on file titled "RioRancho_WW_calcs."</t>
  </si>
  <si>
    <t>3) Lotus assumed that Torrance and Valencia counties are serviced by septic systems.</t>
  </si>
  <si>
    <t>4)  The population served by SWRP and the Rio Rancho WWTPs was subtracted from the total MSA population to estimate the population served by septic systems in Torrance and Valencia Counties. This population was divided between Torrance and Valencia counties based on the population of each individual county compared to the population of both counties.</t>
  </si>
  <si>
    <t>5) It is assumed that the wastewater from Albuquerque is split evenly between the SWRP and Rio Rancho WWTPs.</t>
  </si>
  <si>
    <t>Municipal Wastewater Treatment</t>
  </si>
  <si>
    <t>Combustion gas</t>
  </si>
  <si>
    <r>
      <rPr>
        <sz val="11"/>
        <color theme="1"/>
        <rFont val="Poppins"/>
      </rPr>
      <t>CH</t>
    </r>
    <r>
      <rPr>
        <vertAlign val="subscript"/>
        <sz val="11"/>
        <color theme="1"/>
        <rFont val="Poppins"/>
      </rPr>
      <t>4</t>
    </r>
  </si>
  <si>
    <r>
      <rPr>
        <sz val="11"/>
        <color theme="1"/>
        <rFont val="Poppins"/>
      </rPr>
      <t>kg CH</t>
    </r>
    <r>
      <rPr>
        <vertAlign val="subscript"/>
        <sz val="11"/>
        <color theme="1"/>
        <rFont val="Poppins"/>
      </rPr>
      <t>4</t>
    </r>
    <r>
      <rPr>
        <sz val="11"/>
        <color theme="1"/>
        <rFont val="Poppins"/>
      </rPr>
      <t>/MMBtu</t>
    </r>
  </si>
  <si>
    <t xml:space="preserve">Wastewater emission factors from: ICLEI’s U.S. Community Protocol for Accounting and Reporting of Greenhouse Gas Emissions (Community Protocol) – Appendix F: Wastewater and Water Emission Activities and Sources, Version 1.1, July 2013: http://icleiusa.org/ghg-protocols/.    </t>
  </si>
  <si>
    <r>
      <rPr>
        <sz val="11"/>
        <color theme="1"/>
        <rFont val="Poppins"/>
      </rPr>
      <t>N</t>
    </r>
    <r>
      <rPr>
        <vertAlign val="subscript"/>
        <sz val="11"/>
        <color theme="1"/>
        <rFont val="Poppins"/>
      </rPr>
      <t>2</t>
    </r>
    <r>
      <rPr>
        <sz val="11"/>
        <color theme="1"/>
        <rFont val="Poppins"/>
      </rPr>
      <t>O</t>
    </r>
  </si>
  <si>
    <r>
      <rPr>
        <sz val="11"/>
        <color theme="1"/>
        <rFont val="Poppins"/>
      </rPr>
      <t>kg N</t>
    </r>
    <r>
      <rPr>
        <vertAlign val="subscript"/>
        <sz val="11"/>
        <color theme="1"/>
        <rFont val="Poppins"/>
      </rPr>
      <t>2</t>
    </r>
    <r>
      <rPr>
        <sz val="11"/>
        <color theme="1"/>
        <rFont val="Poppins"/>
      </rPr>
      <t>O/MMBtu</t>
    </r>
  </si>
  <si>
    <t>Process N2O emissions for WWTPs with nitrification and denitrification</t>
  </si>
  <si>
    <r>
      <rPr>
        <sz val="11"/>
        <color theme="1"/>
        <rFont val="Poppins"/>
      </rPr>
      <t>N</t>
    </r>
    <r>
      <rPr>
        <vertAlign val="subscript"/>
        <sz val="11"/>
        <color theme="1"/>
        <rFont val="Poppins"/>
      </rPr>
      <t>2</t>
    </r>
    <r>
      <rPr>
        <sz val="11"/>
        <color theme="1"/>
        <rFont val="Poppins"/>
      </rPr>
      <t>O</t>
    </r>
  </si>
  <si>
    <r>
      <rPr>
        <sz val="11"/>
        <color theme="1"/>
        <rFont val="Poppins"/>
      </rPr>
      <t>g N</t>
    </r>
    <r>
      <rPr>
        <vertAlign val="subscript"/>
        <sz val="11"/>
        <color theme="1"/>
        <rFont val="Poppins"/>
      </rPr>
      <t>2</t>
    </r>
    <r>
      <rPr>
        <sz val="11"/>
        <color theme="1"/>
        <rFont val="Poppins"/>
      </rPr>
      <t>O/person/year</t>
    </r>
  </si>
  <si>
    <t>Process N2O emissions for WWTPs without nitrification and denitrification</t>
  </si>
  <si>
    <r>
      <rPr>
        <sz val="11"/>
        <color theme="1"/>
        <rFont val="Poppins"/>
      </rPr>
      <t>N</t>
    </r>
    <r>
      <rPr>
        <vertAlign val="subscript"/>
        <sz val="11"/>
        <color theme="1"/>
        <rFont val="Poppins"/>
      </rPr>
      <t>2</t>
    </r>
    <r>
      <rPr>
        <sz val="11"/>
        <color theme="1"/>
        <rFont val="Poppins"/>
      </rPr>
      <t>O</t>
    </r>
  </si>
  <si>
    <r>
      <rPr>
        <sz val="11"/>
        <color theme="1"/>
        <rFont val="Poppins"/>
      </rPr>
      <t>g N</t>
    </r>
    <r>
      <rPr>
        <vertAlign val="subscript"/>
        <sz val="11"/>
        <color theme="1"/>
        <rFont val="Poppins"/>
      </rPr>
      <t>2</t>
    </r>
    <r>
      <rPr>
        <sz val="11"/>
        <color theme="1"/>
        <rFont val="Poppins"/>
      </rPr>
      <t>O/person/year</t>
    </r>
  </si>
  <si>
    <t>Fugitive N2O Emissions from Effluent Discharge</t>
  </si>
  <si>
    <r>
      <rPr>
        <sz val="11"/>
        <color theme="1"/>
        <rFont val="Poppins"/>
      </rPr>
      <t>N</t>
    </r>
    <r>
      <rPr>
        <vertAlign val="subscript"/>
        <sz val="11"/>
        <color theme="1"/>
        <rFont val="Poppins"/>
      </rPr>
      <t>2</t>
    </r>
    <r>
      <rPr>
        <sz val="11"/>
        <color theme="1"/>
        <rFont val="Poppins"/>
      </rPr>
      <t>O</t>
    </r>
  </si>
  <si>
    <r>
      <rPr>
        <sz val="11"/>
        <color theme="1"/>
        <rFont val="Poppins"/>
      </rPr>
      <t>kg N</t>
    </r>
    <r>
      <rPr>
        <vertAlign val="subscript"/>
        <sz val="11"/>
        <color theme="1"/>
        <rFont val="Poppins"/>
      </rPr>
      <t>2</t>
    </r>
    <r>
      <rPr>
        <sz val="11"/>
        <color theme="1"/>
        <rFont val="Poppins"/>
      </rPr>
      <t>O-N/kg sewage-N</t>
    </r>
  </si>
  <si>
    <t>Days Year</t>
  </si>
  <si>
    <t>Days</t>
  </si>
  <si>
    <t>Molecular weight ratio of N2O to N2</t>
  </si>
  <si>
    <t>44/28</t>
  </si>
  <si>
    <t>Industrial Commercial Discharge Multiplier</t>
  </si>
  <si>
    <r>
      <rPr>
        <b/>
        <sz val="11"/>
        <color theme="1"/>
        <rFont val="Poppins"/>
      </rPr>
      <t>Assumes</t>
    </r>
    <r>
      <rPr>
        <sz val="11"/>
        <color theme="1"/>
        <rFont val="Poppins"/>
      </rPr>
      <t xml:space="preserve"> factor for high nitrogen loading of industrial or commercial discharge of 1.25.                                                                                                                                                                                                                                                                                                                                                                                                  </t>
    </r>
  </si>
  <si>
    <t>Density of Methane</t>
  </si>
  <si>
    <r>
      <rPr>
        <sz val="11"/>
        <color theme="1"/>
        <rFont val="Poppins"/>
      </rPr>
      <t>CH</t>
    </r>
    <r>
      <rPr>
        <vertAlign val="subscript"/>
        <sz val="11"/>
        <color theme="1"/>
        <rFont val="Poppins"/>
      </rPr>
      <t>4</t>
    </r>
  </si>
  <si>
    <t>g/m^3</t>
  </si>
  <si>
    <r>
      <rPr>
        <b/>
        <sz val="11"/>
        <color theme="1"/>
        <rFont val="Poppins"/>
      </rPr>
      <t>Assumes</t>
    </r>
    <r>
      <rPr>
        <sz val="11"/>
        <color theme="1"/>
        <rFont val="Poppins"/>
      </rPr>
      <t>: a) density of methane at standard condition is 662 grams per cubic meter and b) a methane destruction efficiency of 99%. Based on data in the Local Government Operations Protocol, Version 1.1, May 2010: https://www.theclimateregistry.org/wp-content/uploads/2014/12/2010-05-06-LGO-1.1.pdf.</t>
    </r>
  </si>
  <si>
    <t>Conversion</t>
  </si>
  <si>
    <t>m^3/ft^3</t>
  </si>
  <si>
    <t>Destruction Efficiency</t>
  </si>
  <si>
    <t xml:space="preserve">Septic Tanks </t>
  </si>
  <si>
    <t>CH4 Production Capacity</t>
  </si>
  <si>
    <t>CH4/kg BOD5</t>
  </si>
  <si>
    <t xml:space="preserve">Methane Correction Factor </t>
  </si>
  <si>
    <t>Amount of BOD5 treated per day</t>
  </si>
  <si>
    <t xml:space="preserve"> (kg BOD5/person/day)</t>
  </si>
  <si>
    <t>Total GHG Emissions</t>
  </si>
  <si>
    <r>
      <rPr>
        <sz val="11"/>
        <color theme="1"/>
        <rFont val="Poppins"/>
      </rPr>
      <t>Emissions (mt CH</t>
    </r>
    <r>
      <rPr>
        <vertAlign val="subscript"/>
        <sz val="11"/>
        <color theme="1"/>
        <rFont val="Poppins"/>
      </rPr>
      <t>4</t>
    </r>
    <r>
      <rPr>
        <sz val="11"/>
        <color theme="1"/>
        <rFont val="Poppins"/>
      </rPr>
      <t>)</t>
    </r>
  </si>
  <si>
    <r>
      <rPr>
        <sz val="11"/>
        <color theme="1"/>
        <rFont val="Poppins"/>
      </rPr>
      <t>Emissions (mt N</t>
    </r>
    <r>
      <rPr>
        <vertAlign val="subscript"/>
        <sz val="11"/>
        <color theme="1"/>
        <rFont val="Poppins"/>
      </rPr>
      <t>2</t>
    </r>
    <r>
      <rPr>
        <sz val="11"/>
        <color theme="1"/>
        <rFont val="Poppins"/>
      </rPr>
      <t>O)</t>
    </r>
  </si>
  <si>
    <t xml:space="preserve">Municipal Wastewater Treatment </t>
  </si>
  <si>
    <t xml:space="preserve">Emissions by Process </t>
  </si>
  <si>
    <t>Combustion Gas Emissions</t>
  </si>
  <si>
    <r>
      <rPr>
        <sz val="11"/>
        <color theme="1"/>
        <rFont val="Poppins"/>
      </rPr>
      <t>Emissions (mt CH</t>
    </r>
    <r>
      <rPr>
        <vertAlign val="subscript"/>
        <sz val="10"/>
        <color theme="1"/>
        <rFont val="Poppins"/>
      </rPr>
      <t>4</t>
    </r>
    <r>
      <rPr>
        <sz val="10"/>
        <color theme="1"/>
        <rFont val="Poppins"/>
      </rPr>
      <t>)</t>
    </r>
  </si>
  <si>
    <r>
      <rPr>
        <sz val="11"/>
        <color theme="1"/>
        <rFont val="Poppins"/>
      </rPr>
      <t>Emissions (mt N</t>
    </r>
    <r>
      <rPr>
        <vertAlign val="subscript"/>
        <sz val="10"/>
        <color theme="1"/>
        <rFont val="Poppins"/>
      </rPr>
      <t>2</t>
    </r>
    <r>
      <rPr>
        <sz val="10"/>
        <color theme="1"/>
        <rFont val="Poppins"/>
      </rPr>
      <t>O)</t>
    </r>
  </si>
  <si>
    <r>
      <rPr>
        <b/>
        <sz val="11"/>
        <color theme="1"/>
        <rFont val="Poppins"/>
      </rPr>
      <t>Total Combustion Gas Emissions (mt CO</t>
    </r>
    <r>
      <rPr>
        <b/>
        <vertAlign val="subscript"/>
        <sz val="10"/>
        <color theme="1"/>
        <rFont val="Poppins"/>
      </rPr>
      <t>2</t>
    </r>
    <r>
      <rPr>
        <b/>
        <sz val="10"/>
        <color theme="1"/>
        <rFont val="Poppins"/>
      </rPr>
      <t>e)</t>
    </r>
  </si>
  <si>
    <t>Flared Gas Emissions</t>
  </si>
  <si>
    <r>
      <rPr>
        <sz val="11"/>
        <color theme="1"/>
        <rFont val="Poppins"/>
      </rPr>
      <t>Emissions (mt CH</t>
    </r>
    <r>
      <rPr>
        <vertAlign val="subscript"/>
        <sz val="10"/>
        <color theme="1"/>
        <rFont val="Poppins"/>
      </rPr>
      <t>4</t>
    </r>
    <r>
      <rPr>
        <sz val="10"/>
        <color theme="1"/>
        <rFont val="Poppins"/>
      </rPr>
      <t>)</t>
    </r>
  </si>
  <si>
    <r>
      <rPr>
        <b/>
        <sz val="11"/>
        <color theme="1"/>
        <rFont val="Poppins"/>
      </rPr>
      <t>Total Flared Gas Emissions (mt CO</t>
    </r>
    <r>
      <rPr>
        <b/>
        <vertAlign val="subscript"/>
        <sz val="10"/>
        <color theme="1"/>
        <rFont val="Poppins"/>
      </rPr>
      <t>2</t>
    </r>
    <r>
      <rPr>
        <b/>
        <sz val="10"/>
        <color theme="1"/>
        <rFont val="Poppins"/>
      </rPr>
      <t>e)</t>
    </r>
  </si>
  <si>
    <t>Process N2O Emissions for WWTPs with Nitrification and Denitrification</t>
  </si>
  <si>
    <r>
      <rPr>
        <sz val="11"/>
        <color theme="1"/>
        <rFont val="Poppins"/>
      </rPr>
      <t>Emissions (mt N</t>
    </r>
    <r>
      <rPr>
        <vertAlign val="subscript"/>
        <sz val="10"/>
        <color theme="1"/>
        <rFont val="Poppins"/>
      </rPr>
      <t>2</t>
    </r>
    <r>
      <rPr>
        <sz val="10"/>
        <color theme="1"/>
        <rFont val="Poppins"/>
      </rPr>
      <t>O)</t>
    </r>
  </si>
  <si>
    <r>
      <rPr>
        <b/>
        <sz val="11"/>
        <color theme="1"/>
        <rFont val="Poppins"/>
      </rPr>
      <t>Total Process N2O With Nitrification and Denitrification Emissions (mt CO</t>
    </r>
    <r>
      <rPr>
        <b/>
        <vertAlign val="subscript"/>
        <sz val="10"/>
        <color theme="1"/>
        <rFont val="Poppins"/>
      </rPr>
      <t>2</t>
    </r>
    <r>
      <rPr>
        <b/>
        <sz val="10"/>
        <color theme="1"/>
        <rFont val="Poppins"/>
      </rPr>
      <t>e)</t>
    </r>
  </si>
  <si>
    <t>Process N2O Emissions for WWTPs without Nitrification and Denitrification</t>
  </si>
  <si>
    <r>
      <rPr>
        <sz val="11"/>
        <color theme="1"/>
        <rFont val="Poppins"/>
      </rPr>
      <t>Emissions (mt N</t>
    </r>
    <r>
      <rPr>
        <vertAlign val="subscript"/>
        <sz val="10"/>
        <color theme="1"/>
        <rFont val="Poppins"/>
      </rPr>
      <t>2</t>
    </r>
    <r>
      <rPr>
        <sz val="10"/>
        <color theme="1"/>
        <rFont val="Poppins"/>
      </rPr>
      <t>O)</t>
    </r>
  </si>
  <si>
    <r>
      <rPr>
        <b/>
        <sz val="11"/>
        <color theme="1"/>
        <rFont val="Poppins"/>
      </rPr>
      <t>Total Process N2O Without Nitrification and Denitrification Emissions (mt CO</t>
    </r>
    <r>
      <rPr>
        <b/>
        <vertAlign val="subscript"/>
        <sz val="10"/>
        <color theme="1"/>
        <rFont val="Poppins"/>
      </rPr>
      <t>2</t>
    </r>
    <r>
      <rPr>
        <b/>
        <sz val="10"/>
        <color theme="1"/>
        <rFont val="Poppins"/>
      </rPr>
      <t>e)</t>
    </r>
  </si>
  <si>
    <r>
      <rPr>
        <sz val="11"/>
        <color theme="1"/>
        <rFont val="Poppins"/>
      </rPr>
      <t>Emissions (mt N</t>
    </r>
    <r>
      <rPr>
        <vertAlign val="subscript"/>
        <sz val="11"/>
        <color theme="1"/>
        <rFont val="Poppins"/>
      </rPr>
      <t>2</t>
    </r>
    <r>
      <rPr>
        <sz val="11"/>
        <color theme="1"/>
        <rFont val="Poppins"/>
      </rPr>
      <t>O)</t>
    </r>
  </si>
  <si>
    <r>
      <rPr>
        <b/>
        <sz val="11"/>
        <color theme="1"/>
        <rFont val="Poppins"/>
      </rPr>
      <t>Total Fugitive Emissions from Effluent Discharge (mt CO</t>
    </r>
    <r>
      <rPr>
        <b/>
        <vertAlign val="subscript"/>
        <sz val="11"/>
        <color theme="1"/>
        <rFont val="Poppins"/>
      </rPr>
      <t>2</t>
    </r>
    <r>
      <rPr>
        <b/>
        <sz val="11"/>
        <color theme="1"/>
        <rFont val="Poppins"/>
      </rPr>
      <t>e)</t>
    </r>
  </si>
  <si>
    <t xml:space="preserve">Total Emissions </t>
  </si>
  <si>
    <t>Bernalillo (SWRP)</t>
  </si>
  <si>
    <t>Sandoval (Rio Rancho WWTPs)</t>
  </si>
  <si>
    <t>CABQ County Split</t>
  </si>
  <si>
    <t>Plant uses nitrification/denitrification</t>
  </si>
  <si>
    <t>Assumed to be 50% SWRP and 50% at Rio Rancho</t>
  </si>
  <si>
    <t>Yes</t>
  </si>
  <si>
    <t>Serviced by septic systems.</t>
  </si>
  <si>
    <t>Plant uses anaerobic processes</t>
  </si>
  <si>
    <t>No</t>
  </si>
  <si>
    <t>Population served by plant</t>
  </si>
  <si>
    <t>Average total nitrogen discharged by plant (kg N/day)</t>
  </si>
  <si>
    <t>Digester gas produced (scfd)</t>
  </si>
  <si>
    <t>Digester gas flared (scfd)</t>
  </si>
  <si>
    <t>Methane content of digester gas</t>
  </si>
  <si>
    <t>Population served by septic systems</t>
  </si>
  <si>
    <r>
      <rPr>
        <sz val="11"/>
        <color theme="1"/>
        <rFont val="Poppins"/>
      </rPr>
      <t>Emissions (mt CH</t>
    </r>
    <r>
      <rPr>
        <vertAlign val="subscript"/>
        <sz val="11"/>
        <color theme="1"/>
        <rFont val="Poppins"/>
      </rPr>
      <t>4</t>
    </r>
    <r>
      <rPr>
        <sz val="11"/>
        <color theme="1"/>
        <rFont val="Poppins"/>
      </rPr>
      <t>)</t>
    </r>
  </si>
  <si>
    <t>Total Septic Tank Emissions (mt CO2e)</t>
  </si>
  <si>
    <t>Industrial Processes and Product Use Data</t>
  </si>
  <si>
    <t>Percent of MSA IPPU Emissions</t>
  </si>
  <si>
    <t>Information-Only Emissions (mt CO2e)</t>
  </si>
  <si>
    <t>1) The EPA Facility Level Information on GHGs Tool (FLIGHT) is used to collect data on industrial processes by county. The latest available data for these sources in the FLIGHT tool is from 2023. https://ghgdata.epa.gov/ghgp/main.do?site_preference=normal.</t>
  </si>
  <si>
    <t>2) Electricity generation and stationary combustion are already captured in other tabs in this inventory, so facilities with those activities are reported below as information-only. Landfill data are reported in the Waste_Recycling Data tab.</t>
  </si>
  <si>
    <t>3) If a facility exists both in Bernalillo County and within the Albuquerque city boundary, it is reported twice below (once for the city and once for the county). Emissions are split between city and county in the summary table at the top of the tab.</t>
  </si>
  <si>
    <t xml:space="preserve">4) Refrigerants are being reported in subpart I below and separately in the refrigerants tab. This is not double counting since they are accounting for separate refrigerants. </t>
  </si>
  <si>
    <t>5) Subpart W for the New Mexico Gas Company reports all upstream emissions and fugitive losses for the entirety of the system, not just what is in Bernalillo County. Therefore, without the ability to pinpoint exact emissions occurring within Bernalillo County, those emissions are reported as Information Only. The other facilities reporting Subpart W emissions report only those emissions that occur WITHIN their respective counties, therefore those emissions ARE reported for those counties.</t>
  </si>
  <si>
    <t>Facility</t>
  </si>
  <si>
    <t>Subpart</t>
  </si>
  <si>
    <r>
      <rPr>
        <b/>
        <sz val="12"/>
        <color theme="0"/>
        <rFont val="Poppins"/>
      </rPr>
      <t>Emissions (mtCO</t>
    </r>
    <r>
      <rPr>
        <b/>
        <vertAlign val="subscript"/>
        <sz val="12"/>
        <color theme="0"/>
        <rFont val="Poppins"/>
      </rPr>
      <t>2</t>
    </r>
    <r>
      <rPr>
        <b/>
        <sz val="12"/>
        <color theme="0"/>
        <rFont val="Poppins"/>
      </rPr>
      <t>)</t>
    </r>
  </si>
  <si>
    <r>
      <rPr>
        <b/>
        <sz val="12"/>
        <color theme="0"/>
        <rFont val="Poppins"/>
      </rPr>
      <t>Emissions (mtCH</t>
    </r>
    <r>
      <rPr>
        <b/>
        <vertAlign val="subscript"/>
        <sz val="12"/>
        <color theme="0"/>
        <rFont val="Poppins"/>
      </rPr>
      <t>4</t>
    </r>
    <r>
      <rPr>
        <b/>
        <sz val="12"/>
        <color theme="0"/>
        <rFont val="Poppins"/>
      </rPr>
      <t>)</t>
    </r>
  </si>
  <si>
    <r>
      <rPr>
        <b/>
        <sz val="12"/>
        <color theme="0"/>
        <rFont val="Poppins"/>
      </rPr>
      <t>Emissions (mtN</t>
    </r>
    <r>
      <rPr>
        <b/>
        <vertAlign val="subscript"/>
        <sz val="12"/>
        <color theme="0"/>
        <rFont val="Poppins"/>
      </rPr>
      <t>2</t>
    </r>
    <r>
      <rPr>
        <b/>
        <sz val="12"/>
        <color theme="0"/>
        <rFont val="Poppins"/>
      </rPr>
      <t>O)</t>
    </r>
  </si>
  <si>
    <r>
      <rPr>
        <b/>
        <sz val="12"/>
        <color theme="0"/>
        <rFont val="Poppins"/>
      </rPr>
      <t>Emissions (mtCO</t>
    </r>
    <r>
      <rPr>
        <b/>
        <vertAlign val="subscript"/>
        <sz val="12"/>
        <color theme="0"/>
        <rFont val="Poppins"/>
      </rPr>
      <t>2</t>
    </r>
    <r>
      <rPr>
        <b/>
        <sz val="12"/>
        <color theme="0"/>
        <rFont val="Poppins"/>
      </rPr>
      <t>e)</t>
    </r>
  </si>
  <si>
    <r>
      <rPr>
        <b/>
        <sz val="12"/>
        <color theme="0"/>
        <rFont val="Poppins"/>
      </rPr>
      <t>Emissions (mtCO</t>
    </r>
    <r>
      <rPr>
        <b/>
        <vertAlign val="subscript"/>
        <sz val="12"/>
        <color theme="0"/>
        <rFont val="Poppins"/>
      </rPr>
      <t>2</t>
    </r>
    <r>
      <rPr>
        <b/>
        <sz val="12"/>
        <color theme="0"/>
        <rFont val="Poppins"/>
      </rPr>
      <t>)</t>
    </r>
  </si>
  <si>
    <r>
      <rPr>
        <b/>
        <sz val="12"/>
        <color theme="0"/>
        <rFont val="Poppins"/>
      </rPr>
      <t>Emissions (mtCH</t>
    </r>
    <r>
      <rPr>
        <b/>
        <vertAlign val="subscript"/>
        <sz val="12"/>
        <color theme="0"/>
        <rFont val="Poppins"/>
      </rPr>
      <t>4</t>
    </r>
    <r>
      <rPr>
        <b/>
        <sz val="12"/>
        <color theme="0"/>
        <rFont val="Poppins"/>
      </rPr>
      <t>)</t>
    </r>
  </si>
  <si>
    <r>
      <rPr>
        <b/>
        <sz val="12"/>
        <color theme="0"/>
        <rFont val="Poppins"/>
      </rPr>
      <t>Emissions (mtN</t>
    </r>
    <r>
      <rPr>
        <b/>
        <vertAlign val="subscript"/>
        <sz val="12"/>
        <color theme="0"/>
        <rFont val="Poppins"/>
      </rPr>
      <t>2</t>
    </r>
    <r>
      <rPr>
        <b/>
        <sz val="12"/>
        <color theme="0"/>
        <rFont val="Poppins"/>
      </rPr>
      <t>O)</t>
    </r>
  </si>
  <si>
    <r>
      <rPr>
        <b/>
        <sz val="12"/>
        <color theme="0"/>
        <rFont val="Poppins"/>
      </rPr>
      <t>Emissions (mtCO</t>
    </r>
    <r>
      <rPr>
        <b/>
        <vertAlign val="subscript"/>
        <sz val="12"/>
        <color theme="0"/>
        <rFont val="Poppins"/>
      </rPr>
      <t>2</t>
    </r>
    <r>
      <rPr>
        <b/>
        <sz val="12"/>
        <color theme="0"/>
        <rFont val="Poppins"/>
      </rPr>
      <t>e)</t>
    </r>
  </si>
  <si>
    <t>H</t>
  </si>
  <si>
    <r>
      <rPr>
        <b/>
        <sz val="12"/>
        <color theme="0"/>
        <rFont val="Poppins"/>
      </rPr>
      <t>Emissions (mtCO</t>
    </r>
    <r>
      <rPr>
        <b/>
        <vertAlign val="subscript"/>
        <sz val="12"/>
        <color theme="0"/>
        <rFont val="Poppins"/>
      </rPr>
      <t>2</t>
    </r>
    <r>
      <rPr>
        <b/>
        <sz val="12"/>
        <color theme="0"/>
        <rFont val="Poppins"/>
      </rPr>
      <t>)</t>
    </r>
  </si>
  <si>
    <r>
      <rPr>
        <b/>
        <sz val="12"/>
        <color theme="0"/>
        <rFont val="Poppins"/>
      </rPr>
      <t>Emissions (mtCH</t>
    </r>
    <r>
      <rPr>
        <b/>
        <vertAlign val="subscript"/>
        <sz val="12"/>
        <color theme="0"/>
        <rFont val="Poppins"/>
      </rPr>
      <t>4</t>
    </r>
    <r>
      <rPr>
        <b/>
        <sz val="12"/>
        <color theme="0"/>
        <rFont val="Poppins"/>
      </rPr>
      <t>)</t>
    </r>
  </si>
  <si>
    <r>
      <rPr>
        <b/>
        <sz val="12"/>
        <color theme="0"/>
        <rFont val="Poppins"/>
      </rPr>
      <t>Emissions (mtN</t>
    </r>
    <r>
      <rPr>
        <b/>
        <vertAlign val="subscript"/>
        <sz val="12"/>
        <color theme="0"/>
        <rFont val="Poppins"/>
      </rPr>
      <t>2</t>
    </r>
    <r>
      <rPr>
        <b/>
        <sz val="12"/>
        <color theme="0"/>
        <rFont val="Poppins"/>
      </rPr>
      <t>O)</t>
    </r>
  </si>
  <si>
    <r>
      <rPr>
        <b/>
        <sz val="12"/>
        <color theme="0"/>
        <rFont val="Poppins"/>
      </rPr>
      <t>Emissions (mtCO</t>
    </r>
    <r>
      <rPr>
        <b/>
        <vertAlign val="subscript"/>
        <sz val="12"/>
        <color theme="0"/>
        <rFont val="Poppins"/>
      </rPr>
      <t>2</t>
    </r>
    <r>
      <rPr>
        <b/>
        <sz val="12"/>
        <color theme="0"/>
        <rFont val="Poppins"/>
      </rPr>
      <t>e)</t>
    </r>
  </si>
  <si>
    <t>mt PFC-14</t>
  </si>
  <si>
    <t>mt HFE-7500</t>
  </si>
  <si>
    <t>mt HT-110</t>
  </si>
  <si>
    <t>mt R-23</t>
  </si>
  <si>
    <t>mt R-32</t>
  </si>
  <si>
    <t>mt R-41</t>
  </si>
  <si>
    <t>mt NF3</t>
  </si>
  <si>
    <t>mt SF6</t>
  </si>
  <si>
    <t>mt PFC-116</t>
  </si>
  <si>
    <t>mt perfluorobuta-1,3-diene</t>
  </si>
  <si>
    <r>
      <rPr>
        <b/>
        <sz val="12"/>
        <color theme="0"/>
        <rFont val="Poppins"/>
      </rPr>
      <t>Emissions (mtCO</t>
    </r>
    <r>
      <rPr>
        <b/>
        <vertAlign val="subscript"/>
        <sz val="12"/>
        <color theme="0"/>
        <rFont val="Poppins"/>
      </rPr>
      <t>2</t>
    </r>
    <r>
      <rPr>
        <b/>
        <sz val="12"/>
        <color theme="0"/>
        <rFont val="Poppins"/>
      </rPr>
      <t>e)</t>
    </r>
  </si>
  <si>
    <t>I</t>
  </si>
  <si>
    <r>
      <rPr>
        <b/>
        <sz val="12"/>
        <color theme="0"/>
        <rFont val="Poppins"/>
      </rPr>
      <t>Emissions (mtCO</t>
    </r>
    <r>
      <rPr>
        <b/>
        <vertAlign val="subscript"/>
        <sz val="12"/>
        <color theme="0"/>
        <rFont val="Poppins"/>
      </rPr>
      <t>2</t>
    </r>
    <r>
      <rPr>
        <b/>
        <sz val="12"/>
        <color theme="0"/>
        <rFont val="Poppins"/>
      </rPr>
      <t>)</t>
    </r>
  </si>
  <si>
    <r>
      <rPr>
        <b/>
        <sz val="12"/>
        <color theme="0"/>
        <rFont val="Poppins"/>
      </rPr>
      <t>Emissions (mtCH</t>
    </r>
    <r>
      <rPr>
        <b/>
        <vertAlign val="subscript"/>
        <sz val="12"/>
        <color theme="0"/>
        <rFont val="Poppins"/>
      </rPr>
      <t>4</t>
    </r>
    <r>
      <rPr>
        <b/>
        <sz val="12"/>
        <color theme="0"/>
        <rFont val="Poppins"/>
      </rPr>
      <t>)</t>
    </r>
  </si>
  <si>
    <r>
      <rPr>
        <b/>
        <sz val="12"/>
        <color theme="0"/>
        <rFont val="Poppins"/>
      </rPr>
      <t>Emissions (mtN</t>
    </r>
    <r>
      <rPr>
        <b/>
        <vertAlign val="subscript"/>
        <sz val="12"/>
        <color theme="0"/>
        <rFont val="Poppins"/>
      </rPr>
      <t>2</t>
    </r>
    <r>
      <rPr>
        <b/>
        <sz val="12"/>
        <color theme="0"/>
        <rFont val="Poppins"/>
      </rPr>
      <t>O)</t>
    </r>
  </si>
  <si>
    <r>
      <rPr>
        <b/>
        <sz val="12"/>
        <color theme="0"/>
        <rFont val="Poppins"/>
      </rPr>
      <t>Emissions (mtCO</t>
    </r>
    <r>
      <rPr>
        <b/>
        <vertAlign val="subscript"/>
        <sz val="12"/>
        <color theme="0"/>
        <rFont val="Poppins"/>
      </rPr>
      <t>2</t>
    </r>
    <r>
      <rPr>
        <b/>
        <sz val="12"/>
        <color theme="0"/>
        <rFont val="Poppins"/>
      </rPr>
      <t>e)</t>
    </r>
  </si>
  <si>
    <t>W</t>
  </si>
  <si>
    <r>
      <rPr>
        <b/>
        <sz val="12"/>
        <color theme="0"/>
        <rFont val="Poppins"/>
      </rPr>
      <t>Emissions (mtCO</t>
    </r>
    <r>
      <rPr>
        <b/>
        <vertAlign val="subscript"/>
        <sz val="12"/>
        <color theme="0"/>
        <rFont val="Poppins"/>
      </rPr>
      <t>2</t>
    </r>
    <r>
      <rPr>
        <b/>
        <sz val="12"/>
        <color theme="0"/>
        <rFont val="Poppins"/>
      </rPr>
      <t>)</t>
    </r>
  </si>
  <si>
    <r>
      <rPr>
        <b/>
        <sz val="12"/>
        <color theme="0"/>
        <rFont val="Poppins"/>
      </rPr>
      <t>Emissions (mtCH</t>
    </r>
    <r>
      <rPr>
        <b/>
        <vertAlign val="subscript"/>
        <sz val="12"/>
        <color theme="0"/>
        <rFont val="Poppins"/>
      </rPr>
      <t>4</t>
    </r>
    <r>
      <rPr>
        <b/>
        <sz val="12"/>
        <color theme="0"/>
        <rFont val="Poppins"/>
      </rPr>
      <t>)</t>
    </r>
  </si>
  <si>
    <r>
      <rPr>
        <b/>
        <sz val="12"/>
        <color theme="0"/>
        <rFont val="Poppins"/>
      </rPr>
      <t>Emissions (mtN</t>
    </r>
    <r>
      <rPr>
        <b/>
        <vertAlign val="subscript"/>
        <sz val="12"/>
        <color theme="0"/>
        <rFont val="Poppins"/>
      </rPr>
      <t>2</t>
    </r>
    <r>
      <rPr>
        <b/>
        <sz val="12"/>
        <color theme="0"/>
        <rFont val="Poppins"/>
      </rPr>
      <t>O)</t>
    </r>
  </si>
  <si>
    <r>
      <rPr>
        <b/>
        <sz val="12"/>
        <color theme="0"/>
        <rFont val="Poppins"/>
      </rPr>
      <t>Emissions (mtCO</t>
    </r>
    <r>
      <rPr>
        <b/>
        <vertAlign val="subscript"/>
        <sz val="12"/>
        <color theme="0"/>
        <rFont val="Poppins"/>
      </rPr>
      <t>2</t>
    </r>
    <r>
      <rPr>
        <b/>
        <sz val="12"/>
        <color theme="0"/>
        <rFont val="Poppins"/>
      </rPr>
      <t>e)</t>
    </r>
  </si>
  <si>
    <r>
      <rPr>
        <b/>
        <sz val="12"/>
        <color theme="0"/>
        <rFont val="Poppins"/>
      </rPr>
      <t>Emissions (mtCO</t>
    </r>
    <r>
      <rPr>
        <b/>
        <vertAlign val="subscript"/>
        <sz val="12"/>
        <color theme="0"/>
        <rFont val="Poppins"/>
      </rPr>
      <t>2</t>
    </r>
    <r>
      <rPr>
        <b/>
        <sz val="12"/>
        <color theme="0"/>
        <rFont val="Poppins"/>
      </rPr>
      <t>)</t>
    </r>
  </si>
  <si>
    <r>
      <rPr>
        <b/>
        <sz val="12"/>
        <color theme="0"/>
        <rFont val="Poppins"/>
      </rPr>
      <t>Emissions (mtCH</t>
    </r>
    <r>
      <rPr>
        <b/>
        <vertAlign val="subscript"/>
        <sz val="12"/>
        <color theme="0"/>
        <rFont val="Poppins"/>
      </rPr>
      <t>4</t>
    </r>
    <r>
      <rPr>
        <b/>
        <sz val="12"/>
        <color theme="0"/>
        <rFont val="Poppins"/>
      </rPr>
      <t>)</t>
    </r>
  </si>
  <si>
    <r>
      <rPr>
        <b/>
        <sz val="12"/>
        <color theme="0"/>
        <rFont val="Poppins"/>
      </rPr>
      <t>Emissions (mtN</t>
    </r>
    <r>
      <rPr>
        <b/>
        <vertAlign val="subscript"/>
        <sz val="12"/>
        <color theme="0"/>
        <rFont val="Poppins"/>
      </rPr>
      <t>2</t>
    </r>
    <r>
      <rPr>
        <b/>
        <sz val="12"/>
        <color theme="0"/>
        <rFont val="Poppins"/>
      </rPr>
      <t>O)</t>
    </r>
  </si>
  <si>
    <r>
      <rPr>
        <b/>
        <sz val="12"/>
        <color theme="0"/>
        <rFont val="Poppins"/>
      </rPr>
      <t>Emissions (mtCO</t>
    </r>
    <r>
      <rPr>
        <b/>
        <vertAlign val="subscript"/>
        <sz val="12"/>
        <color theme="0"/>
        <rFont val="Poppins"/>
      </rPr>
      <t>2</t>
    </r>
    <r>
      <rPr>
        <b/>
        <sz val="12"/>
        <color theme="0"/>
        <rFont val="Poppins"/>
      </rPr>
      <t>e)</t>
    </r>
  </si>
  <si>
    <t>American Gypsum Company</t>
  </si>
  <si>
    <t>C</t>
  </si>
  <si>
    <t>Reeves Generating Station</t>
  </si>
  <si>
    <t>D</t>
  </si>
  <si>
    <t>NN</t>
  </si>
  <si>
    <t>University of New Mexico</t>
  </si>
  <si>
    <r>
      <rPr>
        <b/>
        <sz val="12"/>
        <color theme="0"/>
        <rFont val="Poppins"/>
      </rPr>
      <t>Emissions (mtCO</t>
    </r>
    <r>
      <rPr>
        <b/>
        <vertAlign val="subscript"/>
        <sz val="12"/>
        <color theme="0"/>
        <rFont val="Poppins"/>
      </rPr>
      <t>2</t>
    </r>
    <r>
      <rPr>
        <b/>
        <sz val="12"/>
        <color theme="0"/>
        <rFont val="Poppins"/>
      </rPr>
      <t>)</t>
    </r>
  </si>
  <si>
    <r>
      <rPr>
        <b/>
        <sz val="12"/>
        <color theme="0"/>
        <rFont val="Poppins"/>
      </rPr>
      <t>Emissions (mtCH</t>
    </r>
    <r>
      <rPr>
        <b/>
        <vertAlign val="subscript"/>
        <sz val="12"/>
        <color theme="0"/>
        <rFont val="Poppins"/>
      </rPr>
      <t>4</t>
    </r>
    <r>
      <rPr>
        <b/>
        <sz val="12"/>
        <color theme="0"/>
        <rFont val="Poppins"/>
      </rPr>
      <t>)</t>
    </r>
  </si>
  <si>
    <r>
      <rPr>
        <b/>
        <sz val="12"/>
        <color theme="0"/>
        <rFont val="Poppins"/>
      </rPr>
      <t>Emissions (mtN</t>
    </r>
    <r>
      <rPr>
        <b/>
        <vertAlign val="subscript"/>
        <sz val="12"/>
        <color theme="0"/>
        <rFont val="Poppins"/>
      </rPr>
      <t>2</t>
    </r>
    <r>
      <rPr>
        <b/>
        <sz val="12"/>
        <color theme="0"/>
        <rFont val="Poppins"/>
      </rPr>
      <t>O)</t>
    </r>
  </si>
  <si>
    <r>
      <rPr>
        <b/>
        <sz val="12"/>
        <color theme="0"/>
        <rFont val="Poppins"/>
      </rPr>
      <t>Emissions (mtCO</t>
    </r>
    <r>
      <rPr>
        <b/>
        <vertAlign val="subscript"/>
        <sz val="12"/>
        <color theme="0"/>
        <rFont val="Poppins"/>
      </rPr>
      <t>2</t>
    </r>
    <r>
      <rPr>
        <b/>
        <sz val="12"/>
        <color theme="0"/>
        <rFont val="Poppins"/>
      </rPr>
      <t>e)</t>
    </r>
  </si>
  <si>
    <t>Rio Bravo Generating Station</t>
  </si>
  <si>
    <r>
      <rPr>
        <b/>
        <sz val="12"/>
        <color theme="0"/>
        <rFont val="Poppins"/>
      </rPr>
      <t>Emissions (mtCO</t>
    </r>
    <r>
      <rPr>
        <b/>
        <vertAlign val="subscript"/>
        <sz val="12"/>
        <color theme="0"/>
        <rFont val="Poppins"/>
      </rPr>
      <t>2</t>
    </r>
    <r>
      <rPr>
        <b/>
        <sz val="12"/>
        <color theme="0"/>
        <rFont val="Poppins"/>
      </rPr>
      <t>)</t>
    </r>
  </si>
  <si>
    <r>
      <rPr>
        <b/>
        <sz val="12"/>
        <color theme="0"/>
        <rFont val="Poppins"/>
      </rPr>
      <t>Emissions (mtCH</t>
    </r>
    <r>
      <rPr>
        <b/>
        <vertAlign val="subscript"/>
        <sz val="12"/>
        <color theme="0"/>
        <rFont val="Poppins"/>
      </rPr>
      <t>4</t>
    </r>
    <r>
      <rPr>
        <b/>
        <sz val="12"/>
        <color theme="0"/>
        <rFont val="Poppins"/>
      </rPr>
      <t>)</t>
    </r>
  </si>
  <si>
    <r>
      <rPr>
        <b/>
        <sz val="12"/>
        <color theme="0"/>
        <rFont val="Poppins"/>
      </rPr>
      <t>Emissions (mtN</t>
    </r>
    <r>
      <rPr>
        <b/>
        <vertAlign val="subscript"/>
        <sz val="12"/>
        <color theme="0"/>
        <rFont val="Poppins"/>
      </rPr>
      <t>2</t>
    </r>
    <r>
      <rPr>
        <b/>
        <sz val="12"/>
        <color theme="0"/>
        <rFont val="Poppins"/>
      </rPr>
      <t>O)</t>
    </r>
  </si>
  <si>
    <r>
      <rPr>
        <b/>
        <sz val="12"/>
        <color theme="0"/>
        <rFont val="Poppins"/>
      </rPr>
      <t>Emissions (mtCO</t>
    </r>
    <r>
      <rPr>
        <b/>
        <vertAlign val="subscript"/>
        <sz val="12"/>
        <color theme="0"/>
        <rFont val="Poppins"/>
      </rPr>
      <t>2</t>
    </r>
    <r>
      <rPr>
        <b/>
        <sz val="12"/>
        <color theme="0"/>
        <rFont val="Poppins"/>
      </rPr>
      <t>e)</t>
    </r>
  </si>
  <si>
    <t>American Gypsum - Bernalillo (Wallboard) Plant</t>
  </si>
  <si>
    <r>
      <rPr>
        <b/>
        <sz val="12"/>
        <color theme="0"/>
        <rFont val="Poppins"/>
      </rPr>
      <t>Emissions (mtCO</t>
    </r>
    <r>
      <rPr>
        <b/>
        <vertAlign val="subscript"/>
        <sz val="12"/>
        <color theme="0"/>
        <rFont val="Poppins"/>
      </rPr>
      <t>2</t>
    </r>
    <r>
      <rPr>
        <b/>
        <sz val="12"/>
        <color theme="0"/>
        <rFont val="Poppins"/>
      </rPr>
      <t>)</t>
    </r>
  </si>
  <si>
    <r>
      <rPr>
        <b/>
        <sz val="12"/>
        <color theme="0"/>
        <rFont val="Poppins"/>
      </rPr>
      <t>Emissions (mtCH</t>
    </r>
    <r>
      <rPr>
        <b/>
        <vertAlign val="subscript"/>
        <sz val="12"/>
        <color theme="0"/>
        <rFont val="Poppins"/>
      </rPr>
      <t>4</t>
    </r>
    <r>
      <rPr>
        <b/>
        <sz val="12"/>
        <color theme="0"/>
        <rFont val="Poppins"/>
      </rPr>
      <t>)</t>
    </r>
  </si>
  <si>
    <r>
      <rPr>
        <b/>
        <sz val="12"/>
        <color theme="0"/>
        <rFont val="Poppins"/>
      </rPr>
      <t>Emissions (mtN</t>
    </r>
    <r>
      <rPr>
        <b/>
        <vertAlign val="subscript"/>
        <sz val="12"/>
        <color theme="0"/>
        <rFont val="Poppins"/>
      </rPr>
      <t>2</t>
    </r>
    <r>
      <rPr>
        <b/>
        <sz val="12"/>
        <color theme="0"/>
        <rFont val="Poppins"/>
      </rPr>
      <t>O)</t>
    </r>
  </si>
  <si>
    <r>
      <rPr>
        <b/>
        <sz val="12"/>
        <color theme="0"/>
        <rFont val="Poppins"/>
      </rPr>
      <t>Emissions (mtCO</t>
    </r>
    <r>
      <rPr>
        <b/>
        <vertAlign val="subscript"/>
        <sz val="12"/>
        <color theme="0"/>
        <rFont val="Poppins"/>
      </rPr>
      <t>2</t>
    </r>
    <r>
      <rPr>
        <b/>
        <sz val="12"/>
        <color theme="0"/>
        <rFont val="Poppins"/>
      </rPr>
      <t>e)</t>
    </r>
  </si>
  <si>
    <r>
      <rPr>
        <b/>
        <sz val="12"/>
        <color theme="0"/>
        <rFont val="Poppins"/>
      </rPr>
      <t>Emissions (mtCO</t>
    </r>
    <r>
      <rPr>
        <b/>
        <vertAlign val="subscript"/>
        <sz val="12"/>
        <color theme="0"/>
        <rFont val="Poppins"/>
      </rPr>
      <t>2</t>
    </r>
    <r>
      <rPr>
        <b/>
        <sz val="12"/>
        <color theme="0"/>
        <rFont val="Poppins"/>
      </rPr>
      <t>)</t>
    </r>
  </si>
  <si>
    <r>
      <rPr>
        <b/>
        <sz val="12"/>
        <color theme="0"/>
        <rFont val="Poppins"/>
      </rPr>
      <t>Emissions (mtCH</t>
    </r>
    <r>
      <rPr>
        <b/>
        <vertAlign val="subscript"/>
        <sz val="12"/>
        <color theme="0"/>
        <rFont val="Poppins"/>
      </rPr>
      <t>4</t>
    </r>
    <r>
      <rPr>
        <b/>
        <sz val="12"/>
        <color theme="0"/>
        <rFont val="Poppins"/>
      </rPr>
      <t>)</t>
    </r>
  </si>
  <si>
    <r>
      <rPr>
        <b/>
        <sz val="12"/>
        <color theme="0"/>
        <rFont val="Poppins"/>
      </rPr>
      <t>Emissions (mtN</t>
    </r>
    <r>
      <rPr>
        <b/>
        <vertAlign val="subscript"/>
        <sz val="12"/>
        <color theme="0"/>
        <rFont val="Poppins"/>
      </rPr>
      <t>2</t>
    </r>
    <r>
      <rPr>
        <b/>
        <sz val="12"/>
        <color theme="0"/>
        <rFont val="Poppins"/>
      </rPr>
      <t>O)</t>
    </r>
  </si>
  <si>
    <r>
      <rPr>
        <b/>
        <sz val="12"/>
        <color theme="0"/>
        <rFont val="Poppins"/>
      </rPr>
      <t>Emissions (mtCO</t>
    </r>
    <r>
      <rPr>
        <b/>
        <vertAlign val="subscript"/>
        <sz val="12"/>
        <color theme="0"/>
        <rFont val="Poppins"/>
      </rPr>
      <t>2</t>
    </r>
    <r>
      <rPr>
        <b/>
        <sz val="12"/>
        <color theme="0"/>
        <rFont val="Poppins"/>
      </rPr>
      <t>e)</t>
    </r>
  </si>
  <si>
    <t>La Luz Energy Center</t>
  </si>
  <si>
    <t>Valencia Power Plant</t>
  </si>
  <si>
    <t>Percent of MSA Refrigerant Emissions</t>
  </si>
  <si>
    <t>1) Square footage data for the City of Albuquerque came from Google EIE. Spreadsheet on file. Square footage for all counties came from SLOPE: https://maps.nrel.gov/slope. Screenshots on file.</t>
  </si>
  <si>
    <t>2) Residential AC systems use several different types of refrigerants; however, R-410A is the most common and its GWP is used herein to calculate the MSA's residential refrigerant emissions. R-410a is currently replacing an older refrigerant (R-22) in most residential AC systems; both refrigerants have similar GWPs.</t>
  </si>
  <si>
    <t xml:space="preserve">3) Additional commercial assumptions include: a) 300 sq. ft. per ton of cooling capacity based on the commercial average from the ASHRAE Pocket Guide for Air Conditioning, Heating, Ventilation, and Refrigeration; b) 1 kg refrigerant per ton based on a conservative estimate from the Treatment of LEED of the Environmental Impact of HVAC Refrigerants; and c) 5% refrigerant loss per year from the Climate Leaders Greenhouse Gas Inventory Protocol Core Module Guidance from the EPA. </t>
  </si>
  <si>
    <t>4) Additional assumptions for residential leakage include: a) 525 sq. ft. per ton of cooling capacity for residential AC units in a moderate climate; b) 1.4 kg refrigerant per ton of cooling for residential AC units; and c) 2.9% refrigerant loss per year from the IPCC, calculated using EIA data that says 54% of New Mexico residences use central AC and 31% use individual units. Methodology and calculations on file.</t>
  </si>
  <si>
    <t>5) Per conversation with Bobby Orwig, it is estimated that as much as 90% of all commercial square footage in the MSA is air conditioned. Lotus used a more conservative estimate of 80% to account for older buildings and larger non-air-conditioned spaces like warehouses. Email PDF on file.</t>
  </si>
  <si>
    <t>Emission Factors &amp; Constants</t>
  </si>
  <si>
    <t>Commercial AC leakage</t>
  </si>
  <si>
    <t>Residential AC leakage</t>
  </si>
  <si>
    <t>Assumes 80% of building area cooled by R-134a</t>
  </si>
  <si>
    <t>Residential SF air conditioned by central air or individual units</t>
  </si>
  <si>
    <t>Square Feet per Ton of Cooling (sf/ton)</t>
  </si>
  <si>
    <t>Amount of refrigerant (kg) per ton of cooling</t>
  </si>
  <si>
    <t>Estimated refrigerant loss</t>
  </si>
  <si>
    <t>Commercial Refrigerant Use</t>
  </si>
  <si>
    <t>Commercial Building Area (sf)</t>
  </si>
  <si>
    <t>Air Conditioned Commercial Building Area (sf)</t>
  </si>
  <si>
    <t>Tons of Cooling</t>
  </si>
  <si>
    <t>Charge of coolant per ton (kg)</t>
  </si>
  <si>
    <t>Refrigerant Loss (kg) of R-134A</t>
  </si>
  <si>
    <r>
      <rPr>
        <b/>
        <sz val="12"/>
        <color theme="0"/>
        <rFont val="Poppins"/>
      </rPr>
      <t>Commercial Refrigerant Emissions (mtCO</t>
    </r>
    <r>
      <rPr>
        <b/>
        <vertAlign val="subscript"/>
        <sz val="12"/>
        <color theme="0"/>
        <rFont val="Poppins"/>
      </rPr>
      <t>2</t>
    </r>
    <r>
      <rPr>
        <b/>
        <sz val="12"/>
        <color theme="0"/>
        <rFont val="Poppins"/>
      </rPr>
      <t>e)</t>
    </r>
  </si>
  <si>
    <t>Residential Refrigerant Use</t>
  </si>
  <si>
    <t>Residential Building Area (sf)</t>
  </si>
  <si>
    <t>Air Conditioned Residential Building Area (sf)</t>
  </si>
  <si>
    <t>Refrigerant Loss (kg) of R-410A</t>
  </si>
  <si>
    <t>Residential Refrigerant Emissions (mtCO2e)</t>
  </si>
  <si>
    <r>
      <rPr>
        <b/>
        <sz val="12"/>
        <color theme="0"/>
        <rFont val="Poppins"/>
      </rPr>
      <t>mt CO</t>
    </r>
    <r>
      <rPr>
        <b/>
        <vertAlign val="subscript"/>
        <sz val="12"/>
        <color theme="0"/>
        <rFont val="Poppins"/>
      </rPr>
      <t>2</t>
    </r>
    <r>
      <rPr>
        <b/>
        <sz val="12"/>
        <color theme="0"/>
        <rFont val="Poppins"/>
      </rPr>
      <t>e</t>
    </r>
  </si>
  <si>
    <t>Percent of Emissions</t>
  </si>
  <si>
    <r>
      <rPr>
        <b/>
        <sz val="12"/>
        <color theme="0"/>
        <rFont val="Poppins"/>
      </rPr>
      <t>mt CO</t>
    </r>
    <r>
      <rPr>
        <b/>
        <vertAlign val="subscript"/>
        <sz val="12"/>
        <color theme="0"/>
        <rFont val="Poppins"/>
      </rPr>
      <t>2</t>
    </r>
    <r>
      <rPr>
        <b/>
        <sz val="12"/>
        <color theme="0"/>
        <rFont val="Poppins"/>
      </rPr>
      <t>e</t>
    </r>
  </si>
  <si>
    <t xml:space="preserve">Manure Management </t>
  </si>
  <si>
    <t>1) Agriculture data are reported below for each county in the ABQ MSA. There are some agricultural lands within Albuquerque city limits. Acreages were found here: https://www.cabq.gov/parksandrecreation/open-space/lands/open-space-farmlands. Data for urea fertilization and managed soils emissions were calculated for the city, and all AFOLU emissions were calculated for the counties.</t>
  </si>
  <si>
    <t>2) Most recent livestock data is from 2022 from the USDA Agricultural Census. Most recent data for urea fertilization and managed soils is from 2021 from the EPA SIT tool agriculture module.</t>
  </si>
  <si>
    <t>3) Total urea applied to soil in each county is based on the default value from EPA SIT for New Mexico (most recent data are from 2021). Total Urea applied in NM was adjusted to each county by the ratio of treated farmland in each county to the state in 2022. 2021 was the most recent Urea data included in the EPA SIT tool.</t>
  </si>
  <si>
    <t>4) Cattle inventory data from: https://www.nass.usda.gov/Publications/AgCensus/2022/Full_Report/Volume_1,_Chapter_2_County_Level/New_Mexico/st35_2_011_011.pdf. Only Sandoval County reported dairy and beef cattle split, therefore total cattle for Bernalillo, Torrance, and Valencia counties were proportioned between dairy and beef cattle using the proportion in the state of New Mexico.</t>
  </si>
  <si>
    <t>5) Sheep and Goat inventory from: https://www.nass.usda.gov/Publications/AgCensus/2022/Full_Report/Volume_1,_Chapter_2_County_Level/New_Mexico/st35_2_013_014.pdf.</t>
  </si>
  <si>
    <t>6) Horse inventory from: https://www.nass.usda.gov/Publications/AgCensus/2022/Full_Report/Volume_1,_Chapter_2_County_Level/New_Mexico/st35_2_018_018.pdf.</t>
  </si>
  <si>
    <t>7) Poultry inventory from: https://www.nass.usda.gov/Publications/AgCensus/2022/Full_Report/Volume_1,_Chapter_2_County_Level/New_Mexico/st35_2_019_019.pdf.</t>
  </si>
  <si>
    <t>8) Pig inventory from: https://www.nass.usda.gov/Publications/AgCensus/2022/Full_Report/Volume_1,_Chapter_2_County_Level/New_Mexico/st35_2_012_012.pdf.</t>
  </si>
  <si>
    <t>9) Acres fertilized data from: https://www.nass.usda.gov/Publications/AgCensus/2022/Full_Report/Volume_1,_Chapter_2_County_Level/New_Mexico/st35_2_039_040.pdf.</t>
  </si>
  <si>
    <t>10) Emissions from wildfires are captured in the Trees tab and are not reported in this tab.</t>
  </si>
  <si>
    <t xml:space="preserve">11) Versions of the EPA SIT agriculture module tool with animal numbers used as inputs for each county are on file. </t>
  </si>
  <si>
    <t xml:space="preserve">Enteric Emissions </t>
  </si>
  <si>
    <t>Biomass Burning</t>
  </si>
  <si>
    <t>Livestock Category</t>
  </si>
  <si>
    <t>Enteric Emission Factor (kg CH4/head/year)</t>
  </si>
  <si>
    <t>Notes</t>
  </si>
  <si>
    <t>Variable</t>
  </si>
  <si>
    <t>Dairy Cattle</t>
  </si>
  <si>
    <t>Values from 2006 IPCC Guidelines for National Greenhouse Gas Inventories, Volume 4, Chapter 10
(https://www.ipcc-nggip.iges.or.jp/public/2006gl/pdf/4_Volume4/V4_10_Ch10_Livestock.pdf)
Values for sheep, swine, and goats are the average between high and low productivity systems.</t>
  </si>
  <si>
    <t xml:space="preserve">Mass of fuel available </t>
  </si>
  <si>
    <t>average tons/hectare for "all secondary tropical forest" and "all shrublands"</t>
  </si>
  <si>
    <t>Values from 2006 IPCC Guidelines for National Greenhouse Gas Inventories, Volume 4, Chapter 2 (Emission factors can be found in Table 2.5)
(https://www.ipcc-nggip.iges.or.jp/public/2006gl/pdf/4_Volume4/V4_02_Ch2_Generic.pdf)</t>
  </si>
  <si>
    <t>Beef/Other Cattle</t>
  </si>
  <si>
    <t>Combustion factor</t>
  </si>
  <si>
    <t>proportion of prefire fuel biomass consumed</t>
  </si>
  <si>
    <t>Sheep</t>
  </si>
  <si>
    <t>Emission factor for biofuel burning</t>
  </si>
  <si>
    <t>g CO2/kg mass burnt</t>
  </si>
  <si>
    <t>Goat</t>
  </si>
  <si>
    <t>g CH4/kg mass burnt</t>
  </si>
  <si>
    <t>Buffalo</t>
  </si>
  <si>
    <t>g N2O/kg mass burnt</t>
  </si>
  <si>
    <t>Swine</t>
  </si>
  <si>
    <t>Horse</t>
  </si>
  <si>
    <t>Poultry</t>
  </si>
  <si>
    <t>CH4 Emissions from Manure Management CONSTANTS from EPA SIT</t>
  </si>
  <si>
    <t>Typical Animal Mass (TAM) (kg)</t>
  </si>
  <si>
    <t>Volatile Solids (VS) (kg VS/head/year)</t>
  </si>
  <si>
    <t>Max Potential Emissions (m3 CH4/kg VS)</t>
  </si>
  <si>
    <t>Weighted Methane Conversion Factors (MCF)</t>
  </si>
  <si>
    <t>Days per year</t>
  </si>
  <si>
    <t>ton C/ton urea</t>
  </si>
  <si>
    <t>From EPA SIT, Agricultural Module</t>
  </si>
  <si>
    <t>Beef Cattle (Beef Cows)</t>
  </si>
  <si>
    <t>C to CO2</t>
  </si>
  <si>
    <t>Swine (Market 60-119 lbs.)</t>
  </si>
  <si>
    <t>Poultry (chickens)</t>
  </si>
  <si>
    <t>Sheep (on Feed)</t>
  </si>
  <si>
    <t>Goats</t>
  </si>
  <si>
    <t>Horses</t>
  </si>
  <si>
    <t>N2O Emissions from Manure Management from EPA SIT</t>
  </si>
  <si>
    <t>Emissions from Anaerobic Lagoons and Liquid Systems 
(kg N2O-N)</t>
  </si>
  <si>
    <t>Emissions from Solid Storage, Drylot &amp; Other systems 
(kg N2O-N)</t>
  </si>
  <si>
    <t xml:space="preserve">Data Calculations </t>
  </si>
  <si>
    <t xml:space="preserve">Livestock Numbers </t>
  </si>
  <si>
    <t>Area</t>
  </si>
  <si>
    <t>Number of Livestock</t>
  </si>
  <si>
    <t>Geographic Area</t>
  </si>
  <si>
    <t>Total Cattle</t>
  </si>
  <si>
    <t>Beef Cattle</t>
  </si>
  <si>
    <t>New Mexico Cattle Data</t>
  </si>
  <si>
    <r>
      <rPr>
        <b/>
        <sz val="12"/>
        <color theme="0"/>
        <rFont val="Poppins"/>
      </rPr>
      <t>Livestock Emissions (mt CH</t>
    </r>
    <r>
      <rPr>
        <b/>
        <vertAlign val="subscript"/>
        <sz val="12"/>
        <color theme="0"/>
        <rFont val="Poppins"/>
      </rPr>
      <t>4</t>
    </r>
    <r>
      <rPr>
        <b/>
        <sz val="12"/>
        <color theme="0"/>
        <rFont val="Poppins"/>
      </rPr>
      <t>)</t>
    </r>
  </si>
  <si>
    <r>
      <rPr>
        <b/>
        <sz val="12"/>
        <color rgb="FFFFFFFF"/>
        <rFont val="Poppins"/>
      </rPr>
      <t>TOTAL (mt CH</t>
    </r>
    <r>
      <rPr>
        <b/>
        <vertAlign val="subscript"/>
        <sz val="12"/>
        <color rgb="FFFFFFFF"/>
        <rFont val="Poppins"/>
      </rPr>
      <t>4</t>
    </r>
    <r>
      <rPr>
        <b/>
        <sz val="12"/>
        <color rgb="FFFFFFFF"/>
        <rFont val="Poppins"/>
      </rPr>
      <t>)</t>
    </r>
  </si>
  <si>
    <r>
      <rPr>
        <b/>
        <sz val="12"/>
        <color theme="0"/>
        <rFont val="Poppins"/>
      </rPr>
      <t>Livestock Emissions (mt CO</t>
    </r>
    <r>
      <rPr>
        <b/>
        <vertAlign val="subscript"/>
        <sz val="12"/>
        <color theme="0"/>
        <rFont val="Poppins"/>
      </rPr>
      <t>2</t>
    </r>
    <r>
      <rPr>
        <b/>
        <sz val="12"/>
        <color theme="0"/>
        <rFont val="Poppins"/>
      </rPr>
      <t>e)</t>
    </r>
  </si>
  <si>
    <r>
      <rPr>
        <b/>
        <sz val="12"/>
        <color theme="0"/>
        <rFont val="Poppins"/>
      </rPr>
      <t>Total Emissions (mt CO</t>
    </r>
    <r>
      <rPr>
        <b/>
        <vertAlign val="subscript"/>
        <sz val="12"/>
        <color theme="0"/>
        <rFont val="Poppins"/>
      </rPr>
      <t>2</t>
    </r>
    <r>
      <rPr>
        <b/>
        <sz val="12"/>
        <color theme="0"/>
        <rFont val="Poppins"/>
      </rPr>
      <t>e)</t>
    </r>
  </si>
  <si>
    <t>All Animals</t>
  </si>
  <si>
    <t xml:space="preserve">Manure Management Emissions </t>
  </si>
  <si>
    <t>Number of Animals</t>
  </si>
  <si>
    <t>Total VS (kg/year)</t>
  </si>
  <si>
    <r>
      <rPr>
        <b/>
        <sz val="11"/>
        <color theme="0"/>
        <rFont val="Poppins"/>
      </rPr>
      <t>Emissions 
(m3 CH</t>
    </r>
    <r>
      <rPr>
        <b/>
        <vertAlign val="subscript"/>
        <sz val="11"/>
        <color theme="0"/>
        <rFont val="Poppins"/>
      </rPr>
      <t>4</t>
    </r>
    <r>
      <rPr>
        <b/>
        <sz val="11"/>
        <color theme="0"/>
        <rFont val="Poppins"/>
      </rPr>
      <t>)</t>
    </r>
  </si>
  <si>
    <r>
      <rPr>
        <b/>
        <sz val="12"/>
        <color rgb="FFFFFFFF"/>
        <rFont val="Poppins"/>
      </rPr>
      <t>Emissions 
(mt CH</t>
    </r>
    <r>
      <rPr>
        <b/>
        <vertAlign val="subscript"/>
        <sz val="12"/>
        <color rgb="FFFFFFFF"/>
        <rFont val="Poppins"/>
      </rPr>
      <t>4</t>
    </r>
    <r>
      <rPr>
        <b/>
        <sz val="12"/>
        <color rgb="FFFFFFFF"/>
        <rFont val="Poppins"/>
      </rPr>
      <t>)</t>
    </r>
  </si>
  <si>
    <r>
      <rPr>
        <b/>
        <sz val="12"/>
        <color rgb="FFFFFFFF"/>
        <rFont val="Poppins"/>
      </rPr>
      <t>CH</t>
    </r>
    <r>
      <rPr>
        <b/>
        <vertAlign val="subscript"/>
        <sz val="12"/>
        <color rgb="FFFFFFFF"/>
        <rFont val="Poppins"/>
      </rPr>
      <t xml:space="preserve">4 </t>
    </r>
    <r>
      <rPr>
        <b/>
        <sz val="12"/>
        <color rgb="FFFFFFFF"/>
        <rFont val="Poppins"/>
      </rPr>
      <t>Emissions 
(mt CO</t>
    </r>
    <r>
      <rPr>
        <b/>
        <vertAlign val="subscript"/>
        <sz val="12"/>
        <color rgb="FFFFFFFF"/>
        <rFont val="Poppins"/>
      </rPr>
      <t>2</t>
    </r>
    <r>
      <rPr>
        <b/>
        <sz val="12"/>
        <color rgb="FFFFFFFF"/>
        <rFont val="Poppins"/>
      </rPr>
      <t>e)</t>
    </r>
  </si>
  <si>
    <r>
      <rPr>
        <b/>
        <sz val="11"/>
        <color theme="0"/>
        <rFont val="Poppins"/>
      </rPr>
      <t>Total N</t>
    </r>
    <r>
      <rPr>
        <b/>
        <vertAlign val="subscript"/>
        <sz val="11"/>
        <color theme="0"/>
        <rFont val="Poppins"/>
      </rPr>
      <t>2</t>
    </r>
    <r>
      <rPr>
        <b/>
        <sz val="11"/>
        <color theme="0"/>
        <rFont val="Poppins"/>
      </rPr>
      <t>O Emissions 
(kg N</t>
    </r>
    <r>
      <rPr>
        <b/>
        <vertAlign val="subscript"/>
        <sz val="11"/>
        <color theme="0"/>
        <rFont val="Poppins"/>
      </rPr>
      <t>2</t>
    </r>
    <r>
      <rPr>
        <b/>
        <sz val="11"/>
        <color theme="0"/>
        <rFont val="Poppins"/>
      </rPr>
      <t>O)</t>
    </r>
  </si>
  <si>
    <r>
      <rPr>
        <b/>
        <sz val="12"/>
        <color rgb="FFFFFFFF"/>
        <rFont val="Poppins"/>
      </rPr>
      <t>N</t>
    </r>
    <r>
      <rPr>
        <b/>
        <vertAlign val="subscript"/>
        <sz val="11"/>
        <color theme="0"/>
        <rFont val="Poppins"/>
      </rPr>
      <t>2</t>
    </r>
    <r>
      <rPr>
        <b/>
        <sz val="11"/>
        <color theme="0"/>
        <rFont val="Poppins"/>
      </rPr>
      <t>O Emissions 
(mt N</t>
    </r>
    <r>
      <rPr>
        <b/>
        <vertAlign val="subscript"/>
        <sz val="11"/>
        <color theme="0"/>
        <rFont val="Poppins"/>
      </rPr>
      <t>2</t>
    </r>
    <r>
      <rPr>
        <b/>
        <sz val="11"/>
        <color theme="0"/>
        <rFont val="Poppins"/>
      </rPr>
      <t>O)</t>
    </r>
  </si>
  <si>
    <r>
      <rPr>
        <b/>
        <sz val="12"/>
        <color rgb="FFFFFFFF"/>
        <rFont val="Poppins"/>
      </rPr>
      <t>N</t>
    </r>
    <r>
      <rPr>
        <b/>
        <vertAlign val="subscript"/>
        <sz val="11"/>
        <color theme="0"/>
        <rFont val="Poppins"/>
      </rPr>
      <t>2</t>
    </r>
    <r>
      <rPr>
        <b/>
        <sz val="11"/>
        <color theme="0"/>
        <rFont val="Poppins"/>
      </rPr>
      <t>O Emissions 
(mt CO</t>
    </r>
    <r>
      <rPr>
        <b/>
        <vertAlign val="subscript"/>
        <sz val="11"/>
        <color theme="0"/>
        <rFont val="Poppins"/>
      </rPr>
      <t>2</t>
    </r>
    <r>
      <rPr>
        <b/>
        <sz val="11"/>
        <color theme="0"/>
        <rFont val="Poppins"/>
      </rPr>
      <t>e)</t>
    </r>
  </si>
  <si>
    <r>
      <rPr>
        <b/>
        <sz val="12"/>
        <color theme="0"/>
        <rFont val="Poppins"/>
      </rPr>
      <t>Total Emissions 
(mt CO</t>
    </r>
    <r>
      <rPr>
        <b/>
        <vertAlign val="subscript"/>
        <sz val="12"/>
        <color theme="0"/>
        <rFont val="Poppins"/>
      </rPr>
      <t>2</t>
    </r>
    <r>
      <rPr>
        <b/>
        <sz val="12"/>
        <color theme="0"/>
        <rFont val="Poppins"/>
      </rPr>
      <t>e)</t>
    </r>
  </si>
  <si>
    <r>
      <rPr>
        <b/>
        <sz val="11"/>
        <color theme="0"/>
        <rFont val="Poppins"/>
      </rPr>
      <t>Emissions 
(m3 CH</t>
    </r>
    <r>
      <rPr>
        <b/>
        <vertAlign val="subscript"/>
        <sz val="11"/>
        <color theme="0"/>
        <rFont val="Poppins"/>
      </rPr>
      <t>4</t>
    </r>
    <r>
      <rPr>
        <b/>
        <sz val="11"/>
        <color theme="0"/>
        <rFont val="Poppins"/>
      </rPr>
      <t>)</t>
    </r>
  </si>
  <si>
    <r>
      <rPr>
        <b/>
        <sz val="12"/>
        <color rgb="FFFFFFFF"/>
        <rFont val="Poppins"/>
      </rPr>
      <t>Emissions 
(mt CH</t>
    </r>
    <r>
      <rPr>
        <b/>
        <vertAlign val="subscript"/>
        <sz val="12"/>
        <color rgb="FFFFFFFF"/>
        <rFont val="Poppins"/>
      </rPr>
      <t>4</t>
    </r>
    <r>
      <rPr>
        <b/>
        <sz val="12"/>
        <color rgb="FFFFFFFF"/>
        <rFont val="Poppins"/>
      </rPr>
      <t>)</t>
    </r>
  </si>
  <si>
    <r>
      <rPr>
        <b/>
        <sz val="12"/>
        <color rgb="FFFFFFFF"/>
        <rFont val="Poppins"/>
      </rPr>
      <t>CH</t>
    </r>
    <r>
      <rPr>
        <b/>
        <vertAlign val="subscript"/>
        <sz val="12"/>
        <color rgb="FFFFFFFF"/>
        <rFont val="Poppins"/>
      </rPr>
      <t xml:space="preserve">4 </t>
    </r>
    <r>
      <rPr>
        <b/>
        <sz val="12"/>
        <color rgb="FFFFFFFF"/>
        <rFont val="Poppins"/>
      </rPr>
      <t>Emissions 
(mt CO</t>
    </r>
    <r>
      <rPr>
        <b/>
        <vertAlign val="subscript"/>
        <sz val="12"/>
        <color rgb="FFFFFFFF"/>
        <rFont val="Poppins"/>
      </rPr>
      <t>2</t>
    </r>
    <r>
      <rPr>
        <b/>
        <sz val="12"/>
        <color rgb="FFFFFFFF"/>
        <rFont val="Poppins"/>
      </rPr>
      <t>e)</t>
    </r>
  </si>
  <si>
    <r>
      <rPr>
        <b/>
        <sz val="11"/>
        <color theme="0"/>
        <rFont val="Poppins"/>
      </rPr>
      <t>Total N</t>
    </r>
    <r>
      <rPr>
        <b/>
        <vertAlign val="subscript"/>
        <sz val="11"/>
        <color theme="0"/>
        <rFont val="Poppins"/>
      </rPr>
      <t>2</t>
    </r>
    <r>
      <rPr>
        <b/>
        <sz val="11"/>
        <color theme="0"/>
        <rFont val="Poppins"/>
      </rPr>
      <t>O Emissions 
(kg N</t>
    </r>
    <r>
      <rPr>
        <b/>
        <vertAlign val="subscript"/>
        <sz val="11"/>
        <color theme="0"/>
        <rFont val="Poppins"/>
      </rPr>
      <t>2</t>
    </r>
    <r>
      <rPr>
        <b/>
        <sz val="11"/>
        <color theme="0"/>
        <rFont val="Poppins"/>
      </rPr>
      <t>O)</t>
    </r>
  </si>
  <si>
    <r>
      <rPr>
        <b/>
        <sz val="12"/>
        <color rgb="FFFFFFFF"/>
        <rFont val="Poppins"/>
      </rPr>
      <t>N</t>
    </r>
    <r>
      <rPr>
        <b/>
        <vertAlign val="subscript"/>
        <sz val="11"/>
        <color theme="0"/>
        <rFont val="Poppins"/>
      </rPr>
      <t>2</t>
    </r>
    <r>
      <rPr>
        <b/>
        <sz val="11"/>
        <color theme="0"/>
        <rFont val="Poppins"/>
      </rPr>
      <t>O Emissions 
(mt N</t>
    </r>
    <r>
      <rPr>
        <b/>
        <vertAlign val="subscript"/>
        <sz val="11"/>
        <color theme="0"/>
        <rFont val="Poppins"/>
      </rPr>
      <t>2</t>
    </r>
    <r>
      <rPr>
        <b/>
        <sz val="11"/>
        <color theme="0"/>
        <rFont val="Poppins"/>
      </rPr>
      <t>O)</t>
    </r>
  </si>
  <si>
    <r>
      <rPr>
        <b/>
        <sz val="12"/>
        <color rgb="FFFFFFFF"/>
        <rFont val="Poppins"/>
      </rPr>
      <t>N</t>
    </r>
    <r>
      <rPr>
        <b/>
        <vertAlign val="subscript"/>
        <sz val="11"/>
        <color theme="0"/>
        <rFont val="Poppins"/>
      </rPr>
      <t>2</t>
    </r>
    <r>
      <rPr>
        <b/>
        <sz val="11"/>
        <color theme="0"/>
        <rFont val="Poppins"/>
      </rPr>
      <t>O Emissions 
(mt CO</t>
    </r>
    <r>
      <rPr>
        <b/>
        <vertAlign val="subscript"/>
        <sz val="11"/>
        <color theme="0"/>
        <rFont val="Poppins"/>
      </rPr>
      <t>2</t>
    </r>
    <r>
      <rPr>
        <b/>
        <sz val="11"/>
        <color theme="0"/>
        <rFont val="Poppins"/>
      </rPr>
      <t>e)</t>
    </r>
  </si>
  <si>
    <r>
      <rPr>
        <b/>
        <sz val="12"/>
        <color theme="0"/>
        <rFont val="Poppins"/>
      </rPr>
      <t>Total Emissions 
(mt CO</t>
    </r>
    <r>
      <rPr>
        <b/>
        <vertAlign val="subscript"/>
        <sz val="12"/>
        <color theme="0"/>
        <rFont val="Poppins"/>
      </rPr>
      <t>2</t>
    </r>
    <r>
      <rPr>
        <b/>
        <sz val="12"/>
        <color theme="0"/>
        <rFont val="Poppins"/>
      </rPr>
      <t>e)</t>
    </r>
  </si>
  <si>
    <r>
      <rPr>
        <b/>
        <sz val="11"/>
        <color theme="0"/>
        <rFont val="Poppins"/>
      </rPr>
      <t>Emissions 
(m3 CH</t>
    </r>
    <r>
      <rPr>
        <b/>
        <vertAlign val="subscript"/>
        <sz val="11"/>
        <color theme="0"/>
        <rFont val="Poppins"/>
      </rPr>
      <t>4</t>
    </r>
    <r>
      <rPr>
        <b/>
        <sz val="11"/>
        <color theme="0"/>
        <rFont val="Poppins"/>
      </rPr>
      <t>)</t>
    </r>
  </si>
  <si>
    <r>
      <rPr>
        <b/>
        <sz val="12"/>
        <color rgb="FFFFFFFF"/>
        <rFont val="Poppins"/>
      </rPr>
      <t>Emissions 
(mt CH</t>
    </r>
    <r>
      <rPr>
        <b/>
        <vertAlign val="subscript"/>
        <sz val="12"/>
        <color rgb="FFFFFFFF"/>
        <rFont val="Poppins"/>
      </rPr>
      <t>4</t>
    </r>
    <r>
      <rPr>
        <b/>
        <sz val="12"/>
        <color rgb="FFFFFFFF"/>
        <rFont val="Poppins"/>
      </rPr>
      <t>)</t>
    </r>
  </si>
  <si>
    <r>
      <rPr>
        <b/>
        <sz val="12"/>
        <color rgb="FFFFFFFF"/>
        <rFont val="Poppins"/>
      </rPr>
      <t>CH</t>
    </r>
    <r>
      <rPr>
        <b/>
        <vertAlign val="subscript"/>
        <sz val="12"/>
        <color rgb="FFFFFFFF"/>
        <rFont val="Poppins"/>
      </rPr>
      <t xml:space="preserve">4 </t>
    </r>
    <r>
      <rPr>
        <b/>
        <sz val="12"/>
        <color rgb="FFFFFFFF"/>
        <rFont val="Poppins"/>
      </rPr>
      <t>Emissions 
(mt CO</t>
    </r>
    <r>
      <rPr>
        <b/>
        <vertAlign val="subscript"/>
        <sz val="12"/>
        <color rgb="FFFFFFFF"/>
        <rFont val="Poppins"/>
      </rPr>
      <t>2</t>
    </r>
    <r>
      <rPr>
        <b/>
        <sz val="12"/>
        <color rgb="FFFFFFFF"/>
        <rFont val="Poppins"/>
      </rPr>
      <t>e)</t>
    </r>
  </si>
  <si>
    <r>
      <rPr>
        <b/>
        <sz val="11"/>
        <color theme="0"/>
        <rFont val="Poppins"/>
      </rPr>
      <t>Total N</t>
    </r>
    <r>
      <rPr>
        <b/>
        <vertAlign val="subscript"/>
        <sz val="11"/>
        <color theme="0"/>
        <rFont val="Poppins"/>
      </rPr>
      <t>2</t>
    </r>
    <r>
      <rPr>
        <b/>
        <sz val="11"/>
        <color theme="0"/>
        <rFont val="Poppins"/>
      </rPr>
      <t>O Emissions 
(kg N</t>
    </r>
    <r>
      <rPr>
        <b/>
        <vertAlign val="subscript"/>
        <sz val="11"/>
        <color theme="0"/>
        <rFont val="Poppins"/>
      </rPr>
      <t>2</t>
    </r>
    <r>
      <rPr>
        <b/>
        <sz val="11"/>
        <color theme="0"/>
        <rFont val="Poppins"/>
      </rPr>
      <t>O)</t>
    </r>
  </si>
  <si>
    <r>
      <rPr>
        <b/>
        <sz val="12"/>
        <color rgb="FFFFFFFF"/>
        <rFont val="Poppins"/>
      </rPr>
      <t>N</t>
    </r>
    <r>
      <rPr>
        <b/>
        <vertAlign val="subscript"/>
        <sz val="11"/>
        <color theme="0"/>
        <rFont val="Poppins"/>
      </rPr>
      <t>2</t>
    </r>
    <r>
      <rPr>
        <b/>
        <sz val="11"/>
        <color theme="0"/>
        <rFont val="Poppins"/>
      </rPr>
      <t>O Emissions 
(mt N</t>
    </r>
    <r>
      <rPr>
        <b/>
        <vertAlign val="subscript"/>
        <sz val="11"/>
        <color theme="0"/>
        <rFont val="Poppins"/>
      </rPr>
      <t>2</t>
    </r>
    <r>
      <rPr>
        <b/>
        <sz val="11"/>
        <color theme="0"/>
        <rFont val="Poppins"/>
      </rPr>
      <t>O)</t>
    </r>
  </si>
  <si>
    <r>
      <rPr>
        <b/>
        <sz val="12"/>
        <color rgb="FFFFFFFF"/>
        <rFont val="Poppins"/>
      </rPr>
      <t>N</t>
    </r>
    <r>
      <rPr>
        <b/>
        <vertAlign val="subscript"/>
        <sz val="11"/>
        <color theme="0"/>
        <rFont val="Poppins"/>
      </rPr>
      <t>2</t>
    </r>
    <r>
      <rPr>
        <b/>
        <sz val="11"/>
        <color theme="0"/>
        <rFont val="Poppins"/>
      </rPr>
      <t>O Emissions 
(mt CO</t>
    </r>
    <r>
      <rPr>
        <b/>
        <vertAlign val="subscript"/>
        <sz val="11"/>
        <color theme="0"/>
        <rFont val="Poppins"/>
      </rPr>
      <t>2</t>
    </r>
    <r>
      <rPr>
        <b/>
        <sz val="11"/>
        <color theme="0"/>
        <rFont val="Poppins"/>
      </rPr>
      <t>e)</t>
    </r>
  </si>
  <si>
    <r>
      <rPr>
        <b/>
        <sz val="12"/>
        <color theme="0"/>
        <rFont val="Poppins"/>
      </rPr>
      <t>Total Emissions 
(mt CO</t>
    </r>
    <r>
      <rPr>
        <b/>
        <vertAlign val="subscript"/>
        <sz val="12"/>
        <color theme="0"/>
        <rFont val="Poppins"/>
      </rPr>
      <t>2</t>
    </r>
    <r>
      <rPr>
        <b/>
        <sz val="12"/>
        <color theme="0"/>
        <rFont val="Poppins"/>
      </rPr>
      <t>e)</t>
    </r>
  </si>
  <si>
    <r>
      <rPr>
        <b/>
        <sz val="11"/>
        <color theme="0"/>
        <rFont val="Poppins"/>
      </rPr>
      <t>Emissions 
(m3 CH</t>
    </r>
    <r>
      <rPr>
        <b/>
        <vertAlign val="subscript"/>
        <sz val="11"/>
        <color theme="0"/>
        <rFont val="Poppins"/>
      </rPr>
      <t>4</t>
    </r>
    <r>
      <rPr>
        <b/>
        <sz val="11"/>
        <color theme="0"/>
        <rFont val="Poppins"/>
      </rPr>
      <t>)</t>
    </r>
  </si>
  <si>
    <r>
      <rPr>
        <b/>
        <sz val="12"/>
        <color rgb="FFFFFFFF"/>
        <rFont val="Poppins"/>
      </rPr>
      <t>Emissions 
(mt CH</t>
    </r>
    <r>
      <rPr>
        <b/>
        <vertAlign val="subscript"/>
        <sz val="12"/>
        <color rgb="FFFFFFFF"/>
        <rFont val="Poppins"/>
      </rPr>
      <t>4</t>
    </r>
    <r>
      <rPr>
        <b/>
        <sz val="12"/>
        <color rgb="FFFFFFFF"/>
        <rFont val="Poppins"/>
      </rPr>
      <t>)</t>
    </r>
  </si>
  <si>
    <r>
      <rPr>
        <b/>
        <sz val="12"/>
        <color rgb="FFFFFFFF"/>
        <rFont val="Poppins"/>
      </rPr>
      <t>CH</t>
    </r>
    <r>
      <rPr>
        <b/>
        <vertAlign val="subscript"/>
        <sz val="12"/>
        <color rgb="FFFFFFFF"/>
        <rFont val="Poppins"/>
      </rPr>
      <t xml:space="preserve">4 </t>
    </r>
    <r>
      <rPr>
        <b/>
        <sz val="12"/>
        <color rgb="FFFFFFFF"/>
        <rFont val="Poppins"/>
      </rPr>
      <t>Emissions 
(mt CO</t>
    </r>
    <r>
      <rPr>
        <b/>
        <vertAlign val="subscript"/>
        <sz val="12"/>
        <color rgb="FFFFFFFF"/>
        <rFont val="Poppins"/>
      </rPr>
      <t>2</t>
    </r>
    <r>
      <rPr>
        <b/>
        <sz val="12"/>
        <color rgb="FFFFFFFF"/>
        <rFont val="Poppins"/>
      </rPr>
      <t>e)</t>
    </r>
  </si>
  <si>
    <r>
      <rPr>
        <b/>
        <sz val="11"/>
        <color theme="0"/>
        <rFont val="Poppins"/>
      </rPr>
      <t>Total N</t>
    </r>
    <r>
      <rPr>
        <b/>
        <vertAlign val="subscript"/>
        <sz val="11"/>
        <color theme="0"/>
        <rFont val="Poppins"/>
      </rPr>
      <t>2</t>
    </r>
    <r>
      <rPr>
        <b/>
        <sz val="11"/>
        <color theme="0"/>
        <rFont val="Poppins"/>
      </rPr>
      <t>O Emissions 
(kg N</t>
    </r>
    <r>
      <rPr>
        <b/>
        <vertAlign val="subscript"/>
        <sz val="11"/>
        <color theme="0"/>
        <rFont val="Poppins"/>
      </rPr>
      <t>2</t>
    </r>
    <r>
      <rPr>
        <b/>
        <sz val="11"/>
        <color theme="0"/>
        <rFont val="Poppins"/>
      </rPr>
      <t>O)</t>
    </r>
  </si>
  <si>
    <r>
      <rPr>
        <b/>
        <sz val="12"/>
        <color rgb="FFFFFFFF"/>
        <rFont val="Poppins"/>
      </rPr>
      <t>N</t>
    </r>
    <r>
      <rPr>
        <b/>
        <vertAlign val="subscript"/>
        <sz val="11"/>
        <color theme="0"/>
        <rFont val="Poppins"/>
      </rPr>
      <t>2</t>
    </r>
    <r>
      <rPr>
        <b/>
        <sz val="11"/>
        <color theme="0"/>
        <rFont val="Poppins"/>
      </rPr>
      <t>O Emissions 
(mt N</t>
    </r>
    <r>
      <rPr>
        <b/>
        <vertAlign val="subscript"/>
        <sz val="11"/>
        <color theme="0"/>
        <rFont val="Poppins"/>
      </rPr>
      <t>2</t>
    </r>
    <r>
      <rPr>
        <b/>
        <sz val="11"/>
        <color theme="0"/>
        <rFont val="Poppins"/>
      </rPr>
      <t>O)</t>
    </r>
  </si>
  <si>
    <r>
      <rPr>
        <b/>
        <sz val="12"/>
        <color rgb="FFFFFFFF"/>
        <rFont val="Poppins"/>
      </rPr>
      <t>N</t>
    </r>
    <r>
      <rPr>
        <b/>
        <vertAlign val="subscript"/>
        <sz val="11"/>
        <color theme="0"/>
        <rFont val="Poppins"/>
      </rPr>
      <t>2</t>
    </r>
    <r>
      <rPr>
        <b/>
        <sz val="11"/>
        <color theme="0"/>
        <rFont val="Poppins"/>
      </rPr>
      <t>O Emissions 
(mt CO</t>
    </r>
    <r>
      <rPr>
        <b/>
        <vertAlign val="subscript"/>
        <sz val="11"/>
        <color theme="0"/>
        <rFont val="Poppins"/>
      </rPr>
      <t>2</t>
    </r>
    <r>
      <rPr>
        <b/>
        <sz val="11"/>
        <color theme="0"/>
        <rFont val="Poppins"/>
      </rPr>
      <t>e)</t>
    </r>
  </si>
  <si>
    <r>
      <rPr>
        <b/>
        <sz val="12"/>
        <color theme="0"/>
        <rFont val="Poppins"/>
      </rPr>
      <t>Total Emissions 
(mt CO</t>
    </r>
    <r>
      <rPr>
        <b/>
        <vertAlign val="subscript"/>
        <sz val="12"/>
        <color theme="0"/>
        <rFont val="Poppins"/>
      </rPr>
      <t>2</t>
    </r>
    <r>
      <rPr>
        <b/>
        <sz val="12"/>
        <color theme="0"/>
        <rFont val="Poppins"/>
      </rPr>
      <t>e)</t>
    </r>
  </si>
  <si>
    <t xml:space="preserve">Urea Fertilization </t>
  </si>
  <si>
    <t>Year</t>
  </si>
  <si>
    <t>Total Urea Applied to Soil in New Mexico (mt)</t>
  </si>
  <si>
    <t>Acres of Farmland Treated with Fertilizers and Chemicals Applied - New Mexico</t>
  </si>
  <si>
    <t>Acres of Farmland Treated with Fertilizers and Chemicals Applied - City of ABQ</t>
  </si>
  <si>
    <r>
      <rPr>
        <b/>
        <sz val="12"/>
        <color theme="0"/>
        <rFont val="Poppins"/>
      </rPr>
      <t>Total Emissions (mt CO</t>
    </r>
    <r>
      <rPr>
        <b/>
        <vertAlign val="subscript"/>
        <sz val="12"/>
        <color theme="0"/>
        <rFont val="Poppins"/>
      </rPr>
      <t>2</t>
    </r>
    <r>
      <rPr>
        <b/>
        <sz val="12"/>
        <color theme="0"/>
        <rFont val="Poppins"/>
      </rPr>
      <t>e)</t>
    </r>
  </si>
  <si>
    <t>Acres of Farmland Treated with Fertilizers and Chemicals Applied - Bernalillo County</t>
  </si>
  <si>
    <r>
      <rPr>
        <b/>
        <sz val="12"/>
        <color theme="0"/>
        <rFont val="Poppins"/>
      </rPr>
      <t>Total Emissions (mt CO</t>
    </r>
    <r>
      <rPr>
        <b/>
        <vertAlign val="subscript"/>
        <sz val="12"/>
        <color theme="0"/>
        <rFont val="Poppins"/>
      </rPr>
      <t>2</t>
    </r>
    <r>
      <rPr>
        <b/>
        <sz val="12"/>
        <color theme="0"/>
        <rFont val="Poppins"/>
      </rPr>
      <t>e)</t>
    </r>
  </si>
  <si>
    <t>Acres of Farmland Treated with Fertilizers and Chemicals Applied - Sandoval County</t>
  </si>
  <si>
    <r>
      <rPr>
        <b/>
        <sz val="12"/>
        <color theme="0"/>
        <rFont val="Poppins"/>
      </rPr>
      <t>Total Emissions (mt CO</t>
    </r>
    <r>
      <rPr>
        <b/>
        <vertAlign val="subscript"/>
        <sz val="12"/>
        <color theme="0"/>
        <rFont val="Poppins"/>
      </rPr>
      <t>2</t>
    </r>
    <r>
      <rPr>
        <b/>
        <sz val="12"/>
        <color theme="0"/>
        <rFont val="Poppins"/>
      </rPr>
      <t>e)</t>
    </r>
  </si>
  <si>
    <t>Acres of Farmland Treated with Fertilizers and Chemicals Applied - Torrance County</t>
  </si>
  <si>
    <r>
      <rPr>
        <b/>
        <sz val="12"/>
        <color theme="0"/>
        <rFont val="Poppins"/>
      </rPr>
      <t>Total Emissions (mt CO</t>
    </r>
    <r>
      <rPr>
        <b/>
        <vertAlign val="subscript"/>
        <sz val="12"/>
        <color theme="0"/>
        <rFont val="Poppins"/>
      </rPr>
      <t>2</t>
    </r>
    <r>
      <rPr>
        <b/>
        <sz val="12"/>
        <color theme="0"/>
        <rFont val="Poppins"/>
      </rPr>
      <t>e)</t>
    </r>
  </si>
  <si>
    <t>Acres of Farmland Treated with Fertilizers and Chemicals Applied - Valencia County</t>
  </si>
  <si>
    <r>
      <rPr>
        <b/>
        <sz val="12"/>
        <color theme="0"/>
        <rFont val="Poppins"/>
      </rPr>
      <t>Total Emissions (mt CO</t>
    </r>
    <r>
      <rPr>
        <b/>
        <vertAlign val="subscript"/>
        <sz val="12"/>
        <color theme="0"/>
        <rFont val="Poppins"/>
      </rPr>
      <t>2</t>
    </r>
    <r>
      <rPr>
        <b/>
        <sz val="12"/>
        <color theme="0"/>
        <rFont val="Poppins"/>
      </rPr>
      <t>e)</t>
    </r>
  </si>
  <si>
    <t>Direct and Indirect N2O Emissions from Managed Soils</t>
  </si>
  <si>
    <t>Total Synthetic Fertilizer Use (kg N)</t>
  </si>
  <si>
    <t>Total Organic Fertilizer Use (kg N)</t>
  </si>
  <si>
    <r>
      <rPr>
        <b/>
        <sz val="11"/>
        <color theme="0"/>
        <rFont val="Poppins"/>
      </rPr>
      <t>Direct N</t>
    </r>
    <r>
      <rPr>
        <b/>
        <vertAlign val="subscript"/>
        <sz val="11"/>
        <color theme="0"/>
        <rFont val="Poppins"/>
      </rPr>
      <t>2</t>
    </r>
    <r>
      <rPr>
        <b/>
        <sz val="11"/>
        <color theme="0"/>
        <rFont val="Poppins"/>
      </rPr>
      <t>O Emissions (mt)</t>
    </r>
  </si>
  <si>
    <r>
      <rPr>
        <b/>
        <sz val="11"/>
        <color theme="0"/>
        <rFont val="Poppins"/>
      </rPr>
      <t>Indirect N</t>
    </r>
    <r>
      <rPr>
        <b/>
        <vertAlign val="subscript"/>
        <sz val="11"/>
        <color theme="0"/>
        <rFont val="Poppins"/>
      </rPr>
      <t>2</t>
    </r>
    <r>
      <rPr>
        <b/>
        <sz val="11"/>
        <color theme="0"/>
        <rFont val="Poppins"/>
      </rPr>
      <t>O Emissions (mt)</t>
    </r>
  </si>
  <si>
    <t>Acres of Farmland Treated with Fertilizers and Chemicals Applied - new Mexico</t>
  </si>
  <si>
    <r>
      <rPr>
        <b/>
        <sz val="12"/>
        <color rgb="FFFFFFFF"/>
        <rFont val="Poppins"/>
      </rPr>
      <t>N</t>
    </r>
    <r>
      <rPr>
        <b/>
        <vertAlign val="subscript"/>
        <sz val="11"/>
        <color theme="0"/>
        <rFont val="Poppins"/>
      </rPr>
      <t>2</t>
    </r>
    <r>
      <rPr>
        <b/>
        <sz val="11"/>
        <color theme="0"/>
        <rFont val="Poppins"/>
      </rPr>
      <t>O Emissions 
(mt N</t>
    </r>
    <r>
      <rPr>
        <b/>
        <vertAlign val="subscript"/>
        <sz val="11"/>
        <color theme="0"/>
        <rFont val="Poppins"/>
      </rPr>
      <t>2</t>
    </r>
    <r>
      <rPr>
        <b/>
        <sz val="11"/>
        <color theme="0"/>
        <rFont val="Poppins"/>
      </rPr>
      <t>O)</t>
    </r>
  </si>
  <si>
    <r>
      <rPr>
        <b/>
        <sz val="12"/>
        <color theme="0"/>
        <rFont val="Poppins"/>
      </rPr>
      <t>Total Emissions (mt CO</t>
    </r>
    <r>
      <rPr>
        <b/>
        <vertAlign val="subscript"/>
        <sz val="12"/>
        <color theme="0"/>
        <rFont val="Poppins"/>
      </rPr>
      <t>2</t>
    </r>
    <r>
      <rPr>
        <b/>
        <sz val="12"/>
        <color theme="0"/>
        <rFont val="Poppins"/>
      </rPr>
      <t>e)</t>
    </r>
  </si>
  <si>
    <r>
      <rPr>
        <b/>
        <sz val="11"/>
        <color theme="0"/>
        <rFont val="Poppins"/>
      </rPr>
      <t>Direct N</t>
    </r>
    <r>
      <rPr>
        <b/>
        <vertAlign val="subscript"/>
        <sz val="11"/>
        <color theme="0"/>
        <rFont val="Poppins"/>
      </rPr>
      <t>2</t>
    </r>
    <r>
      <rPr>
        <b/>
        <sz val="11"/>
        <color theme="0"/>
        <rFont val="Poppins"/>
      </rPr>
      <t>O Emissions (mt)</t>
    </r>
  </si>
  <si>
    <r>
      <rPr>
        <b/>
        <sz val="11"/>
        <color theme="0"/>
        <rFont val="Poppins"/>
      </rPr>
      <t>Indirect N</t>
    </r>
    <r>
      <rPr>
        <b/>
        <vertAlign val="subscript"/>
        <sz val="11"/>
        <color theme="0"/>
        <rFont val="Poppins"/>
      </rPr>
      <t>2</t>
    </r>
    <r>
      <rPr>
        <b/>
        <sz val="11"/>
        <color theme="0"/>
        <rFont val="Poppins"/>
      </rPr>
      <t>O Emissions (mt)</t>
    </r>
  </si>
  <si>
    <r>
      <rPr>
        <b/>
        <sz val="12"/>
        <color rgb="FFFFFFFF"/>
        <rFont val="Poppins"/>
      </rPr>
      <t>N</t>
    </r>
    <r>
      <rPr>
        <b/>
        <vertAlign val="subscript"/>
        <sz val="11"/>
        <color theme="0"/>
        <rFont val="Poppins"/>
      </rPr>
      <t>2</t>
    </r>
    <r>
      <rPr>
        <b/>
        <sz val="11"/>
        <color theme="0"/>
        <rFont val="Poppins"/>
      </rPr>
      <t>O Emissions 
(mt N</t>
    </r>
    <r>
      <rPr>
        <b/>
        <vertAlign val="subscript"/>
        <sz val="11"/>
        <color theme="0"/>
        <rFont val="Poppins"/>
      </rPr>
      <t>2</t>
    </r>
    <r>
      <rPr>
        <b/>
        <sz val="11"/>
        <color theme="0"/>
        <rFont val="Poppins"/>
      </rPr>
      <t>O)</t>
    </r>
  </si>
  <si>
    <r>
      <rPr>
        <b/>
        <sz val="12"/>
        <color theme="0"/>
        <rFont val="Poppins"/>
      </rPr>
      <t>Total Emissions (mt CO</t>
    </r>
    <r>
      <rPr>
        <b/>
        <vertAlign val="subscript"/>
        <sz val="12"/>
        <color theme="0"/>
        <rFont val="Poppins"/>
      </rPr>
      <t>2</t>
    </r>
    <r>
      <rPr>
        <b/>
        <sz val="12"/>
        <color theme="0"/>
        <rFont val="Poppins"/>
      </rPr>
      <t>e)</t>
    </r>
  </si>
  <si>
    <r>
      <rPr>
        <b/>
        <sz val="11"/>
        <color theme="0"/>
        <rFont val="Poppins"/>
      </rPr>
      <t>Direct N</t>
    </r>
    <r>
      <rPr>
        <b/>
        <vertAlign val="subscript"/>
        <sz val="11"/>
        <color theme="0"/>
        <rFont val="Poppins"/>
      </rPr>
      <t>2</t>
    </r>
    <r>
      <rPr>
        <b/>
        <sz val="11"/>
        <color theme="0"/>
        <rFont val="Poppins"/>
      </rPr>
      <t>O Emissions (mt)</t>
    </r>
  </si>
  <si>
    <r>
      <rPr>
        <b/>
        <sz val="11"/>
        <color theme="0"/>
        <rFont val="Poppins"/>
      </rPr>
      <t>Indirect N</t>
    </r>
    <r>
      <rPr>
        <b/>
        <vertAlign val="subscript"/>
        <sz val="11"/>
        <color theme="0"/>
        <rFont val="Poppins"/>
      </rPr>
      <t>2</t>
    </r>
    <r>
      <rPr>
        <b/>
        <sz val="11"/>
        <color theme="0"/>
        <rFont val="Poppins"/>
      </rPr>
      <t>O Emissions (mt)</t>
    </r>
  </si>
  <si>
    <r>
      <rPr>
        <b/>
        <sz val="12"/>
        <color rgb="FFFFFFFF"/>
        <rFont val="Poppins"/>
      </rPr>
      <t>N</t>
    </r>
    <r>
      <rPr>
        <b/>
        <vertAlign val="subscript"/>
        <sz val="11"/>
        <color theme="0"/>
        <rFont val="Poppins"/>
      </rPr>
      <t>2</t>
    </r>
    <r>
      <rPr>
        <b/>
        <sz val="11"/>
        <color theme="0"/>
        <rFont val="Poppins"/>
      </rPr>
      <t>O Emissions 
(mt N</t>
    </r>
    <r>
      <rPr>
        <b/>
        <vertAlign val="subscript"/>
        <sz val="11"/>
        <color theme="0"/>
        <rFont val="Poppins"/>
      </rPr>
      <t>2</t>
    </r>
    <r>
      <rPr>
        <b/>
        <sz val="11"/>
        <color theme="0"/>
        <rFont val="Poppins"/>
      </rPr>
      <t>O)</t>
    </r>
  </si>
  <si>
    <r>
      <rPr>
        <b/>
        <sz val="12"/>
        <color theme="0"/>
        <rFont val="Poppins"/>
      </rPr>
      <t>Total Emissions (mt CO</t>
    </r>
    <r>
      <rPr>
        <b/>
        <vertAlign val="subscript"/>
        <sz val="12"/>
        <color theme="0"/>
        <rFont val="Poppins"/>
      </rPr>
      <t>2</t>
    </r>
    <r>
      <rPr>
        <b/>
        <sz val="12"/>
        <color theme="0"/>
        <rFont val="Poppins"/>
      </rPr>
      <t>e)</t>
    </r>
  </si>
  <si>
    <r>
      <rPr>
        <b/>
        <sz val="11"/>
        <color theme="0"/>
        <rFont val="Poppins"/>
      </rPr>
      <t>Direct N</t>
    </r>
    <r>
      <rPr>
        <b/>
        <vertAlign val="subscript"/>
        <sz val="11"/>
        <color theme="0"/>
        <rFont val="Poppins"/>
      </rPr>
      <t>2</t>
    </r>
    <r>
      <rPr>
        <b/>
        <sz val="11"/>
        <color theme="0"/>
        <rFont val="Poppins"/>
      </rPr>
      <t>O Emissions (mt)</t>
    </r>
  </si>
  <si>
    <r>
      <rPr>
        <b/>
        <sz val="11"/>
        <color theme="0"/>
        <rFont val="Poppins"/>
      </rPr>
      <t>Indirect N</t>
    </r>
    <r>
      <rPr>
        <b/>
        <vertAlign val="subscript"/>
        <sz val="11"/>
        <color theme="0"/>
        <rFont val="Poppins"/>
      </rPr>
      <t>2</t>
    </r>
    <r>
      <rPr>
        <b/>
        <sz val="11"/>
        <color theme="0"/>
        <rFont val="Poppins"/>
      </rPr>
      <t>O Emissions (mt)</t>
    </r>
  </si>
  <si>
    <r>
      <rPr>
        <b/>
        <sz val="12"/>
        <color rgb="FFFFFFFF"/>
        <rFont val="Poppins"/>
      </rPr>
      <t>N</t>
    </r>
    <r>
      <rPr>
        <b/>
        <vertAlign val="subscript"/>
        <sz val="11"/>
        <color theme="0"/>
        <rFont val="Poppins"/>
      </rPr>
      <t>2</t>
    </r>
    <r>
      <rPr>
        <b/>
        <sz val="11"/>
        <color theme="0"/>
        <rFont val="Poppins"/>
      </rPr>
      <t>O Emissions 
(mt N</t>
    </r>
    <r>
      <rPr>
        <b/>
        <vertAlign val="subscript"/>
        <sz val="11"/>
        <color theme="0"/>
        <rFont val="Poppins"/>
      </rPr>
      <t>2</t>
    </r>
    <r>
      <rPr>
        <b/>
        <sz val="11"/>
        <color theme="0"/>
        <rFont val="Poppins"/>
      </rPr>
      <t>O)</t>
    </r>
  </si>
  <si>
    <r>
      <rPr>
        <b/>
        <sz val="12"/>
        <color theme="0"/>
        <rFont val="Poppins"/>
      </rPr>
      <t>Total Emissions (mt CO</t>
    </r>
    <r>
      <rPr>
        <b/>
        <vertAlign val="subscript"/>
        <sz val="12"/>
        <color theme="0"/>
        <rFont val="Poppins"/>
      </rPr>
      <t>2</t>
    </r>
    <r>
      <rPr>
        <b/>
        <sz val="12"/>
        <color theme="0"/>
        <rFont val="Poppins"/>
      </rPr>
      <t>e)</t>
    </r>
  </si>
  <si>
    <r>
      <rPr>
        <b/>
        <sz val="11"/>
        <color theme="0"/>
        <rFont val="Poppins"/>
      </rPr>
      <t>Direct N</t>
    </r>
    <r>
      <rPr>
        <b/>
        <vertAlign val="subscript"/>
        <sz val="11"/>
        <color theme="0"/>
        <rFont val="Poppins"/>
      </rPr>
      <t>2</t>
    </r>
    <r>
      <rPr>
        <b/>
        <sz val="11"/>
        <color theme="0"/>
        <rFont val="Poppins"/>
      </rPr>
      <t>O Emissions (mt)</t>
    </r>
  </si>
  <si>
    <r>
      <rPr>
        <b/>
        <sz val="11"/>
        <color theme="0"/>
        <rFont val="Poppins"/>
      </rPr>
      <t>Indirect N</t>
    </r>
    <r>
      <rPr>
        <b/>
        <vertAlign val="subscript"/>
        <sz val="11"/>
        <color theme="0"/>
        <rFont val="Poppins"/>
      </rPr>
      <t>2</t>
    </r>
    <r>
      <rPr>
        <b/>
        <sz val="11"/>
        <color theme="0"/>
        <rFont val="Poppins"/>
      </rPr>
      <t>O Emissions (mt)</t>
    </r>
  </si>
  <si>
    <r>
      <rPr>
        <b/>
        <sz val="12"/>
        <color rgb="FFFFFFFF"/>
        <rFont val="Poppins"/>
      </rPr>
      <t>N</t>
    </r>
    <r>
      <rPr>
        <b/>
        <vertAlign val="subscript"/>
        <sz val="11"/>
        <color theme="0"/>
        <rFont val="Poppins"/>
      </rPr>
      <t>2</t>
    </r>
    <r>
      <rPr>
        <b/>
        <sz val="11"/>
        <color theme="0"/>
        <rFont val="Poppins"/>
      </rPr>
      <t>O Emissions 
(mt N</t>
    </r>
    <r>
      <rPr>
        <b/>
        <vertAlign val="subscript"/>
        <sz val="11"/>
        <color theme="0"/>
        <rFont val="Poppins"/>
      </rPr>
      <t>2</t>
    </r>
    <r>
      <rPr>
        <b/>
        <sz val="11"/>
        <color theme="0"/>
        <rFont val="Poppins"/>
      </rPr>
      <t>O)</t>
    </r>
  </si>
  <si>
    <r>
      <rPr>
        <b/>
        <sz val="12"/>
        <color theme="0"/>
        <rFont val="Poppins"/>
      </rPr>
      <t>Total Emissions (mt CO</t>
    </r>
    <r>
      <rPr>
        <b/>
        <vertAlign val="subscript"/>
        <sz val="12"/>
        <color theme="0"/>
        <rFont val="Poppins"/>
      </rPr>
      <t>2</t>
    </r>
    <r>
      <rPr>
        <b/>
        <sz val="12"/>
        <color theme="0"/>
        <rFont val="Poppins"/>
      </rPr>
      <t>e)</t>
    </r>
  </si>
  <si>
    <t>Forestry and Trees Outside of Forests</t>
  </si>
  <si>
    <t>Removals Summary</t>
  </si>
  <si>
    <t>Municipality /County</t>
  </si>
  <si>
    <t>1) Net removals of carbon and resultant CO2e were calculated using ICLEI's Land Emissions and Removals Navigator Tool (LEARN). The analysis used 2016-2019 NLCD imagery for forests and 2011-2016 NLCD Trees Outside of Forests imagery. See: https://icleiusa.org/LEARN/.</t>
  </si>
  <si>
    <t>Emissions/Removals</t>
  </si>
  <si>
    <t>Area (ha, total)</t>
  </si>
  <si>
    <r>
      <rPr>
        <b/>
        <sz val="12"/>
        <color theme="0"/>
        <rFont val="Poppins"/>
      </rPr>
      <t>GHG Flux (t CO</t>
    </r>
    <r>
      <rPr>
        <b/>
        <vertAlign val="subscript"/>
        <sz val="12"/>
        <color theme="0"/>
        <rFont val="Poppins"/>
      </rPr>
      <t>2</t>
    </r>
    <r>
      <rPr>
        <b/>
        <sz val="12"/>
        <color theme="0"/>
        <rFont val="Poppins"/>
      </rPr>
      <t>e/year)</t>
    </r>
  </si>
  <si>
    <t>Emission Factor (t C/ha for emissions, t C/ha/yr for removals)</t>
  </si>
  <si>
    <t>Forest Change</t>
  </si>
  <si>
    <t>To Cropland</t>
  </si>
  <si>
    <t>Emissions</t>
  </si>
  <si>
    <t>To Grassland</t>
  </si>
  <si>
    <t>To Settlement</t>
  </si>
  <si>
    <t>To Wetland</t>
  </si>
  <si>
    <t>To Other</t>
  </si>
  <si>
    <t>Reforestation (Non-Forest to Forest)</t>
  </si>
  <si>
    <t>Removals</t>
  </si>
  <si>
    <t>Forest Remaining Forest</t>
  </si>
  <si>
    <t>Undisturbed</t>
  </si>
  <si>
    <t>Fire</t>
  </si>
  <si>
    <t>Insect/Disease</t>
  </si>
  <si>
    <t>Harvest/Other</t>
  </si>
  <si>
    <t>Trees Outside Forest</t>
  </si>
  <si>
    <t>Tree canopy loss</t>
  </si>
  <si>
    <t>Canopy maintained/gained</t>
  </si>
  <si>
    <t>Harvested Wood Products</t>
  </si>
  <si>
    <t>Net GHG Flux</t>
  </si>
  <si>
    <r>
      <rPr>
        <b/>
        <sz val="12"/>
        <color theme="0"/>
        <rFont val="Poppins"/>
      </rPr>
      <t>GHG Flux (t CO</t>
    </r>
    <r>
      <rPr>
        <b/>
        <vertAlign val="subscript"/>
        <sz val="12"/>
        <color theme="0"/>
        <rFont val="Poppins"/>
      </rPr>
      <t>2</t>
    </r>
    <r>
      <rPr>
        <b/>
        <sz val="12"/>
        <color theme="0"/>
        <rFont val="Poppins"/>
      </rPr>
      <t>e/year)</t>
    </r>
  </si>
  <si>
    <r>
      <rPr>
        <b/>
        <sz val="12"/>
        <color theme="0"/>
        <rFont val="Poppins"/>
      </rPr>
      <t>GHG Flux (t CO</t>
    </r>
    <r>
      <rPr>
        <b/>
        <vertAlign val="subscript"/>
        <sz val="12"/>
        <color theme="0"/>
        <rFont val="Poppins"/>
      </rPr>
      <t>2</t>
    </r>
    <r>
      <rPr>
        <b/>
        <sz val="12"/>
        <color theme="0"/>
        <rFont val="Poppins"/>
      </rPr>
      <t>e/year)</t>
    </r>
  </si>
  <si>
    <r>
      <rPr>
        <b/>
        <sz val="12"/>
        <color theme="0"/>
        <rFont val="Poppins"/>
      </rPr>
      <t>GHG Flux (t CO</t>
    </r>
    <r>
      <rPr>
        <b/>
        <vertAlign val="subscript"/>
        <sz val="12"/>
        <color theme="0"/>
        <rFont val="Poppins"/>
      </rPr>
      <t>2</t>
    </r>
    <r>
      <rPr>
        <b/>
        <sz val="12"/>
        <color theme="0"/>
        <rFont val="Poppins"/>
      </rPr>
      <t>e/year)</t>
    </r>
  </si>
  <si>
    <r>
      <rPr>
        <b/>
        <sz val="12"/>
        <color theme="0"/>
        <rFont val="Poppins"/>
      </rPr>
      <t>GHG Flux (t CO</t>
    </r>
    <r>
      <rPr>
        <b/>
        <vertAlign val="subscript"/>
        <sz val="12"/>
        <color theme="0"/>
        <rFont val="Poppins"/>
      </rPr>
      <t>2</t>
    </r>
    <r>
      <rPr>
        <b/>
        <sz val="12"/>
        <color theme="0"/>
        <rFont val="Poppins"/>
      </rPr>
      <t>e/year)</t>
    </r>
  </si>
  <si>
    <t>Mixed MSW</t>
  </si>
  <si>
    <r>
      <rPr>
        <b/>
        <sz val="11"/>
        <color theme="1"/>
        <rFont val="Poppins"/>
      </rPr>
      <t>Waste Characterization</t>
    </r>
    <r>
      <rPr>
        <sz val="11"/>
        <color theme="1"/>
        <rFont val="Poppins"/>
      </rPr>
      <t xml:space="preserve">: Taken from the EPA's Advancing Sustainable Materials Management 2018 Fact Sheet. On file.
</t>
    </r>
    <r>
      <rPr>
        <b/>
        <sz val="11"/>
        <color theme="1"/>
        <rFont val="Poppins"/>
      </rPr>
      <t>Documentation for Greenhouse Gas Emissions and Energy Factors Used in the Waste Reduction Model (WARM):</t>
    </r>
    <r>
      <rPr>
        <sz val="11"/>
        <color theme="1"/>
        <rFont val="Poppins"/>
      </rPr>
      <t xml:space="preserve"> https://www.epa.gov/system/files/documents/2024-01/warm_management_practices_v16_dec.pdf. </t>
    </r>
  </si>
  <si>
    <t>Construction and Demolition Waste</t>
  </si>
  <si>
    <r>
      <t>mt CH</t>
    </r>
    <r>
      <rPr>
        <vertAlign val="subscript"/>
        <sz val="11"/>
        <color theme="1"/>
        <rFont val="Poppins"/>
      </rPr>
      <t>4</t>
    </r>
    <r>
      <rPr>
        <sz val="11"/>
        <color theme="1"/>
        <rFont val="Poppins"/>
      </rPr>
      <t>/ton of waste</t>
    </r>
  </si>
  <si>
    <t>mt CH4/ton of waste</t>
  </si>
  <si>
    <t>Concrete</t>
  </si>
  <si>
    <t>Asphalt concrete</t>
  </si>
  <si>
    <t>Drywall</t>
  </si>
  <si>
    <t>Asphalt shingles</t>
  </si>
  <si>
    <t>Clay bricks</t>
  </si>
  <si>
    <t>Structural Steel</t>
  </si>
  <si>
    <r>
      <rPr>
        <b/>
        <sz val="12"/>
        <rFont val="Poppins"/>
      </rPr>
      <t>Waste Characterization:</t>
    </r>
    <r>
      <rPr>
        <sz val="12"/>
        <rFont val="Poppins"/>
      </rPr>
      <t xml:space="preserve"> Taken from the EPA's Advancing Sustainable Materials Management 2018 Fact Sheet. On file.
</t>
    </r>
    <r>
      <rPr>
        <b/>
        <sz val="12"/>
        <rFont val="Poppins"/>
      </rPr>
      <t>Documentation for Greenhouse Gas Emissions and Energy Factors Used in the Waste Reduction Model (WARM):</t>
    </r>
    <r>
      <rPr>
        <sz val="12"/>
        <rFont val="Poppins"/>
      </rPr>
      <t xml:space="preserve"> https://www.epa.gov/system/files/documents/2024-01/warm_management_practices_v16_dec.pdf. </t>
    </r>
  </si>
  <si>
    <t>10) Emission factors for landfilled and construction and demolition waste taken from EPA Waste Reduction Model. Emission factors vary by moisture condition and gas collection capabilities at each landfill. Weighted average emission factors were calculated for the entire MSA based on the tonnage, annual rainfall, and whether the landfill has a gas collection system in place. Workbook with emission factor calculations provided to ABQ.</t>
  </si>
  <si>
    <t>Human Developmetn Index (HDI) correction factor (2023)</t>
  </si>
  <si>
    <t>Estimated Reduction Target</t>
  </si>
  <si>
    <t>2030 Reduced per Capita Emissions Value</t>
  </si>
  <si>
    <t>Albuquerque</t>
  </si>
  <si>
    <t>Step 1</t>
  </si>
  <si>
    <t>Step 2</t>
  </si>
  <si>
    <t>Step 3</t>
  </si>
  <si>
    <t>Step 4</t>
  </si>
  <si>
    <t>HDI 2023, from https://sciencebasedtargetsnetwork.org/wp-content/uploads/2021/04/SBTs-for-cities-guide.pdf</t>
  </si>
  <si>
    <t>US</t>
  </si>
  <si>
    <t>Global</t>
  </si>
  <si>
    <t>HDI conversion factor</t>
  </si>
  <si>
    <t>Baseline Emissions</t>
  </si>
  <si>
    <t>From ABQ_only_BAU_08072025.xlsx</t>
  </si>
  <si>
    <t>This version was run by Sandra West on July 15, 2025 and updated on Aug. 27, 2025 using the methodology document listed in row 3 (see pages 9-10 of the pdf). Needs verification that this is done correctly as the methodology is written for using 2018 values. However, the 2023 HDI value was used in this calculation</t>
  </si>
  <si>
    <t>2017 Total</t>
  </si>
  <si>
    <t>2005 Total</t>
  </si>
  <si>
    <t>50% of 2005 by 2030</t>
  </si>
  <si>
    <t>SBTi</t>
  </si>
  <si>
    <t>Paris Agreement, original</t>
  </si>
  <si>
    <t>Science-based Target, %</t>
  </si>
  <si>
    <t>Science-based Target, ghg</t>
  </si>
  <si>
    <t>New Mexico</t>
  </si>
  <si>
    <t>https://en.wikipedia.org/wiki/List_of_U.S._states_and_territories_by_Human_Development_Index_score</t>
  </si>
  <si>
    <t>% Reduction from 2023</t>
  </si>
  <si>
    <t>Region</t>
  </si>
  <si>
    <t>AKA SBT?</t>
  </si>
  <si>
    <t>What HDI should we use - one for NM or USA?</t>
  </si>
  <si>
    <t>*Use US HDI not NM</t>
  </si>
  <si>
    <t>*Wrong population?</t>
  </si>
  <si>
    <t>Delete</t>
  </si>
  <si>
    <t>Bernalillo County Population</t>
  </si>
  <si>
    <t>Growth Rate</t>
  </si>
  <si>
    <t>Albuquerque Community-Wide</t>
  </si>
  <si>
    <t>From Bernalillo County population from BAU file</t>
  </si>
  <si>
    <t>Albuquerque Metro Statistical Area Community-Wide</t>
  </si>
  <si>
    <t>Applied to Albuquerque Community for SBTi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</si>
</sst>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43" formatCode="_(* #,##0.00_);_(* \(#,##0.00\);_(* &quot;-&quot;??_);_(@_)"/>
    <numFmt numFmtId="164" formatCode="0.0%"/>
    <numFmt numFmtId="165" formatCode="0.0"/>
    <numFmt numFmtId="166" formatCode="_(* #,##0_);_(* \(#,##0\);_(* &quot;-&quot;??_);_(@_)"/>
    <numFmt numFmtId="167" formatCode="0.000"/>
    <numFmt numFmtId="168" formatCode="0.0000"/>
    <numFmt numFmtId="169" formatCode="#,##0.0"/>
    <numFmt numFmtId="170" formatCode="&quot;$&quot;#,##0"/>
    <numFmt numFmtId="171" formatCode="0.0000%"/>
    <numFmt numFmtId="172" formatCode="0.000%"/>
    <numFmt numFmtId="173" formatCode="#,##0.0000"/>
    <numFmt numFmtId="174" formatCode="0.00000%"/>
    <numFmt numFmtId="175" formatCode="0.00000"/>
    <numFmt numFmtId="176" formatCode="0.000000"/>
    <numFmt numFmtId="177" formatCode="0.0000000"/>
    <numFmt numFmtId="178" formatCode="0.00000000"/>
    <numFmt numFmtId="179" formatCode="#,##0.0_);\(#,##0.0\)"/>
    <numFmt numFmtId="180" formatCode="#,##0.000_);\(#,##0.000\)"/>
    <numFmt numFmtId="181" formatCode="#,##0.000"/>
    <numFmt numFmtId="182" formatCode="#,##0.00000"/>
    <numFmt numFmtId="183" formatCode="#,##0.0000_);\(#,##0.0000\)"/>
    <numFmt numFmtId="184" formatCode="#,##0.00000_);\(#,##0.00000\)"/>
    <numFmt numFmtId="185" formatCode="#,##0.000000"/>
    <numFmt numFmtId="186" formatCode="#,##0.00000000"/>
    <numFmt numFmtId="187" formatCode="#,##0.000000000"/>
    <numFmt numFmtId="188" formatCode="_(* #,##0.0_);_(* \(#,##0.0\);_(* &quot;-&quot;??_);_(@_)"/>
    <numFmt numFmtId="189" formatCode="0.00_);\(0.00\)"/>
  </numFmts>
  <fonts count="83" x14ac:knownFonts="1">
    <font>
      <sz val="12"/>
      <color theme="1"/>
      <name val="Poppins"/>
      <scheme val="minor"/>
    </font>
    <font>
      <sz val="11"/>
      <color theme="1"/>
      <name val="Poppins"/>
      <family val="2"/>
      <scheme val="minor"/>
    </font>
    <font>
      <sz val="11"/>
      <color theme="1"/>
      <name val="Poppins"/>
      <family val="2"/>
      <scheme val="minor"/>
    </font>
    <font>
      <sz val="20"/>
      <color theme="0"/>
      <name val="Poppins"/>
    </font>
    <font>
      <sz val="12"/>
      <name val="Poppins"/>
    </font>
    <font>
      <sz val="10"/>
      <color theme="1"/>
      <name val="Poppins"/>
    </font>
    <font>
      <sz val="16"/>
      <color theme="0"/>
      <name val="Poppins"/>
    </font>
    <font>
      <sz val="10"/>
      <color rgb="FF000000"/>
      <name val="Poppins"/>
    </font>
    <font>
      <sz val="12"/>
      <color theme="1"/>
      <name val="Poppins"/>
    </font>
    <font>
      <b/>
      <sz val="12"/>
      <color theme="0"/>
      <name val="Poppins"/>
    </font>
    <font>
      <sz val="11"/>
      <color theme="1"/>
      <name val="Poppins"/>
    </font>
    <font>
      <i/>
      <sz val="10"/>
      <color theme="1"/>
      <name val="Poppins"/>
    </font>
    <font>
      <b/>
      <sz val="11"/>
      <color theme="1"/>
      <name val="Poppins"/>
    </font>
    <font>
      <sz val="11"/>
      <color rgb="FF000000"/>
      <name val="Poppins"/>
    </font>
    <font>
      <u/>
      <sz val="11"/>
      <color rgb="FF0000FF"/>
      <name val="Poppins"/>
    </font>
    <font>
      <b/>
      <sz val="11"/>
      <color theme="0"/>
      <name val="Poppins"/>
    </font>
    <font>
      <b/>
      <sz val="11"/>
      <color rgb="FFFFFFFF"/>
      <name val="Poppins"/>
    </font>
    <font>
      <u/>
      <sz val="11"/>
      <color rgb="FF0000FF"/>
      <name val="Poppins"/>
    </font>
    <font>
      <u/>
      <sz val="11"/>
      <color rgb="FF0000FF"/>
      <name val="Poppins"/>
    </font>
    <font>
      <u/>
      <sz val="11"/>
      <color rgb="FF0000FF"/>
      <name val="Poppins"/>
    </font>
    <font>
      <b/>
      <sz val="14"/>
      <color theme="0"/>
      <name val="Poppins"/>
    </font>
    <font>
      <b/>
      <sz val="12"/>
      <color theme="1"/>
      <name val="Poppins"/>
    </font>
    <font>
      <u/>
      <sz val="11"/>
      <color rgb="FF0000FF"/>
      <name val="Poppins"/>
    </font>
    <font>
      <b/>
      <sz val="11"/>
      <color rgb="FF000000"/>
      <name val="Poppins"/>
    </font>
    <font>
      <sz val="12"/>
      <color theme="0"/>
      <name val="Poppins"/>
    </font>
    <font>
      <sz val="14"/>
      <color theme="1"/>
      <name val="Poppins"/>
    </font>
    <font>
      <sz val="10"/>
      <color theme="1"/>
      <name val="Quattrocento Sans"/>
    </font>
    <font>
      <u/>
      <sz val="10"/>
      <color rgb="FF000000"/>
      <name val="Poppins"/>
    </font>
    <font>
      <sz val="14"/>
      <color theme="0"/>
      <name val="Poppins"/>
    </font>
    <font>
      <i/>
      <sz val="10"/>
      <color rgb="FF333333"/>
      <name val="Poppins"/>
    </font>
    <font>
      <sz val="11"/>
      <color rgb="FFFF0000"/>
      <name val="Poppins"/>
    </font>
    <font>
      <i/>
      <sz val="10"/>
      <color rgb="FFFF0000"/>
      <name val="Poppins"/>
    </font>
    <font>
      <sz val="11"/>
      <color theme="0"/>
      <name val="Poppins"/>
    </font>
    <font>
      <sz val="12"/>
      <color rgb="FF000000"/>
      <name val="Poppins"/>
    </font>
    <font>
      <b/>
      <sz val="10"/>
      <color theme="1"/>
      <name val="Poppins"/>
    </font>
    <font>
      <sz val="10"/>
      <color rgb="FF333333"/>
      <name val="Poppins"/>
    </font>
    <font>
      <b/>
      <sz val="12"/>
      <color rgb="FF000000"/>
      <name val="Poppins"/>
    </font>
    <font>
      <i/>
      <sz val="9"/>
      <color rgb="FFFF0000"/>
      <name val="Poppins"/>
    </font>
    <font>
      <i/>
      <sz val="11"/>
      <color rgb="FFFF0000"/>
      <name val="Poppins"/>
    </font>
    <font>
      <i/>
      <sz val="11"/>
      <color theme="1"/>
      <name val="Calibri"/>
    </font>
    <font>
      <i/>
      <sz val="11"/>
      <color rgb="FF000000"/>
      <name val="Calibri"/>
    </font>
    <font>
      <sz val="11"/>
      <color theme="1"/>
      <name val="Calibri"/>
    </font>
    <font>
      <b/>
      <sz val="12"/>
      <color rgb="FFFFFFFF"/>
      <name val="Poppins"/>
    </font>
    <font>
      <sz val="10"/>
      <color theme="1"/>
      <name val="Calibri"/>
    </font>
    <font>
      <sz val="9"/>
      <color theme="0"/>
      <name val="Poppins"/>
    </font>
    <font>
      <sz val="9"/>
      <color rgb="FFFF0000"/>
      <name val="Poppins"/>
    </font>
    <font>
      <sz val="16"/>
      <color rgb="FFFFFFFF"/>
      <name val="Poppins"/>
    </font>
    <font>
      <u/>
      <sz val="11"/>
      <color rgb="FF0000FF"/>
      <name val="Poppins"/>
    </font>
    <font>
      <sz val="12"/>
      <color rgb="FFFF0000"/>
      <name val="Poppins"/>
    </font>
    <font>
      <sz val="11"/>
      <color theme="1"/>
      <name val="Quattrocento Sans"/>
    </font>
    <font>
      <i/>
      <sz val="10"/>
      <color theme="1"/>
      <name val="Quattrocento Sans"/>
    </font>
    <font>
      <i/>
      <sz val="11"/>
      <color theme="1"/>
      <name val="Quattrocento Sans"/>
    </font>
    <font>
      <i/>
      <sz val="11"/>
      <color theme="1"/>
      <name val="Poppins"/>
    </font>
    <font>
      <sz val="11"/>
      <color rgb="FFFFFFFF"/>
      <name val="Poppins"/>
    </font>
    <font>
      <sz val="12"/>
      <color rgb="FFFFFFFF"/>
      <name val="Poppins"/>
    </font>
    <font>
      <sz val="9"/>
      <color theme="1"/>
      <name val="Poppins"/>
    </font>
    <font>
      <i/>
      <sz val="9"/>
      <color theme="1"/>
      <name val="Poppins"/>
    </font>
    <font>
      <b/>
      <sz val="9"/>
      <color theme="1"/>
      <name val="Poppins"/>
    </font>
    <font>
      <b/>
      <sz val="11"/>
      <color rgb="FF000000"/>
      <name val="Calibri"/>
    </font>
    <font>
      <b/>
      <vertAlign val="subscript"/>
      <sz val="12"/>
      <color theme="0"/>
      <name val="Poppins"/>
    </font>
    <font>
      <b/>
      <vertAlign val="superscript"/>
      <sz val="12"/>
      <color theme="0"/>
      <name val="Poppins"/>
    </font>
    <font>
      <vertAlign val="subscript"/>
      <sz val="10"/>
      <color theme="1"/>
      <name val="Poppins"/>
    </font>
    <font>
      <b/>
      <vertAlign val="subscript"/>
      <sz val="11"/>
      <color theme="0"/>
      <name val="Poppins"/>
    </font>
    <font>
      <vertAlign val="subscript"/>
      <sz val="11"/>
      <color theme="1"/>
      <name val="Poppins"/>
    </font>
    <font>
      <vertAlign val="subscript"/>
      <sz val="11"/>
      <color rgb="FF000000"/>
      <name val="Poppins"/>
    </font>
    <font>
      <b/>
      <vertAlign val="subscript"/>
      <sz val="11"/>
      <color theme="1"/>
      <name val="Poppins"/>
    </font>
    <font>
      <b/>
      <vertAlign val="subscript"/>
      <sz val="10"/>
      <color theme="0"/>
      <name val="Poppins"/>
    </font>
    <font>
      <b/>
      <sz val="10"/>
      <color theme="0"/>
      <name val="Poppins"/>
    </font>
    <font>
      <b/>
      <vertAlign val="subscript"/>
      <sz val="10"/>
      <color theme="1"/>
      <name val="Poppins"/>
    </font>
    <font>
      <b/>
      <vertAlign val="subscript"/>
      <sz val="12"/>
      <color rgb="FFFFFFFF"/>
      <name val="Poppins"/>
    </font>
    <font>
      <sz val="9"/>
      <color indexed="81"/>
      <name val="Tahoma"/>
      <charset val="1"/>
    </font>
    <font>
      <b/>
      <sz val="9"/>
      <color indexed="81"/>
      <name val="Tahoma"/>
      <charset val="1"/>
    </font>
    <font>
      <b/>
      <sz val="12"/>
      <name val="Poppins"/>
    </font>
    <font>
      <sz val="12"/>
      <color theme="1"/>
      <name val="Poppins"/>
      <scheme val="minor"/>
    </font>
    <font>
      <u/>
      <sz val="11"/>
      <color theme="10"/>
      <name val="Poppins"/>
      <family val="2"/>
      <scheme val="minor"/>
    </font>
    <font>
      <sz val="12"/>
      <color rgb="FF000000"/>
      <name val="Calibri"/>
      <family val="2"/>
    </font>
    <font>
      <sz val="12"/>
      <color theme="1"/>
      <name val="Poppins"/>
      <family val="2"/>
      <scheme val="minor"/>
    </font>
    <font>
      <sz val="12"/>
      <color rgb="FF000000"/>
      <name val="Poppins"/>
      <family val="2"/>
      <scheme val="minor"/>
    </font>
    <font>
      <sz val="11"/>
      <name val="Poppins"/>
    </font>
    <font>
      <sz val="12"/>
      <color theme="0"/>
      <name val="Poppins"/>
      <scheme val="minor"/>
    </font>
    <font>
      <sz val="11"/>
      <color theme="0"/>
      <name val="Poppins"/>
      <scheme val="minor"/>
    </font>
    <font>
      <b/>
      <sz val="11"/>
      <color theme="0"/>
      <name val="Poppins"/>
      <scheme val="minor"/>
    </font>
    <font>
      <i/>
      <sz val="11"/>
      <color theme="0"/>
      <name val="Poppins"/>
      <scheme val="minor"/>
    </font>
  </fonts>
  <fills count="41">
    <fill>
      <patternFill patternType="none"/>
    </fill>
    <fill>
      <patternFill patternType="gray125"/>
    </fill>
    <fill>
      <patternFill patternType="solid">
        <fgColor rgb="FF496884"/>
        <bgColor rgb="FF496884"/>
      </patternFill>
    </fill>
    <fill>
      <patternFill patternType="solid">
        <fgColor theme="0"/>
        <bgColor theme="0"/>
      </patternFill>
    </fill>
    <fill>
      <patternFill patternType="solid">
        <fgColor rgb="FFF4A81D"/>
        <bgColor rgb="FFF4A81D"/>
      </patternFill>
    </fill>
    <fill>
      <patternFill patternType="solid">
        <fgColor rgb="FFFFFFFF"/>
        <bgColor rgb="FFFFFFFF"/>
      </patternFill>
    </fill>
    <fill>
      <patternFill patternType="solid">
        <fgColor rgb="FFB4C6E7"/>
        <bgColor rgb="FFB4C6E7"/>
      </patternFill>
    </fill>
    <fill>
      <patternFill patternType="solid">
        <fgColor rgb="FFD6E3BC"/>
        <bgColor rgb="FFD6E3BC"/>
      </patternFill>
    </fill>
    <fill>
      <patternFill patternType="solid">
        <fgColor rgb="FFD8E4BC"/>
        <bgColor rgb="FFD8E4BC"/>
      </patternFill>
    </fill>
    <fill>
      <patternFill patternType="solid">
        <fgColor rgb="FF214052"/>
        <bgColor rgb="FF214052"/>
      </patternFill>
    </fill>
    <fill>
      <patternFill patternType="solid">
        <fgColor rgb="FF7F7F7F"/>
        <bgColor rgb="FF7F7F7F"/>
      </patternFill>
    </fill>
    <fill>
      <patternFill patternType="solid">
        <fgColor rgb="FF00574B"/>
        <bgColor rgb="FF00574B"/>
      </patternFill>
    </fill>
    <fill>
      <patternFill patternType="solid">
        <fgColor rgb="FF171616"/>
        <bgColor rgb="FF171616"/>
      </patternFill>
    </fill>
    <fill>
      <patternFill patternType="solid">
        <fgColor rgb="FF005569"/>
        <bgColor rgb="FF005569"/>
      </patternFill>
    </fill>
    <fill>
      <patternFill patternType="solid">
        <fgColor rgb="FFECF0EC"/>
        <bgColor rgb="FFECF0EC"/>
      </patternFill>
    </fill>
    <fill>
      <patternFill patternType="solid">
        <fgColor rgb="FFBFBFBF"/>
        <bgColor rgb="FFBFBFBF"/>
      </patternFill>
    </fill>
    <fill>
      <patternFill patternType="solid">
        <fgColor rgb="FFD8D8D8"/>
        <bgColor rgb="FFD8D8D8"/>
      </patternFill>
    </fill>
    <fill>
      <patternFill patternType="solid">
        <fgColor rgb="FFCBE7F1"/>
        <bgColor rgb="FFCBE7F1"/>
      </patternFill>
    </fill>
    <fill>
      <patternFill patternType="solid">
        <fgColor rgb="FFD7E8D6"/>
        <bgColor rgb="FFD7E8D6"/>
      </patternFill>
    </fill>
    <fill>
      <patternFill patternType="solid">
        <fgColor rgb="FFD6DCE1"/>
        <bgColor rgb="FFD6DCE1"/>
      </patternFill>
    </fill>
    <fill>
      <patternFill patternType="solid">
        <fgColor rgb="FFADB9CA"/>
        <bgColor rgb="FFADB9CA"/>
      </patternFill>
    </fill>
    <fill>
      <patternFill patternType="solid">
        <fgColor rgb="FFD2E7BD"/>
        <bgColor rgb="FFD2E7BD"/>
      </patternFill>
    </fill>
    <fill>
      <patternFill patternType="solid">
        <fgColor rgb="FF589392"/>
        <bgColor rgb="FF589392"/>
      </patternFill>
    </fill>
    <fill>
      <patternFill patternType="solid">
        <fgColor rgb="FF00708A"/>
        <bgColor rgb="FF00708A"/>
      </patternFill>
    </fill>
    <fill>
      <patternFill patternType="solid">
        <fgColor rgb="FFB8CCE4"/>
        <bgColor rgb="FFB8CCE4"/>
      </patternFill>
    </fill>
    <fill>
      <patternFill patternType="solid">
        <fgColor rgb="FFAEABAB"/>
        <bgColor rgb="FFAEABAB"/>
      </patternFill>
    </fill>
    <fill>
      <patternFill patternType="solid">
        <fgColor rgb="FF595959"/>
        <bgColor rgb="FF595959"/>
      </patternFill>
    </fill>
    <fill>
      <patternFill patternType="solid">
        <fgColor rgb="FFD0CECE"/>
        <bgColor rgb="FFD0CECE"/>
      </patternFill>
    </fill>
    <fill>
      <patternFill patternType="solid">
        <fgColor rgb="FF83AF9A"/>
        <bgColor rgb="FF83AF9A"/>
      </patternFill>
    </fill>
    <fill>
      <patternFill patternType="solid">
        <fgColor rgb="FFA5A5A5"/>
        <bgColor rgb="FFA5A5A5"/>
      </patternFill>
    </fill>
    <fill>
      <patternFill patternType="solid">
        <fgColor rgb="FFD8D9DA"/>
        <bgColor rgb="FFD8D9DA"/>
      </patternFill>
    </fill>
    <fill>
      <patternFill patternType="solid">
        <fgColor rgb="FF387376"/>
        <bgColor rgb="FF387376"/>
      </patternFill>
    </fill>
    <fill>
      <patternFill patternType="solid">
        <fgColor rgb="FF55ABAF"/>
        <bgColor rgb="FF55ABAF"/>
      </patternFill>
    </fill>
    <fill>
      <patternFill patternType="solid">
        <fgColor theme="1"/>
        <bgColor theme="1"/>
      </patternFill>
    </fill>
    <fill>
      <patternFill patternType="solid">
        <fgColor rgb="FF1F4E79"/>
        <bgColor rgb="FF1F4E79"/>
      </patternFill>
    </fill>
    <fill>
      <patternFill patternType="solid">
        <fgColor theme="0"/>
        <bgColor indexed="64"/>
      </patternFill>
    </fill>
    <fill>
      <patternFill patternType="solid">
        <fgColor rgb="FF496884"/>
        <bgColor indexed="64"/>
      </patternFill>
    </fill>
    <fill>
      <patternFill patternType="solid">
        <fgColor rgb="FFF4A81D"/>
        <bgColor rgb="FFD78D2A"/>
      </patternFill>
    </fill>
    <fill>
      <patternFill patternType="solid">
        <fgColor rgb="FF214052"/>
        <bgColor indexed="64"/>
      </patternFill>
    </fill>
    <fill>
      <patternFill patternType="solid">
        <fgColor rgb="FFB8CCE4"/>
        <bgColor theme="0"/>
      </patternFill>
    </fill>
    <fill>
      <patternFill patternType="solid">
        <fgColor theme="0"/>
        <bgColor rgb="FF496884"/>
      </patternFill>
    </fill>
  </fills>
  <borders count="91">
    <border>
      <left/>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top/>
      <bottom/>
      <diagonal/>
    </border>
    <border>
      <left style="thin">
        <color rgb="FF000000"/>
      </left>
      <right/>
      <top/>
      <bottom/>
      <diagonal/>
    </border>
    <border>
      <left/>
      <right style="thin">
        <color rgb="FF000000"/>
      </right>
      <top/>
      <bottom/>
      <diagonal/>
    </border>
    <border>
      <left style="thin">
        <color rgb="FF000000"/>
      </left>
      <right style="thin">
        <color rgb="FF000000"/>
      </right>
      <top/>
      <bottom/>
      <diagonal/>
    </border>
    <border>
      <left style="thin">
        <color rgb="FF000000"/>
      </left>
      <right style="thin">
        <color rgb="FF000000"/>
      </right>
      <top style="thin">
        <color rgb="FF000000"/>
      </top>
      <bottom style="thin">
        <color rgb="FF000000"/>
      </bottom>
      <diagonal/>
    </border>
    <border>
      <left style="thin">
        <color rgb="FF000000"/>
      </left>
      <right/>
      <top/>
      <bottom/>
      <diagonal/>
    </border>
    <border>
      <left/>
      <right/>
      <top/>
      <bottom/>
      <diagonal/>
    </border>
    <border>
      <left/>
      <right/>
      <top style="thin">
        <color rgb="FF000000"/>
      </top>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right/>
      <top/>
      <bottom/>
      <diagonal/>
    </border>
    <border>
      <left/>
      <right/>
      <top/>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right/>
      <top/>
      <bottom style="thin">
        <color rgb="FF000000"/>
      </bottom>
      <diagonal/>
    </border>
    <border>
      <left style="medium">
        <color rgb="FF000000"/>
      </left>
      <right/>
      <top/>
      <bottom/>
      <diagonal/>
    </border>
    <border>
      <left/>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top/>
      <bottom/>
      <diagonal/>
    </border>
    <border>
      <left/>
      <right/>
      <top/>
      <bottom/>
      <diagonal/>
    </border>
    <border>
      <left style="thin">
        <color rgb="FF000000"/>
      </left>
      <right style="thin">
        <color rgb="FF000000"/>
      </right>
      <top/>
      <bottom style="thin">
        <color rgb="FF000000"/>
      </bottom>
      <diagonal/>
    </border>
    <border>
      <left/>
      <right/>
      <top style="thin">
        <color rgb="FF000000"/>
      </top>
      <bottom/>
      <diagonal/>
    </border>
    <border>
      <left/>
      <right/>
      <top style="thin">
        <color rgb="FF000000"/>
      </top>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right style="thin">
        <color rgb="FF000000"/>
      </right>
      <top style="thin">
        <color rgb="FF000000"/>
      </top>
      <bottom/>
      <diagonal/>
    </border>
    <border>
      <left/>
      <right/>
      <top/>
      <bottom/>
      <diagonal/>
    </border>
    <border>
      <left/>
      <right/>
      <top/>
      <bottom/>
      <diagonal/>
    </border>
    <border>
      <left/>
      <right/>
      <top/>
      <bottom/>
      <diagonal/>
    </border>
    <border>
      <left style="thin">
        <color rgb="FF000000"/>
      </left>
      <right/>
      <top/>
      <bottom/>
      <diagonal/>
    </border>
    <border>
      <left/>
      <right style="thin">
        <color rgb="FF000000"/>
      </right>
      <top/>
      <bottom/>
      <diagonal/>
    </border>
    <border>
      <left/>
      <right/>
      <top/>
      <bottom/>
      <diagonal/>
    </border>
    <border>
      <left/>
      <right/>
      <top/>
      <bottom/>
      <diagonal/>
    </border>
    <border>
      <left/>
      <right/>
      <top/>
      <bottom/>
      <diagonal/>
    </border>
    <border>
      <left/>
      <right/>
      <top/>
      <bottom/>
      <diagonal/>
    </border>
    <border>
      <left/>
      <right/>
      <top/>
      <bottom/>
      <diagonal/>
    </border>
    <border>
      <left style="thin">
        <color rgb="FF000000"/>
      </left>
      <right/>
      <top/>
      <bottom/>
      <diagonal/>
    </border>
    <border>
      <left style="thin">
        <color rgb="FF000000"/>
      </left>
      <right/>
      <top/>
      <bottom/>
      <diagonal/>
    </border>
    <border>
      <left/>
      <right/>
      <top style="thin">
        <color rgb="FF000000"/>
      </top>
      <bottom/>
      <diagonal/>
    </border>
    <border>
      <left/>
      <right/>
      <top/>
      <bottom style="thin">
        <color rgb="FF000000"/>
      </bottom>
      <diagonal/>
    </border>
    <border>
      <left/>
      <right/>
      <top style="thin">
        <color rgb="FF000000"/>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bottom/>
      <diagonal/>
    </border>
    <border>
      <left/>
      <right/>
      <top/>
      <bottom style="thin">
        <color rgb="FF000000"/>
      </bottom>
      <diagonal/>
    </border>
    <border>
      <left/>
      <right style="thin">
        <color rgb="FF000000"/>
      </right>
      <top/>
      <bottom style="thin">
        <color rgb="FF000000"/>
      </bottom>
      <diagonal/>
    </border>
    <border>
      <left style="thin">
        <color rgb="FF000000"/>
      </left>
      <right/>
      <top/>
      <bottom style="thin">
        <color rgb="FF000000"/>
      </bottom>
      <diagonal/>
    </border>
    <border>
      <left style="thin">
        <color rgb="FF000000"/>
      </left>
      <right style="thin">
        <color rgb="FF000000"/>
      </right>
      <top/>
      <bottom/>
      <diagonal/>
    </border>
    <border>
      <left/>
      <right/>
      <top/>
      <bottom style="thin">
        <color rgb="FF000000"/>
      </bottom>
      <diagonal/>
    </border>
    <border>
      <left style="thin">
        <color rgb="FF000000"/>
      </left>
      <right style="thin">
        <color rgb="FF000000"/>
      </right>
      <top/>
      <bottom/>
      <diagonal/>
    </border>
    <border>
      <left/>
      <right style="thin">
        <color rgb="FF000000"/>
      </right>
      <top style="thin">
        <color rgb="FF000000"/>
      </top>
      <bottom/>
      <diagonal/>
    </border>
    <border>
      <left/>
      <right style="thin">
        <color rgb="FF000000"/>
      </right>
      <top/>
      <bottom/>
      <diagonal/>
    </border>
    <border>
      <left style="medium">
        <color rgb="FF000000"/>
      </left>
      <right style="thin">
        <color rgb="FF000000"/>
      </right>
      <top style="medium">
        <color rgb="FF000000"/>
      </top>
      <bottom/>
      <diagonal/>
    </border>
    <border>
      <left style="thin">
        <color rgb="FF000000"/>
      </left>
      <right style="thin">
        <color rgb="FF000000"/>
      </right>
      <top style="medium">
        <color rgb="FF000000"/>
      </top>
      <bottom/>
      <diagonal/>
    </border>
    <border>
      <left style="thin">
        <color rgb="FF000000"/>
      </left>
      <right style="medium">
        <color rgb="FF000000"/>
      </right>
      <top style="medium">
        <color rgb="FF000000"/>
      </top>
      <bottom/>
      <diagonal/>
    </border>
    <border>
      <left style="thin">
        <color rgb="FF000000"/>
      </left>
      <right/>
      <top/>
      <bottom/>
      <diagonal/>
    </border>
    <border>
      <left/>
      <right/>
      <top style="thin">
        <color rgb="FF000000"/>
      </top>
      <bottom/>
      <diagonal/>
    </border>
    <border>
      <left/>
      <right/>
      <top/>
      <bottom style="thin">
        <color rgb="FF000000"/>
      </bottom>
      <diagonal/>
    </border>
    <border>
      <left/>
      <right/>
      <top/>
      <bottom style="thin">
        <color rgb="FF000000"/>
      </bottom>
      <diagonal/>
    </border>
    <border>
      <left style="medium">
        <color rgb="FF000000"/>
      </left>
      <right/>
      <top style="medium">
        <color rgb="FF000000"/>
      </top>
      <bottom style="thin">
        <color rgb="FF000000"/>
      </bottom>
      <diagonal/>
    </border>
    <border>
      <left style="medium">
        <color rgb="FF000000"/>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top style="thin">
        <color rgb="FF000000"/>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top style="thin">
        <color rgb="FF000000"/>
      </top>
      <bottom style="thin">
        <color rgb="FF000000"/>
      </bottom>
      <diagonal/>
    </border>
    <border>
      <left style="medium">
        <color rgb="FF000000"/>
      </left>
      <right/>
      <top style="thin">
        <color rgb="FF000000"/>
      </top>
      <bottom style="medium">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right style="thin">
        <color theme="0"/>
      </right>
      <top style="thin">
        <color rgb="FF000000"/>
      </top>
      <bottom style="thin">
        <color rgb="FF000000"/>
      </bottom>
      <diagonal/>
    </border>
    <border>
      <left style="thin">
        <color theme="0"/>
      </left>
      <right style="thin">
        <color rgb="FF000000"/>
      </right>
      <top style="thin">
        <color rgb="FF000000"/>
      </top>
      <bottom style="thin">
        <color theme="0"/>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rgb="FF000000"/>
      </top>
      <bottom/>
      <diagonal/>
    </border>
    <border>
      <left style="thin">
        <color indexed="64"/>
      </left>
      <right/>
      <top/>
      <bottom/>
      <diagonal/>
    </border>
    <border>
      <left style="thin">
        <color indexed="64"/>
      </left>
      <right/>
      <top/>
      <bottom style="thin">
        <color rgb="FF000000"/>
      </bottom>
      <diagonal/>
    </border>
    <border>
      <left style="thin">
        <color auto="1"/>
      </left>
      <right style="thin">
        <color auto="1"/>
      </right>
      <top style="thin">
        <color auto="1"/>
      </top>
      <bottom style="thin">
        <color auto="1"/>
      </bottom>
      <diagonal/>
    </border>
  </borders>
  <cellStyleXfs count="25">
    <xf numFmtId="0" fontId="0" fillId="0" borderId="0"/>
    <xf numFmtId="9" fontId="73" fillId="0" borderId="0" applyFont="0" applyFill="0" applyBorder="0" applyAlignment="0" applyProtection="0"/>
    <xf numFmtId="0" fontId="9" fillId="2" borderId="90"/>
    <xf numFmtId="0" fontId="2" fillId="0" borderId="48"/>
    <xf numFmtId="43" fontId="2" fillId="0" borderId="48" applyFont="0" applyFill="0" applyBorder="0" applyAlignment="0" applyProtection="0"/>
    <xf numFmtId="9" fontId="2" fillId="0" borderId="48" applyFont="0" applyFill="0" applyBorder="0" applyAlignment="0" applyProtection="0"/>
    <xf numFmtId="0" fontId="3" fillId="36" borderId="48">
      <alignment horizontal="left" vertical="center"/>
    </xf>
    <xf numFmtId="0" fontId="6" fillId="37" borderId="48" applyAlignment="0">
      <alignment horizontal="left"/>
    </xf>
    <xf numFmtId="0" fontId="9" fillId="38" borderId="90">
      <alignment horizontal="center" vertical="center"/>
    </xf>
    <xf numFmtId="0" fontId="74" fillId="0" borderId="48" applyNumberFormat="0" applyFill="0" applyBorder="0" applyAlignment="0" applyProtection="0"/>
    <xf numFmtId="0" fontId="75" fillId="0" borderId="48"/>
    <xf numFmtId="0" fontId="8" fillId="35" borderId="48" applyBorder="0">
      <alignment wrapText="1"/>
    </xf>
    <xf numFmtId="0" fontId="75" fillId="0" borderId="48"/>
    <xf numFmtId="0" fontId="9" fillId="38" borderId="90">
      <alignment horizontal="center" vertical="center"/>
    </xf>
    <xf numFmtId="43" fontId="76" fillId="0" borderId="48" applyFont="0" applyFill="0" applyBorder="0" applyAlignment="0" applyProtection="0"/>
    <xf numFmtId="9" fontId="75" fillId="0" borderId="48" applyFont="0" applyFill="0" applyBorder="0" applyAlignment="0" applyProtection="0"/>
    <xf numFmtId="0" fontId="33" fillId="35" borderId="48"/>
    <xf numFmtId="43" fontId="75" fillId="0" borderId="48" applyFont="0" applyFill="0" applyBorder="0" applyAlignment="0" applyProtection="0"/>
    <xf numFmtId="0" fontId="76" fillId="0" borderId="48"/>
    <xf numFmtId="0" fontId="75" fillId="0" borderId="48"/>
    <xf numFmtId="0" fontId="33" fillId="35" borderId="48"/>
    <xf numFmtId="0" fontId="9" fillId="38" borderId="90">
      <alignment horizontal="center" vertical="center"/>
    </xf>
    <xf numFmtId="0" fontId="9" fillId="2" borderId="90"/>
    <xf numFmtId="0" fontId="77" fillId="3" borderId="48"/>
    <xf numFmtId="43" fontId="73" fillId="0" borderId="0" applyFont="0" applyFill="0" applyBorder="0" applyAlignment="0" applyProtection="0"/>
  </cellStyleXfs>
  <cellXfs count="977">
    <xf numFmtId="0" fontId="0" fillId="0" borderId="0" xfId="0"/>
    <xf numFmtId="0" fontId="5" fillId="3" borderId="4" xfId="0" applyFont="1" applyFill="1" applyBorder="1"/>
    <xf numFmtId="0" fontId="7" fillId="3" borderId="4" xfId="0" applyFont="1" applyFill="1" applyBorder="1" applyAlignment="1">
      <alignment vertical="center"/>
    </xf>
    <xf numFmtId="0" fontId="8" fillId="3" borderId="4" xfId="0" applyFont="1" applyFill="1" applyBorder="1"/>
    <xf numFmtId="0" fontId="10" fillId="5" borderId="4" xfId="0" applyFont="1" applyFill="1" applyBorder="1" applyAlignment="1">
      <alignment horizontal="left" vertical="center"/>
    </xf>
    <xf numFmtId="0" fontId="9" fillId="2" borderId="7" xfId="0" applyFont="1" applyFill="1" applyBorder="1" applyAlignment="1">
      <alignment horizontal="center" vertical="center"/>
    </xf>
    <xf numFmtId="0" fontId="5" fillId="5" borderId="4" xfId="0" applyFont="1" applyFill="1" applyBorder="1" applyAlignment="1">
      <alignment horizontal="left" vertical="center"/>
    </xf>
    <xf numFmtId="0" fontId="10" fillId="6" borderId="8" xfId="0" applyFont="1" applyFill="1" applyBorder="1" applyAlignment="1">
      <alignment horizontal="center" vertical="center"/>
    </xf>
    <xf numFmtId="0" fontId="5" fillId="0" borderId="0" xfId="0" applyFont="1" applyAlignment="1">
      <alignment vertical="center"/>
    </xf>
    <xf numFmtId="0" fontId="5" fillId="3" borderId="4" xfId="0" applyFont="1" applyFill="1" applyBorder="1" applyAlignment="1">
      <alignment horizontal="left" vertical="center"/>
    </xf>
    <xf numFmtId="0" fontId="12" fillId="5" borderId="8" xfId="0" applyFont="1" applyFill="1" applyBorder="1" applyAlignment="1">
      <alignment horizontal="left" vertical="center"/>
    </xf>
    <xf numFmtId="0" fontId="10" fillId="5" borderId="8" xfId="0" applyFont="1" applyFill="1" applyBorder="1" applyAlignment="1">
      <alignment horizontal="left" vertical="center"/>
    </xf>
    <xf numFmtId="0" fontId="12" fillId="0" borderId="8" xfId="0" applyFont="1" applyBorder="1" applyAlignment="1">
      <alignment horizontal="left" vertical="center"/>
    </xf>
    <xf numFmtId="0" fontId="10" fillId="0" borderId="8" xfId="0" applyFont="1" applyBorder="1" applyAlignment="1">
      <alignment horizontal="left" vertical="center"/>
    </xf>
    <xf numFmtId="0" fontId="13" fillId="3" borderId="4" xfId="0" applyFont="1" applyFill="1" applyBorder="1" applyAlignment="1">
      <alignment vertical="center"/>
    </xf>
    <xf numFmtId="0" fontId="10" fillId="3" borderId="4" xfId="0" applyFont="1" applyFill="1" applyBorder="1"/>
    <xf numFmtId="0" fontId="10" fillId="8" borderId="8" xfId="0" applyFont="1" applyFill="1" applyBorder="1" applyAlignment="1">
      <alignment horizontal="left" vertical="center"/>
    </xf>
    <xf numFmtId="0" fontId="10" fillId="7" borderId="8" xfId="0" applyFont="1" applyFill="1" applyBorder="1" applyAlignment="1">
      <alignment horizontal="left" vertical="center"/>
    </xf>
    <xf numFmtId="0" fontId="10" fillId="7" borderId="8" xfId="0" applyFont="1" applyFill="1" applyBorder="1" applyAlignment="1">
      <alignment horizontal="left" vertical="center" wrapText="1"/>
    </xf>
    <xf numFmtId="0" fontId="14" fillId="7" borderId="8" xfId="0" applyFont="1" applyFill="1" applyBorder="1" applyAlignment="1">
      <alignment vertical="center"/>
    </xf>
    <xf numFmtId="0" fontId="15" fillId="9" borderId="9" xfId="0" applyFont="1" applyFill="1" applyBorder="1" applyAlignment="1">
      <alignment horizontal="center" vertical="center"/>
    </xf>
    <xf numFmtId="0" fontId="15" fillId="9" borderId="4" xfId="0" applyFont="1" applyFill="1" applyBorder="1" applyAlignment="1">
      <alignment horizontal="center" vertical="center"/>
    </xf>
    <xf numFmtId="0" fontId="17" fillId="0" borderId="12" xfId="0" applyFont="1" applyBorder="1"/>
    <xf numFmtId="0" fontId="18" fillId="0" borderId="8" xfId="0" applyFont="1" applyBorder="1"/>
    <xf numFmtId="0" fontId="10" fillId="3" borderId="21" xfId="0" applyFont="1" applyFill="1" applyBorder="1" applyAlignment="1">
      <alignment horizontal="center" vertical="center" wrapText="1"/>
    </xf>
    <xf numFmtId="0" fontId="19" fillId="0" borderId="12" xfId="0" applyFont="1" applyBorder="1" applyAlignment="1">
      <alignment vertical="center"/>
    </xf>
    <xf numFmtId="0" fontId="5" fillId="3" borderId="4" xfId="0" applyFont="1" applyFill="1" applyBorder="1" applyAlignment="1">
      <alignment vertical="center"/>
    </xf>
    <xf numFmtId="0" fontId="3" fillId="2" borderId="23" xfId="0" applyFont="1" applyFill="1" applyBorder="1" applyAlignment="1">
      <alignment horizontal="left" vertical="center"/>
    </xf>
    <xf numFmtId="0" fontId="3" fillId="2" borderId="24" xfId="0" applyFont="1" applyFill="1" applyBorder="1" applyAlignment="1">
      <alignment horizontal="left" vertical="center"/>
    </xf>
    <xf numFmtId="0" fontId="3" fillId="2" borderId="25" xfId="0" applyFont="1" applyFill="1" applyBorder="1" applyAlignment="1">
      <alignment horizontal="left" vertical="center"/>
    </xf>
    <xf numFmtId="0" fontId="13" fillId="3" borderId="4" xfId="0" applyFont="1" applyFill="1" applyBorder="1"/>
    <xf numFmtId="49" fontId="20" fillId="4" borderId="23" xfId="0" applyNumberFormat="1" applyFont="1" applyFill="1" applyBorder="1"/>
    <xf numFmtId="49" fontId="20" fillId="4" borderId="24" xfId="0" applyNumberFormat="1" applyFont="1" applyFill="1" applyBorder="1"/>
    <xf numFmtId="49" fontId="20" fillId="4" borderId="25" xfId="0" applyNumberFormat="1" applyFont="1" applyFill="1" applyBorder="1"/>
    <xf numFmtId="0" fontId="10" fillId="3" borderId="4" xfId="0" applyFont="1" applyFill="1" applyBorder="1" applyAlignment="1">
      <alignment wrapText="1"/>
    </xf>
    <xf numFmtId="0" fontId="10" fillId="3" borderId="4" xfId="0" applyFont="1" applyFill="1" applyBorder="1" applyAlignment="1">
      <alignment horizontal="left"/>
    </xf>
    <xf numFmtId="0" fontId="10" fillId="3" borderId="4" xfId="0" applyFont="1" applyFill="1" applyBorder="1" applyAlignment="1">
      <alignment horizontal="left" wrapText="1"/>
    </xf>
    <xf numFmtId="0" fontId="10" fillId="3" borderId="8" xfId="0" applyFont="1" applyFill="1" applyBorder="1"/>
    <xf numFmtId="0" fontId="10" fillId="3" borderId="8" xfId="0" applyFont="1" applyFill="1" applyBorder="1" applyAlignment="1">
      <alignment horizontal="center"/>
    </xf>
    <xf numFmtId="3" fontId="10" fillId="3" borderId="8" xfId="0" applyNumberFormat="1" applyFont="1" applyFill="1" applyBorder="1" applyAlignment="1">
      <alignment horizontal="center"/>
    </xf>
    <xf numFmtId="2" fontId="10" fillId="3" borderId="8" xfId="0" applyNumberFormat="1" applyFont="1" applyFill="1" applyBorder="1" applyAlignment="1">
      <alignment horizontal="center"/>
    </xf>
    <xf numFmtId="9" fontId="10" fillId="3" borderId="8" xfId="0" applyNumberFormat="1" applyFont="1" applyFill="1" applyBorder="1" applyAlignment="1">
      <alignment horizontal="center"/>
    </xf>
    <xf numFmtId="0" fontId="9" fillId="2" borderId="28" xfId="0" applyFont="1" applyFill="1" applyBorder="1" applyAlignment="1">
      <alignment horizontal="center" wrapText="1"/>
    </xf>
    <xf numFmtId="0" fontId="8" fillId="3" borderId="8" xfId="0" applyFont="1" applyFill="1" applyBorder="1"/>
    <xf numFmtId="37" fontId="8" fillId="3" borderId="8" xfId="0" applyNumberFormat="1" applyFont="1" applyFill="1" applyBorder="1" applyAlignment="1">
      <alignment horizontal="center"/>
    </xf>
    <xf numFmtId="9" fontId="8" fillId="3" borderId="8" xfId="0" applyNumberFormat="1" applyFont="1" applyFill="1" applyBorder="1" applyAlignment="1">
      <alignment horizontal="center"/>
    </xf>
    <xf numFmtId="0" fontId="21" fillId="15" borderId="8" xfId="0" applyFont="1" applyFill="1" applyBorder="1"/>
    <xf numFmtId="37" fontId="21" fillId="15" borderId="8" xfId="0" applyNumberFormat="1" applyFont="1" applyFill="1" applyBorder="1" applyAlignment="1">
      <alignment horizontal="center"/>
    </xf>
    <xf numFmtId="9" fontId="21" fillId="15" borderId="8" xfId="0" applyNumberFormat="1" applyFont="1" applyFill="1" applyBorder="1" applyAlignment="1">
      <alignment horizontal="center"/>
    </xf>
    <xf numFmtId="0" fontId="9" fillId="2" borderId="28" xfId="0" applyFont="1" applyFill="1" applyBorder="1" applyAlignment="1">
      <alignment horizontal="center" vertical="center" wrapText="1"/>
    </xf>
    <xf numFmtId="165" fontId="8" fillId="3" borderId="8" xfId="0" applyNumberFormat="1" applyFont="1" applyFill="1" applyBorder="1" applyAlignment="1">
      <alignment horizontal="center"/>
    </xf>
    <xf numFmtId="2" fontId="21" fillId="15" borderId="8" xfId="0" applyNumberFormat="1" applyFont="1" applyFill="1" applyBorder="1" applyAlignment="1">
      <alignment horizontal="center"/>
    </xf>
    <xf numFmtId="0" fontId="9" fillId="2" borderId="8" xfId="0" applyFont="1" applyFill="1" applyBorder="1" applyAlignment="1">
      <alignment horizontal="center" wrapText="1"/>
    </xf>
    <xf numFmtId="0" fontId="8" fillId="0" borderId="0" xfId="0" applyFont="1"/>
    <xf numFmtId="0" fontId="8" fillId="0" borderId="8" xfId="0" applyFont="1" applyBorder="1"/>
    <xf numFmtId="0" fontId="21" fillId="16" borderId="8" xfId="0" applyFont="1" applyFill="1" applyBorder="1"/>
    <xf numFmtId="37" fontId="21" fillId="16" borderId="8" xfId="0" applyNumberFormat="1" applyFont="1" applyFill="1" applyBorder="1" applyAlignment="1">
      <alignment horizontal="center"/>
    </xf>
    <xf numFmtId="3" fontId="8" fillId="3" borderId="8" xfId="0" applyNumberFormat="1" applyFont="1" applyFill="1" applyBorder="1" applyAlignment="1">
      <alignment horizontal="center"/>
    </xf>
    <xf numFmtId="3" fontId="8" fillId="3" borderId="4" xfId="0" applyNumberFormat="1" applyFont="1" applyFill="1" applyBorder="1"/>
    <xf numFmtId="9" fontId="8" fillId="3" borderId="4" xfId="0" applyNumberFormat="1" applyFont="1" applyFill="1" applyBorder="1"/>
    <xf numFmtId="0" fontId="8" fillId="17" borderId="8" xfId="0" applyFont="1" applyFill="1" applyBorder="1"/>
    <xf numFmtId="37" fontId="8" fillId="17" borderId="8" xfId="0" applyNumberFormat="1" applyFont="1" applyFill="1" applyBorder="1" applyAlignment="1">
      <alignment horizontal="center"/>
    </xf>
    <xf numFmtId="0" fontId="8" fillId="18" borderId="8" xfId="0" applyFont="1" applyFill="1" applyBorder="1"/>
    <xf numFmtId="37" fontId="8" fillId="18" borderId="8" xfId="0" applyNumberFormat="1" applyFont="1" applyFill="1" applyBorder="1" applyAlignment="1">
      <alignment horizontal="center"/>
    </xf>
    <xf numFmtId="37" fontId="8" fillId="3" borderId="4" xfId="0" applyNumberFormat="1" applyFont="1" applyFill="1" applyBorder="1"/>
    <xf numFmtId="0" fontId="8" fillId="19" borderId="8" xfId="0" applyFont="1" applyFill="1" applyBorder="1"/>
    <xf numFmtId="37" fontId="8" fillId="19" borderId="8" xfId="0" applyNumberFormat="1" applyFont="1" applyFill="1" applyBorder="1" applyAlignment="1">
      <alignment horizontal="center"/>
    </xf>
    <xf numFmtId="0" fontId="8" fillId="20" borderId="8" xfId="0" applyFont="1" applyFill="1" applyBorder="1"/>
    <xf numFmtId="37" fontId="8" fillId="20" borderId="8" xfId="0" applyNumberFormat="1" applyFont="1" applyFill="1" applyBorder="1" applyAlignment="1">
      <alignment horizontal="center"/>
    </xf>
    <xf numFmtId="0" fontId="8" fillId="21" borderId="8" xfId="0" applyFont="1" applyFill="1" applyBorder="1"/>
    <xf numFmtId="37" fontId="8" fillId="21" borderId="8" xfId="0" applyNumberFormat="1" applyFont="1" applyFill="1" applyBorder="1" applyAlignment="1">
      <alignment horizontal="center"/>
    </xf>
    <xf numFmtId="166" fontId="21" fillId="3" borderId="4" xfId="0" applyNumberFormat="1" applyFont="1" applyFill="1" applyBorder="1"/>
    <xf numFmtId="0" fontId="9" fillId="9" borderId="28" xfId="0" applyFont="1" applyFill="1" applyBorder="1" applyAlignment="1">
      <alignment horizontal="center" vertical="center" wrapText="1"/>
    </xf>
    <xf numFmtId="0" fontId="12" fillId="0" borderId="8" xfId="0" applyFont="1" applyBorder="1"/>
    <xf numFmtId="3" fontId="12" fillId="0" borderId="8" xfId="0" applyNumberFormat="1" applyFont="1" applyBorder="1" applyAlignment="1">
      <alignment horizontal="center"/>
    </xf>
    <xf numFmtId="0" fontId="5" fillId="3" borderId="4" xfId="0" applyFont="1" applyFill="1" applyBorder="1" applyAlignment="1">
      <alignment wrapText="1"/>
    </xf>
    <xf numFmtId="0" fontId="10" fillId="3" borderId="4" xfId="0" applyFont="1" applyFill="1" applyBorder="1" applyAlignment="1">
      <alignment vertical="center"/>
    </xf>
    <xf numFmtId="0" fontId="5" fillId="3" borderId="4" xfId="0" applyFont="1" applyFill="1" applyBorder="1" applyAlignment="1">
      <alignment vertical="center" wrapText="1"/>
    </xf>
    <xf numFmtId="0" fontId="9" fillId="22" borderId="8" xfId="0" applyFont="1" applyFill="1" applyBorder="1" applyAlignment="1">
      <alignment horizontal="center"/>
    </xf>
    <xf numFmtId="167" fontId="10" fillId="7" borderId="8" xfId="0" applyNumberFormat="1" applyFont="1" applyFill="1" applyBorder="1" applyAlignment="1">
      <alignment horizontal="center" vertical="center" wrapText="1"/>
    </xf>
    <xf numFmtId="1" fontId="10" fillId="7" borderId="8" xfId="0" applyNumberFormat="1" applyFont="1" applyFill="1" applyBorder="1" applyAlignment="1">
      <alignment horizontal="center" vertical="center" wrapText="1"/>
    </xf>
    <xf numFmtId="165" fontId="10" fillId="7" borderId="8" xfId="0" applyNumberFormat="1" applyFont="1" applyFill="1" applyBorder="1" applyAlignment="1">
      <alignment horizontal="center" vertical="center" wrapText="1"/>
    </xf>
    <xf numFmtId="1" fontId="5" fillId="7" borderId="36" xfId="0" applyNumberFormat="1" applyFont="1" applyFill="1" applyBorder="1" applyAlignment="1">
      <alignment horizontal="center" vertical="center" wrapText="1"/>
    </xf>
    <xf numFmtId="167" fontId="5" fillId="7" borderId="36" xfId="0" applyNumberFormat="1" applyFont="1" applyFill="1" applyBorder="1" applyAlignment="1">
      <alignment horizontal="center" vertical="center" wrapText="1"/>
    </xf>
    <xf numFmtId="165" fontId="5" fillId="7" borderId="36" xfId="0" applyNumberFormat="1" applyFont="1" applyFill="1" applyBorder="1" applyAlignment="1">
      <alignment horizontal="center" vertical="center" wrapText="1"/>
    </xf>
    <xf numFmtId="0" fontId="9" fillId="22" borderId="28" xfId="0" applyFont="1" applyFill="1" applyBorder="1" applyAlignment="1">
      <alignment horizontal="center"/>
    </xf>
    <xf numFmtId="0" fontId="10" fillId="0" borderId="8" xfId="0" applyFont="1" applyBorder="1" applyAlignment="1">
      <alignment vertical="center"/>
    </xf>
    <xf numFmtId="0" fontId="10" fillId="0" borderId="31" xfId="0" applyFont="1" applyBorder="1" applyAlignment="1">
      <alignment vertical="center"/>
    </xf>
    <xf numFmtId="167" fontId="10" fillId="7" borderId="36" xfId="0" applyNumberFormat="1" applyFont="1" applyFill="1" applyBorder="1" applyAlignment="1">
      <alignment horizontal="center" vertical="center" wrapText="1"/>
    </xf>
    <xf numFmtId="0" fontId="10" fillId="0" borderId="8" xfId="0" applyFont="1" applyBorder="1"/>
    <xf numFmtId="168" fontId="10" fillId="7" borderId="8" xfId="0" applyNumberFormat="1" applyFont="1" applyFill="1" applyBorder="1" applyAlignment="1">
      <alignment horizontal="center" vertical="center" wrapText="1"/>
    </xf>
    <xf numFmtId="0" fontId="10" fillId="3" borderId="4" xfId="0" applyFont="1" applyFill="1" applyBorder="1" applyAlignment="1">
      <alignment horizontal="left" vertical="top"/>
    </xf>
    <xf numFmtId="1" fontId="10" fillId="7" borderId="36" xfId="0" applyNumberFormat="1" applyFont="1" applyFill="1" applyBorder="1" applyAlignment="1">
      <alignment horizontal="center" vertical="center" wrapText="1"/>
    </xf>
    <xf numFmtId="167" fontId="10" fillId="7" borderId="23" xfId="0" applyNumberFormat="1" applyFont="1" applyFill="1" applyBorder="1" applyAlignment="1">
      <alignment horizontal="center" vertical="center" wrapText="1"/>
    </xf>
    <xf numFmtId="1" fontId="10" fillId="7" borderId="23" xfId="0" applyNumberFormat="1" applyFont="1" applyFill="1" applyBorder="1" applyAlignment="1">
      <alignment horizontal="center" vertical="center" wrapText="1"/>
    </xf>
    <xf numFmtId="167" fontId="10" fillId="0" borderId="1" xfId="0" applyNumberFormat="1" applyFont="1" applyBorder="1" applyAlignment="1">
      <alignment horizontal="center" vertical="center" wrapText="1"/>
    </xf>
    <xf numFmtId="9" fontId="10" fillId="7" borderId="23" xfId="0" applyNumberFormat="1" applyFont="1" applyFill="1" applyBorder="1" applyAlignment="1">
      <alignment horizontal="center" vertical="center" wrapText="1"/>
    </xf>
    <xf numFmtId="0" fontId="10" fillId="0" borderId="31" xfId="0" applyFont="1" applyBorder="1"/>
    <xf numFmtId="3" fontId="10" fillId="0" borderId="31" xfId="0" applyNumberFormat="1" applyFont="1" applyBorder="1" applyAlignment="1">
      <alignment horizontal="center" vertical="center"/>
    </xf>
    <xf numFmtId="166" fontId="10" fillId="0" borderId="31" xfId="0" applyNumberFormat="1" applyFont="1" applyBorder="1" applyAlignment="1">
      <alignment horizontal="center" vertical="center"/>
    </xf>
    <xf numFmtId="1" fontId="10" fillId="0" borderId="31" xfId="0" applyNumberFormat="1" applyFont="1" applyBorder="1" applyAlignment="1">
      <alignment horizontal="center" vertical="center"/>
    </xf>
    <xf numFmtId="3" fontId="10" fillId="3" borderId="4" xfId="0" applyNumberFormat="1" applyFont="1" applyFill="1" applyBorder="1"/>
    <xf numFmtId="9" fontId="10" fillId="3" borderId="4" xfId="0" applyNumberFormat="1" applyFont="1" applyFill="1" applyBorder="1"/>
    <xf numFmtId="3" fontId="10" fillId="0" borderId="8" xfId="0" applyNumberFormat="1" applyFont="1" applyBorder="1" applyAlignment="1">
      <alignment horizontal="center"/>
    </xf>
    <xf numFmtId="2" fontId="10" fillId="3" borderId="4" xfId="0" applyNumberFormat="1" applyFont="1" applyFill="1" applyBorder="1"/>
    <xf numFmtId="1" fontId="10" fillId="3" borderId="4" xfId="0" applyNumberFormat="1" applyFont="1" applyFill="1" applyBorder="1"/>
    <xf numFmtId="0" fontId="12" fillId="3" borderId="4" xfId="0" applyFont="1" applyFill="1" applyBorder="1"/>
    <xf numFmtId="3" fontId="12" fillId="3" borderId="4" xfId="0" applyNumberFormat="1" applyFont="1" applyFill="1" applyBorder="1"/>
    <xf numFmtId="9" fontId="12" fillId="3" borderId="4" xfId="0" applyNumberFormat="1" applyFont="1" applyFill="1" applyBorder="1"/>
    <xf numFmtId="37" fontId="10" fillId="0" borderId="8" xfId="0" applyNumberFormat="1" applyFont="1" applyBorder="1" applyAlignment="1">
      <alignment horizontal="center"/>
    </xf>
    <xf numFmtId="2" fontId="10" fillId="0" borderId="8" xfId="0" applyNumberFormat="1" applyFont="1" applyBorder="1" applyAlignment="1">
      <alignment horizontal="center"/>
    </xf>
    <xf numFmtId="165" fontId="10" fillId="3" borderId="4" xfId="0" applyNumberFormat="1" applyFont="1" applyFill="1" applyBorder="1"/>
    <xf numFmtId="37" fontId="10" fillId="0" borderId="31" xfId="0" applyNumberFormat="1" applyFont="1" applyBorder="1" applyAlignment="1">
      <alignment horizontal="center"/>
    </xf>
    <xf numFmtId="1" fontId="10" fillId="0" borderId="31" xfId="0" applyNumberFormat="1" applyFont="1" applyBorder="1" applyAlignment="1">
      <alignment horizontal="center"/>
    </xf>
    <xf numFmtId="39" fontId="10" fillId="0" borderId="8" xfId="0" applyNumberFormat="1" applyFont="1" applyBorder="1" applyAlignment="1">
      <alignment horizontal="center"/>
    </xf>
    <xf numFmtId="1" fontId="10" fillId="0" borderId="8" xfId="0" applyNumberFormat="1" applyFont="1" applyBorder="1" applyAlignment="1">
      <alignment horizontal="center"/>
    </xf>
    <xf numFmtId="0" fontId="12" fillId="16" borderId="8" xfId="0" applyFont="1" applyFill="1" applyBorder="1"/>
    <xf numFmtId="3" fontId="12" fillId="16" borderId="8" xfId="0" applyNumberFormat="1" applyFont="1" applyFill="1" applyBorder="1" applyAlignment="1">
      <alignment horizontal="center"/>
    </xf>
    <xf numFmtId="0" fontId="15" fillId="3" borderId="4" xfId="0" applyFont="1" applyFill="1" applyBorder="1"/>
    <xf numFmtId="0" fontId="15" fillId="3" borderId="4" xfId="0" applyFont="1" applyFill="1" applyBorder="1" applyAlignment="1">
      <alignment horizontal="left"/>
    </xf>
    <xf numFmtId="3" fontId="10" fillId="0" borderId="31" xfId="0" applyNumberFormat="1" applyFont="1" applyBorder="1" applyAlignment="1">
      <alignment horizontal="center"/>
    </xf>
    <xf numFmtId="1" fontId="10" fillId="3" borderId="36" xfId="0" applyNumberFormat="1" applyFont="1" applyFill="1" applyBorder="1" applyAlignment="1">
      <alignment horizontal="center"/>
    </xf>
    <xf numFmtId="1" fontId="10" fillId="3" borderId="8" xfId="0" applyNumberFormat="1" applyFont="1" applyFill="1" applyBorder="1" applyAlignment="1">
      <alignment horizontal="center"/>
    </xf>
    <xf numFmtId="0" fontId="9" fillId="22" borderId="8" xfId="0" applyFont="1" applyFill="1" applyBorder="1" applyAlignment="1">
      <alignment horizontal="center" vertical="center"/>
    </xf>
    <xf numFmtId="0" fontId="10" fillId="0" borderId="1" xfId="0" applyFont="1" applyBorder="1"/>
    <xf numFmtId="3" fontId="10" fillId="24" borderId="8" xfId="0" applyNumberFormat="1" applyFont="1" applyFill="1" applyBorder="1" applyAlignment="1">
      <alignment horizontal="center"/>
    </xf>
    <xf numFmtId="3" fontId="10" fillId="24" borderId="36" xfId="0" applyNumberFormat="1" applyFont="1" applyFill="1" applyBorder="1" applyAlignment="1">
      <alignment horizontal="center"/>
    </xf>
    <xf numFmtId="165" fontId="10" fillId="3" borderId="8" xfId="0" applyNumberFormat="1" applyFont="1" applyFill="1" applyBorder="1" applyAlignment="1">
      <alignment horizontal="center"/>
    </xf>
    <xf numFmtId="0" fontId="12" fillId="16" borderId="23" xfId="0" applyFont="1" applyFill="1" applyBorder="1"/>
    <xf numFmtId="4" fontId="10" fillId="24" borderId="8" xfId="0" applyNumberFormat="1" applyFont="1" applyFill="1" applyBorder="1" applyAlignment="1">
      <alignment horizontal="center"/>
    </xf>
    <xf numFmtId="0" fontId="15" fillId="9" borderId="8" xfId="0" applyFont="1" applyFill="1" applyBorder="1" applyAlignment="1">
      <alignment horizontal="center" vertical="center"/>
    </xf>
    <xf numFmtId="0" fontId="10" fillId="3" borderId="8" xfId="0" applyFont="1" applyFill="1" applyBorder="1" applyAlignment="1">
      <alignment horizontal="left" vertical="center" wrapText="1"/>
    </xf>
    <xf numFmtId="3" fontId="10" fillId="8" borderId="8" xfId="0" applyNumberFormat="1" applyFont="1" applyFill="1" applyBorder="1" applyAlignment="1">
      <alignment horizontal="center" vertical="center" wrapText="1"/>
    </xf>
    <xf numFmtId="169" fontId="10" fillId="0" borderId="8" xfId="0" applyNumberFormat="1" applyFont="1" applyBorder="1" applyAlignment="1">
      <alignment horizontal="center" vertical="center"/>
    </xf>
    <xf numFmtId="3" fontId="13" fillId="24" borderId="8" xfId="0" applyNumberFormat="1" applyFont="1" applyFill="1" applyBorder="1" applyAlignment="1">
      <alignment horizontal="center" vertical="center" wrapText="1"/>
    </xf>
    <xf numFmtId="170" fontId="10" fillId="24" borderId="8" xfId="0" applyNumberFormat="1" applyFont="1" applyFill="1" applyBorder="1" applyAlignment="1">
      <alignment horizontal="center" vertical="center" wrapText="1"/>
    </xf>
    <xf numFmtId="3" fontId="10" fillId="24" borderId="8" xfId="0" applyNumberFormat="1" applyFont="1" applyFill="1" applyBorder="1" applyAlignment="1">
      <alignment horizontal="center" vertical="center" wrapText="1"/>
    </xf>
    <xf numFmtId="0" fontId="10" fillId="3" borderId="36" xfId="0" applyFont="1" applyFill="1" applyBorder="1" applyAlignment="1">
      <alignment horizontal="left" vertical="center" wrapText="1"/>
    </xf>
    <xf numFmtId="3" fontId="10" fillId="24" borderId="36" xfId="0" applyNumberFormat="1" applyFont="1" applyFill="1" applyBorder="1" applyAlignment="1">
      <alignment horizontal="center" vertical="center" wrapText="1"/>
    </xf>
    <xf numFmtId="169" fontId="10" fillId="0" borderId="31" xfId="0" applyNumberFormat="1" applyFont="1" applyBorder="1" applyAlignment="1">
      <alignment horizontal="center" vertical="center"/>
    </xf>
    <xf numFmtId="0" fontId="10" fillId="3" borderId="23" xfId="0" applyFont="1" applyFill="1" applyBorder="1" applyAlignment="1">
      <alignment horizontal="left" vertical="center" wrapText="1"/>
    </xf>
    <xf numFmtId="9" fontId="13" fillId="3" borderId="8" xfId="0" applyNumberFormat="1" applyFont="1" applyFill="1" applyBorder="1" applyAlignment="1">
      <alignment horizontal="center" vertical="center" wrapText="1"/>
    </xf>
    <xf numFmtId="0" fontId="10" fillId="3" borderId="4" xfId="0" applyFont="1" applyFill="1" applyBorder="1" applyAlignment="1">
      <alignment vertical="center" wrapText="1"/>
    </xf>
    <xf numFmtId="0" fontId="10" fillId="3" borderId="4" xfId="0" applyFont="1" applyFill="1" applyBorder="1" applyAlignment="1">
      <alignment horizontal="center" vertical="center" wrapText="1"/>
    </xf>
    <xf numFmtId="0" fontId="6" fillId="4" borderId="23" xfId="0" applyFont="1" applyFill="1" applyBorder="1" applyAlignment="1">
      <alignment vertical="center"/>
    </xf>
    <xf numFmtId="0" fontId="6" fillId="4" borderId="24" xfId="0" applyFont="1" applyFill="1" applyBorder="1" applyAlignment="1">
      <alignment vertical="center" wrapText="1"/>
    </xf>
    <xf numFmtId="0" fontId="6" fillId="4" borderId="25" xfId="0" applyFont="1" applyFill="1" applyBorder="1" applyAlignment="1">
      <alignment vertical="center" wrapText="1"/>
    </xf>
    <xf numFmtId="0" fontId="8" fillId="3" borderId="4" xfId="0" applyFont="1" applyFill="1" applyBorder="1" applyAlignment="1">
      <alignment horizontal="center" vertical="center" wrapText="1"/>
    </xf>
    <xf numFmtId="0" fontId="15" fillId="9" borderId="28" xfId="0" applyFont="1" applyFill="1" applyBorder="1" applyAlignment="1">
      <alignment horizontal="center" vertical="center"/>
    </xf>
    <xf numFmtId="0" fontId="10" fillId="3" borderId="23" xfId="0" applyFont="1" applyFill="1" applyBorder="1" applyAlignment="1">
      <alignment vertical="center" wrapText="1"/>
    </xf>
    <xf numFmtId="3" fontId="10" fillId="0" borderId="8" xfId="0" applyNumberFormat="1" applyFont="1" applyBorder="1" applyAlignment="1">
      <alignment horizontal="center" vertical="center"/>
    </xf>
    <xf numFmtId="9" fontId="10" fillId="3" borderId="8" xfId="0" applyNumberFormat="1" applyFont="1" applyFill="1" applyBorder="1" applyAlignment="1">
      <alignment horizontal="center" vertical="center"/>
    </xf>
    <xf numFmtId="9" fontId="10" fillId="0" borderId="8" xfId="0" applyNumberFormat="1" applyFont="1" applyBorder="1" applyAlignment="1">
      <alignment horizontal="center" vertical="center"/>
    </xf>
    <xf numFmtId="164" fontId="10" fillId="3" borderId="8" xfId="0" applyNumberFormat="1" applyFont="1" applyFill="1" applyBorder="1" applyAlignment="1">
      <alignment horizontal="center" vertical="center"/>
    </xf>
    <xf numFmtId="0" fontId="12" fillId="25" borderId="23" xfId="0" applyFont="1" applyFill="1" applyBorder="1" applyAlignment="1">
      <alignment horizontal="left" vertical="center"/>
    </xf>
    <xf numFmtId="3" fontId="12" fillId="25" borderId="8" xfId="0" applyNumberFormat="1" applyFont="1" applyFill="1" applyBorder="1" applyAlignment="1">
      <alignment horizontal="center" vertical="center"/>
    </xf>
    <xf numFmtId="9" fontId="12" fillId="25" borderId="8" xfId="0" applyNumberFormat="1" applyFont="1" applyFill="1" applyBorder="1" applyAlignment="1">
      <alignment horizontal="center" vertical="center"/>
    </xf>
    <xf numFmtId="171" fontId="10" fillId="3" borderId="8" xfId="0" applyNumberFormat="1" applyFont="1" applyFill="1" applyBorder="1" applyAlignment="1">
      <alignment horizontal="center" vertical="center"/>
    </xf>
    <xf numFmtId="37" fontId="10" fillId="3" borderId="8" xfId="0" applyNumberFormat="1" applyFont="1" applyFill="1" applyBorder="1" applyAlignment="1">
      <alignment horizontal="center" vertical="center"/>
    </xf>
    <xf numFmtId="10" fontId="10" fillId="3" borderId="8" xfId="0" applyNumberFormat="1" applyFont="1" applyFill="1" applyBorder="1" applyAlignment="1">
      <alignment horizontal="center" vertical="center"/>
    </xf>
    <xf numFmtId="172" fontId="10" fillId="3" borderId="8" xfId="0" applyNumberFormat="1" applyFont="1" applyFill="1" applyBorder="1" applyAlignment="1">
      <alignment horizontal="center" vertical="center"/>
    </xf>
    <xf numFmtId="9" fontId="8" fillId="3" borderId="4" xfId="0" applyNumberFormat="1" applyFont="1" applyFill="1" applyBorder="1" applyAlignment="1">
      <alignment horizontal="center" vertical="center" wrapText="1"/>
    </xf>
    <xf numFmtId="0" fontId="10" fillId="3" borderId="8" xfId="0" applyFont="1" applyFill="1" applyBorder="1" applyAlignment="1">
      <alignment vertical="center" wrapText="1"/>
    </xf>
    <xf numFmtId="0" fontId="8" fillId="3" borderId="8" xfId="0" applyFont="1" applyFill="1" applyBorder="1" applyAlignment="1">
      <alignment horizontal="center" vertical="center"/>
    </xf>
    <xf numFmtId="0" fontId="12" fillId="25" borderId="23" xfId="0" applyFont="1" applyFill="1" applyBorder="1" applyAlignment="1">
      <alignment horizontal="center" vertical="center"/>
    </xf>
    <xf numFmtId="37" fontId="12" fillId="25" borderId="8" xfId="0" applyNumberFormat="1" applyFont="1" applyFill="1" applyBorder="1" applyAlignment="1">
      <alignment horizontal="center" vertical="center"/>
    </xf>
    <xf numFmtId="0" fontId="8" fillId="3" borderId="4" xfId="0" applyFont="1" applyFill="1" applyBorder="1" applyAlignment="1">
      <alignment vertical="center" wrapText="1"/>
    </xf>
    <xf numFmtId="0" fontId="8" fillId="3" borderId="4" xfId="0" applyFont="1" applyFill="1" applyBorder="1" applyAlignment="1">
      <alignment vertical="center"/>
    </xf>
    <xf numFmtId="0" fontId="20" fillId="2" borderId="23" xfId="0" applyFont="1" applyFill="1" applyBorder="1" applyAlignment="1">
      <alignment vertical="center" wrapText="1"/>
    </xf>
    <xf numFmtId="0" fontId="20" fillId="2" borderId="24" xfId="0" applyFont="1" applyFill="1" applyBorder="1" applyAlignment="1">
      <alignment vertical="center" wrapText="1"/>
    </xf>
    <xf numFmtId="0" fontId="20" fillId="2" borderId="25" xfId="0" applyFont="1" applyFill="1" applyBorder="1" applyAlignment="1">
      <alignment vertical="center" wrapText="1"/>
    </xf>
    <xf numFmtId="0" fontId="9" fillId="23" borderId="23" xfId="0" applyFont="1" applyFill="1" applyBorder="1" applyAlignment="1">
      <alignment vertical="center"/>
    </xf>
    <xf numFmtId="0" fontId="9" fillId="23" borderId="24" xfId="0" applyFont="1" applyFill="1" applyBorder="1" applyAlignment="1">
      <alignment vertical="center" wrapText="1"/>
    </xf>
    <xf numFmtId="0" fontId="9" fillId="23" borderId="25" xfId="0" applyFont="1" applyFill="1" applyBorder="1" applyAlignment="1">
      <alignment vertical="center" wrapText="1"/>
    </xf>
    <xf numFmtId="0" fontId="15" fillId="9" borderId="8" xfId="0" applyFont="1" applyFill="1" applyBorder="1" applyAlignment="1">
      <alignment horizontal="center" vertical="center" wrapText="1"/>
    </xf>
    <xf numFmtId="0" fontId="10" fillId="0" borderId="8" xfId="0" applyFont="1" applyBorder="1" applyAlignment="1">
      <alignment horizontal="left" vertical="center" wrapText="1"/>
    </xf>
    <xf numFmtId="0" fontId="10" fillId="0" borderId="8" xfId="0" applyFont="1" applyBorder="1" applyAlignment="1">
      <alignment horizontal="center" vertical="center" wrapText="1"/>
    </xf>
    <xf numFmtId="0" fontId="10" fillId="0" borderId="8" xfId="0" applyFont="1" applyBorder="1" applyAlignment="1">
      <alignment horizontal="center" vertical="center"/>
    </xf>
    <xf numFmtId="37" fontId="10" fillId="0" borderId="8" xfId="0" applyNumberFormat="1" applyFont="1" applyBorder="1" applyAlignment="1">
      <alignment horizontal="center" vertical="center"/>
    </xf>
    <xf numFmtId="0" fontId="10" fillId="0" borderId="31" xfId="0" applyFont="1" applyBorder="1" applyAlignment="1">
      <alignment horizontal="center" vertical="center" wrapText="1"/>
    </xf>
    <xf numFmtId="0" fontId="10" fillId="0" borderId="31" xfId="0" applyFont="1" applyBorder="1" applyAlignment="1">
      <alignment horizontal="center" vertical="center"/>
    </xf>
    <xf numFmtId="0" fontId="12" fillId="16" borderId="8" xfId="0" applyFont="1" applyFill="1" applyBorder="1" applyAlignment="1">
      <alignment horizontal="left" vertical="center" wrapText="1"/>
    </xf>
    <xf numFmtId="3" fontId="12" fillId="16" borderId="23" xfId="0" applyNumberFormat="1" applyFont="1" applyFill="1" applyBorder="1" applyAlignment="1">
      <alignment horizontal="center" vertical="center" wrapText="1"/>
    </xf>
    <xf numFmtId="0" fontId="12" fillId="16" borderId="23" xfId="0" applyFont="1" applyFill="1" applyBorder="1" applyAlignment="1">
      <alignment horizontal="left" vertical="center" wrapText="1"/>
    </xf>
    <xf numFmtId="0" fontId="12" fillId="16" borderId="24" xfId="0" applyFont="1" applyFill="1" applyBorder="1" applyAlignment="1">
      <alignment horizontal="left" vertical="center" wrapText="1"/>
    </xf>
    <xf numFmtId="0" fontId="12" fillId="16" borderId="25" xfId="0" applyFont="1" applyFill="1" applyBorder="1" applyAlignment="1">
      <alignment horizontal="left" vertical="center" wrapText="1"/>
    </xf>
    <xf numFmtId="0" fontId="12" fillId="25" borderId="8" xfId="0" applyFont="1" applyFill="1" applyBorder="1" applyAlignment="1">
      <alignment horizontal="left" vertical="center" wrapText="1"/>
    </xf>
    <xf numFmtId="3" fontId="12" fillId="25" borderId="23" xfId="0" applyNumberFormat="1" applyFont="1" applyFill="1" applyBorder="1" applyAlignment="1">
      <alignment horizontal="center" vertical="center"/>
    </xf>
    <xf numFmtId="166" fontId="10" fillId="25" borderId="23" xfId="0" applyNumberFormat="1" applyFont="1" applyFill="1" applyBorder="1" applyAlignment="1">
      <alignment horizontal="left" vertical="center"/>
    </xf>
    <xf numFmtId="0" fontId="10" fillId="25" borderId="24" xfId="0" applyFont="1" applyFill="1" applyBorder="1" applyAlignment="1">
      <alignment horizontal="center" vertical="center" wrapText="1"/>
    </xf>
    <xf numFmtId="0" fontId="10" fillId="25" borderId="25" xfId="0" applyFont="1" applyFill="1" applyBorder="1" applyAlignment="1">
      <alignment horizontal="center" vertical="center" wrapText="1"/>
    </xf>
    <xf numFmtId="0" fontId="20" fillId="2" borderId="54" xfId="0" applyFont="1" applyFill="1" applyBorder="1" applyAlignment="1">
      <alignment vertical="center" wrapText="1"/>
    </xf>
    <xf numFmtId="0" fontId="20" fillId="2" borderId="55" xfId="0" applyFont="1" applyFill="1" applyBorder="1" applyAlignment="1">
      <alignment vertical="center" wrapText="1"/>
    </xf>
    <xf numFmtId="0" fontId="20" fillId="2" borderId="4" xfId="0" applyFont="1" applyFill="1" applyBorder="1" applyAlignment="1">
      <alignment vertical="center" wrapText="1"/>
    </xf>
    <xf numFmtId="0" fontId="20" fillId="2" borderId="56" xfId="0" applyFont="1" applyFill="1" applyBorder="1" applyAlignment="1">
      <alignment vertical="center" wrapText="1"/>
    </xf>
    <xf numFmtId="173" fontId="10" fillId="0" borderId="2" xfId="0" applyNumberFormat="1" applyFont="1" applyBorder="1" applyAlignment="1">
      <alignment horizontal="center" vertical="center"/>
    </xf>
    <xf numFmtId="3" fontId="10" fillId="0" borderId="2" xfId="0" applyNumberFormat="1" applyFont="1" applyBorder="1" applyAlignment="1">
      <alignment horizontal="center" vertical="center"/>
    </xf>
    <xf numFmtId="0" fontId="12" fillId="25" borderId="36" xfId="0" applyFont="1" applyFill="1" applyBorder="1" applyAlignment="1">
      <alignment horizontal="left" vertical="center" wrapText="1"/>
    </xf>
    <xf numFmtId="3" fontId="12" fillId="25" borderId="54" xfId="0" applyNumberFormat="1" applyFont="1" applyFill="1" applyBorder="1" applyAlignment="1">
      <alignment horizontal="center" vertical="center"/>
    </xf>
    <xf numFmtId="166" fontId="5" fillId="25" borderId="23" xfId="0" applyNumberFormat="1" applyFont="1" applyFill="1" applyBorder="1" applyAlignment="1">
      <alignment horizontal="left" vertical="center"/>
    </xf>
    <xf numFmtId="0" fontId="5" fillId="25" borderId="24" xfId="0" applyFont="1" applyFill="1" applyBorder="1" applyAlignment="1">
      <alignment horizontal="center" vertical="center" wrapText="1"/>
    </xf>
    <xf numFmtId="0" fontId="5" fillId="25" borderId="25" xfId="0" applyFont="1" applyFill="1" applyBorder="1" applyAlignment="1">
      <alignment horizontal="center" vertical="center" wrapText="1"/>
    </xf>
    <xf numFmtId="0" fontId="20" fillId="2" borderId="57" xfId="0" applyFont="1" applyFill="1" applyBorder="1" applyAlignment="1">
      <alignment vertical="center" wrapText="1"/>
    </xf>
    <xf numFmtId="0" fontId="20" fillId="2" borderId="58" xfId="0" applyFont="1" applyFill="1" applyBorder="1" applyAlignment="1">
      <alignment vertical="center" wrapText="1"/>
    </xf>
    <xf numFmtId="0" fontId="15" fillId="9" borderId="28" xfId="0" applyFont="1" applyFill="1" applyBorder="1" applyAlignment="1">
      <alignment horizontal="center" vertical="center" wrapText="1"/>
    </xf>
    <xf numFmtId="0" fontId="20" fillId="2" borderId="23" xfId="0" applyFont="1" applyFill="1" applyBorder="1" applyAlignment="1">
      <alignment vertical="center"/>
    </xf>
    <xf numFmtId="37" fontId="10" fillId="0" borderId="31" xfId="0" applyNumberFormat="1" applyFont="1" applyBorder="1" applyAlignment="1">
      <alignment horizontal="center" vertical="center"/>
    </xf>
    <xf numFmtId="37" fontId="13" fillId="0" borderId="8" xfId="0" applyNumberFormat="1" applyFont="1" applyBorder="1" applyAlignment="1">
      <alignment horizontal="center" vertical="center"/>
    </xf>
    <xf numFmtId="37" fontId="23" fillId="25" borderId="8" xfId="0" applyNumberFormat="1" applyFont="1" applyFill="1" applyBorder="1" applyAlignment="1">
      <alignment horizontal="center" vertical="center"/>
    </xf>
    <xf numFmtId="0" fontId="9" fillId="26" borderId="8" xfId="0" applyFont="1" applyFill="1" applyBorder="1" applyAlignment="1">
      <alignment horizontal="left" vertical="center" wrapText="1"/>
    </xf>
    <xf numFmtId="3" fontId="9" fillId="26" borderId="23" xfId="0" applyNumberFormat="1" applyFont="1" applyFill="1" applyBorder="1" applyAlignment="1">
      <alignment horizontal="center" vertical="center"/>
    </xf>
    <xf numFmtId="166" fontId="24" fillId="26" borderId="23" xfId="0" applyNumberFormat="1" applyFont="1" applyFill="1" applyBorder="1" applyAlignment="1">
      <alignment horizontal="left" vertical="center"/>
    </xf>
    <xf numFmtId="0" fontId="24" fillId="26" borderId="24" xfId="0" applyFont="1" applyFill="1" applyBorder="1" applyAlignment="1">
      <alignment horizontal="center" vertical="center" wrapText="1"/>
    </xf>
    <xf numFmtId="0" fontId="24" fillId="26" borderId="25" xfId="0" applyFont="1" applyFill="1" applyBorder="1" applyAlignment="1">
      <alignment horizontal="center" vertical="center" wrapText="1"/>
    </xf>
    <xf numFmtId="37" fontId="15" fillId="26" borderId="8" xfId="0" applyNumberFormat="1" applyFont="1" applyFill="1" applyBorder="1" applyAlignment="1">
      <alignment horizontal="center" vertical="center"/>
    </xf>
    <xf numFmtId="0" fontId="20" fillId="2" borderId="59" xfId="0" applyFont="1" applyFill="1" applyBorder="1" applyAlignment="1">
      <alignment horizontal="left" vertical="center" wrapText="1"/>
    </xf>
    <xf numFmtId="0" fontId="20" fillId="2" borderId="57" xfId="0" applyFont="1" applyFill="1" applyBorder="1" applyAlignment="1">
      <alignment horizontal="left" vertical="center" wrapText="1"/>
    </xf>
    <xf numFmtId="0" fontId="20" fillId="2" borderId="58" xfId="0" applyFont="1" applyFill="1" applyBorder="1" applyAlignment="1">
      <alignment horizontal="left" vertical="center" wrapText="1"/>
    </xf>
    <xf numFmtId="0" fontId="15" fillId="9" borderId="28" xfId="0" applyFont="1" applyFill="1" applyBorder="1" applyAlignment="1">
      <alignment horizontal="left" vertical="center"/>
    </xf>
    <xf numFmtId="37" fontId="10" fillId="0" borderId="3" xfId="0" applyNumberFormat="1" applyFont="1" applyBorder="1" applyAlignment="1">
      <alignment horizontal="center" vertical="center"/>
    </xf>
    <xf numFmtId="0" fontId="20" fillId="2" borderId="9" xfId="0" applyFont="1" applyFill="1" applyBorder="1" applyAlignment="1">
      <alignment horizontal="left" vertical="center" wrapText="1"/>
    </xf>
    <xf numFmtId="0" fontId="25" fillId="2" borderId="4" xfId="0" applyFont="1" applyFill="1" applyBorder="1" applyAlignment="1">
      <alignment horizontal="left" vertical="center"/>
    </xf>
    <xf numFmtId="166" fontId="25" fillId="2" borderId="4" xfId="0" applyNumberFormat="1" applyFont="1" applyFill="1" applyBorder="1" applyAlignment="1">
      <alignment vertical="center"/>
    </xf>
    <xf numFmtId="0" fontId="25" fillId="2" borderId="4" xfId="0" applyFont="1" applyFill="1" applyBorder="1" applyAlignment="1">
      <alignment horizontal="center" vertical="center" wrapText="1"/>
    </xf>
    <xf numFmtId="166" fontId="25" fillId="2" borderId="56" xfId="0" applyNumberFormat="1" applyFont="1" applyFill="1" applyBorder="1" applyAlignment="1">
      <alignment horizontal="center" vertical="center" wrapText="1"/>
    </xf>
    <xf numFmtId="0" fontId="26" fillId="3" borderId="4" xfId="0" applyFont="1" applyFill="1" applyBorder="1" applyAlignment="1">
      <alignment vertical="center" wrapText="1"/>
    </xf>
    <xf numFmtId="37" fontId="12" fillId="25" borderId="23" xfId="0" applyNumberFormat="1" applyFont="1" applyFill="1" applyBorder="1" applyAlignment="1">
      <alignment horizontal="center" vertical="center"/>
    </xf>
    <xf numFmtId="0" fontId="20" fillId="2" borderId="59" xfId="0" applyFont="1" applyFill="1" applyBorder="1" applyAlignment="1">
      <alignment vertical="center" wrapText="1"/>
    </xf>
    <xf numFmtId="0" fontId="10" fillId="0" borderId="12" xfId="0" applyFont="1" applyBorder="1" applyAlignment="1">
      <alignment vertical="center"/>
    </xf>
    <xf numFmtId="3" fontId="10" fillId="0" borderId="8" xfId="0" applyNumberFormat="1" applyFont="1" applyBorder="1" applyAlignment="1">
      <alignment horizontal="center" vertical="center" wrapText="1"/>
    </xf>
    <xf numFmtId="174" fontId="10" fillId="3" borderId="8" xfId="0" applyNumberFormat="1" applyFont="1" applyFill="1" applyBorder="1" applyAlignment="1">
      <alignment horizontal="center" vertical="center"/>
    </xf>
    <xf numFmtId="170" fontId="10" fillId="0" borderId="8" xfId="0" applyNumberFormat="1" applyFont="1" applyBorder="1" applyAlignment="1">
      <alignment horizontal="center" vertical="center" wrapText="1"/>
    </xf>
    <xf numFmtId="0" fontId="3" fillId="2" borderId="23" xfId="0" applyFont="1" applyFill="1" applyBorder="1" applyAlignment="1">
      <alignment vertical="center"/>
    </xf>
    <xf numFmtId="0" fontId="3" fillId="2" borderId="24" xfId="0" applyFont="1" applyFill="1" applyBorder="1" applyAlignment="1">
      <alignment vertical="center"/>
    </xf>
    <xf numFmtId="0" fontId="3" fillId="2" borderId="25" xfId="0" applyFont="1" applyFill="1" applyBorder="1" applyAlignment="1">
      <alignment vertical="center"/>
    </xf>
    <xf numFmtId="4" fontId="5" fillId="0" borderId="8" xfId="0" applyNumberFormat="1" applyFont="1" applyBorder="1" applyAlignment="1">
      <alignment horizontal="center" vertical="center" wrapText="1"/>
    </xf>
    <xf numFmtId="0" fontId="5" fillId="0" borderId="8" xfId="0" applyFont="1" applyBorder="1" applyAlignment="1">
      <alignment horizontal="center" vertical="center" wrapText="1"/>
    </xf>
    <xf numFmtId="4" fontId="5" fillId="3" borderId="8" xfId="0" applyNumberFormat="1" applyFont="1" applyFill="1" applyBorder="1" applyAlignment="1">
      <alignment horizontal="center" vertical="center" wrapText="1"/>
    </xf>
    <xf numFmtId="0" fontId="5" fillId="3" borderId="8" xfId="0" applyFont="1" applyFill="1" applyBorder="1" applyAlignment="1">
      <alignment horizontal="center" vertical="center" wrapText="1"/>
    </xf>
    <xf numFmtId="3" fontId="5" fillId="3" borderId="8" xfId="0" applyNumberFormat="1" applyFont="1" applyFill="1" applyBorder="1" applyAlignment="1">
      <alignment horizontal="center" vertical="center" wrapText="1"/>
    </xf>
    <xf numFmtId="173" fontId="5" fillId="3" borderId="8" xfId="0" applyNumberFormat="1" applyFont="1" applyFill="1" applyBorder="1" applyAlignment="1">
      <alignment horizontal="center" vertical="center" wrapText="1"/>
    </xf>
    <xf numFmtId="173" fontId="7" fillId="5" borderId="8" xfId="0" applyNumberFormat="1" applyFont="1" applyFill="1" applyBorder="1" applyAlignment="1">
      <alignment horizontal="center" vertical="center" wrapText="1"/>
    </xf>
    <xf numFmtId="1" fontId="5" fillId="3" borderId="8" xfId="0" applyNumberFormat="1" applyFont="1" applyFill="1" applyBorder="1" applyAlignment="1">
      <alignment horizontal="center" vertical="center" wrapText="1"/>
    </xf>
    <xf numFmtId="0" fontId="15" fillId="9" borderId="7" xfId="0" applyFont="1" applyFill="1" applyBorder="1" applyAlignment="1">
      <alignment horizontal="center" vertical="center"/>
    </xf>
    <xf numFmtId="0" fontId="15" fillId="9" borderId="36" xfId="0" applyFont="1" applyFill="1" applyBorder="1" applyAlignment="1">
      <alignment horizontal="center" vertical="center"/>
    </xf>
    <xf numFmtId="0" fontId="5" fillId="8" borderId="8" xfId="0" applyFont="1" applyFill="1" applyBorder="1" applyAlignment="1">
      <alignment horizontal="center" vertical="center" wrapText="1"/>
    </xf>
    <xf numFmtId="0" fontId="7" fillId="5" borderId="8" xfId="0" applyFont="1" applyFill="1" applyBorder="1" applyAlignment="1">
      <alignment horizontal="center" vertical="center"/>
    </xf>
    <xf numFmtId="0" fontId="5" fillId="3" borderId="8" xfId="0" applyFont="1" applyFill="1" applyBorder="1" applyAlignment="1">
      <alignment horizontal="center" vertical="center"/>
    </xf>
    <xf numFmtId="3" fontId="5" fillId="8" borderId="8" xfId="0" applyNumberFormat="1" applyFont="1" applyFill="1" applyBorder="1" applyAlignment="1">
      <alignment horizontal="center" vertical="center"/>
    </xf>
    <xf numFmtId="0" fontId="7" fillId="5" borderId="8" xfId="0" applyFont="1" applyFill="1" applyBorder="1" applyAlignment="1">
      <alignment horizontal="center" vertical="center" wrapText="1"/>
    </xf>
    <xf numFmtId="0" fontId="27" fillId="5" borderId="8" xfId="0" applyFont="1" applyFill="1" applyBorder="1" applyAlignment="1">
      <alignment horizontal="center" vertical="center" wrapText="1"/>
    </xf>
    <xf numFmtId="0" fontId="5" fillId="3" borderId="4" xfId="0" applyFont="1" applyFill="1" applyBorder="1" applyAlignment="1">
      <alignment horizontal="center" vertical="center" wrapText="1"/>
    </xf>
    <xf numFmtId="0" fontId="3" fillId="2" borderId="57" xfId="0" applyFont="1" applyFill="1" applyBorder="1" applyAlignment="1">
      <alignment horizontal="left" vertical="center"/>
    </xf>
    <xf numFmtId="0" fontId="3" fillId="2" borderId="58" xfId="0" applyFont="1" applyFill="1" applyBorder="1" applyAlignment="1">
      <alignment horizontal="left" vertical="center"/>
    </xf>
    <xf numFmtId="49" fontId="28" fillId="4" borderId="4" xfId="0" applyNumberFormat="1" applyFont="1" applyFill="1" applyBorder="1" applyAlignment="1">
      <alignment horizontal="left" vertical="center"/>
    </xf>
    <xf numFmtId="49" fontId="20" fillId="4" borderId="4" xfId="0" applyNumberFormat="1" applyFont="1" applyFill="1" applyBorder="1" applyAlignment="1">
      <alignment horizontal="left" vertical="center"/>
    </xf>
    <xf numFmtId="49" fontId="20" fillId="4" borderId="25" xfId="0" applyNumberFormat="1" applyFont="1" applyFill="1" applyBorder="1" applyAlignment="1">
      <alignment horizontal="left" vertical="center"/>
    </xf>
    <xf numFmtId="0" fontId="15" fillId="9" borderId="7" xfId="0" applyFont="1" applyFill="1" applyBorder="1" applyAlignment="1">
      <alignment horizontal="center" vertical="center" wrapText="1"/>
    </xf>
    <xf numFmtId="9" fontId="10" fillId="3" borderId="8" xfId="0" applyNumberFormat="1" applyFont="1" applyFill="1" applyBorder="1" applyAlignment="1">
      <alignment horizontal="center" vertical="center" wrapText="1"/>
    </xf>
    <xf numFmtId="3" fontId="10" fillId="3" borderId="8" xfId="0" applyNumberFormat="1" applyFont="1" applyFill="1" applyBorder="1" applyAlignment="1">
      <alignment horizontal="center" vertical="center" wrapText="1"/>
    </xf>
    <xf numFmtId="0" fontId="23" fillId="27" borderId="8" xfId="0" applyFont="1" applyFill="1" applyBorder="1"/>
    <xf numFmtId="3" fontId="12" fillId="27" borderId="8" xfId="0" applyNumberFormat="1" applyFont="1" applyFill="1" applyBorder="1" applyAlignment="1">
      <alignment horizontal="center"/>
    </xf>
    <xf numFmtId="9" fontId="12" fillId="27" borderId="8" xfId="0" applyNumberFormat="1" applyFont="1" applyFill="1" applyBorder="1" applyAlignment="1">
      <alignment horizontal="center"/>
    </xf>
    <xf numFmtId="49" fontId="28" fillId="4" borderId="23" xfId="0" applyNumberFormat="1" applyFont="1" applyFill="1" applyBorder="1" applyAlignment="1">
      <alignment horizontal="left" vertical="center"/>
    </xf>
    <xf numFmtId="49" fontId="20" fillId="4" borderId="24" xfId="0" applyNumberFormat="1" applyFont="1" applyFill="1" applyBorder="1" applyAlignment="1">
      <alignment horizontal="left" vertical="center"/>
    </xf>
    <xf numFmtId="0" fontId="11" fillId="3" borderId="4" xfId="0" applyFont="1" applyFill="1" applyBorder="1" applyAlignment="1">
      <alignment horizontal="left" vertical="center"/>
    </xf>
    <xf numFmtId="0" fontId="11" fillId="3" borderId="4" xfId="0" applyFont="1" applyFill="1" applyBorder="1" applyAlignment="1">
      <alignment horizontal="left" vertical="center" wrapText="1"/>
    </xf>
    <xf numFmtId="0" fontId="10" fillId="3" borderId="8" xfId="0" applyFont="1" applyFill="1" applyBorder="1" applyAlignment="1">
      <alignment vertical="center"/>
    </xf>
    <xf numFmtId="0" fontId="10" fillId="3" borderId="8" xfId="0" applyFont="1" applyFill="1" applyBorder="1" applyAlignment="1">
      <alignment horizontal="center" vertical="center" wrapText="1"/>
    </xf>
    <xf numFmtId="167" fontId="10" fillId="6" borderId="8" xfId="0" applyNumberFormat="1" applyFont="1" applyFill="1" applyBorder="1" applyAlignment="1">
      <alignment horizontal="center" vertical="center" wrapText="1"/>
    </xf>
    <xf numFmtId="0" fontId="10" fillId="0" borderId="1" xfId="0" applyFont="1" applyBorder="1" applyAlignment="1">
      <alignment horizontal="center" vertical="center" wrapText="1"/>
    </xf>
    <xf numFmtId="0" fontId="10" fillId="3" borderId="8" xfId="0" applyFont="1" applyFill="1" applyBorder="1" applyAlignment="1">
      <alignment horizontal="center" vertical="center"/>
    </xf>
    <xf numFmtId="175" fontId="10" fillId="8" borderId="8" xfId="0" applyNumberFormat="1" applyFont="1" applyFill="1" applyBorder="1" applyAlignment="1">
      <alignment horizontal="center" vertical="center"/>
    </xf>
    <xf numFmtId="176" fontId="10" fillId="8" borderId="8" xfId="0" applyNumberFormat="1" applyFont="1" applyFill="1" applyBorder="1" applyAlignment="1">
      <alignment horizontal="center" vertical="center"/>
    </xf>
    <xf numFmtId="0" fontId="5" fillId="3" borderId="4" xfId="0" applyFont="1" applyFill="1" applyBorder="1" applyAlignment="1">
      <alignment horizontal="left" vertical="center" wrapText="1"/>
    </xf>
    <xf numFmtId="10" fontId="10" fillId="6" borderId="8" xfId="0" applyNumberFormat="1" applyFont="1" applyFill="1" applyBorder="1" applyAlignment="1">
      <alignment horizontal="center" vertical="center" wrapText="1"/>
    </xf>
    <xf numFmtId="0" fontId="10" fillId="3" borderId="4" xfId="0" applyFont="1" applyFill="1" applyBorder="1" applyAlignment="1">
      <alignment horizontal="left" vertical="center" wrapText="1"/>
    </xf>
    <xf numFmtId="177" fontId="10" fillId="8" borderId="8" xfId="0" applyNumberFormat="1" applyFont="1" applyFill="1" applyBorder="1" applyAlignment="1">
      <alignment horizontal="center" vertical="center"/>
    </xf>
    <xf numFmtId="167" fontId="10" fillId="3" borderId="4" xfId="0" applyNumberFormat="1" applyFont="1" applyFill="1" applyBorder="1" applyAlignment="1">
      <alignment horizontal="left" vertical="center" wrapText="1"/>
    </xf>
    <xf numFmtId="178" fontId="10" fillId="8" borderId="8" xfId="0" applyNumberFormat="1" applyFont="1" applyFill="1" applyBorder="1" applyAlignment="1">
      <alignment horizontal="center" vertical="center"/>
    </xf>
    <xf numFmtId="0" fontId="13" fillId="5" borderId="8" xfId="0" applyFont="1" applyFill="1" applyBorder="1" applyAlignment="1">
      <alignment horizontal="center" vertical="center" wrapText="1"/>
    </xf>
    <xf numFmtId="0" fontId="13" fillId="0" borderId="8" xfId="0" applyFont="1" applyBorder="1" applyAlignment="1">
      <alignment horizontal="center" vertical="center" wrapText="1"/>
    </xf>
    <xf numFmtId="0" fontId="13" fillId="5" borderId="8" xfId="0" applyFont="1" applyFill="1" applyBorder="1" applyAlignment="1">
      <alignment horizontal="center" vertical="center"/>
    </xf>
    <xf numFmtId="1" fontId="10" fillId="0" borderId="8" xfId="0" applyNumberFormat="1" applyFont="1" applyBorder="1" applyAlignment="1">
      <alignment horizontal="center" vertical="center"/>
    </xf>
    <xf numFmtId="1" fontId="10" fillId="7" borderId="8" xfId="0" applyNumberFormat="1" applyFont="1" applyFill="1" applyBorder="1" applyAlignment="1">
      <alignment horizontal="center" vertical="center"/>
    </xf>
    <xf numFmtId="167" fontId="10" fillId="8" borderId="8" xfId="0" applyNumberFormat="1" applyFont="1" applyFill="1" applyBorder="1" applyAlignment="1">
      <alignment horizontal="center" vertical="center"/>
    </xf>
    <xf numFmtId="1" fontId="10" fillId="8" borderId="8" xfId="0" applyNumberFormat="1" applyFont="1" applyFill="1" applyBorder="1" applyAlignment="1">
      <alignment horizontal="center" vertical="center"/>
    </xf>
    <xf numFmtId="165" fontId="10" fillId="8" borderId="8" xfId="0" applyNumberFormat="1" applyFont="1" applyFill="1" applyBorder="1" applyAlignment="1">
      <alignment horizontal="center" vertical="center"/>
    </xf>
    <xf numFmtId="3" fontId="13" fillId="8" borderId="8" xfId="0" applyNumberFormat="1" applyFont="1" applyFill="1" applyBorder="1" applyAlignment="1">
      <alignment horizontal="center" vertical="center"/>
    </xf>
    <xf numFmtId="0" fontId="9" fillId="9" borderId="8" xfId="0" applyFont="1" applyFill="1" applyBorder="1" applyAlignment="1">
      <alignment horizontal="center" vertical="center"/>
    </xf>
    <xf numFmtId="0" fontId="12" fillId="0" borderId="13" xfId="0" applyFont="1" applyBorder="1" applyAlignment="1">
      <alignment vertical="center"/>
    </xf>
    <xf numFmtId="10" fontId="10" fillId="3" borderId="8" xfId="0" applyNumberFormat="1" applyFont="1" applyFill="1" applyBorder="1" applyAlignment="1">
      <alignment horizontal="center"/>
    </xf>
    <xf numFmtId="0" fontId="12" fillId="27" borderId="8" xfId="0" applyFont="1" applyFill="1" applyBorder="1" applyAlignment="1">
      <alignment horizontal="left" vertical="center"/>
    </xf>
    <xf numFmtId="3" fontId="12" fillId="27" borderId="8" xfId="0" applyNumberFormat="1" applyFont="1" applyFill="1" applyBorder="1" applyAlignment="1">
      <alignment horizontal="center" vertical="center"/>
    </xf>
    <xf numFmtId="9" fontId="12" fillId="27" borderId="8" xfId="0" applyNumberFormat="1" applyFont="1" applyFill="1" applyBorder="1" applyAlignment="1">
      <alignment horizontal="center" vertical="center"/>
    </xf>
    <xf numFmtId="10" fontId="12" fillId="27" borderId="8" xfId="0" applyNumberFormat="1" applyFont="1" applyFill="1" applyBorder="1" applyAlignment="1">
      <alignment horizontal="center" vertical="center"/>
    </xf>
    <xf numFmtId="2" fontId="12" fillId="27" borderId="8" xfId="0" applyNumberFormat="1" applyFont="1" applyFill="1" applyBorder="1" applyAlignment="1">
      <alignment horizontal="center" vertical="center"/>
    </xf>
    <xf numFmtId="0" fontId="9" fillId="23" borderId="23" xfId="0" applyFont="1" applyFill="1" applyBorder="1" applyAlignment="1">
      <alignment vertical="center" wrapText="1"/>
    </xf>
    <xf numFmtId="0" fontId="9" fillId="2" borderId="59" xfId="0" applyFont="1" applyFill="1" applyBorder="1"/>
    <xf numFmtId="0" fontId="9" fillId="2" borderId="57" xfId="0" applyFont="1" applyFill="1" applyBorder="1"/>
    <xf numFmtId="0" fontId="9" fillId="2" borderId="58" xfId="0" applyFont="1" applyFill="1" applyBorder="1"/>
    <xf numFmtId="0" fontId="12" fillId="3" borderId="8" xfId="0" applyFont="1" applyFill="1" applyBorder="1" applyAlignment="1">
      <alignment horizontal="left" vertical="center"/>
    </xf>
    <xf numFmtId="3" fontId="10" fillId="6" borderId="8" xfId="0" applyNumberFormat="1" applyFont="1" applyFill="1" applyBorder="1" applyAlignment="1">
      <alignment horizontal="center" vertical="center"/>
    </xf>
    <xf numFmtId="3" fontId="12" fillId="3" borderId="8" xfId="0" applyNumberFormat="1" applyFont="1" applyFill="1" applyBorder="1" applyAlignment="1">
      <alignment horizontal="center" vertical="center"/>
    </xf>
    <xf numFmtId="0" fontId="29" fillId="5" borderId="4" xfId="0" applyFont="1" applyFill="1" applyBorder="1" applyAlignment="1">
      <alignment horizontal="left" vertical="center" wrapText="1"/>
    </xf>
    <xf numFmtId="3" fontId="29" fillId="5" borderId="4" xfId="0" applyNumberFormat="1" applyFont="1" applyFill="1" applyBorder="1" applyAlignment="1">
      <alignment horizontal="left" vertical="center" wrapText="1"/>
    </xf>
    <xf numFmtId="37" fontId="10" fillId="6" borderId="8" xfId="0" applyNumberFormat="1" applyFont="1" applyFill="1" applyBorder="1" applyAlignment="1">
      <alignment horizontal="center" vertical="center"/>
    </xf>
    <xf numFmtId="3" fontId="10" fillId="3" borderId="8" xfId="0" applyNumberFormat="1" applyFont="1" applyFill="1" applyBorder="1" applyAlignment="1">
      <alignment horizontal="center" vertical="center"/>
    </xf>
    <xf numFmtId="179" fontId="10" fillId="0" borderId="8" xfId="0" applyNumberFormat="1" applyFont="1" applyBorder="1" applyAlignment="1">
      <alignment horizontal="center" vertical="center"/>
    </xf>
    <xf numFmtId="39" fontId="10" fillId="0" borderId="8" xfId="0" applyNumberFormat="1" applyFont="1" applyBorder="1" applyAlignment="1">
      <alignment horizontal="center" vertical="center"/>
    </xf>
    <xf numFmtId="4" fontId="10" fillId="0" borderId="8" xfId="0" applyNumberFormat="1" applyFont="1" applyBorder="1" applyAlignment="1">
      <alignment horizontal="center" vertical="center"/>
    </xf>
    <xf numFmtId="180" fontId="10" fillId="0" borderId="8" xfId="0" applyNumberFormat="1" applyFont="1" applyBorder="1" applyAlignment="1">
      <alignment horizontal="center" vertical="center"/>
    </xf>
    <xf numFmtId="181" fontId="10" fillId="0" borderId="8" xfId="0" applyNumberFormat="1" applyFont="1" applyBorder="1" applyAlignment="1">
      <alignment horizontal="center" vertical="center"/>
    </xf>
    <xf numFmtId="173" fontId="10" fillId="0" borderId="8" xfId="0" applyNumberFormat="1" applyFont="1" applyBorder="1" applyAlignment="1">
      <alignment horizontal="center" vertical="center"/>
    </xf>
    <xf numFmtId="182" fontId="10" fillId="0" borderId="8" xfId="0" applyNumberFormat="1" applyFont="1" applyBorder="1" applyAlignment="1">
      <alignment horizontal="center" vertical="center"/>
    </xf>
    <xf numFmtId="183" fontId="10" fillId="0" borderId="8" xfId="0" applyNumberFormat="1" applyFont="1" applyBorder="1" applyAlignment="1">
      <alignment horizontal="center" vertical="center"/>
    </xf>
    <xf numFmtId="184" fontId="10" fillId="0" borderId="8" xfId="0" applyNumberFormat="1" applyFont="1" applyBorder="1" applyAlignment="1">
      <alignment horizontal="center" vertical="center"/>
    </xf>
    <xf numFmtId="0" fontId="29" fillId="5" borderId="4" xfId="0" applyFont="1" applyFill="1" applyBorder="1" applyAlignment="1">
      <alignment vertical="center" wrapText="1"/>
    </xf>
    <xf numFmtId="0" fontId="29" fillId="3" borderId="4" xfId="0" applyFont="1" applyFill="1" applyBorder="1" applyAlignment="1">
      <alignment vertical="center" wrapText="1"/>
    </xf>
    <xf numFmtId="4" fontId="12" fillId="27" borderId="8" xfId="0" applyNumberFormat="1" applyFont="1" applyFill="1" applyBorder="1" applyAlignment="1">
      <alignment horizontal="center" vertical="center"/>
    </xf>
    <xf numFmtId="0" fontId="30" fillId="3" borderId="4" xfId="0" applyFont="1" applyFill="1" applyBorder="1" applyAlignment="1">
      <alignment vertical="center"/>
    </xf>
    <xf numFmtId="49" fontId="20" fillId="3" borderId="4" xfId="0" applyNumberFormat="1" applyFont="1" applyFill="1" applyBorder="1"/>
    <xf numFmtId="0" fontId="23" fillId="27" borderId="36" xfId="0" applyFont="1" applyFill="1" applyBorder="1"/>
    <xf numFmtId="37" fontId="12" fillId="27" borderId="36" xfId="0" applyNumberFormat="1" applyFont="1" applyFill="1" applyBorder="1" applyAlignment="1">
      <alignment horizontal="center"/>
    </xf>
    <xf numFmtId="9" fontId="12" fillId="27" borderId="36" xfId="0" applyNumberFormat="1" applyFont="1" applyFill="1" applyBorder="1" applyAlignment="1">
      <alignment horizontal="center"/>
    </xf>
    <xf numFmtId="0" fontId="31" fillId="3" borderId="4" xfId="0" applyFont="1" applyFill="1" applyBorder="1"/>
    <xf numFmtId="0" fontId="9" fillId="9" borderId="28" xfId="0" applyFont="1" applyFill="1" applyBorder="1" applyAlignment="1">
      <alignment horizontal="center" vertical="center"/>
    </xf>
    <xf numFmtId="167" fontId="10" fillId="3" borderId="8" xfId="0" applyNumberFormat="1" applyFont="1" applyFill="1" applyBorder="1" applyAlignment="1">
      <alignment horizontal="center" vertical="center" wrapText="1"/>
    </xf>
    <xf numFmtId="0" fontId="10" fillId="0" borderId="8" xfId="0" applyFont="1" applyBorder="1" applyAlignment="1">
      <alignment vertical="center" wrapText="1"/>
    </xf>
    <xf numFmtId="175" fontId="10" fillId="3" borderId="8" xfId="0" applyNumberFormat="1" applyFont="1" applyFill="1" applyBorder="1" applyAlignment="1">
      <alignment horizontal="center" vertical="center" wrapText="1"/>
    </xf>
    <xf numFmtId="0" fontId="10" fillId="3" borderId="4" xfId="0" applyFont="1" applyFill="1" applyBorder="1" applyAlignment="1">
      <alignment horizontal="left" vertical="center"/>
    </xf>
    <xf numFmtId="0" fontId="9" fillId="2" borderId="8" xfId="0" applyFont="1" applyFill="1" applyBorder="1" applyAlignment="1">
      <alignment vertical="center"/>
    </xf>
    <xf numFmtId="0" fontId="9" fillId="2" borderId="8" xfId="0" applyFont="1" applyFill="1" applyBorder="1" applyAlignment="1">
      <alignment horizontal="center" vertical="center"/>
    </xf>
    <xf numFmtId="0" fontId="13" fillId="3" borderId="8" xfId="0" applyFont="1" applyFill="1" applyBorder="1" applyAlignment="1">
      <alignment horizontal="center" vertical="center" wrapText="1"/>
    </xf>
    <xf numFmtId="0" fontId="9" fillId="2" borderId="23" xfId="0" applyFont="1" applyFill="1" applyBorder="1"/>
    <xf numFmtId="0" fontId="23" fillId="27" borderId="54" xfId="0" applyFont="1" applyFill="1" applyBorder="1" applyAlignment="1">
      <alignment horizontal="right" vertical="center"/>
    </xf>
    <xf numFmtId="3" fontId="12" fillId="27" borderId="36" xfId="0" applyNumberFormat="1" applyFont="1" applyFill="1" applyBorder="1" applyAlignment="1">
      <alignment horizontal="center" vertical="center"/>
    </xf>
    <xf numFmtId="0" fontId="9" fillId="9" borderId="59" xfId="0" applyFont="1" applyFill="1" applyBorder="1" applyAlignment="1">
      <alignment horizontal="center" vertical="center"/>
    </xf>
    <xf numFmtId="0" fontId="23" fillId="27" borderId="8" xfId="0" applyFont="1" applyFill="1" applyBorder="1" applyAlignment="1">
      <alignment horizontal="center" vertical="center" wrapText="1"/>
    </xf>
    <xf numFmtId="49" fontId="12" fillId="27" borderId="8" xfId="0" applyNumberFormat="1" applyFont="1" applyFill="1" applyBorder="1" applyAlignment="1">
      <alignment horizontal="center" vertical="center" wrapText="1"/>
    </xf>
    <xf numFmtId="3" fontId="10" fillId="0" borderId="8" xfId="0" applyNumberFormat="1" applyFont="1" applyBorder="1" applyAlignment="1">
      <alignment horizontal="center" wrapText="1"/>
    </xf>
    <xf numFmtId="0" fontId="9" fillId="2" borderId="24" xfId="0" applyFont="1" applyFill="1" applyBorder="1"/>
    <xf numFmtId="0" fontId="9" fillId="2" borderId="25" xfId="0" applyFont="1" applyFill="1" applyBorder="1"/>
    <xf numFmtId="0" fontId="9" fillId="9" borderId="58" xfId="0" applyFont="1" applyFill="1" applyBorder="1" applyAlignment="1">
      <alignment horizontal="center" vertical="center"/>
    </xf>
    <xf numFmtId="0" fontId="9" fillId="9" borderId="59" xfId="0" applyFont="1" applyFill="1" applyBorder="1" applyAlignment="1">
      <alignment horizontal="center" vertical="center" wrapText="1"/>
    </xf>
    <xf numFmtId="3" fontId="10" fillId="24" borderId="8" xfId="0" applyNumberFormat="1" applyFont="1" applyFill="1" applyBorder="1" applyAlignment="1">
      <alignment horizontal="center" wrapText="1"/>
    </xf>
    <xf numFmtId="0" fontId="10" fillId="3" borderId="4" xfId="0" applyFont="1" applyFill="1" applyBorder="1" applyAlignment="1">
      <alignment horizontal="left" vertical="top" wrapText="1"/>
    </xf>
    <xf numFmtId="3" fontId="12" fillId="27" borderId="36" xfId="0" applyNumberFormat="1" applyFont="1" applyFill="1" applyBorder="1" applyAlignment="1">
      <alignment horizontal="center"/>
    </xf>
    <xf numFmtId="0" fontId="10" fillId="3" borderId="4" xfId="0" applyFont="1" applyFill="1" applyBorder="1" applyAlignment="1">
      <alignment vertical="top" wrapText="1"/>
    </xf>
    <xf numFmtId="3" fontId="10" fillId="8" borderId="8" xfId="0" applyNumberFormat="1" applyFont="1" applyFill="1" applyBorder="1" applyAlignment="1">
      <alignment horizontal="center" vertical="center"/>
    </xf>
    <xf numFmtId="164" fontId="10" fillId="8" borderId="8" xfId="0" applyNumberFormat="1" applyFont="1" applyFill="1" applyBorder="1" applyAlignment="1">
      <alignment horizontal="center" vertical="center"/>
    </xf>
    <xf numFmtId="0" fontId="10" fillId="3" borderId="36" xfId="0" applyFont="1" applyFill="1" applyBorder="1" applyAlignment="1">
      <alignment vertical="center"/>
    </xf>
    <xf numFmtId="167" fontId="10" fillId="8" borderId="36" xfId="0" applyNumberFormat="1" applyFont="1" applyFill="1" applyBorder="1" applyAlignment="1">
      <alignment horizontal="center" vertical="center"/>
    </xf>
    <xf numFmtId="0" fontId="24" fillId="3" borderId="4" xfId="0" applyFont="1" applyFill="1" applyBorder="1"/>
    <xf numFmtId="0" fontId="3" fillId="2" borderId="4" xfId="0" applyFont="1" applyFill="1" applyBorder="1" applyAlignment="1">
      <alignment horizontal="left" vertical="center"/>
    </xf>
    <xf numFmtId="49" fontId="6" fillId="4" borderId="24" xfId="0" applyNumberFormat="1" applyFont="1" applyFill="1" applyBorder="1" applyAlignment="1">
      <alignment wrapText="1"/>
    </xf>
    <xf numFmtId="49" fontId="6" fillId="4" borderId="25" xfId="0" applyNumberFormat="1" applyFont="1" applyFill="1" applyBorder="1" applyAlignment="1">
      <alignment wrapText="1"/>
    </xf>
    <xf numFmtId="0" fontId="9" fillId="9" borderId="7" xfId="0" applyFont="1" applyFill="1" applyBorder="1" applyAlignment="1">
      <alignment horizontal="center" vertical="center" wrapText="1"/>
    </xf>
    <xf numFmtId="0" fontId="9" fillId="9" borderId="7" xfId="0" applyFont="1" applyFill="1" applyBorder="1" applyAlignment="1">
      <alignment horizontal="center" vertical="center"/>
    </xf>
    <xf numFmtId="49" fontId="6" fillId="3" borderId="4" xfId="0" applyNumberFormat="1" applyFont="1" applyFill="1" applyBorder="1"/>
    <xf numFmtId="49" fontId="6" fillId="3" borderId="4" xfId="0" applyNumberFormat="1" applyFont="1" applyFill="1" applyBorder="1" applyAlignment="1">
      <alignment wrapText="1"/>
    </xf>
    <xf numFmtId="3" fontId="13" fillId="3" borderId="8" xfId="0" applyNumberFormat="1" applyFont="1" applyFill="1" applyBorder="1" applyAlignment="1">
      <alignment horizontal="center" vertical="center"/>
    </xf>
    <xf numFmtId="3" fontId="13" fillId="3" borderId="8" xfId="0" applyNumberFormat="1" applyFont="1" applyFill="1" applyBorder="1" applyAlignment="1">
      <alignment horizontal="center"/>
    </xf>
    <xf numFmtId="49" fontId="32" fillId="3" borderId="4" xfId="0" applyNumberFormat="1" applyFont="1" applyFill="1" applyBorder="1"/>
    <xf numFmtId="49" fontId="32" fillId="3" borderId="4" xfId="0" applyNumberFormat="1" applyFont="1" applyFill="1" applyBorder="1" applyAlignment="1">
      <alignment wrapText="1"/>
    </xf>
    <xf numFmtId="169" fontId="10" fillId="3" borderId="8" xfId="0" applyNumberFormat="1" applyFont="1" applyFill="1" applyBorder="1" applyAlignment="1">
      <alignment horizontal="center" vertical="center" wrapText="1"/>
    </xf>
    <xf numFmtId="0" fontId="23" fillId="27" borderId="36" xfId="0" applyFont="1" applyFill="1" applyBorder="1" applyAlignment="1">
      <alignment vertical="center"/>
    </xf>
    <xf numFmtId="9" fontId="12" fillId="27" borderId="36" xfId="0" applyNumberFormat="1" applyFont="1" applyFill="1" applyBorder="1" applyAlignment="1">
      <alignment horizontal="center" vertical="center"/>
    </xf>
    <xf numFmtId="49" fontId="32" fillId="3" borderId="4" xfId="0" applyNumberFormat="1" applyFont="1" applyFill="1" applyBorder="1" applyAlignment="1">
      <alignment vertical="center"/>
    </xf>
    <xf numFmtId="49" fontId="32" fillId="3" borderId="4" xfId="0" applyNumberFormat="1" applyFont="1" applyFill="1" applyBorder="1" applyAlignment="1">
      <alignment vertical="center" wrapText="1"/>
    </xf>
    <xf numFmtId="49" fontId="28" fillId="4" borderId="24" xfId="0" applyNumberFormat="1" applyFont="1" applyFill="1" applyBorder="1" applyAlignment="1">
      <alignment horizontal="left" vertical="center"/>
    </xf>
    <xf numFmtId="49" fontId="6" fillId="4" borderId="24" xfId="0" applyNumberFormat="1" applyFont="1" applyFill="1" applyBorder="1"/>
    <xf numFmtId="49" fontId="6" fillId="4" borderId="25" xfId="0" applyNumberFormat="1" applyFont="1" applyFill="1" applyBorder="1"/>
    <xf numFmtId="0" fontId="13" fillId="0" borderId="0" xfId="0" applyFont="1" applyAlignment="1">
      <alignment vertical="center"/>
    </xf>
    <xf numFmtId="0" fontId="11" fillId="3" borderId="4" xfId="0" applyFont="1" applyFill="1" applyBorder="1" applyAlignment="1">
      <alignment vertical="center"/>
    </xf>
    <xf numFmtId="0" fontId="11" fillId="3" borderId="4" xfId="0" applyFont="1" applyFill="1" applyBorder="1" applyAlignment="1">
      <alignment vertical="center" wrapText="1"/>
    </xf>
    <xf numFmtId="49" fontId="28" fillId="4" borderId="23" xfId="0" applyNumberFormat="1" applyFont="1" applyFill="1" applyBorder="1" applyAlignment="1">
      <alignment wrapText="1"/>
    </xf>
    <xf numFmtId="0" fontId="33" fillId="0" borderId="0" xfId="0" applyFont="1"/>
    <xf numFmtId="0" fontId="7" fillId="5" borderId="4" xfId="0" applyFont="1" applyFill="1" applyBorder="1" applyAlignment="1">
      <alignment vertical="center"/>
    </xf>
    <xf numFmtId="175" fontId="13" fillId="7" borderId="8" xfId="0" applyNumberFormat="1" applyFont="1" applyFill="1" applyBorder="1" applyAlignment="1">
      <alignment horizontal="center" vertical="center"/>
    </xf>
    <xf numFmtId="0" fontId="34" fillId="5" borderId="4" xfId="0" applyFont="1" applyFill="1" applyBorder="1" applyAlignment="1">
      <alignment horizontal="center" vertical="center" wrapText="1"/>
    </xf>
    <xf numFmtId="0" fontId="29" fillId="5" borderId="4" xfId="0" applyFont="1" applyFill="1" applyBorder="1" applyAlignment="1">
      <alignment horizontal="center" vertical="center" wrapText="1"/>
    </xf>
    <xf numFmtId="2" fontId="5" fillId="5" borderId="4" xfId="0" applyNumberFormat="1" applyFont="1" applyFill="1" applyBorder="1" applyAlignment="1">
      <alignment horizontal="center" vertical="center"/>
    </xf>
    <xf numFmtId="0" fontId="5" fillId="5" borderId="4" xfId="0" applyFont="1" applyFill="1" applyBorder="1" applyAlignment="1">
      <alignment vertical="center"/>
    </xf>
    <xf numFmtId="168" fontId="35" fillId="5" borderId="4" xfId="0" applyNumberFormat="1" applyFont="1" applyFill="1" applyBorder="1" applyAlignment="1">
      <alignment horizontal="center" vertical="center" wrapText="1"/>
    </xf>
    <xf numFmtId="0" fontId="5" fillId="5" borderId="4" xfId="0" applyFont="1" applyFill="1" applyBorder="1" applyAlignment="1">
      <alignment horizontal="center" vertical="center"/>
    </xf>
    <xf numFmtId="168" fontId="5" fillId="5" borderId="4" xfId="0" applyNumberFormat="1" applyFont="1" applyFill="1" applyBorder="1" applyAlignment="1">
      <alignment horizontal="center" vertical="center"/>
    </xf>
    <xf numFmtId="176" fontId="13" fillId="7" borderId="8" xfId="0" applyNumberFormat="1" applyFont="1" applyFill="1" applyBorder="1" applyAlignment="1">
      <alignment horizontal="center" vertical="center"/>
    </xf>
    <xf numFmtId="43" fontId="7" fillId="5" borderId="4" xfId="0" applyNumberFormat="1" applyFont="1" applyFill="1" applyBorder="1" applyAlignment="1">
      <alignment vertical="center"/>
    </xf>
    <xf numFmtId="167" fontId="13" fillId="7" borderId="8" xfId="0" applyNumberFormat="1" applyFont="1" applyFill="1" applyBorder="1" applyAlignment="1">
      <alignment horizontal="center" vertical="center"/>
    </xf>
    <xf numFmtId="43" fontId="5" fillId="3" borderId="4" xfId="0" applyNumberFormat="1" applyFont="1" applyFill="1" applyBorder="1" applyAlignment="1">
      <alignment vertical="center"/>
    </xf>
    <xf numFmtId="0" fontId="9" fillId="23" borderId="8" xfId="0" applyFont="1" applyFill="1" applyBorder="1" applyAlignment="1">
      <alignment horizontal="center" vertical="center"/>
    </xf>
    <xf numFmtId="0" fontId="13" fillId="0" borderId="8" xfId="0" applyFont="1" applyBorder="1" applyAlignment="1">
      <alignment vertical="center" wrapText="1"/>
    </xf>
    <xf numFmtId="4" fontId="10" fillId="8" borderId="8" xfId="0" applyNumberFormat="1" applyFont="1" applyFill="1" applyBorder="1" applyAlignment="1">
      <alignment horizontal="center" vertical="center"/>
    </xf>
    <xf numFmtId="9" fontId="10" fillId="7" borderId="8" xfId="0" applyNumberFormat="1" applyFont="1" applyFill="1" applyBorder="1" applyAlignment="1">
      <alignment horizontal="center" vertical="center"/>
    </xf>
    <xf numFmtId="9" fontId="10" fillId="24" borderId="8" xfId="0" applyNumberFormat="1" applyFont="1" applyFill="1" applyBorder="1" applyAlignment="1">
      <alignment horizontal="center" vertical="center"/>
    </xf>
    <xf numFmtId="0" fontId="13" fillId="0" borderId="8" xfId="0" applyFont="1" applyBorder="1" applyAlignment="1">
      <alignment vertical="center"/>
    </xf>
    <xf numFmtId="4" fontId="10" fillId="24" borderId="8" xfId="0" applyNumberFormat="1" applyFont="1" applyFill="1" applyBorder="1" applyAlignment="1">
      <alignment horizontal="center" vertical="center"/>
    </xf>
    <xf numFmtId="0" fontId="10" fillId="0" borderId="0" xfId="0" applyFont="1"/>
    <xf numFmtId="0" fontId="9" fillId="9" borderId="36" xfId="0" applyFont="1" applyFill="1" applyBorder="1" applyAlignment="1">
      <alignment horizontal="center" vertical="center" wrapText="1"/>
    </xf>
    <xf numFmtId="0" fontId="9" fillId="9" borderId="8" xfId="0" applyFont="1" applyFill="1" applyBorder="1" applyAlignment="1">
      <alignment horizontal="center" vertical="center" wrapText="1"/>
    </xf>
    <xf numFmtId="0" fontId="15" fillId="28" borderId="8" xfId="0" applyFont="1" applyFill="1" applyBorder="1" applyAlignment="1">
      <alignment horizontal="center" vertical="center" wrapText="1"/>
    </xf>
    <xf numFmtId="3" fontId="10" fillId="0" borderId="12" xfId="0" applyNumberFormat="1" applyFont="1" applyBorder="1" applyAlignment="1">
      <alignment horizontal="center" vertical="center"/>
    </xf>
    <xf numFmtId="3" fontId="10" fillId="3" borderId="28" xfId="0" applyNumberFormat="1" applyFont="1" applyFill="1" applyBorder="1" applyAlignment="1">
      <alignment horizontal="center" vertical="center"/>
    </xf>
    <xf numFmtId="0" fontId="23" fillId="27" borderId="8" xfId="0" applyFont="1" applyFill="1" applyBorder="1" applyAlignment="1">
      <alignment horizontal="right" vertical="center"/>
    </xf>
    <xf numFmtId="3" fontId="23" fillId="27" borderId="8" xfId="0" applyNumberFormat="1" applyFont="1" applyFill="1" applyBorder="1" applyAlignment="1">
      <alignment horizontal="center" vertical="center"/>
    </xf>
    <xf numFmtId="3" fontId="7" fillId="3" borderId="4" xfId="0" applyNumberFormat="1" applyFont="1" applyFill="1" applyBorder="1" applyAlignment="1">
      <alignment vertical="center"/>
    </xf>
    <xf numFmtId="0" fontId="33" fillId="3" borderId="4" xfId="0" applyFont="1" applyFill="1" applyBorder="1"/>
    <xf numFmtId="0" fontId="9" fillId="9" borderId="36" xfId="0" applyFont="1" applyFill="1" applyBorder="1" applyAlignment="1">
      <alignment horizontal="center" vertical="center"/>
    </xf>
    <xf numFmtId="3" fontId="10" fillId="24" borderId="8" xfId="0" applyNumberFormat="1" applyFont="1" applyFill="1" applyBorder="1" applyAlignment="1">
      <alignment horizontal="center" vertical="center"/>
    </xf>
    <xf numFmtId="3" fontId="13" fillId="3" borderId="28" xfId="0" applyNumberFormat="1" applyFont="1" applyFill="1" applyBorder="1" applyAlignment="1">
      <alignment horizontal="center" vertical="center"/>
    </xf>
    <xf numFmtId="3" fontId="13" fillId="0" borderId="12" xfId="0" applyNumberFormat="1" applyFont="1" applyBorder="1" applyAlignment="1">
      <alignment horizontal="center" vertical="center"/>
    </xf>
    <xf numFmtId="9" fontId="13" fillId="24" borderId="8" xfId="0" applyNumberFormat="1" applyFont="1" applyFill="1" applyBorder="1" applyAlignment="1">
      <alignment horizontal="center" vertical="center"/>
    </xf>
    <xf numFmtId="164" fontId="10" fillId="0" borderId="8" xfId="0" applyNumberFormat="1" applyFont="1" applyBorder="1" applyAlignment="1">
      <alignment horizontal="center" vertical="center"/>
    </xf>
    <xf numFmtId="9" fontId="33" fillId="3" borderId="4" xfId="0" applyNumberFormat="1" applyFont="1" applyFill="1" applyBorder="1"/>
    <xf numFmtId="37" fontId="10" fillId="3" borderId="8" xfId="0" applyNumberFormat="1" applyFont="1" applyFill="1" applyBorder="1" applyAlignment="1">
      <alignment horizontal="center" vertical="center" wrapText="1"/>
    </xf>
    <xf numFmtId="9" fontId="10" fillId="3" borderId="4" xfId="0" applyNumberFormat="1" applyFont="1" applyFill="1" applyBorder="1" applyAlignment="1">
      <alignment horizontal="center"/>
    </xf>
    <xf numFmtId="9" fontId="10" fillId="3" borderId="4" xfId="0" applyNumberFormat="1" applyFont="1" applyFill="1" applyBorder="1" applyAlignment="1">
      <alignment horizontal="center" vertical="center" wrapText="1"/>
    </xf>
    <xf numFmtId="0" fontId="33" fillId="3" borderId="4" xfId="0" applyFont="1" applyFill="1" applyBorder="1" applyAlignment="1">
      <alignment vertical="center"/>
    </xf>
    <xf numFmtId="3" fontId="13" fillId="0" borderId="8" xfId="0" applyNumberFormat="1" applyFont="1" applyBorder="1" applyAlignment="1">
      <alignment horizontal="center" vertical="center"/>
    </xf>
    <xf numFmtId="169" fontId="13" fillId="0" borderId="8" xfId="0" applyNumberFormat="1" applyFont="1" applyBorder="1" applyAlignment="1">
      <alignment horizontal="center" vertical="center"/>
    </xf>
    <xf numFmtId="4" fontId="13" fillId="0" borderId="8" xfId="0" applyNumberFormat="1" applyFont="1" applyBorder="1" applyAlignment="1">
      <alignment horizontal="center" vertical="center"/>
    </xf>
    <xf numFmtId="181" fontId="13" fillId="0" borderId="8" xfId="0" applyNumberFormat="1" applyFont="1" applyBorder="1" applyAlignment="1">
      <alignment horizontal="center" vertical="center"/>
    </xf>
    <xf numFmtId="173" fontId="13" fillId="0" borderId="8" xfId="0" applyNumberFormat="1" applyFont="1" applyBorder="1" applyAlignment="1">
      <alignment horizontal="center" vertical="center"/>
    </xf>
    <xf numFmtId="182" fontId="13" fillId="0" borderId="8" xfId="0" applyNumberFormat="1" applyFont="1" applyBorder="1" applyAlignment="1">
      <alignment horizontal="center" vertical="center"/>
    </xf>
    <xf numFmtId="185" fontId="13" fillId="0" borderId="8" xfId="0" applyNumberFormat="1" applyFont="1" applyBorder="1" applyAlignment="1">
      <alignment horizontal="center" vertical="center"/>
    </xf>
    <xf numFmtId="0" fontId="34" fillId="3" borderId="4" xfId="0" applyFont="1" applyFill="1" applyBorder="1" applyAlignment="1">
      <alignment horizontal="right" vertical="center"/>
    </xf>
    <xf numFmtId="169" fontId="34" fillId="3" borderId="4" xfId="0" applyNumberFormat="1" applyFont="1" applyFill="1" applyBorder="1" applyAlignment="1">
      <alignment horizontal="center" vertical="center"/>
    </xf>
    <xf numFmtId="3" fontId="10" fillId="7" borderId="25" xfId="0" applyNumberFormat="1" applyFont="1" applyFill="1" applyBorder="1" applyAlignment="1">
      <alignment horizontal="center" vertical="center"/>
    </xf>
    <xf numFmtId="9" fontId="10" fillId="0" borderId="8" xfId="0" applyNumberFormat="1" applyFont="1" applyBorder="1" applyAlignment="1">
      <alignment horizontal="center"/>
    </xf>
    <xf numFmtId="173" fontId="10" fillId="0" borderId="8" xfId="0" applyNumberFormat="1" applyFont="1" applyBorder="1" applyAlignment="1">
      <alignment horizontal="center"/>
    </xf>
    <xf numFmtId="0" fontId="36" fillId="27" borderId="36" xfId="0" applyFont="1" applyFill="1" applyBorder="1"/>
    <xf numFmtId="3" fontId="36" fillId="27" borderId="36" xfId="0" applyNumberFormat="1" applyFont="1" applyFill="1" applyBorder="1" applyAlignment="1">
      <alignment horizontal="center"/>
    </xf>
    <xf numFmtId="9" fontId="36" fillId="27" borderId="36" xfId="0" applyNumberFormat="1" applyFont="1" applyFill="1" applyBorder="1" applyAlignment="1">
      <alignment horizontal="center"/>
    </xf>
    <xf numFmtId="173" fontId="36" fillId="27" borderId="36" xfId="0" applyNumberFormat="1" applyFont="1" applyFill="1" applyBorder="1" applyAlignment="1">
      <alignment horizontal="center"/>
    </xf>
    <xf numFmtId="0" fontId="5" fillId="3" borderId="9" xfId="0" applyFont="1" applyFill="1" applyBorder="1" applyAlignment="1">
      <alignment horizontal="left" vertical="center" wrapText="1"/>
    </xf>
    <xf numFmtId="0" fontId="9" fillId="9" borderId="8" xfId="0" applyFont="1" applyFill="1" applyBorder="1" applyAlignment="1">
      <alignment horizontal="center" wrapText="1"/>
    </xf>
    <xf numFmtId="173" fontId="10" fillId="3" borderId="8" xfId="0" applyNumberFormat="1" applyFont="1" applyFill="1" applyBorder="1" applyAlignment="1">
      <alignment horizontal="center" vertical="center"/>
    </xf>
    <xf numFmtId="173" fontId="10" fillId="8" borderId="8" xfId="0" applyNumberFormat="1" applyFont="1" applyFill="1" applyBorder="1" applyAlignment="1">
      <alignment horizontal="center" vertical="center"/>
    </xf>
    <xf numFmtId="181" fontId="10" fillId="3" borderId="8" xfId="0" applyNumberFormat="1" applyFont="1" applyFill="1" applyBorder="1" applyAlignment="1">
      <alignment horizontal="center" vertical="center"/>
    </xf>
    <xf numFmtId="181" fontId="10" fillId="8" borderId="8" xfId="0" applyNumberFormat="1" applyFont="1" applyFill="1" applyBorder="1" applyAlignment="1">
      <alignment horizontal="center" vertical="center"/>
    </xf>
    <xf numFmtId="0" fontId="13" fillId="3" borderId="8" xfId="0" applyFont="1" applyFill="1" applyBorder="1" applyAlignment="1">
      <alignment horizontal="center" vertical="center"/>
    </xf>
    <xf numFmtId="0" fontId="9" fillId="3" borderId="4" xfId="0" applyFont="1" applyFill="1" applyBorder="1"/>
    <xf numFmtId="169" fontId="10" fillId="8" borderId="23" xfId="0" applyNumberFormat="1" applyFont="1" applyFill="1" applyBorder="1" applyAlignment="1">
      <alignment horizontal="center" vertical="center" wrapText="1"/>
    </xf>
    <xf numFmtId="0" fontId="33" fillId="3" borderId="8" xfId="0" applyFont="1" applyFill="1" applyBorder="1" applyAlignment="1">
      <alignment horizontal="center"/>
    </xf>
    <xf numFmtId="0" fontId="13" fillId="0" borderId="31" xfId="0" applyFont="1" applyBorder="1" applyAlignment="1">
      <alignment vertical="center"/>
    </xf>
    <xf numFmtId="169" fontId="10" fillId="8" borderId="54" xfId="0" applyNumberFormat="1" applyFont="1" applyFill="1" applyBorder="1" applyAlignment="1">
      <alignment horizontal="center" vertical="center" wrapText="1"/>
    </xf>
    <xf numFmtId="0" fontId="33" fillId="3" borderId="36" xfId="0" applyFont="1" applyFill="1" applyBorder="1" applyAlignment="1">
      <alignment horizontal="center"/>
    </xf>
    <xf numFmtId="0" fontId="10" fillId="3" borderId="8" xfId="0" applyFont="1" applyFill="1" applyBorder="1" applyAlignment="1">
      <alignment horizontal="left" vertical="center"/>
    </xf>
    <xf numFmtId="165" fontId="10" fillId="8" borderId="8" xfId="0" applyNumberFormat="1" applyFont="1" applyFill="1" applyBorder="1" applyAlignment="1">
      <alignment horizontal="center" vertical="center" wrapText="1"/>
    </xf>
    <xf numFmtId="3" fontId="10" fillId="6" borderId="23" xfId="0" applyNumberFormat="1" applyFont="1" applyFill="1" applyBorder="1" applyAlignment="1">
      <alignment horizontal="center" vertical="center" wrapText="1"/>
    </xf>
    <xf numFmtId="4" fontId="10" fillId="0" borderId="3" xfId="0" applyNumberFormat="1" applyFont="1" applyBorder="1" applyAlignment="1">
      <alignment horizontal="center"/>
    </xf>
    <xf numFmtId="0" fontId="36" fillId="27" borderId="8" xfId="0" applyFont="1" applyFill="1" applyBorder="1"/>
    <xf numFmtId="3" fontId="36" fillId="27" borderId="8" xfId="0" applyNumberFormat="1" applyFont="1" applyFill="1" applyBorder="1" applyAlignment="1">
      <alignment horizontal="center"/>
    </xf>
    <xf numFmtId="4" fontId="36" fillId="27" borderId="8" xfId="0" applyNumberFormat="1" applyFont="1" applyFill="1" applyBorder="1" applyAlignment="1">
      <alignment horizontal="center"/>
    </xf>
    <xf numFmtId="3" fontId="36" fillId="29" borderId="8" xfId="0" applyNumberFormat="1" applyFont="1" applyFill="1" applyBorder="1" applyAlignment="1">
      <alignment horizontal="center"/>
    </xf>
    <xf numFmtId="4" fontId="36" fillId="29" borderId="8" xfId="0" applyNumberFormat="1" applyFont="1" applyFill="1" applyBorder="1" applyAlignment="1">
      <alignment horizontal="center"/>
    </xf>
    <xf numFmtId="3" fontId="13" fillId="5" borderId="8" xfId="0" applyNumberFormat="1" applyFont="1" applyFill="1" applyBorder="1" applyAlignment="1">
      <alignment horizontal="center" vertical="center"/>
    </xf>
    <xf numFmtId="3" fontId="10" fillId="0" borderId="3" xfId="0" applyNumberFormat="1" applyFont="1" applyBorder="1" applyAlignment="1">
      <alignment horizontal="center"/>
    </xf>
    <xf numFmtId="181" fontId="10" fillId="0" borderId="3" xfId="0" applyNumberFormat="1" applyFont="1" applyBorder="1" applyAlignment="1">
      <alignment horizontal="center"/>
    </xf>
    <xf numFmtId="173" fontId="10" fillId="0" borderId="3" xfId="0" applyNumberFormat="1" applyFont="1" applyBorder="1" applyAlignment="1">
      <alignment horizontal="center"/>
    </xf>
    <xf numFmtId="169" fontId="10" fillId="0" borderId="3" xfId="0" applyNumberFormat="1" applyFont="1" applyBorder="1" applyAlignment="1">
      <alignment horizontal="center"/>
    </xf>
    <xf numFmtId="169" fontId="36" fillId="27" borderId="8" xfId="0" applyNumberFormat="1" applyFont="1" applyFill="1" applyBorder="1" applyAlignment="1">
      <alignment horizontal="center"/>
    </xf>
    <xf numFmtId="3" fontId="21" fillId="27" borderId="8" xfId="0" applyNumberFormat="1" applyFont="1" applyFill="1" applyBorder="1" applyAlignment="1">
      <alignment horizontal="center"/>
    </xf>
    <xf numFmtId="181" fontId="21" fillId="27" borderId="8" xfId="0" applyNumberFormat="1" applyFont="1" applyFill="1" applyBorder="1" applyAlignment="1">
      <alignment horizontal="center"/>
    </xf>
    <xf numFmtId="173" fontId="21" fillId="27" borderId="8" xfId="0" applyNumberFormat="1" applyFont="1" applyFill="1" applyBorder="1" applyAlignment="1">
      <alignment horizontal="center"/>
    </xf>
    <xf numFmtId="169" fontId="36" fillId="29" borderId="8" xfId="0" applyNumberFormat="1" applyFont="1" applyFill="1" applyBorder="1" applyAlignment="1">
      <alignment horizontal="center"/>
    </xf>
    <xf numFmtId="186" fontId="10" fillId="0" borderId="3" xfId="0" applyNumberFormat="1" applyFont="1" applyBorder="1" applyAlignment="1">
      <alignment horizontal="center"/>
    </xf>
    <xf numFmtId="187" fontId="10" fillId="0" borderId="3" xfId="0" applyNumberFormat="1" applyFont="1" applyBorder="1" applyAlignment="1">
      <alignment horizontal="center"/>
    </xf>
    <xf numFmtId="0" fontId="37" fillId="3" borderId="4" xfId="0" applyFont="1" applyFill="1" applyBorder="1" applyAlignment="1">
      <alignment horizontal="left" vertical="center" wrapText="1"/>
    </xf>
    <xf numFmtId="0" fontId="38" fillId="3" borderId="4" xfId="0" applyFont="1" applyFill="1" applyBorder="1" applyAlignment="1">
      <alignment horizontal="left" vertical="center" wrapText="1"/>
    </xf>
    <xf numFmtId="0" fontId="12" fillId="27" borderId="36" xfId="0" applyFont="1" applyFill="1" applyBorder="1"/>
    <xf numFmtId="4" fontId="38" fillId="3" borderId="4" xfId="0" applyNumberFormat="1" applyFont="1" applyFill="1" applyBorder="1" applyAlignment="1">
      <alignment horizontal="left" vertical="center" wrapText="1"/>
    </xf>
    <xf numFmtId="0" fontId="15" fillId="9" borderId="57" xfId="0" applyFont="1" applyFill="1" applyBorder="1" applyAlignment="1">
      <alignment horizontal="center" vertical="center"/>
    </xf>
    <xf numFmtId="2" fontId="13" fillId="8" borderId="8" xfId="0" applyNumberFormat="1" applyFont="1" applyFill="1" applyBorder="1" applyAlignment="1">
      <alignment horizontal="center" vertical="center"/>
    </xf>
    <xf numFmtId="1" fontId="13" fillId="8" borderId="8" xfId="0" applyNumberFormat="1" applyFont="1" applyFill="1" applyBorder="1" applyAlignment="1">
      <alignment horizontal="center" vertical="center"/>
    </xf>
    <xf numFmtId="165" fontId="13" fillId="8" borderId="8" xfId="0" applyNumberFormat="1" applyFont="1" applyFill="1" applyBorder="1" applyAlignment="1">
      <alignment horizontal="center" vertical="center"/>
    </xf>
    <xf numFmtId="2" fontId="13" fillId="8" borderId="36" xfId="0" applyNumberFormat="1" applyFont="1" applyFill="1" applyBorder="1" applyAlignment="1">
      <alignment horizontal="center" vertical="center"/>
    </xf>
    <xf numFmtId="0" fontId="13" fillId="5" borderId="36" xfId="0" applyFont="1" applyFill="1" applyBorder="1" applyAlignment="1">
      <alignment horizontal="center" vertical="center"/>
    </xf>
    <xf numFmtId="0" fontId="8" fillId="3" borderId="8" xfId="0" applyFont="1" applyFill="1" applyBorder="1" applyAlignment="1">
      <alignment horizontal="center"/>
    </xf>
    <xf numFmtId="3" fontId="10" fillId="6" borderId="8" xfId="0" applyNumberFormat="1" applyFont="1" applyFill="1" applyBorder="1" applyAlignment="1">
      <alignment horizontal="center"/>
    </xf>
    <xf numFmtId="4" fontId="10" fillId="3" borderId="8" xfId="0" applyNumberFormat="1" applyFont="1" applyFill="1" applyBorder="1" applyAlignment="1">
      <alignment horizontal="center"/>
    </xf>
    <xf numFmtId="169" fontId="10" fillId="3" borderId="8" xfId="0" applyNumberFormat="1" applyFont="1" applyFill="1" applyBorder="1" applyAlignment="1">
      <alignment horizontal="center"/>
    </xf>
    <xf numFmtId="0" fontId="10" fillId="0" borderId="0" xfId="0" applyFont="1" applyAlignment="1">
      <alignment horizontal="center" vertical="center"/>
    </xf>
    <xf numFmtId="3" fontId="10" fillId="3" borderId="4" xfId="0" applyNumberFormat="1" applyFont="1" applyFill="1" applyBorder="1" applyAlignment="1">
      <alignment horizontal="center"/>
    </xf>
    <xf numFmtId="169" fontId="10" fillId="3" borderId="4" xfId="0" applyNumberFormat="1" applyFont="1" applyFill="1" applyBorder="1" applyAlignment="1">
      <alignment horizontal="center"/>
    </xf>
    <xf numFmtId="4" fontId="10" fillId="3" borderId="4" xfId="0" applyNumberFormat="1" applyFont="1" applyFill="1" applyBorder="1" applyAlignment="1">
      <alignment horizontal="center"/>
    </xf>
    <xf numFmtId="0" fontId="36" fillId="29" borderId="8" xfId="0" applyFont="1" applyFill="1" applyBorder="1"/>
    <xf numFmtId="0" fontId="12" fillId="27" borderId="8" xfId="0" applyFont="1" applyFill="1" applyBorder="1"/>
    <xf numFmtId="0" fontId="39" fillId="3" borderId="4" xfId="0" applyFont="1" applyFill="1" applyBorder="1" applyAlignment="1">
      <alignment vertical="center" wrapText="1"/>
    </xf>
    <xf numFmtId="3" fontId="10" fillId="3" borderId="4" xfId="0" applyNumberFormat="1" applyFont="1" applyFill="1" applyBorder="1" applyAlignment="1">
      <alignment horizontal="center" vertical="center" wrapText="1"/>
    </xf>
    <xf numFmtId="0" fontId="6" fillId="4" borderId="23" xfId="0" applyFont="1" applyFill="1" applyBorder="1" applyAlignment="1">
      <alignment horizontal="left" vertical="center"/>
    </xf>
    <xf numFmtId="0" fontId="6" fillId="4" borderId="24" xfId="0" applyFont="1" applyFill="1" applyBorder="1" applyAlignment="1">
      <alignment horizontal="left" vertical="center"/>
    </xf>
    <xf numFmtId="0" fontId="6" fillId="4" borderId="25" xfId="0" applyFont="1" applyFill="1" applyBorder="1" applyAlignment="1">
      <alignment horizontal="left" vertical="center"/>
    </xf>
    <xf numFmtId="0" fontId="11" fillId="3" borderId="4" xfId="0" applyFont="1" applyFill="1" applyBorder="1"/>
    <xf numFmtId="0" fontId="6" fillId="4" borderId="54" xfId="0" applyFont="1" applyFill="1" applyBorder="1" applyAlignment="1">
      <alignment horizontal="left" vertical="center"/>
    </xf>
    <xf numFmtId="0" fontId="6" fillId="4" borderId="55" xfId="0" applyFont="1" applyFill="1" applyBorder="1" applyAlignment="1">
      <alignment horizontal="left" vertical="center"/>
    </xf>
    <xf numFmtId="0" fontId="6" fillId="4" borderId="63" xfId="0" applyFont="1" applyFill="1" applyBorder="1" applyAlignment="1">
      <alignment horizontal="left" vertical="center"/>
    </xf>
    <xf numFmtId="0" fontId="9" fillId="9" borderId="28" xfId="0" applyFont="1" applyFill="1" applyBorder="1" applyAlignment="1">
      <alignment horizontal="center" wrapText="1"/>
    </xf>
    <xf numFmtId="0" fontId="10" fillId="3" borderId="28" xfId="0" applyFont="1" applyFill="1" applyBorder="1" applyAlignment="1">
      <alignment horizontal="center" vertical="center" wrapText="1"/>
    </xf>
    <xf numFmtId="0" fontId="13" fillId="5" borderId="28" xfId="0" applyFont="1" applyFill="1" applyBorder="1" applyAlignment="1">
      <alignment horizontal="center" vertical="center" wrapText="1"/>
    </xf>
    <xf numFmtId="175" fontId="13" fillId="7" borderId="28" xfId="0" applyNumberFormat="1" applyFont="1" applyFill="1" applyBorder="1" applyAlignment="1">
      <alignment horizontal="center" vertical="center"/>
    </xf>
    <xf numFmtId="0" fontId="10" fillId="0" borderId="12" xfId="0" applyFont="1" applyBorder="1" applyAlignment="1">
      <alignment horizontal="center" vertical="center" wrapText="1"/>
    </xf>
    <xf numFmtId="2" fontId="13" fillId="7" borderId="28" xfId="0" applyNumberFormat="1" applyFont="1" applyFill="1" applyBorder="1" applyAlignment="1">
      <alignment horizontal="center" vertical="center"/>
    </xf>
    <xf numFmtId="0" fontId="10" fillId="3" borderId="7" xfId="0" applyFont="1" applyFill="1" applyBorder="1" applyAlignment="1">
      <alignment horizontal="center" vertical="center" wrapText="1"/>
    </xf>
    <xf numFmtId="0" fontId="13" fillId="5" borderId="7" xfId="0" applyFont="1" applyFill="1" applyBorder="1" applyAlignment="1">
      <alignment horizontal="center" vertical="center" wrapText="1"/>
    </xf>
    <xf numFmtId="2" fontId="13" fillId="7" borderId="7" xfId="0" applyNumberFormat="1" applyFont="1" applyFill="1" applyBorder="1" applyAlignment="1">
      <alignment horizontal="center" vertical="center"/>
    </xf>
    <xf numFmtId="0" fontId="10" fillId="0" borderId="60" xfId="0" applyFont="1" applyBorder="1" applyAlignment="1">
      <alignment horizontal="center" vertical="center" wrapText="1"/>
    </xf>
    <xf numFmtId="167" fontId="10" fillId="7" borderId="28" xfId="0" applyNumberFormat="1" applyFont="1" applyFill="1" applyBorder="1" applyAlignment="1">
      <alignment horizontal="center" vertical="center"/>
    </xf>
    <xf numFmtId="0" fontId="9" fillId="9" borderId="7" xfId="0" applyFont="1" applyFill="1" applyBorder="1" applyAlignment="1">
      <alignment horizontal="center" wrapText="1"/>
    </xf>
    <xf numFmtId="2" fontId="13" fillId="7" borderId="8" xfId="0" applyNumberFormat="1" applyFont="1" applyFill="1" applyBorder="1" applyAlignment="1">
      <alignment horizontal="center" vertical="center"/>
    </xf>
    <xf numFmtId="0" fontId="40" fillId="3" borderId="4" xfId="0" applyFont="1" applyFill="1" applyBorder="1" applyAlignment="1">
      <alignment horizontal="left" vertical="center" wrapText="1"/>
    </xf>
    <xf numFmtId="0" fontId="41" fillId="3" borderId="4" xfId="0" applyFont="1" applyFill="1" applyBorder="1"/>
    <xf numFmtId="0" fontId="42" fillId="2" borderId="23" xfId="0" applyFont="1" applyFill="1" applyBorder="1"/>
    <xf numFmtId="0" fontId="42" fillId="2" borderId="24" xfId="0" applyFont="1" applyFill="1" applyBorder="1"/>
    <xf numFmtId="0" fontId="42" fillId="2" borderId="25" xfId="0" applyFont="1" applyFill="1" applyBorder="1"/>
    <xf numFmtId="0" fontId="42" fillId="9" borderId="8" xfId="0" applyFont="1" applyFill="1" applyBorder="1" applyAlignment="1">
      <alignment horizontal="center" vertical="center" wrapText="1"/>
    </xf>
    <xf numFmtId="3" fontId="33" fillId="0" borderId="8" xfId="0" applyNumberFormat="1" applyFont="1" applyBorder="1" applyAlignment="1">
      <alignment horizontal="center" vertical="center"/>
    </xf>
    <xf numFmtId="0" fontId="13" fillId="0" borderId="8" xfId="0" applyFont="1" applyBorder="1" applyAlignment="1">
      <alignment vertical="top"/>
    </xf>
    <xf numFmtId="0" fontId="23" fillId="30" borderId="8" xfId="0" applyFont="1" applyFill="1" applyBorder="1" applyAlignment="1">
      <alignment horizontal="left" vertical="center"/>
    </xf>
    <xf numFmtId="3" fontId="23" fillId="30" borderId="8" xfId="0" applyNumberFormat="1" applyFont="1" applyFill="1" applyBorder="1" applyAlignment="1">
      <alignment horizontal="center" vertical="center"/>
    </xf>
    <xf numFmtId="0" fontId="42" fillId="2" borderId="36" xfId="0" applyFont="1" applyFill="1" applyBorder="1" applyAlignment="1">
      <alignment horizontal="left" vertical="center"/>
    </xf>
    <xf numFmtId="0" fontId="42" fillId="2" borderId="8" xfId="0" applyFont="1" applyFill="1" applyBorder="1" applyAlignment="1">
      <alignment horizontal="center" vertical="center"/>
    </xf>
    <xf numFmtId="0" fontId="43" fillId="3" borderId="4" xfId="0" applyFont="1" applyFill="1" applyBorder="1"/>
    <xf numFmtId="9" fontId="10" fillId="8" borderId="8" xfId="0" applyNumberFormat="1" applyFont="1" applyFill="1" applyBorder="1" applyAlignment="1">
      <alignment horizontal="center"/>
    </xf>
    <xf numFmtId="0" fontId="9" fillId="9" borderId="65" xfId="0" applyFont="1" applyFill="1" applyBorder="1" applyAlignment="1">
      <alignment horizontal="center" vertical="center" wrapText="1"/>
    </xf>
    <xf numFmtId="0" fontId="9" fillId="9" borderId="66" xfId="0" applyFont="1" applyFill="1" applyBorder="1" applyAlignment="1">
      <alignment horizontal="center" vertical="center" wrapText="1"/>
    </xf>
    <xf numFmtId="0" fontId="9" fillId="9" borderId="66" xfId="0" applyFont="1" applyFill="1" applyBorder="1" applyAlignment="1">
      <alignment horizontal="center" wrapText="1"/>
    </xf>
    <xf numFmtId="0" fontId="9" fillId="9" borderId="67" xfId="0" applyFont="1" applyFill="1" applyBorder="1" applyAlignment="1">
      <alignment horizontal="center" wrapText="1"/>
    </xf>
    <xf numFmtId="9" fontId="10" fillId="6" borderId="8" xfId="0" applyNumberFormat="1" applyFont="1" applyFill="1" applyBorder="1" applyAlignment="1">
      <alignment horizontal="center" vertical="center"/>
    </xf>
    <xf numFmtId="3" fontId="8" fillId="0" borderId="8" xfId="0" applyNumberFormat="1" applyFont="1" applyBorder="1" applyAlignment="1">
      <alignment horizontal="center"/>
    </xf>
    <xf numFmtId="3" fontId="8" fillId="0" borderId="8" xfId="0" applyNumberFormat="1" applyFont="1" applyBorder="1" applyAlignment="1">
      <alignment horizontal="center" vertical="center"/>
    </xf>
    <xf numFmtId="4" fontId="8" fillId="0" borderId="8" xfId="0" applyNumberFormat="1" applyFont="1" applyBorder="1" applyAlignment="1">
      <alignment horizontal="center" vertical="center"/>
    </xf>
    <xf numFmtId="166" fontId="5" fillId="3" borderId="4" xfId="0" applyNumberFormat="1" applyFont="1" applyFill="1" applyBorder="1"/>
    <xf numFmtId="0" fontId="3" fillId="3" borderId="4" xfId="0" applyFont="1" applyFill="1" applyBorder="1" applyAlignment="1">
      <alignment horizontal="left" vertical="center"/>
    </xf>
    <xf numFmtId="1" fontId="10" fillId="3" borderId="8" xfId="0" applyNumberFormat="1" applyFont="1" applyFill="1" applyBorder="1" applyAlignment="1">
      <alignment horizontal="center" vertical="center" wrapText="1"/>
    </xf>
    <xf numFmtId="164" fontId="10" fillId="3" borderId="8" xfId="0" applyNumberFormat="1" applyFont="1" applyFill="1" applyBorder="1" applyAlignment="1">
      <alignment horizontal="center" vertical="center" wrapText="1"/>
    </xf>
    <xf numFmtId="0" fontId="36" fillId="25" borderId="8" xfId="0" applyFont="1" applyFill="1" applyBorder="1"/>
    <xf numFmtId="3" fontId="12" fillId="25" borderId="36" xfId="0" applyNumberFormat="1" applyFont="1" applyFill="1" applyBorder="1" applyAlignment="1">
      <alignment horizontal="center"/>
    </xf>
    <xf numFmtId="9" fontId="12" fillId="25" borderId="36" xfId="0" applyNumberFormat="1" applyFont="1" applyFill="1" applyBorder="1" applyAlignment="1">
      <alignment horizontal="center"/>
    </xf>
    <xf numFmtId="4" fontId="10" fillId="6" borderId="8" xfId="0" applyNumberFormat="1" applyFont="1" applyFill="1" applyBorder="1" applyAlignment="1">
      <alignment horizontal="center"/>
    </xf>
    <xf numFmtId="4" fontId="12" fillId="27" borderId="8" xfId="0" applyNumberFormat="1" applyFont="1" applyFill="1" applyBorder="1" applyAlignment="1">
      <alignment horizontal="center"/>
    </xf>
    <xf numFmtId="0" fontId="44" fillId="3" borderId="4" xfId="0" applyFont="1" applyFill="1" applyBorder="1"/>
    <xf numFmtId="3" fontId="12" fillId="25" borderId="8" xfId="0" applyNumberFormat="1" applyFont="1" applyFill="1" applyBorder="1" applyAlignment="1">
      <alignment horizontal="center"/>
    </xf>
    <xf numFmtId="0" fontId="45" fillId="3" borderId="4" xfId="0" applyFont="1" applyFill="1" applyBorder="1"/>
    <xf numFmtId="0" fontId="3" fillId="2" borderId="54" xfId="0" applyFont="1" applyFill="1" applyBorder="1" applyAlignment="1">
      <alignment horizontal="left" vertical="center"/>
    </xf>
    <xf numFmtId="0" fontId="3" fillId="2" borderId="55" xfId="0" applyFont="1" applyFill="1" applyBorder="1" applyAlignment="1">
      <alignment horizontal="left" vertical="center"/>
    </xf>
    <xf numFmtId="0" fontId="3" fillId="2" borderId="63" xfId="0" applyFont="1" applyFill="1" applyBorder="1" applyAlignment="1">
      <alignment horizontal="left" vertical="center"/>
    </xf>
    <xf numFmtId="0" fontId="46" fillId="3" borderId="4" xfId="0" applyFont="1" applyFill="1" applyBorder="1" applyAlignment="1">
      <alignment horizontal="left" vertical="center"/>
    </xf>
    <xf numFmtId="0" fontId="12" fillId="27" borderId="36" xfId="0" applyFont="1" applyFill="1" applyBorder="1" applyAlignment="1">
      <alignment horizontal="left" vertical="center"/>
    </xf>
    <xf numFmtId="49" fontId="6" fillId="4" borderId="23" xfId="0" applyNumberFormat="1" applyFont="1" applyFill="1" applyBorder="1" applyAlignment="1">
      <alignment vertical="center" wrapText="1"/>
    </xf>
    <xf numFmtId="49" fontId="6" fillId="4" borderId="24" xfId="0" applyNumberFormat="1" applyFont="1" applyFill="1" applyBorder="1" applyAlignment="1">
      <alignment vertical="center"/>
    </xf>
    <xf numFmtId="49" fontId="6" fillId="4" borderId="24" xfId="0" applyNumberFormat="1" applyFont="1" applyFill="1" applyBorder="1" applyAlignment="1">
      <alignment vertical="center" wrapText="1"/>
    </xf>
    <xf numFmtId="49" fontId="6" fillId="4" borderId="25" xfId="0" applyNumberFormat="1" applyFont="1" applyFill="1" applyBorder="1" applyAlignment="1">
      <alignment vertical="center" wrapText="1"/>
    </xf>
    <xf numFmtId="0" fontId="47" fillId="3" borderId="4" xfId="0" applyFont="1" applyFill="1" applyBorder="1" applyAlignment="1">
      <alignment horizontal="center" vertical="center"/>
    </xf>
    <xf numFmtId="0" fontId="15" fillId="9" borderId="23" xfId="0" applyFont="1" applyFill="1" applyBorder="1" applyAlignment="1">
      <alignment horizontal="center" vertical="center"/>
    </xf>
    <xf numFmtId="0" fontId="10" fillId="8" borderId="8" xfId="0" applyFont="1" applyFill="1" applyBorder="1" applyAlignment="1">
      <alignment horizontal="center" vertical="center"/>
    </xf>
    <xf numFmtId="0" fontId="10" fillId="3" borderId="8" xfId="0" applyFont="1" applyFill="1" applyBorder="1" applyAlignment="1">
      <alignment horizontal="left"/>
    </xf>
    <xf numFmtId="9" fontId="10" fillId="8" borderId="8" xfId="0" applyNumberFormat="1" applyFont="1" applyFill="1" applyBorder="1" applyAlignment="1">
      <alignment horizontal="center" vertical="center"/>
    </xf>
    <xf numFmtId="168" fontId="10" fillId="8" borderId="8" xfId="0" applyNumberFormat="1" applyFont="1" applyFill="1" applyBorder="1" applyAlignment="1">
      <alignment horizontal="center" vertical="center" wrapText="1"/>
    </xf>
    <xf numFmtId="175" fontId="10" fillId="8" borderId="8" xfId="0" applyNumberFormat="1" applyFont="1" applyFill="1" applyBorder="1" applyAlignment="1">
      <alignment horizontal="center" vertical="center" wrapText="1"/>
    </xf>
    <xf numFmtId="175" fontId="10" fillId="8" borderId="23" xfId="0" applyNumberFormat="1" applyFont="1" applyFill="1" applyBorder="1" applyAlignment="1">
      <alignment horizontal="center" vertical="center" wrapText="1"/>
    </xf>
    <xf numFmtId="39" fontId="10" fillId="8" borderId="8" xfId="0" applyNumberFormat="1" applyFont="1" applyFill="1" applyBorder="1" applyAlignment="1">
      <alignment horizontal="center" vertical="center"/>
    </xf>
    <xf numFmtId="39" fontId="10" fillId="3" borderId="8" xfId="0" applyNumberFormat="1" applyFont="1" applyFill="1" applyBorder="1" applyAlignment="1">
      <alignment horizontal="center" vertical="center"/>
    </xf>
    <xf numFmtId="0" fontId="12" fillId="27" borderId="36" xfId="0" applyFont="1" applyFill="1" applyBorder="1" applyAlignment="1">
      <alignment horizontal="right" vertical="center" wrapText="1"/>
    </xf>
    <xf numFmtId="0" fontId="12" fillId="27" borderId="36" xfId="0" applyFont="1" applyFill="1" applyBorder="1" applyAlignment="1">
      <alignment horizontal="center" vertical="center" wrapText="1"/>
    </xf>
    <xf numFmtId="10" fontId="12" fillId="27" borderId="54" xfId="0" applyNumberFormat="1" applyFont="1" applyFill="1" applyBorder="1" applyAlignment="1">
      <alignment horizontal="center" vertical="center" wrapText="1"/>
    </xf>
    <xf numFmtId="0" fontId="9" fillId="9" borderId="7" xfId="0" applyFont="1" applyFill="1" applyBorder="1" applyAlignment="1">
      <alignment vertical="center"/>
    </xf>
    <xf numFmtId="3" fontId="10" fillId="3" borderId="23" xfId="0" applyNumberFormat="1" applyFont="1" applyFill="1" applyBorder="1" applyAlignment="1">
      <alignment vertical="center"/>
    </xf>
    <xf numFmtId="0" fontId="9" fillId="9" borderId="36" xfId="0" applyFont="1" applyFill="1" applyBorder="1" applyAlignment="1">
      <alignment vertical="center"/>
    </xf>
    <xf numFmtId="0" fontId="23" fillId="3" borderId="4" xfId="0" applyFont="1" applyFill="1" applyBorder="1" applyAlignment="1">
      <alignment horizontal="center" vertical="center"/>
    </xf>
    <xf numFmtId="3" fontId="13" fillId="3" borderId="4" xfId="0" applyNumberFormat="1" applyFont="1" applyFill="1" applyBorder="1" applyAlignment="1">
      <alignment vertical="center"/>
    </xf>
    <xf numFmtId="3" fontId="12" fillId="27" borderId="23" xfId="0" applyNumberFormat="1" applyFont="1" applyFill="1" applyBorder="1" applyAlignment="1">
      <alignment vertical="center"/>
    </xf>
    <xf numFmtId="9" fontId="7" fillId="3" borderId="4" xfId="0" applyNumberFormat="1" applyFont="1" applyFill="1" applyBorder="1" applyAlignment="1">
      <alignment vertical="center"/>
    </xf>
    <xf numFmtId="0" fontId="49" fillId="3" borderId="4" xfId="0" applyFont="1" applyFill="1" applyBorder="1"/>
    <xf numFmtId="0" fontId="50" fillId="3" borderId="4" xfId="0" applyFont="1" applyFill="1" applyBorder="1" applyAlignment="1">
      <alignment horizontal="left" vertical="center"/>
    </xf>
    <xf numFmtId="3" fontId="10" fillId="0" borderId="12" xfId="0" applyNumberFormat="1" applyFont="1" applyBorder="1" applyAlignment="1">
      <alignment horizontal="center"/>
    </xf>
    <xf numFmtId="9" fontId="10" fillId="3" borderId="28" xfId="0" applyNumberFormat="1" applyFont="1" applyFill="1" applyBorder="1" applyAlignment="1">
      <alignment horizontal="center" vertical="center" wrapText="1"/>
    </xf>
    <xf numFmtId="3" fontId="10" fillId="3" borderId="28" xfId="0" applyNumberFormat="1" applyFont="1" applyFill="1" applyBorder="1" applyAlignment="1">
      <alignment horizontal="center" vertical="center" wrapText="1"/>
    </xf>
    <xf numFmtId="0" fontId="51" fillId="3" borderId="4" xfId="0" applyFont="1" applyFill="1" applyBorder="1" applyAlignment="1">
      <alignment horizontal="left" vertical="center"/>
    </xf>
    <xf numFmtId="0" fontId="12" fillId="30" borderId="8" xfId="0" applyFont="1" applyFill="1" applyBorder="1" applyAlignment="1">
      <alignment horizontal="left" vertical="center"/>
    </xf>
    <xf numFmtId="3" fontId="12" fillId="30" borderId="8" xfId="0" applyNumberFormat="1" applyFont="1" applyFill="1" applyBorder="1" applyAlignment="1">
      <alignment horizontal="center" vertical="center"/>
    </xf>
    <xf numFmtId="0" fontId="52" fillId="3" borderId="4" xfId="0" applyFont="1" applyFill="1" applyBorder="1" applyAlignment="1">
      <alignment horizontal="left" vertical="center"/>
    </xf>
    <xf numFmtId="0" fontId="10" fillId="8" borderId="8" xfId="0" applyFont="1" applyFill="1" applyBorder="1" applyAlignment="1">
      <alignment horizontal="center" vertical="center" wrapText="1"/>
    </xf>
    <xf numFmtId="0" fontId="10" fillId="0" borderId="31" xfId="0" applyFont="1" applyBorder="1" applyAlignment="1">
      <alignment vertical="center" wrapText="1"/>
    </xf>
    <xf numFmtId="0" fontId="10" fillId="8" borderId="36" xfId="0" applyFont="1" applyFill="1" applyBorder="1" applyAlignment="1">
      <alignment horizontal="center" vertical="center" wrapText="1"/>
    </xf>
    <xf numFmtId="0" fontId="26" fillId="3" borderId="4" xfId="0" applyFont="1" applyFill="1" applyBorder="1"/>
    <xf numFmtId="0" fontId="8" fillId="3" borderId="4" xfId="0" applyFont="1" applyFill="1" applyBorder="1" applyAlignment="1">
      <alignment horizontal="left" vertical="center"/>
    </xf>
    <xf numFmtId="4" fontId="10" fillId="0" borderId="8" xfId="0" applyNumberFormat="1" applyFont="1" applyBorder="1" applyAlignment="1">
      <alignment horizontal="center"/>
    </xf>
    <xf numFmtId="0" fontId="15" fillId="23" borderId="23" xfId="0" applyFont="1" applyFill="1" applyBorder="1"/>
    <xf numFmtId="0" fontId="15" fillId="23" borderId="24" xfId="0" applyFont="1" applyFill="1" applyBorder="1"/>
    <xf numFmtId="0" fontId="15" fillId="23" borderId="25" xfId="0" applyFont="1" applyFill="1" applyBorder="1"/>
    <xf numFmtId="179" fontId="10" fillId="0" borderId="8" xfId="0" applyNumberFormat="1" applyFont="1" applyBorder="1" applyAlignment="1">
      <alignment horizontal="center"/>
    </xf>
    <xf numFmtId="0" fontId="12" fillId="27" borderId="8" xfId="0" applyFont="1" applyFill="1" applyBorder="1" applyAlignment="1">
      <alignment horizontal="left" vertical="center" wrapText="1"/>
    </xf>
    <xf numFmtId="0" fontId="12" fillId="29" borderId="36" xfId="0" applyFont="1" applyFill="1" applyBorder="1" applyAlignment="1">
      <alignment horizontal="left" vertical="center"/>
    </xf>
    <xf numFmtId="3" fontId="12" fillId="29" borderId="36" xfId="0" applyNumberFormat="1" applyFont="1" applyFill="1" applyBorder="1" applyAlignment="1">
      <alignment horizontal="center" vertical="center"/>
    </xf>
    <xf numFmtId="3" fontId="12" fillId="29" borderId="8" xfId="0" applyNumberFormat="1" applyFont="1" applyFill="1" applyBorder="1" applyAlignment="1">
      <alignment horizontal="center" vertical="center"/>
    </xf>
    <xf numFmtId="188" fontId="10" fillId="6" borderId="8" xfId="0" applyNumberFormat="1" applyFont="1" applyFill="1" applyBorder="1" applyAlignment="1">
      <alignment horizontal="center"/>
    </xf>
    <xf numFmtId="37" fontId="10" fillId="6" borderId="8" xfId="0" applyNumberFormat="1" applyFont="1" applyFill="1" applyBorder="1" applyAlignment="1">
      <alignment horizontal="center"/>
    </xf>
    <xf numFmtId="39" fontId="10" fillId="6" borderId="8" xfId="0" applyNumberFormat="1" applyFont="1" applyFill="1" applyBorder="1" applyAlignment="1">
      <alignment horizontal="center"/>
    </xf>
    <xf numFmtId="164" fontId="10" fillId="6" borderId="8" xfId="0" applyNumberFormat="1" applyFont="1" applyFill="1" applyBorder="1" applyAlignment="1">
      <alignment horizontal="center"/>
    </xf>
    <xf numFmtId="37" fontId="10" fillId="3" borderId="8" xfId="0" applyNumberFormat="1" applyFont="1" applyFill="1" applyBorder="1" applyAlignment="1">
      <alignment horizontal="center"/>
    </xf>
    <xf numFmtId="3" fontId="49" fillId="3" borderId="4" xfId="0" applyNumberFormat="1" applyFont="1" applyFill="1" applyBorder="1"/>
    <xf numFmtId="0" fontId="53" fillId="3" borderId="4" xfId="0" applyFont="1" applyFill="1" applyBorder="1" applyAlignment="1">
      <alignment horizontal="left" vertical="center"/>
    </xf>
    <xf numFmtId="0" fontId="12" fillId="27" borderId="36" xfId="0" applyFont="1" applyFill="1" applyBorder="1" applyAlignment="1">
      <alignment horizontal="left" vertical="center" wrapText="1"/>
    </xf>
    <xf numFmtId="3" fontId="12" fillId="27" borderId="36" xfId="0" applyNumberFormat="1" applyFont="1" applyFill="1" applyBorder="1" applyAlignment="1">
      <alignment horizontal="center" vertical="center" wrapText="1"/>
    </xf>
    <xf numFmtId="9" fontId="12" fillId="27" borderId="36" xfId="0" applyNumberFormat="1" applyFont="1" applyFill="1" applyBorder="1" applyAlignment="1">
      <alignment horizontal="center" vertical="center" wrapText="1"/>
    </xf>
    <xf numFmtId="49" fontId="15" fillId="3" borderId="4" xfId="0" applyNumberFormat="1" applyFont="1" applyFill="1" applyBorder="1"/>
    <xf numFmtId="49" fontId="5" fillId="3" borderId="4" xfId="0" applyNumberFormat="1" applyFont="1" applyFill="1" applyBorder="1" applyAlignment="1">
      <alignment horizontal="left" vertical="center"/>
    </xf>
    <xf numFmtId="49" fontId="5" fillId="3" borderId="4" xfId="0" applyNumberFormat="1" applyFont="1" applyFill="1" applyBorder="1" applyAlignment="1">
      <alignment horizontal="left" vertical="center" wrapText="1"/>
    </xf>
    <xf numFmtId="0" fontId="9" fillId="23" borderId="59" xfId="0" applyFont="1" applyFill="1" applyBorder="1"/>
    <xf numFmtId="0" fontId="9" fillId="23" borderId="57" xfId="0" applyFont="1" applyFill="1" applyBorder="1"/>
    <xf numFmtId="0" fontId="9" fillId="23" borderId="58" xfId="0" applyFont="1" applyFill="1" applyBorder="1"/>
    <xf numFmtId="0" fontId="10" fillId="8" borderId="8" xfId="0" applyFont="1" applyFill="1" applyBorder="1" applyAlignment="1">
      <alignment vertical="center" wrapText="1"/>
    </xf>
    <xf numFmtId="0" fontId="12" fillId="27" borderId="8" xfId="0" applyFont="1" applyFill="1" applyBorder="1" applyAlignment="1">
      <alignment vertical="center" wrapText="1"/>
    </xf>
    <xf numFmtId="0" fontId="9" fillId="23" borderId="23" xfId="0" applyFont="1" applyFill="1" applyBorder="1"/>
    <xf numFmtId="0" fontId="8" fillId="23" borderId="4" xfId="0" applyFont="1" applyFill="1" applyBorder="1"/>
    <xf numFmtId="0" fontId="9" fillId="23" borderId="25" xfId="0" applyFont="1" applyFill="1" applyBorder="1"/>
    <xf numFmtId="173" fontId="10" fillId="24" borderId="8" xfId="0" applyNumberFormat="1" applyFont="1" applyFill="1" applyBorder="1" applyAlignment="1">
      <alignment horizontal="center" vertical="center"/>
    </xf>
    <xf numFmtId="3" fontId="12" fillId="27" borderId="8" xfId="0" applyNumberFormat="1" applyFont="1" applyFill="1" applyBorder="1" applyAlignment="1">
      <alignment horizontal="center" vertical="center" wrapText="1"/>
    </xf>
    <xf numFmtId="4" fontId="12" fillId="27" borderId="8" xfId="0" applyNumberFormat="1" applyFont="1" applyFill="1" applyBorder="1" applyAlignment="1">
      <alignment horizontal="center" vertical="center" wrapText="1"/>
    </xf>
    <xf numFmtId="173" fontId="12" fillId="27" borderId="8" xfId="0" applyNumberFormat="1" applyFont="1" applyFill="1" applyBorder="1" applyAlignment="1">
      <alignment horizontal="center" vertical="center" wrapText="1"/>
    </xf>
    <xf numFmtId="0" fontId="9" fillId="23" borderId="24" xfId="0" applyFont="1" applyFill="1" applyBorder="1"/>
    <xf numFmtId="0" fontId="10" fillId="8" borderId="8" xfId="0" applyFont="1" applyFill="1" applyBorder="1" applyAlignment="1">
      <alignment vertical="center"/>
    </xf>
    <xf numFmtId="169" fontId="10" fillId="24" borderId="8" xfId="0" applyNumberFormat="1" applyFont="1" applyFill="1" applyBorder="1" applyAlignment="1">
      <alignment horizontal="center" vertical="center"/>
    </xf>
    <xf numFmtId="169" fontId="12" fillId="27" borderId="8" xfId="0" applyNumberFormat="1" applyFont="1" applyFill="1" applyBorder="1" applyAlignment="1">
      <alignment horizontal="center" vertical="center"/>
    </xf>
    <xf numFmtId="0" fontId="12" fillId="27" borderId="8" xfId="0" applyFont="1" applyFill="1" applyBorder="1" applyAlignment="1">
      <alignment vertical="center"/>
    </xf>
    <xf numFmtId="181" fontId="10" fillId="24" borderId="8" xfId="0" applyNumberFormat="1" applyFont="1" applyFill="1" applyBorder="1" applyAlignment="1">
      <alignment horizontal="center" vertical="center"/>
    </xf>
    <xf numFmtId="0" fontId="54" fillId="3" borderId="4" xfId="0" applyFont="1" applyFill="1" applyBorder="1" applyAlignment="1">
      <alignment horizontal="left" vertical="center"/>
    </xf>
    <xf numFmtId="0" fontId="32" fillId="3" borderId="4" xfId="0" applyFont="1" applyFill="1" applyBorder="1"/>
    <xf numFmtId="0" fontId="12" fillId="27" borderId="36" xfId="0" applyFont="1" applyFill="1" applyBorder="1" applyAlignment="1">
      <alignment horizontal="center" vertical="center"/>
    </xf>
    <xf numFmtId="9" fontId="10" fillId="8" borderId="28" xfId="0" applyNumberFormat="1" applyFont="1" applyFill="1" applyBorder="1" applyAlignment="1">
      <alignment horizontal="center" vertical="center"/>
    </xf>
    <xf numFmtId="0" fontId="10" fillId="8" borderId="28" xfId="0" applyFont="1" applyFill="1" applyBorder="1" applyAlignment="1">
      <alignment horizontal="center" vertical="center"/>
    </xf>
    <xf numFmtId="171" fontId="10" fillId="3" borderId="4" xfId="0" applyNumberFormat="1" applyFont="1" applyFill="1" applyBorder="1"/>
    <xf numFmtId="1" fontId="10" fillId="3" borderId="8" xfId="0" applyNumberFormat="1" applyFont="1" applyFill="1" applyBorder="1" applyAlignment="1">
      <alignment horizontal="left" vertical="center"/>
    </xf>
    <xf numFmtId="1" fontId="10" fillId="3" borderId="23" xfId="0" applyNumberFormat="1" applyFont="1" applyFill="1" applyBorder="1" applyAlignment="1">
      <alignment horizontal="left" vertical="center"/>
    </xf>
    <xf numFmtId="1" fontId="10" fillId="3" borderId="25" xfId="0" applyNumberFormat="1" applyFont="1" applyFill="1" applyBorder="1" applyAlignment="1">
      <alignment horizontal="left" vertical="center"/>
    </xf>
    <xf numFmtId="1" fontId="10" fillId="3" borderId="4" xfId="0" applyNumberFormat="1" applyFont="1" applyFill="1" applyBorder="1" applyAlignment="1">
      <alignment horizontal="left" vertical="center"/>
    </xf>
    <xf numFmtId="0" fontId="55" fillId="3" borderId="4" xfId="0" applyFont="1" applyFill="1" applyBorder="1"/>
    <xf numFmtId="0" fontId="56" fillId="3" borderId="4" xfId="0" applyFont="1" applyFill="1" applyBorder="1" applyAlignment="1">
      <alignment horizontal="left" wrapText="1"/>
    </xf>
    <xf numFmtId="3" fontId="10" fillId="3" borderId="8" xfId="0" applyNumberFormat="1" applyFont="1" applyFill="1" applyBorder="1" applyAlignment="1">
      <alignment horizontal="center" wrapText="1"/>
    </xf>
    <xf numFmtId="0" fontId="52" fillId="3" borderId="4" xfId="0" applyFont="1" applyFill="1" applyBorder="1" applyAlignment="1">
      <alignment horizontal="left" wrapText="1"/>
    </xf>
    <xf numFmtId="0" fontId="12" fillId="27" borderId="8" xfId="0" applyFont="1" applyFill="1" applyBorder="1" applyAlignment="1">
      <alignment horizontal="center" vertical="center"/>
    </xf>
    <xf numFmtId="3" fontId="13" fillId="7" borderId="8" xfId="0" applyNumberFormat="1" applyFont="1" applyFill="1" applyBorder="1" applyAlignment="1">
      <alignment horizontal="center" vertical="center"/>
    </xf>
    <xf numFmtId="169" fontId="13" fillId="7" borderId="8" xfId="0" applyNumberFormat="1" applyFont="1" applyFill="1" applyBorder="1" applyAlignment="1">
      <alignment horizontal="center" vertical="center"/>
    </xf>
    <xf numFmtId="4" fontId="13" fillId="7" borderId="8" xfId="0" applyNumberFormat="1" applyFont="1" applyFill="1" applyBorder="1" applyAlignment="1">
      <alignment horizontal="center" vertical="center"/>
    </xf>
    <xf numFmtId="0" fontId="10" fillId="3" borderId="4" xfId="0" applyFont="1" applyFill="1" applyBorder="1" applyAlignment="1">
      <alignment horizontal="center"/>
    </xf>
    <xf numFmtId="0" fontId="13" fillId="0" borderId="8" xfId="0" applyFont="1" applyBorder="1" applyAlignment="1">
      <alignment wrapText="1"/>
    </xf>
    <xf numFmtId="0" fontId="34" fillId="3" borderId="4" xfId="0" applyFont="1" applyFill="1" applyBorder="1" applyAlignment="1">
      <alignment horizontal="left" vertical="center"/>
    </xf>
    <xf numFmtId="0" fontId="9" fillId="23" borderId="72" xfId="0" applyFont="1" applyFill="1" applyBorder="1"/>
    <xf numFmtId="0" fontId="9" fillId="9" borderId="75" xfId="0" applyFont="1" applyFill="1" applyBorder="1" applyAlignment="1">
      <alignment horizontal="center" vertical="center" wrapText="1"/>
    </xf>
    <xf numFmtId="0" fontId="9" fillId="9" borderId="76" xfId="0" applyFont="1" applyFill="1" applyBorder="1" applyAlignment="1">
      <alignment horizontal="center" vertical="center" wrapText="1"/>
    </xf>
    <xf numFmtId="0" fontId="9" fillId="9" borderId="77" xfId="0" applyFont="1" applyFill="1" applyBorder="1" applyAlignment="1">
      <alignment horizontal="center" vertical="center" wrapText="1"/>
    </xf>
    <xf numFmtId="0" fontId="33" fillId="3" borderId="4" xfId="0" applyFont="1" applyFill="1" applyBorder="1" applyAlignment="1">
      <alignment wrapText="1"/>
    </xf>
    <xf numFmtId="0" fontId="13" fillId="0" borderId="78" xfId="0" applyFont="1" applyBorder="1" applyAlignment="1">
      <alignment wrapText="1"/>
    </xf>
    <xf numFmtId="3" fontId="13" fillId="14" borderId="76" xfId="0" applyNumberFormat="1" applyFont="1" applyFill="1" applyBorder="1" applyAlignment="1">
      <alignment horizontal="center" vertical="center"/>
    </xf>
    <xf numFmtId="3" fontId="13" fillId="14" borderId="77" xfId="0" applyNumberFormat="1" applyFont="1" applyFill="1" applyBorder="1" applyAlignment="1">
      <alignment horizontal="center" vertical="center"/>
    </xf>
    <xf numFmtId="4" fontId="13" fillId="14" borderId="76" xfId="0" applyNumberFormat="1" applyFont="1" applyFill="1" applyBorder="1" applyAlignment="1">
      <alignment horizontal="center" vertical="center"/>
    </xf>
    <xf numFmtId="0" fontId="13" fillId="0" borderId="79" xfId="0" applyFont="1" applyBorder="1" applyAlignment="1">
      <alignment wrapText="1"/>
    </xf>
    <xf numFmtId="3" fontId="13" fillId="14" borderId="80" xfId="0" applyNumberFormat="1" applyFont="1" applyFill="1" applyBorder="1" applyAlignment="1">
      <alignment horizontal="center" vertical="center"/>
    </xf>
    <xf numFmtId="3" fontId="13" fillId="14" borderId="81" xfId="0" applyNumberFormat="1" applyFont="1" applyFill="1" applyBorder="1" applyAlignment="1">
      <alignment horizontal="center" vertical="center"/>
    </xf>
    <xf numFmtId="0" fontId="48" fillId="3" borderId="4" xfId="0" applyFont="1" applyFill="1" applyBorder="1"/>
    <xf numFmtId="0" fontId="15" fillId="31" borderId="8" xfId="0" applyFont="1" applyFill="1" applyBorder="1" applyAlignment="1">
      <alignment horizontal="center" vertical="center" wrapText="1"/>
    </xf>
    <xf numFmtId="0" fontId="12" fillId="27" borderId="58" xfId="0" applyFont="1" applyFill="1" applyBorder="1" applyAlignment="1">
      <alignment horizontal="center" vertical="center" wrapText="1"/>
    </xf>
    <xf numFmtId="0" fontId="12" fillId="27" borderId="28" xfId="0" applyFont="1" applyFill="1" applyBorder="1" applyAlignment="1">
      <alignment horizontal="center" vertical="center" wrapText="1"/>
    </xf>
    <xf numFmtId="0" fontId="48" fillId="3" borderId="4" xfId="0" applyFont="1" applyFill="1" applyBorder="1" applyAlignment="1">
      <alignment vertical="center"/>
    </xf>
    <xf numFmtId="0" fontId="55" fillId="3" borderId="4" xfId="0" applyFont="1" applyFill="1" applyBorder="1" applyAlignment="1">
      <alignment vertical="center"/>
    </xf>
    <xf numFmtId="0" fontId="10" fillId="3" borderId="59" xfId="0" applyFont="1" applyFill="1" applyBorder="1" applyAlignment="1">
      <alignment vertical="center" wrapText="1"/>
    </xf>
    <xf numFmtId="3" fontId="10" fillId="14" borderId="8" xfId="0" applyNumberFormat="1" applyFont="1" applyFill="1" applyBorder="1" applyAlignment="1">
      <alignment horizontal="center" vertical="center"/>
    </xf>
    <xf numFmtId="3" fontId="10" fillId="3" borderId="25" xfId="0" applyNumberFormat="1" applyFont="1" applyFill="1" applyBorder="1" applyAlignment="1">
      <alignment horizontal="center" vertical="center"/>
    </xf>
    <xf numFmtId="0" fontId="30" fillId="3" borderId="4" xfId="0" applyFont="1" applyFill="1" applyBorder="1"/>
    <xf numFmtId="0" fontId="10" fillId="3" borderId="28" xfId="0" applyFont="1" applyFill="1" applyBorder="1"/>
    <xf numFmtId="3" fontId="10" fillId="14" borderId="57" xfId="0" applyNumberFormat="1" applyFont="1" applyFill="1" applyBorder="1" applyAlignment="1">
      <alignment horizontal="center" vertical="center"/>
    </xf>
    <xf numFmtId="9" fontId="10" fillId="3" borderId="28" xfId="0" applyNumberFormat="1" applyFont="1" applyFill="1" applyBorder="1" applyAlignment="1">
      <alignment horizontal="center"/>
    </xf>
    <xf numFmtId="3" fontId="10" fillId="14" borderId="25" xfId="0" applyNumberFormat="1" applyFont="1" applyFill="1" applyBorder="1" applyAlignment="1">
      <alignment horizontal="center" vertical="center"/>
    </xf>
    <xf numFmtId="3" fontId="10" fillId="14" borderId="24" xfId="0" applyNumberFormat="1" applyFont="1" applyFill="1" applyBorder="1" applyAlignment="1">
      <alignment horizontal="center" vertical="center"/>
    </xf>
    <xf numFmtId="0" fontId="42" fillId="32" borderId="8" xfId="0" applyFont="1" applyFill="1" applyBorder="1" applyAlignment="1">
      <alignment horizontal="center" vertical="center" wrapText="1"/>
    </xf>
    <xf numFmtId="0" fontId="9" fillId="33" borderId="83" xfId="0" applyFont="1" applyFill="1" applyBorder="1" applyAlignment="1">
      <alignment horizontal="center" vertical="center" wrapText="1"/>
    </xf>
    <xf numFmtId="0" fontId="12" fillId="27" borderId="8" xfId="0" applyFont="1" applyFill="1" applyBorder="1" applyAlignment="1">
      <alignment horizontal="center" vertical="center" wrapText="1"/>
    </xf>
    <xf numFmtId="39" fontId="13" fillId="0" borderId="8" xfId="0" applyNumberFormat="1" applyFont="1" applyBorder="1" applyAlignment="1">
      <alignment horizontal="center" vertical="center"/>
    </xf>
    <xf numFmtId="37" fontId="23" fillId="0" borderId="8" xfId="0" applyNumberFormat="1" applyFont="1" applyBorder="1" applyAlignment="1">
      <alignment horizontal="center" vertical="center"/>
    </xf>
    <xf numFmtId="0" fontId="57" fillId="3" borderId="4" xfId="0" applyFont="1" applyFill="1" applyBorder="1" applyAlignment="1">
      <alignment vertical="center"/>
    </xf>
    <xf numFmtId="0" fontId="9" fillId="33" borderId="8" xfId="0" applyFont="1" applyFill="1" applyBorder="1" applyAlignment="1">
      <alignment horizontal="center" vertical="center" wrapText="1"/>
    </xf>
    <xf numFmtId="180" fontId="13" fillId="0" borderId="8" xfId="0" applyNumberFormat="1" applyFont="1" applyBorder="1" applyAlignment="1">
      <alignment horizontal="center" vertical="center"/>
    </xf>
    <xf numFmtId="0" fontId="34" fillId="27" borderId="8" xfId="0" applyFont="1" applyFill="1" applyBorder="1" applyAlignment="1">
      <alignment horizontal="left" vertical="center"/>
    </xf>
    <xf numFmtId="37" fontId="23" fillId="27" borderId="8" xfId="0" applyNumberFormat="1" applyFont="1" applyFill="1" applyBorder="1" applyAlignment="1">
      <alignment horizontal="center" vertical="center"/>
    </xf>
    <xf numFmtId="39" fontId="23" fillId="27" borderId="8" xfId="0" applyNumberFormat="1" applyFont="1" applyFill="1" applyBorder="1" applyAlignment="1">
      <alignment horizontal="center" vertical="center"/>
    </xf>
    <xf numFmtId="37" fontId="13" fillId="3" borderId="8" xfId="0" applyNumberFormat="1" applyFont="1" applyFill="1" applyBorder="1" applyAlignment="1">
      <alignment horizontal="center" vertical="center"/>
    </xf>
    <xf numFmtId="0" fontId="57" fillId="3" borderId="4" xfId="0" applyFont="1" applyFill="1" applyBorder="1"/>
    <xf numFmtId="0" fontId="13" fillId="0" borderId="1" xfId="0" applyFont="1" applyBorder="1" applyAlignment="1">
      <alignment horizontal="center"/>
    </xf>
    <xf numFmtId="37" fontId="10" fillId="24" borderId="8" xfId="0" applyNumberFormat="1" applyFont="1" applyFill="1" applyBorder="1" applyAlignment="1">
      <alignment horizontal="center" vertical="center"/>
    </xf>
    <xf numFmtId="179" fontId="13" fillId="0" borderId="8" xfId="0" applyNumberFormat="1" applyFont="1" applyBorder="1" applyAlignment="1">
      <alignment horizontal="center" vertical="center"/>
    </xf>
    <xf numFmtId="0" fontId="39" fillId="5" borderId="4" xfId="0" applyFont="1" applyFill="1" applyBorder="1" applyAlignment="1">
      <alignment vertical="center" wrapText="1"/>
    </xf>
    <xf numFmtId="0" fontId="10" fillId="0" borderId="0" xfId="0" applyFont="1" applyAlignment="1">
      <alignment vertical="center"/>
    </xf>
    <xf numFmtId="37" fontId="58" fillId="3" borderId="4" xfId="0" applyNumberFormat="1" applyFont="1" applyFill="1" applyBorder="1" applyAlignment="1">
      <alignment horizontal="center" vertical="center"/>
    </xf>
    <xf numFmtId="0" fontId="9" fillId="9" borderId="9" xfId="0" applyFont="1" applyFill="1" applyBorder="1" applyAlignment="1">
      <alignment horizontal="center" vertical="center" wrapText="1"/>
    </xf>
    <xf numFmtId="0" fontId="13" fillId="3" borderId="8" xfId="0" applyFont="1" applyFill="1" applyBorder="1" applyAlignment="1">
      <alignment vertical="center" wrapText="1"/>
    </xf>
    <xf numFmtId="0" fontId="13" fillId="3" borderId="8" xfId="0" applyFont="1" applyFill="1" applyBorder="1" applyAlignment="1">
      <alignment vertical="center"/>
    </xf>
    <xf numFmtId="0" fontId="13" fillId="24" borderId="8" xfId="0" applyFont="1" applyFill="1" applyBorder="1" applyAlignment="1">
      <alignment horizontal="center" vertical="center"/>
    </xf>
    <xf numFmtId="37" fontId="13" fillId="24" borderId="8" xfId="0" applyNumberFormat="1" applyFont="1" applyFill="1" applyBorder="1" applyAlignment="1">
      <alignment horizontal="center" vertical="center"/>
    </xf>
    <xf numFmtId="189" fontId="13" fillId="24" borderId="8" xfId="0" applyNumberFormat="1" applyFont="1" applyFill="1" applyBorder="1" applyAlignment="1">
      <alignment horizontal="center" vertical="center"/>
    </xf>
    <xf numFmtId="0" fontId="36" fillId="27" borderId="8" xfId="0" applyFont="1" applyFill="1" applyBorder="1" applyAlignment="1">
      <alignment wrapText="1"/>
    </xf>
    <xf numFmtId="37" fontId="36" fillId="24" borderId="8" xfId="0" applyNumberFormat="1" applyFont="1" applyFill="1" applyBorder="1" applyAlignment="1">
      <alignment horizontal="center"/>
    </xf>
    <xf numFmtId="0" fontId="36" fillId="27" borderId="7" xfId="0" applyFont="1" applyFill="1" applyBorder="1"/>
    <xf numFmtId="0" fontId="36" fillId="27" borderId="28" xfId="0" applyFont="1" applyFill="1" applyBorder="1"/>
    <xf numFmtId="43" fontId="5" fillId="3" borderId="4" xfId="0" applyNumberFormat="1" applyFont="1" applyFill="1" applyBorder="1"/>
    <xf numFmtId="43" fontId="13" fillId="3" borderId="4" xfId="0" applyNumberFormat="1" applyFont="1" applyFill="1" applyBorder="1"/>
    <xf numFmtId="3" fontId="13" fillId="3" borderId="4" xfId="0" applyNumberFormat="1" applyFont="1" applyFill="1" applyBorder="1"/>
    <xf numFmtId="0" fontId="13" fillId="0" borderId="0" xfId="0" applyFont="1"/>
    <xf numFmtId="0" fontId="13" fillId="3" borderId="48" xfId="0" applyFont="1" applyFill="1" applyBorder="1" applyAlignment="1">
      <alignment vertical="center"/>
    </xf>
    <xf numFmtId="0" fontId="0" fillId="3" borderId="8" xfId="0" applyFill="1" applyBorder="1" applyAlignment="1">
      <alignment horizontal="left" vertical="center"/>
    </xf>
    <xf numFmtId="164" fontId="0" fillId="8" borderId="8" xfId="0" applyNumberFormat="1" applyFill="1" applyBorder="1" applyAlignment="1">
      <alignment horizontal="center" vertical="center"/>
    </xf>
    <xf numFmtId="0" fontId="0" fillId="8" borderId="23" xfId="0" applyFill="1" applyBorder="1" applyAlignment="1">
      <alignment horizontal="center" vertical="center"/>
    </xf>
    <xf numFmtId="167" fontId="10" fillId="8" borderId="23" xfId="0" applyNumberFormat="1" applyFont="1" applyFill="1" applyBorder="1" applyAlignment="1">
      <alignment horizontal="center" vertical="center"/>
    </xf>
    <xf numFmtId="0" fontId="15" fillId="9" borderId="54" xfId="0" applyFont="1" applyFill="1" applyBorder="1" applyAlignment="1">
      <alignment horizontal="center" vertical="center"/>
    </xf>
    <xf numFmtId="3" fontId="8" fillId="24" borderId="8" xfId="0" applyNumberFormat="1" applyFont="1" applyFill="1" applyBorder="1" applyAlignment="1">
      <alignment horizontal="center" vertical="center"/>
    </xf>
    <xf numFmtId="3" fontId="48" fillId="24" borderId="8" xfId="0" applyNumberFormat="1" applyFont="1" applyFill="1" applyBorder="1" applyAlignment="1">
      <alignment horizontal="center" vertical="center"/>
    </xf>
    <xf numFmtId="3" fontId="8" fillId="3" borderId="8" xfId="0" applyNumberFormat="1" applyFont="1" applyFill="1" applyBorder="1" applyAlignment="1">
      <alignment horizontal="center" vertical="center"/>
    </xf>
    <xf numFmtId="3" fontId="33" fillId="3" borderId="8" xfId="0" applyNumberFormat="1" applyFont="1" applyFill="1" applyBorder="1" applyAlignment="1">
      <alignment horizontal="center" vertical="center"/>
    </xf>
    <xf numFmtId="3" fontId="48" fillId="3" borderId="8" xfId="0" applyNumberFormat="1" applyFont="1" applyFill="1" applyBorder="1" applyAlignment="1">
      <alignment horizontal="center" vertical="center"/>
    </xf>
    <xf numFmtId="3" fontId="48" fillId="24" borderId="8" xfId="0" applyNumberFormat="1" applyFont="1" applyFill="1" applyBorder="1" applyAlignment="1">
      <alignment vertical="center"/>
    </xf>
    <xf numFmtId="3" fontId="48" fillId="3" borderId="8" xfId="0" applyNumberFormat="1" applyFont="1" applyFill="1" applyBorder="1" applyAlignment="1">
      <alignment vertical="center"/>
    </xf>
    <xf numFmtId="0" fontId="0" fillId="0" borderId="0" xfId="0" applyAlignment="1">
      <alignment vertical="center"/>
    </xf>
    <xf numFmtId="49" fontId="20" fillId="4" borderId="24" xfId="0" applyNumberFormat="1" applyFont="1" applyFill="1" applyBorder="1" applyAlignment="1">
      <alignment vertical="center"/>
    </xf>
    <xf numFmtId="49" fontId="20" fillId="4" borderId="25" xfId="0" applyNumberFormat="1" applyFont="1" applyFill="1" applyBorder="1" applyAlignment="1">
      <alignment vertical="center"/>
    </xf>
    <xf numFmtId="49" fontId="20" fillId="3" borderId="4" xfId="0" applyNumberFormat="1" applyFont="1" applyFill="1" applyBorder="1" applyAlignment="1">
      <alignment vertical="center"/>
    </xf>
    <xf numFmtId="0" fontId="9" fillId="2" borderId="23" xfId="0" applyFont="1" applyFill="1" applyBorder="1" applyAlignment="1">
      <alignment vertical="center"/>
    </xf>
    <xf numFmtId="0" fontId="9" fillId="2" borderId="24" xfId="0" applyFont="1" applyFill="1" applyBorder="1" applyAlignment="1">
      <alignment vertical="center"/>
    </xf>
    <xf numFmtId="0" fontId="9" fillId="2" borderId="71" xfId="0" applyFont="1" applyFill="1" applyBorder="1" applyAlignment="1">
      <alignment vertical="center"/>
    </xf>
    <xf numFmtId="0" fontId="9" fillId="2" borderId="24" xfId="0" applyFont="1" applyFill="1" applyBorder="1" applyAlignment="1">
      <alignment horizontal="left" vertical="center"/>
    </xf>
    <xf numFmtId="0" fontId="9" fillId="2" borderId="25" xfId="0" applyFont="1" applyFill="1" applyBorder="1" applyAlignment="1">
      <alignment horizontal="left" vertical="center"/>
    </xf>
    <xf numFmtId="0" fontId="9" fillId="2" borderId="59" xfId="0" applyFont="1" applyFill="1" applyBorder="1" applyAlignment="1">
      <alignment vertical="center"/>
    </xf>
    <xf numFmtId="0" fontId="9" fillId="2" borderId="57" xfId="0" applyFont="1" applyFill="1" applyBorder="1" applyAlignment="1">
      <alignment vertical="center"/>
    </xf>
    <xf numFmtId="0" fontId="9" fillId="2" borderId="58" xfId="0" applyFont="1" applyFill="1" applyBorder="1" applyAlignment="1">
      <alignment vertical="center"/>
    </xf>
    <xf numFmtId="37" fontId="12" fillId="27" borderId="8" xfId="0" applyNumberFormat="1" applyFont="1" applyFill="1" applyBorder="1" applyAlignment="1">
      <alignment horizontal="center" vertical="center"/>
    </xf>
    <xf numFmtId="0" fontId="9" fillId="2" borderId="25" xfId="0" applyFont="1" applyFill="1" applyBorder="1" applyAlignment="1">
      <alignment vertical="center"/>
    </xf>
    <xf numFmtId="0" fontId="47" fillId="3" borderId="48" xfId="0" applyFont="1" applyFill="1" applyBorder="1" applyAlignment="1">
      <alignment horizontal="center" vertical="center"/>
    </xf>
    <xf numFmtId="0" fontId="10" fillId="3" borderId="48" xfId="0" applyFont="1" applyFill="1" applyBorder="1" applyAlignment="1">
      <alignment horizontal="left" vertical="center"/>
    </xf>
    <xf numFmtId="9" fontId="8" fillId="3" borderId="4" xfId="1" applyFont="1" applyFill="1" applyBorder="1" applyAlignment="1">
      <alignment horizontal="center" vertical="center" wrapText="1"/>
    </xf>
    <xf numFmtId="9" fontId="8" fillId="3" borderId="4" xfId="1" applyFont="1" applyFill="1" applyBorder="1"/>
    <xf numFmtId="164" fontId="8" fillId="3" borderId="4" xfId="1" applyNumberFormat="1" applyFont="1" applyFill="1" applyBorder="1"/>
    <xf numFmtId="0" fontId="21" fillId="3" borderId="4" xfId="0" applyFont="1" applyFill="1" applyBorder="1"/>
    <xf numFmtId="0" fontId="4" fillId="0" borderId="48" xfId="0" applyFont="1" applyBorder="1"/>
    <xf numFmtId="43" fontId="10" fillId="3" borderId="4" xfId="24" applyFont="1" applyFill="1" applyBorder="1"/>
    <xf numFmtId="0" fontId="3" fillId="2" borderId="48" xfId="0" applyFont="1" applyFill="1" applyBorder="1" applyAlignment="1">
      <alignment horizontal="left" vertical="center"/>
    </xf>
    <xf numFmtId="49" fontId="20" fillId="4" borderId="48" xfId="0" applyNumberFormat="1" applyFont="1" applyFill="1" applyBorder="1"/>
    <xf numFmtId="0" fontId="10" fillId="3" borderId="48" xfId="0" applyFont="1" applyFill="1" applyBorder="1" applyAlignment="1">
      <alignment horizontal="left" wrapText="1"/>
    </xf>
    <xf numFmtId="0" fontId="10" fillId="3" borderId="48" xfId="0" applyFont="1" applyFill="1" applyBorder="1"/>
    <xf numFmtId="164" fontId="10" fillId="3" borderId="4" xfId="1" applyNumberFormat="1" applyFont="1" applyFill="1" applyBorder="1"/>
    <xf numFmtId="0" fontId="10" fillId="3" borderId="90" xfId="0" applyFont="1" applyFill="1" applyBorder="1" applyAlignment="1">
      <alignment horizontal="center"/>
    </xf>
    <xf numFmtId="3" fontId="10" fillId="3" borderId="90" xfId="0" applyNumberFormat="1" applyFont="1" applyFill="1" applyBorder="1" applyAlignment="1">
      <alignment horizontal="center"/>
    </xf>
    <xf numFmtId="164" fontId="13" fillId="14" borderId="90" xfId="0" applyNumberFormat="1" applyFont="1" applyFill="1" applyBorder="1" applyAlignment="1">
      <alignment horizontal="center"/>
    </xf>
    <xf numFmtId="2" fontId="10" fillId="3" borderId="90" xfId="0" applyNumberFormat="1" applyFont="1" applyFill="1" applyBorder="1" applyAlignment="1">
      <alignment horizontal="center"/>
    </xf>
    <xf numFmtId="3" fontId="10" fillId="14" borderId="90" xfId="0" applyNumberFormat="1" applyFont="1" applyFill="1" applyBorder="1" applyAlignment="1">
      <alignment horizontal="center"/>
    </xf>
    <xf numFmtId="9" fontId="10" fillId="3" borderId="90" xfId="0" applyNumberFormat="1" applyFont="1" applyFill="1" applyBorder="1" applyAlignment="1">
      <alignment horizontal="center"/>
    </xf>
    <xf numFmtId="0" fontId="9" fillId="2" borderId="90" xfId="0" applyFont="1" applyFill="1" applyBorder="1" applyAlignment="1">
      <alignment vertical="center" wrapText="1"/>
    </xf>
    <xf numFmtId="0" fontId="9" fillId="2" borderId="90" xfId="0" applyFont="1" applyFill="1" applyBorder="1" applyAlignment="1">
      <alignment horizontal="center" vertical="center" wrapText="1"/>
    </xf>
    <xf numFmtId="0" fontId="10" fillId="3" borderId="90" xfId="0" applyFont="1" applyFill="1" applyBorder="1"/>
    <xf numFmtId="43" fontId="78" fillId="3" borderId="90" xfId="24" applyFont="1" applyFill="1" applyBorder="1"/>
    <xf numFmtId="9" fontId="10" fillId="3" borderId="90" xfId="1" applyFont="1" applyFill="1" applyBorder="1" applyAlignment="1">
      <alignment horizontal="center"/>
    </xf>
    <xf numFmtId="3" fontId="10" fillId="39" borderId="90" xfId="0" applyNumberFormat="1" applyFont="1" applyFill="1" applyBorder="1" applyAlignment="1">
      <alignment horizontal="center"/>
    </xf>
    <xf numFmtId="0" fontId="10" fillId="0" borderId="1" xfId="0" applyFont="1" applyBorder="1" applyAlignment="1">
      <alignment horizontal="left" vertical="center" wrapText="1"/>
    </xf>
    <xf numFmtId="0" fontId="4" fillId="0" borderId="3" xfId="0" applyFont="1" applyBorder="1"/>
    <xf numFmtId="0" fontId="10" fillId="0" borderId="1" xfId="0" applyFont="1" applyBorder="1" applyAlignment="1">
      <alignment horizontal="left"/>
    </xf>
    <xf numFmtId="0" fontId="16" fillId="12" borderId="1" xfId="0" applyFont="1" applyFill="1" applyBorder="1" applyAlignment="1">
      <alignment horizontal="left" vertical="center" wrapText="1"/>
    </xf>
    <xf numFmtId="0" fontId="4" fillId="0" borderId="2" xfId="0" applyFont="1" applyBorder="1"/>
    <xf numFmtId="0" fontId="10" fillId="0" borderId="13" xfId="0" applyFont="1" applyBorder="1" applyAlignment="1">
      <alignment horizontal="left" vertical="center" wrapText="1"/>
    </xf>
    <xf numFmtId="0" fontId="4" fillId="0" borderId="14" xfId="0" applyFont="1" applyBorder="1"/>
    <xf numFmtId="0" fontId="16" fillId="13" borderId="17" xfId="0" applyFont="1" applyFill="1" applyBorder="1" applyAlignment="1">
      <alignment horizontal="left" vertical="center" wrapText="1"/>
    </xf>
    <xf numFmtId="0" fontId="4" fillId="0" borderId="18" xfId="0" applyFont="1" applyBorder="1"/>
    <xf numFmtId="0" fontId="4" fillId="0" borderId="19" xfId="0" applyFont="1" applyBorder="1"/>
    <xf numFmtId="0" fontId="10" fillId="3" borderId="11" xfId="0" applyFont="1" applyFill="1" applyBorder="1" applyAlignment="1">
      <alignment horizontal="center" vertical="center" wrapText="1"/>
    </xf>
    <xf numFmtId="0" fontId="4" fillId="0" borderId="15" xfId="0" applyFont="1" applyBorder="1"/>
    <xf numFmtId="0" fontId="4" fillId="0" borderId="16" xfId="0" applyFont="1" applyBorder="1"/>
    <xf numFmtId="0" fontId="4" fillId="0" borderId="20" xfId="0" applyFont="1" applyBorder="1"/>
    <xf numFmtId="0" fontId="10" fillId="3" borderId="22" xfId="0" applyFont="1" applyFill="1" applyBorder="1" applyAlignment="1">
      <alignment horizontal="center" vertical="center" wrapText="1"/>
    </xf>
    <xf numFmtId="0" fontId="6" fillId="4" borderId="1" xfId="0" applyFont="1" applyFill="1" applyBorder="1" applyAlignment="1">
      <alignment horizontal="left" vertical="center"/>
    </xf>
    <xf numFmtId="0" fontId="9" fillId="2" borderId="5" xfId="0" applyFont="1" applyFill="1" applyBorder="1" applyAlignment="1">
      <alignment horizontal="center" vertical="center"/>
    </xf>
    <xf numFmtId="0" fontId="4" fillId="0" borderId="6" xfId="0" applyFont="1" applyBorder="1"/>
    <xf numFmtId="0" fontId="9" fillId="2" borderId="1" xfId="0" applyFont="1" applyFill="1" applyBorder="1" applyAlignment="1">
      <alignment horizontal="center"/>
    </xf>
    <xf numFmtId="0" fontId="15" fillId="9" borderId="10" xfId="0" applyFont="1" applyFill="1" applyBorder="1" applyAlignment="1">
      <alignment horizontal="center" vertical="center"/>
    </xf>
    <xf numFmtId="0" fontId="16" fillId="10" borderId="1" xfId="0" applyFont="1" applyFill="1" applyBorder="1" applyAlignment="1">
      <alignment horizontal="left" vertical="center"/>
    </xf>
    <xf numFmtId="0" fontId="16" fillId="11" borderId="17" xfId="0" applyFont="1" applyFill="1" applyBorder="1" applyAlignment="1">
      <alignment horizontal="left" vertical="center" wrapText="1"/>
    </xf>
    <xf numFmtId="0" fontId="10" fillId="6" borderId="1" xfId="0" applyFont="1" applyFill="1" applyBorder="1" applyAlignment="1">
      <alignment horizontal="center" vertical="center"/>
    </xf>
    <xf numFmtId="0" fontId="11" fillId="0" borderId="0" xfId="0" applyFont="1" applyAlignment="1">
      <alignment horizontal="left" vertical="center" wrapText="1"/>
    </xf>
    <xf numFmtId="0" fontId="0" fillId="0" borderId="0" xfId="0"/>
    <xf numFmtId="0" fontId="3" fillId="2" borderId="1" xfId="0" applyFont="1" applyFill="1" applyBorder="1" applyAlignment="1">
      <alignment horizontal="left" vertical="center"/>
    </xf>
    <xf numFmtId="0" fontId="10" fillId="5" borderId="1" xfId="0" applyFont="1" applyFill="1" applyBorder="1" applyAlignment="1">
      <alignment horizontal="center" vertical="center" wrapText="1"/>
    </xf>
    <xf numFmtId="0" fontId="10" fillId="7" borderId="1" xfId="0" applyFont="1" applyFill="1" applyBorder="1" applyAlignment="1">
      <alignment horizontal="center" vertical="center" wrapText="1"/>
    </xf>
    <xf numFmtId="0" fontId="10" fillId="3" borderId="10" xfId="0" applyFont="1" applyFill="1" applyBorder="1" applyAlignment="1">
      <alignment horizontal="left" wrapText="1"/>
    </xf>
    <xf numFmtId="0" fontId="4" fillId="0" borderId="26" xfId="0" applyFont="1" applyBorder="1"/>
    <xf numFmtId="0" fontId="4" fillId="0" borderId="27" xfId="0" applyFont="1" applyBorder="1"/>
    <xf numFmtId="0" fontId="9" fillId="38" borderId="90" xfId="8">
      <alignment horizontal="center" vertical="center"/>
    </xf>
    <xf numFmtId="0" fontId="6" fillId="4" borderId="1" xfId="0" applyFont="1" applyFill="1" applyBorder="1" applyAlignment="1">
      <alignment horizontal="left"/>
    </xf>
    <xf numFmtId="0" fontId="10" fillId="3" borderId="29" xfId="0" applyFont="1" applyFill="1" applyBorder="1" applyAlignment="1">
      <alignment horizontal="left" vertical="top" wrapText="1"/>
    </xf>
    <xf numFmtId="0" fontId="4" fillId="0" borderId="30" xfId="0" applyFont="1" applyBorder="1"/>
    <xf numFmtId="0" fontId="9" fillId="2" borderId="31" xfId="0" applyFont="1" applyFill="1" applyBorder="1" applyAlignment="1">
      <alignment horizontal="center" vertical="center" wrapText="1"/>
    </xf>
    <xf numFmtId="0" fontId="4" fillId="0" borderId="12" xfId="0" applyFont="1" applyBorder="1"/>
    <xf numFmtId="0" fontId="9" fillId="2" borderId="1" xfId="0" applyFont="1" applyFill="1" applyBorder="1" applyAlignment="1">
      <alignment horizontal="center" wrapText="1"/>
    </xf>
    <xf numFmtId="0" fontId="9" fillId="22" borderId="32" xfId="0" applyFont="1" applyFill="1" applyBorder="1" applyAlignment="1">
      <alignment horizontal="center" vertical="center"/>
    </xf>
    <xf numFmtId="0" fontId="9" fillId="22" borderId="32" xfId="0" applyFont="1" applyFill="1" applyBorder="1" applyAlignment="1">
      <alignment horizontal="center" vertical="center" wrapText="1"/>
    </xf>
    <xf numFmtId="0" fontId="9" fillId="22" borderId="31" xfId="0" applyFont="1" applyFill="1" applyBorder="1" applyAlignment="1">
      <alignment horizontal="center" vertical="center"/>
    </xf>
    <xf numFmtId="0" fontId="9" fillId="22" borderId="1" xfId="0" applyFont="1" applyFill="1" applyBorder="1" applyAlignment="1">
      <alignment horizontal="center"/>
    </xf>
    <xf numFmtId="0" fontId="9" fillId="9" borderId="1" xfId="0" applyFont="1" applyFill="1" applyBorder="1" applyAlignment="1">
      <alignment horizontal="left"/>
    </xf>
    <xf numFmtId="0" fontId="9" fillId="2" borderId="1" xfId="0" applyFont="1" applyFill="1" applyBorder="1" applyAlignment="1">
      <alignment horizontal="left"/>
    </xf>
    <xf numFmtId="0" fontId="9" fillId="23" borderId="1" xfId="0" applyFont="1" applyFill="1" applyBorder="1" applyAlignment="1">
      <alignment horizontal="left" vertical="center"/>
    </xf>
    <xf numFmtId="0" fontId="9" fillId="9" borderId="1" xfId="0" applyFont="1" applyFill="1" applyBorder="1" applyAlignment="1">
      <alignment horizontal="left" vertical="center"/>
    </xf>
    <xf numFmtId="0" fontId="15" fillId="22" borderId="31" xfId="0" applyFont="1" applyFill="1" applyBorder="1" applyAlignment="1">
      <alignment horizontal="center" vertical="center" wrapText="1"/>
    </xf>
    <xf numFmtId="0" fontId="10" fillId="0" borderId="37" xfId="0" applyFont="1" applyBorder="1" applyAlignment="1">
      <alignment horizontal="center" vertical="center"/>
    </xf>
    <xf numFmtId="0" fontId="4" fillId="0" borderId="42" xfId="0" applyFont="1" applyBorder="1"/>
    <xf numFmtId="0" fontId="4" fillId="0" borderId="13" xfId="0" applyFont="1" applyBorder="1"/>
    <xf numFmtId="0" fontId="9" fillId="22" borderId="31" xfId="0" applyFont="1" applyFill="1" applyBorder="1" applyAlignment="1">
      <alignment horizontal="center" vertical="center" wrapText="1"/>
    </xf>
    <xf numFmtId="0" fontId="9" fillId="9" borderId="33" xfId="0" applyFont="1" applyFill="1" applyBorder="1" applyAlignment="1">
      <alignment horizontal="left" vertical="center"/>
    </xf>
    <xf numFmtId="0" fontId="4" fillId="0" borderId="34" xfId="0" applyFont="1" applyBorder="1"/>
    <xf numFmtId="0" fontId="4" fillId="0" borderId="35" xfId="0" applyFont="1" applyBorder="1"/>
    <xf numFmtId="0" fontId="12" fillId="16" borderId="31" xfId="0" applyFont="1" applyFill="1" applyBorder="1" applyAlignment="1">
      <alignment horizontal="center"/>
    </xf>
    <xf numFmtId="0" fontId="4" fillId="0" borderId="53" xfId="0" applyFont="1" applyBorder="1"/>
    <xf numFmtId="0" fontId="10" fillId="3" borderId="49" xfId="0" applyFont="1" applyFill="1" applyBorder="1" applyAlignment="1">
      <alignment horizontal="left" vertical="top"/>
    </xf>
    <xf numFmtId="0" fontId="4" fillId="0" borderId="40" xfId="0" applyFont="1" applyBorder="1"/>
    <xf numFmtId="0" fontId="4" fillId="0" borderId="41" xfId="0" applyFont="1" applyBorder="1"/>
    <xf numFmtId="0" fontId="4" fillId="0" borderId="45" xfId="0" applyFont="1" applyBorder="1"/>
    <xf numFmtId="0" fontId="4" fillId="0" borderId="50" xfId="0" applyFont="1" applyBorder="1"/>
    <xf numFmtId="0" fontId="4" fillId="0" borderId="47" xfId="0" applyFont="1" applyBorder="1"/>
    <xf numFmtId="0" fontId="4" fillId="0" borderId="48" xfId="0" applyFont="1" applyBorder="1"/>
    <xf numFmtId="0" fontId="10" fillId="0" borderId="37" xfId="0" applyFont="1" applyBorder="1" applyAlignment="1">
      <alignment horizontal="center" wrapText="1"/>
    </xf>
    <xf numFmtId="0" fontId="4" fillId="0" borderId="38" xfId="0" applyFont="1" applyBorder="1"/>
    <xf numFmtId="0" fontId="4" fillId="0" borderId="43" xfId="0" applyFont="1" applyBorder="1"/>
    <xf numFmtId="0" fontId="8" fillId="0" borderId="0" xfId="0" applyFont="1"/>
    <xf numFmtId="0" fontId="4" fillId="0" borderId="51" xfId="0" applyFont="1" applyBorder="1"/>
    <xf numFmtId="0" fontId="10" fillId="0" borderId="51" xfId="0" applyFont="1" applyBorder="1" applyAlignment="1">
      <alignment horizontal="center" wrapText="1"/>
    </xf>
    <xf numFmtId="0" fontId="4" fillId="0" borderId="52" xfId="0" applyFont="1" applyBorder="1"/>
    <xf numFmtId="165" fontId="22" fillId="3" borderId="1" xfId="0" applyNumberFormat="1" applyFont="1" applyFill="1" applyBorder="1" applyAlignment="1">
      <alignment horizontal="center" vertical="center" wrapText="1"/>
    </xf>
    <xf numFmtId="9" fontId="6" fillId="4" borderId="1" xfId="0" applyNumberFormat="1" applyFont="1" applyFill="1" applyBorder="1" applyAlignment="1">
      <alignment horizontal="left" vertical="center" wrapText="1"/>
    </xf>
    <xf numFmtId="0" fontId="10" fillId="0" borderId="1" xfId="0" applyFont="1" applyBorder="1" applyAlignment="1">
      <alignment horizontal="center" wrapText="1"/>
    </xf>
    <xf numFmtId="0" fontId="10" fillId="0" borderId="37" xfId="0" applyFont="1" applyBorder="1" applyAlignment="1">
      <alignment horizontal="center" vertical="center" wrapText="1"/>
    </xf>
    <xf numFmtId="0" fontId="10" fillId="3" borderId="39" xfId="0" applyFont="1" applyFill="1" applyBorder="1" applyAlignment="1">
      <alignment horizontal="left" vertical="top" wrapText="1"/>
    </xf>
    <xf numFmtId="0" fontId="4" fillId="0" borderId="44" xfId="0" applyFont="1" applyBorder="1"/>
    <xf numFmtId="0" fontId="4" fillId="0" borderId="46" xfId="0" applyFont="1" applyBorder="1"/>
    <xf numFmtId="49" fontId="6" fillId="4" borderId="1" xfId="0" applyNumberFormat="1" applyFont="1" applyFill="1" applyBorder="1" applyAlignment="1">
      <alignment horizontal="left" vertical="center" wrapText="1"/>
    </xf>
    <xf numFmtId="0" fontId="9" fillId="2" borderId="33" xfId="0" applyFont="1" applyFill="1" applyBorder="1" applyAlignment="1">
      <alignment horizontal="left"/>
    </xf>
    <xf numFmtId="0" fontId="11" fillId="3" borderId="10" xfId="0" applyFont="1" applyFill="1" applyBorder="1" applyAlignment="1">
      <alignment horizontal="left" vertical="center" wrapText="1"/>
    </xf>
    <xf numFmtId="0" fontId="9" fillId="9" borderId="32" xfId="0" applyFont="1" applyFill="1" applyBorder="1" applyAlignment="1">
      <alignment horizontal="center" vertical="center"/>
    </xf>
    <xf numFmtId="0" fontId="9" fillId="9" borderId="33" xfId="0" applyFont="1" applyFill="1" applyBorder="1" applyAlignment="1">
      <alignment horizontal="center" vertical="center"/>
    </xf>
    <xf numFmtId="0" fontId="10" fillId="0" borderId="31" xfId="0" applyFont="1" applyBorder="1" applyAlignment="1">
      <alignment horizontal="left" vertical="center"/>
    </xf>
    <xf numFmtId="169" fontId="10" fillId="0" borderId="1" xfId="0" applyNumberFormat="1" applyFont="1" applyBorder="1" applyAlignment="1">
      <alignment horizontal="left" vertical="center" wrapText="1"/>
    </xf>
    <xf numFmtId="169" fontId="10" fillId="0" borderId="37" xfId="0" applyNumberFormat="1" applyFont="1" applyBorder="1" applyAlignment="1">
      <alignment horizontal="left" vertical="center" wrapText="1"/>
    </xf>
    <xf numFmtId="0" fontId="20" fillId="2" borderId="33" xfId="0" applyFont="1" applyFill="1" applyBorder="1" applyAlignment="1">
      <alignment horizontal="center" vertical="center" wrapText="1"/>
    </xf>
    <xf numFmtId="0" fontId="3" fillId="2" borderId="1" xfId="0" applyFont="1" applyFill="1" applyBorder="1" applyAlignment="1">
      <alignment horizontal="left" vertical="center" wrapText="1"/>
    </xf>
    <xf numFmtId="0" fontId="6" fillId="4" borderId="1" xfId="0" applyFont="1" applyFill="1" applyBorder="1" applyAlignment="1">
      <alignment horizontal="left" vertical="center" wrapText="1"/>
    </xf>
    <xf numFmtId="0" fontId="15" fillId="9" borderId="1" xfId="0" applyFont="1" applyFill="1" applyBorder="1" applyAlignment="1">
      <alignment horizontal="center" vertical="center"/>
    </xf>
    <xf numFmtId="169" fontId="10" fillId="0" borderId="1" xfId="0" applyNumberFormat="1" applyFont="1" applyBorder="1" applyAlignment="1">
      <alignment horizontal="center" vertical="center"/>
    </xf>
    <xf numFmtId="169" fontId="10" fillId="0" borderId="37" xfId="0" applyNumberFormat="1" applyFont="1" applyBorder="1" applyAlignment="1">
      <alignment horizontal="center" vertical="center"/>
    </xf>
    <xf numFmtId="0" fontId="6" fillId="4" borderId="33" xfId="0" applyFont="1" applyFill="1" applyBorder="1" applyAlignment="1">
      <alignment horizontal="left" wrapText="1"/>
    </xf>
    <xf numFmtId="0" fontId="6" fillId="4" borderId="1" xfId="0" applyFont="1" applyFill="1" applyBorder="1" applyAlignment="1">
      <alignment horizontal="left" wrapText="1"/>
    </xf>
    <xf numFmtId="0" fontId="7" fillId="5" borderId="31" xfId="0" applyFont="1" applyFill="1" applyBorder="1" applyAlignment="1">
      <alignment horizontal="center" vertical="center" wrapText="1"/>
    </xf>
    <xf numFmtId="0" fontId="4" fillId="0" borderId="60" xfId="0" applyFont="1" applyBorder="1"/>
    <xf numFmtId="0" fontId="10" fillId="0" borderId="37" xfId="0" applyFont="1" applyBorder="1" applyAlignment="1">
      <alignment horizontal="center"/>
    </xf>
    <xf numFmtId="0" fontId="13" fillId="0" borderId="1" xfId="0" applyFont="1" applyBorder="1" applyAlignment="1">
      <alignment horizontal="left" vertical="center" wrapText="1"/>
    </xf>
    <xf numFmtId="49" fontId="28" fillId="4" borderId="1" xfId="0" applyNumberFormat="1" applyFont="1" applyFill="1" applyBorder="1" applyAlignment="1">
      <alignment horizontal="left" vertical="center"/>
    </xf>
    <xf numFmtId="0" fontId="10" fillId="3" borderId="37" xfId="0" applyFont="1" applyFill="1" applyBorder="1" applyAlignment="1">
      <alignment horizontal="center" vertical="center" wrapText="1"/>
    </xf>
    <xf numFmtId="0" fontId="15" fillId="2" borderId="1" xfId="0" applyFont="1" applyFill="1" applyBorder="1" applyAlignment="1">
      <alignment horizontal="left"/>
    </xf>
    <xf numFmtId="0" fontId="10" fillId="3" borderId="37" xfId="0" applyFont="1" applyFill="1" applyBorder="1" applyAlignment="1">
      <alignment horizontal="center" wrapText="1"/>
    </xf>
    <xf numFmtId="0" fontId="13" fillId="5" borderId="37" xfId="0" applyFont="1" applyFill="1" applyBorder="1" applyAlignment="1">
      <alignment horizontal="center" vertical="center" wrapText="1"/>
    </xf>
    <xf numFmtId="0" fontId="10" fillId="0" borderId="1" xfId="0" applyFont="1" applyBorder="1" applyAlignment="1">
      <alignment horizontal="center" vertical="center" wrapText="1"/>
    </xf>
    <xf numFmtId="0" fontId="9" fillId="9" borderId="1" xfId="0" applyFont="1" applyFill="1" applyBorder="1" applyAlignment="1">
      <alignment horizontal="center" vertical="center"/>
    </xf>
    <xf numFmtId="0" fontId="11" fillId="3" borderId="29" xfId="0" applyFont="1" applyFill="1" applyBorder="1" applyAlignment="1">
      <alignment horizontal="left" vertical="top" wrapText="1"/>
    </xf>
    <xf numFmtId="0" fontId="9" fillId="23" borderId="1" xfId="0" applyFont="1" applyFill="1" applyBorder="1" applyAlignment="1">
      <alignment horizontal="left" vertical="center" wrapText="1"/>
    </xf>
    <xf numFmtId="0" fontId="9" fillId="23" borderId="1" xfId="0" applyFont="1" applyFill="1" applyBorder="1" applyAlignment="1">
      <alignment horizontal="left"/>
    </xf>
    <xf numFmtId="0" fontId="9" fillId="23" borderId="33" xfId="0" applyFont="1" applyFill="1" applyBorder="1" applyAlignment="1">
      <alignment horizontal="left" vertical="center" wrapText="1"/>
    </xf>
    <xf numFmtId="0" fontId="11" fillId="3" borderId="10" xfId="0" applyFont="1" applyFill="1" applyBorder="1" applyAlignment="1">
      <alignment vertical="center" wrapText="1"/>
    </xf>
    <xf numFmtId="49" fontId="28" fillId="4" borderId="1" xfId="0" applyNumberFormat="1" applyFont="1" applyFill="1" applyBorder="1" applyAlignment="1">
      <alignment horizontal="left" wrapText="1"/>
    </xf>
    <xf numFmtId="0" fontId="11" fillId="3" borderId="10" xfId="0" applyFont="1" applyFill="1" applyBorder="1" applyAlignment="1">
      <alignment horizontal="left" vertical="center"/>
    </xf>
    <xf numFmtId="0" fontId="28" fillId="4" borderId="1" xfId="0" applyFont="1" applyFill="1" applyBorder="1" applyAlignment="1">
      <alignment horizontal="left" vertical="center"/>
    </xf>
    <xf numFmtId="0" fontId="36" fillId="29" borderId="1" xfId="0" applyFont="1" applyFill="1" applyBorder="1" applyAlignment="1">
      <alignment horizontal="right"/>
    </xf>
    <xf numFmtId="0" fontId="13" fillId="5" borderId="1" xfId="0" applyFont="1" applyFill="1" applyBorder="1" applyAlignment="1">
      <alignment horizontal="center" vertical="center" wrapText="1"/>
    </xf>
    <xf numFmtId="0" fontId="5" fillId="3" borderId="5" xfId="0" applyFont="1" applyFill="1" applyBorder="1" applyAlignment="1">
      <alignment horizontal="left" vertical="center" wrapText="1"/>
    </xf>
    <xf numFmtId="0" fontId="9" fillId="9" borderId="1" xfId="0" applyFont="1" applyFill="1" applyBorder="1" applyAlignment="1">
      <alignment horizontal="center" wrapText="1"/>
    </xf>
    <xf numFmtId="0" fontId="9" fillId="9" borderId="31" xfId="0" applyFont="1" applyFill="1" applyBorder="1" applyAlignment="1">
      <alignment horizontal="center" vertical="center"/>
    </xf>
    <xf numFmtId="0" fontId="4" fillId="0" borderId="62" xfId="0" applyFont="1" applyBorder="1"/>
    <xf numFmtId="0" fontId="10" fillId="0" borderId="31" xfId="0" applyFont="1" applyBorder="1" applyAlignment="1">
      <alignment horizontal="center" vertical="center"/>
    </xf>
    <xf numFmtId="0" fontId="11" fillId="3" borderId="10" xfId="0" applyFont="1" applyFill="1" applyBorder="1" applyAlignment="1">
      <alignment vertical="center"/>
    </xf>
    <xf numFmtId="0" fontId="15" fillId="9" borderId="61" xfId="0" applyFont="1" applyFill="1" applyBorder="1" applyAlignment="1">
      <alignment horizontal="center" vertical="center"/>
    </xf>
    <xf numFmtId="9" fontId="10" fillId="6" borderId="31" xfId="0" applyNumberFormat="1" applyFont="1" applyFill="1" applyBorder="1" applyAlignment="1">
      <alignment horizontal="center" vertical="center"/>
    </xf>
    <xf numFmtId="0" fontId="36" fillId="27" borderId="1" xfId="0" applyFont="1" applyFill="1" applyBorder="1" applyAlignment="1">
      <alignment horizontal="right"/>
    </xf>
    <xf numFmtId="0" fontId="33" fillId="3" borderId="31" xfId="0" applyFont="1" applyFill="1" applyBorder="1" applyAlignment="1">
      <alignment horizontal="center" vertical="center"/>
    </xf>
    <xf numFmtId="0" fontId="9" fillId="9" borderId="33" xfId="0" applyFont="1" applyFill="1" applyBorder="1" applyAlignment="1">
      <alignment horizontal="center" wrapText="1"/>
    </xf>
    <xf numFmtId="0" fontId="4" fillId="0" borderId="64" xfId="0" applyFont="1" applyBorder="1"/>
    <xf numFmtId="0" fontId="10" fillId="3" borderId="17" xfId="0" applyFont="1" applyFill="1" applyBorder="1" applyAlignment="1">
      <alignment horizontal="center" wrapText="1"/>
    </xf>
    <xf numFmtId="0" fontId="9" fillId="9" borderId="5" xfId="0" applyFont="1" applyFill="1" applyBorder="1" applyAlignment="1">
      <alignment horizontal="center" wrapText="1"/>
    </xf>
    <xf numFmtId="0" fontId="5" fillId="5" borderId="10" xfId="0" applyFont="1" applyFill="1" applyBorder="1" applyAlignment="1">
      <alignment horizontal="left" vertical="center" wrapText="1"/>
    </xf>
    <xf numFmtId="0" fontId="5" fillId="5" borderId="10" xfId="0" applyFont="1" applyFill="1" applyBorder="1" applyAlignment="1">
      <alignment horizontal="left" vertical="center"/>
    </xf>
    <xf numFmtId="0" fontId="11" fillId="3" borderId="5" xfId="0" applyFont="1" applyFill="1" applyBorder="1" applyAlignment="1">
      <alignment vertical="center" wrapText="1"/>
    </xf>
    <xf numFmtId="0" fontId="4" fillId="0" borderId="26" xfId="0" applyFont="1" applyBorder="1" applyAlignment="1">
      <alignment vertical="center"/>
    </xf>
    <xf numFmtId="0" fontId="4" fillId="0" borderId="27" xfId="0" applyFont="1" applyBorder="1" applyAlignment="1">
      <alignment vertical="center"/>
    </xf>
    <xf numFmtId="0" fontId="10" fillId="3" borderId="37" xfId="0" applyFont="1" applyFill="1" applyBorder="1" applyAlignment="1">
      <alignment horizontal="left" vertical="center" wrapText="1"/>
    </xf>
    <xf numFmtId="0" fontId="4" fillId="0" borderId="51" xfId="0" applyFont="1" applyBorder="1" applyAlignment="1">
      <alignment vertical="center"/>
    </xf>
    <xf numFmtId="0" fontId="4" fillId="0" borderId="38" xfId="0" applyFont="1" applyBorder="1" applyAlignment="1">
      <alignment vertical="center"/>
    </xf>
    <xf numFmtId="0" fontId="4" fillId="0" borderId="13" xfId="0" applyFont="1" applyBorder="1" applyAlignment="1">
      <alignment vertical="center"/>
    </xf>
    <xf numFmtId="0" fontId="4" fillId="0" borderId="52" xfId="0" applyFont="1" applyBorder="1" applyAlignment="1">
      <alignment vertical="center"/>
    </xf>
    <xf numFmtId="0" fontId="4" fillId="0" borderId="14" xfId="0" applyFont="1" applyBorder="1" applyAlignment="1">
      <alignment vertical="center"/>
    </xf>
    <xf numFmtId="0" fontId="10" fillId="3" borderId="69" xfId="0" applyFont="1" applyFill="1" applyBorder="1" applyAlignment="1">
      <alignment horizontal="left" vertical="center" wrapText="1"/>
    </xf>
    <xf numFmtId="0" fontId="4" fillId="0" borderId="70" xfId="0" applyFont="1" applyBorder="1" applyAlignment="1">
      <alignment vertical="center"/>
    </xf>
    <xf numFmtId="0" fontId="4" fillId="0" borderId="42" xfId="0" applyFont="1" applyBorder="1" applyAlignment="1">
      <alignment vertical="center"/>
    </xf>
    <xf numFmtId="0" fontId="0" fillId="0" borderId="0" xfId="0" applyAlignment="1">
      <alignment vertical="center"/>
    </xf>
    <xf numFmtId="0" fontId="4" fillId="0" borderId="43" xfId="0" applyFont="1" applyBorder="1" applyAlignment="1">
      <alignment vertical="center"/>
    </xf>
    <xf numFmtId="0" fontId="4" fillId="0" borderId="50" xfId="0" applyFont="1" applyBorder="1" applyAlignment="1">
      <alignment vertical="center"/>
    </xf>
    <xf numFmtId="0" fontId="4" fillId="0" borderId="47" xfId="0" applyFont="1" applyBorder="1" applyAlignment="1">
      <alignment vertical="center"/>
    </xf>
    <xf numFmtId="0" fontId="4" fillId="0" borderId="64" xfId="0" applyFont="1" applyBorder="1" applyAlignment="1">
      <alignment vertical="center"/>
    </xf>
    <xf numFmtId="0" fontId="4" fillId="0" borderId="2" xfId="0" applyFont="1" applyBorder="1" applyAlignment="1">
      <alignment vertical="center"/>
    </xf>
    <xf numFmtId="0" fontId="4" fillId="0" borderId="3" xfId="0" applyFont="1" applyBorder="1" applyAlignment="1">
      <alignment vertical="center"/>
    </xf>
    <xf numFmtId="0" fontId="13" fillId="3" borderId="31" xfId="0" applyFont="1" applyFill="1" applyBorder="1" applyAlignment="1">
      <alignment horizontal="center" vertical="center"/>
    </xf>
    <xf numFmtId="0" fontId="4" fillId="0" borderId="12" xfId="0" applyFont="1" applyBorder="1" applyAlignment="1">
      <alignment vertical="center"/>
    </xf>
    <xf numFmtId="0" fontId="9" fillId="2" borderId="1" xfId="0" applyFont="1" applyFill="1" applyBorder="1" applyAlignment="1">
      <alignment horizontal="left" vertical="center" wrapText="1"/>
    </xf>
    <xf numFmtId="0" fontId="4" fillId="0" borderId="68" xfId="0" applyFont="1" applyBorder="1" applyAlignment="1">
      <alignment vertical="center"/>
    </xf>
    <xf numFmtId="0" fontId="9" fillId="2" borderId="33" xfId="0" applyFont="1" applyFill="1" applyBorder="1" applyAlignment="1">
      <alignment horizontal="left" vertical="center"/>
    </xf>
    <xf numFmtId="0" fontId="4" fillId="0" borderId="34" xfId="0" applyFont="1" applyBorder="1" applyAlignment="1">
      <alignment vertical="center"/>
    </xf>
    <xf numFmtId="0" fontId="4" fillId="0" borderId="35" xfId="0" applyFont="1" applyBorder="1" applyAlignment="1">
      <alignment vertical="center"/>
    </xf>
    <xf numFmtId="0" fontId="10" fillId="3" borderId="36" xfId="0" applyFont="1" applyFill="1" applyBorder="1" applyAlignment="1">
      <alignment horizontal="center" vertical="center" wrapText="1"/>
    </xf>
    <xf numFmtId="0" fontId="10" fillId="3" borderId="62" xfId="0" applyFont="1" applyFill="1" applyBorder="1" applyAlignment="1">
      <alignment horizontal="center" vertical="center" wrapText="1"/>
    </xf>
    <xf numFmtId="0" fontId="10" fillId="3" borderId="84" xfId="0" applyFont="1" applyFill="1" applyBorder="1" applyAlignment="1">
      <alignment horizontal="center" vertical="center"/>
    </xf>
    <xf numFmtId="0" fontId="10" fillId="3" borderId="85" xfId="0" applyFont="1" applyFill="1" applyBorder="1" applyAlignment="1">
      <alignment horizontal="center" vertical="center"/>
    </xf>
    <xf numFmtId="0" fontId="10" fillId="3" borderId="86" xfId="0" applyFont="1" applyFill="1" applyBorder="1" applyAlignment="1">
      <alignment horizontal="center" vertical="center"/>
    </xf>
    <xf numFmtId="0" fontId="4" fillId="0" borderId="87" xfId="0" applyFont="1" applyBorder="1" applyAlignment="1">
      <alignment horizontal="center" vertical="center" wrapText="1"/>
    </xf>
    <xf numFmtId="0" fontId="4" fillId="0" borderId="69" xfId="0" applyFont="1" applyBorder="1" applyAlignment="1">
      <alignment horizontal="center" vertical="center" wrapText="1"/>
    </xf>
    <xf numFmtId="0" fontId="4" fillId="0" borderId="63" xfId="0" applyFont="1" applyBorder="1" applyAlignment="1">
      <alignment horizontal="center" vertical="center" wrapText="1"/>
    </xf>
    <xf numFmtId="0" fontId="4" fillId="0" borderId="88" xfId="0" applyFont="1" applyBorder="1" applyAlignment="1">
      <alignment horizontal="center" vertical="center" wrapText="1"/>
    </xf>
    <xf numFmtId="0" fontId="4" fillId="0" borderId="48" xfId="0" applyFont="1" applyBorder="1" applyAlignment="1">
      <alignment horizontal="center" vertical="center" wrapText="1"/>
    </xf>
    <xf numFmtId="0" fontId="4" fillId="0" borderId="64" xfId="0" applyFont="1" applyBorder="1" applyAlignment="1">
      <alignment horizontal="center" vertical="center" wrapText="1"/>
    </xf>
    <xf numFmtId="0" fontId="4" fillId="0" borderId="89" xfId="0" applyFont="1" applyBorder="1" applyAlignment="1">
      <alignment horizontal="center" vertical="center" wrapText="1"/>
    </xf>
    <xf numFmtId="0" fontId="4" fillId="0" borderId="71" xfId="0" applyFont="1" applyBorder="1" applyAlignment="1">
      <alignment horizontal="center" vertical="center" wrapText="1"/>
    </xf>
    <xf numFmtId="0" fontId="4" fillId="0" borderId="58" xfId="0" applyFont="1" applyBorder="1" applyAlignment="1">
      <alignment horizontal="center" vertical="center" wrapText="1"/>
    </xf>
    <xf numFmtId="0" fontId="9" fillId="2" borderId="33" xfId="0" applyFont="1" applyFill="1" applyBorder="1"/>
    <xf numFmtId="0" fontId="10" fillId="0" borderId="37" xfId="0" applyFont="1" applyBorder="1" applyAlignment="1">
      <alignment horizontal="left" vertical="center" wrapText="1"/>
    </xf>
    <xf numFmtId="0" fontId="10" fillId="3" borderId="31" xfId="0" applyFont="1" applyFill="1" applyBorder="1" applyAlignment="1">
      <alignment horizontal="center" vertical="center" wrapText="1"/>
    </xf>
    <xf numFmtId="188" fontId="10" fillId="3" borderId="37" xfId="0" applyNumberFormat="1" applyFont="1" applyFill="1" applyBorder="1" applyAlignment="1">
      <alignment horizontal="center" vertical="center"/>
    </xf>
    <xf numFmtId="0" fontId="10" fillId="3" borderId="37" xfId="0" applyFont="1" applyFill="1" applyBorder="1" applyAlignment="1">
      <alignment vertical="center" wrapText="1"/>
    </xf>
    <xf numFmtId="0" fontId="10" fillId="0" borderId="1" xfId="0" applyFont="1" applyBorder="1" applyAlignment="1">
      <alignment vertical="center" wrapText="1"/>
    </xf>
    <xf numFmtId="0" fontId="9" fillId="2" borderId="1" xfId="0" applyFont="1" applyFill="1" applyBorder="1"/>
    <xf numFmtId="49" fontId="6" fillId="4" borderId="1" xfId="0" applyNumberFormat="1" applyFont="1" applyFill="1" applyBorder="1" applyAlignment="1">
      <alignment horizontal="left"/>
    </xf>
    <xf numFmtId="0" fontId="5" fillId="3" borderId="10" xfId="0" applyFont="1" applyFill="1" applyBorder="1" applyAlignment="1">
      <alignment horizontal="left" vertical="center"/>
    </xf>
    <xf numFmtId="49" fontId="5" fillId="3" borderId="10" xfId="0" applyNumberFormat="1" applyFont="1" applyFill="1" applyBorder="1" applyAlignment="1">
      <alignment horizontal="left" vertical="center" wrapText="1"/>
    </xf>
    <xf numFmtId="0" fontId="3" fillId="2" borderId="5" xfId="0" applyFont="1" applyFill="1" applyBorder="1" applyAlignment="1">
      <alignment horizontal="left" vertical="center"/>
    </xf>
    <xf numFmtId="0" fontId="11" fillId="3" borderId="61" xfId="0" applyFont="1" applyFill="1" applyBorder="1" applyAlignment="1">
      <alignment horizontal="left" vertical="center" wrapText="1"/>
    </xf>
    <xf numFmtId="0" fontId="4" fillId="0" borderId="71" xfId="0" applyFont="1" applyBorder="1"/>
    <xf numFmtId="49" fontId="28" fillId="4" borderId="1" xfId="0" applyNumberFormat="1" applyFont="1" applyFill="1" applyBorder="1" applyAlignment="1">
      <alignment horizontal="left"/>
    </xf>
    <xf numFmtId="0" fontId="10" fillId="3" borderId="1" xfId="0" applyFont="1" applyFill="1" applyBorder="1" applyAlignment="1">
      <alignment horizontal="left"/>
    </xf>
    <xf numFmtId="1" fontId="10" fillId="3" borderId="1" xfId="0" applyNumberFormat="1" applyFont="1" applyFill="1" applyBorder="1" applyAlignment="1">
      <alignment horizontal="left" vertical="center"/>
    </xf>
    <xf numFmtId="0" fontId="15" fillId="34" borderId="1" xfId="0" applyFont="1" applyFill="1" applyBorder="1"/>
    <xf numFmtId="0" fontId="15" fillId="31" borderId="31" xfId="0" applyFont="1" applyFill="1" applyBorder="1" applyAlignment="1">
      <alignment horizontal="center" vertical="center" wrapText="1"/>
    </xf>
    <xf numFmtId="0" fontId="9" fillId="32" borderId="1" xfId="0" applyFont="1" applyFill="1" applyBorder="1" applyAlignment="1">
      <alignment horizontal="center" vertical="center" wrapText="1"/>
    </xf>
    <xf numFmtId="0" fontId="9" fillId="33" borderId="1" xfId="0" applyFont="1" applyFill="1" applyBorder="1" applyAlignment="1">
      <alignment horizontal="center" vertical="center" wrapText="1"/>
    </xf>
    <xf numFmtId="0" fontId="4" fillId="0" borderId="82" xfId="0" applyFont="1" applyBorder="1"/>
    <xf numFmtId="49" fontId="28" fillId="4" borderId="33" xfId="0" applyNumberFormat="1" applyFont="1" applyFill="1" applyBorder="1" applyAlignment="1">
      <alignment horizontal="left" vertical="center"/>
    </xf>
    <xf numFmtId="0" fontId="9" fillId="2" borderId="17" xfId="0" applyFont="1" applyFill="1" applyBorder="1" applyAlignment="1">
      <alignment horizontal="left"/>
    </xf>
    <xf numFmtId="0" fontId="9" fillId="23" borderId="73" xfId="0" applyFont="1" applyFill="1" applyBorder="1" applyAlignment="1">
      <alignment horizontal="center"/>
    </xf>
    <xf numFmtId="0" fontId="4" fillId="0" borderId="74" xfId="0" applyFont="1" applyBorder="1"/>
    <xf numFmtId="0" fontId="10" fillId="3" borderId="31" xfId="0" applyFont="1" applyFill="1" applyBorder="1" applyAlignment="1">
      <alignment horizontal="left" vertical="center" wrapText="1"/>
    </xf>
    <xf numFmtId="0" fontId="11" fillId="3" borderId="10" xfId="0" applyFont="1" applyFill="1" applyBorder="1" applyAlignment="1">
      <alignment horizontal="left" wrapText="1"/>
    </xf>
    <xf numFmtId="0" fontId="9" fillId="9" borderId="1" xfId="0" applyFont="1" applyFill="1" applyBorder="1" applyAlignment="1">
      <alignment horizontal="center" vertical="center" wrapText="1"/>
    </xf>
    <xf numFmtId="0" fontId="10" fillId="0" borderId="31" xfId="0" applyFont="1" applyBorder="1" applyAlignment="1">
      <alignment horizontal="left" vertical="center" wrapText="1"/>
    </xf>
    <xf numFmtId="0" fontId="11" fillId="3" borderId="29" xfId="0" applyFont="1" applyFill="1" applyBorder="1" applyAlignment="1">
      <alignment horizontal="left" wrapText="1"/>
    </xf>
    <xf numFmtId="0" fontId="1" fillId="35" borderId="90" xfId="0" applyFont="1" applyFill="1" applyBorder="1"/>
    <xf numFmtId="0" fontId="32" fillId="3" borderId="48" xfId="0" applyFont="1" applyFill="1" applyBorder="1"/>
    <xf numFmtId="0" fontId="79" fillId="35" borderId="48" xfId="0" applyFont="1" applyFill="1" applyBorder="1"/>
    <xf numFmtId="0" fontId="9" fillId="40" borderId="48" xfId="2" applyFont="1" applyFill="1" applyBorder="1" applyAlignment="1">
      <alignment vertical="center" wrapText="1"/>
    </xf>
    <xf numFmtId="0" fontId="9" fillId="40" borderId="48" xfId="2" applyFont="1" applyFill="1" applyBorder="1" applyAlignment="1">
      <alignment horizontal="center" vertical="center" wrapText="1"/>
    </xf>
    <xf numFmtId="0" fontId="80" fillId="35" borderId="48" xfId="0" applyFont="1" applyFill="1" applyBorder="1"/>
    <xf numFmtId="0" fontId="80" fillId="35" borderId="48" xfId="0" applyFont="1" applyFill="1" applyBorder="1" applyAlignment="1">
      <alignment horizontal="center"/>
    </xf>
    <xf numFmtId="3" fontId="80" fillId="35" borderId="48" xfId="0" applyNumberFormat="1" applyFont="1" applyFill="1" applyBorder="1" applyAlignment="1">
      <alignment horizontal="center"/>
    </xf>
    <xf numFmtId="2" fontId="80" fillId="35" borderId="48" xfId="0" applyNumberFormat="1" applyFont="1" applyFill="1" applyBorder="1" applyAlignment="1">
      <alignment horizontal="center"/>
    </xf>
    <xf numFmtId="167" fontId="80" fillId="35" borderId="48" xfId="0" applyNumberFormat="1" applyFont="1" applyFill="1" applyBorder="1" applyAlignment="1">
      <alignment horizontal="center"/>
    </xf>
    <xf numFmtId="164" fontId="32" fillId="35" borderId="48" xfId="0" applyNumberFormat="1" applyFont="1" applyFill="1" applyBorder="1" applyAlignment="1">
      <alignment horizontal="center"/>
    </xf>
    <xf numFmtId="9" fontId="81" fillId="35" borderId="48" xfId="1" applyFont="1" applyFill="1" applyBorder="1" applyAlignment="1">
      <alignment horizontal="center"/>
    </xf>
    <xf numFmtId="9" fontId="80" fillId="35" borderId="48" xfId="1" applyFont="1" applyFill="1" applyBorder="1" applyAlignment="1">
      <alignment horizontal="center"/>
    </xf>
    <xf numFmtId="0" fontId="82" fillId="35" borderId="48" xfId="0" applyFont="1" applyFill="1" applyBorder="1"/>
    <xf numFmtId="9" fontId="80" fillId="35" borderId="48" xfId="1" applyFont="1" applyFill="1" applyBorder="1"/>
    <xf numFmtId="167" fontId="80" fillId="35" borderId="48" xfId="0" applyNumberFormat="1" applyFont="1" applyFill="1" applyBorder="1"/>
  </cellXfs>
  <cellStyles count="25">
    <cellStyle name="Comma" xfId="24" builtinId="3"/>
    <cellStyle name="Comma 2" xfId="14" xr:uid="{A22448F1-7B03-4CE9-80E1-5D24D2B76581}"/>
    <cellStyle name="Comma 2 2" xfId="17" xr:uid="{471DE29A-C9EE-4A50-B623-CE7C0AB13C85}"/>
    <cellStyle name="Comma 3" xfId="4" xr:uid="{00000000-0005-0000-0000-000032000000}"/>
    <cellStyle name="Hyperlink 2" xfId="9" xr:uid="{00000000-0005-0000-0000-000035000000}"/>
    <cellStyle name="Lotus Heading" xfId="7" xr:uid="{26D24E52-4FB4-46D6-AA7B-FF82C8B05D08}"/>
    <cellStyle name="Lotus Normal" xfId="11" xr:uid="{0F83F86A-8B56-4D6B-946E-34A76BF2C067}"/>
    <cellStyle name="Lotus Section Heading" xfId="6" xr:uid="{F8D32812-2907-45D7-B842-EDE98024EBA4}"/>
    <cellStyle name="Lotus Subheading" xfId="2" xr:uid="{5ED7E545-6C73-4C5B-A676-AA37FB894A05}"/>
    <cellStyle name="Lotus Subheading 2" xfId="22" xr:uid="{75B70819-43D9-418B-A343-7248EBEFCEF4}"/>
    <cellStyle name="Lotus Subheading2" xfId="8" xr:uid="{CDC10E64-92F1-47B8-BAFA-199D8D881D3C}"/>
    <cellStyle name="Lotus Subheading2 2" xfId="21" xr:uid="{3589680D-9C57-4041-A150-747AEDBF37D2}"/>
    <cellStyle name="Lotus Subheading2 7" xfId="13" xr:uid="{38A2017D-D2CA-47BD-90C1-F7FFFD9A0119}"/>
    <cellStyle name="Normal" xfId="0" builtinId="0"/>
    <cellStyle name="Normal 11" xfId="12" xr:uid="{647999D7-AABC-4B47-9FF2-AD51600478A1}"/>
    <cellStyle name="Normal 2" xfId="16" xr:uid="{6455C43B-7172-43BE-B1E8-9389B4CBC417}"/>
    <cellStyle name="Normal 2 8" xfId="19" xr:uid="{17E4FCBC-F357-451E-B742-EDC29964A8DD}"/>
    <cellStyle name="Normal 3" xfId="10" xr:uid="{49DFC1C5-738D-4840-B35F-9984EE18BF9C}"/>
    <cellStyle name="Normal 4" xfId="18" xr:uid="{9CF31B1B-4AF8-4B1F-86C4-4677186A85FE}"/>
    <cellStyle name="Normal 5" xfId="3" xr:uid="{00000000-0005-0000-0000-00003D000000}"/>
    <cellStyle name="Normal 6" xfId="20" xr:uid="{0A0D6458-3183-4B31-9CF3-065B60D9C191}"/>
    <cellStyle name="Normal 7" xfId="23" xr:uid="{75CAE2A7-E9E1-4A62-A501-60C60E213629}"/>
    <cellStyle name="Percent" xfId="1" builtinId="5"/>
    <cellStyle name="Percent 2" xfId="15" xr:uid="{431AA871-2856-43BB-8E2B-C085B6B9747E}"/>
    <cellStyle name="Percent 3" xfId="5" xr:uid="{00000000-0005-0000-0000-000045000000}"/>
  </cellStyles>
  <dxfs count="0"/>
  <tableStyles count="0" defaultTableStyle="TableStyleMedium2" defaultPivotStyle="PivotStyleLight16"/>
  <colors>
    <mruColors>
      <color rgb="FFB8CCE4"/>
      <color rgb="FF79A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lvl="0">
              <a:defRPr sz="1400" b="1" i="0">
                <a:solidFill>
                  <a:srgbClr val="000000"/>
                </a:solidFill>
                <a:latin typeface="+mn-lt"/>
              </a:defRPr>
            </a:pPr>
            <a:r>
              <a:rPr lang="en-US" sz="1400" b="1" i="0">
                <a:solidFill>
                  <a:srgbClr val="000000"/>
                </a:solidFill>
                <a:latin typeface="+mn-lt"/>
              </a:rPr>
              <a:t>MSA Emissions by County</a:t>
            </a:r>
          </a:p>
        </c:rich>
      </c:tx>
      <c:overlay val="0"/>
    </c:title>
    <c:autoTitleDeleted val="0"/>
    <c:plotArea>
      <c:layout>
        <c:manualLayout>
          <c:xMode val="edge"/>
          <c:yMode val="edge"/>
          <c:x val="0.28866343126897165"/>
          <c:y val="0.21036852208363685"/>
          <c:w val="0.4226731374620567"/>
          <c:h val="0.73266283987690839"/>
        </c:manualLayout>
      </c:layout>
      <c:pieChart>
        <c:varyColors val="1"/>
        <c:ser>
          <c:idx val="0"/>
          <c:order val="0"/>
          <c:dPt>
            <c:idx val="0"/>
            <c:bubble3D val="0"/>
            <c:spPr>
              <a:solidFill>
                <a:schemeClr val="accent2"/>
              </a:solidFill>
            </c:spPr>
            <c:extLst>
              <c:ext xmlns:c16="http://schemas.microsoft.com/office/drawing/2014/chart" uri="{C3380CC4-5D6E-409C-BE32-E72D297353CC}">
                <c16:uniqueId val="{00000001-022D-421A-8500-5D00322B95D5}"/>
              </c:ext>
            </c:extLst>
          </c:dPt>
          <c:dPt>
            <c:idx val="1"/>
            <c:bubble3D val="0"/>
            <c:spPr>
              <a:solidFill>
                <a:srgbClr val="9F481B"/>
              </a:solidFill>
            </c:spPr>
            <c:extLst>
              <c:ext xmlns:c16="http://schemas.microsoft.com/office/drawing/2014/chart" uri="{C3380CC4-5D6E-409C-BE32-E72D297353CC}">
                <c16:uniqueId val="{00000003-022D-421A-8500-5D00322B95D5}"/>
              </c:ext>
            </c:extLst>
          </c:dPt>
          <c:dPt>
            <c:idx val="2"/>
            <c:bubble3D val="0"/>
            <c:spPr>
              <a:solidFill>
                <a:schemeClr val="accent4"/>
              </a:solidFill>
            </c:spPr>
            <c:extLst>
              <c:ext xmlns:c16="http://schemas.microsoft.com/office/drawing/2014/chart" uri="{C3380CC4-5D6E-409C-BE32-E72D297353CC}">
                <c16:uniqueId val="{00000005-022D-421A-8500-5D00322B95D5}"/>
              </c:ext>
            </c:extLst>
          </c:dPt>
          <c:dPt>
            <c:idx val="3"/>
            <c:bubble3D val="0"/>
            <c:spPr>
              <a:solidFill>
                <a:srgbClr val="005569"/>
              </a:solidFill>
            </c:spPr>
            <c:extLst>
              <c:ext xmlns:c16="http://schemas.microsoft.com/office/drawing/2014/chart" uri="{C3380CC4-5D6E-409C-BE32-E72D297353CC}">
                <c16:uniqueId val="{00000007-022D-421A-8500-5D00322B95D5}"/>
              </c:ext>
            </c:extLst>
          </c:dPt>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'Visual Summary'!$A$5:$A$8</c:f>
              <c:strCache>
                <c:ptCount val="4"/>
                <c:pt idx="0">
                  <c:v>Bernalillo</c:v>
                </c:pt>
                <c:pt idx="1">
                  <c:v>Sandoval</c:v>
                </c:pt>
                <c:pt idx="2">
                  <c:v>Torrance</c:v>
                </c:pt>
                <c:pt idx="3">
                  <c:v>Valencia</c:v>
                </c:pt>
              </c:strCache>
            </c:strRef>
          </c:cat>
          <c:val>
            <c:numRef>
              <c:f>'Visual Summary'!$B$5:$B$8</c:f>
              <c:numCache>
                <c:formatCode>#,##0_);\(#,##0\)</c:formatCode>
                <c:ptCount val="4"/>
                <c:pt idx="0">
                  <c:v>7346622.7465461874</c:v>
                </c:pt>
                <c:pt idx="1">
                  <c:v>1474957.7909026011</c:v>
                </c:pt>
                <c:pt idx="2">
                  <c:v>480358.86853029125</c:v>
                </c:pt>
                <c:pt idx="3">
                  <c:v>701016.85033679265</c:v>
                </c:pt>
              </c:numCache>
            </c:numRef>
          </c:val>
          <c:extLst>
            <c:ext xmlns:c16="http://schemas.microsoft.com/office/drawing/2014/chart" uri="{C3380CC4-5D6E-409C-BE32-E72D297353CC}">
              <c16:uniqueId val="{00000008-022D-421A-8500-5D00322B95D5}"/>
            </c:ext>
          </c:extLst>
        </c:ser>
        <c:dLbls>
          <c:showLegendKey val="0"/>
          <c:showVal val="0"/>
          <c:showCatName val="0"/>
          <c:showSerName val="0"/>
          <c:showPercent val="0"/>
          <c:showBubbleSize val="0"/>
          <c:showLeaderLines val="1"/>
        </c:dLbls>
        <c:firstSliceAng val="0"/>
      </c:pieChart>
    </c:plotArea>
    <c:plotVisOnly val="1"/>
    <c:dispBlanksAs val="zero"/>
    <c:showDLblsOverMax val="1"/>
  </c:chart>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lvl="0">
              <a:defRPr sz="1400" b="0" i="0">
                <a:solidFill>
                  <a:srgbClr val="757575"/>
                </a:solidFill>
                <a:latin typeface="+mn-lt"/>
              </a:defRPr>
            </a:pPr>
            <a:r>
              <a:rPr sz="1400" b="0" i="0">
                <a:solidFill>
                  <a:srgbClr val="757575"/>
                </a:solidFill>
                <a:latin typeface="+mn-lt"/>
              </a:rPr>
              <a:t>Sandoval County Emissions by Sector (mtCO2e)</a:t>
            </a:r>
          </a:p>
        </c:rich>
      </c:tx>
      <c:overlay val="0"/>
    </c:title>
    <c:autoTitleDeleted val="0"/>
    <c:plotArea>
      <c:layout>
        <c:manualLayout>
          <c:xMode val="edge"/>
          <c:yMode val="edge"/>
          <c:x val="0.16236595181960073"/>
          <c:y val="0.19185396574232688"/>
          <c:w val="0.7798491011296993"/>
          <c:h val="0.71522945034726237"/>
        </c:manualLayout>
      </c:layout>
      <c:barChart>
        <c:barDir val="bar"/>
        <c:grouping val="clustered"/>
        <c:varyColors val="1"/>
        <c:ser>
          <c:idx val="0"/>
          <c:order val="0"/>
          <c:spPr>
            <a:solidFill>
              <a:srgbClr val="A3B5A3"/>
            </a:solidFill>
            <a:ln cmpd="sng">
              <a:solidFill>
                <a:srgbClr val="000000"/>
              </a:solidFill>
            </a:ln>
          </c:spPr>
          <c:invertIfNegative val="1"/>
          <c:dPt>
            <c:idx val="0"/>
            <c:invertIfNegative val="1"/>
            <c:bubble3D val="0"/>
            <c:spPr>
              <a:solidFill>
                <a:schemeClr val="accent2"/>
              </a:solidFill>
              <a:ln cmpd="sng">
                <a:solidFill>
                  <a:srgbClr val="000000"/>
                </a:solidFill>
              </a:ln>
            </c:spPr>
            <c:extLst>
              <c:ext xmlns:c16="http://schemas.microsoft.com/office/drawing/2014/chart" uri="{C3380CC4-5D6E-409C-BE32-E72D297353CC}">
                <c16:uniqueId val="{00000001-3A94-4F45-91E1-B4C0AD6EB854}"/>
              </c:ext>
            </c:extLst>
          </c:dPt>
          <c:dPt>
            <c:idx val="1"/>
            <c:invertIfNegative val="1"/>
            <c:bubble3D val="0"/>
            <c:spPr>
              <a:solidFill>
                <a:schemeClr val="accent1"/>
              </a:solidFill>
              <a:ln cmpd="sng">
                <a:solidFill>
                  <a:srgbClr val="000000"/>
                </a:solidFill>
              </a:ln>
            </c:spPr>
            <c:extLst>
              <c:ext xmlns:c16="http://schemas.microsoft.com/office/drawing/2014/chart" uri="{C3380CC4-5D6E-409C-BE32-E72D297353CC}">
                <c16:uniqueId val="{00000003-3A94-4F45-91E1-B4C0AD6EB854}"/>
              </c:ext>
            </c:extLst>
          </c:dPt>
          <c:dPt>
            <c:idx val="2"/>
            <c:invertIfNegative val="1"/>
            <c:bubble3D val="0"/>
            <c:spPr>
              <a:solidFill>
                <a:schemeClr val="accent6"/>
              </a:solidFill>
              <a:ln cmpd="sng">
                <a:solidFill>
                  <a:srgbClr val="000000"/>
                </a:solidFill>
              </a:ln>
            </c:spPr>
            <c:extLst>
              <c:ext xmlns:c16="http://schemas.microsoft.com/office/drawing/2014/chart" uri="{C3380CC4-5D6E-409C-BE32-E72D297353CC}">
                <c16:uniqueId val="{00000005-3A94-4F45-91E1-B4C0AD6EB854}"/>
              </c:ext>
            </c:extLst>
          </c:dPt>
          <c:dPt>
            <c:idx val="3"/>
            <c:invertIfNegative val="1"/>
            <c:bubble3D val="0"/>
            <c:spPr>
              <a:solidFill>
                <a:srgbClr val="F4A81D">
                  <a:alpha val="49803"/>
                </a:srgbClr>
              </a:solidFill>
              <a:ln cmpd="sng">
                <a:solidFill>
                  <a:srgbClr val="000000"/>
                </a:solidFill>
              </a:ln>
            </c:spPr>
            <c:extLst>
              <c:ext xmlns:c16="http://schemas.microsoft.com/office/drawing/2014/chart" uri="{C3380CC4-5D6E-409C-BE32-E72D297353CC}">
                <c16:uniqueId val="{00000007-3A94-4F45-91E1-B4C0AD6EB854}"/>
              </c:ext>
            </c:extLst>
          </c:dPt>
          <c:dPt>
            <c:idx val="4"/>
            <c:invertIfNegative val="1"/>
            <c:bubble3D val="0"/>
            <c:spPr>
              <a:solidFill>
                <a:schemeClr val="accent1"/>
              </a:solidFill>
              <a:ln cmpd="sng">
                <a:solidFill>
                  <a:srgbClr val="000000"/>
                </a:solidFill>
              </a:ln>
            </c:spPr>
            <c:extLst>
              <c:ext xmlns:c16="http://schemas.microsoft.com/office/drawing/2014/chart" uri="{C3380CC4-5D6E-409C-BE32-E72D297353CC}">
                <c16:uniqueId val="{00000009-3A94-4F45-91E1-B4C0AD6EB854}"/>
              </c:ext>
            </c:extLst>
          </c:dPt>
          <c:dPt>
            <c:idx val="5"/>
            <c:invertIfNegative val="1"/>
            <c:bubble3D val="0"/>
            <c:extLst>
              <c:ext xmlns:c16="http://schemas.microsoft.com/office/drawing/2014/chart" uri="{C3380CC4-5D6E-409C-BE32-E72D297353CC}">
                <c16:uniqueId val="{0000000C-3A94-4F45-91E1-B4C0AD6EB854}"/>
              </c:ext>
            </c:extLst>
          </c:dPt>
          <c:dPt>
            <c:idx val="6"/>
            <c:invertIfNegative val="1"/>
            <c:bubble3D val="0"/>
            <c:spPr>
              <a:solidFill>
                <a:srgbClr val="496884">
                  <a:alpha val="49803"/>
                </a:srgbClr>
              </a:solidFill>
              <a:ln cmpd="sng">
                <a:solidFill>
                  <a:srgbClr val="000000"/>
                </a:solidFill>
              </a:ln>
            </c:spPr>
            <c:extLst>
              <c:ext xmlns:c16="http://schemas.microsoft.com/office/drawing/2014/chart" uri="{C3380CC4-5D6E-409C-BE32-E72D297353CC}">
                <c16:uniqueId val="{0000000B-3A94-4F45-91E1-B4C0AD6EB854}"/>
              </c:ext>
            </c:extLst>
          </c:dPt>
          <c:dLbls>
            <c:dLbl>
              <c:idx val="1"/>
              <c:tx>
                <c:rich>
                  <a:bodyPr/>
                  <a:lstStyle/>
                  <a:p>
                    <a:pPr lvl="0">
                      <a:defRPr sz="900" b="1">
                        <a:solidFill>
                          <a:srgbClr val="000000"/>
                        </a:solidFill>
                        <a:latin typeface="+mn-lt"/>
                      </a:defRPr>
                    </a:pPr>
                    <a:r>
                      <a:rPr sz="900" b="1">
                        <a:solidFill>
                          <a:srgbClr val="000000"/>
                        </a:solidFill>
                        <a:latin typeface="+mn-lt"/>
                      </a:rPr>
                      <a:t> </a:t>
                    </a:r>
                  </a:p>
                </c:rich>
              </c:tx>
              <c:numFmt formatCode="#,##0" sourceLinked="0"/>
              <c:spP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3A94-4F45-91E1-B4C0AD6EB854}"/>
                </c:ext>
              </c:extLst>
            </c:dLbl>
            <c:dLbl>
              <c:idx val="2"/>
              <c:numFmt formatCode="#,##0" sourceLinked="0"/>
              <c:spPr/>
              <c:txPr>
                <a:bodyPr/>
                <a:lstStyle/>
                <a:p>
                  <a:pPr lvl="0">
                    <a:defRPr sz="900" b="1" i="0">
                      <a:solidFill>
                        <a:srgbClr val="000000"/>
                      </a:solidFill>
                      <a:latin typeface="+mn-lt"/>
                    </a:defRPr>
                  </a:pPr>
                  <a:endParaRPr lang="en-US"/>
                </a:p>
              </c:txPr>
              <c:showLegendKey val="0"/>
              <c:showVal val="1"/>
              <c:showCatName val="0"/>
              <c:showSerName val="0"/>
              <c:showPercent val="0"/>
              <c:showBubbleSize val="0"/>
              <c:extLst>
                <c:ext xmlns:c16="http://schemas.microsoft.com/office/drawing/2014/chart" uri="{C3380CC4-5D6E-409C-BE32-E72D297353CC}">
                  <c16:uniqueId val="{00000005-3A94-4F45-91E1-B4C0AD6EB854}"/>
                </c:ext>
              </c:extLst>
            </c:dLbl>
            <c:dLbl>
              <c:idx val="3"/>
              <c:numFmt formatCode="#,##0" sourceLinked="0"/>
              <c:spPr/>
              <c:txPr>
                <a:bodyPr/>
                <a:lstStyle/>
                <a:p>
                  <a:pPr lvl="0">
                    <a:defRPr sz="900" b="1" i="0">
                      <a:solidFill>
                        <a:srgbClr val="000000"/>
                      </a:solidFill>
                      <a:latin typeface="+mn-lt"/>
                    </a:defRPr>
                  </a:pPr>
                  <a:endParaRPr lang="en-US"/>
                </a:p>
              </c:txPr>
              <c:showLegendKey val="0"/>
              <c:showVal val="1"/>
              <c:showCatName val="0"/>
              <c:showSerName val="0"/>
              <c:showPercent val="0"/>
              <c:showBubbleSize val="0"/>
              <c:extLst>
                <c:ext xmlns:c16="http://schemas.microsoft.com/office/drawing/2014/chart" uri="{C3380CC4-5D6E-409C-BE32-E72D297353CC}">
                  <c16:uniqueId val="{00000007-3A94-4F45-91E1-B4C0AD6EB854}"/>
                </c:ext>
              </c:extLst>
            </c:dLbl>
            <c:dLbl>
              <c:idx val="5"/>
              <c:numFmt formatCode="#,##0" sourceLinked="0"/>
              <c:spPr/>
              <c:txPr>
                <a:bodyPr/>
                <a:lstStyle/>
                <a:p>
                  <a:pPr lvl="0">
                    <a:defRPr sz="900" b="1" i="0">
                      <a:solidFill>
                        <a:srgbClr val="000000"/>
                      </a:solidFill>
                      <a:latin typeface="+mn-lt"/>
                    </a:defRPr>
                  </a:pPr>
                  <a:endParaRPr lang="en-US"/>
                </a:p>
              </c:txPr>
              <c:showLegendKey val="0"/>
              <c:showVal val="1"/>
              <c:showCatName val="0"/>
              <c:showSerName val="0"/>
              <c:showPercent val="0"/>
              <c:showBubbleSize val="0"/>
              <c:extLst>
                <c:ext xmlns:c16="http://schemas.microsoft.com/office/drawing/2014/chart" uri="{C3380CC4-5D6E-409C-BE32-E72D297353CC}">
                  <c16:uniqueId val="{0000000C-3A94-4F45-91E1-B4C0AD6EB854}"/>
                </c:ext>
              </c:extLst>
            </c:dLbl>
            <c:numFmt formatCode="#,##0" sourceLinked="0"/>
            <c:spPr>
              <a:noFill/>
              <a:ln>
                <a:noFill/>
              </a:ln>
              <a:effectLst/>
            </c:spPr>
            <c:txPr>
              <a:bodyPr/>
              <a:lstStyle/>
              <a:p>
                <a:pPr lvl="0">
                  <a:defRPr sz="900" b="1" i="0">
                    <a:solidFill>
                      <a:srgbClr val="000000"/>
                    </a:solidFill>
                    <a:latin typeface="+mn-lt"/>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'Sandoval County Data'!$D$19:$D$25</c:f>
              <c:strCache>
                <c:ptCount val="7"/>
                <c:pt idx="0">
                  <c:v>Building Energy</c:v>
                </c:pt>
                <c:pt idx="1">
                  <c:v>Transportation</c:v>
                </c:pt>
                <c:pt idx="2">
                  <c:v>Waste </c:v>
                </c:pt>
                <c:pt idx="3">
                  <c:v>Wastewater Treatment</c:v>
                </c:pt>
                <c:pt idx="4">
                  <c:v>Industrial Processes &amp; Product Use</c:v>
                </c:pt>
                <c:pt idx="5">
                  <c:v>Agriculture - Emissions</c:v>
                </c:pt>
                <c:pt idx="6">
                  <c:v>Agriculture - Removals</c:v>
                </c:pt>
              </c:strCache>
            </c:strRef>
          </c:cat>
          <c:val>
            <c:numRef>
              <c:f>'Sandoval County Data'!$E$19:$E$25</c:f>
              <c:numCache>
                <c:formatCode>#,##0</c:formatCode>
                <c:ptCount val="7"/>
                <c:pt idx="0">
                  <c:v>510223.41018259263</c:v>
                </c:pt>
                <c:pt idx="1">
                  <c:v>726278.19225831667</c:v>
                </c:pt>
                <c:pt idx="2">
                  <c:v>132798.02499013249</c:v>
                </c:pt>
                <c:pt idx="3">
                  <c:v>5620.0164933315291</c:v>
                </c:pt>
                <c:pt idx="4">
                  <c:v>146050.13232848886</c:v>
                </c:pt>
                <c:pt idx="5" formatCode="#,##0_);\(#,##0\)">
                  <c:v>65257.014649739183</c:v>
                </c:pt>
                <c:pt idx="6" formatCode="#,##0_);\(#,##0\)">
                  <c:v>-111269</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D-3A94-4F45-91E1-B4C0AD6EB854}"/>
            </c:ext>
          </c:extLst>
        </c:ser>
        <c:dLbls>
          <c:showLegendKey val="0"/>
          <c:showVal val="0"/>
          <c:showCatName val="0"/>
          <c:showSerName val="0"/>
          <c:showPercent val="0"/>
          <c:showBubbleSize val="0"/>
        </c:dLbls>
        <c:gapWidth val="150"/>
        <c:axId val="940486728"/>
        <c:axId val="799737005"/>
      </c:barChart>
      <c:catAx>
        <c:axId val="940486728"/>
        <c:scaling>
          <c:orientation val="maxMin"/>
        </c:scaling>
        <c:delete val="0"/>
        <c:axPos val="l"/>
        <c:title>
          <c:tx>
            <c:rich>
              <a:bodyPr/>
              <a:lstStyle/>
              <a:p>
                <a:pPr lvl="0">
                  <a:defRPr b="0">
                    <a:solidFill>
                      <a:srgbClr val="000000"/>
                    </a:solidFill>
                    <a:latin typeface="+mn-lt"/>
                  </a:defRPr>
                </a:pPr>
                <a:endParaRPr/>
              </a:p>
            </c:rich>
          </c:tx>
          <c:overlay val="0"/>
        </c:title>
        <c:numFmt formatCode="General" sourceLinked="1"/>
        <c:majorTickMark val="out"/>
        <c:minorTickMark val="none"/>
        <c:tickLblPos val="nextTo"/>
        <c:txPr>
          <a:bodyPr/>
          <a:lstStyle/>
          <a:p>
            <a:pPr lvl="0">
              <a:defRPr sz="900" b="0" i="0">
                <a:solidFill>
                  <a:srgbClr val="000000"/>
                </a:solidFill>
                <a:latin typeface="+mn-lt"/>
              </a:defRPr>
            </a:pPr>
            <a:endParaRPr lang="en-US"/>
          </a:p>
        </c:txPr>
        <c:crossAx val="799737005"/>
        <c:crosses val="autoZero"/>
        <c:auto val="1"/>
        <c:lblAlgn val="ctr"/>
        <c:lblOffset val="100"/>
        <c:noMultiLvlLbl val="1"/>
      </c:catAx>
      <c:valAx>
        <c:axId val="799737005"/>
        <c:scaling>
          <c:orientation val="minMax"/>
        </c:scaling>
        <c:delete val="0"/>
        <c:axPos val="b"/>
        <c:majorGridlines>
          <c:spPr>
            <a:ln>
              <a:solidFill>
                <a:srgbClr val="B7B7B7"/>
              </a:solidFill>
            </a:ln>
          </c:spPr>
        </c:majorGridlines>
        <c:title>
          <c:tx>
            <c:rich>
              <a:bodyPr/>
              <a:lstStyle/>
              <a:p>
                <a:pPr lvl="0">
                  <a:defRPr b="0">
                    <a:solidFill>
                      <a:srgbClr val="000000"/>
                    </a:solidFill>
                    <a:latin typeface="+mn-lt"/>
                  </a:defRPr>
                </a:pPr>
                <a:endParaRPr/>
              </a:p>
            </c:rich>
          </c:tx>
          <c:overlay val="0"/>
        </c:title>
        <c:numFmt formatCode="#,##0" sourceLinked="1"/>
        <c:majorTickMark val="out"/>
        <c:minorTickMark val="none"/>
        <c:tickLblPos val="nextTo"/>
        <c:spPr>
          <a:ln/>
        </c:spPr>
        <c:txPr>
          <a:bodyPr/>
          <a:lstStyle/>
          <a:p>
            <a:pPr lvl="0">
              <a:defRPr sz="900" b="0" i="0">
                <a:solidFill>
                  <a:srgbClr val="000000"/>
                </a:solidFill>
                <a:latin typeface="+mn-lt"/>
              </a:defRPr>
            </a:pPr>
            <a:endParaRPr lang="en-US"/>
          </a:p>
        </c:txPr>
        <c:crossAx val="940486728"/>
        <c:crosses val="max"/>
        <c:crossBetween val="between"/>
      </c:valAx>
    </c:plotArea>
    <c:plotVisOnly val="1"/>
    <c:dispBlanksAs val="zero"/>
    <c:showDLblsOverMax val="1"/>
  </c:chart>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lvl="0">
              <a:defRPr sz="1400" b="0" i="0">
                <a:solidFill>
                  <a:srgbClr val="757575"/>
                </a:solidFill>
                <a:latin typeface="+mn-lt"/>
              </a:defRPr>
            </a:pPr>
            <a:r>
              <a:rPr lang="en-US" sz="1400" b="0" i="0">
                <a:solidFill>
                  <a:srgbClr val="757575"/>
                </a:solidFill>
                <a:latin typeface="+mn-lt"/>
              </a:rPr>
              <a:t>Torrance County Emissions by Sector (mtCO2e)</a:t>
            </a:r>
          </a:p>
        </c:rich>
      </c:tx>
      <c:overlay val="0"/>
    </c:title>
    <c:autoTitleDeleted val="0"/>
    <c:plotArea>
      <c:layout>
        <c:manualLayout>
          <c:xMode val="edge"/>
          <c:yMode val="edge"/>
          <c:x val="0.16236595181960073"/>
          <c:y val="0.19185396574232688"/>
          <c:w val="0.7798491011296993"/>
          <c:h val="0.71522945034726237"/>
        </c:manualLayout>
      </c:layout>
      <c:barChart>
        <c:barDir val="bar"/>
        <c:grouping val="clustered"/>
        <c:varyColors val="1"/>
        <c:ser>
          <c:idx val="0"/>
          <c:order val="0"/>
          <c:spPr>
            <a:solidFill>
              <a:srgbClr val="A3B5A3"/>
            </a:solidFill>
            <a:ln cmpd="sng">
              <a:solidFill>
                <a:srgbClr val="000000"/>
              </a:solidFill>
            </a:ln>
          </c:spPr>
          <c:invertIfNegative val="1"/>
          <c:dPt>
            <c:idx val="0"/>
            <c:invertIfNegative val="1"/>
            <c:bubble3D val="0"/>
            <c:spPr>
              <a:solidFill>
                <a:schemeClr val="accent2"/>
              </a:solidFill>
              <a:ln cmpd="sng">
                <a:solidFill>
                  <a:srgbClr val="000000"/>
                </a:solidFill>
              </a:ln>
            </c:spPr>
            <c:extLst>
              <c:ext xmlns:c16="http://schemas.microsoft.com/office/drawing/2014/chart" uri="{C3380CC4-5D6E-409C-BE32-E72D297353CC}">
                <c16:uniqueId val="{00000001-16A0-4372-A69E-255D1F281DF9}"/>
              </c:ext>
            </c:extLst>
          </c:dPt>
          <c:dPt>
            <c:idx val="1"/>
            <c:invertIfNegative val="1"/>
            <c:bubble3D val="0"/>
            <c:spPr>
              <a:solidFill>
                <a:schemeClr val="accent1"/>
              </a:solidFill>
              <a:ln cmpd="sng">
                <a:solidFill>
                  <a:srgbClr val="000000"/>
                </a:solidFill>
              </a:ln>
            </c:spPr>
            <c:extLst>
              <c:ext xmlns:c16="http://schemas.microsoft.com/office/drawing/2014/chart" uri="{C3380CC4-5D6E-409C-BE32-E72D297353CC}">
                <c16:uniqueId val="{00000003-16A0-4372-A69E-255D1F281DF9}"/>
              </c:ext>
            </c:extLst>
          </c:dPt>
          <c:dPt>
            <c:idx val="2"/>
            <c:invertIfNegative val="1"/>
            <c:bubble3D val="0"/>
            <c:spPr>
              <a:solidFill>
                <a:schemeClr val="accent6"/>
              </a:solidFill>
              <a:ln cmpd="sng">
                <a:solidFill>
                  <a:srgbClr val="000000"/>
                </a:solidFill>
              </a:ln>
            </c:spPr>
            <c:extLst>
              <c:ext xmlns:c16="http://schemas.microsoft.com/office/drawing/2014/chart" uri="{C3380CC4-5D6E-409C-BE32-E72D297353CC}">
                <c16:uniqueId val="{00000005-16A0-4372-A69E-255D1F281DF9}"/>
              </c:ext>
            </c:extLst>
          </c:dPt>
          <c:dPt>
            <c:idx val="3"/>
            <c:invertIfNegative val="1"/>
            <c:bubble3D val="0"/>
            <c:spPr>
              <a:solidFill>
                <a:srgbClr val="F4A81D">
                  <a:alpha val="49803"/>
                </a:srgbClr>
              </a:solidFill>
              <a:ln cmpd="sng">
                <a:solidFill>
                  <a:srgbClr val="000000"/>
                </a:solidFill>
              </a:ln>
            </c:spPr>
            <c:extLst>
              <c:ext xmlns:c16="http://schemas.microsoft.com/office/drawing/2014/chart" uri="{C3380CC4-5D6E-409C-BE32-E72D297353CC}">
                <c16:uniqueId val="{00000007-16A0-4372-A69E-255D1F281DF9}"/>
              </c:ext>
            </c:extLst>
          </c:dPt>
          <c:dPt>
            <c:idx val="4"/>
            <c:invertIfNegative val="1"/>
            <c:bubble3D val="0"/>
            <c:spPr>
              <a:solidFill>
                <a:schemeClr val="accent1"/>
              </a:solidFill>
              <a:ln cmpd="sng">
                <a:solidFill>
                  <a:srgbClr val="000000"/>
                </a:solidFill>
              </a:ln>
            </c:spPr>
            <c:extLst>
              <c:ext xmlns:c16="http://schemas.microsoft.com/office/drawing/2014/chart" uri="{C3380CC4-5D6E-409C-BE32-E72D297353CC}">
                <c16:uniqueId val="{00000009-16A0-4372-A69E-255D1F281DF9}"/>
              </c:ext>
            </c:extLst>
          </c:dPt>
          <c:dPt>
            <c:idx val="5"/>
            <c:invertIfNegative val="1"/>
            <c:bubble3D val="0"/>
            <c:extLst>
              <c:ext xmlns:c16="http://schemas.microsoft.com/office/drawing/2014/chart" uri="{C3380CC4-5D6E-409C-BE32-E72D297353CC}">
                <c16:uniqueId val="{0000000C-16A0-4372-A69E-255D1F281DF9}"/>
              </c:ext>
            </c:extLst>
          </c:dPt>
          <c:dPt>
            <c:idx val="6"/>
            <c:invertIfNegative val="1"/>
            <c:bubble3D val="0"/>
            <c:spPr>
              <a:solidFill>
                <a:srgbClr val="496884">
                  <a:alpha val="49803"/>
                </a:srgbClr>
              </a:solidFill>
              <a:ln cmpd="sng">
                <a:solidFill>
                  <a:srgbClr val="000000"/>
                </a:solidFill>
              </a:ln>
            </c:spPr>
            <c:extLst>
              <c:ext xmlns:c16="http://schemas.microsoft.com/office/drawing/2014/chart" uri="{C3380CC4-5D6E-409C-BE32-E72D297353CC}">
                <c16:uniqueId val="{0000000B-16A0-4372-A69E-255D1F281DF9}"/>
              </c:ext>
            </c:extLst>
          </c:dPt>
          <c:dLbls>
            <c:dLbl>
              <c:idx val="1"/>
              <c:tx>
                <c:rich>
                  <a:bodyPr/>
                  <a:lstStyle/>
                  <a:p>
                    <a:pPr lvl="0">
                      <a:defRPr sz="900" b="1">
                        <a:solidFill>
                          <a:srgbClr val="000000"/>
                        </a:solidFill>
                        <a:latin typeface="+mn-lt"/>
                      </a:defRPr>
                    </a:pPr>
                    <a:r>
                      <a:rPr lang="en-US" sz="900" b="1">
                        <a:solidFill>
                          <a:srgbClr val="000000"/>
                        </a:solidFill>
                        <a:latin typeface="+mn-lt"/>
                      </a:rPr>
                      <a:t> </a:t>
                    </a:r>
                  </a:p>
                </c:rich>
              </c:tx>
              <c:numFmt formatCode="#,##0" sourceLinked="0"/>
              <c:spP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16A0-4372-A69E-255D1F281DF9}"/>
                </c:ext>
              </c:extLst>
            </c:dLbl>
            <c:dLbl>
              <c:idx val="2"/>
              <c:numFmt formatCode="#,##0" sourceLinked="0"/>
              <c:spPr/>
              <c:txPr>
                <a:bodyPr/>
                <a:lstStyle/>
                <a:p>
                  <a:pPr lvl="0">
                    <a:defRPr sz="900" b="1" i="0">
                      <a:solidFill>
                        <a:srgbClr val="000000"/>
                      </a:solidFill>
                      <a:latin typeface="+mn-lt"/>
                    </a:defRPr>
                  </a:pPr>
                  <a:endParaRPr lang="en-US"/>
                </a:p>
              </c:txPr>
              <c:showLegendKey val="0"/>
              <c:showVal val="1"/>
              <c:showCatName val="0"/>
              <c:showSerName val="0"/>
              <c:showPercent val="0"/>
              <c:showBubbleSize val="0"/>
              <c:extLst>
                <c:ext xmlns:c16="http://schemas.microsoft.com/office/drawing/2014/chart" uri="{C3380CC4-5D6E-409C-BE32-E72D297353CC}">
                  <c16:uniqueId val="{00000005-16A0-4372-A69E-255D1F281DF9}"/>
                </c:ext>
              </c:extLst>
            </c:dLbl>
            <c:dLbl>
              <c:idx val="3"/>
              <c:numFmt formatCode="#,##0" sourceLinked="0"/>
              <c:spPr/>
              <c:txPr>
                <a:bodyPr/>
                <a:lstStyle/>
                <a:p>
                  <a:pPr lvl="0">
                    <a:defRPr sz="900" b="1" i="0">
                      <a:solidFill>
                        <a:srgbClr val="000000"/>
                      </a:solidFill>
                      <a:latin typeface="+mn-lt"/>
                    </a:defRPr>
                  </a:pPr>
                  <a:endParaRPr lang="en-US"/>
                </a:p>
              </c:txPr>
              <c:showLegendKey val="0"/>
              <c:showVal val="1"/>
              <c:showCatName val="0"/>
              <c:showSerName val="0"/>
              <c:showPercent val="0"/>
              <c:showBubbleSize val="0"/>
              <c:extLst>
                <c:ext xmlns:c16="http://schemas.microsoft.com/office/drawing/2014/chart" uri="{C3380CC4-5D6E-409C-BE32-E72D297353CC}">
                  <c16:uniqueId val="{00000007-16A0-4372-A69E-255D1F281DF9}"/>
                </c:ext>
              </c:extLst>
            </c:dLbl>
            <c:dLbl>
              <c:idx val="5"/>
              <c:numFmt formatCode="#,##0" sourceLinked="0"/>
              <c:spPr/>
              <c:txPr>
                <a:bodyPr/>
                <a:lstStyle/>
                <a:p>
                  <a:pPr lvl="0">
                    <a:defRPr sz="900" b="1" i="0">
                      <a:solidFill>
                        <a:srgbClr val="000000"/>
                      </a:solidFill>
                      <a:latin typeface="+mn-lt"/>
                    </a:defRPr>
                  </a:pPr>
                  <a:endParaRPr lang="en-US"/>
                </a:p>
              </c:txPr>
              <c:showLegendKey val="0"/>
              <c:showVal val="1"/>
              <c:showCatName val="0"/>
              <c:showSerName val="0"/>
              <c:showPercent val="0"/>
              <c:showBubbleSize val="0"/>
              <c:extLst>
                <c:ext xmlns:c16="http://schemas.microsoft.com/office/drawing/2014/chart" uri="{C3380CC4-5D6E-409C-BE32-E72D297353CC}">
                  <c16:uniqueId val="{0000000C-16A0-4372-A69E-255D1F281DF9}"/>
                </c:ext>
              </c:extLst>
            </c:dLbl>
            <c:numFmt formatCode="#,##0" sourceLinked="0"/>
            <c:spPr>
              <a:noFill/>
              <a:ln>
                <a:noFill/>
              </a:ln>
              <a:effectLst/>
            </c:spPr>
            <c:txPr>
              <a:bodyPr/>
              <a:lstStyle/>
              <a:p>
                <a:pPr lvl="0">
                  <a:defRPr sz="900" b="1" i="0">
                    <a:solidFill>
                      <a:srgbClr val="000000"/>
                    </a:solidFill>
                    <a:latin typeface="+mn-lt"/>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'Torrance County Data'!$D$19:$D$25</c:f>
              <c:strCache>
                <c:ptCount val="7"/>
                <c:pt idx="0">
                  <c:v>Building Energy</c:v>
                </c:pt>
                <c:pt idx="1">
                  <c:v>Transportation</c:v>
                </c:pt>
                <c:pt idx="2">
                  <c:v>Waste </c:v>
                </c:pt>
                <c:pt idx="3">
                  <c:v>Wastewater Treatment</c:v>
                </c:pt>
                <c:pt idx="4">
                  <c:v>Industrial Processes &amp; Product Use</c:v>
                </c:pt>
                <c:pt idx="5">
                  <c:v>Agriculture - Emissions</c:v>
                </c:pt>
                <c:pt idx="6">
                  <c:v>Agriculture - Removals</c:v>
                </c:pt>
              </c:strCache>
            </c:strRef>
          </c:cat>
          <c:val>
            <c:numRef>
              <c:f>'Torrance County Data'!$E$19:$E$25</c:f>
              <c:numCache>
                <c:formatCode>#,##0</c:formatCode>
                <c:ptCount val="7"/>
                <c:pt idx="0">
                  <c:v>161216.68966536983</c:v>
                </c:pt>
                <c:pt idx="1">
                  <c:v>422830.48464846879</c:v>
                </c:pt>
                <c:pt idx="2">
                  <c:v>13289.891456744601</c:v>
                </c:pt>
                <c:pt idx="3">
                  <c:v>1847.1152422799998</c:v>
                </c:pt>
                <c:pt idx="4">
                  <c:v>5810.9391485375436</c:v>
                </c:pt>
                <c:pt idx="5" formatCode="#,##0_);\(#,##0\)">
                  <c:v>172567.74836889049</c:v>
                </c:pt>
                <c:pt idx="6" formatCode="#,##0_);\(#,##0\)">
                  <c:v>-297204</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D-16A0-4372-A69E-255D1F281DF9}"/>
            </c:ext>
          </c:extLst>
        </c:ser>
        <c:dLbls>
          <c:showLegendKey val="0"/>
          <c:showVal val="0"/>
          <c:showCatName val="0"/>
          <c:showSerName val="0"/>
          <c:showPercent val="0"/>
          <c:showBubbleSize val="0"/>
        </c:dLbls>
        <c:gapWidth val="150"/>
        <c:axId val="633526698"/>
        <c:axId val="80423580"/>
      </c:barChart>
      <c:catAx>
        <c:axId val="633526698"/>
        <c:scaling>
          <c:orientation val="maxMin"/>
        </c:scaling>
        <c:delete val="0"/>
        <c:axPos val="l"/>
        <c:title>
          <c:tx>
            <c:rich>
              <a:bodyPr/>
              <a:lstStyle/>
              <a:p>
                <a:pPr lvl="0">
                  <a:defRPr b="0">
                    <a:solidFill>
                      <a:srgbClr val="000000"/>
                    </a:solidFill>
                    <a:latin typeface="+mn-lt"/>
                  </a:defRPr>
                </a:pPr>
                <a:endParaRPr lang="en-US"/>
              </a:p>
            </c:rich>
          </c:tx>
          <c:overlay val="0"/>
        </c:title>
        <c:numFmt formatCode="General" sourceLinked="1"/>
        <c:majorTickMark val="out"/>
        <c:minorTickMark val="none"/>
        <c:tickLblPos val="nextTo"/>
        <c:txPr>
          <a:bodyPr/>
          <a:lstStyle/>
          <a:p>
            <a:pPr lvl="0">
              <a:defRPr sz="900" b="0" i="0">
                <a:solidFill>
                  <a:srgbClr val="000000"/>
                </a:solidFill>
                <a:latin typeface="+mn-lt"/>
              </a:defRPr>
            </a:pPr>
            <a:endParaRPr lang="en-US"/>
          </a:p>
        </c:txPr>
        <c:crossAx val="80423580"/>
        <c:crosses val="autoZero"/>
        <c:auto val="1"/>
        <c:lblAlgn val="ctr"/>
        <c:lblOffset val="100"/>
        <c:noMultiLvlLbl val="1"/>
      </c:catAx>
      <c:valAx>
        <c:axId val="80423580"/>
        <c:scaling>
          <c:orientation val="minMax"/>
        </c:scaling>
        <c:delete val="0"/>
        <c:axPos val="b"/>
        <c:majorGridlines>
          <c:spPr>
            <a:ln>
              <a:solidFill>
                <a:srgbClr val="B7B7B7"/>
              </a:solidFill>
            </a:ln>
          </c:spPr>
        </c:majorGridlines>
        <c:title>
          <c:tx>
            <c:rich>
              <a:bodyPr/>
              <a:lstStyle/>
              <a:p>
                <a:pPr lvl="0">
                  <a:defRPr b="0">
                    <a:solidFill>
                      <a:srgbClr val="000000"/>
                    </a:solidFill>
                    <a:latin typeface="+mn-lt"/>
                  </a:defRPr>
                </a:pPr>
                <a:endParaRPr lang="en-US"/>
              </a:p>
            </c:rich>
          </c:tx>
          <c:overlay val="0"/>
        </c:title>
        <c:numFmt formatCode="#,##0" sourceLinked="1"/>
        <c:majorTickMark val="out"/>
        <c:minorTickMark val="none"/>
        <c:tickLblPos val="nextTo"/>
        <c:spPr>
          <a:ln/>
        </c:spPr>
        <c:txPr>
          <a:bodyPr/>
          <a:lstStyle/>
          <a:p>
            <a:pPr lvl="0">
              <a:defRPr sz="900" b="0" i="0">
                <a:solidFill>
                  <a:srgbClr val="000000"/>
                </a:solidFill>
                <a:latin typeface="+mn-lt"/>
              </a:defRPr>
            </a:pPr>
            <a:endParaRPr lang="en-US"/>
          </a:p>
        </c:txPr>
        <c:crossAx val="633526698"/>
        <c:crosses val="max"/>
        <c:crossBetween val="between"/>
      </c:valAx>
    </c:plotArea>
    <c:plotVisOnly val="1"/>
    <c:dispBlanksAs val="zero"/>
    <c:showDLblsOverMax val="1"/>
  </c:chart>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lvl="0">
              <a:defRPr sz="1400" b="0" i="0">
                <a:solidFill>
                  <a:srgbClr val="757575"/>
                </a:solidFill>
                <a:latin typeface="+mn-lt"/>
              </a:defRPr>
            </a:pPr>
            <a:r>
              <a:rPr lang="en-US" sz="1400" b="0" i="0">
                <a:solidFill>
                  <a:srgbClr val="757575"/>
                </a:solidFill>
                <a:latin typeface="+mn-lt"/>
              </a:rPr>
              <a:t>Valencia County Emissions by Sector (mtCO2e)</a:t>
            </a:r>
          </a:p>
        </c:rich>
      </c:tx>
      <c:overlay val="0"/>
    </c:title>
    <c:autoTitleDeleted val="0"/>
    <c:plotArea>
      <c:layout>
        <c:manualLayout>
          <c:xMode val="edge"/>
          <c:yMode val="edge"/>
          <c:x val="0.16236595181960073"/>
          <c:y val="0.19185396574232688"/>
          <c:w val="0.7798491011296993"/>
          <c:h val="0.71522945034726237"/>
        </c:manualLayout>
      </c:layout>
      <c:barChart>
        <c:barDir val="bar"/>
        <c:grouping val="clustered"/>
        <c:varyColors val="1"/>
        <c:ser>
          <c:idx val="0"/>
          <c:order val="0"/>
          <c:spPr>
            <a:solidFill>
              <a:srgbClr val="A3B5A3"/>
            </a:solidFill>
            <a:ln cmpd="sng">
              <a:solidFill>
                <a:srgbClr val="000000"/>
              </a:solidFill>
            </a:ln>
          </c:spPr>
          <c:invertIfNegative val="1"/>
          <c:dPt>
            <c:idx val="0"/>
            <c:invertIfNegative val="1"/>
            <c:bubble3D val="0"/>
            <c:spPr>
              <a:solidFill>
                <a:schemeClr val="accent2"/>
              </a:solidFill>
              <a:ln cmpd="sng">
                <a:solidFill>
                  <a:srgbClr val="000000"/>
                </a:solidFill>
              </a:ln>
            </c:spPr>
            <c:extLst>
              <c:ext xmlns:c16="http://schemas.microsoft.com/office/drawing/2014/chart" uri="{C3380CC4-5D6E-409C-BE32-E72D297353CC}">
                <c16:uniqueId val="{00000001-5209-42DC-8A1B-A975A51D5C5C}"/>
              </c:ext>
            </c:extLst>
          </c:dPt>
          <c:dPt>
            <c:idx val="1"/>
            <c:invertIfNegative val="1"/>
            <c:bubble3D val="0"/>
            <c:spPr>
              <a:solidFill>
                <a:schemeClr val="accent1"/>
              </a:solidFill>
              <a:ln cmpd="sng">
                <a:solidFill>
                  <a:srgbClr val="000000"/>
                </a:solidFill>
              </a:ln>
            </c:spPr>
            <c:extLst>
              <c:ext xmlns:c16="http://schemas.microsoft.com/office/drawing/2014/chart" uri="{C3380CC4-5D6E-409C-BE32-E72D297353CC}">
                <c16:uniqueId val="{00000003-5209-42DC-8A1B-A975A51D5C5C}"/>
              </c:ext>
            </c:extLst>
          </c:dPt>
          <c:dPt>
            <c:idx val="2"/>
            <c:invertIfNegative val="1"/>
            <c:bubble3D val="0"/>
            <c:spPr>
              <a:solidFill>
                <a:schemeClr val="accent6"/>
              </a:solidFill>
              <a:ln cmpd="sng">
                <a:solidFill>
                  <a:srgbClr val="000000"/>
                </a:solidFill>
              </a:ln>
            </c:spPr>
            <c:extLst>
              <c:ext xmlns:c16="http://schemas.microsoft.com/office/drawing/2014/chart" uri="{C3380CC4-5D6E-409C-BE32-E72D297353CC}">
                <c16:uniqueId val="{00000005-5209-42DC-8A1B-A975A51D5C5C}"/>
              </c:ext>
            </c:extLst>
          </c:dPt>
          <c:dPt>
            <c:idx val="3"/>
            <c:invertIfNegative val="1"/>
            <c:bubble3D val="0"/>
            <c:spPr>
              <a:solidFill>
                <a:srgbClr val="F4A81D">
                  <a:alpha val="49803"/>
                </a:srgbClr>
              </a:solidFill>
              <a:ln cmpd="sng">
                <a:solidFill>
                  <a:srgbClr val="000000"/>
                </a:solidFill>
              </a:ln>
            </c:spPr>
            <c:extLst>
              <c:ext xmlns:c16="http://schemas.microsoft.com/office/drawing/2014/chart" uri="{C3380CC4-5D6E-409C-BE32-E72D297353CC}">
                <c16:uniqueId val="{00000007-5209-42DC-8A1B-A975A51D5C5C}"/>
              </c:ext>
            </c:extLst>
          </c:dPt>
          <c:dPt>
            <c:idx val="4"/>
            <c:invertIfNegative val="1"/>
            <c:bubble3D val="0"/>
            <c:spPr>
              <a:solidFill>
                <a:schemeClr val="accent1"/>
              </a:solidFill>
              <a:ln cmpd="sng">
                <a:solidFill>
                  <a:srgbClr val="000000"/>
                </a:solidFill>
              </a:ln>
            </c:spPr>
            <c:extLst>
              <c:ext xmlns:c16="http://schemas.microsoft.com/office/drawing/2014/chart" uri="{C3380CC4-5D6E-409C-BE32-E72D297353CC}">
                <c16:uniqueId val="{00000009-5209-42DC-8A1B-A975A51D5C5C}"/>
              </c:ext>
            </c:extLst>
          </c:dPt>
          <c:dPt>
            <c:idx val="5"/>
            <c:invertIfNegative val="1"/>
            <c:bubble3D val="0"/>
            <c:extLst>
              <c:ext xmlns:c16="http://schemas.microsoft.com/office/drawing/2014/chart" uri="{C3380CC4-5D6E-409C-BE32-E72D297353CC}">
                <c16:uniqueId val="{0000000C-5209-42DC-8A1B-A975A51D5C5C}"/>
              </c:ext>
            </c:extLst>
          </c:dPt>
          <c:dPt>
            <c:idx val="6"/>
            <c:invertIfNegative val="1"/>
            <c:bubble3D val="0"/>
            <c:spPr>
              <a:solidFill>
                <a:srgbClr val="496884">
                  <a:alpha val="49803"/>
                </a:srgbClr>
              </a:solidFill>
              <a:ln cmpd="sng">
                <a:solidFill>
                  <a:srgbClr val="000000"/>
                </a:solidFill>
              </a:ln>
            </c:spPr>
            <c:extLst>
              <c:ext xmlns:c16="http://schemas.microsoft.com/office/drawing/2014/chart" uri="{C3380CC4-5D6E-409C-BE32-E72D297353CC}">
                <c16:uniqueId val="{0000000B-5209-42DC-8A1B-A975A51D5C5C}"/>
              </c:ext>
            </c:extLst>
          </c:dPt>
          <c:dLbls>
            <c:dLbl>
              <c:idx val="1"/>
              <c:tx>
                <c:rich>
                  <a:bodyPr/>
                  <a:lstStyle/>
                  <a:p>
                    <a:pPr lvl="0">
                      <a:defRPr sz="900" b="1">
                        <a:solidFill>
                          <a:srgbClr val="000000"/>
                        </a:solidFill>
                        <a:latin typeface="+mn-lt"/>
                      </a:defRPr>
                    </a:pPr>
                    <a:r>
                      <a:rPr lang="en-US" sz="900" b="1">
                        <a:solidFill>
                          <a:srgbClr val="000000"/>
                        </a:solidFill>
                        <a:latin typeface="+mn-lt"/>
                      </a:rPr>
                      <a:t> </a:t>
                    </a:r>
                  </a:p>
                </c:rich>
              </c:tx>
              <c:numFmt formatCode="#,##0" sourceLinked="0"/>
              <c:spP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5209-42DC-8A1B-A975A51D5C5C}"/>
                </c:ext>
              </c:extLst>
            </c:dLbl>
            <c:dLbl>
              <c:idx val="2"/>
              <c:numFmt formatCode="#,##0" sourceLinked="0"/>
              <c:spPr/>
              <c:txPr>
                <a:bodyPr/>
                <a:lstStyle/>
                <a:p>
                  <a:pPr lvl="0">
                    <a:defRPr sz="900" b="1" i="0">
                      <a:solidFill>
                        <a:srgbClr val="000000"/>
                      </a:solidFill>
                      <a:latin typeface="+mn-lt"/>
                    </a:defRPr>
                  </a:pPr>
                  <a:endParaRPr lang="en-US"/>
                </a:p>
              </c:txPr>
              <c:showLegendKey val="0"/>
              <c:showVal val="1"/>
              <c:showCatName val="0"/>
              <c:showSerName val="0"/>
              <c:showPercent val="0"/>
              <c:showBubbleSize val="0"/>
              <c:extLst>
                <c:ext xmlns:c16="http://schemas.microsoft.com/office/drawing/2014/chart" uri="{C3380CC4-5D6E-409C-BE32-E72D297353CC}">
                  <c16:uniqueId val="{00000005-5209-42DC-8A1B-A975A51D5C5C}"/>
                </c:ext>
              </c:extLst>
            </c:dLbl>
            <c:dLbl>
              <c:idx val="3"/>
              <c:numFmt formatCode="#,##0" sourceLinked="0"/>
              <c:spPr/>
              <c:txPr>
                <a:bodyPr/>
                <a:lstStyle/>
                <a:p>
                  <a:pPr lvl="0">
                    <a:defRPr sz="900" b="1" i="0">
                      <a:solidFill>
                        <a:srgbClr val="000000"/>
                      </a:solidFill>
                      <a:latin typeface="+mn-lt"/>
                    </a:defRPr>
                  </a:pPr>
                  <a:endParaRPr lang="en-US"/>
                </a:p>
              </c:txPr>
              <c:showLegendKey val="0"/>
              <c:showVal val="1"/>
              <c:showCatName val="0"/>
              <c:showSerName val="0"/>
              <c:showPercent val="0"/>
              <c:showBubbleSize val="0"/>
              <c:extLst>
                <c:ext xmlns:c16="http://schemas.microsoft.com/office/drawing/2014/chart" uri="{C3380CC4-5D6E-409C-BE32-E72D297353CC}">
                  <c16:uniqueId val="{00000007-5209-42DC-8A1B-A975A51D5C5C}"/>
                </c:ext>
              </c:extLst>
            </c:dLbl>
            <c:dLbl>
              <c:idx val="5"/>
              <c:numFmt formatCode="#,##0" sourceLinked="0"/>
              <c:spPr/>
              <c:txPr>
                <a:bodyPr/>
                <a:lstStyle/>
                <a:p>
                  <a:pPr lvl="0">
                    <a:defRPr sz="900" b="1" i="0">
                      <a:solidFill>
                        <a:srgbClr val="000000"/>
                      </a:solidFill>
                      <a:latin typeface="+mn-lt"/>
                    </a:defRPr>
                  </a:pPr>
                  <a:endParaRPr lang="en-US"/>
                </a:p>
              </c:txPr>
              <c:showLegendKey val="0"/>
              <c:showVal val="1"/>
              <c:showCatName val="0"/>
              <c:showSerName val="0"/>
              <c:showPercent val="0"/>
              <c:showBubbleSize val="0"/>
              <c:extLst>
                <c:ext xmlns:c16="http://schemas.microsoft.com/office/drawing/2014/chart" uri="{C3380CC4-5D6E-409C-BE32-E72D297353CC}">
                  <c16:uniqueId val="{0000000C-5209-42DC-8A1B-A975A51D5C5C}"/>
                </c:ext>
              </c:extLst>
            </c:dLbl>
            <c:numFmt formatCode="#,##0" sourceLinked="0"/>
            <c:spPr>
              <a:noFill/>
              <a:ln>
                <a:noFill/>
              </a:ln>
              <a:effectLst/>
            </c:spPr>
            <c:txPr>
              <a:bodyPr/>
              <a:lstStyle/>
              <a:p>
                <a:pPr lvl="0">
                  <a:defRPr sz="900" b="1" i="0">
                    <a:solidFill>
                      <a:srgbClr val="000000"/>
                    </a:solidFill>
                    <a:latin typeface="+mn-lt"/>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'Valencia County Data'!$D$19:$D$25</c:f>
              <c:strCache>
                <c:ptCount val="7"/>
                <c:pt idx="0">
                  <c:v>Building Energy</c:v>
                </c:pt>
                <c:pt idx="1">
                  <c:v>Transportation</c:v>
                </c:pt>
                <c:pt idx="2">
                  <c:v>Waste </c:v>
                </c:pt>
                <c:pt idx="3">
                  <c:v>Wastewater Treatment</c:v>
                </c:pt>
                <c:pt idx="4">
                  <c:v>Industrial Processes &amp; Product Use</c:v>
                </c:pt>
                <c:pt idx="5">
                  <c:v>Agriculture - Emissions</c:v>
                </c:pt>
                <c:pt idx="6">
                  <c:v>Agriculture - Removals</c:v>
                </c:pt>
              </c:strCache>
            </c:strRef>
          </c:cat>
          <c:val>
            <c:numRef>
              <c:f>'Valencia County Data'!$E$19:$E$25</c:f>
              <c:numCache>
                <c:formatCode>#,##0</c:formatCode>
                <c:ptCount val="7"/>
                <c:pt idx="0">
                  <c:v>232074.61414731728</c:v>
                </c:pt>
                <c:pt idx="1">
                  <c:v>358089.16974116769</c:v>
                </c:pt>
                <c:pt idx="2">
                  <c:v>0</c:v>
                </c:pt>
                <c:pt idx="3">
                  <c:v>9486.4670208000007</c:v>
                </c:pt>
                <c:pt idx="4">
                  <c:v>29833.51699514901</c:v>
                </c:pt>
                <c:pt idx="5" formatCode="#,##0_);\(#,##0\)">
                  <c:v>90044.082432358715</c:v>
                </c:pt>
                <c:pt idx="6" formatCode="#,##0_);\(#,##0\)">
                  <c:v>-18511</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D-5209-42DC-8A1B-A975A51D5C5C}"/>
            </c:ext>
          </c:extLst>
        </c:ser>
        <c:dLbls>
          <c:showLegendKey val="0"/>
          <c:showVal val="0"/>
          <c:showCatName val="0"/>
          <c:showSerName val="0"/>
          <c:showPercent val="0"/>
          <c:showBubbleSize val="0"/>
        </c:dLbls>
        <c:gapWidth val="150"/>
        <c:axId val="840967387"/>
        <c:axId val="1125301382"/>
      </c:barChart>
      <c:catAx>
        <c:axId val="840967387"/>
        <c:scaling>
          <c:orientation val="maxMin"/>
        </c:scaling>
        <c:delete val="0"/>
        <c:axPos val="l"/>
        <c:title>
          <c:tx>
            <c:rich>
              <a:bodyPr/>
              <a:lstStyle/>
              <a:p>
                <a:pPr lvl="0">
                  <a:defRPr b="0">
                    <a:solidFill>
                      <a:srgbClr val="000000"/>
                    </a:solidFill>
                    <a:latin typeface="+mn-lt"/>
                  </a:defRPr>
                </a:pPr>
                <a:endParaRPr lang="en-US"/>
              </a:p>
            </c:rich>
          </c:tx>
          <c:overlay val="0"/>
        </c:title>
        <c:numFmt formatCode="General" sourceLinked="1"/>
        <c:majorTickMark val="out"/>
        <c:minorTickMark val="none"/>
        <c:tickLblPos val="nextTo"/>
        <c:txPr>
          <a:bodyPr/>
          <a:lstStyle/>
          <a:p>
            <a:pPr lvl="0">
              <a:defRPr sz="900" b="0" i="0">
                <a:solidFill>
                  <a:srgbClr val="000000"/>
                </a:solidFill>
                <a:latin typeface="+mn-lt"/>
              </a:defRPr>
            </a:pPr>
            <a:endParaRPr lang="en-US"/>
          </a:p>
        </c:txPr>
        <c:crossAx val="1125301382"/>
        <c:crosses val="autoZero"/>
        <c:auto val="1"/>
        <c:lblAlgn val="ctr"/>
        <c:lblOffset val="100"/>
        <c:noMultiLvlLbl val="1"/>
      </c:catAx>
      <c:valAx>
        <c:axId val="1125301382"/>
        <c:scaling>
          <c:orientation val="minMax"/>
        </c:scaling>
        <c:delete val="0"/>
        <c:axPos val="b"/>
        <c:majorGridlines>
          <c:spPr>
            <a:ln>
              <a:solidFill>
                <a:srgbClr val="B7B7B7"/>
              </a:solidFill>
            </a:ln>
          </c:spPr>
        </c:majorGridlines>
        <c:title>
          <c:tx>
            <c:rich>
              <a:bodyPr/>
              <a:lstStyle/>
              <a:p>
                <a:pPr lvl="0">
                  <a:defRPr b="0">
                    <a:solidFill>
                      <a:srgbClr val="000000"/>
                    </a:solidFill>
                    <a:latin typeface="+mn-lt"/>
                  </a:defRPr>
                </a:pPr>
                <a:endParaRPr lang="en-US"/>
              </a:p>
            </c:rich>
          </c:tx>
          <c:overlay val="0"/>
        </c:title>
        <c:numFmt formatCode="#,##0" sourceLinked="1"/>
        <c:majorTickMark val="out"/>
        <c:minorTickMark val="none"/>
        <c:tickLblPos val="nextTo"/>
        <c:spPr>
          <a:ln/>
        </c:spPr>
        <c:txPr>
          <a:bodyPr/>
          <a:lstStyle/>
          <a:p>
            <a:pPr lvl="0">
              <a:defRPr sz="900" b="0" i="0">
                <a:solidFill>
                  <a:srgbClr val="000000"/>
                </a:solidFill>
                <a:latin typeface="+mn-lt"/>
              </a:defRPr>
            </a:pPr>
            <a:endParaRPr lang="en-US"/>
          </a:p>
        </c:txPr>
        <c:crossAx val="840967387"/>
        <c:crosses val="max"/>
        <c:crossBetween val="between"/>
      </c:valAx>
    </c:plotArea>
    <c:plotVisOnly val="1"/>
    <c:dispBlanksAs val="zero"/>
    <c:showDLblsOverMax val="1"/>
  </c:chart>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lvl="0">
              <a:defRPr sz="1400" b="0" i="0">
                <a:solidFill>
                  <a:srgbClr val="757575"/>
                </a:solidFill>
                <a:latin typeface="+mn-lt"/>
              </a:defRPr>
            </a:pPr>
            <a:r>
              <a:rPr lang="en-US" sz="1400" b="0" i="0">
                <a:solidFill>
                  <a:srgbClr val="757575"/>
                </a:solidFill>
                <a:latin typeface="+mn-lt"/>
              </a:rPr>
              <a:t>ABQ MSA Emissions by Sector (mtCO2e)</a:t>
            </a:r>
          </a:p>
        </c:rich>
      </c:tx>
      <c:overlay val="0"/>
    </c:title>
    <c:autoTitleDeleted val="0"/>
    <c:plotArea>
      <c:layout>
        <c:manualLayout>
          <c:xMode val="edge"/>
          <c:yMode val="edge"/>
          <c:x val="0.16236595181960073"/>
          <c:y val="0.19185396574232688"/>
          <c:w val="0.7798491011296993"/>
          <c:h val="0.71522945034726237"/>
        </c:manualLayout>
      </c:layout>
      <c:barChart>
        <c:barDir val="bar"/>
        <c:grouping val="clustered"/>
        <c:varyColors val="1"/>
        <c:ser>
          <c:idx val="0"/>
          <c:order val="0"/>
          <c:spPr>
            <a:solidFill>
              <a:srgbClr val="A3B5A3"/>
            </a:solidFill>
            <a:ln cmpd="sng">
              <a:solidFill>
                <a:srgbClr val="000000"/>
              </a:solidFill>
            </a:ln>
          </c:spPr>
          <c:invertIfNegative val="1"/>
          <c:dPt>
            <c:idx val="0"/>
            <c:invertIfNegative val="1"/>
            <c:bubble3D val="0"/>
            <c:spPr>
              <a:solidFill>
                <a:schemeClr val="accent2"/>
              </a:solidFill>
              <a:ln cmpd="sng">
                <a:solidFill>
                  <a:srgbClr val="000000"/>
                </a:solidFill>
              </a:ln>
            </c:spPr>
            <c:extLst>
              <c:ext xmlns:c16="http://schemas.microsoft.com/office/drawing/2014/chart" uri="{C3380CC4-5D6E-409C-BE32-E72D297353CC}">
                <c16:uniqueId val="{00000001-4C3C-491D-8560-F33C9DEF0090}"/>
              </c:ext>
            </c:extLst>
          </c:dPt>
          <c:dPt>
            <c:idx val="1"/>
            <c:invertIfNegative val="1"/>
            <c:bubble3D val="0"/>
            <c:spPr>
              <a:solidFill>
                <a:schemeClr val="accent1"/>
              </a:solidFill>
              <a:ln cmpd="sng">
                <a:solidFill>
                  <a:srgbClr val="000000"/>
                </a:solidFill>
              </a:ln>
            </c:spPr>
            <c:extLst>
              <c:ext xmlns:c16="http://schemas.microsoft.com/office/drawing/2014/chart" uri="{C3380CC4-5D6E-409C-BE32-E72D297353CC}">
                <c16:uniqueId val="{00000003-4C3C-491D-8560-F33C9DEF0090}"/>
              </c:ext>
            </c:extLst>
          </c:dPt>
          <c:dPt>
            <c:idx val="2"/>
            <c:invertIfNegative val="1"/>
            <c:bubble3D val="0"/>
            <c:spPr>
              <a:solidFill>
                <a:schemeClr val="accent6"/>
              </a:solidFill>
              <a:ln cmpd="sng">
                <a:solidFill>
                  <a:srgbClr val="000000"/>
                </a:solidFill>
              </a:ln>
            </c:spPr>
            <c:extLst>
              <c:ext xmlns:c16="http://schemas.microsoft.com/office/drawing/2014/chart" uri="{C3380CC4-5D6E-409C-BE32-E72D297353CC}">
                <c16:uniqueId val="{00000005-4C3C-491D-8560-F33C9DEF0090}"/>
              </c:ext>
            </c:extLst>
          </c:dPt>
          <c:dPt>
            <c:idx val="3"/>
            <c:invertIfNegative val="1"/>
            <c:bubble3D val="0"/>
            <c:spPr>
              <a:solidFill>
                <a:srgbClr val="F4A81D">
                  <a:alpha val="49803"/>
                </a:srgbClr>
              </a:solidFill>
              <a:ln cmpd="sng">
                <a:solidFill>
                  <a:srgbClr val="000000"/>
                </a:solidFill>
              </a:ln>
            </c:spPr>
            <c:extLst>
              <c:ext xmlns:c16="http://schemas.microsoft.com/office/drawing/2014/chart" uri="{C3380CC4-5D6E-409C-BE32-E72D297353CC}">
                <c16:uniqueId val="{00000007-4C3C-491D-8560-F33C9DEF0090}"/>
              </c:ext>
            </c:extLst>
          </c:dPt>
          <c:dPt>
            <c:idx val="4"/>
            <c:invertIfNegative val="1"/>
            <c:bubble3D val="0"/>
            <c:spPr>
              <a:solidFill>
                <a:schemeClr val="accent1"/>
              </a:solidFill>
              <a:ln cmpd="sng">
                <a:solidFill>
                  <a:srgbClr val="000000"/>
                </a:solidFill>
              </a:ln>
            </c:spPr>
            <c:extLst>
              <c:ext xmlns:c16="http://schemas.microsoft.com/office/drawing/2014/chart" uri="{C3380CC4-5D6E-409C-BE32-E72D297353CC}">
                <c16:uniqueId val="{00000009-4C3C-491D-8560-F33C9DEF0090}"/>
              </c:ext>
            </c:extLst>
          </c:dPt>
          <c:dPt>
            <c:idx val="5"/>
            <c:invertIfNegative val="1"/>
            <c:bubble3D val="0"/>
            <c:extLst>
              <c:ext xmlns:c16="http://schemas.microsoft.com/office/drawing/2014/chart" uri="{C3380CC4-5D6E-409C-BE32-E72D297353CC}">
                <c16:uniqueId val="{0000000C-4C3C-491D-8560-F33C9DEF0090}"/>
              </c:ext>
            </c:extLst>
          </c:dPt>
          <c:dPt>
            <c:idx val="6"/>
            <c:invertIfNegative val="1"/>
            <c:bubble3D val="0"/>
            <c:spPr>
              <a:solidFill>
                <a:srgbClr val="496884">
                  <a:alpha val="49803"/>
                </a:srgbClr>
              </a:solidFill>
              <a:ln cmpd="sng">
                <a:solidFill>
                  <a:srgbClr val="000000"/>
                </a:solidFill>
              </a:ln>
            </c:spPr>
            <c:extLst>
              <c:ext xmlns:c16="http://schemas.microsoft.com/office/drawing/2014/chart" uri="{C3380CC4-5D6E-409C-BE32-E72D297353CC}">
                <c16:uniqueId val="{0000000B-4C3C-491D-8560-F33C9DEF0090}"/>
              </c:ext>
            </c:extLst>
          </c:dPt>
          <c:dLbls>
            <c:dLbl>
              <c:idx val="1"/>
              <c:tx>
                <c:rich>
                  <a:bodyPr/>
                  <a:lstStyle/>
                  <a:p>
                    <a:pPr lvl="0">
                      <a:defRPr sz="900" b="1">
                        <a:solidFill>
                          <a:srgbClr val="000000"/>
                        </a:solidFill>
                        <a:latin typeface="+mn-lt"/>
                      </a:defRPr>
                    </a:pPr>
                    <a:r>
                      <a:rPr lang="en-US" sz="900" b="1">
                        <a:solidFill>
                          <a:srgbClr val="000000"/>
                        </a:solidFill>
                        <a:latin typeface="+mn-lt"/>
                      </a:rPr>
                      <a:t> </a:t>
                    </a:r>
                  </a:p>
                </c:rich>
              </c:tx>
              <c:numFmt formatCode="#,##0" sourceLinked="0"/>
              <c:spP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4C3C-491D-8560-F33C9DEF0090}"/>
                </c:ext>
              </c:extLst>
            </c:dLbl>
            <c:dLbl>
              <c:idx val="2"/>
              <c:numFmt formatCode="#,##0" sourceLinked="0"/>
              <c:spPr/>
              <c:txPr>
                <a:bodyPr/>
                <a:lstStyle/>
                <a:p>
                  <a:pPr lvl="0">
                    <a:defRPr sz="900" b="1" i="0">
                      <a:solidFill>
                        <a:srgbClr val="000000"/>
                      </a:solidFill>
                      <a:latin typeface="+mn-lt"/>
                    </a:defRPr>
                  </a:pPr>
                  <a:endParaRPr lang="en-US"/>
                </a:p>
              </c:txPr>
              <c:showLegendKey val="0"/>
              <c:showVal val="1"/>
              <c:showCatName val="0"/>
              <c:showSerName val="0"/>
              <c:showPercent val="0"/>
              <c:showBubbleSize val="0"/>
              <c:extLst>
                <c:ext xmlns:c16="http://schemas.microsoft.com/office/drawing/2014/chart" uri="{C3380CC4-5D6E-409C-BE32-E72D297353CC}">
                  <c16:uniqueId val="{00000005-4C3C-491D-8560-F33C9DEF0090}"/>
                </c:ext>
              </c:extLst>
            </c:dLbl>
            <c:dLbl>
              <c:idx val="3"/>
              <c:numFmt formatCode="#,##0" sourceLinked="0"/>
              <c:spPr/>
              <c:txPr>
                <a:bodyPr/>
                <a:lstStyle/>
                <a:p>
                  <a:pPr lvl="0">
                    <a:defRPr sz="900" b="1" i="0">
                      <a:solidFill>
                        <a:srgbClr val="000000"/>
                      </a:solidFill>
                      <a:latin typeface="+mn-lt"/>
                    </a:defRPr>
                  </a:pPr>
                  <a:endParaRPr lang="en-US"/>
                </a:p>
              </c:txPr>
              <c:showLegendKey val="0"/>
              <c:showVal val="1"/>
              <c:showCatName val="0"/>
              <c:showSerName val="0"/>
              <c:showPercent val="0"/>
              <c:showBubbleSize val="0"/>
              <c:extLst>
                <c:ext xmlns:c16="http://schemas.microsoft.com/office/drawing/2014/chart" uri="{C3380CC4-5D6E-409C-BE32-E72D297353CC}">
                  <c16:uniqueId val="{00000007-4C3C-491D-8560-F33C9DEF0090}"/>
                </c:ext>
              </c:extLst>
            </c:dLbl>
            <c:dLbl>
              <c:idx val="5"/>
              <c:numFmt formatCode="#,##0" sourceLinked="0"/>
              <c:spPr/>
              <c:txPr>
                <a:bodyPr/>
                <a:lstStyle/>
                <a:p>
                  <a:pPr lvl="0">
                    <a:defRPr sz="900" b="1" i="0">
                      <a:solidFill>
                        <a:srgbClr val="000000"/>
                      </a:solidFill>
                      <a:latin typeface="+mn-lt"/>
                    </a:defRPr>
                  </a:pPr>
                  <a:endParaRPr lang="en-US"/>
                </a:p>
              </c:txPr>
              <c:showLegendKey val="0"/>
              <c:showVal val="1"/>
              <c:showCatName val="0"/>
              <c:showSerName val="0"/>
              <c:showPercent val="0"/>
              <c:showBubbleSize val="0"/>
              <c:extLst>
                <c:ext xmlns:c16="http://schemas.microsoft.com/office/drawing/2014/chart" uri="{C3380CC4-5D6E-409C-BE32-E72D297353CC}">
                  <c16:uniqueId val="{0000000C-4C3C-491D-8560-F33C9DEF0090}"/>
                </c:ext>
              </c:extLst>
            </c:dLbl>
            <c:numFmt formatCode="#,##0" sourceLinked="0"/>
            <c:spPr>
              <a:noFill/>
              <a:ln>
                <a:noFill/>
              </a:ln>
              <a:effectLst/>
            </c:spPr>
            <c:txPr>
              <a:bodyPr/>
              <a:lstStyle/>
              <a:p>
                <a:pPr lvl="0">
                  <a:defRPr sz="900" b="1" i="0">
                    <a:solidFill>
                      <a:srgbClr val="000000"/>
                    </a:solidFill>
                    <a:latin typeface="+mn-lt"/>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'Albuquerque MSA Data'!$D$18:$D$24</c:f>
              <c:strCache>
                <c:ptCount val="7"/>
                <c:pt idx="0">
                  <c:v>Building Energy</c:v>
                </c:pt>
                <c:pt idx="1">
                  <c:v>Transportation</c:v>
                </c:pt>
                <c:pt idx="2">
                  <c:v>Waste </c:v>
                </c:pt>
                <c:pt idx="3">
                  <c:v>Wastewater Treatment</c:v>
                </c:pt>
                <c:pt idx="4">
                  <c:v>Industrial Processes &amp; Product Use</c:v>
                </c:pt>
                <c:pt idx="5">
                  <c:v>Agriculture - Emissions</c:v>
                </c:pt>
                <c:pt idx="6">
                  <c:v>Agriculture - Removals</c:v>
                </c:pt>
              </c:strCache>
            </c:strRef>
          </c:cat>
          <c:val>
            <c:numRef>
              <c:f>'Albuquerque MSA Data'!$E$18:$E$24</c:f>
              <c:numCache>
                <c:formatCode>#,##0</c:formatCode>
                <c:ptCount val="7"/>
                <c:pt idx="0">
                  <c:v>4280832.457268402</c:v>
                </c:pt>
                <c:pt idx="1">
                  <c:v>4659837.9659274491</c:v>
                </c:pt>
                <c:pt idx="2">
                  <c:v>482084.39817266824</c:v>
                </c:pt>
                <c:pt idx="3">
                  <c:v>20796.201176619135</c:v>
                </c:pt>
                <c:pt idx="4">
                  <c:v>692698.1134594098</c:v>
                </c:pt>
                <c:pt idx="5" formatCode="#,##0_);\(#,##0\)">
                  <c:v>348803.12031132373</c:v>
                </c:pt>
                <c:pt idx="6" formatCode="#,##0_);\(#,##0\)">
                  <c:v>-482096</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D-4C3C-491D-8560-F33C9DEF0090}"/>
            </c:ext>
          </c:extLst>
        </c:ser>
        <c:dLbls>
          <c:showLegendKey val="0"/>
          <c:showVal val="0"/>
          <c:showCatName val="0"/>
          <c:showSerName val="0"/>
          <c:showPercent val="0"/>
          <c:showBubbleSize val="0"/>
        </c:dLbls>
        <c:gapWidth val="150"/>
        <c:axId val="758102016"/>
        <c:axId val="1177109918"/>
      </c:barChart>
      <c:catAx>
        <c:axId val="758102016"/>
        <c:scaling>
          <c:orientation val="maxMin"/>
        </c:scaling>
        <c:delete val="0"/>
        <c:axPos val="l"/>
        <c:title>
          <c:tx>
            <c:rich>
              <a:bodyPr/>
              <a:lstStyle/>
              <a:p>
                <a:pPr lvl="0">
                  <a:defRPr b="0">
                    <a:solidFill>
                      <a:srgbClr val="000000"/>
                    </a:solidFill>
                    <a:latin typeface="+mn-lt"/>
                  </a:defRPr>
                </a:pPr>
                <a:endParaRPr lang="en-US"/>
              </a:p>
            </c:rich>
          </c:tx>
          <c:overlay val="0"/>
        </c:title>
        <c:numFmt formatCode="General" sourceLinked="1"/>
        <c:majorTickMark val="out"/>
        <c:minorTickMark val="none"/>
        <c:tickLblPos val="nextTo"/>
        <c:txPr>
          <a:bodyPr/>
          <a:lstStyle/>
          <a:p>
            <a:pPr lvl="0">
              <a:defRPr sz="900" b="0" i="0">
                <a:solidFill>
                  <a:srgbClr val="000000"/>
                </a:solidFill>
                <a:latin typeface="+mn-lt"/>
              </a:defRPr>
            </a:pPr>
            <a:endParaRPr lang="en-US"/>
          </a:p>
        </c:txPr>
        <c:crossAx val="1177109918"/>
        <c:crosses val="autoZero"/>
        <c:auto val="1"/>
        <c:lblAlgn val="ctr"/>
        <c:lblOffset val="100"/>
        <c:noMultiLvlLbl val="1"/>
      </c:catAx>
      <c:valAx>
        <c:axId val="1177109918"/>
        <c:scaling>
          <c:orientation val="minMax"/>
        </c:scaling>
        <c:delete val="0"/>
        <c:axPos val="b"/>
        <c:majorGridlines>
          <c:spPr>
            <a:ln>
              <a:solidFill>
                <a:srgbClr val="B7B7B7"/>
              </a:solidFill>
            </a:ln>
          </c:spPr>
        </c:majorGridlines>
        <c:title>
          <c:tx>
            <c:rich>
              <a:bodyPr/>
              <a:lstStyle/>
              <a:p>
                <a:pPr lvl="0">
                  <a:defRPr b="0">
                    <a:solidFill>
                      <a:srgbClr val="000000"/>
                    </a:solidFill>
                    <a:latin typeface="+mn-lt"/>
                  </a:defRPr>
                </a:pPr>
                <a:endParaRPr lang="en-US"/>
              </a:p>
            </c:rich>
          </c:tx>
          <c:overlay val="0"/>
        </c:title>
        <c:numFmt formatCode="#,##0" sourceLinked="1"/>
        <c:majorTickMark val="out"/>
        <c:minorTickMark val="none"/>
        <c:tickLblPos val="nextTo"/>
        <c:spPr>
          <a:ln/>
        </c:spPr>
        <c:txPr>
          <a:bodyPr/>
          <a:lstStyle/>
          <a:p>
            <a:pPr lvl="0">
              <a:defRPr sz="900" b="0" i="0">
                <a:solidFill>
                  <a:srgbClr val="000000"/>
                </a:solidFill>
                <a:latin typeface="+mn-lt"/>
              </a:defRPr>
            </a:pPr>
            <a:endParaRPr lang="en-US"/>
          </a:p>
        </c:txPr>
        <c:crossAx val="758102016"/>
        <c:crosses val="max"/>
        <c:crossBetween val="between"/>
      </c:valAx>
    </c:plotArea>
    <c:plotVisOnly val="1"/>
    <c:dispBlanksAs val="zero"/>
    <c:showDLblsOverMax val="1"/>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lvl="0">
              <a:defRPr sz="1600" b="0" i="0">
                <a:solidFill>
                  <a:srgbClr val="000000"/>
                </a:solidFill>
                <a:latin typeface="+mn-lt"/>
              </a:defRPr>
            </a:pPr>
            <a:r>
              <a:rPr sz="1600" b="0" i="0">
                <a:solidFill>
                  <a:srgbClr val="000000"/>
                </a:solidFill>
                <a:latin typeface="+mn-lt"/>
              </a:rPr>
              <a:t>Emissions by Community and Sector (mt CO2e)</a:t>
            </a:r>
          </a:p>
        </c:rich>
      </c:tx>
      <c:overlay val="0"/>
    </c:title>
    <c:autoTitleDeleted val="0"/>
    <c:plotArea>
      <c:layout>
        <c:manualLayout>
          <c:xMode val="edge"/>
          <c:yMode val="edge"/>
          <c:x val="0.1206903769873954"/>
          <c:y val="0.11422203649533361"/>
          <c:w val="0.67687795583545018"/>
          <c:h val="0.73766091607959783"/>
        </c:manualLayout>
      </c:layout>
      <c:barChart>
        <c:barDir val="bar"/>
        <c:grouping val="stacked"/>
        <c:varyColors val="1"/>
        <c:ser>
          <c:idx val="0"/>
          <c:order val="0"/>
          <c:tx>
            <c:v>Building Energy</c:v>
          </c:tx>
          <c:spPr>
            <a:solidFill>
              <a:srgbClr val="277895"/>
            </a:solidFill>
            <a:ln cmpd="sng">
              <a:solidFill>
                <a:srgbClr val="000000"/>
              </a:solidFill>
            </a:ln>
          </c:spPr>
          <c:invertIfNegative val="1"/>
          <c:cat>
            <c:strRef>
              <c:f>'Visual Summary'!$B$31:$G$31</c:f>
              <c:strCache>
                <c:ptCount val="6"/>
                <c:pt idx="0">
                  <c:v>City of Albuquerque</c:v>
                </c:pt>
                <c:pt idx="1">
                  <c:v>Bernalillo County</c:v>
                </c:pt>
                <c:pt idx="2">
                  <c:v>Sandoval County</c:v>
                </c:pt>
                <c:pt idx="3">
                  <c:v>Torrance County</c:v>
                </c:pt>
                <c:pt idx="4">
                  <c:v>Valencia County</c:v>
                </c:pt>
                <c:pt idx="5">
                  <c:v>Total MSA</c:v>
                </c:pt>
              </c:strCache>
            </c:strRef>
          </c:cat>
          <c:val>
            <c:numRef>
              <c:f>'Visual Summary'!$B$32:$G$32</c:f>
              <c:numCache>
                <c:formatCode>#,##0</c:formatCode>
                <c:ptCount val="6"/>
                <c:pt idx="0">
                  <c:v>3113205.2661262383</c:v>
                </c:pt>
                <c:pt idx="1">
                  <c:v>3377317.7432731218</c:v>
                </c:pt>
                <c:pt idx="2">
                  <c:v>510223.41018259263</c:v>
                </c:pt>
                <c:pt idx="3">
                  <c:v>161216.68966536983</c:v>
                </c:pt>
                <c:pt idx="4">
                  <c:v>232074.61414731728</c:v>
                </c:pt>
                <c:pt idx="5">
                  <c:v>4280832.457268402</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65A2-45E5-9697-52BA8F514A76}"/>
            </c:ext>
          </c:extLst>
        </c:ser>
        <c:ser>
          <c:idx val="1"/>
          <c:order val="1"/>
          <c:tx>
            <c:v>Transportation</c:v>
          </c:tx>
          <c:spPr>
            <a:solidFill>
              <a:srgbClr val="82B1C2"/>
            </a:solidFill>
            <a:ln cmpd="sng">
              <a:solidFill>
                <a:srgbClr val="000000"/>
              </a:solidFill>
            </a:ln>
          </c:spPr>
          <c:invertIfNegative val="1"/>
          <c:cat>
            <c:strRef>
              <c:f>'Visual Summary'!$B$31:$G$31</c:f>
              <c:strCache>
                <c:ptCount val="6"/>
                <c:pt idx="0">
                  <c:v>City of Albuquerque</c:v>
                </c:pt>
                <c:pt idx="1">
                  <c:v>Bernalillo County</c:v>
                </c:pt>
                <c:pt idx="2">
                  <c:v>Sandoval County</c:v>
                </c:pt>
                <c:pt idx="3">
                  <c:v>Torrance County</c:v>
                </c:pt>
                <c:pt idx="4">
                  <c:v>Valencia County</c:v>
                </c:pt>
                <c:pt idx="5">
                  <c:v>Total MSA</c:v>
                </c:pt>
              </c:strCache>
            </c:strRef>
          </c:cat>
          <c:val>
            <c:numRef>
              <c:f>'Visual Summary'!$B$33:$G$33</c:f>
              <c:numCache>
                <c:formatCode>#,##0</c:formatCode>
                <c:ptCount val="6"/>
                <c:pt idx="0">
                  <c:v>2169199.1952947495</c:v>
                </c:pt>
                <c:pt idx="1">
                  <c:v>3152640.1192794964</c:v>
                </c:pt>
                <c:pt idx="2">
                  <c:v>726278.19225831667</c:v>
                </c:pt>
                <c:pt idx="3">
                  <c:v>422830.48464846879</c:v>
                </c:pt>
                <c:pt idx="4">
                  <c:v>358089.16974116769</c:v>
                </c:pt>
                <c:pt idx="5">
                  <c:v>4659837.9659274491</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65A2-45E5-9697-52BA8F514A76}"/>
            </c:ext>
          </c:extLst>
        </c:ser>
        <c:ser>
          <c:idx val="2"/>
          <c:order val="2"/>
          <c:tx>
            <c:v>Waste </c:v>
          </c:tx>
          <c:spPr>
            <a:solidFill>
              <a:srgbClr val="4A7D47"/>
            </a:solidFill>
            <a:ln cmpd="sng">
              <a:solidFill>
                <a:srgbClr val="000000"/>
              </a:solidFill>
            </a:ln>
          </c:spPr>
          <c:invertIfNegative val="1"/>
          <c:cat>
            <c:strRef>
              <c:f>'Visual Summary'!$B$31:$G$31</c:f>
              <c:strCache>
                <c:ptCount val="6"/>
                <c:pt idx="0">
                  <c:v>City of Albuquerque</c:v>
                </c:pt>
                <c:pt idx="1">
                  <c:v>Bernalillo County</c:v>
                </c:pt>
                <c:pt idx="2">
                  <c:v>Sandoval County</c:v>
                </c:pt>
                <c:pt idx="3">
                  <c:v>Torrance County</c:v>
                </c:pt>
                <c:pt idx="4">
                  <c:v>Valencia County</c:v>
                </c:pt>
                <c:pt idx="5">
                  <c:v>Total MSA</c:v>
                </c:pt>
              </c:strCache>
            </c:strRef>
          </c:cat>
          <c:val>
            <c:numRef>
              <c:f>'Visual Summary'!$B$34:$G$34</c:f>
              <c:numCache>
                <c:formatCode>#,##0</c:formatCode>
                <c:ptCount val="6"/>
                <c:pt idx="0">
                  <c:v>136912.18570696271</c:v>
                </c:pt>
                <c:pt idx="1">
                  <c:v>339839.08414599882</c:v>
                </c:pt>
                <c:pt idx="2">
                  <c:v>138418.04148346401</c:v>
                </c:pt>
                <c:pt idx="3">
                  <c:v>15137.006699024601</c:v>
                </c:pt>
                <c:pt idx="4">
                  <c:v>9486.4670208000007</c:v>
                </c:pt>
                <c:pt idx="5">
                  <c:v>502880.5993492874</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2-65A2-45E5-9697-52BA8F514A76}"/>
            </c:ext>
          </c:extLst>
        </c:ser>
        <c:ser>
          <c:idx val="3"/>
          <c:order val="3"/>
          <c:tx>
            <c:v>Industrial Processes &amp; Product Use</c:v>
          </c:tx>
          <c:spPr>
            <a:solidFill>
              <a:srgbClr val="91C45B"/>
            </a:solidFill>
            <a:ln cmpd="sng">
              <a:solidFill>
                <a:srgbClr val="000000"/>
              </a:solidFill>
            </a:ln>
          </c:spPr>
          <c:invertIfNegative val="1"/>
          <c:cat>
            <c:strRef>
              <c:f>'Visual Summary'!$B$31:$G$31</c:f>
              <c:strCache>
                <c:ptCount val="6"/>
                <c:pt idx="0">
                  <c:v>City of Albuquerque</c:v>
                </c:pt>
                <c:pt idx="1">
                  <c:v>Bernalillo County</c:v>
                </c:pt>
                <c:pt idx="2">
                  <c:v>Sandoval County</c:v>
                </c:pt>
                <c:pt idx="3">
                  <c:v>Torrance County</c:v>
                </c:pt>
                <c:pt idx="4">
                  <c:v>Valencia County</c:v>
                </c:pt>
                <c:pt idx="5">
                  <c:v>Total MSA</c:v>
                </c:pt>
              </c:strCache>
            </c:strRef>
          </c:cat>
          <c:val>
            <c:numRef>
              <c:f>'Visual Summary'!$B$35:$G$35</c:f>
              <c:numCache>
                <c:formatCode>#,##0</c:formatCode>
                <c:ptCount val="6"/>
                <c:pt idx="0">
                  <c:v>110903.37603337824</c:v>
                </c:pt>
                <c:pt idx="1">
                  <c:v>511003.5249872345</c:v>
                </c:pt>
                <c:pt idx="2">
                  <c:v>146050.13232848886</c:v>
                </c:pt>
                <c:pt idx="3">
                  <c:v>5810.9391485375436</c:v>
                </c:pt>
                <c:pt idx="4">
                  <c:v>29833.51699514901</c:v>
                </c:pt>
                <c:pt idx="5">
                  <c:v>692698.1134594098</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3-65A2-45E5-9697-52BA8F514A76}"/>
            </c:ext>
          </c:extLst>
        </c:ser>
        <c:ser>
          <c:idx val="4"/>
          <c:order val="4"/>
          <c:tx>
            <c:v>Agriculture</c:v>
          </c:tx>
          <c:spPr>
            <a:solidFill>
              <a:srgbClr val="BBC5CE"/>
            </a:solidFill>
            <a:ln cmpd="sng">
              <a:solidFill>
                <a:srgbClr val="000000"/>
              </a:solidFill>
            </a:ln>
          </c:spPr>
          <c:invertIfNegative val="1"/>
          <c:cat>
            <c:strRef>
              <c:f>'Visual Summary'!$B$31:$G$31</c:f>
              <c:strCache>
                <c:ptCount val="6"/>
                <c:pt idx="0">
                  <c:v>City of Albuquerque</c:v>
                </c:pt>
                <c:pt idx="1">
                  <c:v>Bernalillo County</c:v>
                </c:pt>
                <c:pt idx="2">
                  <c:v>Sandoval County</c:v>
                </c:pt>
                <c:pt idx="3">
                  <c:v>Torrance County</c:v>
                </c:pt>
                <c:pt idx="4">
                  <c:v>Valencia County</c:v>
                </c:pt>
                <c:pt idx="5">
                  <c:v>Total MSA</c:v>
                </c:pt>
              </c:strCache>
            </c:strRef>
          </c:cat>
          <c:val>
            <c:numRef>
              <c:f>'Visual Summary'!$B$36:$G$36</c:f>
              <c:numCache>
                <c:formatCode>#,##0</c:formatCode>
                <c:ptCount val="6"/>
                <c:pt idx="0">
                  <c:v>96.599597381866147</c:v>
                </c:pt>
                <c:pt idx="1">
                  <c:v>20934.274860335296</c:v>
                </c:pt>
                <c:pt idx="2">
                  <c:v>65257.014649739183</c:v>
                </c:pt>
                <c:pt idx="3">
                  <c:v>172567.74836889049</c:v>
                </c:pt>
                <c:pt idx="4">
                  <c:v>90044.082432358715</c:v>
                </c:pt>
                <c:pt idx="5">
                  <c:v>348803.12031132373</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4-65A2-45E5-9697-52BA8F514A76}"/>
            </c:ext>
          </c:extLst>
        </c:ser>
        <c:ser>
          <c:idx val="5"/>
          <c:order val="5"/>
          <c:tx>
            <c:v>Trees and Forests</c:v>
          </c:tx>
          <c:spPr>
            <a:solidFill>
              <a:srgbClr val="91C45B"/>
            </a:solidFill>
            <a:ln cmpd="sng">
              <a:solidFill>
                <a:srgbClr val="000000"/>
              </a:solidFill>
            </a:ln>
          </c:spPr>
          <c:invertIfNegative val="1"/>
          <c:cat>
            <c:strRef>
              <c:f>'Visual Summary'!$B$31:$G$31</c:f>
              <c:strCache>
                <c:ptCount val="6"/>
                <c:pt idx="0">
                  <c:v>City of Albuquerque</c:v>
                </c:pt>
                <c:pt idx="1">
                  <c:v>Bernalillo County</c:v>
                </c:pt>
                <c:pt idx="2">
                  <c:v>Sandoval County</c:v>
                </c:pt>
                <c:pt idx="3">
                  <c:v>Torrance County</c:v>
                </c:pt>
                <c:pt idx="4">
                  <c:v>Valencia County</c:v>
                </c:pt>
                <c:pt idx="5">
                  <c:v>Total MSA</c:v>
                </c:pt>
              </c:strCache>
            </c:strRef>
          </c:cat>
          <c:val>
            <c:numRef>
              <c:f>'Visual Summary'!$B$37:$G$37</c:f>
              <c:numCache>
                <c:formatCode>#,##0_);\(#,##0\)</c:formatCode>
                <c:ptCount val="6"/>
                <c:pt idx="0">
                  <c:v>-7091</c:v>
                </c:pt>
                <c:pt idx="1">
                  <c:v>-55112</c:v>
                </c:pt>
                <c:pt idx="2">
                  <c:v>-111269</c:v>
                </c:pt>
                <c:pt idx="3">
                  <c:v>-297204</c:v>
                </c:pt>
                <c:pt idx="4">
                  <c:v>-18511</c:v>
                </c:pt>
                <c:pt idx="5">
                  <c:v>-482096</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5-65A2-45E5-9697-52BA8F514A76}"/>
            </c:ext>
          </c:extLst>
        </c:ser>
        <c:dLbls>
          <c:showLegendKey val="0"/>
          <c:showVal val="0"/>
          <c:showCatName val="0"/>
          <c:showSerName val="0"/>
          <c:showPercent val="0"/>
          <c:showBubbleSize val="0"/>
        </c:dLbls>
        <c:gapWidth val="150"/>
        <c:overlap val="100"/>
        <c:axId val="1726722884"/>
        <c:axId val="1685815917"/>
      </c:barChart>
      <c:catAx>
        <c:axId val="1726722884"/>
        <c:scaling>
          <c:orientation val="maxMin"/>
        </c:scaling>
        <c:delete val="0"/>
        <c:axPos val="l"/>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a:lstStyle/>
          <a:p>
            <a:pPr lvl="0">
              <a:defRPr sz="1200" b="1" i="0">
                <a:solidFill>
                  <a:srgbClr val="000000"/>
                </a:solidFill>
                <a:latin typeface="+mn-lt"/>
              </a:defRPr>
            </a:pPr>
            <a:endParaRPr lang="en-US"/>
          </a:p>
        </c:txPr>
        <c:crossAx val="1685815917"/>
        <c:crosses val="autoZero"/>
        <c:auto val="1"/>
        <c:lblAlgn val="ctr"/>
        <c:lblOffset val="100"/>
        <c:noMultiLvlLbl val="1"/>
      </c:catAx>
      <c:valAx>
        <c:axId val="1685815917"/>
        <c:scaling>
          <c:orientation val="minMax"/>
        </c:scaling>
        <c:delete val="0"/>
        <c:axPos val="b"/>
        <c:majorGridlines>
          <c:spPr>
            <a:ln>
              <a:solidFill>
                <a:srgbClr val="B7B7B7"/>
              </a:solidFill>
            </a:ln>
          </c:spPr>
        </c:majorGridlines>
        <c:title>
          <c:tx>
            <c:rich>
              <a:bodyPr/>
              <a:lstStyle/>
              <a:p>
                <a:pPr lvl="0">
                  <a:defRPr sz="1200" b="0" i="0">
                    <a:solidFill>
                      <a:srgbClr val="000000"/>
                    </a:solidFill>
                    <a:latin typeface="+mn-lt"/>
                  </a:defRPr>
                </a:pPr>
                <a:r>
                  <a:rPr sz="1200" b="0" i="0">
                    <a:solidFill>
                      <a:srgbClr val="000000"/>
                    </a:solidFill>
                    <a:latin typeface="+mn-lt"/>
                  </a:rPr>
                  <a:t>Emissions (mt CO2e)</a:t>
                </a:r>
              </a:p>
            </c:rich>
          </c:tx>
          <c:layout>
            <c:manualLayout>
              <c:xMode val="edge"/>
              <c:yMode val="edge"/>
              <c:x val="0.39967026173480297"/>
              <c:y val="0.91986459146605959"/>
            </c:manualLayout>
          </c:layout>
          <c:overlay val="0"/>
        </c:title>
        <c:numFmt formatCode="#,##0" sourceLinked="1"/>
        <c:majorTickMark val="none"/>
        <c:minorTickMark val="none"/>
        <c:tickLblPos val="nextTo"/>
        <c:spPr>
          <a:ln/>
        </c:spPr>
        <c:txPr>
          <a:bodyPr/>
          <a:lstStyle/>
          <a:p>
            <a:pPr lvl="0">
              <a:defRPr sz="1200" b="0" i="0">
                <a:solidFill>
                  <a:srgbClr val="000000"/>
                </a:solidFill>
                <a:latin typeface="+mn-lt"/>
              </a:defRPr>
            </a:pPr>
            <a:endParaRPr lang="en-US"/>
          </a:p>
        </c:txPr>
        <c:crossAx val="1726722884"/>
        <c:crosses val="max"/>
        <c:crossBetween val="between"/>
      </c:valAx>
    </c:plotArea>
    <c:legend>
      <c:legendPos val="r"/>
      <c:layout>
        <c:manualLayout>
          <c:xMode val="edge"/>
          <c:yMode val="edge"/>
          <c:x val="0.82195579669454166"/>
          <c:y val="0.11164446807265727"/>
        </c:manualLayout>
      </c:layout>
      <c:overlay val="0"/>
      <c:txPr>
        <a:bodyPr/>
        <a:lstStyle/>
        <a:p>
          <a:pPr lvl="0">
            <a:defRPr sz="1200" b="0" i="0">
              <a:solidFill>
                <a:srgbClr val="000000"/>
              </a:solidFill>
              <a:latin typeface="+mn-lt"/>
            </a:defRPr>
          </a:pPr>
          <a:endParaRPr lang="en-US"/>
        </a:p>
      </c:txPr>
    </c:legend>
    <c:plotVisOnly val="1"/>
    <c:dispBlanksAs val="zero"/>
    <c:showDLblsOverMax val="1"/>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lvl="0">
              <a:defRPr sz="1600" b="1" i="0">
                <a:solidFill>
                  <a:srgbClr val="000000"/>
                </a:solidFill>
                <a:latin typeface="Poppins"/>
              </a:defRPr>
            </a:pPr>
            <a:r>
              <a:rPr lang="en-US" sz="1600" b="1" i="0">
                <a:solidFill>
                  <a:srgbClr val="000000"/>
                </a:solidFill>
                <a:latin typeface="Poppins"/>
              </a:rPr>
              <a:t>Emissions by Scope</a:t>
            </a:r>
          </a:p>
        </c:rich>
      </c:tx>
      <c:overlay val="0"/>
    </c:title>
    <c:autoTitleDeleted val="0"/>
    <c:plotArea>
      <c:layout/>
      <c:barChart>
        <c:barDir val="col"/>
        <c:grouping val="stacked"/>
        <c:varyColors val="1"/>
        <c:ser>
          <c:idx val="0"/>
          <c:order val="0"/>
          <c:tx>
            <c:v>Scope 1</c:v>
          </c:tx>
          <c:spPr>
            <a:solidFill>
              <a:srgbClr val="0C5E52"/>
            </a:solidFill>
            <a:ln cmpd="sng">
              <a:solidFill>
                <a:srgbClr val="000000"/>
              </a:solidFill>
            </a:ln>
          </c:spPr>
          <c:invertIfNegative val="1"/>
          <c:cat>
            <c:strRef>
              <c:f>'Visual Summary'!$B$22:$G$22</c:f>
              <c:strCache>
                <c:ptCount val="6"/>
                <c:pt idx="0">
                  <c:v>City of Albuquerque</c:v>
                </c:pt>
                <c:pt idx="1">
                  <c:v>Bernalillo</c:v>
                </c:pt>
                <c:pt idx="2">
                  <c:v>Sandoval</c:v>
                </c:pt>
                <c:pt idx="3">
                  <c:v>Torrance</c:v>
                </c:pt>
                <c:pt idx="4">
                  <c:v>Valencia</c:v>
                </c:pt>
                <c:pt idx="5">
                  <c:v>Total</c:v>
                </c:pt>
              </c:strCache>
            </c:strRef>
          </c:cat>
          <c:val>
            <c:numRef>
              <c:f>'Visual Summary'!$B$23:$G$23</c:f>
              <c:numCache>
                <c:formatCode>#,##0_);\(#,##0\)</c:formatCode>
                <c:ptCount val="6"/>
                <c:pt idx="0">
                  <c:v>4112962.4387353244</c:v>
                </c:pt>
                <c:pt idx="1">
                  <c:v>5839109.7776345816</c:v>
                </c:pt>
                <c:pt idx="2">
                  <c:v>1247314.4743895091</c:v>
                </c:pt>
                <c:pt idx="3">
                  <c:v>345697.433504991</c:v>
                </c:pt>
                <c:pt idx="4">
                  <c:v>578305.17524846049</c:v>
                </c:pt>
                <c:pt idx="5">
                  <c:v>8010426.860777542</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AD5A-43DD-A7F7-ECE4D92068F6}"/>
            </c:ext>
          </c:extLst>
        </c:ser>
        <c:ser>
          <c:idx val="1"/>
          <c:order val="1"/>
          <c:tx>
            <c:v>Scope 2</c:v>
          </c:tx>
          <c:spPr>
            <a:solidFill>
              <a:srgbClr val="448291"/>
            </a:solidFill>
            <a:ln cmpd="sng">
              <a:solidFill>
                <a:srgbClr val="000000"/>
              </a:solidFill>
            </a:ln>
          </c:spPr>
          <c:invertIfNegative val="1"/>
          <c:cat>
            <c:strRef>
              <c:f>'Visual Summary'!$B$22:$G$22</c:f>
              <c:strCache>
                <c:ptCount val="6"/>
                <c:pt idx="0">
                  <c:v>City of Albuquerque</c:v>
                </c:pt>
                <c:pt idx="1">
                  <c:v>Bernalillo</c:v>
                </c:pt>
                <c:pt idx="2">
                  <c:v>Sandoval</c:v>
                </c:pt>
                <c:pt idx="3">
                  <c:v>Torrance</c:v>
                </c:pt>
                <c:pt idx="4">
                  <c:v>Valencia</c:v>
                </c:pt>
                <c:pt idx="5">
                  <c:v>Total</c:v>
                </c:pt>
              </c:strCache>
            </c:strRef>
          </c:cat>
          <c:val>
            <c:numRef>
              <c:f>'Visual Summary'!$B$24:$G$24</c:f>
              <c:numCache>
                <c:formatCode>#,##0_);\(#,##0\)</c:formatCode>
                <c:ptCount val="6"/>
                <c:pt idx="0">
                  <c:v>994939.62821341818</c:v>
                </c:pt>
                <c:pt idx="1">
                  <c:v>1220427.4420006776</c:v>
                </c:pt>
                <c:pt idx="2">
                  <c:v>221418.95973599801</c:v>
                </c:pt>
                <c:pt idx="3">
                  <c:v>129991.55706511979</c:v>
                </c:pt>
                <c:pt idx="4">
                  <c:v>119380.70581178389</c:v>
                </c:pt>
                <c:pt idx="5">
                  <c:v>1691218.6646135794</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AD5A-43DD-A7F7-ECE4D92068F6}"/>
            </c:ext>
          </c:extLst>
        </c:ser>
        <c:ser>
          <c:idx val="2"/>
          <c:order val="2"/>
          <c:tx>
            <c:v>Scope 3</c:v>
          </c:tx>
          <c:spPr>
            <a:solidFill>
              <a:srgbClr val="585453"/>
            </a:solidFill>
            <a:ln cmpd="sng">
              <a:solidFill>
                <a:srgbClr val="000000"/>
              </a:solidFill>
            </a:ln>
          </c:spPr>
          <c:invertIfNegative val="1"/>
          <c:cat>
            <c:strRef>
              <c:f>'Visual Summary'!$B$22:$G$22</c:f>
              <c:strCache>
                <c:ptCount val="6"/>
                <c:pt idx="0">
                  <c:v>City of Albuquerque</c:v>
                </c:pt>
                <c:pt idx="1">
                  <c:v>Bernalillo</c:v>
                </c:pt>
                <c:pt idx="2">
                  <c:v>Sandoval</c:v>
                </c:pt>
                <c:pt idx="3">
                  <c:v>Torrance</c:v>
                </c:pt>
                <c:pt idx="4">
                  <c:v>Valencia</c:v>
                </c:pt>
                <c:pt idx="5">
                  <c:v>Total</c:v>
                </c:pt>
              </c:strCache>
            </c:strRef>
          </c:cat>
          <c:val>
            <c:numRef>
              <c:f>'Visual Summary'!$B$25:$G$25</c:f>
              <c:numCache>
                <c:formatCode>#,##0_);\(#,##0\)</c:formatCode>
                <c:ptCount val="6"/>
                <c:pt idx="0">
                  <c:v>415323.55580996751</c:v>
                </c:pt>
                <c:pt idx="1">
                  <c:v>287085.52691092808</c:v>
                </c:pt>
                <c:pt idx="2">
                  <c:v>6224.3567770941654</c:v>
                </c:pt>
                <c:pt idx="3">
                  <c:v>4669.8779601804399</c:v>
                </c:pt>
                <c:pt idx="4">
                  <c:v>3330.9692765482887</c:v>
                </c:pt>
                <c:pt idx="5">
                  <c:v>301310.73092475103</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2-AD5A-43DD-A7F7-ECE4D92068F6}"/>
            </c:ext>
          </c:extLst>
        </c:ser>
        <c:dLbls>
          <c:showLegendKey val="0"/>
          <c:showVal val="0"/>
          <c:showCatName val="0"/>
          <c:showSerName val="0"/>
          <c:showPercent val="0"/>
          <c:showBubbleSize val="0"/>
        </c:dLbls>
        <c:gapWidth val="150"/>
        <c:overlap val="100"/>
        <c:axId val="349881283"/>
        <c:axId val="463375371"/>
      </c:barChart>
      <c:catAx>
        <c:axId val="349881283"/>
        <c:scaling>
          <c:orientation val="minMax"/>
        </c:scaling>
        <c:delete val="0"/>
        <c:axPos val="b"/>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txPr>
          <a:bodyPr/>
          <a:lstStyle/>
          <a:p>
            <a:pPr lvl="0">
              <a:defRPr sz="1200" b="0" i="0">
                <a:solidFill>
                  <a:srgbClr val="000000"/>
                </a:solidFill>
                <a:latin typeface="Poppins"/>
              </a:defRPr>
            </a:pPr>
            <a:endParaRPr lang="en-US"/>
          </a:p>
        </c:txPr>
        <c:crossAx val="463375371"/>
        <c:crosses val="autoZero"/>
        <c:auto val="1"/>
        <c:lblAlgn val="ctr"/>
        <c:lblOffset val="100"/>
        <c:noMultiLvlLbl val="1"/>
      </c:catAx>
      <c:valAx>
        <c:axId val="463375371"/>
        <c:scaling>
          <c:orientation val="minMax"/>
        </c:scaling>
        <c:delete val="0"/>
        <c:axPos val="l"/>
        <c:majorGridlines>
          <c:spPr>
            <a:ln>
              <a:solidFill>
                <a:srgbClr val="B7B7B7"/>
              </a:solidFill>
            </a:ln>
          </c:spPr>
        </c:majorGridlines>
        <c:title>
          <c:tx>
            <c:rich>
              <a:bodyPr/>
              <a:lstStyle/>
              <a:p>
                <a:pPr lvl="0">
                  <a:defRPr sz="1200" b="0" i="0">
                    <a:solidFill>
                      <a:srgbClr val="000000"/>
                    </a:solidFill>
                    <a:latin typeface="Poppins"/>
                  </a:defRPr>
                </a:pPr>
                <a:r>
                  <a:rPr lang="en-US" sz="1200" b="0" i="0">
                    <a:solidFill>
                      <a:srgbClr val="000000"/>
                    </a:solidFill>
                    <a:latin typeface="Poppins"/>
                  </a:rPr>
                  <a:t>mt CO2e</a:t>
                </a:r>
              </a:p>
            </c:rich>
          </c:tx>
          <c:overlay val="0"/>
        </c:title>
        <c:numFmt formatCode="#,##0" sourceLinked="0"/>
        <c:majorTickMark val="none"/>
        <c:minorTickMark val="none"/>
        <c:tickLblPos val="nextTo"/>
        <c:spPr>
          <a:ln/>
        </c:spPr>
        <c:txPr>
          <a:bodyPr/>
          <a:lstStyle/>
          <a:p>
            <a:pPr lvl="0">
              <a:defRPr sz="1200" b="0" i="0">
                <a:solidFill>
                  <a:srgbClr val="000000"/>
                </a:solidFill>
                <a:latin typeface="Poppins"/>
              </a:defRPr>
            </a:pPr>
            <a:endParaRPr lang="en-US"/>
          </a:p>
        </c:txPr>
        <c:crossAx val="349881283"/>
        <c:crosses val="autoZero"/>
        <c:crossBetween val="between"/>
      </c:valAx>
    </c:plotArea>
    <c:legend>
      <c:legendPos val="b"/>
      <c:overlay val="0"/>
      <c:txPr>
        <a:bodyPr/>
        <a:lstStyle/>
        <a:p>
          <a:pPr lvl="0">
            <a:defRPr b="1" i="0">
              <a:solidFill>
                <a:srgbClr val="000000"/>
              </a:solidFill>
              <a:latin typeface="+mn-lt"/>
            </a:defRPr>
          </a:pPr>
          <a:endParaRPr lang="en-US"/>
        </a:p>
      </c:txPr>
    </c:legend>
    <c:plotVisOnly val="1"/>
    <c:dispBlanksAs val="zero"/>
    <c:showDLblsOverMax val="1"/>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lvl="0">
              <a:defRPr sz="1600" b="1" i="0">
                <a:solidFill>
                  <a:srgbClr val="000000"/>
                </a:solidFill>
                <a:latin typeface="Poppins"/>
              </a:defRPr>
            </a:pPr>
            <a:r>
              <a:rPr lang="en-US" sz="1600" b="1" i="0">
                <a:solidFill>
                  <a:srgbClr val="000000"/>
                </a:solidFill>
                <a:latin typeface="Poppins"/>
              </a:rPr>
              <a:t>Emissions per Capita</a:t>
            </a:r>
          </a:p>
        </c:rich>
      </c:tx>
      <c:overlay val="0"/>
    </c:title>
    <c:autoTitleDeleted val="0"/>
    <c:plotArea>
      <c:layout/>
      <c:barChart>
        <c:barDir val="col"/>
        <c:grouping val="clustered"/>
        <c:varyColors val="1"/>
        <c:ser>
          <c:idx val="0"/>
          <c:order val="0"/>
          <c:spPr>
            <a:solidFill>
              <a:srgbClr val="005569"/>
            </a:solidFill>
            <a:ln cmpd="sng">
              <a:solidFill>
                <a:srgbClr val="000000"/>
              </a:solidFill>
            </a:ln>
          </c:spPr>
          <c:invertIfNegative val="1"/>
          <c:dLbls>
            <c:numFmt formatCode="#,##0.0" sourceLinked="0"/>
            <c:spPr>
              <a:noFill/>
              <a:ln>
                <a:noFill/>
              </a:ln>
              <a:effectLst/>
            </c:spPr>
            <c:txPr>
              <a:bodyPr/>
              <a:lstStyle/>
              <a:p>
                <a:pPr lvl="0">
                  <a:defRPr sz="1200" b="0" i="0">
                    <a:solidFill>
                      <a:srgbClr val="000000"/>
                    </a:solidFill>
                    <a:latin typeface="Poppin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'Visual Summary'!$A$13:$A$18</c:f>
              <c:strCache>
                <c:ptCount val="6"/>
                <c:pt idx="0">
                  <c:v>City of Albuquerque</c:v>
                </c:pt>
                <c:pt idx="1">
                  <c:v>Bernalillo</c:v>
                </c:pt>
                <c:pt idx="2">
                  <c:v>Sandoval</c:v>
                </c:pt>
                <c:pt idx="3">
                  <c:v>Torrance</c:v>
                </c:pt>
                <c:pt idx="4">
                  <c:v>Valencia</c:v>
                </c:pt>
                <c:pt idx="5">
                  <c:v>Total MSA</c:v>
                </c:pt>
              </c:strCache>
            </c:strRef>
          </c:cat>
          <c:val>
            <c:numRef>
              <c:f>'Visual Summary'!$D$13:$D$18</c:f>
              <c:numCache>
                <c:formatCode>0.0</c:formatCode>
                <c:ptCount val="6"/>
                <c:pt idx="0">
                  <c:v>9.8452166692668346</c:v>
                </c:pt>
                <c:pt idx="1">
                  <c:v>10.924216138017968</c:v>
                </c:pt>
                <c:pt idx="2">
                  <c:v>9.6087829454049238</c:v>
                </c:pt>
                <c:pt idx="3">
                  <c:v>31.596321024159131</c:v>
                </c:pt>
                <c:pt idx="4">
                  <c:v>8.9781871200921195</c:v>
                </c:pt>
                <c:pt idx="5" formatCode="0.00">
                  <c:v>10.881152295805764</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7ABA-4B8D-8601-C8F83E12AC0F}"/>
            </c:ext>
          </c:extLst>
        </c:ser>
        <c:dLbls>
          <c:showLegendKey val="0"/>
          <c:showVal val="0"/>
          <c:showCatName val="0"/>
          <c:showSerName val="0"/>
          <c:showPercent val="0"/>
          <c:showBubbleSize val="0"/>
        </c:dLbls>
        <c:gapWidth val="150"/>
        <c:axId val="1799894079"/>
        <c:axId val="1222432595"/>
      </c:barChart>
      <c:catAx>
        <c:axId val="1799894079"/>
        <c:scaling>
          <c:orientation val="minMax"/>
        </c:scaling>
        <c:delete val="0"/>
        <c:axPos val="b"/>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txPr>
          <a:bodyPr/>
          <a:lstStyle/>
          <a:p>
            <a:pPr lvl="0">
              <a:defRPr sz="1200" b="0" i="0">
                <a:solidFill>
                  <a:srgbClr val="000000"/>
                </a:solidFill>
                <a:latin typeface="Poppins"/>
              </a:defRPr>
            </a:pPr>
            <a:endParaRPr lang="en-US"/>
          </a:p>
        </c:txPr>
        <c:crossAx val="1222432595"/>
        <c:crosses val="autoZero"/>
        <c:auto val="1"/>
        <c:lblAlgn val="ctr"/>
        <c:lblOffset val="100"/>
        <c:noMultiLvlLbl val="1"/>
      </c:catAx>
      <c:valAx>
        <c:axId val="1222432595"/>
        <c:scaling>
          <c:orientation val="minMax"/>
        </c:scaling>
        <c:delete val="0"/>
        <c:axPos val="l"/>
        <c:majorGridlines>
          <c:spPr>
            <a:ln>
              <a:solidFill>
                <a:srgbClr val="B7B7B7"/>
              </a:solidFill>
            </a:ln>
          </c:spPr>
        </c:majorGridlines>
        <c:title>
          <c:tx>
            <c:rich>
              <a:bodyPr/>
              <a:lstStyle/>
              <a:p>
                <a:pPr lvl="0">
                  <a:defRPr sz="1200" b="0" i="0">
                    <a:solidFill>
                      <a:srgbClr val="000000"/>
                    </a:solidFill>
                    <a:latin typeface="Poppins"/>
                  </a:defRPr>
                </a:pPr>
                <a:r>
                  <a:rPr lang="en-US" sz="1200" b="0" i="0">
                    <a:solidFill>
                      <a:srgbClr val="000000"/>
                    </a:solidFill>
                    <a:latin typeface="Poppins"/>
                  </a:rPr>
                  <a:t>mt CO2e</a:t>
                </a:r>
              </a:p>
            </c:rich>
          </c:tx>
          <c:overlay val="0"/>
        </c:title>
        <c:numFmt formatCode="0" sourceLinked="0"/>
        <c:majorTickMark val="none"/>
        <c:minorTickMark val="none"/>
        <c:tickLblPos val="nextTo"/>
        <c:spPr>
          <a:ln/>
        </c:spPr>
        <c:txPr>
          <a:bodyPr/>
          <a:lstStyle/>
          <a:p>
            <a:pPr lvl="0">
              <a:defRPr sz="1200" b="0" i="0">
                <a:solidFill>
                  <a:srgbClr val="000000"/>
                </a:solidFill>
                <a:latin typeface="Poppins"/>
              </a:defRPr>
            </a:pPr>
            <a:endParaRPr lang="en-US"/>
          </a:p>
        </c:txPr>
        <c:crossAx val="1799894079"/>
        <c:crosses val="autoZero"/>
        <c:crossBetween val="between"/>
        <c:majorUnit val="5"/>
      </c:valAx>
    </c:plotArea>
    <c:plotVisOnly val="1"/>
    <c:dispBlanksAs val="zero"/>
    <c:showDLblsOverMax val="1"/>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lvl="0">
              <a:defRPr sz="1600" b="1" i="0">
                <a:solidFill>
                  <a:srgbClr val="000000"/>
                </a:solidFill>
                <a:latin typeface="+mn-lt"/>
              </a:defRPr>
            </a:pPr>
            <a:r>
              <a:rPr lang="en-US" sz="1600" b="1" i="0">
                <a:solidFill>
                  <a:srgbClr val="000000"/>
                </a:solidFill>
                <a:latin typeface="+mn-lt"/>
              </a:rPr>
              <a:t>Total Emissions</a:t>
            </a:r>
          </a:p>
        </c:rich>
      </c:tx>
      <c:overlay val="0"/>
    </c:title>
    <c:autoTitleDeleted val="0"/>
    <c:plotArea>
      <c:layout>
        <c:manualLayout>
          <c:xMode val="edge"/>
          <c:yMode val="edge"/>
          <c:x val="0.14103460745934399"/>
          <c:y val="0.15638103039905257"/>
          <c:w val="0.78829607129377344"/>
          <c:h val="0.73316444720134344"/>
        </c:manualLayout>
      </c:layout>
      <c:barChart>
        <c:barDir val="col"/>
        <c:grouping val="clustered"/>
        <c:varyColors val="1"/>
        <c:ser>
          <c:idx val="0"/>
          <c:order val="0"/>
          <c:spPr>
            <a:solidFill>
              <a:srgbClr val="005569"/>
            </a:solidFill>
            <a:ln cmpd="sng">
              <a:solidFill>
                <a:srgbClr val="000000"/>
              </a:solidFill>
            </a:ln>
          </c:spPr>
          <c:invertIfNegative val="1"/>
          <c:dPt>
            <c:idx val="0"/>
            <c:invertIfNegative val="1"/>
            <c:bubble3D val="0"/>
            <c:extLst>
              <c:ext xmlns:c16="http://schemas.microsoft.com/office/drawing/2014/chart" uri="{C3380CC4-5D6E-409C-BE32-E72D297353CC}">
                <c16:uniqueId val="{00000001-A5D6-4CE4-968A-57C074E3308F}"/>
              </c:ext>
            </c:extLst>
          </c:dPt>
          <c:dPt>
            <c:idx val="1"/>
            <c:invertIfNegative val="1"/>
            <c:bubble3D val="0"/>
            <c:extLst>
              <c:ext xmlns:c16="http://schemas.microsoft.com/office/drawing/2014/chart" uri="{C3380CC4-5D6E-409C-BE32-E72D297353CC}">
                <c16:uniqueId val="{00000003-A5D6-4CE4-968A-57C074E3308F}"/>
              </c:ext>
            </c:extLst>
          </c:dPt>
          <c:dPt>
            <c:idx val="2"/>
            <c:invertIfNegative val="1"/>
            <c:bubble3D val="0"/>
            <c:extLst>
              <c:ext xmlns:c16="http://schemas.microsoft.com/office/drawing/2014/chart" uri="{C3380CC4-5D6E-409C-BE32-E72D297353CC}">
                <c16:uniqueId val="{00000005-A5D6-4CE4-968A-57C074E3308F}"/>
              </c:ext>
            </c:extLst>
          </c:dPt>
          <c:dPt>
            <c:idx val="3"/>
            <c:invertIfNegative val="1"/>
            <c:bubble3D val="0"/>
            <c:extLst>
              <c:ext xmlns:c16="http://schemas.microsoft.com/office/drawing/2014/chart" uri="{C3380CC4-5D6E-409C-BE32-E72D297353CC}">
                <c16:uniqueId val="{00000007-A5D6-4CE4-968A-57C074E3308F}"/>
              </c:ext>
            </c:extLst>
          </c:dPt>
          <c:dPt>
            <c:idx val="4"/>
            <c:invertIfNegative val="1"/>
            <c:bubble3D val="0"/>
            <c:extLst>
              <c:ext xmlns:c16="http://schemas.microsoft.com/office/drawing/2014/chart" uri="{C3380CC4-5D6E-409C-BE32-E72D297353CC}">
                <c16:uniqueId val="{00000009-A5D6-4CE4-968A-57C074E3308F}"/>
              </c:ext>
            </c:extLst>
          </c:dPt>
          <c:dPt>
            <c:idx val="5"/>
            <c:invertIfNegative val="1"/>
            <c:bubble3D val="0"/>
            <c:extLst>
              <c:ext xmlns:c16="http://schemas.microsoft.com/office/drawing/2014/chart" uri="{C3380CC4-5D6E-409C-BE32-E72D297353CC}">
                <c16:uniqueId val="{0000000B-A5D6-4CE4-968A-57C074E3308F}"/>
              </c:ext>
            </c:extLst>
          </c:dPt>
          <c:dPt>
            <c:idx val="6"/>
            <c:invertIfNegative val="1"/>
            <c:bubble3D val="0"/>
            <c:extLst>
              <c:ext xmlns:c16="http://schemas.microsoft.com/office/drawing/2014/chart" uri="{C3380CC4-5D6E-409C-BE32-E72D297353CC}">
                <c16:uniqueId val="{0000000D-A5D6-4CE4-968A-57C074E3308F}"/>
              </c:ext>
            </c:extLst>
          </c:dPt>
          <c:dPt>
            <c:idx val="7"/>
            <c:invertIfNegative val="1"/>
            <c:bubble3D val="0"/>
            <c:extLst>
              <c:ext xmlns:c16="http://schemas.microsoft.com/office/drawing/2014/chart" uri="{C3380CC4-5D6E-409C-BE32-E72D297353CC}">
                <c16:uniqueId val="{0000000F-A5D6-4CE4-968A-57C074E3308F}"/>
              </c:ext>
            </c:extLst>
          </c:dPt>
          <c:dPt>
            <c:idx val="8"/>
            <c:invertIfNegative val="1"/>
            <c:bubble3D val="0"/>
            <c:extLst>
              <c:ext xmlns:c16="http://schemas.microsoft.com/office/drawing/2014/chart" uri="{C3380CC4-5D6E-409C-BE32-E72D297353CC}">
                <c16:uniqueId val="{00000011-A5D6-4CE4-968A-57C074E3308F}"/>
              </c:ext>
            </c:extLst>
          </c:dPt>
          <c:dLbls>
            <c:dLbl>
              <c:idx val="5"/>
              <c:spPr/>
              <c:txPr>
                <a:bodyPr/>
                <a:lstStyle/>
                <a:p>
                  <a:pPr lvl="0">
                    <a:defRPr sz="1100" b="0" i="0">
                      <a:solidFill>
                        <a:srgbClr val="000000"/>
                      </a:solidFill>
                      <a:latin typeface="+mn-lt"/>
                    </a:defRPr>
                  </a:pPr>
                  <a:endParaRPr lang="en-US"/>
                </a:p>
              </c:txPr>
              <c:showLegendKey val="0"/>
              <c:showVal val="1"/>
              <c:showCatName val="0"/>
              <c:showSerName val="0"/>
              <c:showPercent val="0"/>
              <c:showBubbleSize val="0"/>
              <c:extLst>
                <c:ext xmlns:c16="http://schemas.microsoft.com/office/drawing/2014/chart" uri="{C3380CC4-5D6E-409C-BE32-E72D297353CC}">
                  <c16:uniqueId val="{0000000B-A5D6-4CE4-968A-57C074E3308F}"/>
                </c:ext>
              </c:extLst>
            </c:dLbl>
            <c:dLbl>
              <c:idx val="6"/>
              <c:spPr/>
              <c:txPr>
                <a:bodyPr/>
                <a:lstStyle/>
                <a:p>
                  <a:pPr lvl="0">
                    <a:defRPr sz="1100" b="0" i="0">
                      <a:solidFill>
                        <a:srgbClr val="000000"/>
                      </a:solidFill>
                      <a:latin typeface="+mn-lt"/>
                    </a:defRPr>
                  </a:pPr>
                  <a:endParaRPr lang="en-US"/>
                </a:p>
              </c:txPr>
              <c:showLegendKey val="0"/>
              <c:showVal val="1"/>
              <c:showCatName val="0"/>
              <c:showSerName val="0"/>
              <c:showPercent val="0"/>
              <c:showBubbleSize val="0"/>
              <c:extLst>
                <c:ext xmlns:c16="http://schemas.microsoft.com/office/drawing/2014/chart" uri="{C3380CC4-5D6E-409C-BE32-E72D297353CC}">
                  <c16:uniqueId val="{0000000D-A5D6-4CE4-968A-57C074E3308F}"/>
                </c:ext>
              </c:extLst>
            </c:dLbl>
            <c:spPr>
              <a:noFill/>
              <a:ln>
                <a:noFill/>
              </a:ln>
              <a:effectLst/>
            </c:spPr>
            <c:txPr>
              <a:bodyPr/>
              <a:lstStyle/>
              <a:p>
                <a:pPr lvl="0">
                  <a:defRPr sz="1100" b="0" i="0">
                    <a:solidFill>
                      <a:srgbClr val="000000"/>
                    </a:solidFill>
                    <a:latin typeface="+mn-lt"/>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'Visual Summary'!$A$4:$A$9</c:f>
              <c:strCache>
                <c:ptCount val="6"/>
                <c:pt idx="0">
                  <c:v>City of Albuquerque</c:v>
                </c:pt>
                <c:pt idx="1">
                  <c:v>Bernalillo</c:v>
                </c:pt>
                <c:pt idx="2">
                  <c:v>Sandoval</c:v>
                </c:pt>
                <c:pt idx="3">
                  <c:v>Torrance</c:v>
                </c:pt>
                <c:pt idx="4">
                  <c:v>Valencia</c:v>
                </c:pt>
                <c:pt idx="5">
                  <c:v>Total MSA</c:v>
                </c:pt>
              </c:strCache>
            </c:strRef>
          </c:cat>
          <c:val>
            <c:numRef>
              <c:f>'Visual Summary'!$B$4:$B$9</c:f>
              <c:numCache>
                <c:formatCode>#,##0_);\(#,##0\)</c:formatCode>
                <c:ptCount val="6"/>
                <c:pt idx="0">
                  <c:v>5523225.6227587098</c:v>
                </c:pt>
                <c:pt idx="1">
                  <c:v>7346622.7465461874</c:v>
                </c:pt>
                <c:pt idx="2">
                  <c:v>1474957.7909026011</c:v>
                </c:pt>
                <c:pt idx="3">
                  <c:v>480358.86853029125</c:v>
                </c:pt>
                <c:pt idx="4">
                  <c:v>701016.85033679265</c:v>
                </c:pt>
                <c:pt idx="5">
                  <c:v>10002956.256315872</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12-A5D6-4CE4-968A-57C074E3308F}"/>
            </c:ext>
          </c:extLst>
        </c:ser>
        <c:dLbls>
          <c:showLegendKey val="0"/>
          <c:showVal val="0"/>
          <c:showCatName val="0"/>
          <c:showSerName val="0"/>
          <c:showPercent val="0"/>
          <c:showBubbleSize val="0"/>
        </c:dLbls>
        <c:gapWidth val="150"/>
        <c:axId val="780363151"/>
        <c:axId val="845077913"/>
      </c:barChart>
      <c:catAx>
        <c:axId val="780363151"/>
        <c:scaling>
          <c:orientation val="minMax"/>
        </c:scaling>
        <c:delete val="0"/>
        <c:axPos val="b"/>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txPr>
          <a:bodyPr/>
          <a:lstStyle/>
          <a:p>
            <a:pPr lvl="0">
              <a:defRPr sz="1100" b="0" i="0">
                <a:solidFill>
                  <a:srgbClr val="000000"/>
                </a:solidFill>
                <a:latin typeface="+mn-lt"/>
              </a:defRPr>
            </a:pPr>
            <a:endParaRPr lang="en-US"/>
          </a:p>
        </c:txPr>
        <c:crossAx val="845077913"/>
        <c:crosses val="autoZero"/>
        <c:auto val="1"/>
        <c:lblAlgn val="ctr"/>
        <c:lblOffset val="100"/>
        <c:noMultiLvlLbl val="1"/>
      </c:catAx>
      <c:valAx>
        <c:axId val="845077913"/>
        <c:scaling>
          <c:orientation val="minMax"/>
        </c:scaling>
        <c:delete val="0"/>
        <c:axPos val="l"/>
        <c:majorGridlines>
          <c:spPr>
            <a:ln>
              <a:solidFill>
                <a:srgbClr val="B7B7B7"/>
              </a:solidFill>
            </a:ln>
          </c:spPr>
        </c:majorGridlines>
        <c:title>
          <c:tx>
            <c:rich>
              <a:bodyPr/>
              <a:lstStyle/>
              <a:p>
                <a:pPr lvl="0">
                  <a:defRPr sz="1100" b="0" i="0">
                    <a:solidFill>
                      <a:srgbClr val="000000"/>
                    </a:solidFill>
                    <a:latin typeface="+mn-lt"/>
                  </a:defRPr>
                </a:pPr>
                <a:r>
                  <a:rPr lang="en-US" sz="1100" b="0" i="0">
                    <a:solidFill>
                      <a:srgbClr val="000000"/>
                    </a:solidFill>
                    <a:latin typeface="+mn-lt"/>
                  </a:rPr>
                  <a:t>mt CO2e</a:t>
                </a:r>
              </a:p>
            </c:rich>
          </c:tx>
          <c:overlay val="0"/>
        </c:title>
        <c:numFmt formatCode="#,##0_);\(#,##0\)" sourceLinked="1"/>
        <c:majorTickMark val="out"/>
        <c:minorTickMark val="none"/>
        <c:tickLblPos val="nextTo"/>
        <c:spPr>
          <a:ln/>
        </c:spPr>
        <c:txPr>
          <a:bodyPr/>
          <a:lstStyle/>
          <a:p>
            <a:pPr lvl="0">
              <a:defRPr sz="1100" b="0" i="0">
                <a:solidFill>
                  <a:srgbClr val="000000"/>
                </a:solidFill>
                <a:latin typeface="+mn-lt"/>
              </a:defRPr>
            </a:pPr>
            <a:endParaRPr lang="en-US"/>
          </a:p>
        </c:txPr>
        <c:crossAx val="780363151"/>
        <c:crosses val="autoZero"/>
        <c:crossBetween val="between"/>
      </c:valAx>
    </c:plotArea>
    <c:plotVisOnly val="1"/>
    <c:dispBlanksAs val="zero"/>
    <c:showDLblsOverMax val="1"/>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lvl="0">
              <a:defRPr sz="1600" b="1" i="0">
                <a:solidFill>
                  <a:srgbClr val="000000"/>
                </a:solidFill>
                <a:latin typeface="Poppins"/>
              </a:defRPr>
            </a:pPr>
            <a:r>
              <a:rPr lang="en-US" sz="1600" b="1" i="0">
                <a:solidFill>
                  <a:srgbClr val="000000"/>
                </a:solidFill>
                <a:latin typeface="Poppins"/>
              </a:rPr>
              <a:t>Emissions by Scope</a:t>
            </a:r>
          </a:p>
        </c:rich>
      </c:tx>
      <c:overlay val="0"/>
    </c:title>
    <c:autoTitleDeleted val="0"/>
    <c:plotArea>
      <c:layout/>
      <c:barChart>
        <c:barDir val="col"/>
        <c:grouping val="percentStacked"/>
        <c:varyColors val="1"/>
        <c:ser>
          <c:idx val="0"/>
          <c:order val="0"/>
          <c:tx>
            <c:v>Scope 1</c:v>
          </c:tx>
          <c:spPr>
            <a:solidFill>
              <a:srgbClr val="0C5E52"/>
            </a:solidFill>
            <a:ln cmpd="sng">
              <a:solidFill>
                <a:srgbClr val="000000"/>
              </a:solidFill>
            </a:ln>
          </c:spPr>
          <c:invertIfNegative val="1"/>
          <c:cat>
            <c:strRef>
              <c:f>'Visual Summary'!$B$22:$G$22</c:f>
              <c:strCache>
                <c:ptCount val="6"/>
                <c:pt idx="0">
                  <c:v>City of Albuquerque</c:v>
                </c:pt>
                <c:pt idx="1">
                  <c:v>Bernalillo</c:v>
                </c:pt>
                <c:pt idx="2">
                  <c:v>Sandoval</c:v>
                </c:pt>
                <c:pt idx="3">
                  <c:v>Torrance</c:v>
                </c:pt>
                <c:pt idx="4">
                  <c:v>Valencia</c:v>
                </c:pt>
                <c:pt idx="5">
                  <c:v>Total</c:v>
                </c:pt>
              </c:strCache>
            </c:strRef>
          </c:cat>
          <c:val>
            <c:numRef>
              <c:f>'Visual Summary'!$B$23:$G$23</c:f>
              <c:numCache>
                <c:formatCode>#,##0_);\(#,##0\)</c:formatCode>
                <c:ptCount val="6"/>
                <c:pt idx="0">
                  <c:v>4112962.4387353244</c:v>
                </c:pt>
                <c:pt idx="1">
                  <c:v>5839109.7776345816</c:v>
                </c:pt>
                <c:pt idx="2">
                  <c:v>1247314.4743895091</c:v>
                </c:pt>
                <c:pt idx="3">
                  <c:v>345697.433504991</c:v>
                </c:pt>
                <c:pt idx="4">
                  <c:v>578305.17524846049</c:v>
                </c:pt>
                <c:pt idx="5">
                  <c:v>8010426.860777542</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A7A3-4820-9576-9CA79233AA1F}"/>
            </c:ext>
          </c:extLst>
        </c:ser>
        <c:ser>
          <c:idx val="1"/>
          <c:order val="1"/>
          <c:tx>
            <c:v>Scope 2</c:v>
          </c:tx>
          <c:spPr>
            <a:solidFill>
              <a:srgbClr val="448291"/>
            </a:solidFill>
            <a:ln cmpd="sng">
              <a:solidFill>
                <a:srgbClr val="000000"/>
              </a:solidFill>
            </a:ln>
          </c:spPr>
          <c:invertIfNegative val="1"/>
          <c:cat>
            <c:strRef>
              <c:f>'Visual Summary'!$B$22:$G$22</c:f>
              <c:strCache>
                <c:ptCount val="6"/>
                <c:pt idx="0">
                  <c:v>City of Albuquerque</c:v>
                </c:pt>
                <c:pt idx="1">
                  <c:v>Bernalillo</c:v>
                </c:pt>
                <c:pt idx="2">
                  <c:v>Sandoval</c:v>
                </c:pt>
                <c:pt idx="3">
                  <c:v>Torrance</c:v>
                </c:pt>
                <c:pt idx="4">
                  <c:v>Valencia</c:v>
                </c:pt>
                <c:pt idx="5">
                  <c:v>Total</c:v>
                </c:pt>
              </c:strCache>
            </c:strRef>
          </c:cat>
          <c:val>
            <c:numRef>
              <c:f>'Visual Summary'!$B$24:$G$24</c:f>
              <c:numCache>
                <c:formatCode>#,##0_);\(#,##0\)</c:formatCode>
                <c:ptCount val="6"/>
                <c:pt idx="0">
                  <c:v>994939.62821341818</c:v>
                </c:pt>
                <c:pt idx="1">
                  <c:v>1220427.4420006776</c:v>
                </c:pt>
                <c:pt idx="2">
                  <c:v>221418.95973599801</c:v>
                </c:pt>
                <c:pt idx="3">
                  <c:v>129991.55706511979</c:v>
                </c:pt>
                <c:pt idx="4">
                  <c:v>119380.70581178389</c:v>
                </c:pt>
                <c:pt idx="5">
                  <c:v>1691218.6646135794</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A7A3-4820-9576-9CA79233AA1F}"/>
            </c:ext>
          </c:extLst>
        </c:ser>
        <c:ser>
          <c:idx val="2"/>
          <c:order val="2"/>
          <c:tx>
            <c:v>Scope 3</c:v>
          </c:tx>
          <c:spPr>
            <a:solidFill>
              <a:srgbClr val="585453"/>
            </a:solidFill>
            <a:ln cmpd="sng">
              <a:solidFill>
                <a:srgbClr val="000000"/>
              </a:solidFill>
            </a:ln>
          </c:spPr>
          <c:invertIfNegative val="1"/>
          <c:cat>
            <c:strRef>
              <c:f>'Visual Summary'!$B$22:$G$22</c:f>
              <c:strCache>
                <c:ptCount val="6"/>
                <c:pt idx="0">
                  <c:v>City of Albuquerque</c:v>
                </c:pt>
                <c:pt idx="1">
                  <c:v>Bernalillo</c:v>
                </c:pt>
                <c:pt idx="2">
                  <c:v>Sandoval</c:v>
                </c:pt>
                <c:pt idx="3">
                  <c:v>Torrance</c:v>
                </c:pt>
                <c:pt idx="4">
                  <c:v>Valencia</c:v>
                </c:pt>
                <c:pt idx="5">
                  <c:v>Total</c:v>
                </c:pt>
              </c:strCache>
            </c:strRef>
          </c:cat>
          <c:val>
            <c:numRef>
              <c:f>'Visual Summary'!$B$25:$G$25</c:f>
              <c:numCache>
                <c:formatCode>#,##0_);\(#,##0\)</c:formatCode>
                <c:ptCount val="6"/>
                <c:pt idx="0">
                  <c:v>415323.55580996751</c:v>
                </c:pt>
                <c:pt idx="1">
                  <c:v>287085.52691092808</c:v>
                </c:pt>
                <c:pt idx="2">
                  <c:v>6224.3567770941654</c:v>
                </c:pt>
                <c:pt idx="3">
                  <c:v>4669.8779601804399</c:v>
                </c:pt>
                <c:pt idx="4">
                  <c:v>3330.9692765482887</c:v>
                </c:pt>
                <c:pt idx="5">
                  <c:v>301310.73092475103</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2-A7A3-4820-9576-9CA79233AA1F}"/>
            </c:ext>
          </c:extLst>
        </c:ser>
        <c:dLbls>
          <c:showLegendKey val="0"/>
          <c:showVal val="0"/>
          <c:showCatName val="0"/>
          <c:showSerName val="0"/>
          <c:showPercent val="0"/>
          <c:showBubbleSize val="0"/>
        </c:dLbls>
        <c:gapWidth val="150"/>
        <c:overlap val="100"/>
        <c:axId val="1389792741"/>
        <c:axId val="41064846"/>
      </c:barChart>
      <c:catAx>
        <c:axId val="1389792741"/>
        <c:scaling>
          <c:orientation val="minMax"/>
        </c:scaling>
        <c:delete val="0"/>
        <c:axPos val="b"/>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txPr>
          <a:bodyPr/>
          <a:lstStyle/>
          <a:p>
            <a:pPr lvl="0">
              <a:defRPr sz="1200" b="0" i="0">
                <a:solidFill>
                  <a:srgbClr val="000000"/>
                </a:solidFill>
                <a:latin typeface="Poppins"/>
              </a:defRPr>
            </a:pPr>
            <a:endParaRPr lang="en-US"/>
          </a:p>
        </c:txPr>
        <c:crossAx val="41064846"/>
        <c:crosses val="autoZero"/>
        <c:auto val="1"/>
        <c:lblAlgn val="ctr"/>
        <c:lblOffset val="100"/>
        <c:noMultiLvlLbl val="1"/>
      </c:catAx>
      <c:valAx>
        <c:axId val="41064846"/>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n-US"/>
              </a:p>
            </c:rich>
          </c:tx>
          <c:overlay val="0"/>
        </c:title>
        <c:numFmt formatCode="0%" sourceLinked="0"/>
        <c:majorTickMark val="none"/>
        <c:minorTickMark val="none"/>
        <c:tickLblPos val="nextTo"/>
        <c:spPr>
          <a:ln/>
        </c:spPr>
        <c:txPr>
          <a:bodyPr/>
          <a:lstStyle/>
          <a:p>
            <a:pPr lvl="0">
              <a:defRPr sz="1200" b="0" i="0">
                <a:solidFill>
                  <a:srgbClr val="000000"/>
                </a:solidFill>
                <a:latin typeface="Poppins"/>
              </a:defRPr>
            </a:pPr>
            <a:endParaRPr lang="en-US"/>
          </a:p>
        </c:txPr>
        <c:crossAx val="1389792741"/>
        <c:crosses val="autoZero"/>
        <c:crossBetween val="between"/>
      </c:valAx>
    </c:plotArea>
    <c:legend>
      <c:legendPos val="b"/>
      <c:overlay val="0"/>
      <c:txPr>
        <a:bodyPr/>
        <a:lstStyle/>
        <a:p>
          <a:pPr lvl="0">
            <a:defRPr b="1" i="0">
              <a:solidFill>
                <a:srgbClr val="000000"/>
              </a:solidFill>
              <a:latin typeface="+mn-lt"/>
            </a:defRPr>
          </a:pPr>
          <a:endParaRPr lang="en-US"/>
        </a:p>
      </c:txPr>
    </c:legend>
    <c:plotVisOnly val="1"/>
    <c:dispBlanksAs val="zero"/>
    <c:showDLblsOverMax val="1"/>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lvl="0">
              <a:defRPr sz="1600" b="1" i="0">
                <a:solidFill>
                  <a:srgbClr val="000000"/>
                </a:solidFill>
                <a:latin typeface="+mn-lt"/>
              </a:defRPr>
            </a:pPr>
            <a:r>
              <a:rPr sz="1600" b="1" i="0">
                <a:solidFill>
                  <a:srgbClr val="000000"/>
                </a:solidFill>
                <a:latin typeface="+mn-lt"/>
              </a:rPr>
              <a:t>Emissions by Community and Source (mt CO2e)</a:t>
            </a:r>
          </a:p>
        </c:rich>
      </c:tx>
      <c:overlay val="0"/>
    </c:title>
    <c:autoTitleDeleted val="0"/>
    <c:plotArea>
      <c:layout>
        <c:manualLayout>
          <c:xMode val="edge"/>
          <c:yMode val="edge"/>
          <c:x val="0.10781279645220485"/>
          <c:y val="0.11970051953444107"/>
          <c:w val="0.63089388622318276"/>
          <c:h val="0.73766091607959783"/>
        </c:manualLayout>
      </c:layout>
      <c:barChart>
        <c:barDir val="bar"/>
        <c:grouping val="stacked"/>
        <c:varyColors val="1"/>
        <c:ser>
          <c:idx val="0"/>
          <c:order val="0"/>
          <c:tx>
            <c:v>Electricity</c:v>
          </c:tx>
          <c:spPr>
            <a:solidFill>
              <a:srgbClr val="448291"/>
            </a:solidFill>
            <a:ln cmpd="sng">
              <a:solidFill>
                <a:srgbClr val="000000"/>
              </a:solidFill>
            </a:ln>
          </c:spPr>
          <c:invertIfNegative val="1"/>
          <c:cat>
            <c:strRef>
              <c:f>'Visual Summary'!$B$45:$G$45</c:f>
              <c:strCache>
                <c:ptCount val="6"/>
                <c:pt idx="0">
                  <c:v>City of Albuquerque</c:v>
                </c:pt>
                <c:pt idx="1">
                  <c:v>Bernalillo</c:v>
                </c:pt>
                <c:pt idx="2">
                  <c:v>Sandoval</c:v>
                </c:pt>
                <c:pt idx="3">
                  <c:v>Torrance</c:v>
                </c:pt>
                <c:pt idx="4">
                  <c:v>Valencia</c:v>
                </c:pt>
                <c:pt idx="5">
                  <c:v>Total MSA</c:v>
                </c:pt>
              </c:strCache>
            </c:strRef>
          </c:cat>
          <c:val>
            <c:numRef>
              <c:f>'Visual Summary'!$B$46:$G$46</c:f>
              <c:numCache>
                <c:formatCode>#,##0_);\(#,##0\)</c:formatCode>
                <c:ptCount val="6"/>
                <c:pt idx="0">
                  <c:v>987528.6662180156</c:v>
                </c:pt>
                <c:pt idx="1">
                  <c:v>1212396.8176889275</c:v>
                </c:pt>
                <c:pt idx="2">
                  <c:v>219561.31878066956</c:v>
                </c:pt>
                <c:pt idx="3">
                  <c:v>129954.64500862057</c:v>
                </c:pt>
                <c:pt idx="4">
                  <c:v>118984.42212488731</c:v>
                </c:pt>
                <c:pt idx="5">
                  <c:v>1680897.2036031049</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D468-4C80-85AE-C3D892E5C2EE}"/>
            </c:ext>
          </c:extLst>
        </c:ser>
        <c:ser>
          <c:idx val="1"/>
          <c:order val="1"/>
          <c:tx>
            <c:v>Natural Gas</c:v>
          </c:tx>
          <c:spPr>
            <a:solidFill>
              <a:srgbClr val="7A673C"/>
            </a:solidFill>
            <a:ln cmpd="sng">
              <a:solidFill>
                <a:srgbClr val="000000"/>
              </a:solidFill>
            </a:ln>
          </c:spPr>
          <c:invertIfNegative val="1"/>
          <c:cat>
            <c:strRef>
              <c:f>'Visual Summary'!$B$45:$G$45</c:f>
              <c:strCache>
                <c:ptCount val="6"/>
                <c:pt idx="0">
                  <c:v>City of Albuquerque</c:v>
                </c:pt>
                <c:pt idx="1">
                  <c:v>Bernalillo</c:v>
                </c:pt>
                <c:pt idx="2">
                  <c:v>Sandoval</c:v>
                </c:pt>
                <c:pt idx="3">
                  <c:v>Torrance</c:v>
                </c:pt>
                <c:pt idx="4">
                  <c:v>Valencia</c:v>
                </c:pt>
                <c:pt idx="5">
                  <c:v>Total MSA</c:v>
                </c:pt>
              </c:strCache>
            </c:strRef>
          </c:cat>
          <c:val>
            <c:numRef>
              <c:f>'Visual Summary'!$B$47:$G$47</c:f>
              <c:numCache>
                <c:formatCode>#,##0_);\(#,##0\)</c:formatCode>
                <c:ptCount val="6"/>
                <c:pt idx="0">
                  <c:v>2027036.4164636249</c:v>
                </c:pt>
                <c:pt idx="1">
                  <c:v>2048231.4551218757</c:v>
                </c:pt>
                <c:pt idx="2">
                  <c:v>269579.91565794119</c:v>
                </c:pt>
                <c:pt idx="3">
                  <c:v>24712.40569067925</c:v>
                </c:pt>
                <c:pt idx="4">
                  <c:v>100024.44834162401</c:v>
                </c:pt>
                <c:pt idx="5">
                  <c:v>2442548.2248121202</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D468-4C80-85AE-C3D892E5C2EE}"/>
            </c:ext>
          </c:extLst>
        </c:ser>
        <c:ser>
          <c:idx val="2"/>
          <c:order val="2"/>
          <c:tx>
            <c:v>Propane</c:v>
          </c:tx>
          <c:spPr>
            <a:solidFill>
              <a:srgbClr val="0C5E52"/>
            </a:solidFill>
            <a:ln cmpd="sng">
              <a:solidFill>
                <a:srgbClr val="000000"/>
              </a:solidFill>
            </a:ln>
          </c:spPr>
          <c:invertIfNegative val="1"/>
          <c:cat>
            <c:strRef>
              <c:f>'Visual Summary'!$B$45:$G$45</c:f>
              <c:strCache>
                <c:ptCount val="6"/>
                <c:pt idx="0">
                  <c:v>City of Albuquerque</c:v>
                </c:pt>
                <c:pt idx="1">
                  <c:v>Bernalillo</c:v>
                </c:pt>
                <c:pt idx="2">
                  <c:v>Sandoval</c:v>
                </c:pt>
                <c:pt idx="3">
                  <c:v>Torrance</c:v>
                </c:pt>
                <c:pt idx="4">
                  <c:v>Valencia</c:v>
                </c:pt>
                <c:pt idx="5">
                  <c:v>Total MSA</c:v>
                </c:pt>
              </c:strCache>
            </c:strRef>
          </c:cat>
          <c:val>
            <c:numRef>
              <c:f>'Visual Summary'!$B$48:$G$48</c:f>
              <c:numCache>
                <c:formatCode>#,##0_);\(#,##0\)</c:formatCode>
                <c:ptCount val="6"/>
                <c:pt idx="0">
                  <c:v>6145.0806318442628</c:v>
                </c:pt>
                <c:pt idx="1">
                  <c:v>16929.752792262298</c:v>
                </c:pt>
                <c:pt idx="2">
                  <c:v>6104.6016522065584</c:v>
                </c:pt>
                <c:pt idx="3">
                  <c:v>1063.4741440049183</c:v>
                </c:pt>
                <c:pt idx="4">
                  <c:v>6465.787278939345</c:v>
                </c:pt>
                <c:pt idx="5">
                  <c:v>30563.615867413118</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2-D468-4C80-85AE-C3D892E5C2EE}"/>
            </c:ext>
          </c:extLst>
        </c:ser>
        <c:ser>
          <c:idx val="3"/>
          <c:order val="3"/>
          <c:tx>
            <c:v>Wood</c:v>
          </c:tx>
          <c:spPr>
            <a:solidFill>
              <a:srgbClr val="9F481B"/>
            </a:solidFill>
            <a:ln cmpd="sng">
              <a:solidFill>
                <a:srgbClr val="000000"/>
              </a:solidFill>
            </a:ln>
          </c:spPr>
          <c:invertIfNegative val="1"/>
          <c:cat>
            <c:strRef>
              <c:f>'Visual Summary'!$B$45:$G$45</c:f>
              <c:strCache>
                <c:ptCount val="6"/>
                <c:pt idx="0">
                  <c:v>City of Albuquerque</c:v>
                </c:pt>
                <c:pt idx="1">
                  <c:v>Bernalillo</c:v>
                </c:pt>
                <c:pt idx="2">
                  <c:v>Sandoval</c:v>
                </c:pt>
                <c:pt idx="3">
                  <c:v>Torrance</c:v>
                </c:pt>
                <c:pt idx="4">
                  <c:v>Valencia</c:v>
                </c:pt>
                <c:pt idx="5">
                  <c:v>Total MSA</c:v>
                </c:pt>
              </c:strCache>
            </c:strRef>
          </c:cat>
          <c:val>
            <c:numRef>
              <c:f>'Visual Summary'!$B$49:$G$49</c:f>
              <c:numCache>
                <c:formatCode>#,##0_);\(#,##0\)</c:formatCode>
                <c:ptCount val="6"/>
                <c:pt idx="0">
                  <c:v>16.13682</c:v>
                </c:pt>
                <c:pt idx="1">
                  <c:v>42.862183000000002</c:v>
                </c:pt>
                <c:pt idx="2">
                  <c:v>24.822811999999999</c:v>
                </c:pt>
                <c:pt idx="3">
                  <c:v>12.819806999999999</c:v>
                </c:pt>
                <c:pt idx="4">
                  <c:v>22.362445000000001</c:v>
                </c:pt>
                <c:pt idx="5">
                  <c:v>102.86724699999999</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3-D468-4C80-85AE-C3D892E5C2EE}"/>
            </c:ext>
          </c:extLst>
        </c:ser>
        <c:ser>
          <c:idx val="4"/>
          <c:order val="4"/>
          <c:tx>
            <c:v>Natural Gas Fugitive Emissions</c:v>
          </c:tx>
          <c:spPr>
            <a:solidFill>
              <a:srgbClr val="585453"/>
            </a:solidFill>
            <a:ln cmpd="sng">
              <a:solidFill>
                <a:srgbClr val="000000"/>
              </a:solidFill>
            </a:ln>
          </c:spPr>
          <c:invertIfNegative val="1"/>
          <c:cat>
            <c:strRef>
              <c:f>'Visual Summary'!$B$45:$G$45</c:f>
              <c:strCache>
                <c:ptCount val="6"/>
                <c:pt idx="0">
                  <c:v>City of Albuquerque</c:v>
                </c:pt>
                <c:pt idx="1">
                  <c:v>Bernalillo</c:v>
                </c:pt>
                <c:pt idx="2">
                  <c:v>Sandoval</c:v>
                </c:pt>
                <c:pt idx="3">
                  <c:v>Torrance</c:v>
                </c:pt>
                <c:pt idx="4">
                  <c:v>Valencia</c:v>
                </c:pt>
                <c:pt idx="5">
                  <c:v>Total MSA</c:v>
                </c:pt>
              </c:strCache>
            </c:strRef>
          </c:cat>
          <c:val>
            <c:numRef>
              <c:f>'Visual Summary'!$B$50:$G$50</c:f>
              <c:numCache>
                <c:formatCode>#,##0_);\(#,##0\)</c:formatCode>
                <c:ptCount val="6"/>
                <c:pt idx="0">
                  <c:v>66013.197738110437</c:v>
                </c:pt>
                <c:pt idx="1">
                  <c:v>66703.442997963735</c:v>
                </c:pt>
                <c:pt idx="2">
                  <c:v>8779.2365909229611</c:v>
                </c:pt>
                <c:pt idx="3">
                  <c:v>804.79310099878001</c:v>
                </c:pt>
                <c:pt idx="4">
                  <c:v>3257.4321967735245</c:v>
                </c:pt>
                <c:pt idx="5">
                  <c:v>79544.904886659002</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4-D468-4C80-85AE-C3D892E5C2EE}"/>
            </c:ext>
          </c:extLst>
        </c:ser>
        <c:ser>
          <c:idx val="5"/>
          <c:order val="5"/>
          <c:tx>
            <c:v>Transmission &amp; Distribution Losses</c:v>
          </c:tx>
          <c:spPr>
            <a:solidFill>
              <a:srgbClr val="5F751C"/>
            </a:solidFill>
            <a:ln cmpd="sng">
              <a:solidFill>
                <a:srgbClr val="000000"/>
              </a:solidFill>
            </a:ln>
          </c:spPr>
          <c:invertIfNegative val="1"/>
          <c:cat>
            <c:strRef>
              <c:f>'Visual Summary'!$B$45:$G$45</c:f>
              <c:strCache>
                <c:ptCount val="6"/>
                <c:pt idx="0">
                  <c:v>City of Albuquerque</c:v>
                </c:pt>
                <c:pt idx="1">
                  <c:v>Bernalillo</c:v>
                </c:pt>
                <c:pt idx="2">
                  <c:v>Sandoval</c:v>
                </c:pt>
                <c:pt idx="3">
                  <c:v>Torrance</c:v>
                </c:pt>
                <c:pt idx="4">
                  <c:v>Valencia</c:v>
                </c:pt>
                <c:pt idx="5">
                  <c:v>Total MSA</c:v>
                </c:pt>
              </c:strCache>
            </c:strRef>
          </c:cat>
          <c:val>
            <c:numRef>
              <c:f>'Visual Summary'!$B$51:$G$51</c:f>
              <c:numCache>
                <c:formatCode>#,##0_);\(#,##0\)</c:formatCode>
                <c:ptCount val="6"/>
                <c:pt idx="0">
                  <c:v>26465.768254642815</c:v>
                </c:pt>
                <c:pt idx="1">
                  <c:v>33013.412489092647</c:v>
                </c:pt>
                <c:pt idx="2">
                  <c:v>6173.5146888523595</c:v>
                </c:pt>
                <c:pt idx="3">
                  <c:v>4668.5519140663509</c:v>
                </c:pt>
                <c:pt idx="4">
                  <c:v>3320.1617600930649</c:v>
                </c:pt>
                <c:pt idx="5">
                  <c:v>47175.640852104421</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5-D468-4C80-85AE-C3D892E5C2EE}"/>
            </c:ext>
          </c:extLst>
        </c:ser>
        <c:ser>
          <c:idx val="6"/>
          <c:order val="6"/>
          <c:tx>
            <c:v>On-Road Fossil Fuel</c:v>
          </c:tx>
          <c:spPr>
            <a:solidFill>
              <a:srgbClr val="005569"/>
            </a:solidFill>
            <a:ln cmpd="sng">
              <a:solidFill>
                <a:srgbClr val="000000"/>
              </a:solidFill>
            </a:ln>
          </c:spPr>
          <c:invertIfNegative val="1"/>
          <c:cat>
            <c:strRef>
              <c:f>'Visual Summary'!$B$45:$G$45</c:f>
              <c:strCache>
                <c:ptCount val="6"/>
                <c:pt idx="0">
                  <c:v>City of Albuquerque</c:v>
                </c:pt>
                <c:pt idx="1">
                  <c:v>Bernalillo</c:v>
                </c:pt>
                <c:pt idx="2">
                  <c:v>Sandoval</c:v>
                </c:pt>
                <c:pt idx="3">
                  <c:v>Torrance</c:v>
                </c:pt>
                <c:pt idx="4">
                  <c:v>Valencia</c:v>
                </c:pt>
                <c:pt idx="5">
                  <c:v>Total MSA</c:v>
                </c:pt>
              </c:strCache>
            </c:strRef>
          </c:cat>
          <c:val>
            <c:numRef>
              <c:f>'Visual Summary'!$B$52:$G$52</c:f>
              <c:numCache>
                <c:formatCode>#,##0_);\(#,##0\)</c:formatCode>
                <c:ptCount val="6"/>
                <c:pt idx="0">
                  <c:v>1789334.2677238872</c:v>
                </c:pt>
                <c:pt idx="1">
                  <c:v>2360967.4784859195</c:v>
                </c:pt>
                <c:pt idx="2">
                  <c:v>616620.66545622272</c:v>
                </c:pt>
                <c:pt idx="3">
                  <c:v>261263.02352377659</c:v>
                </c:pt>
                <c:pt idx="4">
                  <c:v>229053.68304265582</c:v>
                </c:pt>
                <c:pt idx="5">
                  <c:v>3467904.8505085749</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6-D468-4C80-85AE-C3D892E5C2EE}"/>
            </c:ext>
          </c:extLst>
        </c:ser>
        <c:ser>
          <c:idx val="7"/>
          <c:order val="7"/>
          <c:tx>
            <c:v>Electric Vehicles</c:v>
          </c:tx>
          <c:spPr>
            <a:solidFill>
              <a:srgbClr val="79C2DC"/>
            </a:solidFill>
            <a:ln cmpd="sng">
              <a:solidFill>
                <a:srgbClr val="000000"/>
              </a:solidFill>
            </a:ln>
          </c:spPr>
          <c:invertIfNegative val="1"/>
          <c:cat>
            <c:strRef>
              <c:f>'Visual Summary'!$B$45:$G$45</c:f>
              <c:strCache>
                <c:ptCount val="6"/>
                <c:pt idx="0">
                  <c:v>City of Albuquerque</c:v>
                </c:pt>
                <c:pt idx="1">
                  <c:v>Bernalillo</c:v>
                </c:pt>
                <c:pt idx="2">
                  <c:v>Sandoval</c:v>
                </c:pt>
                <c:pt idx="3">
                  <c:v>Torrance</c:v>
                </c:pt>
                <c:pt idx="4">
                  <c:v>Valencia</c:v>
                </c:pt>
                <c:pt idx="5">
                  <c:v>Total MSA</c:v>
                </c:pt>
              </c:strCache>
            </c:strRef>
          </c:cat>
          <c:val>
            <c:numRef>
              <c:f>'Visual Summary'!$B$53:$G$53</c:f>
              <c:numCache>
                <c:formatCode>#,##0_);\(#,##0\)</c:formatCode>
                <c:ptCount val="6"/>
                <c:pt idx="0">
                  <c:v>7388.038727467545</c:v>
                </c:pt>
                <c:pt idx="1">
                  <c:v>8007.7010438152029</c:v>
                </c:pt>
                <c:pt idx="2">
                  <c:v>1857.6409553284582</c:v>
                </c:pt>
                <c:pt idx="3">
                  <c:v>36.912056499215289</c:v>
                </c:pt>
                <c:pt idx="4">
                  <c:v>396.28368689658913</c:v>
                </c:pt>
                <c:pt idx="5">
                  <c:v>10298.537742539465</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7-D468-4C80-85AE-C3D892E5C2EE}"/>
            </c:ext>
          </c:extLst>
        </c:ser>
        <c:ser>
          <c:idx val="8"/>
          <c:order val="8"/>
          <c:tx>
            <c:v>Electric Vehicles T&amp;D Losses</c:v>
          </c:tx>
          <c:spPr>
            <a:solidFill>
              <a:srgbClr val="E9F1F4"/>
            </a:solidFill>
            <a:ln cmpd="sng">
              <a:solidFill>
                <a:srgbClr val="000000"/>
              </a:solidFill>
            </a:ln>
          </c:spPr>
          <c:invertIfNegative val="1"/>
          <c:cat>
            <c:strRef>
              <c:f>'Visual Summary'!$B$45:$G$45</c:f>
              <c:strCache>
                <c:ptCount val="6"/>
                <c:pt idx="0">
                  <c:v>City of Albuquerque</c:v>
                </c:pt>
                <c:pt idx="1">
                  <c:v>Bernalillo</c:v>
                </c:pt>
                <c:pt idx="2">
                  <c:v>Sandoval</c:v>
                </c:pt>
                <c:pt idx="3">
                  <c:v>Torrance</c:v>
                </c:pt>
                <c:pt idx="4">
                  <c:v>Valencia</c:v>
                </c:pt>
                <c:pt idx="5">
                  <c:v>Total MSA</c:v>
                </c:pt>
              </c:strCache>
            </c:strRef>
          </c:cat>
          <c:val>
            <c:numRef>
              <c:f>'Visual Summary'!$B$54:$G$54</c:f>
              <c:numCache>
                <c:formatCode>#,##0_);\(#,##0\)</c:formatCode>
                <c:ptCount val="6"/>
                <c:pt idx="0">
                  <c:v>197.99943789613022</c:v>
                </c:pt>
                <c:pt idx="1">
                  <c:v>216.00638093327544</c:v>
                </c:pt>
                <c:pt idx="2">
                  <c:v>50.842088241805953</c:v>
                </c:pt>
                <c:pt idx="3">
                  <c:v>1.3260461140893085</c:v>
                </c:pt>
                <c:pt idx="4">
                  <c:v>10.807516455223976</c:v>
                </c:pt>
                <c:pt idx="5">
                  <c:v>278.9820317443947</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8-D468-4C80-85AE-C3D892E5C2EE}"/>
            </c:ext>
          </c:extLst>
        </c:ser>
        <c:ser>
          <c:idx val="9"/>
          <c:order val="9"/>
          <c:tx>
            <c:v>Public Transit</c:v>
          </c:tx>
          <c:spPr>
            <a:solidFill>
              <a:srgbClr val="DCECCC"/>
            </a:solidFill>
            <a:ln cmpd="sng">
              <a:solidFill>
                <a:srgbClr val="000000"/>
              </a:solidFill>
            </a:ln>
          </c:spPr>
          <c:invertIfNegative val="1"/>
          <c:cat>
            <c:strRef>
              <c:f>'Visual Summary'!$B$45:$G$45</c:f>
              <c:strCache>
                <c:ptCount val="6"/>
                <c:pt idx="0">
                  <c:v>City of Albuquerque</c:v>
                </c:pt>
                <c:pt idx="1">
                  <c:v>Bernalillo</c:v>
                </c:pt>
                <c:pt idx="2">
                  <c:v>Sandoval</c:v>
                </c:pt>
                <c:pt idx="3">
                  <c:v>Torrance</c:v>
                </c:pt>
                <c:pt idx="4">
                  <c:v>Valencia</c:v>
                </c:pt>
                <c:pt idx="5">
                  <c:v>Total MSA</c:v>
                </c:pt>
              </c:strCache>
            </c:strRef>
          </c:cat>
          <c:val>
            <c:numRef>
              <c:f>'Visual Summary'!$B$55:$G$55</c:f>
              <c:numCache>
                <c:formatCode>#,##0_);\(#,##0\)</c:formatCode>
                <c:ptCount val="6"/>
                <c:pt idx="0">
                  <c:v>10881.175140508007</c:v>
                </c:pt>
                <c:pt idx="1">
                  <c:v>10973.189929590135</c:v>
                </c:pt>
                <c:pt idx="2">
                  <c:v>597.66495907857188</c:v>
                </c:pt>
                <c:pt idx="3">
                  <c:v>0</c:v>
                </c:pt>
                <c:pt idx="4">
                  <c:v>605.93503775015995</c:v>
                </c:pt>
                <c:pt idx="5">
                  <c:v>23978.041616818868</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9-D468-4C80-85AE-C3D892E5C2EE}"/>
            </c:ext>
          </c:extLst>
        </c:ser>
        <c:ser>
          <c:idx val="10"/>
          <c:order val="10"/>
          <c:tx>
            <c:v>Public Transit Electricity Use</c:v>
          </c:tx>
          <c:spPr>
            <a:solidFill>
              <a:srgbClr val="9BC598"/>
            </a:solidFill>
            <a:ln cmpd="sng">
              <a:solidFill>
                <a:srgbClr val="000000"/>
              </a:solidFill>
            </a:ln>
          </c:spPr>
          <c:invertIfNegative val="1"/>
          <c:cat>
            <c:strRef>
              <c:f>'Visual Summary'!$B$45:$G$45</c:f>
              <c:strCache>
                <c:ptCount val="6"/>
                <c:pt idx="0">
                  <c:v>City of Albuquerque</c:v>
                </c:pt>
                <c:pt idx="1">
                  <c:v>Bernalillo</c:v>
                </c:pt>
                <c:pt idx="2">
                  <c:v>Sandoval</c:v>
                </c:pt>
                <c:pt idx="3">
                  <c:v>Torrance</c:v>
                </c:pt>
                <c:pt idx="4">
                  <c:v>Valencia</c:v>
                </c:pt>
                <c:pt idx="5">
                  <c:v>Total MSA</c:v>
                </c:pt>
              </c:strCache>
            </c:strRef>
          </c:cat>
          <c:val>
            <c:numRef>
              <c:f>'Visual Summary'!$B$56:$G$56</c:f>
              <c:numCache>
                <c:formatCode>#,##0_);\(#,##0\)</c:formatCode>
                <c:ptCount val="6"/>
                <c:pt idx="0">
                  <c:v>23.537611515685484</c:v>
                </c:pt>
                <c:pt idx="1">
                  <c:v>23.537611515685484</c:v>
                </c:pt>
                <c:pt idx="2">
                  <c:v>0</c:v>
                </c:pt>
                <c:pt idx="3">
                  <c:v>0</c:v>
                </c:pt>
                <c:pt idx="4">
                  <c:v>0</c:v>
                </c:pt>
                <c:pt idx="5">
                  <c:v>23.537611515685484</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A-D468-4C80-85AE-C3D892E5C2EE}"/>
            </c:ext>
          </c:extLst>
        </c:ser>
        <c:ser>
          <c:idx val="11"/>
          <c:order val="11"/>
          <c:tx>
            <c:v>Local Aviation</c:v>
          </c:tx>
          <c:spPr>
            <a:solidFill>
              <a:srgbClr val="FFFFFF"/>
            </a:solidFill>
            <a:ln cmpd="sng">
              <a:solidFill>
                <a:srgbClr val="000000"/>
              </a:solidFill>
            </a:ln>
          </c:spPr>
          <c:invertIfNegative val="1"/>
          <c:cat>
            <c:strRef>
              <c:f>'Visual Summary'!$B$45:$G$45</c:f>
              <c:strCache>
                <c:ptCount val="6"/>
                <c:pt idx="0">
                  <c:v>City of Albuquerque</c:v>
                </c:pt>
                <c:pt idx="1">
                  <c:v>Bernalillo</c:v>
                </c:pt>
                <c:pt idx="2">
                  <c:v>Sandoval</c:v>
                </c:pt>
                <c:pt idx="3">
                  <c:v>Torrance</c:v>
                </c:pt>
                <c:pt idx="4">
                  <c:v>Valencia</c:v>
                </c:pt>
                <c:pt idx="5">
                  <c:v>Total MSA</c:v>
                </c:pt>
              </c:strCache>
            </c:strRef>
          </c:cat>
          <c:val>
            <c:numRef>
              <c:f>'Visual Summary'!$B$57:$G$57</c:f>
              <c:numCache>
                <c:formatCode>#,##0_);\(#,##0\)</c:formatCode>
                <c:ptCount val="6"/>
                <c:pt idx="0">
                  <c:v>28249.864606659077</c:v>
                </c:pt>
                <c:pt idx="1">
                  <c:v>28249.864606659077</c:v>
                </c:pt>
                <c:pt idx="2">
                  <c:v>0</c:v>
                </c:pt>
                <c:pt idx="3">
                  <c:v>0</c:v>
                </c:pt>
                <c:pt idx="4">
                  <c:v>0</c:v>
                </c:pt>
                <c:pt idx="5">
                  <c:v>28249.864606659077</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B-D468-4C80-85AE-C3D892E5C2EE}"/>
            </c:ext>
          </c:extLst>
        </c:ser>
        <c:ser>
          <c:idx val="12"/>
          <c:order val="12"/>
          <c:tx>
            <c:v>Itinerant Aviation</c:v>
          </c:tx>
          <c:spPr>
            <a:solidFill>
              <a:srgbClr val="FFFFFF"/>
            </a:solidFill>
            <a:ln cmpd="sng">
              <a:solidFill>
                <a:srgbClr val="000000"/>
              </a:solidFill>
            </a:ln>
          </c:spPr>
          <c:invertIfNegative val="1"/>
          <c:cat>
            <c:strRef>
              <c:f>'Visual Summary'!$B$45:$G$45</c:f>
              <c:strCache>
                <c:ptCount val="6"/>
                <c:pt idx="0">
                  <c:v>City of Albuquerque</c:v>
                </c:pt>
                <c:pt idx="1">
                  <c:v>Bernalillo</c:v>
                </c:pt>
                <c:pt idx="2">
                  <c:v>Sandoval</c:v>
                </c:pt>
                <c:pt idx="3">
                  <c:v>Torrance</c:v>
                </c:pt>
                <c:pt idx="4">
                  <c:v>Valencia</c:v>
                </c:pt>
                <c:pt idx="5">
                  <c:v>Total MSA</c:v>
                </c:pt>
              </c:strCache>
            </c:strRef>
          </c:cat>
          <c:val>
            <c:numRef>
              <c:f>'Visual Summary'!$B$58:$G$58</c:f>
              <c:numCache>
                <c:formatCode>#,##0_);\(#,##0\)</c:formatCode>
                <c:ptCount val="6"/>
                <c:pt idx="0">
                  <c:v>253855.49369732151</c:v>
                </c:pt>
                <c:pt idx="1">
                  <c:v>253855.49369732151</c:v>
                </c:pt>
                <c:pt idx="2">
                  <c:v>0</c:v>
                </c:pt>
                <c:pt idx="3">
                  <c:v>0</c:v>
                </c:pt>
                <c:pt idx="4">
                  <c:v>0</c:v>
                </c:pt>
                <c:pt idx="5">
                  <c:v>253855.49369732151</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C-D468-4C80-85AE-C3D892E5C2EE}"/>
            </c:ext>
          </c:extLst>
        </c:ser>
        <c:ser>
          <c:idx val="13"/>
          <c:order val="13"/>
          <c:tx>
            <c:v>Off-Road Vehicles</c:v>
          </c:tx>
          <c:spPr>
            <a:solidFill>
              <a:srgbClr val="F2F9FC"/>
            </a:solidFill>
            <a:ln cmpd="sng">
              <a:solidFill>
                <a:srgbClr val="000000"/>
              </a:solidFill>
            </a:ln>
          </c:spPr>
          <c:invertIfNegative val="1"/>
          <c:cat>
            <c:strRef>
              <c:f>'Visual Summary'!$B$45:$G$45</c:f>
              <c:strCache>
                <c:ptCount val="6"/>
                <c:pt idx="0">
                  <c:v>City of Albuquerque</c:v>
                </c:pt>
                <c:pt idx="1">
                  <c:v>Bernalillo</c:v>
                </c:pt>
                <c:pt idx="2">
                  <c:v>Sandoval</c:v>
                </c:pt>
                <c:pt idx="3">
                  <c:v>Torrance</c:v>
                </c:pt>
                <c:pt idx="4">
                  <c:v>Valencia</c:v>
                </c:pt>
                <c:pt idx="5">
                  <c:v>Total MSA</c:v>
                </c:pt>
              </c:strCache>
            </c:strRef>
          </c:cat>
          <c:val>
            <c:numRef>
              <c:f>'Visual Summary'!$B$59:$G$59</c:f>
              <c:numCache>
                <c:formatCode>#,##0_);\(#,##0\)</c:formatCode>
                <c:ptCount val="6"/>
                <c:pt idx="0">
                  <c:v>79004.937282497689</c:v>
                </c:pt>
                <c:pt idx="1">
                  <c:v>489904.86153308279</c:v>
                </c:pt>
                <c:pt idx="2">
                  <c:v>106643.84104664477</c:v>
                </c:pt>
                <c:pt idx="3">
                  <c:v>16681.795604508501</c:v>
                </c:pt>
                <c:pt idx="4">
                  <c:v>19166.497934357136</c:v>
                </c:pt>
                <c:pt idx="5">
                  <c:v>632396.99611859315</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D-D468-4C80-85AE-C3D892E5C2EE}"/>
            </c:ext>
          </c:extLst>
        </c:ser>
        <c:ser>
          <c:idx val="14"/>
          <c:order val="14"/>
          <c:tx>
            <c:v>Railways</c:v>
          </c:tx>
          <c:spPr>
            <a:solidFill>
              <a:srgbClr val="FFFFFF"/>
            </a:solidFill>
            <a:ln cmpd="sng">
              <a:solidFill>
                <a:srgbClr val="000000"/>
              </a:solidFill>
            </a:ln>
          </c:spPr>
          <c:invertIfNegative val="1"/>
          <c:cat>
            <c:strRef>
              <c:f>'Visual Summary'!$B$45:$G$45</c:f>
              <c:strCache>
                <c:ptCount val="6"/>
                <c:pt idx="0">
                  <c:v>City of Albuquerque</c:v>
                </c:pt>
                <c:pt idx="1">
                  <c:v>Bernalillo</c:v>
                </c:pt>
                <c:pt idx="2">
                  <c:v>Sandoval</c:v>
                </c:pt>
                <c:pt idx="3">
                  <c:v>Torrance</c:v>
                </c:pt>
                <c:pt idx="4">
                  <c:v>Valencia</c:v>
                </c:pt>
                <c:pt idx="5">
                  <c:v>Total MSA</c:v>
                </c:pt>
              </c:strCache>
            </c:strRef>
          </c:cat>
          <c:val>
            <c:numRef>
              <c:f>'Visual Summary'!$B$60:$G$60</c:f>
              <c:numCache>
                <c:formatCode>#,##0_);\(#,##0\)</c:formatCode>
                <c:ptCount val="6"/>
                <c:pt idx="0">
                  <c:v>263.88106699674921</c:v>
                </c:pt>
                <c:pt idx="1">
                  <c:v>441.98599065915096</c:v>
                </c:pt>
                <c:pt idx="2">
                  <c:v>507.53775280040867</c:v>
                </c:pt>
                <c:pt idx="3">
                  <c:v>144847.42741757038</c:v>
                </c:pt>
                <c:pt idx="4">
                  <c:v>108855.96252305277</c:v>
                </c:pt>
                <c:pt idx="5">
                  <c:v>242851.66199368268</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E-D468-4C80-85AE-C3D892E5C2EE}"/>
            </c:ext>
          </c:extLst>
        </c:ser>
        <c:ser>
          <c:idx val="15"/>
          <c:order val="15"/>
          <c:tx>
            <c:v>Landfilled Waste</c:v>
          </c:tx>
          <c:spPr>
            <a:solidFill>
              <a:srgbClr val="FFFFFF"/>
            </a:solidFill>
            <a:ln cmpd="sng">
              <a:solidFill>
                <a:srgbClr val="000000"/>
              </a:solidFill>
            </a:ln>
          </c:spPr>
          <c:invertIfNegative val="1"/>
          <c:cat>
            <c:strRef>
              <c:f>'Visual Summary'!$B$45:$G$45</c:f>
              <c:strCache>
                <c:ptCount val="6"/>
                <c:pt idx="0">
                  <c:v>City of Albuquerque</c:v>
                </c:pt>
                <c:pt idx="1">
                  <c:v>Bernalillo</c:v>
                </c:pt>
                <c:pt idx="2">
                  <c:v>Sandoval</c:v>
                </c:pt>
                <c:pt idx="3">
                  <c:v>Torrance</c:v>
                </c:pt>
                <c:pt idx="4">
                  <c:v>Valencia</c:v>
                </c:pt>
                <c:pt idx="5">
                  <c:v>Total MSA</c:v>
                </c:pt>
              </c:strCache>
            </c:strRef>
          </c:cat>
          <c:val>
            <c:numRef>
              <c:f>'Visual Summary'!$B$61:$G$61</c:f>
              <c:numCache>
                <c:formatCode>#,##0_);\(#,##0\)</c:formatCode>
                <c:ptCount val="6"/>
                <c:pt idx="0">
                  <c:v>134803.68007652636</c:v>
                </c:pt>
                <c:pt idx="1">
                  <c:v>335580.12755129451</c:v>
                </c:pt>
                <c:pt idx="2">
                  <c:v>132798.02499013249</c:v>
                </c:pt>
                <c:pt idx="3">
                  <c:v>11479.950052449298</c:v>
                </c:pt>
                <c:pt idx="4">
                  <c:v>0</c:v>
                </c:pt>
                <c:pt idx="5">
                  <c:v>479858.10259387631</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F-D468-4C80-85AE-C3D892E5C2EE}"/>
            </c:ext>
          </c:extLst>
        </c:ser>
        <c:ser>
          <c:idx val="16"/>
          <c:order val="16"/>
          <c:tx>
            <c:v>Compost</c:v>
          </c:tx>
          <c:spPr>
            <a:solidFill>
              <a:srgbClr val="FAFCFA"/>
            </a:solidFill>
            <a:ln cmpd="sng">
              <a:solidFill>
                <a:srgbClr val="000000"/>
              </a:solidFill>
            </a:ln>
          </c:spPr>
          <c:invertIfNegative val="1"/>
          <c:cat>
            <c:strRef>
              <c:f>'Visual Summary'!$B$45:$G$45</c:f>
              <c:strCache>
                <c:ptCount val="6"/>
                <c:pt idx="0">
                  <c:v>City of Albuquerque</c:v>
                </c:pt>
                <c:pt idx="1">
                  <c:v>Bernalillo</c:v>
                </c:pt>
                <c:pt idx="2">
                  <c:v>Sandoval</c:v>
                </c:pt>
                <c:pt idx="3">
                  <c:v>Torrance</c:v>
                </c:pt>
                <c:pt idx="4">
                  <c:v>Valencia</c:v>
                </c:pt>
                <c:pt idx="5">
                  <c:v>Total MSA</c:v>
                </c:pt>
              </c:strCache>
            </c:strRef>
          </c:cat>
          <c:val>
            <c:numRef>
              <c:f>'Visual Summary'!$B$62:$G$62</c:f>
              <c:numCache>
                <c:formatCode>#,##0_);\(#,##0\)</c:formatCode>
                <c:ptCount val="6"/>
                <c:pt idx="0">
                  <c:v>416.3541744966443</c:v>
                </c:pt>
                <c:pt idx="1">
                  <c:v>416.3541744966443</c:v>
                </c:pt>
                <c:pt idx="2">
                  <c:v>0</c:v>
                </c:pt>
                <c:pt idx="3">
                  <c:v>1809.9414042953022</c:v>
                </c:pt>
                <c:pt idx="4">
                  <c:v>0</c:v>
                </c:pt>
                <c:pt idx="5">
                  <c:v>2226.2955787919464</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10-D468-4C80-85AE-C3D892E5C2EE}"/>
            </c:ext>
          </c:extLst>
        </c:ser>
        <c:ser>
          <c:idx val="17"/>
          <c:order val="17"/>
          <c:tx>
            <c:v>Wastewater</c:v>
          </c:tx>
          <c:spPr>
            <a:solidFill>
              <a:srgbClr val="FFFFFF"/>
            </a:solidFill>
            <a:ln cmpd="sng">
              <a:solidFill>
                <a:srgbClr val="000000"/>
              </a:solidFill>
            </a:ln>
          </c:spPr>
          <c:invertIfNegative val="1"/>
          <c:cat>
            <c:strRef>
              <c:f>'Visual Summary'!$B$45:$G$45</c:f>
              <c:strCache>
                <c:ptCount val="6"/>
                <c:pt idx="0">
                  <c:v>City of Albuquerque</c:v>
                </c:pt>
                <c:pt idx="1">
                  <c:v>Bernalillo</c:v>
                </c:pt>
                <c:pt idx="2">
                  <c:v>Sandoval</c:v>
                </c:pt>
                <c:pt idx="3">
                  <c:v>Torrance</c:v>
                </c:pt>
                <c:pt idx="4">
                  <c:v>Valencia</c:v>
                </c:pt>
                <c:pt idx="5">
                  <c:v>Total MSA</c:v>
                </c:pt>
              </c:strCache>
            </c:strRef>
          </c:cat>
          <c:val>
            <c:numRef>
              <c:f>'Visual Summary'!$B$63:$G$63</c:f>
              <c:numCache>
                <c:formatCode>#,##0_);\(#,##0\)</c:formatCode>
                <c:ptCount val="6"/>
                <c:pt idx="0">
                  <c:v>1692.1514559397194</c:v>
                </c:pt>
                <c:pt idx="1">
                  <c:v>3842.6024202076096</c:v>
                </c:pt>
                <c:pt idx="2">
                  <c:v>5620.0164933315291</c:v>
                </c:pt>
                <c:pt idx="3">
                  <c:v>1847.1152422799998</c:v>
                </c:pt>
                <c:pt idx="4">
                  <c:v>9486.4670208000007</c:v>
                </c:pt>
                <c:pt idx="5">
                  <c:v>20796.201176619135</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11-D468-4C80-85AE-C3D892E5C2EE}"/>
            </c:ext>
          </c:extLst>
        </c:ser>
        <c:ser>
          <c:idx val="18"/>
          <c:order val="18"/>
          <c:tx>
            <c:v>IPPU</c:v>
          </c:tx>
          <c:spPr>
            <a:solidFill>
              <a:srgbClr val="FFFFFF"/>
            </a:solidFill>
            <a:ln cmpd="sng">
              <a:solidFill>
                <a:srgbClr val="000000"/>
              </a:solidFill>
            </a:ln>
          </c:spPr>
          <c:invertIfNegative val="1"/>
          <c:cat>
            <c:strRef>
              <c:f>'Visual Summary'!$B$45:$G$45</c:f>
              <c:strCache>
                <c:ptCount val="6"/>
                <c:pt idx="0">
                  <c:v>City of Albuquerque</c:v>
                </c:pt>
                <c:pt idx="1">
                  <c:v>Bernalillo</c:v>
                </c:pt>
                <c:pt idx="2">
                  <c:v>Sandoval</c:v>
                </c:pt>
                <c:pt idx="3">
                  <c:v>Torrance</c:v>
                </c:pt>
                <c:pt idx="4">
                  <c:v>Valencia</c:v>
                </c:pt>
                <c:pt idx="5">
                  <c:v>Total MSA</c:v>
                </c:pt>
              </c:strCache>
            </c:strRef>
          </c:cat>
          <c:val>
            <c:numRef>
              <c:f>'Visual Summary'!$B$64:$G$64</c:f>
              <c:numCache>
                <c:formatCode>#,##0_);\(#,##0\)</c:formatCode>
                <c:ptCount val="6"/>
                <c:pt idx="0">
                  <c:v>0</c:v>
                </c:pt>
                <c:pt idx="1">
                  <c:v>304217.49</c:v>
                </c:pt>
                <c:pt idx="2">
                  <c:v>98640.52399999999</c:v>
                </c:pt>
                <c:pt idx="3">
                  <c:v>1325.48</c:v>
                </c:pt>
                <c:pt idx="4">
                  <c:v>6589.6</c:v>
                </c:pt>
                <c:pt idx="5">
                  <c:v>410773.09399999992</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12-D468-4C80-85AE-C3D892E5C2EE}"/>
            </c:ext>
          </c:extLst>
        </c:ser>
        <c:ser>
          <c:idx val="19"/>
          <c:order val="19"/>
          <c:tx>
            <c:v>Refrigerant Leaks</c:v>
          </c:tx>
          <c:spPr>
            <a:solidFill>
              <a:srgbClr val="FFFFFF"/>
            </a:solidFill>
            <a:ln cmpd="sng">
              <a:solidFill>
                <a:srgbClr val="000000"/>
              </a:solidFill>
            </a:ln>
          </c:spPr>
          <c:invertIfNegative val="1"/>
          <c:cat>
            <c:strRef>
              <c:f>'Visual Summary'!$B$45:$G$45</c:f>
              <c:strCache>
                <c:ptCount val="6"/>
                <c:pt idx="0">
                  <c:v>City of Albuquerque</c:v>
                </c:pt>
                <c:pt idx="1">
                  <c:v>Bernalillo</c:v>
                </c:pt>
                <c:pt idx="2">
                  <c:v>Sandoval</c:v>
                </c:pt>
                <c:pt idx="3">
                  <c:v>Torrance</c:v>
                </c:pt>
                <c:pt idx="4">
                  <c:v>Valencia</c:v>
                </c:pt>
                <c:pt idx="5">
                  <c:v>Total MSA</c:v>
                </c:pt>
              </c:strCache>
            </c:strRef>
          </c:cat>
          <c:val>
            <c:numRef>
              <c:f>'Visual Summary'!$B$65:$G$65</c:f>
              <c:numCache>
                <c:formatCode>#,##0_);\(#,##0\)</c:formatCode>
                <c:ptCount val="6"/>
                <c:pt idx="0">
                  <c:v>110903.37603337824</c:v>
                </c:pt>
                <c:pt idx="1">
                  <c:v>206786.03498723448</c:v>
                </c:pt>
                <c:pt idx="2">
                  <c:v>47409.608328488859</c:v>
                </c:pt>
                <c:pt idx="3">
                  <c:v>4485.459148537544</c:v>
                </c:pt>
                <c:pt idx="4">
                  <c:v>23243.916995149011</c:v>
                </c:pt>
                <c:pt idx="5">
                  <c:v>281925.01945940987</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13-D468-4C80-85AE-C3D892E5C2EE}"/>
            </c:ext>
          </c:extLst>
        </c:ser>
        <c:ser>
          <c:idx val="20"/>
          <c:order val="20"/>
          <c:tx>
            <c:v>AFOLU</c:v>
          </c:tx>
          <c:spPr>
            <a:solidFill>
              <a:srgbClr val="FFFFFF"/>
            </a:solidFill>
            <a:ln cmpd="sng">
              <a:solidFill>
                <a:srgbClr val="000000"/>
              </a:solidFill>
            </a:ln>
          </c:spPr>
          <c:invertIfNegative val="1"/>
          <c:cat>
            <c:strRef>
              <c:f>'Visual Summary'!$B$45:$G$45</c:f>
              <c:strCache>
                <c:ptCount val="6"/>
                <c:pt idx="0">
                  <c:v>City of Albuquerque</c:v>
                </c:pt>
                <c:pt idx="1">
                  <c:v>Bernalillo</c:v>
                </c:pt>
                <c:pt idx="2">
                  <c:v>Sandoval</c:v>
                </c:pt>
                <c:pt idx="3">
                  <c:v>Torrance</c:v>
                </c:pt>
                <c:pt idx="4">
                  <c:v>Valencia</c:v>
                </c:pt>
                <c:pt idx="5">
                  <c:v>Total MSA</c:v>
                </c:pt>
              </c:strCache>
            </c:strRef>
          </c:cat>
          <c:val>
            <c:numRef>
              <c:f>'Visual Summary'!$B$66:$G$66</c:f>
              <c:numCache>
                <c:formatCode>#,##0_);\(#,##0\)</c:formatCode>
                <c:ptCount val="6"/>
                <c:pt idx="0">
                  <c:v>96.599597381866147</c:v>
                </c:pt>
                <c:pt idx="1">
                  <c:v>20934.274860335296</c:v>
                </c:pt>
                <c:pt idx="2">
                  <c:v>65257.014649739183</c:v>
                </c:pt>
                <c:pt idx="3">
                  <c:v>172567.74836889049</c:v>
                </c:pt>
                <c:pt idx="4">
                  <c:v>90044.082432358715</c:v>
                </c:pt>
                <c:pt idx="5">
                  <c:v>348803.12031132373</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14-D468-4C80-85AE-C3D892E5C2EE}"/>
            </c:ext>
          </c:extLst>
        </c:ser>
        <c:ser>
          <c:idx val="21"/>
          <c:order val="21"/>
          <c:tx>
            <c:v>Trees and Forests</c:v>
          </c:tx>
          <c:spPr>
            <a:solidFill>
              <a:srgbClr val="FFFFFF"/>
            </a:solidFill>
            <a:ln cmpd="sng">
              <a:solidFill>
                <a:srgbClr val="000000"/>
              </a:solidFill>
            </a:ln>
          </c:spPr>
          <c:invertIfNegative val="1"/>
          <c:cat>
            <c:strRef>
              <c:f>'Visual Summary'!$B$45:$G$45</c:f>
              <c:strCache>
                <c:ptCount val="6"/>
                <c:pt idx="0">
                  <c:v>City of Albuquerque</c:v>
                </c:pt>
                <c:pt idx="1">
                  <c:v>Bernalillo</c:v>
                </c:pt>
                <c:pt idx="2">
                  <c:v>Sandoval</c:v>
                </c:pt>
                <c:pt idx="3">
                  <c:v>Torrance</c:v>
                </c:pt>
                <c:pt idx="4">
                  <c:v>Valencia</c:v>
                </c:pt>
                <c:pt idx="5">
                  <c:v>Total MSA</c:v>
                </c:pt>
              </c:strCache>
            </c:strRef>
          </c:cat>
          <c:val>
            <c:numRef>
              <c:f>'Visual Summary'!$B$67:$G$67</c:f>
              <c:numCache>
                <c:formatCode>#,##0_);\(#,##0\)</c:formatCode>
                <c:ptCount val="6"/>
                <c:pt idx="0">
                  <c:v>-7091</c:v>
                </c:pt>
                <c:pt idx="1">
                  <c:v>-55112</c:v>
                </c:pt>
                <c:pt idx="2">
                  <c:v>-111269</c:v>
                </c:pt>
                <c:pt idx="3">
                  <c:v>-297204</c:v>
                </c:pt>
                <c:pt idx="4">
                  <c:v>-18511</c:v>
                </c:pt>
                <c:pt idx="5">
                  <c:v>-482096</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15-D468-4C80-85AE-C3D892E5C2EE}"/>
            </c:ext>
          </c:extLst>
        </c:ser>
        <c:dLbls>
          <c:showLegendKey val="0"/>
          <c:showVal val="0"/>
          <c:showCatName val="0"/>
          <c:showSerName val="0"/>
          <c:showPercent val="0"/>
          <c:showBubbleSize val="0"/>
        </c:dLbls>
        <c:gapWidth val="150"/>
        <c:overlap val="100"/>
        <c:axId val="1646109957"/>
        <c:axId val="2057007415"/>
      </c:barChart>
      <c:catAx>
        <c:axId val="1646109957"/>
        <c:scaling>
          <c:orientation val="maxMin"/>
        </c:scaling>
        <c:delete val="0"/>
        <c:axPos val="l"/>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a:lstStyle/>
          <a:p>
            <a:pPr lvl="0">
              <a:defRPr sz="1200" b="0" i="0">
                <a:solidFill>
                  <a:srgbClr val="000000"/>
                </a:solidFill>
                <a:latin typeface="+mn-lt"/>
              </a:defRPr>
            </a:pPr>
            <a:endParaRPr lang="en-US"/>
          </a:p>
        </c:txPr>
        <c:crossAx val="2057007415"/>
        <c:crosses val="autoZero"/>
        <c:auto val="1"/>
        <c:lblAlgn val="ctr"/>
        <c:lblOffset val="100"/>
        <c:noMultiLvlLbl val="1"/>
      </c:catAx>
      <c:valAx>
        <c:axId val="2057007415"/>
        <c:scaling>
          <c:orientation val="minMax"/>
        </c:scaling>
        <c:delete val="0"/>
        <c:axPos val="b"/>
        <c:majorGridlines>
          <c:spPr>
            <a:ln>
              <a:solidFill>
                <a:srgbClr val="B7B7B7"/>
              </a:solidFill>
            </a:ln>
          </c:spPr>
        </c:majorGridlines>
        <c:title>
          <c:tx>
            <c:rich>
              <a:bodyPr/>
              <a:lstStyle/>
              <a:p>
                <a:pPr lvl="0">
                  <a:defRPr sz="1200" b="0" i="0">
                    <a:solidFill>
                      <a:srgbClr val="000000"/>
                    </a:solidFill>
                    <a:latin typeface="+mn-lt"/>
                  </a:defRPr>
                </a:pPr>
                <a:r>
                  <a:rPr sz="1200" b="0" i="0">
                    <a:solidFill>
                      <a:srgbClr val="000000"/>
                    </a:solidFill>
                    <a:latin typeface="+mn-lt"/>
                  </a:rPr>
                  <a:t>mt CO2e</a:t>
                </a:r>
              </a:p>
            </c:rich>
          </c:tx>
          <c:overlay val="0"/>
        </c:title>
        <c:numFmt formatCode="#,##0_);\(#,##0\)" sourceLinked="1"/>
        <c:majorTickMark val="none"/>
        <c:minorTickMark val="none"/>
        <c:tickLblPos val="nextTo"/>
        <c:spPr>
          <a:ln/>
        </c:spPr>
        <c:txPr>
          <a:bodyPr/>
          <a:lstStyle/>
          <a:p>
            <a:pPr lvl="0">
              <a:defRPr sz="1200" b="0" i="0">
                <a:solidFill>
                  <a:srgbClr val="000000"/>
                </a:solidFill>
                <a:latin typeface="+mn-lt"/>
              </a:defRPr>
            </a:pPr>
            <a:endParaRPr lang="en-US"/>
          </a:p>
        </c:txPr>
        <c:crossAx val="1646109957"/>
        <c:crosses val="max"/>
        <c:crossBetween val="between"/>
      </c:valAx>
    </c:plotArea>
    <c:legend>
      <c:legendPos val="r"/>
      <c:layout>
        <c:manualLayout>
          <c:xMode val="edge"/>
          <c:yMode val="edge"/>
          <c:x val="0.79990794185447633"/>
          <c:y val="4.0934573092216014E-2"/>
        </c:manualLayout>
      </c:layout>
      <c:overlay val="0"/>
      <c:txPr>
        <a:bodyPr/>
        <a:lstStyle/>
        <a:p>
          <a:pPr lvl="0">
            <a:defRPr sz="1100" b="0" i="0">
              <a:solidFill>
                <a:srgbClr val="000000"/>
              </a:solidFill>
              <a:latin typeface="+mn-lt"/>
            </a:defRPr>
          </a:pPr>
          <a:endParaRPr lang="en-US"/>
        </a:p>
      </c:txPr>
    </c:legend>
    <c:plotVisOnly val="1"/>
    <c:dispBlanksAs val="zero"/>
    <c:showDLblsOverMax val="1"/>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lvl="0">
              <a:defRPr sz="1400" b="0" i="0">
                <a:solidFill>
                  <a:srgbClr val="757575"/>
                </a:solidFill>
                <a:latin typeface="+mn-lt"/>
              </a:defRPr>
            </a:pPr>
            <a:r>
              <a:rPr lang="en-US" sz="1400" b="0" i="0">
                <a:solidFill>
                  <a:srgbClr val="757575"/>
                </a:solidFill>
                <a:latin typeface="+mn-lt"/>
              </a:rPr>
              <a:t>City of Albuquerque Emissions by Sector (mtCO2e)</a:t>
            </a:r>
          </a:p>
        </c:rich>
      </c:tx>
      <c:overlay val="0"/>
    </c:title>
    <c:autoTitleDeleted val="0"/>
    <c:plotArea>
      <c:layout>
        <c:manualLayout>
          <c:xMode val="edge"/>
          <c:yMode val="edge"/>
          <c:x val="0.16236595181960073"/>
          <c:y val="0.19185396574232688"/>
          <c:w val="0.7798491011296993"/>
          <c:h val="0.71522945034726237"/>
        </c:manualLayout>
      </c:layout>
      <c:barChart>
        <c:barDir val="bar"/>
        <c:grouping val="clustered"/>
        <c:varyColors val="1"/>
        <c:ser>
          <c:idx val="0"/>
          <c:order val="0"/>
          <c:spPr>
            <a:solidFill>
              <a:srgbClr val="A3B5A3"/>
            </a:solidFill>
            <a:ln cmpd="sng">
              <a:solidFill>
                <a:srgbClr val="000000"/>
              </a:solidFill>
            </a:ln>
          </c:spPr>
          <c:invertIfNegative val="1"/>
          <c:dPt>
            <c:idx val="0"/>
            <c:invertIfNegative val="1"/>
            <c:bubble3D val="0"/>
            <c:spPr>
              <a:solidFill>
                <a:schemeClr val="accent2"/>
              </a:solidFill>
              <a:ln cmpd="sng">
                <a:solidFill>
                  <a:srgbClr val="000000"/>
                </a:solidFill>
              </a:ln>
            </c:spPr>
            <c:extLst>
              <c:ext xmlns:c16="http://schemas.microsoft.com/office/drawing/2014/chart" uri="{C3380CC4-5D6E-409C-BE32-E72D297353CC}">
                <c16:uniqueId val="{00000001-8D2E-4D2B-B005-E6A41BB15F2C}"/>
              </c:ext>
            </c:extLst>
          </c:dPt>
          <c:dPt>
            <c:idx val="1"/>
            <c:invertIfNegative val="1"/>
            <c:bubble3D val="0"/>
            <c:spPr>
              <a:solidFill>
                <a:schemeClr val="accent1"/>
              </a:solidFill>
              <a:ln cmpd="sng">
                <a:solidFill>
                  <a:srgbClr val="000000"/>
                </a:solidFill>
              </a:ln>
            </c:spPr>
            <c:extLst>
              <c:ext xmlns:c16="http://schemas.microsoft.com/office/drawing/2014/chart" uri="{C3380CC4-5D6E-409C-BE32-E72D297353CC}">
                <c16:uniqueId val="{00000003-8D2E-4D2B-B005-E6A41BB15F2C}"/>
              </c:ext>
            </c:extLst>
          </c:dPt>
          <c:dPt>
            <c:idx val="2"/>
            <c:invertIfNegative val="1"/>
            <c:bubble3D val="0"/>
            <c:spPr>
              <a:solidFill>
                <a:schemeClr val="accent6"/>
              </a:solidFill>
              <a:ln cmpd="sng">
                <a:solidFill>
                  <a:srgbClr val="000000"/>
                </a:solidFill>
              </a:ln>
            </c:spPr>
            <c:extLst>
              <c:ext xmlns:c16="http://schemas.microsoft.com/office/drawing/2014/chart" uri="{C3380CC4-5D6E-409C-BE32-E72D297353CC}">
                <c16:uniqueId val="{00000005-8D2E-4D2B-B005-E6A41BB15F2C}"/>
              </c:ext>
            </c:extLst>
          </c:dPt>
          <c:dPt>
            <c:idx val="3"/>
            <c:invertIfNegative val="1"/>
            <c:bubble3D val="0"/>
            <c:spPr>
              <a:solidFill>
                <a:srgbClr val="F4A81D">
                  <a:alpha val="49803"/>
                </a:srgbClr>
              </a:solidFill>
              <a:ln cmpd="sng">
                <a:solidFill>
                  <a:srgbClr val="000000"/>
                </a:solidFill>
              </a:ln>
            </c:spPr>
            <c:extLst>
              <c:ext xmlns:c16="http://schemas.microsoft.com/office/drawing/2014/chart" uri="{C3380CC4-5D6E-409C-BE32-E72D297353CC}">
                <c16:uniqueId val="{00000007-8D2E-4D2B-B005-E6A41BB15F2C}"/>
              </c:ext>
            </c:extLst>
          </c:dPt>
          <c:dPt>
            <c:idx val="4"/>
            <c:invertIfNegative val="1"/>
            <c:bubble3D val="0"/>
            <c:spPr>
              <a:solidFill>
                <a:schemeClr val="accent1"/>
              </a:solidFill>
              <a:ln cmpd="sng">
                <a:solidFill>
                  <a:srgbClr val="000000"/>
                </a:solidFill>
              </a:ln>
            </c:spPr>
            <c:extLst>
              <c:ext xmlns:c16="http://schemas.microsoft.com/office/drawing/2014/chart" uri="{C3380CC4-5D6E-409C-BE32-E72D297353CC}">
                <c16:uniqueId val="{00000009-8D2E-4D2B-B005-E6A41BB15F2C}"/>
              </c:ext>
            </c:extLst>
          </c:dPt>
          <c:dPt>
            <c:idx val="5"/>
            <c:invertIfNegative val="1"/>
            <c:bubble3D val="0"/>
            <c:extLst>
              <c:ext xmlns:c16="http://schemas.microsoft.com/office/drawing/2014/chart" uri="{C3380CC4-5D6E-409C-BE32-E72D297353CC}">
                <c16:uniqueId val="{0000000C-8D2E-4D2B-B005-E6A41BB15F2C}"/>
              </c:ext>
            </c:extLst>
          </c:dPt>
          <c:dPt>
            <c:idx val="6"/>
            <c:invertIfNegative val="1"/>
            <c:bubble3D val="0"/>
            <c:spPr>
              <a:solidFill>
                <a:srgbClr val="496884">
                  <a:alpha val="49803"/>
                </a:srgbClr>
              </a:solidFill>
              <a:ln cmpd="sng">
                <a:solidFill>
                  <a:srgbClr val="000000"/>
                </a:solidFill>
              </a:ln>
            </c:spPr>
            <c:extLst>
              <c:ext xmlns:c16="http://schemas.microsoft.com/office/drawing/2014/chart" uri="{C3380CC4-5D6E-409C-BE32-E72D297353CC}">
                <c16:uniqueId val="{0000000B-8D2E-4D2B-B005-E6A41BB15F2C}"/>
              </c:ext>
            </c:extLst>
          </c:dPt>
          <c:dLbls>
            <c:dLbl>
              <c:idx val="2"/>
              <c:numFmt formatCode="#,##0" sourceLinked="0"/>
              <c:spPr/>
              <c:txPr>
                <a:bodyPr/>
                <a:lstStyle/>
                <a:p>
                  <a:pPr lvl="0">
                    <a:defRPr sz="900" b="1" i="0">
                      <a:solidFill>
                        <a:srgbClr val="000000"/>
                      </a:solidFill>
                      <a:latin typeface="+mn-lt"/>
                    </a:defRPr>
                  </a:pPr>
                  <a:endParaRPr lang="en-US"/>
                </a:p>
              </c:txPr>
              <c:showLegendKey val="0"/>
              <c:showVal val="1"/>
              <c:showCatName val="0"/>
              <c:showSerName val="0"/>
              <c:showPercent val="0"/>
              <c:showBubbleSize val="0"/>
              <c:extLst>
                <c:ext xmlns:c16="http://schemas.microsoft.com/office/drawing/2014/chart" uri="{C3380CC4-5D6E-409C-BE32-E72D297353CC}">
                  <c16:uniqueId val="{00000005-8D2E-4D2B-B005-E6A41BB15F2C}"/>
                </c:ext>
              </c:extLst>
            </c:dLbl>
            <c:dLbl>
              <c:idx val="3"/>
              <c:numFmt formatCode="#,##0" sourceLinked="0"/>
              <c:spPr/>
              <c:txPr>
                <a:bodyPr/>
                <a:lstStyle/>
                <a:p>
                  <a:pPr lvl="0">
                    <a:defRPr sz="900" b="1" i="0">
                      <a:solidFill>
                        <a:srgbClr val="000000"/>
                      </a:solidFill>
                      <a:latin typeface="+mn-lt"/>
                    </a:defRPr>
                  </a:pPr>
                  <a:endParaRPr lang="en-US"/>
                </a:p>
              </c:txPr>
              <c:showLegendKey val="0"/>
              <c:showVal val="1"/>
              <c:showCatName val="0"/>
              <c:showSerName val="0"/>
              <c:showPercent val="0"/>
              <c:showBubbleSize val="0"/>
              <c:extLst>
                <c:ext xmlns:c16="http://schemas.microsoft.com/office/drawing/2014/chart" uri="{C3380CC4-5D6E-409C-BE32-E72D297353CC}">
                  <c16:uniqueId val="{00000007-8D2E-4D2B-B005-E6A41BB15F2C}"/>
                </c:ext>
              </c:extLst>
            </c:dLbl>
            <c:dLbl>
              <c:idx val="5"/>
              <c:numFmt formatCode="#,##0" sourceLinked="0"/>
              <c:spPr/>
              <c:txPr>
                <a:bodyPr/>
                <a:lstStyle/>
                <a:p>
                  <a:pPr lvl="0">
                    <a:defRPr sz="900" b="1" i="0">
                      <a:solidFill>
                        <a:srgbClr val="000000"/>
                      </a:solidFill>
                      <a:latin typeface="+mn-lt"/>
                    </a:defRPr>
                  </a:pPr>
                  <a:endParaRPr lang="en-US"/>
                </a:p>
              </c:txPr>
              <c:showLegendKey val="0"/>
              <c:showVal val="1"/>
              <c:showCatName val="0"/>
              <c:showSerName val="0"/>
              <c:showPercent val="0"/>
              <c:showBubbleSize val="0"/>
              <c:extLst>
                <c:ext xmlns:c16="http://schemas.microsoft.com/office/drawing/2014/chart" uri="{C3380CC4-5D6E-409C-BE32-E72D297353CC}">
                  <c16:uniqueId val="{0000000C-8D2E-4D2B-B005-E6A41BB15F2C}"/>
                </c:ext>
              </c:extLst>
            </c:dLbl>
            <c:numFmt formatCode="#,##0" sourceLinked="0"/>
            <c:spPr>
              <a:noFill/>
              <a:ln>
                <a:noFill/>
              </a:ln>
              <a:effectLst/>
            </c:spPr>
            <c:txPr>
              <a:bodyPr/>
              <a:lstStyle/>
              <a:p>
                <a:pPr lvl="0">
                  <a:defRPr sz="900" b="1" i="0">
                    <a:solidFill>
                      <a:srgbClr val="000000"/>
                    </a:solidFill>
                    <a:latin typeface="+mn-lt"/>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'City of Albuquerque Data'!$D$20:$D$26</c:f>
              <c:strCache>
                <c:ptCount val="7"/>
                <c:pt idx="0">
                  <c:v>Building Energy</c:v>
                </c:pt>
                <c:pt idx="1">
                  <c:v>Transportation</c:v>
                </c:pt>
                <c:pt idx="2">
                  <c:v>Waste </c:v>
                </c:pt>
                <c:pt idx="3">
                  <c:v>Wastewater Treatment</c:v>
                </c:pt>
                <c:pt idx="4">
                  <c:v>Industrial Processes &amp; Product Use</c:v>
                </c:pt>
                <c:pt idx="5">
                  <c:v>Agriculture - Emissions</c:v>
                </c:pt>
                <c:pt idx="6">
                  <c:v>Agriculture - Removals</c:v>
                </c:pt>
              </c:strCache>
            </c:strRef>
          </c:cat>
          <c:val>
            <c:numRef>
              <c:f>'City of Albuquerque Data'!$E$20:$E$26</c:f>
              <c:numCache>
                <c:formatCode>#,##0</c:formatCode>
                <c:ptCount val="7"/>
                <c:pt idx="0">
                  <c:v>3113205.2661262383</c:v>
                </c:pt>
                <c:pt idx="1">
                  <c:v>2169199.1952947495</c:v>
                </c:pt>
                <c:pt idx="2">
                  <c:v>135220.034251023</c:v>
                </c:pt>
                <c:pt idx="3">
                  <c:v>1692.1514559397194</c:v>
                </c:pt>
                <c:pt idx="4">
                  <c:v>110903.37603337824</c:v>
                </c:pt>
                <c:pt idx="5">
                  <c:v>96.599597381866147</c:v>
                </c:pt>
                <c:pt idx="6" formatCode="#,##0_);\(#,##0\)">
                  <c:v>-7091</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D-8D2E-4D2B-B005-E6A41BB15F2C}"/>
            </c:ext>
          </c:extLst>
        </c:ser>
        <c:dLbls>
          <c:showLegendKey val="0"/>
          <c:showVal val="0"/>
          <c:showCatName val="0"/>
          <c:showSerName val="0"/>
          <c:showPercent val="0"/>
          <c:showBubbleSize val="0"/>
        </c:dLbls>
        <c:gapWidth val="150"/>
        <c:axId val="1911229462"/>
        <c:axId val="818711527"/>
      </c:barChart>
      <c:catAx>
        <c:axId val="1911229462"/>
        <c:scaling>
          <c:orientation val="maxMin"/>
        </c:scaling>
        <c:delete val="0"/>
        <c:axPos val="l"/>
        <c:title>
          <c:tx>
            <c:rich>
              <a:bodyPr/>
              <a:lstStyle/>
              <a:p>
                <a:pPr lvl="0">
                  <a:defRPr b="0">
                    <a:solidFill>
                      <a:srgbClr val="000000"/>
                    </a:solidFill>
                    <a:latin typeface="+mn-lt"/>
                  </a:defRPr>
                </a:pPr>
                <a:endParaRPr lang="en-US"/>
              </a:p>
            </c:rich>
          </c:tx>
          <c:overlay val="0"/>
        </c:title>
        <c:numFmt formatCode="General" sourceLinked="1"/>
        <c:majorTickMark val="out"/>
        <c:minorTickMark val="none"/>
        <c:tickLblPos val="nextTo"/>
        <c:txPr>
          <a:bodyPr/>
          <a:lstStyle/>
          <a:p>
            <a:pPr lvl="0">
              <a:defRPr sz="900" b="0" i="0">
                <a:solidFill>
                  <a:srgbClr val="000000"/>
                </a:solidFill>
                <a:latin typeface="+mn-lt"/>
              </a:defRPr>
            </a:pPr>
            <a:endParaRPr lang="en-US"/>
          </a:p>
        </c:txPr>
        <c:crossAx val="818711527"/>
        <c:crosses val="autoZero"/>
        <c:auto val="1"/>
        <c:lblAlgn val="ctr"/>
        <c:lblOffset val="100"/>
        <c:noMultiLvlLbl val="1"/>
      </c:catAx>
      <c:valAx>
        <c:axId val="818711527"/>
        <c:scaling>
          <c:orientation val="minMax"/>
        </c:scaling>
        <c:delete val="0"/>
        <c:axPos val="b"/>
        <c:majorGridlines>
          <c:spPr>
            <a:ln>
              <a:solidFill>
                <a:srgbClr val="B7B7B7"/>
              </a:solidFill>
            </a:ln>
          </c:spPr>
        </c:majorGridlines>
        <c:title>
          <c:tx>
            <c:rich>
              <a:bodyPr/>
              <a:lstStyle/>
              <a:p>
                <a:pPr lvl="0">
                  <a:defRPr b="0">
                    <a:solidFill>
                      <a:srgbClr val="000000"/>
                    </a:solidFill>
                    <a:latin typeface="+mn-lt"/>
                  </a:defRPr>
                </a:pPr>
                <a:endParaRPr lang="en-US"/>
              </a:p>
            </c:rich>
          </c:tx>
          <c:overlay val="0"/>
        </c:title>
        <c:numFmt formatCode="#,##0" sourceLinked="1"/>
        <c:majorTickMark val="out"/>
        <c:minorTickMark val="none"/>
        <c:tickLblPos val="nextTo"/>
        <c:spPr>
          <a:ln/>
        </c:spPr>
        <c:txPr>
          <a:bodyPr/>
          <a:lstStyle/>
          <a:p>
            <a:pPr lvl="0">
              <a:defRPr sz="900" b="0" i="0">
                <a:solidFill>
                  <a:srgbClr val="000000"/>
                </a:solidFill>
                <a:latin typeface="+mn-lt"/>
              </a:defRPr>
            </a:pPr>
            <a:endParaRPr lang="en-US"/>
          </a:p>
        </c:txPr>
        <c:crossAx val="1911229462"/>
        <c:crosses val="max"/>
        <c:crossBetween val="between"/>
      </c:valAx>
    </c:plotArea>
    <c:plotVisOnly val="1"/>
    <c:dispBlanksAs val="zero"/>
    <c:showDLblsOverMax val="1"/>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lvl="0">
              <a:defRPr sz="1400" b="0" i="0">
                <a:solidFill>
                  <a:srgbClr val="757575"/>
                </a:solidFill>
                <a:latin typeface="+mn-lt"/>
              </a:defRPr>
            </a:pPr>
            <a:r>
              <a:rPr lang="en-US" sz="1400" b="0" i="0">
                <a:solidFill>
                  <a:srgbClr val="757575"/>
                </a:solidFill>
                <a:latin typeface="+mn-lt"/>
              </a:rPr>
              <a:t>Bernalillo County Emissions by Sector (mtCO2e)</a:t>
            </a:r>
          </a:p>
        </c:rich>
      </c:tx>
      <c:overlay val="0"/>
    </c:title>
    <c:autoTitleDeleted val="0"/>
    <c:plotArea>
      <c:layout>
        <c:manualLayout>
          <c:xMode val="edge"/>
          <c:yMode val="edge"/>
          <c:x val="0.16236595181960073"/>
          <c:y val="0.19185396574232688"/>
          <c:w val="0.7798491011296993"/>
          <c:h val="0.71522945034726237"/>
        </c:manualLayout>
      </c:layout>
      <c:barChart>
        <c:barDir val="bar"/>
        <c:grouping val="clustered"/>
        <c:varyColors val="1"/>
        <c:ser>
          <c:idx val="0"/>
          <c:order val="0"/>
          <c:spPr>
            <a:solidFill>
              <a:srgbClr val="A3B5A3"/>
            </a:solidFill>
            <a:ln cmpd="sng">
              <a:solidFill>
                <a:srgbClr val="000000"/>
              </a:solidFill>
            </a:ln>
          </c:spPr>
          <c:invertIfNegative val="1"/>
          <c:dPt>
            <c:idx val="0"/>
            <c:invertIfNegative val="1"/>
            <c:bubble3D val="0"/>
            <c:spPr>
              <a:solidFill>
                <a:schemeClr val="accent2"/>
              </a:solidFill>
              <a:ln cmpd="sng">
                <a:solidFill>
                  <a:srgbClr val="000000"/>
                </a:solidFill>
              </a:ln>
            </c:spPr>
            <c:extLst>
              <c:ext xmlns:c16="http://schemas.microsoft.com/office/drawing/2014/chart" uri="{C3380CC4-5D6E-409C-BE32-E72D297353CC}">
                <c16:uniqueId val="{00000001-A7E0-4461-9C23-72E6CF7BC58A}"/>
              </c:ext>
            </c:extLst>
          </c:dPt>
          <c:dPt>
            <c:idx val="1"/>
            <c:invertIfNegative val="1"/>
            <c:bubble3D val="0"/>
            <c:spPr>
              <a:solidFill>
                <a:schemeClr val="accent1"/>
              </a:solidFill>
              <a:ln cmpd="sng">
                <a:solidFill>
                  <a:srgbClr val="000000"/>
                </a:solidFill>
              </a:ln>
            </c:spPr>
            <c:extLst>
              <c:ext xmlns:c16="http://schemas.microsoft.com/office/drawing/2014/chart" uri="{C3380CC4-5D6E-409C-BE32-E72D297353CC}">
                <c16:uniqueId val="{00000003-A7E0-4461-9C23-72E6CF7BC58A}"/>
              </c:ext>
            </c:extLst>
          </c:dPt>
          <c:dPt>
            <c:idx val="2"/>
            <c:invertIfNegative val="1"/>
            <c:bubble3D val="0"/>
            <c:spPr>
              <a:solidFill>
                <a:schemeClr val="accent6"/>
              </a:solidFill>
              <a:ln cmpd="sng">
                <a:solidFill>
                  <a:srgbClr val="000000"/>
                </a:solidFill>
              </a:ln>
            </c:spPr>
            <c:extLst>
              <c:ext xmlns:c16="http://schemas.microsoft.com/office/drawing/2014/chart" uri="{C3380CC4-5D6E-409C-BE32-E72D297353CC}">
                <c16:uniqueId val="{00000005-A7E0-4461-9C23-72E6CF7BC58A}"/>
              </c:ext>
            </c:extLst>
          </c:dPt>
          <c:dPt>
            <c:idx val="3"/>
            <c:invertIfNegative val="1"/>
            <c:bubble3D val="0"/>
            <c:spPr>
              <a:solidFill>
                <a:srgbClr val="F4A81D">
                  <a:alpha val="49803"/>
                </a:srgbClr>
              </a:solidFill>
              <a:ln cmpd="sng">
                <a:solidFill>
                  <a:srgbClr val="000000"/>
                </a:solidFill>
              </a:ln>
            </c:spPr>
            <c:extLst>
              <c:ext xmlns:c16="http://schemas.microsoft.com/office/drawing/2014/chart" uri="{C3380CC4-5D6E-409C-BE32-E72D297353CC}">
                <c16:uniqueId val="{00000007-A7E0-4461-9C23-72E6CF7BC58A}"/>
              </c:ext>
            </c:extLst>
          </c:dPt>
          <c:dPt>
            <c:idx val="4"/>
            <c:invertIfNegative val="1"/>
            <c:bubble3D val="0"/>
            <c:spPr>
              <a:solidFill>
                <a:schemeClr val="accent1"/>
              </a:solidFill>
              <a:ln cmpd="sng">
                <a:solidFill>
                  <a:srgbClr val="000000"/>
                </a:solidFill>
              </a:ln>
            </c:spPr>
            <c:extLst>
              <c:ext xmlns:c16="http://schemas.microsoft.com/office/drawing/2014/chart" uri="{C3380CC4-5D6E-409C-BE32-E72D297353CC}">
                <c16:uniqueId val="{00000009-A7E0-4461-9C23-72E6CF7BC58A}"/>
              </c:ext>
            </c:extLst>
          </c:dPt>
          <c:dPt>
            <c:idx val="5"/>
            <c:invertIfNegative val="1"/>
            <c:bubble3D val="0"/>
            <c:extLst>
              <c:ext xmlns:c16="http://schemas.microsoft.com/office/drawing/2014/chart" uri="{C3380CC4-5D6E-409C-BE32-E72D297353CC}">
                <c16:uniqueId val="{0000000C-A7E0-4461-9C23-72E6CF7BC58A}"/>
              </c:ext>
            </c:extLst>
          </c:dPt>
          <c:dPt>
            <c:idx val="6"/>
            <c:invertIfNegative val="1"/>
            <c:bubble3D val="0"/>
            <c:spPr>
              <a:solidFill>
                <a:srgbClr val="496884">
                  <a:alpha val="49803"/>
                </a:srgbClr>
              </a:solidFill>
              <a:ln cmpd="sng">
                <a:solidFill>
                  <a:srgbClr val="000000"/>
                </a:solidFill>
              </a:ln>
            </c:spPr>
            <c:extLst>
              <c:ext xmlns:c16="http://schemas.microsoft.com/office/drawing/2014/chart" uri="{C3380CC4-5D6E-409C-BE32-E72D297353CC}">
                <c16:uniqueId val="{0000000B-A7E0-4461-9C23-72E6CF7BC58A}"/>
              </c:ext>
            </c:extLst>
          </c:dPt>
          <c:dLbls>
            <c:dLbl>
              <c:idx val="1"/>
              <c:tx>
                <c:rich>
                  <a:bodyPr/>
                  <a:lstStyle/>
                  <a:p>
                    <a:pPr lvl="0">
                      <a:defRPr sz="900" b="1">
                        <a:solidFill>
                          <a:srgbClr val="000000"/>
                        </a:solidFill>
                        <a:latin typeface="+mn-lt"/>
                      </a:defRPr>
                    </a:pPr>
                    <a:r>
                      <a:rPr lang="en-US" sz="900" b="1">
                        <a:solidFill>
                          <a:srgbClr val="000000"/>
                        </a:solidFill>
                        <a:latin typeface="+mn-lt"/>
                      </a:rPr>
                      <a:t> </a:t>
                    </a:r>
                  </a:p>
                </c:rich>
              </c:tx>
              <c:numFmt formatCode="#,##0" sourceLinked="0"/>
              <c:spP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A7E0-4461-9C23-72E6CF7BC58A}"/>
                </c:ext>
              </c:extLst>
            </c:dLbl>
            <c:dLbl>
              <c:idx val="2"/>
              <c:numFmt formatCode="#,##0" sourceLinked="0"/>
              <c:spPr/>
              <c:txPr>
                <a:bodyPr/>
                <a:lstStyle/>
                <a:p>
                  <a:pPr lvl="0">
                    <a:defRPr sz="900" b="1" i="0">
                      <a:solidFill>
                        <a:srgbClr val="000000"/>
                      </a:solidFill>
                      <a:latin typeface="+mn-lt"/>
                    </a:defRPr>
                  </a:pPr>
                  <a:endParaRPr lang="en-US"/>
                </a:p>
              </c:txPr>
              <c:showLegendKey val="0"/>
              <c:showVal val="1"/>
              <c:showCatName val="0"/>
              <c:showSerName val="0"/>
              <c:showPercent val="0"/>
              <c:showBubbleSize val="0"/>
              <c:extLst>
                <c:ext xmlns:c16="http://schemas.microsoft.com/office/drawing/2014/chart" uri="{C3380CC4-5D6E-409C-BE32-E72D297353CC}">
                  <c16:uniqueId val="{00000005-A7E0-4461-9C23-72E6CF7BC58A}"/>
                </c:ext>
              </c:extLst>
            </c:dLbl>
            <c:dLbl>
              <c:idx val="3"/>
              <c:numFmt formatCode="#,##0" sourceLinked="0"/>
              <c:spPr/>
              <c:txPr>
                <a:bodyPr/>
                <a:lstStyle/>
                <a:p>
                  <a:pPr lvl="0">
                    <a:defRPr sz="900" b="1" i="0">
                      <a:solidFill>
                        <a:srgbClr val="000000"/>
                      </a:solidFill>
                      <a:latin typeface="+mn-lt"/>
                    </a:defRPr>
                  </a:pPr>
                  <a:endParaRPr lang="en-US"/>
                </a:p>
              </c:txPr>
              <c:showLegendKey val="0"/>
              <c:showVal val="1"/>
              <c:showCatName val="0"/>
              <c:showSerName val="0"/>
              <c:showPercent val="0"/>
              <c:showBubbleSize val="0"/>
              <c:extLst>
                <c:ext xmlns:c16="http://schemas.microsoft.com/office/drawing/2014/chart" uri="{C3380CC4-5D6E-409C-BE32-E72D297353CC}">
                  <c16:uniqueId val="{00000007-A7E0-4461-9C23-72E6CF7BC58A}"/>
                </c:ext>
              </c:extLst>
            </c:dLbl>
            <c:dLbl>
              <c:idx val="5"/>
              <c:numFmt formatCode="#,##0" sourceLinked="0"/>
              <c:spPr/>
              <c:txPr>
                <a:bodyPr/>
                <a:lstStyle/>
                <a:p>
                  <a:pPr lvl="0">
                    <a:defRPr sz="900" b="1" i="0">
                      <a:solidFill>
                        <a:srgbClr val="000000"/>
                      </a:solidFill>
                      <a:latin typeface="+mn-lt"/>
                    </a:defRPr>
                  </a:pPr>
                  <a:endParaRPr lang="en-US"/>
                </a:p>
              </c:txPr>
              <c:showLegendKey val="0"/>
              <c:showVal val="1"/>
              <c:showCatName val="0"/>
              <c:showSerName val="0"/>
              <c:showPercent val="0"/>
              <c:showBubbleSize val="0"/>
              <c:extLst>
                <c:ext xmlns:c16="http://schemas.microsoft.com/office/drawing/2014/chart" uri="{C3380CC4-5D6E-409C-BE32-E72D297353CC}">
                  <c16:uniqueId val="{0000000C-A7E0-4461-9C23-72E6CF7BC58A}"/>
                </c:ext>
              </c:extLst>
            </c:dLbl>
            <c:numFmt formatCode="#,##0" sourceLinked="0"/>
            <c:spPr>
              <a:noFill/>
              <a:ln>
                <a:noFill/>
              </a:ln>
              <a:effectLst/>
            </c:spPr>
            <c:txPr>
              <a:bodyPr/>
              <a:lstStyle/>
              <a:p>
                <a:pPr lvl="0">
                  <a:defRPr sz="900" b="1" i="0">
                    <a:solidFill>
                      <a:srgbClr val="000000"/>
                    </a:solidFill>
                    <a:latin typeface="+mn-lt"/>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'Bernalillo County Data'!$D$19:$D$25</c:f>
              <c:strCache>
                <c:ptCount val="7"/>
                <c:pt idx="0">
                  <c:v>Building Energy</c:v>
                </c:pt>
                <c:pt idx="1">
                  <c:v>Transportation</c:v>
                </c:pt>
                <c:pt idx="2">
                  <c:v>Waste </c:v>
                </c:pt>
                <c:pt idx="3">
                  <c:v>Wastewater Treatment</c:v>
                </c:pt>
                <c:pt idx="4">
                  <c:v>Industrial Processes &amp; Product Use</c:v>
                </c:pt>
                <c:pt idx="5">
                  <c:v>Agriculture - Emissions</c:v>
                </c:pt>
                <c:pt idx="6">
                  <c:v>Agriculture - Removals</c:v>
                </c:pt>
              </c:strCache>
            </c:strRef>
          </c:cat>
          <c:val>
            <c:numRef>
              <c:f>'Bernalillo County Data'!$E$19:$E$25</c:f>
              <c:numCache>
                <c:formatCode>#,##0</c:formatCode>
                <c:ptCount val="7"/>
                <c:pt idx="0">
                  <c:v>3377317.7432731218</c:v>
                </c:pt>
                <c:pt idx="1">
                  <c:v>3152640.1192794964</c:v>
                </c:pt>
                <c:pt idx="2">
                  <c:v>335996.48172579118</c:v>
                </c:pt>
                <c:pt idx="3">
                  <c:v>3842.6024202076096</c:v>
                </c:pt>
                <c:pt idx="4">
                  <c:v>511003.5249872345</c:v>
                </c:pt>
                <c:pt idx="5" formatCode="#,##0_);\(#,##0\)">
                  <c:v>20934.274860335296</c:v>
                </c:pt>
                <c:pt idx="6" formatCode="#,##0_);\(#,##0\)">
                  <c:v>-55112</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D-A7E0-4461-9C23-72E6CF7BC58A}"/>
            </c:ext>
          </c:extLst>
        </c:ser>
        <c:dLbls>
          <c:showLegendKey val="0"/>
          <c:showVal val="0"/>
          <c:showCatName val="0"/>
          <c:showSerName val="0"/>
          <c:showPercent val="0"/>
          <c:showBubbleSize val="0"/>
        </c:dLbls>
        <c:gapWidth val="150"/>
        <c:axId val="2015715277"/>
        <c:axId val="1898609903"/>
      </c:barChart>
      <c:catAx>
        <c:axId val="2015715277"/>
        <c:scaling>
          <c:orientation val="maxMin"/>
        </c:scaling>
        <c:delete val="0"/>
        <c:axPos val="l"/>
        <c:title>
          <c:tx>
            <c:rich>
              <a:bodyPr/>
              <a:lstStyle/>
              <a:p>
                <a:pPr lvl="0">
                  <a:defRPr b="0">
                    <a:solidFill>
                      <a:srgbClr val="000000"/>
                    </a:solidFill>
                    <a:latin typeface="+mn-lt"/>
                  </a:defRPr>
                </a:pPr>
                <a:endParaRPr lang="en-US"/>
              </a:p>
            </c:rich>
          </c:tx>
          <c:overlay val="0"/>
        </c:title>
        <c:numFmt formatCode="General" sourceLinked="1"/>
        <c:majorTickMark val="out"/>
        <c:minorTickMark val="none"/>
        <c:tickLblPos val="nextTo"/>
        <c:txPr>
          <a:bodyPr/>
          <a:lstStyle/>
          <a:p>
            <a:pPr lvl="0">
              <a:defRPr sz="900" b="0" i="0">
                <a:solidFill>
                  <a:srgbClr val="000000"/>
                </a:solidFill>
                <a:latin typeface="+mn-lt"/>
              </a:defRPr>
            </a:pPr>
            <a:endParaRPr lang="en-US"/>
          </a:p>
        </c:txPr>
        <c:crossAx val="1898609903"/>
        <c:crosses val="autoZero"/>
        <c:auto val="1"/>
        <c:lblAlgn val="ctr"/>
        <c:lblOffset val="100"/>
        <c:noMultiLvlLbl val="1"/>
      </c:catAx>
      <c:valAx>
        <c:axId val="1898609903"/>
        <c:scaling>
          <c:orientation val="minMax"/>
        </c:scaling>
        <c:delete val="0"/>
        <c:axPos val="b"/>
        <c:majorGridlines>
          <c:spPr>
            <a:ln>
              <a:solidFill>
                <a:srgbClr val="B7B7B7"/>
              </a:solidFill>
            </a:ln>
          </c:spPr>
        </c:majorGridlines>
        <c:title>
          <c:tx>
            <c:rich>
              <a:bodyPr/>
              <a:lstStyle/>
              <a:p>
                <a:pPr lvl="0">
                  <a:defRPr b="0">
                    <a:solidFill>
                      <a:srgbClr val="000000"/>
                    </a:solidFill>
                    <a:latin typeface="+mn-lt"/>
                  </a:defRPr>
                </a:pPr>
                <a:endParaRPr lang="en-US"/>
              </a:p>
            </c:rich>
          </c:tx>
          <c:overlay val="0"/>
        </c:title>
        <c:numFmt formatCode="#,##0" sourceLinked="1"/>
        <c:majorTickMark val="out"/>
        <c:minorTickMark val="none"/>
        <c:tickLblPos val="nextTo"/>
        <c:spPr>
          <a:ln/>
        </c:spPr>
        <c:txPr>
          <a:bodyPr/>
          <a:lstStyle/>
          <a:p>
            <a:pPr lvl="0">
              <a:defRPr sz="900" b="0" i="0">
                <a:solidFill>
                  <a:srgbClr val="000000"/>
                </a:solidFill>
                <a:latin typeface="+mn-lt"/>
              </a:defRPr>
            </a:pPr>
            <a:endParaRPr lang="en-US"/>
          </a:p>
        </c:txPr>
        <c:crossAx val="2015715277"/>
        <c:crosses val="max"/>
        <c:crossBetween val="between"/>
      </c:valAx>
    </c:plotArea>
    <c:plotVisOnly val="1"/>
    <c:dispBlanksAs val="zero"/>
    <c:showDLblsOverMax val="1"/>
  </c:chart>
  <c:printSettings>
    <c:headerFooter/>
    <c:pageMargins b="0.75" l="0.7" r="0.7" t="0.75" header="0.3" footer="0.3"/>
    <c:pageSetup/>
  </c:printSettings>
</c:chartSpace>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drawing3.xml.rels><?xml version="1.0" encoding="UTF-8" standalone="yes"?>
<Relationships xmlns="http://schemas.openxmlformats.org/package/2006/relationships"><Relationship Id="rId1" Type="http://schemas.openxmlformats.org/officeDocument/2006/relationships/chart" Target="../charts/chart8.xml"/></Relationships>
</file>

<file path=xl/drawings/_rels/drawing4.xml.rels><?xml version="1.0" encoding="UTF-8" standalone="yes"?>
<Relationships xmlns="http://schemas.openxmlformats.org/package/2006/relationships"><Relationship Id="rId1" Type="http://schemas.openxmlformats.org/officeDocument/2006/relationships/chart" Target="../charts/chart9.xml"/></Relationships>
</file>

<file path=xl/drawings/_rels/drawing5.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6.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7.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8.xml.rels><?xml version="1.0" encoding="UTF-8" standalone="yes"?>
<Relationships xmlns="http://schemas.openxmlformats.org/package/2006/relationships"><Relationship Id="rId1" Type="http://schemas.openxmlformats.org/officeDocument/2006/relationships/chart" Target="../charts/chart13.xml"/></Relationships>
</file>

<file path=xl/drawings/drawing1.xml><?xml version="1.0" encoding="utf-8"?>
<xdr:wsDr xmlns:xdr="http://schemas.openxmlformats.org/drawingml/2006/spreadsheetDrawing" xmlns:a="http://schemas.openxmlformats.org/drawingml/2006/main">
  <xdr:oneCellAnchor>
    <xdr:from>
      <xdr:col>0</xdr:col>
      <xdr:colOff>184702</xdr:colOff>
      <xdr:row>7</xdr:row>
      <xdr:rowOff>141219</xdr:rowOff>
    </xdr:from>
    <xdr:ext cx="2797037" cy="1987412"/>
    <xdr:sp macro="" textlink="">
      <xdr:nvSpPr>
        <xdr:cNvPr id="3" name="Shape 3">
          <a:extLst>
            <a:ext uri="{FF2B5EF4-FFF2-40B4-BE49-F238E27FC236}">
              <a16:creationId xmlns:a16="http://schemas.microsoft.com/office/drawing/2014/main" id="{00000000-0008-0000-0100-000003000000}"/>
            </a:ext>
          </a:extLst>
        </xdr:cNvPr>
        <xdr:cNvSpPr/>
      </xdr:nvSpPr>
      <xdr:spPr>
        <a:xfrm>
          <a:off x="184702" y="2327828"/>
          <a:ext cx="2797037" cy="1987412"/>
        </a:xfrm>
        <a:prstGeom prst="roundRect">
          <a:avLst>
            <a:gd name="adj" fmla="val 16667"/>
          </a:avLst>
        </a:prstGeom>
        <a:solidFill>
          <a:schemeClr val="accent3"/>
        </a:solidFill>
        <a:ln w="76200" cap="flat" cmpd="sng">
          <a:solidFill>
            <a:schemeClr val="accent2"/>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6600">
              <a:solidFill>
                <a:schemeClr val="lt1"/>
              </a:solidFill>
              <a:latin typeface="Poppins"/>
              <a:ea typeface="Poppins"/>
              <a:cs typeface="Poppins"/>
              <a:sym typeface="Poppins"/>
            </a:rPr>
            <a:t>62%</a:t>
          </a:r>
          <a:endParaRPr sz="1400"/>
        </a:p>
        <a:p>
          <a:pPr marL="0" lvl="0" indent="0" algn="ctr" rtl="0">
            <a:spcBef>
              <a:spcPts val="0"/>
            </a:spcBef>
            <a:spcAft>
              <a:spcPts val="0"/>
            </a:spcAft>
            <a:buNone/>
          </a:pPr>
          <a:r>
            <a:rPr lang="en-US" sz="1800">
              <a:solidFill>
                <a:schemeClr val="lt1"/>
              </a:solidFill>
              <a:latin typeface="Poppins"/>
              <a:ea typeface="Poppins"/>
              <a:cs typeface="Poppins"/>
              <a:sym typeface="Poppins"/>
            </a:rPr>
            <a:t>reduction in emissions by 2030</a:t>
          </a:r>
          <a:endParaRPr sz="1800"/>
        </a:p>
      </xdr:txBody>
    </xdr:sp>
    <xdr:clientData fLocksWithSheet="0"/>
  </xdr:oneCellAnchor>
</xdr:wsDr>
</file>

<file path=xl/drawings/drawing2.xml><?xml version="1.0" encoding="utf-8"?>
<xdr:wsDr xmlns:xdr="http://schemas.openxmlformats.org/drawingml/2006/spreadsheetDrawing" xmlns:a="http://schemas.openxmlformats.org/drawingml/2006/main">
  <xdr:oneCellAnchor>
    <xdr:from>
      <xdr:col>10</xdr:col>
      <xdr:colOff>371475</xdr:colOff>
      <xdr:row>2</xdr:row>
      <xdr:rowOff>19050</xdr:rowOff>
    </xdr:from>
    <xdr:ext cx="5772150" cy="3152775"/>
    <xdr:graphicFrame macro="">
      <xdr:nvGraphicFramePr>
        <xdr:cNvPr id="671946955" name="Chart 1">
          <a:extLst>
            <a:ext uri="{FF2B5EF4-FFF2-40B4-BE49-F238E27FC236}">
              <a16:creationId xmlns:a16="http://schemas.microsoft.com/office/drawing/2014/main" id="{00000000-0008-0000-0200-0000CB180D2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8</xdr:col>
      <xdr:colOff>57150</xdr:colOff>
      <xdr:row>29</xdr:row>
      <xdr:rowOff>76200</xdr:rowOff>
    </xdr:from>
    <xdr:ext cx="12144375" cy="4857750"/>
    <xdr:graphicFrame macro="">
      <xdr:nvGraphicFramePr>
        <xdr:cNvPr id="1650256864" name="Chart 2">
          <a:extLst>
            <a:ext uri="{FF2B5EF4-FFF2-40B4-BE49-F238E27FC236}">
              <a16:creationId xmlns:a16="http://schemas.microsoft.com/office/drawing/2014/main" id="{00000000-0008-0000-0200-0000E0EB5C6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oneCellAnchor>
    <xdr:from>
      <xdr:col>7</xdr:col>
      <xdr:colOff>66675</xdr:colOff>
      <xdr:row>20</xdr:row>
      <xdr:rowOff>38100</xdr:rowOff>
    </xdr:from>
    <xdr:ext cx="8448675" cy="4238625"/>
    <xdr:graphicFrame macro="">
      <xdr:nvGraphicFramePr>
        <xdr:cNvPr id="354245566" name="Chart 3">
          <a:extLst>
            <a:ext uri="{FF2B5EF4-FFF2-40B4-BE49-F238E27FC236}">
              <a16:creationId xmlns:a16="http://schemas.microsoft.com/office/drawing/2014/main" id="{00000000-0008-0000-0200-0000BE5B1D1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LocksWithSheet="0"/>
  </xdr:oneCellAnchor>
  <xdr:oneCellAnchor>
    <xdr:from>
      <xdr:col>4</xdr:col>
      <xdr:colOff>114300</xdr:colOff>
      <xdr:row>11</xdr:row>
      <xdr:rowOff>95250</xdr:rowOff>
    </xdr:from>
    <xdr:ext cx="8220075" cy="3133725"/>
    <xdr:graphicFrame macro="">
      <xdr:nvGraphicFramePr>
        <xdr:cNvPr id="776044523" name="Chart 4">
          <a:extLst>
            <a:ext uri="{FF2B5EF4-FFF2-40B4-BE49-F238E27FC236}">
              <a16:creationId xmlns:a16="http://schemas.microsoft.com/office/drawing/2014/main" id="{00000000-0008-0000-0200-0000EB7F412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oneCellAnchor>
  <xdr:oneCellAnchor>
    <xdr:from>
      <xdr:col>3</xdr:col>
      <xdr:colOff>66675</xdr:colOff>
      <xdr:row>2</xdr:row>
      <xdr:rowOff>19050</xdr:rowOff>
    </xdr:from>
    <xdr:ext cx="8677275" cy="3171825"/>
    <xdr:graphicFrame macro="">
      <xdr:nvGraphicFramePr>
        <xdr:cNvPr id="1591865341" name="Chart 5">
          <a:extLst>
            <a:ext uri="{FF2B5EF4-FFF2-40B4-BE49-F238E27FC236}">
              <a16:creationId xmlns:a16="http://schemas.microsoft.com/office/drawing/2014/main" id="{00000000-0008-0000-0200-0000FDEFE15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fLocksWithSheet="0"/>
  </xdr:oneCellAnchor>
  <xdr:oneCellAnchor>
    <xdr:from>
      <xdr:col>14</xdr:col>
      <xdr:colOff>171450</xdr:colOff>
      <xdr:row>20</xdr:row>
      <xdr:rowOff>47625</xdr:rowOff>
    </xdr:from>
    <xdr:ext cx="8477250" cy="4238625"/>
    <xdr:graphicFrame macro="">
      <xdr:nvGraphicFramePr>
        <xdr:cNvPr id="790742499" name="Chart 6">
          <a:extLst>
            <a:ext uri="{FF2B5EF4-FFF2-40B4-BE49-F238E27FC236}">
              <a16:creationId xmlns:a16="http://schemas.microsoft.com/office/drawing/2014/main" id="{00000000-0008-0000-0200-0000E3C5212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fLocksWithSheet="0"/>
  </xdr:oneCellAnchor>
  <xdr:oneCellAnchor>
    <xdr:from>
      <xdr:col>7</xdr:col>
      <xdr:colOff>95250</xdr:colOff>
      <xdr:row>43</xdr:row>
      <xdr:rowOff>76200</xdr:rowOff>
    </xdr:from>
    <xdr:ext cx="11925300" cy="9429750"/>
    <xdr:graphicFrame macro="">
      <xdr:nvGraphicFramePr>
        <xdr:cNvPr id="1526220347" name="Chart 7">
          <a:extLst>
            <a:ext uri="{FF2B5EF4-FFF2-40B4-BE49-F238E27FC236}">
              <a16:creationId xmlns:a16="http://schemas.microsoft.com/office/drawing/2014/main" id="{00000000-0008-0000-0200-00003B46F85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fLocksWithSheet="0"/>
  </xdr:oneCellAnchor>
</xdr:wsDr>
</file>

<file path=xl/drawings/drawing3.xml><?xml version="1.0" encoding="utf-8"?>
<xdr:wsDr xmlns:xdr="http://schemas.openxmlformats.org/drawingml/2006/spreadsheetDrawing" xmlns:a="http://schemas.openxmlformats.org/drawingml/2006/main">
  <xdr:oneCellAnchor>
    <xdr:from>
      <xdr:col>3</xdr:col>
      <xdr:colOff>523875</xdr:colOff>
      <xdr:row>28</xdr:row>
      <xdr:rowOff>219075</xdr:rowOff>
    </xdr:from>
    <xdr:ext cx="6981825" cy="5467350"/>
    <xdr:graphicFrame macro="">
      <xdr:nvGraphicFramePr>
        <xdr:cNvPr id="1360502349" name="Chart 8">
          <a:extLst>
            <a:ext uri="{FF2B5EF4-FFF2-40B4-BE49-F238E27FC236}">
              <a16:creationId xmlns:a16="http://schemas.microsoft.com/office/drawing/2014/main" id="{00000000-0008-0000-0400-00004D9E175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wsDr>
</file>

<file path=xl/drawings/drawing4.xml><?xml version="1.0" encoding="utf-8"?>
<xdr:wsDr xmlns:xdr="http://schemas.openxmlformats.org/drawingml/2006/spreadsheetDrawing" xmlns:a="http://schemas.openxmlformats.org/drawingml/2006/main">
  <xdr:oneCellAnchor>
    <xdr:from>
      <xdr:col>3</xdr:col>
      <xdr:colOff>295275</xdr:colOff>
      <xdr:row>26</xdr:row>
      <xdr:rowOff>161925</xdr:rowOff>
    </xdr:from>
    <xdr:ext cx="7105650" cy="5810250"/>
    <xdr:graphicFrame macro="">
      <xdr:nvGraphicFramePr>
        <xdr:cNvPr id="706259192" name="Chart 9">
          <a:extLst>
            <a:ext uri="{FF2B5EF4-FFF2-40B4-BE49-F238E27FC236}">
              <a16:creationId xmlns:a16="http://schemas.microsoft.com/office/drawing/2014/main" id="{00000000-0008-0000-0500-0000F8A8182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wsDr>
</file>

<file path=xl/drawings/drawing5.xml><?xml version="1.0" encoding="utf-8"?>
<xdr:wsDr xmlns:xdr="http://schemas.openxmlformats.org/drawingml/2006/spreadsheetDrawing" xmlns:a="http://schemas.openxmlformats.org/drawingml/2006/main">
  <xdr:oneCellAnchor>
    <xdr:from>
      <xdr:col>3</xdr:col>
      <xdr:colOff>171450</xdr:colOff>
      <xdr:row>28</xdr:row>
      <xdr:rowOff>0</xdr:rowOff>
    </xdr:from>
    <xdr:ext cx="8067675" cy="5391150"/>
    <xdr:graphicFrame macro="">
      <xdr:nvGraphicFramePr>
        <xdr:cNvPr id="1663147156" name="Chart 10">
          <a:extLst>
            <a:ext uri="{FF2B5EF4-FFF2-40B4-BE49-F238E27FC236}">
              <a16:creationId xmlns:a16="http://schemas.microsoft.com/office/drawing/2014/main" id="{00000000-0008-0000-0600-0000949C216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wsDr>
</file>

<file path=xl/drawings/drawing6.xml><?xml version="1.0" encoding="utf-8"?>
<xdr:wsDr xmlns:xdr="http://schemas.openxmlformats.org/drawingml/2006/spreadsheetDrawing" xmlns:a="http://schemas.openxmlformats.org/drawingml/2006/main">
  <xdr:oneCellAnchor>
    <xdr:from>
      <xdr:col>3</xdr:col>
      <xdr:colOff>257175</xdr:colOff>
      <xdr:row>27</xdr:row>
      <xdr:rowOff>161925</xdr:rowOff>
    </xdr:from>
    <xdr:ext cx="7934325" cy="4800600"/>
    <xdr:graphicFrame macro="">
      <xdr:nvGraphicFramePr>
        <xdr:cNvPr id="1904548713" name="Chart 11">
          <a:extLst>
            <a:ext uri="{FF2B5EF4-FFF2-40B4-BE49-F238E27FC236}">
              <a16:creationId xmlns:a16="http://schemas.microsoft.com/office/drawing/2014/main" id="{00000000-0008-0000-0700-0000691B857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wsDr>
</file>

<file path=xl/drawings/drawing7.xml><?xml version="1.0" encoding="utf-8"?>
<xdr:wsDr xmlns:xdr="http://schemas.openxmlformats.org/drawingml/2006/spreadsheetDrawing" xmlns:a="http://schemas.openxmlformats.org/drawingml/2006/main">
  <xdr:oneCellAnchor>
    <xdr:from>
      <xdr:col>3</xdr:col>
      <xdr:colOff>95250</xdr:colOff>
      <xdr:row>26</xdr:row>
      <xdr:rowOff>114300</xdr:rowOff>
    </xdr:from>
    <xdr:ext cx="9515475" cy="5829300"/>
    <xdr:graphicFrame macro="">
      <xdr:nvGraphicFramePr>
        <xdr:cNvPr id="604749482" name="Chart 12">
          <a:extLst>
            <a:ext uri="{FF2B5EF4-FFF2-40B4-BE49-F238E27FC236}">
              <a16:creationId xmlns:a16="http://schemas.microsoft.com/office/drawing/2014/main" id="{00000000-0008-0000-0800-0000AABE0B2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wsDr>
</file>

<file path=xl/drawings/drawing8.xml><?xml version="1.0" encoding="utf-8"?>
<xdr:wsDr xmlns:xdr="http://schemas.openxmlformats.org/drawingml/2006/spreadsheetDrawing" xmlns:a="http://schemas.openxmlformats.org/drawingml/2006/main">
  <xdr:oneCellAnchor>
    <xdr:from>
      <xdr:col>3</xdr:col>
      <xdr:colOff>304800</xdr:colOff>
      <xdr:row>26</xdr:row>
      <xdr:rowOff>95250</xdr:rowOff>
    </xdr:from>
    <xdr:ext cx="10458450" cy="5934075"/>
    <xdr:graphicFrame macro="">
      <xdr:nvGraphicFramePr>
        <xdr:cNvPr id="1566671622" name="Chart 13">
          <a:extLst>
            <a:ext uri="{FF2B5EF4-FFF2-40B4-BE49-F238E27FC236}">
              <a16:creationId xmlns:a16="http://schemas.microsoft.com/office/drawing/2014/main" id="{00000000-0008-0000-0900-00000683615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shortcut-targets-by-id\0Bz5NRlvxNCoubTR1enAtRmJqSVk\Lotus%20ES\Clients\Project%20Work\ABQ%20CPRG\Task%202.%20GHG%20Inventory%20and%20Projections\Inventory\Data\AFOLU\SIT_Bernalillo.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
      <sheetName val="Dataframe"/>
      <sheetName val="Dataframe_Sum"/>
      <sheetName val="Enteric Fermentation"/>
      <sheetName val="CH4 from Manure Management"/>
      <sheetName val="N2O from Manure Management"/>
      <sheetName val="Ag Soils-Plant-Residues&amp;Legumes"/>
      <sheetName val="Ag Soils-Plant-Fertilizers"/>
      <sheetName val="Ag Soils-Animals"/>
      <sheetName val="Rice Cultivation"/>
      <sheetName val="Liming"/>
      <sheetName val="Urea Fertilization"/>
      <sheetName val="Ag. Residue Burning-CH4"/>
      <sheetName val="Ag. Residue Burning-N2O"/>
      <sheetName val="Summary"/>
      <sheetName val="Default Livestock_Crop Data "/>
      <sheetName val="Summary Figures"/>
      <sheetName val="National Adjustment"/>
      <sheetName val="Uncertainty"/>
      <sheetName val="constants"/>
      <sheetName val="FertilizerData"/>
      <sheetName val="enteric EFsNEW"/>
      <sheetName val="enteric EFs"/>
      <sheetName val="VS-CattleNEW"/>
      <sheetName val="VS-Cattle"/>
      <sheetName val="TAM and NEx Rates"/>
      <sheetName val="MCF"/>
      <sheetName val="Data Sources"/>
      <sheetName val="manure%"/>
      <sheetName val="Documentation"/>
      <sheetName val="Notes"/>
      <sheetName val="ListData"/>
      <sheetName val="animal data"/>
      <sheetName val="crop data"/>
      <sheetName val="burn data"/>
      <sheetName val="Urea Consump Calendar Yr"/>
      <sheetName val="Urea Consump Fert Yr"/>
      <sheetName val="Limestone Final Data"/>
      <sheetName val="Limestone, pre-correction"/>
      <sheetName val="Correc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ow r="25">
          <cell r="G25">
            <v>1E-3</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A3B5A3"/>
      </a:accent1>
      <a:accent2>
        <a:srgbClr val="277895"/>
      </a:accent2>
      <a:accent3>
        <a:srgbClr val="82B1C2"/>
      </a:accent3>
      <a:accent4>
        <a:srgbClr val="91C45B"/>
      </a:accent4>
      <a:accent5>
        <a:srgbClr val="4A7D47"/>
      </a:accent5>
      <a:accent6>
        <a:srgbClr val="BBC5CE"/>
      </a:accent6>
      <a:hlink>
        <a:srgbClr val="0563C1"/>
      </a:hlink>
      <a:folHlink>
        <a:srgbClr val="0563C1"/>
      </a:folHlink>
    </a:clrScheme>
    <a:fontScheme name="Sheets">
      <a:majorFont>
        <a:latin typeface="Poppins"/>
        <a:ea typeface="Poppins"/>
        <a:cs typeface="Poppins"/>
      </a:majorFont>
      <a:minorFont>
        <a:latin typeface="Poppins"/>
        <a:ea typeface="Poppins"/>
        <a:cs typeface="Poppins"/>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1" Type="http://schemas.openxmlformats.org/officeDocument/2006/relationships/hyperlink" Target="https://ww2.arb.ca.gov/resources/documents/high-gwp-refrigerants" TargetMode="Externa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0.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hyperlink" Target="https://www.ipcc-nggip.iges.or.jp/public/gp/bgp/2_5_Aircraft.pdf" TargetMode="Externa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BFBFBF"/>
  </sheetPr>
  <dimension ref="A1:Z1000"/>
  <sheetViews>
    <sheetView workbookViewId="0">
      <selection activeCell="C5" sqref="C5"/>
    </sheetView>
  </sheetViews>
  <sheetFormatPr defaultColWidth="11.23046875" defaultRowHeight="15" customHeight="1" outlineLevelRow="1" x14ac:dyDescent="0.85"/>
  <cols>
    <col min="1" max="4" width="44.61328125" customWidth="1"/>
    <col min="5" max="26" width="10.61328125" customWidth="1"/>
  </cols>
  <sheetData>
    <row r="1" spans="1:26" ht="37.799999999999997" x14ac:dyDescent="0.85">
      <c r="A1" s="786" t="s">
        <v>0</v>
      </c>
      <c r="B1" s="765"/>
      <c r="C1" s="765"/>
      <c r="D1" s="762"/>
      <c r="E1" s="1"/>
      <c r="F1" s="1"/>
      <c r="G1" s="1"/>
      <c r="H1" s="1"/>
      <c r="I1" s="1"/>
      <c r="J1" s="1"/>
      <c r="K1" s="1"/>
      <c r="L1" s="1"/>
      <c r="M1" s="1"/>
      <c r="N1" s="1"/>
      <c r="O1" s="1"/>
      <c r="P1" s="1"/>
      <c r="Q1" s="1"/>
      <c r="R1" s="1"/>
      <c r="S1" s="1"/>
      <c r="T1" s="1"/>
      <c r="U1" s="1"/>
      <c r="V1" s="1"/>
      <c r="W1" s="1"/>
      <c r="X1" s="1"/>
      <c r="Y1" s="1"/>
      <c r="Z1" s="1"/>
    </row>
    <row r="2" spans="1:26" ht="19.5" customHeight="1" x14ac:dyDescent="0.85">
      <c r="A2" s="776" t="s">
        <v>1</v>
      </c>
      <c r="B2" s="765"/>
      <c r="C2" s="765"/>
      <c r="D2" s="762"/>
      <c r="E2" s="2"/>
      <c r="F2" s="2"/>
      <c r="G2" s="2"/>
      <c r="H2" s="2"/>
      <c r="I2" s="2"/>
      <c r="J2" s="2"/>
      <c r="K2" s="2"/>
      <c r="L2" s="2"/>
      <c r="M2" s="2"/>
      <c r="N2" s="2"/>
      <c r="O2" s="2"/>
      <c r="P2" s="2"/>
      <c r="Q2" s="2"/>
      <c r="R2" s="2"/>
      <c r="S2" s="2"/>
      <c r="T2" s="2"/>
      <c r="U2" s="2"/>
      <c r="V2" s="2"/>
      <c r="W2" s="2"/>
      <c r="X2" s="3"/>
      <c r="Y2" s="3"/>
      <c r="Z2" s="3"/>
    </row>
    <row r="3" spans="1:26" ht="19.5" customHeight="1" outlineLevel="1" x14ac:dyDescent="0.85">
      <c r="A3" s="777" t="s">
        <v>2</v>
      </c>
      <c r="B3" s="778"/>
      <c r="C3" s="4"/>
      <c r="D3" s="5" t="s">
        <v>3</v>
      </c>
      <c r="E3" s="2"/>
      <c r="F3" s="2"/>
      <c r="G3" s="2"/>
      <c r="H3" s="2"/>
      <c r="I3" s="2"/>
      <c r="J3" s="2"/>
      <c r="K3" s="2"/>
      <c r="L3" s="2"/>
      <c r="M3" s="2"/>
      <c r="N3" s="2"/>
      <c r="O3" s="2"/>
      <c r="P3" s="2"/>
      <c r="Q3" s="2"/>
      <c r="R3" s="2"/>
      <c r="S3" s="2"/>
      <c r="T3" s="2"/>
      <c r="U3" s="2"/>
      <c r="V3" s="2"/>
      <c r="W3" s="2"/>
      <c r="X3" s="3"/>
      <c r="Y3" s="3"/>
      <c r="Z3" s="3"/>
    </row>
    <row r="4" spans="1:26" ht="19.5" customHeight="1" outlineLevel="1" x14ac:dyDescent="0.85">
      <c r="A4" s="787" t="s">
        <v>4</v>
      </c>
      <c r="B4" s="762"/>
      <c r="C4" s="6"/>
      <c r="D4" s="7">
        <v>2023</v>
      </c>
      <c r="E4" s="2"/>
      <c r="F4" s="2"/>
      <c r="G4" s="2"/>
      <c r="H4" s="2"/>
      <c r="I4" s="2"/>
      <c r="J4" s="2"/>
      <c r="K4" s="2"/>
      <c r="L4" s="2"/>
      <c r="M4" s="2"/>
      <c r="N4" s="2"/>
      <c r="O4" s="2"/>
      <c r="P4" s="2"/>
      <c r="Q4" s="2"/>
      <c r="R4" s="2"/>
      <c r="S4" s="2"/>
      <c r="T4" s="2"/>
      <c r="U4" s="2"/>
      <c r="V4" s="2"/>
      <c r="W4" s="2"/>
      <c r="X4" s="1"/>
      <c r="Y4" s="1"/>
      <c r="Z4" s="1"/>
    </row>
    <row r="5" spans="1:26" ht="41.25" customHeight="1" outlineLevel="1" x14ac:dyDescent="0.85">
      <c r="A5" s="788" t="s">
        <v>5</v>
      </c>
      <c r="B5" s="762"/>
      <c r="C5" s="6"/>
      <c r="D5" s="8"/>
      <c r="E5" s="2"/>
      <c r="F5" s="2"/>
      <c r="G5" s="2"/>
      <c r="H5" s="2"/>
      <c r="I5" s="2"/>
      <c r="J5" s="2"/>
      <c r="K5" s="2"/>
      <c r="L5" s="2"/>
      <c r="M5" s="2"/>
      <c r="N5" s="2"/>
      <c r="O5" s="2"/>
      <c r="P5" s="2"/>
      <c r="Q5" s="2"/>
      <c r="R5" s="2"/>
      <c r="S5" s="2"/>
      <c r="T5" s="2"/>
      <c r="U5" s="2"/>
      <c r="V5" s="2"/>
      <c r="W5" s="2"/>
      <c r="X5" s="1"/>
      <c r="Y5" s="1"/>
      <c r="Z5" s="1"/>
    </row>
    <row r="6" spans="1:26" ht="25.5" customHeight="1" outlineLevel="1" x14ac:dyDescent="0.85">
      <c r="A6" s="783" t="s">
        <v>6</v>
      </c>
      <c r="B6" s="762"/>
      <c r="C6" s="6"/>
      <c r="D6" s="6"/>
      <c r="E6" s="9"/>
      <c r="F6" s="2"/>
      <c r="G6" s="2"/>
      <c r="H6" s="2"/>
      <c r="I6" s="2"/>
      <c r="J6" s="2"/>
      <c r="K6" s="2"/>
      <c r="L6" s="2"/>
      <c r="M6" s="2"/>
      <c r="N6" s="2"/>
      <c r="O6" s="2"/>
      <c r="P6" s="2"/>
      <c r="Q6" s="2"/>
      <c r="R6" s="2"/>
      <c r="S6" s="2"/>
      <c r="T6" s="2"/>
      <c r="U6" s="2"/>
      <c r="V6" s="2"/>
      <c r="W6" s="2"/>
      <c r="X6" s="1"/>
      <c r="Y6" s="1"/>
      <c r="Z6" s="1"/>
    </row>
    <row r="7" spans="1:26" ht="25.5" customHeight="1" outlineLevel="1" x14ac:dyDescent="0.85">
      <c r="A7" s="784"/>
      <c r="B7" s="785"/>
      <c r="C7" s="785"/>
      <c r="D7" s="785"/>
      <c r="E7" s="9"/>
      <c r="F7" s="2"/>
      <c r="G7" s="2"/>
      <c r="H7" s="2"/>
      <c r="I7" s="2"/>
      <c r="J7" s="2"/>
      <c r="K7" s="2"/>
      <c r="L7" s="2"/>
      <c r="M7" s="2"/>
      <c r="N7" s="2"/>
      <c r="O7" s="2"/>
      <c r="P7" s="2"/>
      <c r="Q7" s="2"/>
      <c r="R7" s="2"/>
      <c r="S7" s="2"/>
      <c r="T7" s="2"/>
      <c r="U7" s="2"/>
      <c r="V7" s="2"/>
      <c r="W7" s="2"/>
      <c r="X7" s="1"/>
      <c r="Y7" s="1"/>
      <c r="Z7" s="1"/>
    </row>
    <row r="8" spans="1:26" ht="19.5" customHeight="1" x14ac:dyDescent="0.85">
      <c r="A8" s="776" t="s">
        <v>7</v>
      </c>
      <c r="B8" s="765"/>
      <c r="C8" s="765"/>
      <c r="D8" s="762"/>
      <c r="E8" s="2"/>
      <c r="F8" s="2"/>
      <c r="G8" s="2"/>
      <c r="H8" s="2"/>
      <c r="I8" s="2"/>
      <c r="J8" s="2"/>
      <c r="K8" s="2"/>
      <c r="L8" s="2"/>
      <c r="M8" s="2"/>
      <c r="N8" s="2"/>
      <c r="O8" s="2"/>
      <c r="P8" s="2"/>
      <c r="Q8" s="2"/>
      <c r="R8" s="2"/>
      <c r="S8" s="2"/>
      <c r="T8" s="2"/>
      <c r="U8" s="2"/>
      <c r="V8" s="2"/>
      <c r="W8" s="2"/>
      <c r="X8" s="3"/>
      <c r="Y8" s="3"/>
      <c r="Z8" s="3"/>
    </row>
    <row r="9" spans="1:26" ht="19.5" customHeight="1" outlineLevel="1" x14ac:dyDescent="0.85">
      <c r="A9" s="777" t="s">
        <v>8</v>
      </c>
      <c r="B9" s="778"/>
      <c r="C9" s="779" t="s">
        <v>9</v>
      </c>
      <c r="D9" s="762"/>
      <c r="E9" s="2"/>
      <c r="F9" s="2"/>
      <c r="G9" s="2"/>
      <c r="H9" s="2"/>
      <c r="I9" s="2"/>
      <c r="J9" s="2"/>
      <c r="K9" s="2"/>
      <c r="L9" s="2"/>
      <c r="M9" s="2"/>
      <c r="N9" s="2"/>
      <c r="O9" s="2"/>
      <c r="P9" s="2"/>
      <c r="Q9" s="2"/>
      <c r="R9" s="2"/>
      <c r="S9" s="2"/>
      <c r="T9" s="2"/>
      <c r="U9" s="2"/>
      <c r="V9" s="2"/>
      <c r="W9" s="2"/>
      <c r="X9" s="3"/>
      <c r="Y9" s="3"/>
      <c r="Z9" s="3"/>
    </row>
    <row r="10" spans="1:26" ht="19.5" customHeight="1" outlineLevel="1" x14ac:dyDescent="0.85">
      <c r="A10" s="10" t="s">
        <v>10</v>
      </c>
      <c r="B10" s="11" t="s">
        <v>11</v>
      </c>
      <c r="C10" s="12" t="s">
        <v>12</v>
      </c>
      <c r="D10" s="13" t="s">
        <v>13</v>
      </c>
      <c r="E10" s="14"/>
      <c r="F10" s="14"/>
      <c r="G10" s="14"/>
      <c r="H10" s="14"/>
      <c r="I10" s="14"/>
      <c r="J10" s="14"/>
      <c r="K10" s="14"/>
      <c r="L10" s="14"/>
      <c r="M10" s="14"/>
      <c r="N10" s="14"/>
      <c r="O10" s="14"/>
      <c r="P10" s="14"/>
      <c r="Q10" s="14"/>
      <c r="R10" s="14"/>
      <c r="S10" s="14"/>
      <c r="T10" s="14"/>
      <c r="U10" s="14"/>
      <c r="V10" s="14"/>
      <c r="W10" s="14"/>
      <c r="X10" s="15"/>
      <c r="Y10" s="15"/>
      <c r="Z10" s="15"/>
    </row>
    <row r="11" spans="1:26" ht="19.5" customHeight="1" outlineLevel="1" x14ac:dyDescent="0.85">
      <c r="A11" s="10" t="s">
        <v>14</v>
      </c>
      <c r="B11" s="16" t="s">
        <v>15</v>
      </c>
      <c r="C11" s="12" t="s">
        <v>14</v>
      </c>
      <c r="D11" s="17" t="s">
        <v>16</v>
      </c>
      <c r="E11" s="14"/>
      <c r="F11" s="14"/>
      <c r="G11" s="14"/>
      <c r="H11" s="14"/>
      <c r="I11" s="14"/>
      <c r="J11" s="14"/>
      <c r="K11" s="14"/>
      <c r="L11" s="14"/>
      <c r="M11" s="14"/>
      <c r="N11" s="14"/>
      <c r="O11" s="14"/>
      <c r="P11" s="14"/>
      <c r="Q11" s="14"/>
      <c r="R11" s="14"/>
      <c r="S11" s="14"/>
      <c r="T11" s="14"/>
      <c r="U11" s="14"/>
      <c r="V11" s="14"/>
      <c r="W11" s="14"/>
      <c r="X11" s="15"/>
      <c r="Y11" s="15"/>
      <c r="Z11" s="15"/>
    </row>
    <row r="12" spans="1:26" ht="19.5" customHeight="1" outlineLevel="1" x14ac:dyDescent="0.85">
      <c r="A12" s="10" t="s">
        <v>17</v>
      </c>
      <c r="B12" s="16" t="s">
        <v>18</v>
      </c>
      <c r="C12" s="12" t="s">
        <v>17</v>
      </c>
      <c r="D12" s="18" t="s">
        <v>19</v>
      </c>
      <c r="E12" s="14"/>
      <c r="F12" s="14"/>
      <c r="G12" s="14"/>
      <c r="H12" s="14"/>
      <c r="I12" s="14"/>
      <c r="J12" s="14"/>
      <c r="K12" s="14"/>
      <c r="L12" s="14"/>
      <c r="M12" s="14"/>
      <c r="N12" s="14"/>
      <c r="O12" s="14"/>
      <c r="P12" s="14"/>
      <c r="Q12" s="14"/>
      <c r="R12" s="14"/>
      <c r="S12" s="14"/>
      <c r="T12" s="14"/>
      <c r="U12" s="14"/>
      <c r="V12" s="14"/>
      <c r="W12" s="14"/>
      <c r="X12" s="15"/>
      <c r="Y12" s="15"/>
      <c r="Z12" s="15"/>
    </row>
    <row r="13" spans="1:26" ht="19.5" customHeight="1" outlineLevel="1" x14ac:dyDescent="0.85">
      <c r="A13" s="10" t="s">
        <v>20</v>
      </c>
      <c r="B13" s="17" t="s">
        <v>21</v>
      </c>
      <c r="C13" s="12" t="s">
        <v>22</v>
      </c>
      <c r="D13" s="17" t="s">
        <v>23</v>
      </c>
      <c r="E13" s="14"/>
      <c r="F13" s="14"/>
      <c r="G13" s="14"/>
      <c r="H13" s="14"/>
      <c r="I13" s="14"/>
      <c r="J13" s="14"/>
      <c r="K13" s="14"/>
      <c r="L13" s="14"/>
      <c r="M13" s="14"/>
      <c r="N13" s="14"/>
      <c r="O13" s="14"/>
      <c r="P13" s="14"/>
      <c r="Q13" s="14"/>
      <c r="R13" s="14"/>
      <c r="S13" s="14"/>
      <c r="T13" s="14"/>
      <c r="U13" s="14"/>
      <c r="V13" s="14"/>
      <c r="W13" s="14"/>
      <c r="X13" s="15"/>
      <c r="Y13" s="15"/>
      <c r="Z13" s="15"/>
    </row>
    <row r="14" spans="1:26" ht="19.5" customHeight="1" outlineLevel="1" x14ac:dyDescent="0.85">
      <c r="A14" s="12" t="s">
        <v>24</v>
      </c>
      <c r="B14" s="19" t="s">
        <v>25</v>
      </c>
      <c r="C14" s="12" t="s">
        <v>24</v>
      </c>
      <c r="D14" s="19" t="s">
        <v>26</v>
      </c>
      <c r="E14" s="14"/>
      <c r="F14" s="14"/>
      <c r="G14" s="14"/>
      <c r="H14" s="15"/>
      <c r="I14" s="15"/>
      <c r="J14" s="15"/>
      <c r="K14" s="15"/>
      <c r="L14" s="15"/>
      <c r="M14" s="15"/>
      <c r="N14" s="15"/>
      <c r="O14" s="15"/>
      <c r="P14" s="15"/>
      <c r="Q14" s="15"/>
      <c r="R14" s="15"/>
      <c r="S14" s="15"/>
      <c r="T14" s="15"/>
      <c r="U14" s="15"/>
      <c r="V14" s="15"/>
      <c r="W14" s="15"/>
      <c r="X14" s="15"/>
      <c r="Y14" s="15"/>
      <c r="Z14" s="15"/>
    </row>
    <row r="15" spans="1:26" ht="13.5" customHeight="1" outlineLevel="1" x14ac:dyDescent="0.85">
      <c r="A15" s="6"/>
      <c r="B15" s="1"/>
      <c r="C15" s="1"/>
      <c r="D15" s="1"/>
      <c r="E15" s="2"/>
      <c r="F15" s="2"/>
      <c r="G15" s="2"/>
      <c r="H15" s="1"/>
      <c r="I15" s="1"/>
      <c r="J15" s="1"/>
      <c r="K15" s="1"/>
      <c r="L15" s="1"/>
      <c r="M15" s="1"/>
      <c r="N15" s="1"/>
      <c r="O15" s="1"/>
      <c r="P15" s="1"/>
      <c r="Q15" s="1"/>
      <c r="R15" s="1"/>
      <c r="S15" s="1"/>
      <c r="T15" s="1"/>
      <c r="U15" s="1"/>
      <c r="V15" s="1"/>
      <c r="W15" s="1"/>
      <c r="X15" s="1"/>
      <c r="Y15" s="1"/>
      <c r="Z15" s="1"/>
    </row>
    <row r="16" spans="1:26" ht="27.75" customHeight="1" x14ac:dyDescent="0.85">
      <c r="A16" s="776" t="s">
        <v>27</v>
      </c>
      <c r="B16" s="765"/>
      <c r="C16" s="765"/>
      <c r="D16" s="762"/>
      <c r="E16" s="2"/>
      <c r="F16" s="2"/>
      <c r="G16" s="2"/>
      <c r="H16" s="2"/>
      <c r="I16" s="2"/>
      <c r="J16" s="2"/>
      <c r="K16" s="2"/>
      <c r="L16" s="2"/>
      <c r="M16" s="2"/>
      <c r="N16" s="2"/>
      <c r="O16" s="2"/>
      <c r="P16" s="2"/>
      <c r="Q16" s="2"/>
      <c r="R16" s="2"/>
      <c r="S16" s="2"/>
      <c r="T16" s="2"/>
      <c r="U16" s="2"/>
      <c r="V16" s="2"/>
      <c r="W16" s="2"/>
      <c r="X16" s="3"/>
      <c r="Y16" s="3"/>
      <c r="Z16" s="3"/>
    </row>
    <row r="17" spans="1:26" ht="19.5" customHeight="1" outlineLevel="1" x14ac:dyDescent="0.85">
      <c r="A17" s="20" t="s">
        <v>28</v>
      </c>
      <c r="B17" s="21" t="s">
        <v>29</v>
      </c>
      <c r="C17" s="780" t="s">
        <v>30</v>
      </c>
      <c r="D17" s="778"/>
      <c r="E17" s="2"/>
      <c r="F17" s="2"/>
      <c r="G17" s="2"/>
      <c r="H17" s="1"/>
      <c r="I17" s="1"/>
      <c r="J17" s="1"/>
      <c r="K17" s="1"/>
      <c r="L17" s="1"/>
      <c r="M17" s="1"/>
      <c r="N17" s="1"/>
      <c r="O17" s="1"/>
      <c r="P17" s="1"/>
      <c r="Q17" s="1"/>
      <c r="R17" s="1"/>
      <c r="S17" s="1"/>
      <c r="T17" s="1"/>
      <c r="U17" s="1"/>
      <c r="V17" s="1"/>
      <c r="W17" s="1"/>
      <c r="X17" s="1"/>
      <c r="Y17" s="1"/>
      <c r="Z17" s="1"/>
    </row>
    <row r="18" spans="1:26" ht="19.5" customHeight="1" outlineLevel="1" x14ac:dyDescent="0.85">
      <c r="A18" s="781" t="s">
        <v>31</v>
      </c>
      <c r="B18" s="765"/>
      <c r="C18" s="765"/>
      <c r="D18" s="762"/>
      <c r="E18" s="2"/>
      <c r="F18" s="2"/>
      <c r="G18" s="2"/>
      <c r="H18" s="1"/>
      <c r="I18" s="1"/>
      <c r="J18" s="1"/>
      <c r="K18" s="1"/>
      <c r="L18" s="1"/>
      <c r="M18" s="1"/>
      <c r="N18" s="1"/>
      <c r="O18" s="1"/>
      <c r="P18" s="1"/>
      <c r="Q18" s="1"/>
      <c r="R18" s="1"/>
      <c r="S18" s="1"/>
      <c r="T18" s="1"/>
      <c r="U18" s="1"/>
      <c r="V18" s="1"/>
      <c r="W18" s="1"/>
      <c r="X18" s="1"/>
      <c r="Y18" s="1"/>
      <c r="Z18" s="1"/>
    </row>
    <row r="19" spans="1:26" ht="19.5" customHeight="1" outlineLevel="1" x14ac:dyDescent="0.85">
      <c r="A19" s="771" t="s">
        <v>32</v>
      </c>
      <c r="B19" s="22" t="s">
        <v>33</v>
      </c>
      <c r="C19" s="766" t="s">
        <v>34</v>
      </c>
      <c r="D19" s="767"/>
      <c r="E19" s="14"/>
      <c r="F19" s="14"/>
      <c r="G19" s="14"/>
      <c r="H19" s="15"/>
      <c r="I19" s="15"/>
      <c r="J19" s="15"/>
      <c r="K19" s="15"/>
      <c r="L19" s="15"/>
      <c r="M19" s="15"/>
      <c r="N19" s="15"/>
      <c r="O19" s="15"/>
      <c r="P19" s="15"/>
      <c r="Q19" s="15"/>
      <c r="R19" s="15"/>
      <c r="S19" s="15"/>
      <c r="T19" s="15"/>
      <c r="U19" s="15"/>
      <c r="V19" s="15"/>
      <c r="W19" s="15"/>
      <c r="X19" s="15"/>
      <c r="Y19" s="15"/>
      <c r="Z19" s="15"/>
    </row>
    <row r="20" spans="1:26" ht="19.5" customHeight="1" outlineLevel="1" x14ac:dyDescent="0.85">
      <c r="A20" s="772"/>
      <c r="B20" s="22" t="s">
        <v>35</v>
      </c>
      <c r="C20" s="761" t="s">
        <v>36</v>
      </c>
      <c r="D20" s="762"/>
      <c r="E20" s="14"/>
      <c r="F20" s="14"/>
      <c r="G20" s="14"/>
      <c r="H20" s="15"/>
      <c r="I20" s="15"/>
      <c r="J20" s="15"/>
      <c r="K20" s="15"/>
      <c r="L20" s="15"/>
      <c r="M20" s="15"/>
      <c r="N20" s="15"/>
      <c r="O20" s="15"/>
      <c r="P20" s="15"/>
      <c r="Q20" s="15"/>
      <c r="R20" s="15"/>
      <c r="S20" s="15"/>
      <c r="T20" s="15"/>
      <c r="U20" s="15"/>
      <c r="V20" s="15"/>
      <c r="W20" s="15"/>
      <c r="X20" s="15"/>
      <c r="Y20" s="15"/>
      <c r="Z20" s="15"/>
    </row>
    <row r="21" spans="1:26" ht="19.5" customHeight="1" outlineLevel="1" x14ac:dyDescent="0.85">
      <c r="A21" s="772"/>
      <c r="B21" s="23" t="s">
        <v>37</v>
      </c>
      <c r="C21" s="761" t="s">
        <v>38</v>
      </c>
      <c r="D21" s="762"/>
      <c r="E21" s="14"/>
      <c r="F21" s="14"/>
      <c r="G21" s="14"/>
      <c r="H21" s="15"/>
      <c r="I21" s="15"/>
      <c r="J21" s="15"/>
      <c r="K21" s="15"/>
      <c r="L21" s="15"/>
      <c r="M21" s="15"/>
      <c r="N21" s="15"/>
      <c r="O21" s="15"/>
      <c r="P21" s="15"/>
      <c r="Q21" s="15"/>
      <c r="R21" s="15"/>
      <c r="S21" s="15"/>
      <c r="T21" s="15"/>
      <c r="U21" s="15"/>
      <c r="V21" s="15"/>
      <c r="W21" s="15"/>
      <c r="X21" s="15"/>
      <c r="Y21" s="15"/>
      <c r="Z21" s="15"/>
    </row>
    <row r="22" spans="1:26" ht="19.5" customHeight="1" outlineLevel="1" x14ac:dyDescent="0.85">
      <c r="A22" s="773"/>
      <c r="B22" s="23" t="s">
        <v>39</v>
      </c>
      <c r="C22" s="761" t="s">
        <v>40</v>
      </c>
      <c r="D22" s="762"/>
      <c r="E22" s="14"/>
      <c r="F22" s="14"/>
      <c r="G22" s="14"/>
      <c r="H22" s="15"/>
      <c r="I22" s="15"/>
      <c r="J22" s="15"/>
      <c r="K22" s="15"/>
      <c r="L22" s="15"/>
      <c r="M22" s="15"/>
      <c r="N22" s="15"/>
      <c r="O22" s="15"/>
      <c r="P22" s="15"/>
      <c r="Q22" s="15"/>
      <c r="R22" s="15"/>
      <c r="S22" s="15"/>
      <c r="T22" s="15"/>
      <c r="U22" s="15"/>
      <c r="V22" s="15"/>
      <c r="W22" s="15"/>
      <c r="X22" s="15"/>
      <c r="Y22" s="15"/>
      <c r="Z22" s="15"/>
    </row>
    <row r="23" spans="1:26" ht="19.5" customHeight="1" outlineLevel="1" x14ac:dyDescent="0.85">
      <c r="A23" s="782" t="s">
        <v>41</v>
      </c>
      <c r="B23" s="769"/>
      <c r="C23" s="769"/>
      <c r="D23" s="770"/>
      <c r="E23" s="1"/>
      <c r="F23" s="1"/>
      <c r="G23" s="1"/>
      <c r="H23" s="1"/>
      <c r="I23" s="1"/>
      <c r="J23" s="1"/>
      <c r="K23" s="1"/>
      <c r="L23" s="1"/>
      <c r="M23" s="1"/>
      <c r="N23" s="1"/>
      <c r="O23" s="1"/>
      <c r="P23" s="1"/>
      <c r="Q23" s="1"/>
      <c r="R23" s="1"/>
      <c r="S23" s="1"/>
      <c r="T23" s="1"/>
      <c r="U23" s="1"/>
      <c r="V23" s="1"/>
      <c r="W23" s="1"/>
      <c r="X23" s="1"/>
      <c r="Y23" s="1"/>
      <c r="Z23" s="1"/>
    </row>
    <row r="24" spans="1:26" ht="19.5" customHeight="1" outlineLevel="1" x14ac:dyDescent="0.85">
      <c r="A24" s="771" t="s">
        <v>32</v>
      </c>
      <c r="B24" s="23" t="s">
        <v>42</v>
      </c>
      <c r="C24" s="763" t="s">
        <v>43</v>
      </c>
      <c r="D24" s="762"/>
      <c r="E24" s="2"/>
      <c r="F24" s="2"/>
      <c r="G24" s="1"/>
      <c r="H24" s="1"/>
      <c r="I24" s="1"/>
      <c r="J24" s="1"/>
      <c r="K24" s="1"/>
      <c r="L24" s="1"/>
      <c r="M24" s="1"/>
      <c r="N24" s="1"/>
      <c r="O24" s="1"/>
      <c r="P24" s="1"/>
      <c r="Q24" s="1"/>
      <c r="R24" s="1"/>
      <c r="S24" s="1"/>
      <c r="T24" s="1"/>
      <c r="U24" s="1"/>
      <c r="V24" s="1"/>
      <c r="W24" s="1"/>
      <c r="X24" s="1"/>
      <c r="Y24" s="1"/>
      <c r="Z24" s="1"/>
    </row>
    <row r="25" spans="1:26" ht="19.5" customHeight="1" outlineLevel="1" x14ac:dyDescent="0.85">
      <c r="A25" s="772"/>
      <c r="B25" s="23" t="s">
        <v>44</v>
      </c>
      <c r="C25" s="763" t="s">
        <v>45</v>
      </c>
      <c r="D25" s="762"/>
      <c r="E25" s="2"/>
      <c r="F25" s="2"/>
      <c r="G25" s="1"/>
      <c r="H25" s="1"/>
      <c r="I25" s="1"/>
      <c r="J25" s="1"/>
      <c r="K25" s="1"/>
      <c r="L25" s="1"/>
      <c r="M25" s="1"/>
      <c r="N25" s="1"/>
      <c r="O25" s="1"/>
      <c r="P25" s="1"/>
      <c r="Q25" s="1"/>
      <c r="R25" s="1"/>
      <c r="S25" s="1"/>
      <c r="T25" s="1"/>
      <c r="U25" s="1"/>
      <c r="V25" s="1"/>
      <c r="W25" s="1"/>
      <c r="X25" s="1"/>
      <c r="Y25" s="1"/>
      <c r="Z25" s="1"/>
    </row>
    <row r="26" spans="1:26" ht="19.5" customHeight="1" outlineLevel="1" x14ac:dyDescent="0.85">
      <c r="A26" s="772"/>
      <c r="B26" s="23" t="s">
        <v>46</v>
      </c>
      <c r="C26" s="763" t="s">
        <v>47</v>
      </c>
      <c r="D26" s="762"/>
      <c r="E26" s="2"/>
      <c r="F26" s="2"/>
      <c r="G26" s="1"/>
      <c r="H26" s="1"/>
      <c r="I26" s="1"/>
      <c r="J26" s="1"/>
      <c r="K26" s="1"/>
      <c r="L26" s="1"/>
      <c r="M26" s="1"/>
      <c r="N26" s="1"/>
      <c r="O26" s="1"/>
      <c r="P26" s="1"/>
      <c r="Q26" s="1"/>
      <c r="R26" s="1"/>
      <c r="S26" s="1"/>
      <c r="T26" s="1"/>
      <c r="U26" s="1"/>
      <c r="V26" s="1"/>
      <c r="W26" s="1"/>
      <c r="X26" s="1"/>
      <c r="Y26" s="1"/>
      <c r="Z26" s="1"/>
    </row>
    <row r="27" spans="1:26" ht="19.5" customHeight="1" outlineLevel="1" x14ac:dyDescent="0.85">
      <c r="A27" s="772"/>
      <c r="B27" s="23" t="s">
        <v>48</v>
      </c>
      <c r="C27" s="763" t="s">
        <v>49</v>
      </c>
      <c r="D27" s="762"/>
      <c r="E27" s="2"/>
      <c r="F27" s="2"/>
      <c r="G27" s="1"/>
      <c r="H27" s="1"/>
      <c r="I27" s="1"/>
      <c r="J27" s="1"/>
      <c r="K27" s="1"/>
      <c r="L27" s="1"/>
      <c r="M27" s="1"/>
      <c r="N27" s="1"/>
      <c r="O27" s="1"/>
      <c r="P27" s="1"/>
      <c r="Q27" s="1"/>
      <c r="R27" s="1"/>
      <c r="S27" s="1"/>
      <c r="T27" s="1"/>
      <c r="U27" s="1"/>
      <c r="V27" s="1"/>
      <c r="W27" s="1"/>
      <c r="X27" s="1"/>
      <c r="Y27" s="1"/>
      <c r="Z27" s="1"/>
    </row>
    <row r="28" spans="1:26" ht="19.5" customHeight="1" outlineLevel="1" x14ac:dyDescent="0.85">
      <c r="A28" s="772"/>
      <c r="B28" s="23" t="s">
        <v>50</v>
      </c>
      <c r="C28" s="763" t="s">
        <v>51</v>
      </c>
      <c r="D28" s="762"/>
      <c r="E28" s="1"/>
      <c r="F28" s="1"/>
      <c r="G28" s="1"/>
      <c r="H28" s="1"/>
      <c r="I28" s="1"/>
      <c r="J28" s="1"/>
      <c r="K28" s="1"/>
      <c r="L28" s="1"/>
      <c r="M28" s="1"/>
      <c r="N28" s="1"/>
      <c r="O28" s="1"/>
      <c r="P28" s="1"/>
      <c r="Q28" s="1"/>
      <c r="R28" s="1"/>
      <c r="S28" s="1"/>
      <c r="T28" s="1"/>
      <c r="U28" s="1"/>
      <c r="V28" s="1"/>
      <c r="W28" s="1"/>
      <c r="X28" s="1"/>
      <c r="Y28" s="1"/>
      <c r="Z28" s="1"/>
    </row>
    <row r="29" spans="1:26" ht="19.5" customHeight="1" outlineLevel="1" x14ac:dyDescent="0.85">
      <c r="A29" s="774"/>
      <c r="B29" s="23" t="s">
        <v>52</v>
      </c>
      <c r="C29" s="763" t="s">
        <v>53</v>
      </c>
      <c r="D29" s="762"/>
      <c r="E29" s="1"/>
      <c r="F29" s="1"/>
      <c r="G29" s="1"/>
      <c r="H29" s="1"/>
      <c r="I29" s="1"/>
      <c r="J29" s="1"/>
      <c r="K29" s="1"/>
      <c r="L29" s="1"/>
      <c r="M29" s="1"/>
      <c r="N29" s="1"/>
      <c r="O29" s="1"/>
      <c r="P29" s="1"/>
      <c r="Q29" s="1"/>
      <c r="R29" s="1"/>
      <c r="S29" s="1"/>
      <c r="T29" s="1"/>
      <c r="U29" s="1"/>
      <c r="V29" s="1"/>
      <c r="W29" s="1"/>
      <c r="X29" s="1"/>
      <c r="Y29" s="1"/>
      <c r="Z29" s="1"/>
    </row>
    <row r="30" spans="1:26" ht="19.5" customHeight="1" outlineLevel="1" x14ac:dyDescent="0.85">
      <c r="A30" s="764" t="s">
        <v>54</v>
      </c>
      <c r="B30" s="765"/>
      <c r="C30" s="765"/>
      <c r="D30" s="762"/>
      <c r="E30" s="1"/>
      <c r="F30" s="1"/>
      <c r="G30" s="1"/>
      <c r="H30" s="1"/>
      <c r="I30" s="1"/>
      <c r="J30" s="1"/>
      <c r="K30" s="1"/>
      <c r="L30" s="1"/>
      <c r="M30" s="1"/>
      <c r="N30" s="1"/>
      <c r="O30" s="1"/>
      <c r="P30" s="1"/>
      <c r="Q30" s="1"/>
      <c r="R30" s="1"/>
      <c r="S30" s="1"/>
      <c r="T30" s="1"/>
      <c r="U30" s="1"/>
      <c r="V30" s="1"/>
      <c r="W30" s="1"/>
      <c r="X30" s="1"/>
      <c r="Y30" s="1"/>
      <c r="Z30" s="1"/>
    </row>
    <row r="31" spans="1:26" ht="41.25" customHeight="1" outlineLevel="1" x14ac:dyDescent="0.85">
      <c r="A31" s="24" t="s">
        <v>32</v>
      </c>
      <c r="B31" s="25" t="s">
        <v>55</v>
      </c>
      <c r="C31" s="766" t="s">
        <v>56</v>
      </c>
      <c r="D31" s="767"/>
      <c r="E31" s="26"/>
      <c r="F31" s="26"/>
      <c r="G31" s="26"/>
      <c r="H31" s="26"/>
      <c r="I31" s="26"/>
      <c r="J31" s="26"/>
      <c r="K31" s="26"/>
      <c r="L31" s="26"/>
      <c r="M31" s="26"/>
      <c r="N31" s="26"/>
      <c r="O31" s="26"/>
      <c r="P31" s="26"/>
      <c r="Q31" s="26"/>
      <c r="R31" s="26"/>
      <c r="S31" s="26"/>
      <c r="T31" s="26"/>
      <c r="U31" s="26"/>
      <c r="V31" s="26"/>
      <c r="W31" s="26"/>
      <c r="X31" s="26"/>
      <c r="Y31" s="26"/>
      <c r="Z31" s="26"/>
    </row>
    <row r="32" spans="1:26" ht="19.5" customHeight="1" outlineLevel="1" x14ac:dyDescent="0.85">
      <c r="A32" s="768" t="s">
        <v>57</v>
      </c>
      <c r="B32" s="769"/>
      <c r="C32" s="769"/>
      <c r="D32" s="770"/>
      <c r="E32" s="1"/>
      <c r="F32" s="1"/>
      <c r="G32" s="1"/>
      <c r="H32" s="1"/>
      <c r="I32" s="1"/>
      <c r="J32" s="1"/>
      <c r="K32" s="1"/>
      <c r="L32" s="1"/>
      <c r="M32" s="1"/>
      <c r="N32" s="1"/>
      <c r="O32" s="1"/>
      <c r="P32" s="1"/>
      <c r="Q32" s="1"/>
      <c r="R32" s="1"/>
      <c r="S32" s="1"/>
      <c r="T32" s="1"/>
      <c r="U32" s="1"/>
      <c r="V32" s="1"/>
      <c r="W32" s="1"/>
      <c r="X32" s="1"/>
      <c r="Y32" s="1"/>
      <c r="Z32" s="1"/>
    </row>
    <row r="33" spans="1:26" ht="19.5" customHeight="1" outlineLevel="1" x14ac:dyDescent="0.85">
      <c r="A33" s="775" t="s">
        <v>58</v>
      </c>
      <c r="B33" s="23" t="s">
        <v>59</v>
      </c>
      <c r="C33" s="761" t="s">
        <v>60</v>
      </c>
      <c r="D33" s="762"/>
      <c r="E33" s="1"/>
      <c r="F33" s="1"/>
      <c r="G33" s="1"/>
      <c r="H33" s="1"/>
      <c r="I33" s="1"/>
      <c r="J33" s="1"/>
      <c r="K33" s="1"/>
      <c r="L33" s="1"/>
      <c r="M33" s="1"/>
      <c r="N33" s="1"/>
      <c r="O33" s="1"/>
      <c r="P33" s="1"/>
      <c r="Q33" s="1"/>
      <c r="R33" s="1"/>
      <c r="S33" s="1"/>
      <c r="T33" s="1"/>
      <c r="U33" s="1"/>
      <c r="V33" s="1"/>
      <c r="W33" s="1"/>
      <c r="X33" s="1"/>
      <c r="Y33" s="1"/>
      <c r="Z33" s="1"/>
    </row>
    <row r="34" spans="1:26" ht="19.5" customHeight="1" outlineLevel="1" x14ac:dyDescent="0.85">
      <c r="A34" s="772"/>
      <c r="B34" s="23" t="s">
        <v>61</v>
      </c>
      <c r="C34" s="761" t="s">
        <v>62</v>
      </c>
      <c r="D34" s="762"/>
      <c r="E34" s="1"/>
      <c r="F34" s="1"/>
      <c r="G34" s="1"/>
      <c r="H34" s="1"/>
      <c r="I34" s="1"/>
      <c r="J34" s="1"/>
      <c r="K34" s="1"/>
      <c r="L34" s="1"/>
      <c r="M34" s="1"/>
      <c r="N34" s="1"/>
      <c r="O34" s="1"/>
      <c r="P34" s="1"/>
      <c r="Q34" s="1"/>
      <c r="R34" s="1"/>
      <c r="S34" s="1"/>
      <c r="T34" s="1"/>
      <c r="U34" s="1"/>
      <c r="V34" s="1"/>
      <c r="W34" s="1"/>
      <c r="X34" s="1"/>
      <c r="Y34" s="1"/>
      <c r="Z34" s="1"/>
    </row>
    <row r="35" spans="1:26" ht="19.5" customHeight="1" outlineLevel="1" x14ac:dyDescent="0.85">
      <c r="A35" s="772"/>
      <c r="B35" s="23" t="s">
        <v>63</v>
      </c>
      <c r="C35" s="761" t="s">
        <v>64</v>
      </c>
      <c r="D35" s="762"/>
      <c r="E35" s="1"/>
      <c r="F35" s="1"/>
      <c r="G35" s="1"/>
      <c r="H35" s="1"/>
      <c r="I35" s="1"/>
      <c r="J35" s="1"/>
      <c r="K35" s="1"/>
      <c r="L35" s="1"/>
      <c r="M35" s="1"/>
      <c r="N35" s="1"/>
      <c r="O35" s="1"/>
      <c r="P35" s="1"/>
      <c r="Q35" s="1"/>
      <c r="R35" s="1"/>
      <c r="S35" s="1"/>
      <c r="T35" s="1"/>
      <c r="U35" s="1"/>
      <c r="V35" s="1"/>
      <c r="W35" s="1"/>
      <c r="X35" s="1"/>
      <c r="Y35" s="1"/>
      <c r="Z35" s="1"/>
    </row>
    <row r="36" spans="1:26" ht="19.5" customHeight="1" outlineLevel="1" x14ac:dyDescent="0.85">
      <c r="A36" s="772"/>
      <c r="B36" s="23" t="s">
        <v>65</v>
      </c>
      <c r="C36" s="761" t="s">
        <v>66</v>
      </c>
      <c r="D36" s="762"/>
      <c r="E36" s="1"/>
      <c r="F36" s="1"/>
      <c r="G36" s="1"/>
      <c r="H36" s="1"/>
      <c r="I36" s="1"/>
      <c r="J36" s="1"/>
      <c r="K36" s="1"/>
      <c r="L36" s="1"/>
      <c r="M36" s="1"/>
      <c r="N36" s="1"/>
      <c r="O36" s="1"/>
      <c r="P36" s="1"/>
      <c r="Q36" s="1"/>
      <c r="R36" s="1"/>
      <c r="S36" s="1"/>
      <c r="T36" s="1"/>
      <c r="U36" s="1"/>
      <c r="V36" s="1"/>
      <c r="W36" s="1"/>
      <c r="X36" s="1"/>
      <c r="Y36" s="1"/>
      <c r="Z36" s="1"/>
    </row>
    <row r="37" spans="1:26" ht="19.5" customHeight="1" outlineLevel="1" x14ac:dyDescent="0.85">
      <c r="A37" s="772"/>
      <c r="B37" s="23" t="s">
        <v>67</v>
      </c>
      <c r="C37" s="761" t="s">
        <v>68</v>
      </c>
      <c r="D37" s="762"/>
      <c r="E37" s="1"/>
      <c r="F37" s="1"/>
      <c r="G37" s="1"/>
      <c r="H37" s="1"/>
      <c r="I37" s="1"/>
      <c r="J37" s="1"/>
      <c r="K37" s="1"/>
      <c r="L37" s="1"/>
      <c r="M37" s="1"/>
      <c r="N37" s="1"/>
      <c r="O37" s="1"/>
      <c r="P37" s="1"/>
      <c r="Q37" s="1"/>
      <c r="R37" s="1"/>
      <c r="S37" s="1"/>
      <c r="T37" s="1"/>
      <c r="U37" s="1"/>
      <c r="V37" s="1"/>
      <c r="W37" s="1"/>
      <c r="X37" s="1"/>
      <c r="Y37" s="1"/>
      <c r="Z37" s="1"/>
    </row>
    <row r="38" spans="1:26" ht="19.5" customHeight="1" outlineLevel="1" x14ac:dyDescent="0.85">
      <c r="A38" s="772"/>
      <c r="B38" s="23" t="s">
        <v>69</v>
      </c>
      <c r="C38" s="761" t="s">
        <v>70</v>
      </c>
      <c r="D38" s="762"/>
      <c r="E38" s="1"/>
      <c r="F38" s="1"/>
      <c r="G38" s="1"/>
      <c r="H38" s="1"/>
      <c r="I38" s="1"/>
      <c r="J38" s="1"/>
      <c r="K38" s="1"/>
      <c r="L38" s="1"/>
      <c r="M38" s="1"/>
      <c r="N38" s="1"/>
      <c r="O38" s="1"/>
      <c r="P38" s="1"/>
      <c r="Q38" s="1"/>
      <c r="R38" s="1"/>
      <c r="S38" s="1"/>
      <c r="T38" s="1"/>
      <c r="U38" s="1"/>
      <c r="V38" s="1"/>
      <c r="W38" s="1"/>
      <c r="X38" s="1"/>
      <c r="Y38" s="1"/>
      <c r="Z38" s="1"/>
    </row>
    <row r="39" spans="1:26" ht="19.5" customHeight="1" outlineLevel="1" x14ac:dyDescent="0.85">
      <c r="A39" s="772"/>
      <c r="B39" s="23" t="s">
        <v>71</v>
      </c>
      <c r="C39" s="761" t="s">
        <v>72</v>
      </c>
      <c r="D39" s="762"/>
      <c r="E39" s="1"/>
      <c r="F39" s="1"/>
      <c r="G39" s="1"/>
      <c r="H39" s="1"/>
      <c r="I39" s="1"/>
      <c r="J39" s="1"/>
      <c r="K39" s="1"/>
      <c r="L39" s="1"/>
      <c r="M39" s="1"/>
      <c r="N39" s="1"/>
      <c r="O39" s="1"/>
      <c r="P39" s="1"/>
      <c r="Q39" s="1"/>
      <c r="R39" s="1"/>
      <c r="S39" s="1"/>
      <c r="T39" s="1"/>
      <c r="U39" s="1"/>
      <c r="V39" s="1"/>
      <c r="W39" s="1"/>
      <c r="X39" s="1"/>
      <c r="Y39" s="1"/>
      <c r="Z39" s="1"/>
    </row>
    <row r="40" spans="1:26" ht="20.25" customHeight="1" outlineLevel="1" x14ac:dyDescent="0.85">
      <c r="A40" s="772"/>
      <c r="B40" s="23" t="s">
        <v>73</v>
      </c>
      <c r="C40" s="761" t="s">
        <v>74</v>
      </c>
      <c r="D40" s="762"/>
      <c r="E40" s="1"/>
      <c r="F40" s="1"/>
      <c r="G40" s="1"/>
      <c r="H40" s="1"/>
      <c r="I40" s="1"/>
      <c r="J40" s="1"/>
      <c r="K40" s="1"/>
      <c r="L40" s="1"/>
      <c r="M40" s="1"/>
      <c r="N40" s="1"/>
      <c r="O40" s="1"/>
      <c r="P40" s="1"/>
      <c r="Q40" s="1"/>
      <c r="R40" s="1"/>
      <c r="S40" s="1"/>
      <c r="T40" s="1"/>
      <c r="U40" s="1"/>
      <c r="V40" s="1"/>
      <c r="W40" s="1"/>
      <c r="X40" s="1"/>
      <c r="Y40" s="1"/>
      <c r="Z40" s="1"/>
    </row>
    <row r="41" spans="1:26" ht="19.5" customHeight="1" outlineLevel="1" x14ac:dyDescent="0.85">
      <c r="A41" s="772"/>
      <c r="B41" s="23" t="s">
        <v>75</v>
      </c>
      <c r="C41" s="761" t="s">
        <v>76</v>
      </c>
      <c r="D41" s="762"/>
      <c r="E41" s="1"/>
      <c r="F41" s="1"/>
      <c r="G41" s="1"/>
      <c r="H41" s="1"/>
      <c r="I41" s="1"/>
      <c r="J41" s="1"/>
      <c r="K41" s="1"/>
      <c r="L41" s="1"/>
      <c r="M41" s="1"/>
      <c r="N41" s="1"/>
      <c r="O41" s="1"/>
      <c r="P41" s="1"/>
      <c r="Q41" s="1"/>
      <c r="R41" s="1"/>
      <c r="S41" s="1"/>
      <c r="T41" s="1"/>
      <c r="U41" s="1"/>
      <c r="V41" s="1"/>
      <c r="W41" s="1"/>
      <c r="X41" s="1"/>
      <c r="Y41" s="1"/>
      <c r="Z41" s="1"/>
    </row>
    <row r="42" spans="1:26" ht="19.5" customHeight="1" outlineLevel="1" x14ac:dyDescent="0.85">
      <c r="A42" s="772"/>
      <c r="B42" s="23" t="s">
        <v>77</v>
      </c>
      <c r="C42" s="761" t="s">
        <v>78</v>
      </c>
      <c r="D42" s="762"/>
      <c r="E42" s="1"/>
      <c r="F42" s="1"/>
      <c r="G42" s="1"/>
      <c r="H42" s="1"/>
      <c r="I42" s="1"/>
      <c r="J42" s="1"/>
      <c r="K42" s="1"/>
      <c r="L42" s="1"/>
      <c r="M42" s="1"/>
      <c r="N42" s="1"/>
      <c r="O42" s="1"/>
      <c r="P42" s="1"/>
      <c r="Q42" s="1"/>
      <c r="R42" s="1"/>
      <c r="S42" s="1"/>
      <c r="T42" s="1"/>
      <c r="U42" s="1"/>
      <c r="V42" s="1"/>
      <c r="W42" s="1"/>
      <c r="X42" s="1"/>
      <c r="Y42" s="1"/>
      <c r="Z42" s="1"/>
    </row>
    <row r="43" spans="1:26" ht="19.5" customHeight="1" outlineLevel="1" x14ac:dyDescent="0.85">
      <c r="A43" s="772"/>
      <c r="B43" s="23" t="s">
        <v>79</v>
      </c>
      <c r="C43" s="761" t="s">
        <v>80</v>
      </c>
      <c r="D43" s="762"/>
      <c r="E43" s="1"/>
      <c r="F43" s="1"/>
      <c r="G43" s="1"/>
      <c r="H43" s="1"/>
      <c r="I43" s="1"/>
      <c r="J43" s="1"/>
      <c r="K43" s="1"/>
      <c r="L43" s="1"/>
      <c r="M43" s="1"/>
      <c r="N43" s="1"/>
      <c r="O43" s="1"/>
      <c r="P43" s="1"/>
      <c r="Q43" s="1"/>
      <c r="R43" s="1"/>
      <c r="S43" s="1"/>
      <c r="T43" s="1"/>
      <c r="U43" s="1"/>
      <c r="V43" s="1"/>
      <c r="W43" s="1"/>
      <c r="X43" s="1"/>
      <c r="Y43" s="1"/>
      <c r="Z43" s="1"/>
    </row>
    <row r="44" spans="1:26" ht="19.5" customHeight="1" outlineLevel="1" x14ac:dyDescent="0.85">
      <c r="A44" s="772"/>
      <c r="B44" s="23" t="s">
        <v>81</v>
      </c>
      <c r="C44" s="761" t="s">
        <v>82</v>
      </c>
      <c r="D44" s="762"/>
      <c r="E44" s="1"/>
      <c r="F44" s="1"/>
      <c r="G44" s="1"/>
      <c r="H44" s="1"/>
      <c r="I44" s="1"/>
      <c r="J44" s="1"/>
      <c r="K44" s="1"/>
      <c r="L44" s="1"/>
      <c r="M44" s="1"/>
      <c r="N44" s="1"/>
      <c r="O44" s="1"/>
      <c r="P44" s="1"/>
      <c r="Q44" s="1"/>
      <c r="R44" s="1"/>
      <c r="S44" s="1"/>
      <c r="T44" s="1"/>
      <c r="U44" s="1"/>
      <c r="V44" s="1"/>
      <c r="W44" s="1"/>
      <c r="X44" s="1"/>
      <c r="Y44" s="1"/>
      <c r="Z44" s="1"/>
    </row>
    <row r="45" spans="1:26" ht="19.5" customHeight="1" outlineLevel="1" x14ac:dyDescent="0.85">
      <c r="A45" s="772"/>
      <c r="B45" s="23" t="s">
        <v>83</v>
      </c>
      <c r="C45" s="761" t="s">
        <v>84</v>
      </c>
      <c r="D45" s="762"/>
      <c r="E45" s="1"/>
      <c r="F45" s="1"/>
      <c r="G45" s="1"/>
      <c r="H45" s="1"/>
      <c r="I45" s="1"/>
      <c r="J45" s="1"/>
      <c r="K45" s="1"/>
      <c r="L45" s="1"/>
      <c r="M45" s="1"/>
      <c r="N45" s="1"/>
      <c r="O45" s="1"/>
      <c r="P45" s="1"/>
      <c r="Q45" s="1"/>
      <c r="R45" s="1"/>
      <c r="S45" s="1"/>
      <c r="T45" s="1"/>
      <c r="U45" s="1"/>
      <c r="V45" s="1"/>
      <c r="W45" s="1"/>
      <c r="X45" s="1"/>
      <c r="Y45" s="1"/>
      <c r="Z45" s="1"/>
    </row>
    <row r="46" spans="1:26" ht="19.5" customHeight="1" outlineLevel="1" x14ac:dyDescent="0.85">
      <c r="A46" s="774"/>
      <c r="B46" s="23" t="s">
        <v>85</v>
      </c>
      <c r="C46" s="761" t="s">
        <v>86</v>
      </c>
      <c r="D46" s="762"/>
      <c r="E46" s="1"/>
      <c r="F46" s="1"/>
      <c r="G46" s="1"/>
      <c r="H46" s="1"/>
      <c r="I46" s="1"/>
      <c r="J46" s="1"/>
      <c r="K46" s="1"/>
      <c r="L46" s="1"/>
      <c r="M46" s="1"/>
      <c r="N46" s="1"/>
      <c r="O46" s="1"/>
      <c r="P46" s="1"/>
      <c r="Q46" s="1"/>
      <c r="R46" s="1"/>
      <c r="S46" s="1"/>
      <c r="T46" s="1"/>
      <c r="U46" s="1"/>
      <c r="V46" s="1"/>
      <c r="W46" s="1"/>
      <c r="X46" s="1"/>
      <c r="Y46" s="1"/>
      <c r="Z46" s="1"/>
    </row>
    <row r="47" spans="1:26" ht="19.5" customHeight="1" x14ac:dyDescent="0.85">
      <c r="A47" s="1"/>
      <c r="B47" s="6"/>
      <c r="C47" s="6"/>
      <c r="D47" s="6"/>
      <c r="E47" s="1"/>
      <c r="F47" s="1"/>
      <c r="G47" s="1"/>
      <c r="H47" s="1"/>
      <c r="I47" s="1"/>
      <c r="J47" s="1"/>
      <c r="K47" s="1"/>
      <c r="L47" s="1"/>
      <c r="M47" s="1"/>
      <c r="N47" s="1"/>
      <c r="O47" s="1"/>
      <c r="P47" s="1"/>
      <c r="Q47" s="1"/>
      <c r="R47" s="1"/>
      <c r="S47" s="1"/>
      <c r="T47" s="1"/>
      <c r="U47" s="1"/>
      <c r="V47" s="1"/>
      <c r="W47" s="1"/>
      <c r="X47" s="1"/>
      <c r="Y47" s="1"/>
      <c r="Z47" s="1"/>
    </row>
    <row r="48" spans="1:26" ht="19.5" customHeight="1" x14ac:dyDescent="0.85">
      <c r="A48" s="1"/>
      <c r="B48" s="9"/>
      <c r="C48" s="9"/>
      <c r="D48" s="9"/>
      <c r="E48" s="1"/>
      <c r="F48" s="1"/>
      <c r="G48" s="1"/>
      <c r="H48" s="1"/>
      <c r="I48" s="1"/>
      <c r="J48" s="1"/>
      <c r="K48" s="1"/>
      <c r="L48" s="1"/>
      <c r="M48" s="1"/>
      <c r="N48" s="1"/>
      <c r="O48" s="1"/>
      <c r="P48" s="1"/>
      <c r="Q48" s="1"/>
      <c r="R48" s="1"/>
      <c r="S48" s="1"/>
      <c r="T48" s="1"/>
      <c r="U48" s="1"/>
      <c r="V48" s="1"/>
      <c r="W48" s="1"/>
      <c r="X48" s="1"/>
      <c r="Y48" s="1"/>
      <c r="Z48" s="1"/>
    </row>
    <row r="49" spans="1:26" ht="19.5" customHeight="1" x14ac:dyDescent="0.85">
      <c r="A49" s="9"/>
      <c r="B49" s="9"/>
      <c r="C49" s="9"/>
      <c r="D49" s="9"/>
      <c r="E49" s="1"/>
      <c r="F49" s="1"/>
      <c r="G49" s="1"/>
      <c r="H49" s="1"/>
      <c r="I49" s="1"/>
      <c r="J49" s="1"/>
      <c r="K49" s="1"/>
      <c r="L49" s="1"/>
      <c r="M49" s="1"/>
      <c r="N49" s="1"/>
      <c r="O49" s="1"/>
      <c r="P49" s="1"/>
      <c r="Q49" s="1"/>
      <c r="R49" s="1"/>
      <c r="S49" s="1"/>
      <c r="T49" s="1"/>
      <c r="U49" s="1"/>
      <c r="V49" s="1"/>
      <c r="W49" s="1"/>
      <c r="X49" s="1"/>
      <c r="Y49" s="1"/>
      <c r="Z49" s="1"/>
    </row>
    <row r="50" spans="1:26" ht="19.5" customHeight="1" x14ac:dyDescent="0.85">
      <c r="A50" s="9"/>
      <c r="B50" s="9"/>
      <c r="C50" s="9"/>
      <c r="D50" s="9"/>
      <c r="E50" s="1"/>
      <c r="F50" s="1"/>
      <c r="G50" s="1"/>
      <c r="H50" s="1"/>
      <c r="I50" s="1"/>
      <c r="J50" s="1"/>
      <c r="K50" s="1"/>
      <c r="L50" s="1"/>
      <c r="M50" s="1"/>
      <c r="N50" s="1"/>
      <c r="O50" s="1"/>
      <c r="P50" s="1"/>
      <c r="Q50" s="1"/>
      <c r="R50" s="1"/>
      <c r="S50" s="1"/>
      <c r="T50" s="1"/>
      <c r="U50" s="1"/>
      <c r="V50" s="1"/>
      <c r="W50" s="1"/>
      <c r="X50" s="1"/>
      <c r="Y50" s="1"/>
      <c r="Z50" s="1"/>
    </row>
    <row r="51" spans="1:26" ht="19.5" customHeight="1" x14ac:dyDescent="0.85">
      <c r="A51" s="9"/>
      <c r="B51" s="9"/>
      <c r="C51" s="9"/>
      <c r="D51" s="9"/>
      <c r="E51" s="1"/>
      <c r="F51" s="1"/>
      <c r="G51" s="1"/>
      <c r="H51" s="1"/>
      <c r="I51" s="1"/>
      <c r="J51" s="1"/>
      <c r="K51" s="1"/>
      <c r="L51" s="1"/>
      <c r="M51" s="1"/>
      <c r="N51" s="1"/>
      <c r="O51" s="1"/>
      <c r="P51" s="1"/>
      <c r="Q51" s="1"/>
      <c r="R51" s="1"/>
      <c r="S51" s="1"/>
      <c r="T51" s="1"/>
      <c r="U51" s="1"/>
      <c r="V51" s="1"/>
      <c r="W51" s="1"/>
      <c r="X51" s="1"/>
      <c r="Y51" s="1"/>
      <c r="Z51" s="1"/>
    </row>
    <row r="52" spans="1:26" ht="19.5" customHeight="1" x14ac:dyDescent="0.85">
      <c r="A52" s="9"/>
      <c r="B52" s="9"/>
      <c r="C52" s="9"/>
      <c r="D52" s="9"/>
      <c r="E52" s="1"/>
      <c r="F52" s="1"/>
      <c r="G52" s="1"/>
      <c r="H52" s="1"/>
      <c r="I52" s="1"/>
      <c r="J52" s="1"/>
      <c r="K52" s="1"/>
      <c r="L52" s="1"/>
      <c r="M52" s="1"/>
      <c r="N52" s="1"/>
      <c r="O52" s="1"/>
      <c r="P52" s="1"/>
      <c r="Q52" s="1"/>
      <c r="R52" s="1"/>
      <c r="S52" s="1"/>
      <c r="T52" s="1"/>
      <c r="U52" s="1"/>
      <c r="V52" s="1"/>
      <c r="W52" s="1"/>
      <c r="X52" s="1"/>
      <c r="Y52" s="1"/>
      <c r="Z52" s="1"/>
    </row>
    <row r="53" spans="1:26" ht="19.5" customHeight="1" x14ac:dyDescent="0.85">
      <c r="A53" s="9"/>
      <c r="B53" s="9"/>
      <c r="C53" s="9"/>
      <c r="D53" s="9"/>
      <c r="E53" s="1"/>
      <c r="F53" s="1"/>
      <c r="G53" s="1"/>
      <c r="H53" s="1"/>
      <c r="I53" s="1"/>
      <c r="J53" s="1"/>
      <c r="K53" s="1"/>
      <c r="L53" s="1"/>
      <c r="M53" s="1"/>
      <c r="N53" s="1"/>
      <c r="O53" s="1"/>
      <c r="P53" s="1"/>
      <c r="Q53" s="1"/>
      <c r="R53" s="1"/>
      <c r="S53" s="1"/>
      <c r="T53" s="1"/>
      <c r="U53" s="1"/>
      <c r="V53" s="1"/>
      <c r="W53" s="1"/>
      <c r="X53" s="1"/>
      <c r="Y53" s="1"/>
      <c r="Z53" s="1"/>
    </row>
    <row r="54" spans="1:26" ht="19.5" customHeight="1" x14ac:dyDescent="0.85">
      <c r="A54" s="9"/>
      <c r="B54" s="1"/>
      <c r="C54" s="1"/>
      <c r="D54" s="1"/>
      <c r="E54" s="1"/>
      <c r="F54" s="1"/>
      <c r="G54" s="1"/>
      <c r="H54" s="1"/>
      <c r="I54" s="1"/>
      <c r="J54" s="1"/>
      <c r="K54" s="1"/>
      <c r="L54" s="1"/>
      <c r="M54" s="1"/>
      <c r="N54" s="1"/>
      <c r="O54" s="1"/>
      <c r="P54" s="1"/>
      <c r="Q54" s="1"/>
      <c r="R54" s="1"/>
      <c r="S54" s="1"/>
      <c r="T54" s="1"/>
      <c r="U54" s="1"/>
      <c r="V54" s="1"/>
      <c r="W54" s="1"/>
      <c r="X54" s="1"/>
      <c r="Y54" s="1"/>
      <c r="Z54" s="1"/>
    </row>
    <row r="55" spans="1:26" ht="19.5" customHeight="1" x14ac:dyDescent="0.85">
      <c r="A55" s="9"/>
      <c r="B55" s="1"/>
      <c r="C55" s="1"/>
      <c r="D55" s="1"/>
      <c r="E55" s="1"/>
      <c r="F55" s="1"/>
      <c r="G55" s="1"/>
      <c r="H55" s="1"/>
      <c r="I55" s="1"/>
      <c r="J55" s="1"/>
      <c r="K55" s="1"/>
      <c r="L55" s="1"/>
      <c r="M55" s="1"/>
      <c r="N55" s="1"/>
      <c r="O55" s="1"/>
      <c r="P55" s="1"/>
      <c r="Q55" s="1"/>
      <c r="R55" s="1"/>
      <c r="S55" s="1"/>
      <c r="T55" s="1"/>
      <c r="U55" s="1"/>
      <c r="V55" s="1"/>
      <c r="W55" s="1"/>
      <c r="X55" s="1"/>
      <c r="Y55" s="1"/>
      <c r="Z55" s="1"/>
    </row>
    <row r="56" spans="1:26" ht="19.5" customHeight="1" x14ac:dyDescent="0.85">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9.5" customHeight="1" x14ac:dyDescent="0.85">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9.5" customHeight="1" x14ac:dyDescent="0.85">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9.5" customHeight="1" x14ac:dyDescent="0.85">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9.5" customHeight="1" x14ac:dyDescent="0.85">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9.5" customHeight="1" x14ac:dyDescent="0.85">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9.5" customHeight="1" x14ac:dyDescent="0.85">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9.5" customHeight="1" x14ac:dyDescent="0.85">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9.5" customHeight="1" x14ac:dyDescent="0.85">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9.5" customHeight="1" x14ac:dyDescent="0.85">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9.5" customHeight="1" x14ac:dyDescent="0.85">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9.5" customHeight="1" x14ac:dyDescent="0.85">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9.5" customHeight="1" x14ac:dyDescent="0.85">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9.5" customHeight="1" x14ac:dyDescent="0.85">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9.5" customHeight="1" x14ac:dyDescent="0.85">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9.5" customHeight="1" x14ac:dyDescent="0.85">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9.5" customHeight="1" x14ac:dyDescent="0.85">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9.5" customHeight="1" x14ac:dyDescent="0.85">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9.5" customHeight="1" x14ac:dyDescent="0.85">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9.5" customHeight="1" x14ac:dyDescent="0.85">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9.5" customHeight="1" x14ac:dyDescent="0.85">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9.5" customHeight="1" x14ac:dyDescent="0.85">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9.5" customHeight="1" x14ac:dyDescent="0.85">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9.5" customHeight="1" x14ac:dyDescent="0.85">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9.5" customHeight="1" x14ac:dyDescent="0.85">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9.5" customHeight="1" x14ac:dyDescent="0.85">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9.5" customHeight="1" x14ac:dyDescent="0.85">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9.5" customHeight="1" x14ac:dyDescent="0.85">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9.5" customHeight="1" x14ac:dyDescent="0.85">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9.5" customHeight="1" x14ac:dyDescent="0.85">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9.5" customHeight="1" x14ac:dyDescent="0.85">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9.5" customHeight="1" x14ac:dyDescent="0.85">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9.5" customHeight="1" x14ac:dyDescent="0.85">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9.5" customHeight="1" x14ac:dyDescent="0.85">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9.5" customHeight="1" x14ac:dyDescent="0.85">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9.5" customHeight="1" x14ac:dyDescent="0.85">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9.5" customHeight="1" x14ac:dyDescent="0.85">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9.5" customHeight="1" x14ac:dyDescent="0.85">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9.5" customHeight="1" x14ac:dyDescent="0.85">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9.5" customHeight="1" x14ac:dyDescent="0.85">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9.5" customHeight="1" x14ac:dyDescent="0.85">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9.5" customHeight="1" x14ac:dyDescent="0.85">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9.5" customHeight="1" x14ac:dyDescent="0.85">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9.5" customHeight="1" x14ac:dyDescent="0.85">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9.5" customHeight="1" x14ac:dyDescent="0.8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9.5" customHeight="1" x14ac:dyDescent="0.8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9.5" customHeight="1" x14ac:dyDescent="0.8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9.5" customHeight="1" x14ac:dyDescent="0.8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9.5" customHeight="1" x14ac:dyDescent="0.8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9.5" customHeight="1" x14ac:dyDescent="0.8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9.5" customHeight="1" x14ac:dyDescent="0.8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9.5" customHeight="1" x14ac:dyDescent="0.8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9.5" customHeight="1" x14ac:dyDescent="0.8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9.5" customHeight="1" x14ac:dyDescent="0.8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9.5" customHeight="1" x14ac:dyDescent="0.8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9.5" customHeight="1" x14ac:dyDescent="0.8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9.5" customHeight="1" x14ac:dyDescent="0.8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9.5" customHeight="1" x14ac:dyDescent="0.8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9.5" customHeight="1" x14ac:dyDescent="0.8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9.5" customHeight="1" x14ac:dyDescent="0.8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9.5" customHeight="1" x14ac:dyDescent="0.8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9.5" customHeight="1" x14ac:dyDescent="0.8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9.5" customHeight="1" x14ac:dyDescent="0.8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9.5" customHeight="1" x14ac:dyDescent="0.8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9.5" customHeight="1" x14ac:dyDescent="0.8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9.5" customHeight="1" x14ac:dyDescent="0.8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9.5" customHeight="1" x14ac:dyDescent="0.8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9.5" customHeight="1" x14ac:dyDescent="0.8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9.5" customHeight="1" x14ac:dyDescent="0.8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9.5" customHeight="1" x14ac:dyDescent="0.8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9.5" customHeight="1" x14ac:dyDescent="0.8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9.5" customHeight="1" x14ac:dyDescent="0.8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9.5" customHeight="1" x14ac:dyDescent="0.8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9.5" customHeight="1" x14ac:dyDescent="0.8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9.5" customHeight="1" x14ac:dyDescent="0.8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9.5" customHeight="1" x14ac:dyDescent="0.8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9.5" customHeight="1" x14ac:dyDescent="0.8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9.5" customHeight="1" x14ac:dyDescent="0.8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9.5" customHeight="1" x14ac:dyDescent="0.8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9.5" customHeight="1" x14ac:dyDescent="0.8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9.5" customHeight="1" x14ac:dyDescent="0.8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9.5" customHeight="1" x14ac:dyDescent="0.8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9.5" customHeight="1" x14ac:dyDescent="0.8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9.5" customHeight="1" x14ac:dyDescent="0.8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9.5" customHeight="1" x14ac:dyDescent="0.8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9.5" customHeight="1" x14ac:dyDescent="0.8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9.5" customHeight="1" x14ac:dyDescent="0.8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9.5" customHeight="1" x14ac:dyDescent="0.8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9.5" customHeight="1" x14ac:dyDescent="0.8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9.5" customHeight="1" x14ac:dyDescent="0.8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9.5" customHeight="1" x14ac:dyDescent="0.8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9.5" customHeight="1" x14ac:dyDescent="0.8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9.5" customHeight="1" x14ac:dyDescent="0.8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9.5" customHeight="1" x14ac:dyDescent="0.8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9.5" customHeight="1" x14ac:dyDescent="0.8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9.5" customHeight="1" x14ac:dyDescent="0.8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9.5" customHeight="1" x14ac:dyDescent="0.8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9.5" customHeight="1" x14ac:dyDescent="0.8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9.5" customHeight="1" x14ac:dyDescent="0.8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9.5" customHeight="1" x14ac:dyDescent="0.8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9.5" customHeight="1" x14ac:dyDescent="0.8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9.5" customHeight="1" x14ac:dyDescent="0.8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9.5" customHeight="1" x14ac:dyDescent="0.8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9.5" customHeight="1" x14ac:dyDescent="0.8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9.5" customHeight="1" x14ac:dyDescent="0.8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9.5" customHeight="1" x14ac:dyDescent="0.8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9.5" customHeight="1" x14ac:dyDescent="0.8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9.5" customHeight="1" x14ac:dyDescent="0.8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9.5" customHeight="1" x14ac:dyDescent="0.8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9.5" customHeight="1" x14ac:dyDescent="0.8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9.5" customHeight="1" x14ac:dyDescent="0.8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9.5" customHeight="1" x14ac:dyDescent="0.8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9.5" customHeight="1" x14ac:dyDescent="0.8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9.5" customHeight="1" x14ac:dyDescent="0.8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9.5" customHeight="1" x14ac:dyDescent="0.8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9.5" customHeight="1" x14ac:dyDescent="0.8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9.5" customHeight="1" x14ac:dyDescent="0.8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9.5" customHeight="1" x14ac:dyDescent="0.8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9.5" customHeight="1" x14ac:dyDescent="0.8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9.5" customHeight="1" x14ac:dyDescent="0.8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9.5" customHeight="1" x14ac:dyDescent="0.8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9.5" customHeight="1" x14ac:dyDescent="0.8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9.5" customHeight="1" x14ac:dyDescent="0.8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9.5" customHeight="1" x14ac:dyDescent="0.8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9.5" customHeight="1" x14ac:dyDescent="0.8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9.5" customHeight="1" x14ac:dyDescent="0.8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9.5" customHeight="1" x14ac:dyDescent="0.8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9.5" customHeight="1" x14ac:dyDescent="0.8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9.5" customHeight="1" x14ac:dyDescent="0.8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9.5" customHeight="1" x14ac:dyDescent="0.8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9.5" customHeight="1" x14ac:dyDescent="0.8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9.5" customHeight="1" x14ac:dyDescent="0.8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9.5" customHeight="1" x14ac:dyDescent="0.8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9.5" customHeight="1" x14ac:dyDescent="0.8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9.5" customHeight="1" x14ac:dyDescent="0.8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9.5" customHeight="1" x14ac:dyDescent="0.8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9.5" customHeight="1" x14ac:dyDescent="0.8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9.5" customHeight="1" x14ac:dyDescent="0.8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9.5" customHeight="1" x14ac:dyDescent="0.8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9.5" customHeight="1" x14ac:dyDescent="0.8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9.5" customHeight="1" x14ac:dyDescent="0.8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9.5" customHeight="1" x14ac:dyDescent="0.8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9.5" customHeight="1" x14ac:dyDescent="0.8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9.5" customHeight="1" x14ac:dyDescent="0.8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9.5" customHeight="1" x14ac:dyDescent="0.8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9.5" customHeight="1" x14ac:dyDescent="0.8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9.5" customHeight="1" x14ac:dyDescent="0.8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9.5" customHeight="1" x14ac:dyDescent="0.8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9.5" customHeight="1" x14ac:dyDescent="0.8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9.5" customHeight="1" x14ac:dyDescent="0.8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9.5" customHeight="1" x14ac:dyDescent="0.8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9.5" customHeight="1" x14ac:dyDescent="0.8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9.5" customHeight="1" x14ac:dyDescent="0.8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9.5" customHeight="1" x14ac:dyDescent="0.8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9.5" customHeight="1" x14ac:dyDescent="0.8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9.5" customHeight="1" x14ac:dyDescent="0.8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9.5" customHeight="1" x14ac:dyDescent="0.8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9.5" customHeight="1" x14ac:dyDescent="0.8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9.5" customHeight="1" x14ac:dyDescent="0.8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9.5" customHeight="1" x14ac:dyDescent="0.8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9.5" customHeight="1" x14ac:dyDescent="0.8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9.5" customHeight="1" x14ac:dyDescent="0.8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9.5" customHeight="1" x14ac:dyDescent="0.8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9.5" customHeight="1" x14ac:dyDescent="0.8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9.5" customHeight="1" x14ac:dyDescent="0.8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9.5" customHeight="1" x14ac:dyDescent="0.8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9.5" customHeight="1" x14ac:dyDescent="0.8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9.5" customHeight="1" x14ac:dyDescent="0.8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9.5" customHeight="1" x14ac:dyDescent="0.8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9.5" customHeight="1" x14ac:dyDescent="0.8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9.5" customHeight="1" x14ac:dyDescent="0.8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9.5" customHeight="1" x14ac:dyDescent="0.8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9.5" customHeight="1" x14ac:dyDescent="0.8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9.5" customHeight="1" x14ac:dyDescent="0.8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9.5" customHeight="1" x14ac:dyDescent="0.8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9.5" customHeight="1" x14ac:dyDescent="0.8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9.5" customHeight="1" x14ac:dyDescent="0.8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9.5" customHeight="1" x14ac:dyDescent="0.8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9.5" customHeight="1" x14ac:dyDescent="0.8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9.5" customHeight="1" x14ac:dyDescent="0.8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9.5" customHeight="1" x14ac:dyDescent="0.8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9.5" customHeight="1" x14ac:dyDescent="0.8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9.5" customHeight="1" x14ac:dyDescent="0.8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9.5" customHeight="1" x14ac:dyDescent="0.8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9.5" customHeight="1" x14ac:dyDescent="0.8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9.5" customHeight="1" x14ac:dyDescent="0.8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9.5" customHeight="1" x14ac:dyDescent="0.8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9.5" customHeight="1" x14ac:dyDescent="0.8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9.5" customHeight="1" x14ac:dyDescent="0.8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9.5" customHeight="1" x14ac:dyDescent="0.8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9.5" customHeight="1" x14ac:dyDescent="0.8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9.5" customHeight="1" x14ac:dyDescent="0.8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9.5" customHeight="1" x14ac:dyDescent="0.8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9.5" customHeight="1" x14ac:dyDescent="0.8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9.5" customHeight="1" x14ac:dyDescent="0.8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9.5" customHeight="1" x14ac:dyDescent="0.8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9.5" customHeight="1" x14ac:dyDescent="0.8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9.5" customHeight="1" x14ac:dyDescent="0.8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9.5" customHeight="1" x14ac:dyDescent="0.8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9.5" customHeight="1" x14ac:dyDescent="0.8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9.5" customHeight="1" x14ac:dyDescent="0.8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9.5" customHeight="1" x14ac:dyDescent="0.8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9.5" customHeight="1" x14ac:dyDescent="0.8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9.5" customHeight="1" x14ac:dyDescent="0.8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9.5" customHeight="1" x14ac:dyDescent="0.8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9.5" customHeight="1" x14ac:dyDescent="0.8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9.5" customHeight="1" x14ac:dyDescent="0.8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9.5" customHeight="1" x14ac:dyDescent="0.8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9.5" customHeight="1" x14ac:dyDescent="0.8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9.5" customHeight="1" x14ac:dyDescent="0.8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9.5" customHeight="1" x14ac:dyDescent="0.8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9.5" customHeight="1" x14ac:dyDescent="0.8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9.5" customHeight="1" x14ac:dyDescent="0.8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9.5" customHeight="1" x14ac:dyDescent="0.8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9.5" customHeight="1" x14ac:dyDescent="0.8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9.5" customHeight="1" x14ac:dyDescent="0.8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9.5" customHeight="1" x14ac:dyDescent="0.8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9.5" customHeight="1" x14ac:dyDescent="0.8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9.5" customHeight="1" x14ac:dyDescent="0.8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9.5" customHeight="1" x14ac:dyDescent="0.8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9.5" customHeight="1" x14ac:dyDescent="0.8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9.5" customHeight="1" x14ac:dyDescent="0.8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9.5" customHeight="1" x14ac:dyDescent="0.8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9.5" customHeight="1" x14ac:dyDescent="0.8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9.5" customHeight="1" x14ac:dyDescent="0.8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9.5" customHeight="1" x14ac:dyDescent="0.8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9.5" customHeight="1" x14ac:dyDescent="0.8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9.5" customHeight="1" x14ac:dyDescent="0.8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9.5" customHeight="1" x14ac:dyDescent="0.8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9.5" customHeight="1" x14ac:dyDescent="0.8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9.5" customHeight="1" x14ac:dyDescent="0.8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9.5" customHeight="1" x14ac:dyDescent="0.8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9.5" customHeight="1" x14ac:dyDescent="0.8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9.5" customHeight="1" x14ac:dyDescent="0.8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9.5" customHeight="1" x14ac:dyDescent="0.8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9.5" customHeight="1" x14ac:dyDescent="0.8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9.5" customHeight="1" x14ac:dyDescent="0.8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9.5" customHeight="1" x14ac:dyDescent="0.8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9.5" customHeight="1" x14ac:dyDescent="0.8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9.5" customHeight="1" x14ac:dyDescent="0.8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9.5" customHeight="1" x14ac:dyDescent="0.8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9.5" customHeight="1" x14ac:dyDescent="0.8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9.5" customHeight="1" x14ac:dyDescent="0.8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9.5" customHeight="1" x14ac:dyDescent="0.8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9.5" customHeight="1" x14ac:dyDescent="0.8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9.5" customHeight="1" x14ac:dyDescent="0.8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9.5" customHeight="1" x14ac:dyDescent="0.8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9.5" customHeight="1" x14ac:dyDescent="0.8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9.5" customHeight="1" x14ac:dyDescent="0.8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9.5" customHeight="1" x14ac:dyDescent="0.8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9.5" customHeight="1" x14ac:dyDescent="0.8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9.5" customHeight="1" x14ac:dyDescent="0.8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9.5" customHeight="1" x14ac:dyDescent="0.8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9.5" customHeight="1" x14ac:dyDescent="0.8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9.5" customHeight="1" x14ac:dyDescent="0.8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9.5" customHeight="1" x14ac:dyDescent="0.8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9.5" customHeight="1" x14ac:dyDescent="0.8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9.5" customHeight="1" x14ac:dyDescent="0.8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9.5" customHeight="1" x14ac:dyDescent="0.8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9.5" customHeight="1" x14ac:dyDescent="0.8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9.5" customHeight="1" x14ac:dyDescent="0.8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9.5" customHeight="1" x14ac:dyDescent="0.8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9.5" customHeight="1" x14ac:dyDescent="0.8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9.5" customHeight="1" x14ac:dyDescent="0.8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9.5" customHeight="1" x14ac:dyDescent="0.8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9.5" customHeight="1" x14ac:dyDescent="0.8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9.5" customHeight="1" x14ac:dyDescent="0.8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9.5" customHeight="1" x14ac:dyDescent="0.8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9.5" customHeight="1" x14ac:dyDescent="0.8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9.5" customHeight="1" x14ac:dyDescent="0.8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9.5" customHeight="1" x14ac:dyDescent="0.8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9.5" customHeight="1" x14ac:dyDescent="0.8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9.5" customHeight="1" x14ac:dyDescent="0.8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9.5" customHeight="1" x14ac:dyDescent="0.8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9.5" customHeight="1" x14ac:dyDescent="0.8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9.5" customHeight="1" x14ac:dyDescent="0.8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9.5" customHeight="1" x14ac:dyDescent="0.8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9.5" customHeight="1" x14ac:dyDescent="0.8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9.5" customHeight="1" x14ac:dyDescent="0.8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9.5" customHeight="1" x14ac:dyDescent="0.8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9.5" customHeight="1" x14ac:dyDescent="0.8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9.5" customHeight="1" x14ac:dyDescent="0.8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9.5" customHeight="1" x14ac:dyDescent="0.8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9.5" customHeight="1" x14ac:dyDescent="0.8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9.5" customHeight="1" x14ac:dyDescent="0.8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9.5" customHeight="1" x14ac:dyDescent="0.8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9.5" customHeight="1" x14ac:dyDescent="0.8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9.5" customHeight="1" x14ac:dyDescent="0.8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9.5" customHeight="1" x14ac:dyDescent="0.8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9.5" customHeight="1" x14ac:dyDescent="0.8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9.5" customHeight="1" x14ac:dyDescent="0.8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9.5" customHeight="1" x14ac:dyDescent="0.8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9.5" customHeight="1" x14ac:dyDescent="0.8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9.5" customHeight="1" x14ac:dyDescent="0.8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9.5" customHeight="1" x14ac:dyDescent="0.8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9.5" customHeight="1" x14ac:dyDescent="0.8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9.5" customHeight="1" x14ac:dyDescent="0.8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9.5" customHeight="1" x14ac:dyDescent="0.8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9.5" customHeight="1" x14ac:dyDescent="0.8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9.5" customHeight="1" x14ac:dyDescent="0.8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9.5" customHeight="1" x14ac:dyDescent="0.8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9.5" customHeight="1" x14ac:dyDescent="0.8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9.5" customHeight="1" x14ac:dyDescent="0.8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9.5" customHeight="1" x14ac:dyDescent="0.8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9.5" customHeight="1" x14ac:dyDescent="0.8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9.5" customHeight="1" x14ac:dyDescent="0.8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9.5" customHeight="1" x14ac:dyDescent="0.8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9.5" customHeight="1" x14ac:dyDescent="0.8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9.5" customHeight="1" x14ac:dyDescent="0.8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9.5" customHeight="1" x14ac:dyDescent="0.8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9.5" customHeight="1" x14ac:dyDescent="0.8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9.5" customHeight="1" x14ac:dyDescent="0.8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9.5" customHeight="1" x14ac:dyDescent="0.8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9.5" customHeight="1" x14ac:dyDescent="0.8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9.5" customHeight="1" x14ac:dyDescent="0.8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9.5" customHeight="1" x14ac:dyDescent="0.8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9.5" customHeight="1" x14ac:dyDescent="0.8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9.5" customHeight="1" x14ac:dyDescent="0.8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9.5" customHeight="1" x14ac:dyDescent="0.8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9.5" customHeight="1" x14ac:dyDescent="0.8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9.5" customHeight="1" x14ac:dyDescent="0.8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9.5" customHeight="1" x14ac:dyDescent="0.8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9.5" customHeight="1" x14ac:dyDescent="0.8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9.5" customHeight="1" x14ac:dyDescent="0.8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9.5" customHeight="1" x14ac:dyDescent="0.8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9.5" customHeight="1" x14ac:dyDescent="0.8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9.5" customHeight="1" x14ac:dyDescent="0.8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9.5" customHeight="1" x14ac:dyDescent="0.8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9.5" customHeight="1" x14ac:dyDescent="0.8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9.5" customHeight="1" x14ac:dyDescent="0.8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9.5" customHeight="1" x14ac:dyDescent="0.8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9.5" customHeight="1" x14ac:dyDescent="0.8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9.5" customHeight="1" x14ac:dyDescent="0.8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9.5" customHeight="1" x14ac:dyDescent="0.8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9.5" customHeight="1" x14ac:dyDescent="0.8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9.5" customHeight="1" x14ac:dyDescent="0.8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9.5" customHeight="1" x14ac:dyDescent="0.8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9.5" customHeight="1" x14ac:dyDescent="0.8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9.5" customHeight="1" x14ac:dyDescent="0.8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9.5" customHeight="1" x14ac:dyDescent="0.8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9.5" customHeight="1" x14ac:dyDescent="0.8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9.5" customHeight="1" x14ac:dyDescent="0.8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9.5" customHeight="1" x14ac:dyDescent="0.8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9.5" customHeight="1" x14ac:dyDescent="0.8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9.5" customHeight="1" x14ac:dyDescent="0.8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9.5" customHeight="1" x14ac:dyDescent="0.8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9.5" customHeight="1" x14ac:dyDescent="0.8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9.5" customHeight="1" x14ac:dyDescent="0.8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9.5" customHeight="1" x14ac:dyDescent="0.8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9.5" customHeight="1" x14ac:dyDescent="0.8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9.5" customHeight="1" x14ac:dyDescent="0.8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9.5" customHeight="1" x14ac:dyDescent="0.8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9.5" customHeight="1" x14ac:dyDescent="0.8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9.5" customHeight="1" x14ac:dyDescent="0.8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9.5" customHeight="1" x14ac:dyDescent="0.8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9.5" customHeight="1" x14ac:dyDescent="0.8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9.5" customHeight="1" x14ac:dyDescent="0.8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9.5" customHeight="1" x14ac:dyDescent="0.8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9.5" customHeight="1" x14ac:dyDescent="0.8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9.5" customHeight="1" x14ac:dyDescent="0.8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9.5" customHeight="1" x14ac:dyDescent="0.8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9.5" customHeight="1" x14ac:dyDescent="0.8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9.5" customHeight="1" x14ac:dyDescent="0.8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9.5" customHeight="1" x14ac:dyDescent="0.8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9.5" customHeight="1" x14ac:dyDescent="0.8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9.5" customHeight="1" x14ac:dyDescent="0.8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9.5" customHeight="1" x14ac:dyDescent="0.8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9.5" customHeight="1" x14ac:dyDescent="0.8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9.5" customHeight="1" x14ac:dyDescent="0.8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9.5" customHeight="1" x14ac:dyDescent="0.8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9.5" customHeight="1" x14ac:dyDescent="0.8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9.5" customHeight="1" x14ac:dyDescent="0.8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9.5" customHeight="1" x14ac:dyDescent="0.8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9.5" customHeight="1" x14ac:dyDescent="0.8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9.5" customHeight="1" x14ac:dyDescent="0.8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9.5" customHeight="1" x14ac:dyDescent="0.8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9.5" customHeight="1" x14ac:dyDescent="0.8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9.5" customHeight="1" x14ac:dyDescent="0.8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9.5" customHeight="1" x14ac:dyDescent="0.8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9.5" customHeight="1" x14ac:dyDescent="0.8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9.5" customHeight="1" x14ac:dyDescent="0.8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9.5" customHeight="1" x14ac:dyDescent="0.8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9.5" customHeight="1" x14ac:dyDescent="0.8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9.5" customHeight="1" x14ac:dyDescent="0.8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9.5" customHeight="1" x14ac:dyDescent="0.8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9.5" customHeight="1" x14ac:dyDescent="0.8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9.5" customHeight="1" x14ac:dyDescent="0.8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9.5" customHeight="1" x14ac:dyDescent="0.8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9.5" customHeight="1" x14ac:dyDescent="0.8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9.5" customHeight="1" x14ac:dyDescent="0.8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9.5" customHeight="1" x14ac:dyDescent="0.8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9.5" customHeight="1" x14ac:dyDescent="0.8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9.5" customHeight="1" x14ac:dyDescent="0.8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9.5" customHeight="1" x14ac:dyDescent="0.8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9.5" customHeight="1" x14ac:dyDescent="0.8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9.5" customHeight="1" x14ac:dyDescent="0.8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9.5" customHeight="1" x14ac:dyDescent="0.8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9.5" customHeight="1" x14ac:dyDescent="0.8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9.5" customHeight="1" x14ac:dyDescent="0.8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9.5" customHeight="1" x14ac:dyDescent="0.8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9.5" customHeight="1" x14ac:dyDescent="0.8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9.5" customHeight="1" x14ac:dyDescent="0.8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9.5" customHeight="1" x14ac:dyDescent="0.8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9.5" customHeight="1" x14ac:dyDescent="0.8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9.5" customHeight="1" x14ac:dyDescent="0.8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9.5" customHeight="1" x14ac:dyDescent="0.8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9.5" customHeight="1" x14ac:dyDescent="0.8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9.5" customHeight="1" x14ac:dyDescent="0.8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9.5" customHeight="1" x14ac:dyDescent="0.8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9.5" customHeight="1" x14ac:dyDescent="0.8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9.5" customHeight="1" x14ac:dyDescent="0.8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9.5" customHeight="1" x14ac:dyDescent="0.8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9.5" customHeight="1" x14ac:dyDescent="0.8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9.5" customHeight="1" x14ac:dyDescent="0.8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9.5" customHeight="1" x14ac:dyDescent="0.8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9.5" customHeight="1" x14ac:dyDescent="0.8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9.5" customHeight="1" x14ac:dyDescent="0.8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9.5" customHeight="1" x14ac:dyDescent="0.8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9.5" customHeight="1" x14ac:dyDescent="0.8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9.5" customHeight="1" x14ac:dyDescent="0.8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9.5" customHeight="1" x14ac:dyDescent="0.8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9.5" customHeight="1" x14ac:dyDescent="0.8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9.5" customHeight="1" x14ac:dyDescent="0.8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9.5" customHeight="1" x14ac:dyDescent="0.8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9.5" customHeight="1" x14ac:dyDescent="0.8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9.5" customHeight="1" x14ac:dyDescent="0.8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9.5" customHeight="1" x14ac:dyDescent="0.8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9.5" customHeight="1" x14ac:dyDescent="0.8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9.5" customHeight="1" x14ac:dyDescent="0.8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9.5" customHeight="1" x14ac:dyDescent="0.8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9.5" customHeight="1" x14ac:dyDescent="0.8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9.5" customHeight="1" x14ac:dyDescent="0.8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9.5" customHeight="1" x14ac:dyDescent="0.8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9.5" customHeight="1" x14ac:dyDescent="0.8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9.5" customHeight="1" x14ac:dyDescent="0.8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9.5" customHeight="1" x14ac:dyDescent="0.8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9.5" customHeight="1" x14ac:dyDescent="0.8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9.5" customHeight="1" x14ac:dyDescent="0.8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9.5" customHeight="1" x14ac:dyDescent="0.8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9.5" customHeight="1" x14ac:dyDescent="0.8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9.5" customHeight="1" x14ac:dyDescent="0.8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9.5" customHeight="1" x14ac:dyDescent="0.8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9.5" customHeight="1" x14ac:dyDescent="0.8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9.5" customHeight="1" x14ac:dyDescent="0.8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9.5" customHeight="1" x14ac:dyDescent="0.8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9.5" customHeight="1" x14ac:dyDescent="0.8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9.5" customHeight="1" x14ac:dyDescent="0.8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9.5" customHeight="1" x14ac:dyDescent="0.8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9.5" customHeight="1" x14ac:dyDescent="0.8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9.5" customHeight="1" x14ac:dyDescent="0.8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9.5" customHeight="1" x14ac:dyDescent="0.8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9.5" customHeight="1" x14ac:dyDescent="0.8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9.5" customHeight="1" x14ac:dyDescent="0.8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9.5" customHeight="1" x14ac:dyDescent="0.8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9.5" customHeight="1" x14ac:dyDescent="0.8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9.5" customHeight="1" x14ac:dyDescent="0.8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9.5" customHeight="1" x14ac:dyDescent="0.8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9.5" customHeight="1" x14ac:dyDescent="0.8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9.5" customHeight="1" x14ac:dyDescent="0.8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9.5" customHeight="1" x14ac:dyDescent="0.8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9.5" customHeight="1" x14ac:dyDescent="0.8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9.5" customHeight="1" x14ac:dyDescent="0.8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9.5" customHeight="1" x14ac:dyDescent="0.8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9.5" customHeight="1" x14ac:dyDescent="0.8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9.5" customHeight="1" x14ac:dyDescent="0.8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9.5" customHeight="1" x14ac:dyDescent="0.8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9.5" customHeight="1" x14ac:dyDescent="0.8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9.5" customHeight="1" x14ac:dyDescent="0.8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9.5" customHeight="1" x14ac:dyDescent="0.8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9.5" customHeight="1" x14ac:dyDescent="0.8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9.5" customHeight="1" x14ac:dyDescent="0.8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9.5" customHeight="1" x14ac:dyDescent="0.8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9.5" customHeight="1" x14ac:dyDescent="0.8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9.5" customHeight="1" x14ac:dyDescent="0.8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9.5" customHeight="1" x14ac:dyDescent="0.8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9.5" customHeight="1" x14ac:dyDescent="0.8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9.5" customHeight="1" x14ac:dyDescent="0.8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9.5" customHeight="1" x14ac:dyDescent="0.8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9.5" customHeight="1" x14ac:dyDescent="0.8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9.5" customHeight="1" x14ac:dyDescent="0.8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9.5" customHeight="1" x14ac:dyDescent="0.8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9.5" customHeight="1" x14ac:dyDescent="0.8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9.5" customHeight="1" x14ac:dyDescent="0.8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9.5" customHeight="1" x14ac:dyDescent="0.8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9.5" customHeight="1" x14ac:dyDescent="0.8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9.5" customHeight="1" x14ac:dyDescent="0.8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9.5" customHeight="1" x14ac:dyDescent="0.8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9.5" customHeight="1" x14ac:dyDescent="0.8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9.5" customHeight="1" x14ac:dyDescent="0.8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9.5" customHeight="1" x14ac:dyDescent="0.8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9.5" customHeight="1" x14ac:dyDescent="0.8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9.5" customHeight="1" x14ac:dyDescent="0.8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9.5" customHeight="1" x14ac:dyDescent="0.8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9.5" customHeight="1" x14ac:dyDescent="0.8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9.5" customHeight="1" x14ac:dyDescent="0.8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9.5" customHeight="1" x14ac:dyDescent="0.8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9.5" customHeight="1" x14ac:dyDescent="0.8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9.5" customHeight="1" x14ac:dyDescent="0.8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9.5" customHeight="1" x14ac:dyDescent="0.8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9.5" customHeight="1" x14ac:dyDescent="0.8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9.5" customHeight="1" x14ac:dyDescent="0.8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9.5" customHeight="1" x14ac:dyDescent="0.8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9.5" customHeight="1" x14ac:dyDescent="0.8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9.5" customHeight="1" x14ac:dyDescent="0.8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9.5" customHeight="1" x14ac:dyDescent="0.8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9.5" customHeight="1" x14ac:dyDescent="0.8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9.5" customHeight="1" x14ac:dyDescent="0.8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9.5" customHeight="1" x14ac:dyDescent="0.8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9.5" customHeight="1" x14ac:dyDescent="0.8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9.5" customHeight="1" x14ac:dyDescent="0.8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9.5" customHeight="1" x14ac:dyDescent="0.8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9.5" customHeight="1" x14ac:dyDescent="0.8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9.5" customHeight="1" x14ac:dyDescent="0.8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9.5" customHeight="1" x14ac:dyDescent="0.8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9.5" customHeight="1" x14ac:dyDescent="0.8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9.5" customHeight="1" x14ac:dyDescent="0.8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9.5" customHeight="1" x14ac:dyDescent="0.8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9.5" customHeight="1" x14ac:dyDescent="0.8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9.5" customHeight="1" x14ac:dyDescent="0.8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9.5" customHeight="1" x14ac:dyDescent="0.8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9.5" customHeight="1" x14ac:dyDescent="0.8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9.5" customHeight="1" x14ac:dyDescent="0.8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9.5" customHeight="1" x14ac:dyDescent="0.8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9.5" customHeight="1" x14ac:dyDescent="0.8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9.5" customHeight="1" x14ac:dyDescent="0.8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9.5" customHeight="1" x14ac:dyDescent="0.8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9.5" customHeight="1" x14ac:dyDescent="0.8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9.5" customHeight="1" x14ac:dyDescent="0.8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9.5" customHeight="1" x14ac:dyDescent="0.8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9.5" customHeight="1" x14ac:dyDescent="0.8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9.5" customHeight="1" x14ac:dyDescent="0.8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9.5" customHeight="1" x14ac:dyDescent="0.8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9.5" customHeight="1" x14ac:dyDescent="0.8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9.5" customHeight="1" x14ac:dyDescent="0.8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9.5" customHeight="1" x14ac:dyDescent="0.8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9.5" customHeight="1" x14ac:dyDescent="0.8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9.5" customHeight="1" x14ac:dyDescent="0.8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9.5" customHeight="1" x14ac:dyDescent="0.8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9.5" customHeight="1" x14ac:dyDescent="0.8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9.5" customHeight="1" x14ac:dyDescent="0.8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9.5" customHeight="1" x14ac:dyDescent="0.8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9.5" customHeight="1" x14ac:dyDescent="0.8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9.5" customHeight="1" x14ac:dyDescent="0.8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9.5" customHeight="1" x14ac:dyDescent="0.8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9.5" customHeight="1" x14ac:dyDescent="0.8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9.5" customHeight="1" x14ac:dyDescent="0.8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9.5" customHeight="1" x14ac:dyDescent="0.8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9.5" customHeight="1" x14ac:dyDescent="0.8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9.5" customHeight="1" x14ac:dyDescent="0.8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9.5" customHeight="1" x14ac:dyDescent="0.8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9.5" customHeight="1" x14ac:dyDescent="0.8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9.5" customHeight="1" x14ac:dyDescent="0.8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9.5" customHeight="1" x14ac:dyDescent="0.8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9.5" customHeight="1" x14ac:dyDescent="0.8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9.5" customHeight="1" x14ac:dyDescent="0.8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9.5" customHeight="1" x14ac:dyDescent="0.8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9.5" customHeight="1" x14ac:dyDescent="0.8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9.5" customHeight="1" x14ac:dyDescent="0.8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9.5" customHeight="1" x14ac:dyDescent="0.8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9.5" customHeight="1" x14ac:dyDescent="0.8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9.5" customHeight="1" x14ac:dyDescent="0.8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9.5" customHeight="1" x14ac:dyDescent="0.8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9.5" customHeight="1" x14ac:dyDescent="0.8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9.5" customHeight="1" x14ac:dyDescent="0.8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9.5" customHeight="1" x14ac:dyDescent="0.8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9.5" customHeight="1" x14ac:dyDescent="0.8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9.5" customHeight="1" x14ac:dyDescent="0.8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9.5" customHeight="1" x14ac:dyDescent="0.8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9.5" customHeight="1" x14ac:dyDescent="0.8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9.5" customHeight="1" x14ac:dyDescent="0.8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9.5" customHeight="1" x14ac:dyDescent="0.8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9.5" customHeight="1" x14ac:dyDescent="0.8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9.5" customHeight="1" x14ac:dyDescent="0.8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9.5" customHeight="1" x14ac:dyDescent="0.8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9.5" customHeight="1" x14ac:dyDescent="0.8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9.5" customHeight="1" x14ac:dyDescent="0.8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9.5" customHeight="1" x14ac:dyDescent="0.8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9.5" customHeight="1" x14ac:dyDescent="0.8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9.5" customHeight="1" x14ac:dyDescent="0.8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9.5" customHeight="1" x14ac:dyDescent="0.8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9.5" customHeight="1" x14ac:dyDescent="0.8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9.5" customHeight="1" x14ac:dyDescent="0.8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9.5" customHeight="1" x14ac:dyDescent="0.8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9.5" customHeight="1" x14ac:dyDescent="0.8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9.5" customHeight="1" x14ac:dyDescent="0.8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9.5" customHeight="1" x14ac:dyDescent="0.8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9.5" customHeight="1" x14ac:dyDescent="0.8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9.5" customHeight="1" x14ac:dyDescent="0.8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9.5" customHeight="1" x14ac:dyDescent="0.8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9.5" customHeight="1" x14ac:dyDescent="0.8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9.5" customHeight="1" x14ac:dyDescent="0.8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9.5" customHeight="1" x14ac:dyDescent="0.8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9.5" customHeight="1" x14ac:dyDescent="0.8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9.5" customHeight="1" x14ac:dyDescent="0.8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9.5" customHeight="1" x14ac:dyDescent="0.8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9.5" customHeight="1" x14ac:dyDescent="0.8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9.5" customHeight="1" x14ac:dyDescent="0.8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9.5" customHeight="1" x14ac:dyDescent="0.8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9.5" customHeight="1" x14ac:dyDescent="0.8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9.5" customHeight="1" x14ac:dyDescent="0.8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9.5" customHeight="1" x14ac:dyDescent="0.8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9.5" customHeight="1" x14ac:dyDescent="0.8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9.5" customHeight="1" x14ac:dyDescent="0.8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9.5" customHeight="1" x14ac:dyDescent="0.8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9.5" customHeight="1" x14ac:dyDescent="0.8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9.5" customHeight="1" x14ac:dyDescent="0.8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9.5" customHeight="1" x14ac:dyDescent="0.8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9.5" customHeight="1" x14ac:dyDescent="0.8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9.5" customHeight="1" x14ac:dyDescent="0.8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9.5" customHeight="1" x14ac:dyDescent="0.8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9.5" customHeight="1" x14ac:dyDescent="0.8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9.5" customHeight="1" x14ac:dyDescent="0.8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9.5" customHeight="1" x14ac:dyDescent="0.8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9.5" customHeight="1" x14ac:dyDescent="0.8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9.5" customHeight="1" x14ac:dyDescent="0.8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9.5" customHeight="1" x14ac:dyDescent="0.8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9.5" customHeight="1" x14ac:dyDescent="0.8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9.5" customHeight="1" x14ac:dyDescent="0.8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9.5" customHeight="1" x14ac:dyDescent="0.8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9.5" customHeight="1" x14ac:dyDescent="0.8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9.5" customHeight="1" x14ac:dyDescent="0.8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9.5" customHeight="1" x14ac:dyDescent="0.8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9.5" customHeight="1" x14ac:dyDescent="0.8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9.5" customHeight="1" x14ac:dyDescent="0.8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9.5" customHeight="1" x14ac:dyDescent="0.8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9.5" customHeight="1" x14ac:dyDescent="0.8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9.5" customHeight="1" x14ac:dyDescent="0.8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9.5" customHeight="1" x14ac:dyDescent="0.8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9.5" customHeight="1" x14ac:dyDescent="0.8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9.5" customHeight="1" x14ac:dyDescent="0.8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9.5" customHeight="1" x14ac:dyDescent="0.8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9.5" customHeight="1" x14ac:dyDescent="0.8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9.5" customHeight="1" x14ac:dyDescent="0.8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9.5" customHeight="1" x14ac:dyDescent="0.8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9.5" customHeight="1" x14ac:dyDescent="0.8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9.5" customHeight="1" x14ac:dyDescent="0.8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9.5" customHeight="1" x14ac:dyDescent="0.8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9.5" customHeight="1" x14ac:dyDescent="0.8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9.5" customHeight="1" x14ac:dyDescent="0.8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9.5" customHeight="1" x14ac:dyDescent="0.8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9.5" customHeight="1" x14ac:dyDescent="0.8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9.5" customHeight="1" x14ac:dyDescent="0.8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9.5" customHeight="1" x14ac:dyDescent="0.8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9.5" customHeight="1" x14ac:dyDescent="0.8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9.5" customHeight="1" x14ac:dyDescent="0.8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9.5" customHeight="1" x14ac:dyDescent="0.8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9.5" customHeight="1" x14ac:dyDescent="0.8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9.5" customHeight="1" x14ac:dyDescent="0.8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9.5" customHeight="1" x14ac:dyDescent="0.8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9.5" customHeight="1" x14ac:dyDescent="0.8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9.5" customHeight="1" x14ac:dyDescent="0.8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9.5" customHeight="1" x14ac:dyDescent="0.8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9.5" customHeight="1" x14ac:dyDescent="0.8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9.5" customHeight="1" x14ac:dyDescent="0.8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9.5" customHeight="1" x14ac:dyDescent="0.8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9.5" customHeight="1" x14ac:dyDescent="0.8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9.5" customHeight="1" x14ac:dyDescent="0.8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9.5" customHeight="1" x14ac:dyDescent="0.8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9.5" customHeight="1" x14ac:dyDescent="0.8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9.5" customHeight="1" x14ac:dyDescent="0.8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9.5" customHeight="1" x14ac:dyDescent="0.8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9.5" customHeight="1" x14ac:dyDescent="0.8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9.5" customHeight="1" x14ac:dyDescent="0.8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9.5" customHeight="1" x14ac:dyDescent="0.8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9.5" customHeight="1" x14ac:dyDescent="0.8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9.5" customHeight="1" x14ac:dyDescent="0.8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9.5" customHeight="1" x14ac:dyDescent="0.8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9.5" customHeight="1" x14ac:dyDescent="0.8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9.5" customHeight="1" x14ac:dyDescent="0.8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9.5" customHeight="1" x14ac:dyDescent="0.8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9.5" customHeight="1" x14ac:dyDescent="0.8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9.5" customHeight="1" x14ac:dyDescent="0.8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9.5" customHeight="1" x14ac:dyDescent="0.8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9.5" customHeight="1" x14ac:dyDescent="0.8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9.5" customHeight="1" x14ac:dyDescent="0.8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9.5" customHeight="1" x14ac:dyDescent="0.8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9.5" customHeight="1" x14ac:dyDescent="0.8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9.5" customHeight="1" x14ac:dyDescent="0.8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9.5" customHeight="1" x14ac:dyDescent="0.8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9.5" customHeight="1" x14ac:dyDescent="0.8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9.5" customHeight="1" x14ac:dyDescent="0.8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9.5" customHeight="1" x14ac:dyDescent="0.8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9.5" customHeight="1" x14ac:dyDescent="0.8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9.5" customHeight="1" x14ac:dyDescent="0.8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9.5" customHeight="1" x14ac:dyDescent="0.8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9.5" customHeight="1" x14ac:dyDescent="0.8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9.5" customHeight="1" x14ac:dyDescent="0.8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9.5" customHeight="1" x14ac:dyDescent="0.8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9.5" customHeight="1" x14ac:dyDescent="0.8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9.5" customHeight="1" x14ac:dyDescent="0.8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9.5" customHeight="1" x14ac:dyDescent="0.8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9.5" customHeight="1" x14ac:dyDescent="0.8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9.5" customHeight="1" x14ac:dyDescent="0.8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9.5" customHeight="1" x14ac:dyDescent="0.8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9.5" customHeight="1" x14ac:dyDescent="0.8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9.5" customHeight="1" x14ac:dyDescent="0.8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9.5" customHeight="1" x14ac:dyDescent="0.8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9.5" customHeight="1" x14ac:dyDescent="0.8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9.5" customHeight="1" x14ac:dyDescent="0.8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9.5" customHeight="1" x14ac:dyDescent="0.8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9.5" customHeight="1" x14ac:dyDescent="0.8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9.5" customHeight="1" x14ac:dyDescent="0.8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9.5" customHeight="1" x14ac:dyDescent="0.8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9.5" customHeight="1" x14ac:dyDescent="0.8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9.5" customHeight="1" x14ac:dyDescent="0.8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9.5" customHeight="1" x14ac:dyDescent="0.8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9.5" customHeight="1" x14ac:dyDescent="0.8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9.5" customHeight="1" x14ac:dyDescent="0.8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9.5" customHeight="1" x14ac:dyDescent="0.8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9.5" customHeight="1" x14ac:dyDescent="0.8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9.5" customHeight="1" x14ac:dyDescent="0.8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9.5" customHeight="1" x14ac:dyDescent="0.8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9.5" customHeight="1" x14ac:dyDescent="0.8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9.5" customHeight="1" x14ac:dyDescent="0.8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9.5" customHeight="1" x14ac:dyDescent="0.8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9.5" customHeight="1" x14ac:dyDescent="0.8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9.5" customHeight="1" x14ac:dyDescent="0.8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9.5" customHeight="1" x14ac:dyDescent="0.8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9.5" customHeight="1" x14ac:dyDescent="0.8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9.5" customHeight="1" x14ac:dyDescent="0.8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9.5" customHeight="1" x14ac:dyDescent="0.8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9.5" customHeight="1" x14ac:dyDescent="0.8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9.5" customHeight="1" x14ac:dyDescent="0.8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9.5" customHeight="1" x14ac:dyDescent="0.8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9.5" customHeight="1" x14ac:dyDescent="0.8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9.5" customHeight="1" x14ac:dyDescent="0.8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9.5" customHeight="1" x14ac:dyDescent="0.8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9.5" customHeight="1" x14ac:dyDescent="0.8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9.5" customHeight="1" x14ac:dyDescent="0.8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9.5" customHeight="1" x14ac:dyDescent="0.8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9.5" customHeight="1" x14ac:dyDescent="0.8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9.5" customHeight="1" x14ac:dyDescent="0.8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9.5" customHeight="1" x14ac:dyDescent="0.8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9.5" customHeight="1" x14ac:dyDescent="0.8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9.5" customHeight="1" x14ac:dyDescent="0.8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9.5" customHeight="1" x14ac:dyDescent="0.8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9.5" customHeight="1" x14ac:dyDescent="0.8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9.5" customHeight="1" x14ac:dyDescent="0.8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9.5" customHeight="1" x14ac:dyDescent="0.8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9.5" customHeight="1" x14ac:dyDescent="0.8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9.5" customHeight="1" x14ac:dyDescent="0.8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9.5" customHeight="1" x14ac:dyDescent="0.8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9.5" customHeight="1" x14ac:dyDescent="0.8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9.5" customHeight="1" x14ac:dyDescent="0.8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9.5" customHeight="1" x14ac:dyDescent="0.8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9.5" customHeight="1" x14ac:dyDescent="0.8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9.5" customHeight="1" x14ac:dyDescent="0.8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9.5" customHeight="1" x14ac:dyDescent="0.8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9.5" customHeight="1" x14ac:dyDescent="0.8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9.5" customHeight="1" x14ac:dyDescent="0.8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9.5" customHeight="1" x14ac:dyDescent="0.8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9.5" customHeight="1" x14ac:dyDescent="0.8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9.5" customHeight="1" x14ac:dyDescent="0.8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9.5" customHeight="1" x14ac:dyDescent="0.8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9.5" customHeight="1" x14ac:dyDescent="0.8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9.5" customHeight="1" x14ac:dyDescent="0.8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9.5" customHeight="1" x14ac:dyDescent="0.8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9.5" customHeight="1" x14ac:dyDescent="0.8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9.5" customHeight="1" x14ac:dyDescent="0.8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9.5" customHeight="1" x14ac:dyDescent="0.8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9.5" customHeight="1" x14ac:dyDescent="0.8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9.5" customHeight="1" x14ac:dyDescent="0.8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9.5" customHeight="1" x14ac:dyDescent="0.8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9.5" customHeight="1" x14ac:dyDescent="0.8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9.5" customHeight="1" x14ac:dyDescent="0.8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9.5" customHeight="1" x14ac:dyDescent="0.8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9.5" customHeight="1" x14ac:dyDescent="0.8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9.5" customHeight="1" x14ac:dyDescent="0.8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9.5" customHeight="1" x14ac:dyDescent="0.8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9.5" customHeight="1" x14ac:dyDescent="0.8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9.5" customHeight="1" x14ac:dyDescent="0.8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9.5" customHeight="1" x14ac:dyDescent="0.8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9.5" customHeight="1" x14ac:dyDescent="0.8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9.5" customHeight="1" x14ac:dyDescent="0.8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9.5" customHeight="1" x14ac:dyDescent="0.8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9.5" customHeight="1" x14ac:dyDescent="0.8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9.5" customHeight="1" x14ac:dyDescent="0.8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9.5" customHeight="1" x14ac:dyDescent="0.8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9.5" customHeight="1" x14ac:dyDescent="0.8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9.5" customHeight="1" x14ac:dyDescent="0.8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9.5" customHeight="1" x14ac:dyDescent="0.8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9.5" customHeight="1" x14ac:dyDescent="0.8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9.5" customHeight="1" x14ac:dyDescent="0.8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9.5" customHeight="1" x14ac:dyDescent="0.8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9.5" customHeight="1" x14ac:dyDescent="0.8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9.5" customHeight="1" x14ac:dyDescent="0.8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9.5" customHeight="1" x14ac:dyDescent="0.8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9.5" customHeight="1" x14ac:dyDescent="0.8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9.5" customHeight="1" x14ac:dyDescent="0.8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9.5" customHeight="1" x14ac:dyDescent="0.8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9.5" customHeight="1" x14ac:dyDescent="0.8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9.5" customHeight="1" x14ac:dyDescent="0.8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9.5" customHeight="1" x14ac:dyDescent="0.8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9.5" customHeight="1" x14ac:dyDescent="0.8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9.5" customHeight="1" x14ac:dyDescent="0.8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9.5" customHeight="1" x14ac:dyDescent="0.8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9.5" customHeight="1" x14ac:dyDescent="0.8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9.5" customHeight="1" x14ac:dyDescent="0.8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9.5" customHeight="1" x14ac:dyDescent="0.8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9.5" customHeight="1" x14ac:dyDescent="0.8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9.5" customHeight="1" x14ac:dyDescent="0.8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9.5" customHeight="1" x14ac:dyDescent="0.8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9.5" customHeight="1" x14ac:dyDescent="0.8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9.5" customHeight="1" x14ac:dyDescent="0.8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9.5" customHeight="1" x14ac:dyDescent="0.8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9.5" customHeight="1" x14ac:dyDescent="0.8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9.5" customHeight="1" x14ac:dyDescent="0.8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9.5" customHeight="1" x14ac:dyDescent="0.8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9.5" customHeight="1" x14ac:dyDescent="0.8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9.5" customHeight="1" x14ac:dyDescent="0.8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9.5" customHeight="1" x14ac:dyDescent="0.8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9.5" customHeight="1" x14ac:dyDescent="0.8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9.5" customHeight="1" x14ac:dyDescent="0.8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9.5" customHeight="1" x14ac:dyDescent="0.8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9.5" customHeight="1" x14ac:dyDescent="0.8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9.5" customHeight="1" x14ac:dyDescent="0.8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9.5" customHeight="1" x14ac:dyDescent="0.8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9.5" customHeight="1" x14ac:dyDescent="0.8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9.5" customHeight="1" x14ac:dyDescent="0.8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9.5" customHeight="1" x14ac:dyDescent="0.8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9.5" customHeight="1" x14ac:dyDescent="0.8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9.5" customHeight="1" x14ac:dyDescent="0.8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9.5" customHeight="1" x14ac:dyDescent="0.8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9.5" customHeight="1" x14ac:dyDescent="0.8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9.5" customHeight="1" x14ac:dyDescent="0.8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9.5" customHeight="1" x14ac:dyDescent="0.8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9.5" customHeight="1" x14ac:dyDescent="0.8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9.5" customHeight="1" x14ac:dyDescent="0.8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9.5" customHeight="1" x14ac:dyDescent="0.8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9.5" customHeight="1" x14ac:dyDescent="0.8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9.5" customHeight="1" x14ac:dyDescent="0.8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9.5" customHeight="1" x14ac:dyDescent="0.8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9.5" customHeight="1" x14ac:dyDescent="0.8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9.5" customHeight="1" x14ac:dyDescent="0.8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9.5" customHeight="1" x14ac:dyDescent="0.8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9.5" customHeight="1" x14ac:dyDescent="0.8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9.5" customHeight="1" x14ac:dyDescent="0.8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9.5" customHeight="1" x14ac:dyDescent="0.8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9.5" customHeight="1" x14ac:dyDescent="0.8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9.5" customHeight="1" x14ac:dyDescent="0.8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9.5" customHeight="1" x14ac:dyDescent="0.8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9.5" customHeight="1" x14ac:dyDescent="0.8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9.5" customHeight="1" x14ac:dyDescent="0.8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9.5" customHeight="1" x14ac:dyDescent="0.8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9.5" customHeight="1" x14ac:dyDescent="0.8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9.5" customHeight="1" x14ac:dyDescent="0.8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9.5" customHeight="1" x14ac:dyDescent="0.8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9.5" customHeight="1" x14ac:dyDescent="0.8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9.5" customHeight="1" x14ac:dyDescent="0.8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9.5" customHeight="1" x14ac:dyDescent="0.8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9.5" customHeight="1" x14ac:dyDescent="0.8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9.5" customHeight="1" x14ac:dyDescent="0.8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9.5" customHeight="1" x14ac:dyDescent="0.8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9.5" customHeight="1" x14ac:dyDescent="0.8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9.5" customHeight="1" x14ac:dyDescent="0.8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9.5" customHeight="1" x14ac:dyDescent="0.8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9.5" customHeight="1" x14ac:dyDescent="0.8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9.5" customHeight="1" x14ac:dyDescent="0.8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9.5" customHeight="1" x14ac:dyDescent="0.8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9.5" customHeight="1" x14ac:dyDescent="0.8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9.5" customHeight="1" x14ac:dyDescent="0.8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9.5" customHeight="1" x14ac:dyDescent="0.8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9.5" customHeight="1" x14ac:dyDescent="0.8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9.5" customHeight="1" x14ac:dyDescent="0.8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9.5" customHeight="1" x14ac:dyDescent="0.8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9.5" customHeight="1" x14ac:dyDescent="0.8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9.5" customHeight="1" x14ac:dyDescent="0.8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9.5" customHeight="1" x14ac:dyDescent="0.8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9.5" customHeight="1" x14ac:dyDescent="0.8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9.5" customHeight="1" x14ac:dyDescent="0.8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9.5" customHeight="1" x14ac:dyDescent="0.8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9.5" customHeight="1" x14ac:dyDescent="0.8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9.5" customHeight="1" x14ac:dyDescent="0.8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9.5" customHeight="1" x14ac:dyDescent="0.8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9.5" customHeight="1" x14ac:dyDescent="0.8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9.5" customHeight="1" x14ac:dyDescent="0.8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9.5" customHeight="1" x14ac:dyDescent="0.8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9.5" customHeight="1" x14ac:dyDescent="0.8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9.5" customHeight="1" x14ac:dyDescent="0.8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9.5" customHeight="1" x14ac:dyDescent="0.8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9.5" customHeight="1" x14ac:dyDescent="0.8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9.5" customHeight="1" x14ac:dyDescent="0.8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9.5" customHeight="1" x14ac:dyDescent="0.8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9.5" customHeight="1" x14ac:dyDescent="0.8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9.5" customHeight="1" x14ac:dyDescent="0.8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9.5" customHeight="1" x14ac:dyDescent="0.8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9.5" customHeight="1" x14ac:dyDescent="0.8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9.5" customHeight="1" x14ac:dyDescent="0.8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9.5" customHeight="1" x14ac:dyDescent="0.8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9.5" customHeight="1" x14ac:dyDescent="0.8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9.5" customHeight="1" x14ac:dyDescent="0.8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9.5" customHeight="1" x14ac:dyDescent="0.8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9.5" customHeight="1" x14ac:dyDescent="0.8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9.5" customHeight="1" x14ac:dyDescent="0.8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9.5" customHeight="1" x14ac:dyDescent="0.8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9.5" customHeight="1" x14ac:dyDescent="0.8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9.5" customHeight="1" x14ac:dyDescent="0.8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9.5" customHeight="1" x14ac:dyDescent="0.8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9.5" customHeight="1" x14ac:dyDescent="0.8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9.5" customHeight="1" x14ac:dyDescent="0.8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9.5" customHeight="1" x14ac:dyDescent="0.8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9.5" customHeight="1" x14ac:dyDescent="0.8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9.5" customHeight="1" x14ac:dyDescent="0.8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9.5" customHeight="1" x14ac:dyDescent="0.8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9.5" customHeight="1" x14ac:dyDescent="0.8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9.5" customHeight="1" x14ac:dyDescent="0.8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9.5" customHeight="1" x14ac:dyDescent="0.8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9.5" customHeight="1" x14ac:dyDescent="0.8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9.5" customHeight="1" x14ac:dyDescent="0.8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9.5" customHeight="1" x14ac:dyDescent="0.8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9.5" customHeight="1" x14ac:dyDescent="0.8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9.5" customHeight="1" x14ac:dyDescent="0.8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9.5" customHeight="1" x14ac:dyDescent="0.8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9.5" customHeight="1" x14ac:dyDescent="0.8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9.5" customHeight="1" x14ac:dyDescent="0.8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9.5" customHeight="1" x14ac:dyDescent="0.8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9.5" customHeight="1" x14ac:dyDescent="0.8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9.5" customHeight="1" x14ac:dyDescent="0.8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9.5" customHeight="1" x14ac:dyDescent="0.8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9.5" customHeight="1" x14ac:dyDescent="0.8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9.5" customHeight="1" x14ac:dyDescent="0.8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9.5" customHeight="1" x14ac:dyDescent="0.8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9.5" customHeight="1" x14ac:dyDescent="0.8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9.5" customHeight="1" x14ac:dyDescent="0.8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9.5" customHeight="1" x14ac:dyDescent="0.8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9.5" customHeight="1" x14ac:dyDescent="0.8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9.5" customHeight="1" x14ac:dyDescent="0.8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9.5" customHeight="1" x14ac:dyDescent="0.8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9.5" customHeight="1" x14ac:dyDescent="0.8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9.5" customHeight="1" x14ac:dyDescent="0.8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9.5" customHeight="1" x14ac:dyDescent="0.8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9.5" customHeight="1" x14ac:dyDescent="0.8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9.5" customHeight="1" x14ac:dyDescent="0.8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9.5" customHeight="1" x14ac:dyDescent="0.8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9.5" customHeight="1" x14ac:dyDescent="0.8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9.5" customHeight="1" x14ac:dyDescent="0.8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9.5" customHeight="1" x14ac:dyDescent="0.8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9.5" customHeight="1" x14ac:dyDescent="0.8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9.5" customHeight="1" x14ac:dyDescent="0.8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9.5" customHeight="1" x14ac:dyDescent="0.8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9.5" customHeight="1" x14ac:dyDescent="0.8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9.5" customHeight="1" x14ac:dyDescent="0.8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9.5" customHeight="1" x14ac:dyDescent="0.8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9.5" customHeight="1" x14ac:dyDescent="0.8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9.5" customHeight="1" x14ac:dyDescent="0.8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44">
    <mergeCell ref="C45:D45"/>
    <mergeCell ref="C46:D46"/>
    <mergeCell ref="C38:D38"/>
    <mergeCell ref="C39:D39"/>
    <mergeCell ref="C40:D40"/>
    <mergeCell ref="C41:D41"/>
    <mergeCell ref="C42:D42"/>
    <mergeCell ref="C43:D43"/>
    <mergeCell ref="C44:D44"/>
    <mergeCell ref="A1:D1"/>
    <mergeCell ref="A2:D2"/>
    <mergeCell ref="A3:B3"/>
    <mergeCell ref="A4:B4"/>
    <mergeCell ref="A5:B5"/>
    <mergeCell ref="A6:B6"/>
    <mergeCell ref="A7:D7"/>
    <mergeCell ref="C19:D19"/>
    <mergeCell ref="C20:D20"/>
    <mergeCell ref="C21:D21"/>
    <mergeCell ref="C22:D22"/>
    <mergeCell ref="A19:A22"/>
    <mergeCell ref="A24:A29"/>
    <mergeCell ref="A33:A46"/>
    <mergeCell ref="A8:D8"/>
    <mergeCell ref="A9:B9"/>
    <mergeCell ref="C9:D9"/>
    <mergeCell ref="A16:D16"/>
    <mergeCell ref="C17:D17"/>
    <mergeCell ref="A18:D18"/>
    <mergeCell ref="A23:D23"/>
    <mergeCell ref="C24:D24"/>
    <mergeCell ref="C25:D25"/>
    <mergeCell ref="C26:D26"/>
    <mergeCell ref="C27:D27"/>
    <mergeCell ref="C28:D28"/>
    <mergeCell ref="C34:D34"/>
    <mergeCell ref="C35:D35"/>
    <mergeCell ref="C36:D36"/>
    <mergeCell ref="C37:D37"/>
    <mergeCell ref="C29:D29"/>
    <mergeCell ref="A30:D30"/>
    <mergeCell ref="C31:D31"/>
    <mergeCell ref="A32:D32"/>
    <mergeCell ref="C33:D33"/>
  </mergeCells>
  <hyperlinks>
    <hyperlink ref="B19" location="'Workbook Intro'!A1" display="Workbook Intro" xr:uid="{00000000-0004-0000-0000-000000000000}"/>
    <hyperlink ref="B20" location="SBT!A1" display="SBT" xr:uid="{00000000-0004-0000-0000-000001000000}"/>
    <hyperlink ref="B21" location="'Visual Summary'!A1" display="Visual Summary " xr:uid="{00000000-0004-0000-0000-000002000000}"/>
    <hyperlink ref="B22" location="Co_Pollutants!A1" display="Co-Pollutants" xr:uid="{00000000-0004-0000-0000-000003000000}"/>
    <hyperlink ref="B24" location="'City of Albuquerque Data'!A1" display="City of Albuquerque Data" xr:uid="{00000000-0004-0000-0000-000004000000}"/>
    <hyperlink ref="B25" location="'Bernalillo County Data'!A1" display="Bernalillo County Data" xr:uid="{00000000-0004-0000-0000-000005000000}"/>
    <hyperlink ref="B26" location="'Sandoval County Data'!A1" display="Sandoval County Data" xr:uid="{00000000-0004-0000-0000-000006000000}"/>
    <hyperlink ref="B27" location="'Torrance County Data'!A1" display="Torrance County Data" xr:uid="{00000000-0004-0000-0000-000007000000}"/>
    <hyperlink ref="B28" location="'Valencia County Data'!A1" display="Valencia County Data" xr:uid="{00000000-0004-0000-0000-000008000000}"/>
    <hyperlink ref="B29" location="'Albuquerque MSA Data'!A1" display="Albuquerque MSA Data" xr:uid="{00000000-0004-0000-0000-000009000000}"/>
    <hyperlink ref="B31" location="'Conversion Factors and GWP'!A1" display="Conversion Factors and GWPs" xr:uid="{00000000-0004-0000-0000-00000A000000}"/>
    <hyperlink ref="B33" location="'Energy Data'!A1" display="Energy Data" xr:uid="{00000000-0004-0000-0000-00000B000000}"/>
    <hyperlink ref="B34" location="'Renewable Energy Data '!A1" display="Renewable Energy Data" xr:uid="{00000000-0004-0000-0000-00000C000000}"/>
    <hyperlink ref="B35" location="'Fugitive Emissions Data'!A1" display="Fugitive Emission Data" xr:uid="{00000000-0004-0000-0000-00000D000000}"/>
    <hyperlink ref="B36" location="'On-Road Data'!A1" display="On-Road Data" xr:uid="{00000000-0004-0000-0000-00000E000000}"/>
    <hyperlink ref="B37" location="'Transit Data'!A1" display="Transit Data" xr:uid="{00000000-0004-0000-0000-00000F000000}"/>
    <hyperlink ref="B38" location="'Aviation Data'!A1" display="Aviation Data" xr:uid="{00000000-0004-0000-0000-000010000000}"/>
    <hyperlink ref="B39" location="'Off-Road Data'!A1" display="Off-Road Data" xr:uid="{00000000-0004-0000-0000-000011000000}"/>
    <hyperlink ref="B40" location="'Railways Data'!A1" display="Railways Data" xr:uid="{00000000-0004-0000-0000-000012000000}"/>
    <hyperlink ref="B41" location="'Waste_Recycling Data'!A1" display="Waste Recycling Data" xr:uid="{00000000-0004-0000-0000-000013000000}"/>
    <hyperlink ref="B42" location="'Wastewater Data'!A1" display="Wastewater Data" xr:uid="{00000000-0004-0000-0000-000014000000}"/>
    <hyperlink ref="B43" location="'Industrial Processes Data'!A1" display="Industrial Processes Data" xr:uid="{00000000-0004-0000-0000-000015000000}"/>
    <hyperlink ref="B44" location="'Refrigerants Data'!A1" display="Refrigerants Data" xr:uid="{00000000-0004-0000-0000-000016000000}"/>
    <hyperlink ref="B45" location="'AFOLU Data'!A1" display="AFOLU Data" xr:uid="{00000000-0004-0000-0000-000017000000}"/>
    <hyperlink ref="B46" location="Trees!A1" display="Trees!A1" xr:uid="{00000000-0004-0000-0000-000018000000}"/>
  </hyperlinks>
  <pageMargins left="0.7" right="0.7" top="0.75" bottom="0.75" header="0" footer="0"/>
  <pageSetup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00574B"/>
  </sheetPr>
  <dimension ref="A1:Z1000"/>
  <sheetViews>
    <sheetView workbookViewId="0">
      <selection activeCell="B44" sqref="B44"/>
    </sheetView>
  </sheetViews>
  <sheetFormatPr defaultColWidth="11.23046875" defaultRowHeight="15" customHeight="1" x14ac:dyDescent="0.85"/>
  <cols>
    <col min="1" max="1" width="42.3046875" customWidth="1"/>
    <col min="2" max="13" width="22.23046875" customWidth="1"/>
    <col min="14" max="26" width="11" customWidth="1"/>
  </cols>
  <sheetData>
    <row r="1" spans="1:26" ht="22.5" customHeight="1" x14ac:dyDescent="0.85">
      <c r="A1" s="847" t="s">
        <v>502</v>
      </c>
      <c r="B1" s="765"/>
      <c r="C1" s="765"/>
      <c r="D1" s="765"/>
      <c r="E1" s="765"/>
      <c r="F1" s="765"/>
      <c r="G1" s="765"/>
      <c r="H1" s="765"/>
      <c r="I1" s="765"/>
      <c r="J1" s="765"/>
      <c r="K1" s="765"/>
      <c r="L1" s="765"/>
      <c r="M1" s="762"/>
      <c r="N1" s="3"/>
      <c r="O1" s="3"/>
      <c r="P1" s="3"/>
      <c r="Q1" s="3"/>
      <c r="R1" s="3"/>
      <c r="S1" s="3"/>
      <c r="T1" s="3"/>
      <c r="U1" s="3"/>
      <c r="V1" s="3"/>
      <c r="W1" s="3"/>
      <c r="X1" s="3"/>
      <c r="Y1" s="3"/>
      <c r="Z1" s="3"/>
    </row>
    <row r="2" spans="1:26" ht="22.5" customHeight="1" x14ac:dyDescent="0.85">
      <c r="A2" s="848" t="s">
        <v>361</v>
      </c>
      <c r="B2" s="765"/>
      <c r="C2" s="765"/>
      <c r="D2" s="765"/>
      <c r="E2" s="765"/>
      <c r="F2" s="765"/>
      <c r="G2" s="765"/>
      <c r="H2" s="765"/>
      <c r="I2" s="765"/>
      <c r="J2" s="765"/>
      <c r="K2" s="765"/>
      <c r="L2" s="765"/>
      <c r="M2" s="762"/>
      <c r="N2" s="3"/>
      <c r="O2" s="3"/>
      <c r="P2" s="3"/>
      <c r="Q2" s="3"/>
      <c r="R2" s="3"/>
      <c r="S2" s="3"/>
      <c r="T2" s="3"/>
      <c r="U2" s="3"/>
      <c r="V2" s="3"/>
      <c r="W2" s="3"/>
      <c r="X2" s="3"/>
      <c r="Y2" s="3"/>
      <c r="Z2" s="3"/>
    </row>
    <row r="3" spans="1:26" ht="22.5" customHeight="1" x14ac:dyDescent="0.85">
      <c r="A3" s="130" t="s">
        <v>361</v>
      </c>
      <c r="B3" s="130" t="s">
        <v>251</v>
      </c>
      <c r="C3" s="130" t="s">
        <v>362</v>
      </c>
      <c r="D3" s="849" t="s">
        <v>138</v>
      </c>
      <c r="E3" s="765"/>
      <c r="F3" s="765"/>
      <c r="G3" s="765"/>
      <c r="H3" s="765"/>
      <c r="I3" s="765"/>
      <c r="J3" s="765"/>
      <c r="K3" s="765"/>
      <c r="L3" s="765"/>
      <c r="M3" s="762"/>
      <c r="N3" s="3"/>
      <c r="O3" s="3"/>
      <c r="P3" s="3"/>
      <c r="Q3" s="3"/>
      <c r="R3" s="3"/>
      <c r="S3" s="3"/>
      <c r="T3" s="3"/>
      <c r="U3" s="3"/>
      <c r="V3" s="3"/>
      <c r="W3" s="3"/>
      <c r="X3" s="3"/>
      <c r="Y3" s="3"/>
      <c r="Z3" s="3"/>
    </row>
    <row r="4" spans="1:26" ht="22.5" customHeight="1" x14ac:dyDescent="0.85">
      <c r="A4" s="131" t="s">
        <v>363</v>
      </c>
      <c r="B4" s="229">
        <f>SUM('Bernalillo County Data'!B4,'Sandoval County Data'!B4,'Torrance County Data'!B4,'Valencia County Data'!B4)</f>
        <v>9283.3900000000012</v>
      </c>
      <c r="C4" s="133" t="s">
        <v>364</v>
      </c>
      <c r="D4" s="844" t="s">
        <v>503</v>
      </c>
      <c r="E4" s="765"/>
      <c r="F4" s="765"/>
      <c r="G4" s="765"/>
      <c r="H4" s="765"/>
      <c r="I4" s="765"/>
      <c r="J4" s="765"/>
      <c r="K4" s="765"/>
      <c r="L4" s="765"/>
      <c r="M4" s="762"/>
      <c r="N4" s="15"/>
      <c r="O4" s="15"/>
      <c r="P4" s="15"/>
      <c r="Q4" s="15"/>
      <c r="R4" s="15"/>
      <c r="S4" s="15"/>
      <c r="T4" s="15"/>
      <c r="U4" s="15"/>
      <c r="V4" s="15"/>
      <c r="W4" s="15"/>
      <c r="X4" s="15"/>
      <c r="Y4" s="15"/>
      <c r="Z4" s="15"/>
    </row>
    <row r="5" spans="1:26" ht="22.5" customHeight="1" x14ac:dyDescent="0.85">
      <c r="A5" s="131" t="s">
        <v>366</v>
      </c>
      <c r="B5" s="229">
        <f>SUM('Bernalillo County Data'!B5,'Sandoval County Data'!B5,'Torrance County Data'!B5,'Valencia County Data'!B5)</f>
        <v>919292</v>
      </c>
      <c r="C5" s="133" t="s">
        <v>367</v>
      </c>
      <c r="D5" s="844" t="s">
        <v>504</v>
      </c>
      <c r="E5" s="765"/>
      <c r="F5" s="765"/>
      <c r="G5" s="765"/>
      <c r="H5" s="765"/>
      <c r="I5" s="765"/>
      <c r="J5" s="765"/>
      <c r="K5" s="765"/>
      <c r="L5" s="765"/>
      <c r="M5" s="762"/>
      <c r="N5" s="15"/>
      <c r="O5" s="15"/>
      <c r="P5" s="15"/>
      <c r="Q5" s="15"/>
      <c r="R5" s="15"/>
      <c r="S5" s="15"/>
      <c r="T5" s="15"/>
      <c r="U5" s="15"/>
      <c r="V5" s="15"/>
      <c r="W5" s="15"/>
      <c r="X5" s="15"/>
      <c r="Y5" s="15"/>
      <c r="Z5" s="15"/>
    </row>
    <row r="6" spans="1:26" ht="22.5" customHeight="1" x14ac:dyDescent="0.85">
      <c r="A6" s="131" t="s">
        <v>369</v>
      </c>
      <c r="B6" s="231">
        <f>SUM('Bernalillo County Data'!B6,'Sandoval County Data'!B6,'Torrance County Data'!B6,'Valencia County Data'!B6)</f>
        <v>57451504921.32</v>
      </c>
      <c r="C6" s="133" t="s">
        <v>370</v>
      </c>
      <c r="D6" s="844" t="s">
        <v>505</v>
      </c>
      <c r="E6" s="765"/>
      <c r="F6" s="765"/>
      <c r="G6" s="765"/>
      <c r="H6" s="765"/>
      <c r="I6" s="765"/>
      <c r="J6" s="765"/>
      <c r="K6" s="765"/>
      <c r="L6" s="765"/>
      <c r="M6" s="762"/>
      <c r="N6" s="15"/>
      <c r="O6" s="15"/>
      <c r="P6" s="15"/>
      <c r="Q6" s="15"/>
      <c r="R6" s="15"/>
      <c r="S6" s="15"/>
      <c r="T6" s="15"/>
      <c r="U6" s="15"/>
      <c r="V6" s="15"/>
      <c r="W6" s="15"/>
      <c r="X6" s="15"/>
      <c r="Y6" s="15"/>
      <c r="Z6" s="15"/>
    </row>
    <row r="7" spans="1:26" ht="22.5" customHeight="1" x14ac:dyDescent="0.85">
      <c r="A7" s="131" t="s">
        <v>372</v>
      </c>
      <c r="B7" s="229">
        <f>SUM('Bernalillo County Data'!B7,'Sandoval County Data'!B7,'Torrance County Data'!B7,'Valencia County Data'!B7)</f>
        <v>402131</v>
      </c>
      <c r="C7" s="133" t="s">
        <v>373</v>
      </c>
      <c r="D7" s="844" t="s">
        <v>506</v>
      </c>
      <c r="E7" s="765"/>
      <c r="F7" s="765"/>
      <c r="G7" s="765"/>
      <c r="H7" s="765"/>
      <c r="I7" s="765"/>
      <c r="J7" s="765"/>
      <c r="K7" s="765"/>
      <c r="L7" s="765"/>
      <c r="M7" s="762"/>
      <c r="N7" s="15"/>
      <c r="O7" s="15"/>
      <c r="P7" s="15"/>
      <c r="Q7" s="15"/>
      <c r="R7" s="15"/>
      <c r="S7" s="15"/>
      <c r="T7" s="15"/>
      <c r="U7" s="15"/>
      <c r="V7" s="15"/>
      <c r="W7" s="15"/>
      <c r="X7" s="15"/>
      <c r="Y7" s="15"/>
      <c r="Z7" s="15"/>
    </row>
    <row r="8" spans="1:26" ht="22.5" customHeight="1" x14ac:dyDescent="0.85">
      <c r="A8" s="131" t="s">
        <v>375</v>
      </c>
      <c r="B8" s="229">
        <f>SUM('Bernalillo County Data'!B8,'Sandoval County Data'!B8,'Torrance County Data'!B8,'Valencia County Data'!B8)</f>
        <v>378717</v>
      </c>
      <c r="C8" s="133" t="s">
        <v>373</v>
      </c>
      <c r="D8" s="844" t="s">
        <v>507</v>
      </c>
      <c r="E8" s="765"/>
      <c r="F8" s="765"/>
      <c r="G8" s="765"/>
      <c r="H8" s="765"/>
      <c r="I8" s="765"/>
      <c r="J8" s="765"/>
      <c r="K8" s="765"/>
      <c r="L8" s="765"/>
      <c r="M8" s="762"/>
      <c r="N8" s="15"/>
      <c r="O8" s="15"/>
      <c r="P8" s="15"/>
      <c r="Q8" s="15"/>
      <c r="R8" s="15"/>
      <c r="S8" s="15"/>
      <c r="T8" s="15"/>
      <c r="U8" s="15"/>
      <c r="V8" s="15"/>
      <c r="W8" s="15"/>
      <c r="X8" s="15"/>
      <c r="Y8" s="15"/>
      <c r="Z8" s="15"/>
    </row>
    <row r="9" spans="1:26" ht="22.5" customHeight="1" x14ac:dyDescent="0.85">
      <c r="A9" s="131" t="s">
        <v>377</v>
      </c>
      <c r="B9" s="229">
        <f>SUM('Bernalillo County Data'!B9,'Sandoval County Data'!B9,'Torrance County Data'!B9,'Valencia County Data'!B9)</f>
        <v>608780170</v>
      </c>
      <c r="C9" s="133" t="s">
        <v>378</v>
      </c>
      <c r="D9" s="844" t="s">
        <v>508</v>
      </c>
      <c r="E9" s="765"/>
      <c r="F9" s="765"/>
      <c r="G9" s="765"/>
      <c r="H9" s="765"/>
      <c r="I9" s="765"/>
      <c r="J9" s="765"/>
      <c r="K9" s="765"/>
      <c r="L9" s="765"/>
      <c r="M9" s="762"/>
      <c r="N9" s="15"/>
      <c r="O9" s="15"/>
      <c r="P9" s="15"/>
      <c r="Q9" s="15"/>
      <c r="R9" s="15"/>
      <c r="S9" s="15"/>
      <c r="T9" s="15"/>
      <c r="U9" s="15"/>
      <c r="V9" s="15"/>
      <c r="W9" s="15"/>
      <c r="X9" s="15"/>
      <c r="Y9" s="15"/>
      <c r="Z9" s="15"/>
    </row>
    <row r="10" spans="1:26" ht="22.5" customHeight="1" x14ac:dyDescent="0.85">
      <c r="A10" s="131" t="s">
        <v>380</v>
      </c>
      <c r="B10" s="229">
        <f>SUM('Bernalillo County Data'!B10,'Sandoval County Data'!B10,'Valencia County Data'!B10,'Torrance County Data'!B10)</f>
        <v>1132891144.657547</v>
      </c>
      <c r="C10" s="133" t="s">
        <v>378</v>
      </c>
      <c r="D10" s="844" t="s">
        <v>381</v>
      </c>
      <c r="E10" s="765"/>
      <c r="F10" s="765"/>
      <c r="G10" s="765"/>
      <c r="H10" s="765"/>
      <c r="I10" s="765"/>
      <c r="J10" s="765"/>
      <c r="K10" s="765"/>
      <c r="L10" s="765"/>
      <c r="M10" s="762"/>
      <c r="N10" s="15"/>
      <c r="O10" s="15"/>
      <c r="P10" s="15"/>
      <c r="Q10" s="15"/>
      <c r="R10" s="15"/>
      <c r="S10" s="15"/>
      <c r="T10" s="15"/>
      <c r="U10" s="15"/>
      <c r="V10" s="15"/>
      <c r="W10" s="15"/>
      <c r="X10" s="15"/>
      <c r="Y10" s="15"/>
      <c r="Z10" s="15"/>
    </row>
    <row r="11" spans="1:26" ht="22.5" customHeight="1" x14ac:dyDescent="0.85">
      <c r="A11" s="131" t="s">
        <v>509</v>
      </c>
      <c r="B11" s="229">
        <f>SUM('Bernalillo County Data'!B11,'Sandoval County Data'!B11,'Torrance County Data'!B11,'Valencia County Data'!B11)</f>
        <v>443294</v>
      </c>
      <c r="C11" s="133" t="s">
        <v>383</v>
      </c>
      <c r="D11" s="844" t="s">
        <v>510</v>
      </c>
      <c r="E11" s="765"/>
      <c r="F11" s="765"/>
      <c r="G11" s="765"/>
      <c r="H11" s="765"/>
      <c r="I11" s="765"/>
      <c r="J11" s="765"/>
      <c r="K11" s="765"/>
      <c r="L11" s="765"/>
      <c r="M11" s="762"/>
      <c r="N11" s="15"/>
      <c r="O11" s="15"/>
      <c r="P11" s="15"/>
      <c r="Q11" s="15"/>
      <c r="R11" s="15"/>
      <c r="S11" s="15"/>
      <c r="T11" s="15"/>
      <c r="U11" s="15"/>
      <c r="V11" s="15"/>
      <c r="W11" s="15"/>
      <c r="X11" s="15"/>
      <c r="Y11" s="15"/>
      <c r="Z11" s="15"/>
    </row>
    <row r="12" spans="1:26" ht="22.5" customHeight="1" x14ac:dyDescent="0.85">
      <c r="A12" s="131" t="s">
        <v>385</v>
      </c>
      <c r="B12" s="136">
        <v>2784</v>
      </c>
      <c r="C12" s="133" t="s">
        <v>386</v>
      </c>
      <c r="D12" s="845" t="s">
        <v>511</v>
      </c>
      <c r="E12" s="828"/>
      <c r="F12" s="828"/>
      <c r="G12" s="828"/>
      <c r="H12" s="828"/>
      <c r="I12" s="828"/>
      <c r="J12" s="828"/>
      <c r="K12" s="828"/>
      <c r="L12" s="828"/>
      <c r="M12" s="825"/>
      <c r="N12" s="15"/>
      <c r="O12" s="15"/>
      <c r="P12" s="15"/>
      <c r="Q12" s="15"/>
      <c r="R12" s="15"/>
      <c r="S12" s="15"/>
      <c r="T12" s="15"/>
      <c r="U12" s="15"/>
      <c r="V12" s="15"/>
      <c r="W12" s="15"/>
      <c r="X12" s="15"/>
      <c r="Y12" s="15"/>
      <c r="Z12" s="15"/>
    </row>
    <row r="13" spans="1:26" ht="22.5" customHeight="1" x14ac:dyDescent="0.85">
      <c r="A13" s="131" t="s">
        <v>388</v>
      </c>
      <c r="B13" s="136">
        <v>2741</v>
      </c>
      <c r="C13" s="133" t="s">
        <v>389</v>
      </c>
      <c r="D13" s="810"/>
      <c r="E13" s="830"/>
      <c r="F13" s="830"/>
      <c r="G13" s="830"/>
      <c r="H13" s="830"/>
      <c r="I13" s="830"/>
      <c r="J13" s="830"/>
      <c r="K13" s="830"/>
      <c r="L13" s="830"/>
      <c r="M13" s="767"/>
      <c r="N13" s="15"/>
      <c r="O13" s="15"/>
      <c r="P13" s="15"/>
      <c r="Q13" s="15"/>
      <c r="R13" s="15"/>
      <c r="S13" s="15"/>
      <c r="T13" s="15"/>
      <c r="U13" s="15"/>
      <c r="V13" s="15"/>
      <c r="W13" s="15"/>
      <c r="X13" s="15"/>
      <c r="Y13" s="15"/>
      <c r="Z13" s="15"/>
    </row>
    <row r="14" spans="1:26" ht="22.5" customHeight="1" x14ac:dyDescent="0.85">
      <c r="A14" s="142"/>
      <c r="B14" s="76"/>
      <c r="C14" s="76"/>
      <c r="D14" s="143"/>
      <c r="E14" s="143"/>
      <c r="F14" s="143"/>
      <c r="G14" s="143"/>
      <c r="H14" s="143"/>
      <c r="I14" s="143"/>
      <c r="J14" s="143"/>
      <c r="K14" s="15"/>
      <c r="L14" s="15"/>
      <c r="M14" s="15"/>
      <c r="N14" s="15"/>
      <c r="O14" s="15"/>
      <c r="P14" s="15"/>
      <c r="Q14" s="15"/>
      <c r="R14" s="15"/>
      <c r="S14" s="15"/>
      <c r="T14" s="15"/>
      <c r="U14" s="15"/>
      <c r="V14" s="15"/>
      <c r="W14" s="15"/>
      <c r="X14" s="15"/>
      <c r="Y14" s="15"/>
      <c r="Z14" s="15"/>
    </row>
    <row r="15" spans="1:26" ht="22.5" customHeight="1" x14ac:dyDescent="0.85">
      <c r="A15" s="144" t="s">
        <v>393</v>
      </c>
      <c r="B15" s="145"/>
      <c r="C15" s="145"/>
      <c r="D15" s="145"/>
      <c r="E15" s="145"/>
      <c r="F15" s="145"/>
      <c r="G15" s="145"/>
      <c r="H15" s="145"/>
      <c r="I15" s="145"/>
      <c r="J15" s="145"/>
      <c r="K15" s="145"/>
      <c r="L15" s="146"/>
      <c r="M15" s="3"/>
      <c r="N15" s="3"/>
      <c r="O15" s="3"/>
      <c r="P15" s="3"/>
      <c r="Q15" s="3"/>
      <c r="R15" s="3"/>
      <c r="S15" s="3"/>
      <c r="T15" s="3"/>
      <c r="U15" s="3"/>
      <c r="V15" s="3"/>
      <c r="W15" s="3"/>
      <c r="X15" s="3"/>
      <c r="Y15" s="3"/>
      <c r="Z15" s="3"/>
    </row>
    <row r="16" spans="1:26" ht="22.5" customHeight="1" x14ac:dyDescent="0.85">
      <c r="A16" s="846" t="s">
        <v>137</v>
      </c>
      <c r="B16" s="813"/>
      <c r="C16" s="814"/>
      <c r="D16" s="846" t="s">
        <v>124</v>
      </c>
      <c r="E16" s="813"/>
      <c r="F16" s="814"/>
      <c r="G16" s="846" t="s">
        <v>116</v>
      </c>
      <c r="H16" s="813"/>
      <c r="I16" s="814"/>
      <c r="J16" s="846" t="s">
        <v>394</v>
      </c>
      <c r="K16" s="813"/>
      <c r="L16" s="814"/>
      <c r="M16" s="3"/>
      <c r="N16" s="3"/>
      <c r="O16" s="3"/>
      <c r="P16" s="3"/>
      <c r="Q16" s="3"/>
      <c r="R16" s="3"/>
      <c r="S16" s="3"/>
      <c r="T16" s="3"/>
      <c r="U16" s="3"/>
      <c r="V16" s="3"/>
      <c r="W16" s="3"/>
      <c r="X16" s="3"/>
      <c r="Y16" s="3"/>
      <c r="Z16" s="3"/>
    </row>
    <row r="17" spans="1:26" ht="22.5" customHeight="1" x14ac:dyDescent="0.85">
      <c r="A17" s="148" t="s">
        <v>138</v>
      </c>
      <c r="B17" s="148" t="s">
        <v>118</v>
      </c>
      <c r="C17" s="148" t="s">
        <v>395</v>
      </c>
      <c r="D17" s="148" t="s">
        <v>125</v>
      </c>
      <c r="E17" s="148" t="s">
        <v>118</v>
      </c>
      <c r="F17" s="148" t="s">
        <v>395</v>
      </c>
      <c r="G17" s="148" t="s">
        <v>117</v>
      </c>
      <c r="H17" s="148" t="s">
        <v>118</v>
      </c>
      <c r="I17" s="148" t="s">
        <v>395</v>
      </c>
      <c r="J17" s="148" t="s">
        <v>396</v>
      </c>
      <c r="K17" s="148" t="s">
        <v>118</v>
      </c>
      <c r="L17" s="148" t="s">
        <v>397</v>
      </c>
      <c r="M17" s="3"/>
      <c r="N17" s="3"/>
      <c r="O17" s="3"/>
      <c r="P17" s="3"/>
      <c r="Q17" s="3"/>
      <c r="R17" s="3"/>
      <c r="S17" s="3"/>
      <c r="T17" s="3"/>
      <c r="U17" s="3"/>
      <c r="V17" s="3"/>
      <c r="W17" s="3"/>
      <c r="X17" s="3"/>
      <c r="Y17" s="3"/>
      <c r="Z17" s="3"/>
    </row>
    <row r="18" spans="1:26" ht="22.5" customHeight="1" x14ac:dyDescent="0.85">
      <c r="A18" s="149" t="s">
        <v>139</v>
      </c>
      <c r="B18" s="150">
        <f>B63</f>
        <v>1680897.2036031049</v>
      </c>
      <c r="C18" s="151">
        <f t="shared" ref="C18:C42" si="0">B18/$B$44</f>
        <v>0.16031366964247451</v>
      </c>
      <c r="D18" s="149" t="s">
        <v>130</v>
      </c>
      <c r="E18" s="150">
        <f>SUM(B18:B24)</f>
        <v>4280832.457268402</v>
      </c>
      <c r="F18" s="151">
        <f t="shared" ref="F18:F24" si="1">E18/$E$25</f>
        <v>0.42795673074802082</v>
      </c>
      <c r="G18" s="150" t="s">
        <v>120</v>
      </c>
      <c r="H18" s="150">
        <f>B52+B53+B54+B55+B56+B70+B71+B77+B82+B87+B91+B94+B99+B101+B108+B112+B113+B117+B118+B119</f>
        <v>8010426.860777542</v>
      </c>
      <c r="I18" s="152">
        <f t="shared" ref="I18:I20" si="2">H18/$H$21</f>
        <v>0.80080594731380073</v>
      </c>
      <c r="J18" s="150">
        <f>B5</f>
        <v>919292</v>
      </c>
      <c r="K18" s="150">
        <f>B46</f>
        <v>10002956.256315874</v>
      </c>
      <c r="L18" s="133">
        <f>K18/J18</f>
        <v>10.881152295805766</v>
      </c>
      <c r="M18" s="3"/>
      <c r="N18" s="3"/>
      <c r="O18" s="3"/>
      <c r="P18" s="3"/>
      <c r="Q18" s="3"/>
      <c r="R18" s="3"/>
      <c r="S18" s="3"/>
      <c r="T18" s="3"/>
      <c r="U18" s="3"/>
      <c r="V18" s="3"/>
      <c r="W18" s="3"/>
      <c r="X18" s="3"/>
      <c r="Y18" s="3"/>
      <c r="Z18" s="3"/>
    </row>
    <row r="19" spans="1:26" ht="22.5" customHeight="1" x14ac:dyDescent="0.85">
      <c r="A19" s="149" t="s">
        <v>140</v>
      </c>
      <c r="B19" s="150">
        <f>B52+B53</f>
        <v>2442548.2248121202</v>
      </c>
      <c r="C19" s="151">
        <f t="shared" si="0"/>
        <v>0.23295527433740773</v>
      </c>
      <c r="D19" s="149" t="s">
        <v>131</v>
      </c>
      <c r="E19" s="150">
        <f>SUM(B25:B33)</f>
        <v>4659837.9659274491</v>
      </c>
      <c r="F19" s="151">
        <f t="shared" si="1"/>
        <v>0.46584608055095961</v>
      </c>
      <c r="G19" s="150" t="s">
        <v>121</v>
      </c>
      <c r="H19" s="150">
        <f>B60+B61+B62+B78+B83</f>
        <v>1691218.6646135794</v>
      </c>
      <c r="I19" s="152">
        <f t="shared" si="2"/>
        <v>0.16907188447872529</v>
      </c>
      <c r="J19" s="147"/>
      <c r="K19" s="147"/>
      <c r="L19" s="147"/>
      <c r="M19" s="3"/>
      <c r="N19" s="3"/>
      <c r="O19" s="3"/>
      <c r="P19" s="3"/>
      <c r="Q19" s="3"/>
      <c r="R19" s="3"/>
      <c r="S19" s="3"/>
      <c r="T19" s="3"/>
      <c r="U19" s="3"/>
      <c r="V19" s="3"/>
      <c r="W19" s="3"/>
      <c r="X19" s="3"/>
      <c r="Y19" s="3"/>
      <c r="Z19" s="3"/>
    </row>
    <row r="20" spans="1:26" ht="22.5" customHeight="1" x14ac:dyDescent="0.85">
      <c r="A20" s="149" t="s">
        <v>266</v>
      </c>
      <c r="B20" s="150">
        <f t="shared" ref="B20:B22" si="3">B54</f>
        <v>0</v>
      </c>
      <c r="C20" s="151">
        <f t="shared" si="0"/>
        <v>0</v>
      </c>
      <c r="D20" s="149" t="s">
        <v>132</v>
      </c>
      <c r="E20" s="150">
        <f>SUM(B34,B35)</f>
        <v>482084.39817266824</v>
      </c>
      <c r="F20" s="151">
        <f t="shared" si="1"/>
        <v>4.8194192378706036E-2</v>
      </c>
      <c r="G20" s="150" t="s">
        <v>122</v>
      </c>
      <c r="H20" s="150">
        <f>B66+B79+B88+B100+B102+B84</f>
        <v>301310.73092475103</v>
      </c>
      <c r="I20" s="152">
        <f t="shared" si="2"/>
        <v>3.0122168207473991E-2</v>
      </c>
      <c r="J20" s="147"/>
      <c r="K20" s="147"/>
      <c r="L20" s="147"/>
      <c r="M20" s="3"/>
      <c r="N20" s="3"/>
      <c r="O20" s="3"/>
      <c r="P20" s="3"/>
      <c r="Q20" s="3"/>
      <c r="R20" s="3"/>
      <c r="S20" s="3"/>
      <c r="T20" s="3"/>
      <c r="U20" s="3"/>
      <c r="V20" s="3"/>
      <c r="W20" s="3"/>
      <c r="X20" s="3"/>
      <c r="Y20" s="3"/>
      <c r="Z20" s="3"/>
    </row>
    <row r="21" spans="1:26" ht="22.5" customHeight="1" x14ac:dyDescent="0.85">
      <c r="A21" s="149" t="s">
        <v>141</v>
      </c>
      <c r="B21" s="150">
        <f t="shared" si="3"/>
        <v>30563.615867413118</v>
      </c>
      <c r="C21" s="153">
        <f t="shared" si="0"/>
        <v>2.914970294878839E-3</v>
      </c>
      <c r="D21" s="149" t="s">
        <v>340</v>
      </c>
      <c r="E21" s="150">
        <f>B36</f>
        <v>20796.201176619135</v>
      </c>
      <c r="F21" s="153">
        <f t="shared" si="1"/>
        <v>2.0790055103448446E-3</v>
      </c>
      <c r="G21" s="154" t="s">
        <v>398</v>
      </c>
      <c r="H21" s="155">
        <f t="shared" ref="H21:I21" si="4">SUM(H15:H20)</f>
        <v>10002956.256315872</v>
      </c>
      <c r="I21" s="156">
        <f t="shared" si="4"/>
        <v>1</v>
      </c>
      <c r="J21" s="147"/>
      <c r="K21" s="147"/>
      <c r="L21" s="147"/>
      <c r="M21" s="3"/>
      <c r="N21" s="3"/>
      <c r="O21" s="3"/>
      <c r="P21" s="3"/>
      <c r="Q21" s="3"/>
      <c r="R21" s="3"/>
      <c r="S21" s="3"/>
      <c r="T21" s="3"/>
      <c r="U21" s="3"/>
      <c r="V21" s="3"/>
      <c r="W21" s="3"/>
      <c r="X21" s="3"/>
      <c r="Y21" s="3"/>
      <c r="Z21" s="3"/>
    </row>
    <row r="22" spans="1:26" ht="22.5" customHeight="1" x14ac:dyDescent="0.85">
      <c r="A22" s="149" t="s">
        <v>142</v>
      </c>
      <c r="B22" s="150">
        <f t="shared" si="3"/>
        <v>102.86724699999999</v>
      </c>
      <c r="C22" s="157">
        <f t="shared" si="0"/>
        <v>9.8108473363149835E-6</v>
      </c>
      <c r="D22" s="149" t="s">
        <v>133</v>
      </c>
      <c r="E22" s="150">
        <f>SUM(B37,B38)</f>
        <v>692698.1134594098</v>
      </c>
      <c r="F22" s="151">
        <f t="shared" si="1"/>
        <v>6.9249339466224274E-2</v>
      </c>
      <c r="G22" s="147"/>
      <c r="H22" s="147"/>
      <c r="I22" s="147"/>
      <c r="J22" s="147"/>
      <c r="K22" s="147"/>
      <c r="L22" s="147"/>
      <c r="M22" s="3"/>
      <c r="N22" s="3"/>
      <c r="O22" s="3"/>
      <c r="P22" s="3"/>
      <c r="Q22" s="3"/>
      <c r="R22" s="3"/>
      <c r="S22" s="3"/>
      <c r="T22" s="3"/>
      <c r="U22" s="3"/>
      <c r="V22" s="3"/>
      <c r="W22" s="3"/>
      <c r="X22" s="3"/>
      <c r="Y22" s="3"/>
      <c r="Z22" s="3"/>
    </row>
    <row r="23" spans="1:26" ht="22.5" customHeight="1" x14ac:dyDescent="0.85">
      <c r="A23" s="149" t="s">
        <v>143</v>
      </c>
      <c r="B23" s="150">
        <f>B72</f>
        <v>79544.904886659002</v>
      </c>
      <c r="C23" s="153">
        <f t="shared" si="0"/>
        <v>7.586505335607039E-3</v>
      </c>
      <c r="D23" s="149" t="s">
        <v>399</v>
      </c>
      <c r="E23" s="158">
        <f>SUM(B39:B42)</f>
        <v>348803.12031132373</v>
      </c>
      <c r="F23" s="151">
        <f t="shared" si="1"/>
        <v>3.4870003564305224E-2</v>
      </c>
      <c r="G23" s="147"/>
      <c r="H23" s="147"/>
      <c r="I23" s="147"/>
      <c r="J23" s="147"/>
      <c r="K23" s="147"/>
      <c r="L23" s="147"/>
      <c r="M23" s="3"/>
      <c r="N23" s="3"/>
      <c r="O23" s="3"/>
      <c r="P23" s="3"/>
      <c r="Q23" s="3"/>
      <c r="R23" s="3"/>
      <c r="S23" s="3"/>
      <c r="T23" s="3"/>
      <c r="U23" s="3"/>
      <c r="V23" s="3"/>
      <c r="W23" s="3"/>
      <c r="X23" s="3"/>
      <c r="Y23" s="3"/>
      <c r="Z23" s="3"/>
    </row>
    <row r="24" spans="1:26" ht="22.5" customHeight="1" x14ac:dyDescent="0.85">
      <c r="A24" s="149" t="s">
        <v>400</v>
      </c>
      <c r="B24" s="150">
        <f>B67</f>
        <v>47175.640852104421</v>
      </c>
      <c r="C24" s="151">
        <f t="shared" si="0"/>
        <v>4.4993233890357831E-3</v>
      </c>
      <c r="D24" s="149" t="s">
        <v>401</v>
      </c>
      <c r="E24" s="158">
        <f>B43</f>
        <v>-482096</v>
      </c>
      <c r="F24" s="151">
        <f t="shared" si="1"/>
        <v>-4.8195352218560819E-2</v>
      </c>
      <c r="G24" s="147"/>
      <c r="H24" s="147"/>
      <c r="I24" s="147"/>
      <c r="J24" s="161"/>
      <c r="K24" s="147"/>
      <c r="L24" s="147"/>
      <c r="M24" s="3"/>
      <c r="N24" s="3"/>
      <c r="O24" s="3"/>
      <c r="P24" s="3"/>
      <c r="Q24" s="3"/>
      <c r="R24" s="3"/>
      <c r="S24" s="3"/>
      <c r="T24" s="3"/>
      <c r="U24" s="3"/>
      <c r="V24" s="3"/>
      <c r="W24" s="3"/>
      <c r="X24" s="3"/>
      <c r="Y24" s="3"/>
      <c r="Z24" s="3"/>
    </row>
    <row r="25" spans="1:26" ht="22.5" customHeight="1" x14ac:dyDescent="0.85">
      <c r="A25" s="149" t="s">
        <v>145</v>
      </c>
      <c r="B25" s="150">
        <f t="shared" ref="B25:B27" si="5">B77</f>
        <v>3467904.8505085749</v>
      </c>
      <c r="C25" s="159">
        <f t="shared" si="0"/>
        <v>0.33074750280043813</v>
      </c>
      <c r="D25" s="154" t="s">
        <v>398</v>
      </c>
      <c r="E25" s="155">
        <f t="shared" ref="E25:F25" si="6">SUM(E18:E24)</f>
        <v>10002956.256315872</v>
      </c>
      <c r="F25" s="156">
        <f t="shared" si="6"/>
        <v>1.0000000000000002</v>
      </c>
      <c r="G25" s="147"/>
      <c r="H25" s="147"/>
      <c r="I25" s="147"/>
      <c r="J25" s="147"/>
      <c r="K25" s="147"/>
      <c r="L25" s="147"/>
      <c r="M25" s="3"/>
      <c r="N25" s="3"/>
      <c r="O25" s="3"/>
      <c r="P25" s="3"/>
      <c r="Q25" s="3"/>
      <c r="R25" s="3"/>
      <c r="S25" s="3"/>
      <c r="T25" s="3"/>
      <c r="U25" s="3"/>
      <c r="V25" s="3"/>
      <c r="W25" s="3"/>
      <c r="X25" s="3"/>
      <c r="Y25" s="3"/>
      <c r="Z25" s="3"/>
    </row>
    <row r="26" spans="1:26" ht="22.5" customHeight="1" x14ac:dyDescent="0.85">
      <c r="A26" s="149" t="s">
        <v>146</v>
      </c>
      <c r="B26" s="150">
        <f t="shared" si="5"/>
        <v>10298.537742539465</v>
      </c>
      <c r="C26" s="159">
        <f t="shared" si="0"/>
        <v>9.8221138920275225E-4</v>
      </c>
      <c r="D26" s="147"/>
      <c r="E26" s="147"/>
      <c r="F26" s="147"/>
      <c r="G26" s="147"/>
      <c r="H26" s="147"/>
      <c r="I26" s="147"/>
      <c r="J26" s="147"/>
      <c r="K26" s="147"/>
      <c r="L26" s="147"/>
      <c r="M26" s="3"/>
      <c r="N26" s="3"/>
      <c r="O26" s="3"/>
      <c r="P26" s="3"/>
      <c r="Q26" s="3"/>
      <c r="R26" s="3"/>
      <c r="S26" s="3"/>
      <c r="T26" s="3"/>
      <c r="U26" s="3"/>
      <c r="V26" s="3"/>
      <c r="W26" s="3"/>
      <c r="X26" s="3"/>
      <c r="Y26" s="3"/>
      <c r="Z26" s="3"/>
    </row>
    <row r="27" spans="1:26" ht="22.5" customHeight="1" x14ac:dyDescent="0.85">
      <c r="A27" s="149" t="s">
        <v>147</v>
      </c>
      <c r="B27" s="150">
        <f t="shared" si="5"/>
        <v>278.9820317443947</v>
      </c>
      <c r="C27" s="157">
        <f t="shared" si="0"/>
        <v>2.6607595739577215E-5</v>
      </c>
      <c r="D27" s="147"/>
      <c r="E27" s="147"/>
      <c r="F27" s="147"/>
      <c r="G27" s="147"/>
      <c r="H27" s="147"/>
      <c r="I27" s="147"/>
      <c r="J27" s="147"/>
      <c r="K27" s="147"/>
      <c r="L27" s="147"/>
      <c r="M27" s="3"/>
      <c r="N27" s="3"/>
      <c r="O27" s="3"/>
      <c r="P27" s="3"/>
      <c r="Q27" s="3"/>
      <c r="R27" s="3"/>
      <c r="S27" s="3"/>
      <c r="T27" s="3"/>
      <c r="U27" s="3"/>
      <c r="V27" s="3"/>
      <c r="W27" s="3"/>
      <c r="X27" s="3"/>
      <c r="Y27" s="3"/>
      <c r="Z27" s="3"/>
    </row>
    <row r="28" spans="1:26" ht="22.5" customHeight="1" x14ac:dyDescent="0.85">
      <c r="A28" s="149" t="s">
        <v>148</v>
      </c>
      <c r="B28" s="150">
        <f>B82</f>
        <v>23978.041616818868</v>
      </c>
      <c r="C28" s="153">
        <f t="shared" si="0"/>
        <v>2.2868785992339936E-3</v>
      </c>
      <c r="D28" s="147"/>
      <c r="E28" s="147"/>
      <c r="F28" s="147"/>
      <c r="G28" s="147"/>
      <c r="H28" s="147"/>
      <c r="I28" s="147"/>
      <c r="J28" s="147"/>
      <c r="K28" s="147"/>
      <c r="L28" s="147"/>
      <c r="M28" s="3"/>
      <c r="N28" s="3"/>
      <c r="O28" s="3"/>
      <c r="P28" s="3"/>
      <c r="Q28" s="3"/>
      <c r="R28" s="3"/>
      <c r="S28" s="3"/>
      <c r="T28" s="3"/>
      <c r="U28" s="3"/>
      <c r="V28" s="3"/>
      <c r="W28" s="3"/>
      <c r="X28" s="3"/>
      <c r="Y28" s="3"/>
      <c r="Z28" s="3"/>
    </row>
    <row r="29" spans="1:26" ht="22.5" customHeight="1" x14ac:dyDescent="0.85">
      <c r="A29" s="149" t="s">
        <v>149</v>
      </c>
      <c r="B29" s="150">
        <f>B83+B84</f>
        <v>23.537611515685484</v>
      </c>
      <c r="C29" s="157">
        <f t="shared" si="0"/>
        <v>2.2448730764796282E-6</v>
      </c>
      <c r="D29" s="147"/>
      <c r="E29" s="147"/>
      <c r="F29" s="147"/>
      <c r="G29" s="147"/>
      <c r="H29" s="147"/>
      <c r="I29" s="147"/>
      <c r="J29" s="147"/>
      <c r="K29" s="147"/>
      <c r="L29" s="147"/>
      <c r="M29" s="3"/>
      <c r="N29" s="3"/>
      <c r="O29" s="3"/>
      <c r="P29" s="3"/>
      <c r="Q29" s="3"/>
      <c r="R29" s="3"/>
      <c r="S29" s="3"/>
      <c r="T29" s="3"/>
      <c r="U29" s="3"/>
      <c r="V29" s="3"/>
      <c r="W29" s="3"/>
      <c r="X29" s="3"/>
      <c r="Y29" s="3"/>
      <c r="Z29" s="3"/>
    </row>
    <row r="30" spans="1:26" ht="22.5" customHeight="1" x14ac:dyDescent="0.85">
      <c r="A30" s="149" t="s">
        <v>150</v>
      </c>
      <c r="B30" s="150">
        <f t="shared" ref="B30:B31" si="7">B87</f>
        <v>28249.864606659077</v>
      </c>
      <c r="C30" s="153">
        <f t="shared" si="0"/>
        <v>2.6942988853147797E-3</v>
      </c>
      <c r="D30" s="147"/>
      <c r="E30" s="147"/>
      <c r="F30" s="147"/>
      <c r="G30" s="147"/>
      <c r="H30" s="147"/>
      <c r="I30" s="147"/>
      <c r="J30" s="147"/>
      <c r="K30" s="147"/>
      <c r="L30" s="147"/>
      <c r="M30" s="3"/>
      <c r="N30" s="3"/>
      <c r="O30" s="3"/>
      <c r="P30" s="3"/>
      <c r="Q30" s="3"/>
      <c r="R30" s="3"/>
      <c r="S30" s="3"/>
      <c r="T30" s="3"/>
      <c r="U30" s="3"/>
      <c r="V30" s="3"/>
      <c r="W30" s="3"/>
      <c r="X30" s="3"/>
      <c r="Y30" s="3"/>
      <c r="Z30" s="3"/>
    </row>
    <row r="31" spans="1:26" ht="22.5" customHeight="1" x14ac:dyDescent="0.85">
      <c r="A31" s="149" t="s">
        <v>151</v>
      </c>
      <c r="B31" s="150">
        <f t="shared" si="7"/>
        <v>253855.49369732151</v>
      </c>
      <c r="C31" s="151">
        <f t="shared" si="0"/>
        <v>2.4211180592295736E-2</v>
      </c>
      <c r="D31" s="147"/>
      <c r="E31" s="147"/>
      <c r="F31" s="147"/>
      <c r="G31" s="147"/>
      <c r="H31" s="147"/>
      <c r="I31" s="147"/>
      <c r="J31" s="147"/>
      <c r="K31" s="147"/>
      <c r="L31" s="147"/>
      <c r="M31" s="3"/>
      <c r="N31" s="3"/>
      <c r="O31" s="3"/>
      <c r="P31" s="3"/>
      <c r="Q31" s="3"/>
      <c r="R31" s="3"/>
      <c r="S31" s="3"/>
      <c r="T31" s="3"/>
      <c r="U31" s="3"/>
      <c r="V31" s="3"/>
      <c r="W31" s="3"/>
      <c r="X31" s="3"/>
      <c r="Y31" s="3"/>
      <c r="Z31" s="3"/>
    </row>
    <row r="32" spans="1:26" ht="22.5" customHeight="1" x14ac:dyDescent="0.85">
      <c r="A32" s="149" t="s">
        <v>152</v>
      </c>
      <c r="B32" s="150">
        <f>B91</f>
        <v>632396.99611859315</v>
      </c>
      <c r="C32" s="151">
        <f t="shared" si="0"/>
        <v>6.0314148242576152E-2</v>
      </c>
      <c r="D32" s="147"/>
      <c r="E32" s="147"/>
      <c r="F32" s="147"/>
      <c r="G32" s="147"/>
      <c r="H32" s="147"/>
      <c r="I32" s="147"/>
      <c r="J32" s="147"/>
      <c r="K32" s="147"/>
      <c r="L32" s="147"/>
      <c r="M32" s="3"/>
      <c r="N32" s="3"/>
      <c r="O32" s="3"/>
      <c r="P32" s="3"/>
      <c r="Q32" s="3"/>
      <c r="R32" s="3"/>
      <c r="S32" s="3"/>
      <c r="T32" s="3"/>
      <c r="U32" s="3"/>
      <c r="V32" s="3"/>
      <c r="W32" s="3"/>
      <c r="X32" s="3"/>
      <c r="Y32" s="3"/>
      <c r="Z32" s="3"/>
    </row>
    <row r="33" spans="1:26" ht="22.5" customHeight="1" x14ac:dyDescent="0.85">
      <c r="A33" s="149" t="s">
        <v>153</v>
      </c>
      <c r="B33" s="150">
        <f>B94</f>
        <v>242851.66199368268</v>
      </c>
      <c r="C33" s="151">
        <f t="shared" si="0"/>
        <v>2.3161702589264282E-2</v>
      </c>
      <c r="D33" s="147"/>
      <c r="E33" s="147"/>
      <c r="F33" s="147"/>
      <c r="G33" s="147"/>
      <c r="H33" s="147"/>
      <c r="I33" s="147" t="s">
        <v>512</v>
      </c>
      <c r="J33" s="147"/>
      <c r="K33" s="147"/>
      <c r="L33" s="147"/>
      <c r="M33" s="3"/>
      <c r="N33" s="3"/>
      <c r="O33" s="3"/>
      <c r="P33" s="3"/>
      <c r="Q33" s="3"/>
      <c r="R33" s="3"/>
      <c r="S33" s="3"/>
      <c r="T33" s="3"/>
      <c r="U33" s="3"/>
      <c r="V33" s="3"/>
      <c r="W33" s="3"/>
      <c r="X33" s="3"/>
      <c r="Y33" s="3"/>
      <c r="Z33" s="3"/>
    </row>
    <row r="34" spans="1:26" ht="22.5" customHeight="1" x14ac:dyDescent="0.85">
      <c r="A34" s="149" t="s">
        <v>154</v>
      </c>
      <c r="B34" s="150">
        <f>B99+B100</f>
        <v>479858.10259387631</v>
      </c>
      <c r="C34" s="151">
        <f t="shared" si="0"/>
        <v>4.5765923799266188E-2</v>
      </c>
      <c r="D34" s="147"/>
      <c r="E34" s="147"/>
      <c r="F34" s="147"/>
      <c r="G34" s="147"/>
      <c r="H34" s="147"/>
      <c r="I34" s="147"/>
      <c r="J34" s="147"/>
      <c r="K34" s="147"/>
      <c r="L34" s="147"/>
      <c r="M34" s="3"/>
      <c r="N34" s="3"/>
      <c r="O34" s="3"/>
      <c r="P34" s="3"/>
      <c r="Q34" s="3"/>
      <c r="R34" s="3"/>
      <c r="S34" s="3"/>
      <c r="T34" s="3"/>
      <c r="U34" s="3"/>
      <c r="V34" s="3"/>
      <c r="W34" s="3"/>
      <c r="X34" s="3"/>
      <c r="Y34" s="3"/>
      <c r="Z34" s="3"/>
    </row>
    <row r="35" spans="1:26" ht="22.5" customHeight="1" x14ac:dyDescent="0.85">
      <c r="A35" s="149" t="s">
        <v>155</v>
      </c>
      <c r="B35" s="150">
        <f>B101+B102</f>
        <v>2226.2955787919464</v>
      </c>
      <c r="C35" s="160">
        <f t="shared" si="0"/>
        <v>2.1233042281223674E-4</v>
      </c>
      <c r="D35" s="147"/>
      <c r="E35" s="147"/>
      <c r="F35" s="147"/>
      <c r="G35" s="147"/>
      <c r="H35" s="147"/>
      <c r="I35" s="147"/>
      <c r="J35" s="147"/>
      <c r="K35" s="147"/>
      <c r="L35" s="147"/>
      <c r="M35" s="3"/>
      <c r="N35" s="3"/>
      <c r="O35" s="3"/>
      <c r="P35" s="3"/>
      <c r="Q35" s="3"/>
      <c r="R35" s="3"/>
      <c r="S35" s="3"/>
      <c r="T35" s="3"/>
      <c r="U35" s="3"/>
      <c r="V35" s="3"/>
      <c r="W35" s="3"/>
      <c r="X35" s="3"/>
      <c r="Y35" s="3"/>
      <c r="Z35" s="3"/>
    </row>
    <row r="36" spans="1:26" ht="22.5" customHeight="1" x14ac:dyDescent="0.85">
      <c r="A36" s="149" t="s">
        <v>156</v>
      </c>
      <c r="B36" s="150">
        <f>B108</f>
        <v>20796.201176619135</v>
      </c>
      <c r="C36" s="153">
        <f t="shared" si="0"/>
        <v>1.9834141660183087E-3</v>
      </c>
      <c r="D36" s="147"/>
      <c r="E36" s="147"/>
      <c r="F36" s="147"/>
      <c r="G36" s="147"/>
      <c r="H36" s="147"/>
      <c r="I36" s="147"/>
      <c r="J36" s="147"/>
      <c r="K36" s="147"/>
      <c r="L36" s="147"/>
      <c r="M36" s="3"/>
      <c r="N36" s="3"/>
      <c r="O36" s="3"/>
      <c r="P36" s="3"/>
      <c r="Q36" s="3"/>
      <c r="R36" s="3"/>
      <c r="S36" s="3"/>
      <c r="T36" s="3"/>
      <c r="U36" s="3"/>
      <c r="V36" s="3"/>
      <c r="W36" s="3"/>
      <c r="X36" s="3"/>
      <c r="Y36" s="3"/>
      <c r="Z36" s="3"/>
    </row>
    <row r="37" spans="1:26" ht="22.5" customHeight="1" x14ac:dyDescent="0.85">
      <c r="A37" s="149" t="s">
        <v>346</v>
      </c>
      <c r="B37" s="150">
        <f t="shared" ref="B37:B38" si="8">B112</f>
        <v>410773.09399999992</v>
      </c>
      <c r="C37" s="151">
        <f t="shared" si="0"/>
        <v>3.9177019242089405E-2</v>
      </c>
      <c r="D37" s="147"/>
      <c r="E37" s="147"/>
      <c r="F37" s="147"/>
      <c r="G37" s="147"/>
      <c r="H37" s="147"/>
      <c r="I37" s="147"/>
      <c r="J37" s="147"/>
      <c r="K37" s="147"/>
      <c r="L37" s="147"/>
      <c r="M37" s="3"/>
      <c r="N37" s="3"/>
      <c r="O37" s="3"/>
      <c r="P37" s="3"/>
      <c r="Q37" s="3"/>
      <c r="R37" s="3"/>
      <c r="S37" s="3"/>
      <c r="T37" s="3"/>
      <c r="U37" s="3"/>
      <c r="V37" s="3"/>
      <c r="W37" s="3"/>
      <c r="X37" s="3"/>
      <c r="Y37" s="3"/>
      <c r="Z37" s="3"/>
    </row>
    <row r="38" spans="1:26" ht="22.5" customHeight="1" x14ac:dyDescent="0.85">
      <c r="A38" s="149" t="s">
        <v>158</v>
      </c>
      <c r="B38" s="150">
        <f t="shared" si="8"/>
        <v>281925.01945940987</v>
      </c>
      <c r="C38" s="153">
        <f t="shared" si="0"/>
        <v>2.6888279864278872E-2</v>
      </c>
      <c r="D38" s="147"/>
      <c r="E38" s="147"/>
      <c r="F38" s="147"/>
      <c r="G38" s="147"/>
      <c r="H38" s="147"/>
      <c r="I38" s="147"/>
      <c r="J38" s="147"/>
      <c r="K38" s="147"/>
      <c r="L38" s="147"/>
      <c r="M38" s="3"/>
      <c r="N38" s="3"/>
      <c r="O38" s="3"/>
      <c r="P38" s="3"/>
      <c r="Q38" s="3"/>
      <c r="R38" s="3"/>
      <c r="S38" s="3"/>
      <c r="T38" s="3"/>
      <c r="U38" s="3"/>
      <c r="V38" s="3"/>
      <c r="W38" s="3"/>
      <c r="X38" s="3"/>
      <c r="Y38" s="3"/>
      <c r="Z38" s="3"/>
    </row>
    <row r="39" spans="1:26" ht="22.5" customHeight="1" x14ac:dyDescent="0.85">
      <c r="A39" s="149" t="s">
        <v>402</v>
      </c>
      <c r="B39" s="150">
        <f>SUM('Bernalillo County Data'!B40,'Sandoval County Data'!B40,'Torrance County Data'!B40,'Valencia County Data'!B40)</f>
        <v>181035.22676951959</v>
      </c>
      <c r="C39" s="159">
        <f t="shared" si="0"/>
        <v>1.7266029996223387E-2</v>
      </c>
      <c r="D39" s="147"/>
      <c r="E39" s="147"/>
      <c r="F39" s="147"/>
      <c r="G39" s="147"/>
      <c r="H39" s="147"/>
      <c r="I39" s="147"/>
      <c r="J39" s="147"/>
      <c r="K39" s="3"/>
      <c r="L39" s="3"/>
      <c r="M39" s="3"/>
      <c r="N39" s="3"/>
      <c r="O39" s="3"/>
      <c r="P39" s="3"/>
      <c r="Q39" s="3"/>
      <c r="R39" s="3"/>
      <c r="S39" s="3"/>
      <c r="T39" s="3"/>
      <c r="U39" s="3"/>
      <c r="V39" s="3"/>
      <c r="W39" s="3"/>
      <c r="X39" s="3"/>
      <c r="Y39" s="3"/>
      <c r="Z39" s="3"/>
    </row>
    <row r="40" spans="1:26" ht="22.5" customHeight="1" x14ac:dyDescent="0.85">
      <c r="A40" s="149" t="s">
        <v>403</v>
      </c>
      <c r="B40" s="150">
        <f>SUM('Bernalillo County Data'!B41,'Sandoval County Data'!B41,'Torrance County Data'!B41,'Valencia County Data'!B41)</f>
        <v>164677.87016939695</v>
      </c>
      <c r="C40" s="151">
        <f t="shared" si="0"/>
        <v>1.5705965611206185E-2</v>
      </c>
      <c r="D40" s="147"/>
      <c r="E40" s="147"/>
      <c r="F40" s="147"/>
      <c r="G40" s="147"/>
      <c r="H40" s="147"/>
      <c r="I40" s="147"/>
      <c r="J40" s="147"/>
      <c r="K40" s="3"/>
      <c r="L40" s="3"/>
      <c r="M40" s="3"/>
      <c r="N40" s="3"/>
      <c r="O40" s="3"/>
      <c r="P40" s="3"/>
      <c r="Q40" s="3"/>
      <c r="R40" s="3"/>
      <c r="S40" s="3"/>
      <c r="T40" s="3"/>
      <c r="U40" s="3"/>
      <c r="V40" s="3"/>
      <c r="W40" s="3"/>
      <c r="X40" s="3"/>
      <c r="Y40" s="3"/>
      <c r="Z40" s="3"/>
    </row>
    <row r="41" spans="1:26" ht="22.5" customHeight="1" x14ac:dyDescent="0.85">
      <c r="A41" s="149" t="s">
        <v>404</v>
      </c>
      <c r="B41" s="150">
        <f>SUM('Bernalillo County Data'!B42,'Sandoval County Data'!B42,'Torrance County Data'!B42,'Valencia County Data'!B42)</f>
        <v>589.4321176447412</v>
      </c>
      <c r="C41" s="160">
        <f t="shared" si="0"/>
        <v>5.6216421552852574E-5</v>
      </c>
      <c r="D41" s="147"/>
      <c r="E41" s="147"/>
      <c r="F41" s="147"/>
      <c r="G41" s="147"/>
      <c r="H41" s="147"/>
      <c r="I41" s="147"/>
      <c r="J41" s="147"/>
      <c r="K41" s="3"/>
      <c r="L41" s="3"/>
      <c r="M41" s="3"/>
      <c r="N41" s="3"/>
      <c r="O41" s="3"/>
      <c r="P41" s="3"/>
      <c r="Q41" s="3"/>
      <c r="R41" s="3"/>
      <c r="S41" s="3"/>
      <c r="T41" s="3"/>
      <c r="U41" s="3"/>
      <c r="V41" s="3"/>
      <c r="W41" s="3"/>
      <c r="X41" s="3"/>
      <c r="Y41" s="3"/>
      <c r="Z41" s="3"/>
    </row>
    <row r="42" spans="1:26" ht="22.5" customHeight="1" x14ac:dyDescent="0.85">
      <c r="A42" s="149" t="s">
        <v>405</v>
      </c>
      <c r="B42" s="150">
        <f>SUM('Bernalillo County Data'!B43,'Sandoval County Data'!B43,'Torrance County Data'!B43,'Valencia County Data'!B43)</f>
        <v>2500.5912547624171</v>
      </c>
      <c r="C42" s="159">
        <f t="shared" si="0"/>
        <v>2.3849106267030166E-4</v>
      </c>
      <c r="D42" s="147"/>
      <c r="E42" s="147"/>
      <c r="F42" s="147"/>
      <c r="G42" s="147"/>
      <c r="H42" s="147"/>
      <c r="I42" s="147"/>
      <c r="J42" s="147"/>
      <c r="K42" s="3"/>
      <c r="L42" s="3"/>
      <c r="M42" s="3"/>
      <c r="N42" s="3"/>
      <c r="O42" s="3"/>
      <c r="P42" s="3"/>
      <c r="Q42" s="3"/>
      <c r="R42" s="3"/>
      <c r="S42" s="3"/>
      <c r="T42" s="3"/>
      <c r="U42" s="3"/>
      <c r="V42" s="3"/>
      <c r="W42" s="3"/>
      <c r="X42" s="3"/>
      <c r="Y42" s="3"/>
      <c r="Z42" s="3"/>
    </row>
    <row r="43" spans="1:26" ht="22.5" customHeight="1" x14ac:dyDescent="0.85">
      <c r="A43" s="162" t="s">
        <v>406</v>
      </c>
      <c r="B43" s="158">
        <f>B119</f>
        <v>-482096</v>
      </c>
      <c r="C43" s="163" t="s">
        <v>106</v>
      </c>
      <c r="D43" s="147"/>
      <c r="E43" s="147"/>
      <c r="F43" s="147"/>
      <c r="G43" s="147"/>
      <c r="H43" s="147"/>
      <c r="I43" s="147"/>
      <c r="J43" s="147"/>
      <c r="K43" s="3"/>
      <c r="L43" s="3"/>
      <c r="M43" s="3"/>
      <c r="N43" s="3"/>
      <c r="O43" s="3"/>
      <c r="P43" s="3"/>
      <c r="Q43" s="3"/>
      <c r="R43" s="3"/>
      <c r="S43" s="3"/>
      <c r="T43" s="3"/>
      <c r="U43" s="3"/>
      <c r="V43" s="3"/>
      <c r="W43" s="3"/>
      <c r="X43" s="3"/>
      <c r="Y43" s="3"/>
      <c r="Z43" s="3"/>
    </row>
    <row r="44" spans="1:26" ht="22.5" customHeight="1" x14ac:dyDescent="0.85">
      <c r="A44" s="164" t="s">
        <v>101</v>
      </c>
      <c r="B44" s="155">
        <f t="shared" ref="B44:C44" si="9">SUM(B18:B42)</f>
        <v>10485052.256315874</v>
      </c>
      <c r="C44" s="156">
        <f t="shared" si="9"/>
        <v>0.99999999999999989</v>
      </c>
      <c r="D44" s="147"/>
      <c r="E44" s="147"/>
      <c r="F44" s="147"/>
      <c r="G44" s="147"/>
      <c r="H44" s="147"/>
      <c r="I44" s="147"/>
      <c r="J44" s="147"/>
      <c r="K44" s="3"/>
      <c r="L44" s="3"/>
      <c r="M44" s="3"/>
      <c r="N44" s="3"/>
      <c r="O44" s="3"/>
      <c r="P44" s="3"/>
      <c r="Q44" s="3"/>
      <c r="R44" s="3"/>
      <c r="S44" s="3"/>
      <c r="T44" s="3"/>
      <c r="U44" s="3"/>
      <c r="V44" s="3"/>
      <c r="W44" s="3"/>
      <c r="X44" s="3"/>
      <c r="Y44" s="3"/>
      <c r="Z44" s="3"/>
    </row>
    <row r="45" spans="1:26" ht="22.5" customHeight="1" x14ac:dyDescent="0.85">
      <c r="A45" s="164" t="s">
        <v>136</v>
      </c>
      <c r="B45" s="165">
        <f>B43</f>
        <v>-482096</v>
      </c>
      <c r="C45" s="156" t="s">
        <v>106</v>
      </c>
      <c r="D45" s="147"/>
      <c r="E45" s="147"/>
      <c r="F45" s="147"/>
      <c r="G45" s="147"/>
      <c r="H45" s="147"/>
      <c r="I45" s="147"/>
      <c r="J45" s="147"/>
      <c r="K45" s="3"/>
      <c r="L45" s="3"/>
      <c r="M45" s="3"/>
      <c r="N45" s="3"/>
      <c r="O45" s="3"/>
      <c r="P45" s="3"/>
      <c r="Q45" s="3"/>
      <c r="R45" s="3"/>
      <c r="S45" s="3"/>
      <c r="T45" s="3"/>
      <c r="U45" s="3"/>
      <c r="V45" s="3"/>
      <c r="W45" s="3"/>
      <c r="X45" s="3"/>
      <c r="Y45" s="3"/>
      <c r="Z45" s="3"/>
    </row>
    <row r="46" spans="1:26" ht="22.5" customHeight="1" x14ac:dyDescent="0.85">
      <c r="A46" s="164" t="s">
        <v>123</v>
      </c>
      <c r="B46" s="155">
        <f>B44+B45</f>
        <v>10002956.256315874</v>
      </c>
      <c r="C46" s="156" t="s">
        <v>106</v>
      </c>
      <c r="D46" s="147"/>
      <c r="E46" s="147"/>
      <c r="F46" s="147"/>
      <c r="G46" s="147"/>
      <c r="H46" s="147"/>
      <c r="I46" s="147"/>
      <c r="J46" s="147"/>
      <c r="K46" s="3"/>
      <c r="L46" s="3"/>
      <c r="M46" s="3"/>
      <c r="N46" s="3"/>
      <c r="O46" s="3"/>
      <c r="P46" s="3"/>
      <c r="Q46" s="3"/>
      <c r="R46" s="3"/>
      <c r="S46" s="3"/>
      <c r="T46" s="3"/>
      <c r="U46" s="3"/>
      <c r="V46" s="3"/>
      <c r="W46" s="3"/>
      <c r="X46" s="3"/>
      <c r="Y46" s="3"/>
      <c r="Z46" s="3"/>
    </row>
    <row r="47" spans="1:26" ht="22.5" customHeight="1" x14ac:dyDescent="0.85">
      <c r="A47" s="166"/>
      <c r="B47" s="167"/>
      <c r="C47" s="167"/>
      <c r="D47" s="147"/>
      <c r="E47" s="147"/>
      <c r="F47" s="147"/>
      <c r="G47" s="147"/>
      <c r="H47" s="147"/>
      <c r="I47" s="147"/>
      <c r="J47" s="147"/>
      <c r="K47" s="3"/>
      <c r="L47" s="3"/>
      <c r="M47" s="3"/>
      <c r="N47" s="3"/>
      <c r="O47" s="3"/>
      <c r="P47" s="3"/>
      <c r="Q47" s="3"/>
      <c r="R47" s="3"/>
      <c r="S47" s="3"/>
      <c r="T47" s="3"/>
      <c r="U47" s="3"/>
      <c r="V47" s="3"/>
      <c r="W47" s="3"/>
      <c r="X47" s="3"/>
      <c r="Y47" s="3"/>
      <c r="Z47" s="3"/>
    </row>
    <row r="48" spans="1:26" ht="22.5" customHeight="1" x14ac:dyDescent="0.85">
      <c r="A48" s="144" t="s">
        <v>407</v>
      </c>
      <c r="B48" s="145"/>
      <c r="C48" s="145"/>
      <c r="D48" s="145"/>
      <c r="E48" s="145"/>
      <c r="F48" s="146"/>
      <c r="G48" s="147"/>
      <c r="H48" s="147"/>
      <c r="I48" s="147"/>
      <c r="J48" s="147"/>
      <c r="K48" s="147"/>
      <c r="L48" s="147"/>
      <c r="M48" s="3"/>
      <c r="N48" s="3"/>
      <c r="O48" s="3"/>
      <c r="P48" s="3"/>
      <c r="Q48" s="3"/>
      <c r="R48" s="3"/>
      <c r="S48" s="3"/>
      <c r="T48" s="3"/>
      <c r="U48" s="3"/>
      <c r="V48" s="3"/>
      <c r="W48" s="3"/>
      <c r="X48" s="3"/>
      <c r="Y48" s="3"/>
      <c r="Z48" s="3"/>
    </row>
    <row r="49" spans="1:26" ht="22.5" customHeight="1" x14ac:dyDescent="0.85">
      <c r="A49" s="168" t="s">
        <v>184</v>
      </c>
      <c r="B49" s="169"/>
      <c r="C49" s="169"/>
      <c r="D49" s="169"/>
      <c r="E49" s="169"/>
      <c r="F49" s="170"/>
      <c r="G49" s="147"/>
      <c r="H49" s="147"/>
      <c r="I49" s="147"/>
      <c r="J49" s="147"/>
      <c r="K49" s="147"/>
      <c r="L49" s="147"/>
      <c r="M49" s="3"/>
      <c r="N49" s="3"/>
      <c r="O49" s="3"/>
      <c r="P49" s="3"/>
      <c r="Q49" s="3"/>
      <c r="R49" s="3"/>
      <c r="S49" s="3"/>
      <c r="T49" s="3"/>
      <c r="U49" s="3"/>
      <c r="V49" s="3"/>
      <c r="W49" s="3"/>
      <c r="X49" s="3"/>
      <c r="Y49" s="3"/>
      <c r="Z49" s="3"/>
    </row>
    <row r="50" spans="1:26" ht="22.5" customHeight="1" x14ac:dyDescent="0.85">
      <c r="A50" s="171" t="s">
        <v>408</v>
      </c>
      <c r="B50" s="172"/>
      <c r="C50" s="172"/>
      <c r="D50" s="172"/>
      <c r="E50" s="172"/>
      <c r="F50" s="173"/>
      <c r="G50" s="147"/>
      <c r="H50" s="147"/>
      <c r="I50" s="147"/>
      <c r="J50" s="147"/>
      <c r="K50" s="3"/>
      <c r="L50" s="3"/>
      <c r="M50" s="3"/>
      <c r="N50" s="3"/>
      <c r="O50" s="3"/>
      <c r="P50" s="3"/>
      <c r="Q50" s="3"/>
      <c r="R50" s="3"/>
      <c r="S50" s="3"/>
      <c r="T50" s="3"/>
      <c r="U50" s="3"/>
      <c r="V50" s="3"/>
      <c r="W50" s="3"/>
      <c r="X50" s="3"/>
      <c r="Y50" s="3"/>
      <c r="Z50" s="3"/>
    </row>
    <row r="51" spans="1:26" ht="22.5" customHeight="1" x14ac:dyDescent="0.85">
      <c r="A51" s="130" t="s">
        <v>409</v>
      </c>
      <c r="B51" s="130" t="s">
        <v>410</v>
      </c>
      <c r="C51" s="174" t="s">
        <v>362</v>
      </c>
      <c r="D51" s="174" t="s">
        <v>117</v>
      </c>
      <c r="E51" s="174" t="s">
        <v>251</v>
      </c>
      <c r="F51" s="174" t="s">
        <v>362</v>
      </c>
      <c r="G51" s="147"/>
      <c r="H51" s="147"/>
      <c r="I51" s="147"/>
      <c r="J51" s="147"/>
      <c r="K51" s="3"/>
      <c r="L51" s="3"/>
      <c r="M51" s="3"/>
      <c r="N51" s="3"/>
      <c r="O51" s="3"/>
      <c r="P51" s="3"/>
      <c r="Q51" s="3"/>
      <c r="R51" s="3"/>
      <c r="S51" s="3"/>
      <c r="T51" s="3"/>
      <c r="U51" s="3"/>
      <c r="V51" s="3"/>
      <c r="W51" s="3"/>
      <c r="X51" s="3"/>
      <c r="Y51" s="3"/>
      <c r="Z51" s="3"/>
    </row>
    <row r="52" spans="1:26" ht="22.5" customHeight="1" x14ac:dyDescent="0.85">
      <c r="A52" s="175" t="s">
        <v>411</v>
      </c>
      <c r="B52" s="150">
        <f>'Bernalillo County Data'!B53+'Sandoval County Data'!B53+'Torrance County Data'!B53+'Valencia County Data'!B53</f>
        <v>1408349.2512500568</v>
      </c>
      <c r="C52" s="176" t="s">
        <v>412</v>
      </c>
      <c r="D52" s="177">
        <v>1</v>
      </c>
      <c r="E52" s="150">
        <f>'Bernalillo County Data'!E53+'Sandoval County Data'!E53+'Torrance County Data'!E53+'Valencia County Data'!E53</f>
        <v>265153442.32743534</v>
      </c>
      <c r="F52" s="176" t="s">
        <v>413</v>
      </c>
      <c r="G52" s="147"/>
      <c r="H52" s="147"/>
      <c r="I52" s="147"/>
      <c r="J52" s="147"/>
      <c r="K52" s="3"/>
      <c r="L52" s="3"/>
      <c r="M52" s="3"/>
      <c r="N52" s="3"/>
      <c r="O52" s="3"/>
      <c r="P52" s="3"/>
      <c r="Q52" s="3"/>
      <c r="R52" s="3"/>
      <c r="S52" s="3"/>
      <c r="T52" s="3"/>
      <c r="U52" s="3"/>
      <c r="V52" s="3"/>
      <c r="W52" s="3"/>
      <c r="X52" s="3"/>
      <c r="Y52" s="3"/>
      <c r="Z52" s="3"/>
    </row>
    <row r="53" spans="1:26" ht="22.5" customHeight="1" x14ac:dyDescent="0.85">
      <c r="A53" s="13" t="s">
        <v>414</v>
      </c>
      <c r="B53" s="150">
        <f>'Bernalillo County Data'!B54+'Sandoval County Data'!B54+'Torrance County Data'!B54+'Valencia County Data'!B54</f>
        <v>1034198.9735620636</v>
      </c>
      <c r="C53" s="176" t="s">
        <v>412</v>
      </c>
      <c r="D53" s="177">
        <v>1</v>
      </c>
      <c r="E53" s="150">
        <f>'Bernalillo County Data'!E54+'Sandoval County Data'!E54+'Torrance County Data'!E54+'Valencia County Data'!E54</f>
        <v>194711232.06696165</v>
      </c>
      <c r="F53" s="176" t="s">
        <v>413</v>
      </c>
      <c r="G53" s="147"/>
      <c r="H53" s="147"/>
      <c r="I53" s="147"/>
      <c r="J53" s="147"/>
      <c r="K53" s="3"/>
      <c r="L53" s="3"/>
      <c r="M53" s="3"/>
      <c r="N53" s="3"/>
      <c r="O53" s="3"/>
      <c r="P53" s="3"/>
      <c r="Q53" s="3"/>
      <c r="R53" s="3"/>
      <c r="S53" s="3"/>
      <c r="T53" s="3"/>
      <c r="U53" s="3"/>
      <c r="V53" s="3"/>
      <c r="W53" s="3"/>
      <c r="X53" s="3"/>
      <c r="Y53" s="3"/>
      <c r="Z53" s="3"/>
    </row>
    <row r="54" spans="1:26" ht="22.5" customHeight="1" x14ac:dyDescent="0.85">
      <c r="A54" s="13" t="s">
        <v>266</v>
      </c>
      <c r="B54" s="150">
        <f>'Bernalillo County Data'!B55+'Sandoval County Data'!B55+'Torrance County Data'!B55+'Valencia County Data'!B55</f>
        <v>0</v>
      </c>
      <c r="C54" s="176" t="s">
        <v>412</v>
      </c>
      <c r="D54" s="177">
        <v>1</v>
      </c>
      <c r="E54" s="150" t="s">
        <v>106</v>
      </c>
      <c r="F54" s="176" t="s">
        <v>415</v>
      </c>
      <c r="G54" s="147"/>
      <c r="H54" s="147"/>
      <c r="I54" s="147"/>
      <c r="J54" s="147"/>
      <c r="K54" s="3"/>
      <c r="L54" s="3"/>
      <c r="M54" s="3"/>
      <c r="N54" s="3"/>
      <c r="O54" s="3"/>
      <c r="P54" s="3"/>
      <c r="Q54" s="3"/>
      <c r="R54" s="3"/>
      <c r="S54" s="3"/>
      <c r="T54" s="3"/>
      <c r="U54" s="3"/>
      <c r="V54" s="3"/>
      <c r="W54" s="3"/>
      <c r="X54" s="3"/>
      <c r="Y54" s="3"/>
      <c r="Z54" s="3"/>
    </row>
    <row r="55" spans="1:26" ht="22.5" customHeight="1" x14ac:dyDescent="0.85">
      <c r="A55" s="13" t="s">
        <v>141</v>
      </c>
      <c r="B55" s="150">
        <f>'Bernalillo County Data'!B56+'Sandoval County Data'!B56+'Torrance County Data'!B56+'Valencia County Data'!B56</f>
        <v>30563.615867413118</v>
      </c>
      <c r="C55" s="176" t="s">
        <v>412</v>
      </c>
      <c r="D55" s="177">
        <v>1</v>
      </c>
      <c r="E55" s="150">
        <f>'Bernalillo County Data'!E56+'Sandoval County Data'!E56+'Torrance County Data'!E56+'Valencia County Data'!E56</f>
        <v>4331694.7202185793</v>
      </c>
      <c r="F55" s="176" t="s">
        <v>416</v>
      </c>
      <c r="G55" s="147"/>
      <c r="H55" s="147"/>
      <c r="I55" s="147"/>
      <c r="J55" s="147"/>
      <c r="K55" s="3"/>
      <c r="L55" s="3"/>
      <c r="M55" s="3"/>
      <c r="N55" s="3"/>
      <c r="O55" s="3"/>
      <c r="P55" s="3"/>
      <c r="Q55" s="3"/>
      <c r="R55" s="3"/>
      <c r="S55" s="3"/>
      <c r="T55" s="3"/>
      <c r="U55" s="3"/>
      <c r="V55" s="3"/>
      <c r="W55" s="3"/>
      <c r="X55" s="3"/>
      <c r="Y55" s="3"/>
      <c r="Z55" s="3"/>
    </row>
    <row r="56" spans="1:26" ht="22.5" customHeight="1" x14ac:dyDescent="0.85">
      <c r="A56" s="13" t="s">
        <v>142</v>
      </c>
      <c r="B56" s="150">
        <f>'Bernalillo County Data'!B57+'Sandoval County Data'!B57+'Torrance County Data'!B57+'Valencia County Data'!B57</f>
        <v>102.86724699999999</v>
      </c>
      <c r="C56" s="179" t="s">
        <v>412</v>
      </c>
      <c r="D56" s="180">
        <v>1</v>
      </c>
      <c r="E56" s="150">
        <f>'Bernalillo County Data'!E57+'Sandoval County Data'!E57+'Torrance County Data'!E57+'Valencia County Data'!E57</f>
        <v>564752.19999999995</v>
      </c>
      <c r="F56" s="179" t="s">
        <v>417</v>
      </c>
      <c r="G56" s="147"/>
      <c r="H56" s="147"/>
      <c r="I56" s="147"/>
      <c r="J56" s="147"/>
      <c r="K56" s="3"/>
      <c r="L56" s="3"/>
      <c r="M56" s="3"/>
      <c r="N56" s="3"/>
      <c r="O56" s="3"/>
      <c r="P56" s="3"/>
      <c r="Q56" s="3"/>
      <c r="R56" s="3"/>
      <c r="S56" s="3"/>
      <c r="T56" s="3"/>
      <c r="U56" s="3"/>
      <c r="V56" s="3"/>
      <c r="W56" s="3"/>
      <c r="X56" s="3"/>
      <c r="Y56" s="3"/>
      <c r="Z56" s="3"/>
    </row>
    <row r="57" spans="1:26" ht="22.5" customHeight="1" x14ac:dyDescent="0.85">
      <c r="A57" s="181" t="s">
        <v>418</v>
      </c>
      <c r="B57" s="182">
        <f>SUM(B52:B56)</f>
        <v>2473214.7079265332</v>
      </c>
      <c r="C57" s="183"/>
      <c r="D57" s="184"/>
      <c r="E57" s="184"/>
      <c r="F57" s="185"/>
      <c r="G57" s="147"/>
      <c r="H57" s="147"/>
      <c r="I57" s="147"/>
      <c r="J57" s="147"/>
      <c r="K57" s="3"/>
      <c r="L57" s="3"/>
      <c r="M57" s="3"/>
      <c r="N57" s="3"/>
      <c r="O57" s="3"/>
      <c r="P57" s="3"/>
      <c r="Q57" s="3"/>
      <c r="R57" s="3"/>
      <c r="S57" s="3"/>
      <c r="T57" s="3"/>
      <c r="U57" s="3"/>
      <c r="V57" s="3"/>
      <c r="W57" s="3"/>
      <c r="X57" s="3"/>
      <c r="Y57" s="3"/>
      <c r="Z57" s="3"/>
    </row>
    <row r="58" spans="1:26" ht="22.5" customHeight="1" x14ac:dyDescent="0.85">
      <c r="A58" s="171" t="s">
        <v>419</v>
      </c>
      <c r="B58" s="172"/>
      <c r="C58" s="172"/>
      <c r="D58" s="172"/>
      <c r="E58" s="172"/>
      <c r="F58" s="173"/>
      <c r="G58" s="147"/>
      <c r="H58" s="147"/>
      <c r="I58" s="147"/>
      <c r="J58" s="147"/>
      <c r="K58" s="3"/>
      <c r="L58" s="3"/>
      <c r="M58" s="3"/>
      <c r="N58" s="3"/>
      <c r="O58" s="3"/>
      <c r="P58" s="3"/>
      <c r="Q58" s="3"/>
      <c r="R58" s="3"/>
      <c r="S58" s="3"/>
      <c r="T58" s="3"/>
      <c r="U58" s="3"/>
      <c r="V58" s="3"/>
      <c r="W58" s="3"/>
      <c r="X58" s="3"/>
      <c r="Y58" s="3"/>
      <c r="Z58" s="3"/>
    </row>
    <row r="59" spans="1:26" ht="22.5" customHeight="1" x14ac:dyDescent="0.85">
      <c r="A59" s="130" t="s">
        <v>409</v>
      </c>
      <c r="B59" s="130" t="s">
        <v>410</v>
      </c>
      <c r="C59" s="174" t="s">
        <v>362</v>
      </c>
      <c r="D59" s="174" t="s">
        <v>117</v>
      </c>
      <c r="E59" s="174" t="s">
        <v>251</v>
      </c>
      <c r="F59" s="174" t="s">
        <v>362</v>
      </c>
      <c r="G59" s="147"/>
      <c r="H59" s="147"/>
      <c r="I59" s="147"/>
      <c r="J59" s="147"/>
      <c r="K59" s="3"/>
      <c r="L59" s="3"/>
      <c r="M59" s="3"/>
      <c r="N59" s="3"/>
      <c r="O59" s="3"/>
      <c r="P59" s="3"/>
      <c r="Q59" s="3"/>
      <c r="R59" s="3"/>
      <c r="S59" s="3"/>
      <c r="T59" s="3"/>
      <c r="U59" s="3"/>
      <c r="V59" s="3"/>
      <c r="W59" s="3"/>
      <c r="X59" s="3"/>
      <c r="Y59" s="3"/>
      <c r="Z59" s="3"/>
    </row>
    <row r="60" spans="1:26" ht="22.5" customHeight="1" x14ac:dyDescent="0.85">
      <c r="A60" s="13" t="s">
        <v>420</v>
      </c>
      <c r="B60" s="150">
        <f>'Energy Data'!G87+'Energy Data'!G117+'Energy Data'!G140+'Energy Data'!G170+'Energy Data'!G200</f>
        <v>803772.8633538452</v>
      </c>
      <c r="C60" s="176" t="s">
        <v>412</v>
      </c>
      <c r="D60" s="177">
        <v>2</v>
      </c>
      <c r="E60" s="150">
        <f>'Bernalillo County Data'!E61+'Sandoval County Data'!E61+'Torrance County Data'!E61+'Valencia County Data'!E61</f>
        <v>2979214417.4095979</v>
      </c>
      <c r="F60" s="176" t="s">
        <v>421</v>
      </c>
      <c r="G60" s="147"/>
      <c r="H60" s="147"/>
      <c r="I60" s="147"/>
      <c r="J60" s="147"/>
      <c r="K60" s="3"/>
      <c r="L60" s="3"/>
      <c r="M60" s="3"/>
      <c r="N60" s="3"/>
      <c r="O60" s="3"/>
      <c r="P60" s="3"/>
      <c r="Q60" s="3"/>
      <c r="R60" s="3"/>
      <c r="S60" s="3"/>
      <c r="T60" s="3"/>
      <c r="U60" s="3"/>
      <c r="V60" s="3"/>
      <c r="W60" s="3"/>
      <c r="X60" s="3"/>
      <c r="Y60" s="3"/>
      <c r="Z60" s="3"/>
    </row>
    <row r="61" spans="1:26" ht="22.5" customHeight="1" x14ac:dyDescent="0.85">
      <c r="A61" s="13" t="s">
        <v>422</v>
      </c>
      <c r="B61" s="150">
        <f>'Energy Data'!G78+'Energy Data'!G110+'Energy Data'!G133+'Energy Data'!G163+'Energy Data'!G193</f>
        <v>757969.43026800838</v>
      </c>
      <c r="C61" s="176" t="s">
        <v>412</v>
      </c>
      <c r="D61" s="177">
        <v>2</v>
      </c>
      <c r="E61" s="150">
        <f>'Bernalillo County Data'!E62+'Sandoval County Data'!E62+'Torrance County Data'!E62+'Valencia County Data'!E62</f>
        <v>2667541022.7609072</v>
      </c>
      <c r="F61" s="176" t="s">
        <v>421</v>
      </c>
      <c r="G61" s="147"/>
      <c r="H61" s="147"/>
      <c r="I61" s="147"/>
      <c r="J61" s="147"/>
      <c r="K61" s="3"/>
      <c r="L61" s="3"/>
      <c r="M61" s="3"/>
      <c r="N61" s="3"/>
      <c r="O61" s="3"/>
      <c r="P61" s="3"/>
      <c r="Q61" s="3"/>
      <c r="R61" s="3"/>
      <c r="S61" s="3"/>
      <c r="T61" s="3"/>
      <c r="U61" s="3"/>
      <c r="V61" s="3"/>
      <c r="W61" s="3"/>
      <c r="X61" s="3"/>
      <c r="Y61" s="3"/>
      <c r="Z61" s="3"/>
    </row>
    <row r="62" spans="1:26" ht="22.5" customHeight="1" x14ac:dyDescent="0.85">
      <c r="A62" s="13" t="s">
        <v>423</v>
      </c>
      <c r="B62" s="150">
        <f>'Energy Data'!G94+'Energy Data'!G147+'Energy Data'!G177+'Energy Data'!G207</f>
        <v>119154.90998125149</v>
      </c>
      <c r="C62" s="179" t="s">
        <v>412</v>
      </c>
      <c r="D62" s="180">
        <v>2</v>
      </c>
      <c r="E62" s="150">
        <f>'Bernalillo County Data'!E63+'Sandoval County Data'!E63+'Torrance County Data'!E63+'Valencia County Data'!E63</f>
        <v>305871224.08083487</v>
      </c>
      <c r="F62" s="179" t="s">
        <v>421</v>
      </c>
      <c r="G62" s="147"/>
      <c r="H62" s="147"/>
      <c r="I62" s="147"/>
      <c r="J62" s="147"/>
      <c r="K62" s="3"/>
      <c r="L62" s="3"/>
      <c r="M62" s="3"/>
      <c r="N62" s="3"/>
      <c r="O62" s="3"/>
      <c r="P62" s="3"/>
      <c r="Q62" s="3"/>
      <c r="R62" s="3"/>
      <c r="S62" s="3"/>
      <c r="T62" s="3"/>
      <c r="U62" s="3"/>
      <c r="V62" s="3"/>
      <c r="W62" s="3"/>
      <c r="X62" s="3"/>
      <c r="Y62" s="3"/>
      <c r="Z62" s="3"/>
    </row>
    <row r="63" spans="1:26" ht="22.5" customHeight="1" x14ac:dyDescent="0.85">
      <c r="A63" s="181" t="s">
        <v>424</v>
      </c>
      <c r="B63" s="182">
        <f>SUM(B60:B62)</f>
        <v>1680897.2036031049</v>
      </c>
      <c r="C63" s="183"/>
      <c r="D63" s="184"/>
      <c r="E63" s="184"/>
      <c r="F63" s="185"/>
      <c r="G63" s="147"/>
      <c r="H63" s="147"/>
      <c r="I63" s="147"/>
      <c r="J63" s="147"/>
      <c r="K63" s="3"/>
      <c r="L63" s="3"/>
      <c r="M63" s="3"/>
      <c r="N63" s="3"/>
      <c r="O63" s="3"/>
      <c r="P63" s="3"/>
      <c r="Q63" s="3"/>
      <c r="R63" s="3"/>
      <c r="S63" s="3"/>
      <c r="T63" s="3"/>
      <c r="U63" s="3"/>
      <c r="V63" s="3"/>
      <c r="W63" s="3"/>
      <c r="X63" s="3"/>
      <c r="Y63" s="3"/>
      <c r="Z63" s="3"/>
    </row>
    <row r="64" spans="1:26" ht="22.5" customHeight="1" x14ac:dyDescent="0.85">
      <c r="A64" s="171" t="s">
        <v>425</v>
      </c>
      <c r="B64" s="172"/>
      <c r="C64" s="172"/>
      <c r="D64" s="172"/>
      <c r="E64" s="172"/>
      <c r="F64" s="173"/>
      <c r="G64" s="147"/>
      <c r="H64" s="147"/>
      <c r="I64" s="147"/>
      <c r="J64" s="147"/>
      <c r="K64" s="3"/>
      <c r="L64" s="3"/>
      <c r="M64" s="3"/>
      <c r="N64" s="3"/>
      <c r="O64" s="3"/>
      <c r="P64" s="3"/>
      <c r="Q64" s="3"/>
      <c r="R64" s="3"/>
      <c r="S64" s="3"/>
      <c r="T64" s="3"/>
      <c r="U64" s="3"/>
      <c r="V64" s="3"/>
      <c r="W64" s="3"/>
      <c r="X64" s="3"/>
      <c r="Y64" s="3"/>
      <c r="Z64" s="3"/>
    </row>
    <row r="65" spans="1:26" ht="22.5" customHeight="1" x14ac:dyDescent="0.85">
      <c r="A65" s="130" t="s">
        <v>409</v>
      </c>
      <c r="B65" s="130" t="s">
        <v>410</v>
      </c>
      <c r="C65" s="174" t="s">
        <v>362</v>
      </c>
      <c r="D65" s="174" t="s">
        <v>117</v>
      </c>
      <c r="E65" s="174" t="s">
        <v>251</v>
      </c>
      <c r="F65" s="174" t="s">
        <v>362</v>
      </c>
      <c r="G65" s="147"/>
      <c r="H65" s="147"/>
      <c r="I65" s="147"/>
      <c r="J65" s="147"/>
      <c r="K65" s="3"/>
      <c r="L65" s="3"/>
      <c r="M65" s="3"/>
      <c r="N65" s="3"/>
      <c r="O65" s="3"/>
      <c r="P65" s="3"/>
      <c r="Q65" s="3"/>
      <c r="R65" s="3"/>
      <c r="S65" s="3"/>
      <c r="T65" s="3"/>
      <c r="U65" s="3"/>
      <c r="V65" s="3"/>
      <c r="W65" s="3"/>
      <c r="X65" s="3"/>
      <c r="Y65" s="3"/>
      <c r="Z65" s="3"/>
    </row>
    <row r="66" spans="1:26" ht="22.5" customHeight="1" x14ac:dyDescent="0.85">
      <c r="A66" s="13" t="s">
        <v>426</v>
      </c>
      <c r="B66" s="150">
        <f>'Energy Data'!K10</f>
        <v>47175.640852104421</v>
      </c>
      <c r="C66" s="176" t="s">
        <v>412</v>
      </c>
      <c r="D66" s="177">
        <v>3</v>
      </c>
      <c r="E66" s="150">
        <f>'Bernalillo County Data'!E67+'Sandoval County Data'!E67+'Torrance County Data'!E67+'Valencia County Data'!E67</f>
        <v>152046524.14817393</v>
      </c>
      <c r="F66" s="176" t="s">
        <v>421</v>
      </c>
      <c r="G66" s="147"/>
      <c r="H66" s="147"/>
      <c r="I66" s="147"/>
      <c r="J66" s="147"/>
      <c r="K66" s="3"/>
      <c r="L66" s="3"/>
      <c r="M66" s="3"/>
      <c r="N66" s="3"/>
      <c r="O66" s="3"/>
      <c r="P66" s="3"/>
      <c r="Q66" s="3"/>
      <c r="R66" s="3"/>
      <c r="S66" s="3"/>
      <c r="T66" s="3"/>
      <c r="U66" s="3"/>
      <c r="V66" s="3"/>
      <c r="W66" s="3"/>
      <c r="X66" s="3"/>
      <c r="Y66" s="3"/>
      <c r="Z66" s="3"/>
    </row>
    <row r="67" spans="1:26" ht="22.5" customHeight="1" x14ac:dyDescent="0.85">
      <c r="A67" s="181" t="s">
        <v>427</v>
      </c>
      <c r="B67" s="182">
        <f>B66</f>
        <v>47175.640852104421</v>
      </c>
      <c r="C67" s="183"/>
      <c r="D67" s="184"/>
      <c r="E67" s="184"/>
      <c r="F67" s="185"/>
      <c r="G67" s="147"/>
      <c r="H67" s="147"/>
      <c r="I67" s="147"/>
      <c r="J67" s="147"/>
      <c r="K67" s="3"/>
      <c r="L67" s="3"/>
      <c r="M67" s="3"/>
      <c r="N67" s="3"/>
      <c r="O67" s="3"/>
      <c r="P67" s="3"/>
      <c r="Q67" s="3"/>
      <c r="R67" s="3"/>
      <c r="S67" s="3"/>
      <c r="T67" s="3"/>
      <c r="U67" s="3"/>
      <c r="V67" s="3"/>
      <c r="W67" s="3"/>
      <c r="X67" s="3"/>
      <c r="Y67" s="3"/>
      <c r="Z67" s="3"/>
    </row>
    <row r="68" spans="1:26" ht="22.5" customHeight="1" x14ac:dyDescent="0.85">
      <c r="A68" s="171" t="s">
        <v>428</v>
      </c>
      <c r="B68" s="172"/>
      <c r="C68" s="172"/>
      <c r="D68" s="172"/>
      <c r="E68" s="172"/>
      <c r="F68" s="173"/>
      <c r="G68" s="147"/>
      <c r="H68" s="147"/>
      <c r="I68" s="147"/>
      <c r="J68" s="147"/>
      <c r="K68" s="3"/>
      <c r="L68" s="3"/>
      <c r="M68" s="3"/>
      <c r="N68" s="3"/>
      <c r="O68" s="3"/>
      <c r="P68" s="3"/>
      <c r="Q68" s="3"/>
      <c r="R68" s="3"/>
      <c r="S68" s="3"/>
      <c r="T68" s="3"/>
      <c r="U68" s="3"/>
      <c r="V68" s="3"/>
      <c r="W68" s="3"/>
      <c r="X68" s="3"/>
      <c r="Y68" s="3"/>
      <c r="Z68" s="3"/>
    </row>
    <row r="69" spans="1:26" ht="22.5" customHeight="1" x14ac:dyDescent="0.85">
      <c r="A69" s="130" t="s">
        <v>409</v>
      </c>
      <c r="B69" s="130" t="s">
        <v>410</v>
      </c>
      <c r="C69" s="174" t="s">
        <v>362</v>
      </c>
      <c r="D69" s="174" t="s">
        <v>117</v>
      </c>
      <c r="E69" s="174" t="s">
        <v>251</v>
      </c>
      <c r="F69" s="174" t="s">
        <v>362</v>
      </c>
      <c r="G69" s="147"/>
      <c r="H69" s="147"/>
      <c r="I69" s="147"/>
      <c r="J69" s="147"/>
      <c r="K69" s="3"/>
      <c r="L69" s="3"/>
      <c r="M69" s="3"/>
      <c r="N69" s="3"/>
      <c r="O69" s="3"/>
      <c r="P69" s="3"/>
      <c r="Q69" s="3"/>
      <c r="R69" s="3"/>
      <c r="S69" s="3"/>
      <c r="T69" s="3"/>
      <c r="U69" s="3"/>
      <c r="V69" s="3"/>
      <c r="W69" s="3"/>
      <c r="X69" s="3"/>
      <c r="Y69" s="3"/>
      <c r="Z69" s="3"/>
    </row>
    <row r="70" spans="1:26" ht="22.5" customHeight="1" x14ac:dyDescent="0.85">
      <c r="A70" s="175" t="s">
        <v>429</v>
      </c>
      <c r="B70" s="150">
        <f>'Fugitive Emissions Data'!G30</f>
        <v>45864.808768105388</v>
      </c>
      <c r="C70" s="176" t="s">
        <v>412</v>
      </c>
      <c r="D70" s="177">
        <v>1</v>
      </c>
      <c r="E70" s="150">
        <f>'Bernalillo County Data'!E71+'Sandoval County Data'!E71+'Torrance County Data'!E71+'Valencia County Data'!E71</f>
        <v>265153442.32743534</v>
      </c>
      <c r="F70" s="176" t="s">
        <v>413</v>
      </c>
      <c r="G70" s="147"/>
      <c r="H70" s="147"/>
      <c r="I70" s="147"/>
      <c r="J70" s="147"/>
      <c r="K70" s="3"/>
      <c r="L70" s="3"/>
      <c r="M70" s="3"/>
      <c r="N70" s="3"/>
      <c r="O70" s="3"/>
      <c r="P70" s="3"/>
      <c r="Q70" s="3"/>
      <c r="R70" s="3"/>
      <c r="S70" s="3"/>
      <c r="T70" s="3"/>
      <c r="U70" s="3"/>
      <c r="V70" s="3"/>
      <c r="W70" s="3"/>
      <c r="X70" s="3"/>
      <c r="Y70" s="3"/>
      <c r="Z70" s="3"/>
    </row>
    <row r="71" spans="1:26" ht="22.5" customHeight="1" x14ac:dyDescent="0.85">
      <c r="A71" s="175" t="s">
        <v>430</v>
      </c>
      <c r="B71" s="150">
        <f>'Fugitive Emissions Data'!G31</f>
        <v>33680.096118553614</v>
      </c>
      <c r="C71" s="179" t="s">
        <v>412</v>
      </c>
      <c r="D71" s="180">
        <v>1</v>
      </c>
      <c r="E71" s="150">
        <f>'Bernalillo County Data'!E72+'Sandoval County Data'!E72+'Torrance County Data'!E72+'Valencia County Data'!E72</f>
        <v>194711232.06696165</v>
      </c>
      <c r="F71" s="179" t="s">
        <v>413</v>
      </c>
      <c r="G71" s="147"/>
      <c r="H71" s="147"/>
      <c r="I71" s="147"/>
      <c r="J71" s="147"/>
      <c r="K71" s="3"/>
      <c r="L71" s="3"/>
      <c r="M71" s="3"/>
      <c r="N71" s="3"/>
      <c r="O71" s="3"/>
      <c r="P71" s="3"/>
      <c r="Q71" s="3"/>
      <c r="R71" s="3"/>
      <c r="S71" s="3"/>
      <c r="T71" s="3"/>
      <c r="U71" s="3"/>
      <c r="V71" s="3"/>
      <c r="W71" s="3"/>
      <c r="X71" s="3"/>
      <c r="Y71" s="3"/>
      <c r="Z71" s="3"/>
    </row>
    <row r="72" spans="1:26" ht="22.5" customHeight="1" x14ac:dyDescent="0.85">
      <c r="A72" s="181" t="s">
        <v>431</v>
      </c>
      <c r="B72" s="182">
        <f>SUM(B70:B71)</f>
        <v>79544.904886659002</v>
      </c>
      <c r="C72" s="183"/>
      <c r="D72" s="184"/>
      <c r="E72" s="184"/>
      <c r="F72" s="185"/>
      <c r="G72" s="147"/>
      <c r="H72" s="147"/>
      <c r="I72" s="147"/>
      <c r="J72" s="147"/>
      <c r="K72" s="3"/>
      <c r="L72" s="3"/>
      <c r="M72" s="3"/>
      <c r="N72" s="3"/>
      <c r="O72" s="3"/>
      <c r="P72" s="3"/>
      <c r="Q72" s="3"/>
      <c r="R72" s="3"/>
      <c r="S72" s="3"/>
      <c r="T72" s="3"/>
      <c r="U72" s="3"/>
      <c r="V72" s="3"/>
      <c r="W72" s="3"/>
      <c r="X72" s="3"/>
      <c r="Y72" s="3"/>
      <c r="Z72" s="3"/>
    </row>
    <row r="73" spans="1:26" ht="22.5" customHeight="1" x14ac:dyDescent="0.85">
      <c r="A73" s="186" t="s">
        <v>432</v>
      </c>
      <c r="B73" s="187">
        <f>SUM(B52,B54,B53,B55,B56,B60,B61,B62,B66,B70,B71)</f>
        <v>4280832.457268402</v>
      </c>
      <c r="C73" s="188"/>
      <c r="D73" s="189"/>
      <c r="E73" s="189"/>
      <c r="F73" s="190"/>
      <c r="G73" s="147"/>
      <c r="H73" s="147"/>
      <c r="I73" s="147"/>
      <c r="J73" s="147"/>
      <c r="K73" s="3"/>
      <c r="L73" s="3"/>
      <c r="M73" s="3"/>
      <c r="N73" s="3"/>
      <c r="O73" s="3"/>
      <c r="P73" s="3"/>
      <c r="Q73" s="3"/>
      <c r="R73" s="3"/>
      <c r="S73" s="3"/>
      <c r="T73" s="3"/>
      <c r="U73" s="3"/>
      <c r="V73" s="3"/>
      <c r="W73" s="3"/>
      <c r="X73" s="3"/>
      <c r="Y73" s="3"/>
      <c r="Z73" s="3"/>
    </row>
    <row r="74" spans="1:26" ht="22.5" customHeight="1" x14ac:dyDescent="0.85">
      <c r="A74" s="191" t="s">
        <v>131</v>
      </c>
      <c r="B74" s="192"/>
      <c r="C74" s="193"/>
      <c r="D74" s="193"/>
      <c r="E74" s="193"/>
      <c r="F74" s="194"/>
      <c r="G74" s="147"/>
      <c r="H74" s="147"/>
      <c r="I74" s="147"/>
      <c r="J74" s="147"/>
      <c r="K74" s="147"/>
      <c r="L74" s="147"/>
      <c r="M74" s="3"/>
      <c r="N74" s="3"/>
      <c r="O74" s="3"/>
      <c r="P74" s="3"/>
      <c r="Q74" s="3"/>
      <c r="R74" s="3"/>
      <c r="S74" s="3"/>
      <c r="T74" s="3"/>
      <c r="U74" s="3"/>
      <c r="V74" s="3"/>
      <c r="W74" s="3"/>
      <c r="X74" s="3"/>
      <c r="Y74" s="3"/>
      <c r="Z74" s="3"/>
    </row>
    <row r="75" spans="1:26" ht="22.5" customHeight="1" x14ac:dyDescent="0.85">
      <c r="A75" s="171" t="s">
        <v>433</v>
      </c>
      <c r="B75" s="172"/>
      <c r="C75" s="172"/>
      <c r="D75" s="172"/>
      <c r="E75" s="172"/>
      <c r="F75" s="173"/>
      <c r="G75" s="147"/>
      <c r="H75" s="147"/>
      <c r="I75" s="147"/>
      <c r="J75" s="147"/>
      <c r="K75" s="3"/>
      <c r="L75" s="3"/>
      <c r="M75" s="3"/>
      <c r="N75" s="3"/>
      <c r="O75" s="3"/>
      <c r="P75" s="3"/>
      <c r="Q75" s="3"/>
      <c r="R75" s="3"/>
      <c r="S75" s="3"/>
      <c r="T75" s="3"/>
      <c r="U75" s="3"/>
      <c r="V75" s="3"/>
      <c r="W75" s="3"/>
      <c r="X75" s="3"/>
      <c r="Y75" s="3"/>
      <c r="Z75" s="3"/>
    </row>
    <row r="76" spans="1:26" ht="22.5" customHeight="1" x14ac:dyDescent="0.85">
      <c r="A76" s="130" t="s">
        <v>409</v>
      </c>
      <c r="B76" s="130" t="s">
        <v>410</v>
      </c>
      <c r="C76" s="174" t="s">
        <v>362</v>
      </c>
      <c r="D76" s="174" t="s">
        <v>117</v>
      </c>
      <c r="E76" s="174" t="s">
        <v>251</v>
      </c>
      <c r="F76" s="174" t="s">
        <v>362</v>
      </c>
      <c r="G76" s="147"/>
      <c r="H76" s="147"/>
      <c r="I76" s="147"/>
      <c r="J76" s="147"/>
      <c r="K76" s="3"/>
      <c r="L76" s="3"/>
      <c r="M76" s="3"/>
      <c r="N76" s="3"/>
      <c r="O76" s="3"/>
      <c r="P76" s="3"/>
      <c r="Q76" s="3"/>
      <c r="R76" s="3"/>
      <c r="S76" s="3"/>
      <c r="T76" s="3"/>
      <c r="U76" s="3"/>
      <c r="V76" s="3"/>
      <c r="W76" s="3"/>
      <c r="X76" s="3"/>
      <c r="Y76" s="3"/>
      <c r="Z76" s="3"/>
    </row>
    <row r="77" spans="1:26" ht="22.5" customHeight="1" x14ac:dyDescent="0.85">
      <c r="A77" s="175" t="s">
        <v>434</v>
      </c>
      <c r="B77" s="150">
        <f>'Bernalillo County Data'!B78+'Sandoval County Data'!B78+'Torrance County Data'!B78+'Valencia County Data'!B78</f>
        <v>3467904.8505085749</v>
      </c>
      <c r="C77" s="176" t="s">
        <v>412</v>
      </c>
      <c r="D77" s="176">
        <v>1</v>
      </c>
      <c r="E77" s="150">
        <f>'Bernalillo County Data'!E78+'Sandoval County Data'!E78+'Torrance County Data'!E78+'Valencia County Data'!E78</f>
        <v>7683538570.0387497</v>
      </c>
      <c r="F77" s="176" t="s">
        <v>435</v>
      </c>
      <c r="G77" s="147"/>
      <c r="H77" s="147"/>
      <c r="I77" s="147"/>
      <c r="J77" s="147"/>
      <c r="K77" s="3"/>
      <c r="L77" s="3"/>
      <c r="M77" s="3"/>
      <c r="N77" s="3"/>
      <c r="O77" s="3"/>
      <c r="P77" s="3"/>
      <c r="Q77" s="3"/>
      <c r="R77" s="3"/>
      <c r="S77" s="3"/>
      <c r="T77" s="3"/>
      <c r="U77" s="3"/>
      <c r="V77" s="3"/>
      <c r="W77" s="3"/>
      <c r="X77" s="3"/>
      <c r="Y77" s="3"/>
      <c r="Z77" s="3"/>
    </row>
    <row r="78" spans="1:26" ht="22.5" customHeight="1" x14ac:dyDescent="0.85">
      <c r="A78" s="175" t="s">
        <v>436</v>
      </c>
      <c r="B78" s="150">
        <f>'Bernalillo County Data'!B79+'Sandoval County Data'!B79+'Torrance County Data'!B79+'Valencia County Data'!B79</f>
        <v>10298.537742539465</v>
      </c>
      <c r="C78" s="176" t="s">
        <v>412</v>
      </c>
      <c r="D78" s="176">
        <v>2</v>
      </c>
      <c r="E78" s="150">
        <f>'Bernalillo County Data'!E79+'Sandoval County Data'!E79+'Torrance County Data'!E79+'Valencia County Data'!E79</f>
        <v>38106257.420000002</v>
      </c>
      <c r="F78" s="176" t="s">
        <v>421</v>
      </c>
      <c r="G78" s="147"/>
      <c r="H78" s="147"/>
      <c r="I78" s="147"/>
      <c r="J78" s="147"/>
      <c r="K78" s="3"/>
      <c r="L78" s="3"/>
      <c r="M78" s="3"/>
      <c r="N78" s="3"/>
      <c r="O78" s="3"/>
      <c r="P78" s="3"/>
      <c r="Q78" s="3"/>
      <c r="R78" s="3"/>
      <c r="S78" s="3"/>
      <c r="T78" s="3"/>
      <c r="U78" s="3"/>
      <c r="V78" s="3"/>
      <c r="W78" s="3"/>
      <c r="X78" s="3"/>
      <c r="Y78" s="3"/>
      <c r="Z78" s="3"/>
    </row>
    <row r="79" spans="1:26" ht="22.5" customHeight="1" x14ac:dyDescent="0.85">
      <c r="A79" s="175" t="s">
        <v>437</v>
      </c>
      <c r="B79" s="150">
        <f>'Bernalillo County Data'!B80+'Sandoval County Data'!B80+'Torrance County Data'!B80+'Valencia County Data'!B80</f>
        <v>278.9820317443947</v>
      </c>
      <c r="C79" s="176" t="s">
        <v>412</v>
      </c>
      <c r="D79" s="176">
        <v>3</v>
      </c>
      <c r="E79" s="150">
        <f>'Bernalillo County Data'!E80+'Sandoval County Data'!E80+'Torrance County Data'!E80+'Valencia County Data'!E80</f>
        <v>1031426.2463931537</v>
      </c>
      <c r="F79" s="176" t="s">
        <v>421</v>
      </c>
      <c r="G79" s="147"/>
      <c r="H79" s="147"/>
      <c r="I79" s="147"/>
      <c r="J79" s="147"/>
      <c r="K79" s="3"/>
      <c r="L79" s="3"/>
      <c r="M79" s="3"/>
      <c r="N79" s="3"/>
      <c r="O79" s="3"/>
      <c r="P79" s="3"/>
      <c r="Q79" s="3"/>
      <c r="R79" s="3"/>
      <c r="S79" s="3"/>
      <c r="T79" s="3"/>
      <c r="U79" s="3"/>
      <c r="V79" s="3"/>
      <c r="W79" s="3"/>
      <c r="X79" s="3"/>
      <c r="Y79" s="3"/>
      <c r="Z79" s="3"/>
    </row>
    <row r="80" spans="1:26" ht="22.5" customHeight="1" x14ac:dyDescent="0.85">
      <c r="A80" s="171" t="s">
        <v>292</v>
      </c>
      <c r="B80" s="172"/>
      <c r="C80" s="172"/>
      <c r="D80" s="172"/>
      <c r="E80" s="172"/>
      <c r="F80" s="173"/>
      <c r="G80" s="147"/>
      <c r="H80" s="147"/>
      <c r="I80" s="147"/>
      <c r="J80" s="147"/>
      <c r="K80" s="3"/>
      <c r="L80" s="3"/>
      <c r="M80" s="3"/>
      <c r="N80" s="3"/>
      <c r="O80" s="3"/>
      <c r="P80" s="3"/>
      <c r="Q80" s="3"/>
      <c r="R80" s="3"/>
      <c r="S80" s="3"/>
      <c r="T80" s="3"/>
      <c r="U80" s="3"/>
      <c r="V80" s="3"/>
      <c r="W80" s="3"/>
      <c r="X80" s="3"/>
      <c r="Y80" s="3"/>
      <c r="Z80" s="3"/>
    </row>
    <row r="81" spans="1:26" ht="22.5" customHeight="1" x14ac:dyDescent="0.85">
      <c r="A81" s="130" t="s">
        <v>409</v>
      </c>
      <c r="B81" s="130" t="s">
        <v>410</v>
      </c>
      <c r="C81" s="174" t="s">
        <v>362</v>
      </c>
      <c r="D81" s="174" t="s">
        <v>117</v>
      </c>
      <c r="E81" s="174" t="s">
        <v>251</v>
      </c>
      <c r="F81" s="174" t="s">
        <v>362</v>
      </c>
      <c r="G81" s="147"/>
      <c r="H81" s="147"/>
      <c r="I81" s="147"/>
      <c r="J81" s="147"/>
      <c r="K81" s="3"/>
      <c r="L81" s="3"/>
      <c r="M81" s="3"/>
      <c r="N81" s="3"/>
      <c r="O81" s="3"/>
      <c r="P81" s="3"/>
      <c r="Q81" s="3"/>
      <c r="R81" s="3"/>
      <c r="S81" s="3"/>
      <c r="T81" s="3"/>
      <c r="U81" s="3"/>
      <c r="V81" s="3"/>
      <c r="W81" s="3"/>
      <c r="X81" s="3"/>
      <c r="Y81" s="3"/>
      <c r="Z81" s="3"/>
    </row>
    <row r="82" spans="1:26" ht="22.5" customHeight="1" x14ac:dyDescent="0.85">
      <c r="A82" s="175" t="s">
        <v>438</v>
      </c>
      <c r="B82" s="150">
        <f>'Transit Data'!D10</f>
        <v>23978.041616818868</v>
      </c>
      <c r="C82" s="176" t="s">
        <v>412</v>
      </c>
      <c r="D82" s="176">
        <v>1</v>
      </c>
      <c r="E82" s="150">
        <f>'Bernalillo County Data'!E83+'Sandoval County Data'!E83+'Torrance County Data'!E83+'Valencia County Data'!E83</f>
        <v>1493437.9695652174</v>
      </c>
      <c r="F82" s="176" t="s">
        <v>439</v>
      </c>
      <c r="G82" s="147"/>
      <c r="H82" s="147"/>
      <c r="I82" s="147"/>
      <c r="J82" s="147"/>
      <c r="K82" s="3"/>
      <c r="L82" s="3"/>
      <c r="M82" s="3"/>
      <c r="N82" s="3"/>
      <c r="O82" s="3"/>
      <c r="P82" s="3"/>
      <c r="Q82" s="3"/>
      <c r="R82" s="3"/>
      <c r="S82" s="3"/>
      <c r="T82" s="3"/>
      <c r="U82" s="3"/>
      <c r="V82" s="3"/>
      <c r="W82" s="3"/>
      <c r="X82" s="3"/>
      <c r="Y82" s="3"/>
      <c r="Z82" s="3"/>
    </row>
    <row r="83" spans="1:26" ht="22.5" customHeight="1" x14ac:dyDescent="0.85">
      <c r="A83" s="175" t="s">
        <v>440</v>
      </c>
      <c r="B83" s="150">
        <f>'Transit Data'!E10</f>
        <v>22.923267935026768</v>
      </c>
      <c r="C83" s="176" t="s">
        <v>412</v>
      </c>
      <c r="D83" s="176">
        <v>2</v>
      </c>
      <c r="E83" s="150">
        <f>'Bernalillo County Data'!E84+'Sandoval County Data'!E84+'Torrance County Data'!E84+'Valencia County Data'!E84</f>
        <v>88578.938999999998</v>
      </c>
      <c r="F83" s="176" t="s">
        <v>421</v>
      </c>
      <c r="G83" s="147"/>
      <c r="H83" s="147"/>
      <c r="I83" s="147"/>
      <c r="J83" s="147"/>
      <c r="K83" s="3"/>
      <c r="L83" s="3"/>
      <c r="M83" s="3"/>
      <c r="N83" s="3"/>
      <c r="O83" s="3"/>
      <c r="P83" s="3"/>
      <c r="Q83" s="3"/>
      <c r="R83" s="3"/>
      <c r="S83" s="3"/>
      <c r="T83" s="3"/>
      <c r="U83" s="3"/>
      <c r="V83" s="3"/>
      <c r="W83" s="3"/>
      <c r="X83" s="3"/>
      <c r="Y83" s="3"/>
      <c r="Z83" s="3"/>
    </row>
    <row r="84" spans="1:26" ht="22.5" customHeight="1" x14ac:dyDescent="0.85">
      <c r="A84" s="175" t="s">
        <v>490</v>
      </c>
      <c r="B84" s="195">
        <f>'Transit Data'!F10</f>
        <v>0.6143435806587173</v>
      </c>
      <c r="C84" s="176" t="s">
        <v>412</v>
      </c>
      <c r="D84" s="176">
        <v>3</v>
      </c>
      <c r="E84" s="150">
        <f>'Bernalillo County Data'!E85</f>
        <v>2373.9155651999999</v>
      </c>
      <c r="F84" s="176" t="s">
        <v>421</v>
      </c>
      <c r="G84" s="147"/>
      <c r="H84" s="147"/>
      <c r="I84" s="147"/>
      <c r="J84" s="147"/>
      <c r="K84" s="3"/>
      <c r="L84" s="3"/>
      <c r="M84" s="3"/>
      <c r="N84" s="3"/>
      <c r="O84" s="3"/>
      <c r="P84" s="3"/>
      <c r="Q84" s="3"/>
      <c r="R84" s="3"/>
      <c r="S84" s="3"/>
      <c r="T84" s="3"/>
      <c r="U84" s="3"/>
      <c r="V84" s="3"/>
      <c r="W84" s="3"/>
      <c r="X84" s="3"/>
      <c r="Y84" s="3"/>
      <c r="Z84" s="3"/>
    </row>
    <row r="85" spans="1:26" ht="22.5" customHeight="1" x14ac:dyDescent="0.85">
      <c r="A85" s="171" t="s">
        <v>299</v>
      </c>
      <c r="B85" s="172"/>
      <c r="C85" s="172"/>
      <c r="D85" s="172"/>
      <c r="E85" s="172"/>
      <c r="F85" s="173"/>
      <c r="G85" s="147"/>
      <c r="H85" s="147"/>
      <c r="I85" s="147"/>
      <c r="J85" s="147"/>
      <c r="K85" s="3"/>
      <c r="L85" s="3"/>
      <c r="M85" s="3"/>
      <c r="N85" s="3"/>
      <c r="O85" s="3"/>
      <c r="P85" s="3"/>
      <c r="Q85" s="3"/>
      <c r="R85" s="3"/>
      <c r="S85" s="3"/>
      <c r="T85" s="3"/>
      <c r="U85" s="3"/>
      <c r="V85" s="3"/>
      <c r="W85" s="3"/>
      <c r="X85" s="3"/>
      <c r="Y85" s="3"/>
      <c r="Z85" s="3"/>
    </row>
    <row r="86" spans="1:26" ht="22.5" customHeight="1" x14ac:dyDescent="0.85">
      <c r="A86" s="130" t="s">
        <v>409</v>
      </c>
      <c r="B86" s="130" t="s">
        <v>410</v>
      </c>
      <c r="C86" s="174" t="s">
        <v>362</v>
      </c>
      <c r="D86" s="174" t="s">
        <v>117</v>
      </c>
      <c r="E86" s="174" t="s">
        <v>251</v>
      </c>
      <c r="F86" s="174" t="s">
        <v>362</v>
      </c>
      <c r="G86" s="147"/>
      <c r="H86" s="147"/>
      <c r="I86" s="147"/>
      <c r="J86" s="147"/>
      <c r="K86" s="3"/>
      <c r="L86" s="3"/>
      <c r="M86" s="3"/>
      <c r="N86" s="3"/>
      <c r="O86" s="3"/>
      <c r="P86" s="3"/>
      <c r="Q86" s="3"/>
      <c r="R86" s="3"/>
      <c r="S86" s="3"/>
      <c r="T86" s="3"/>
      <c r="U86" s="3"/>
      <c r="V86" s="3"/>
      <c r="W86" s="3"/>
      <c r="X86" s="3"/>
      <c r="Y86" s="3"/>
      <c r="Z86" s="3"/>
    </row>
    <row r="87" spans="1:26" ht="22.5" customHeight="1" x14ac:dyDescent="0.85">
      <c r="A87" s="175" t="s">
        <v>150</v>
      </c>
      <c r="B87" s="150">
        <f>'Bernalillo County Data'!B88+'Sandoval County Data'!B87+'Torrance County Data'!B87+'Valencia County Data'!B87</f>
        <v>28249.864606659077</v>
      </c>
      <c r="C87" s="176" t="s">
        <v>412</v>
      </c>
      <c r="D87" s="177">
        <v>1</v>
      </c>
      <c r="E87" s="150">
        <f>'Bernalillo County Data'!E88+'Sandoval County Data'!E87+'Torrance County Data'!E87+'Valencia County Data'!E87</f>
        <v>2591271.3047749302</v>
      </c>
      <c r="F87" s="176" t="s">
        <v>442</v>
      </c>
      <c r="G87" s="147"/>
      <c r="H87" s="147"/>
      <c r="I87" s="147"/>
      <c r="J87" s="147"/>
      <c r="K87" s="3"/>
      <c r="L87" s="3"/>
      <c r="M87" s="3"/>
      <c r="N87" s="3"/>
      <c r="O87" s="3"/>
      <c r="P87" s="3"/>
      <c r="Q87" s="3"/>
      <c r="R87" s="3"/>
      <c r="S87" s="3"/>
      <c r="T87" s="3"/>
      <c r="U87" s="3"/>
      <c r="V87" s="3"/>
      <c r="W87" s="3"/>
      <c r="X87" s="3"/>
      <c r="Y87" s="3"/>
      <c r="Z87" s="3"/>
    </row>
    <row r="88" spans="1:26" ht="22.5" customHeight="1" x14ac:dyDescent="0.85">
      <c r="A88" s="175" t="s">
        <v>151</v>
      </c>
      <c r="B88" s="150">
        <f>'Bernalillo County Data'!B89+'Sandoval County Data'!B88+'Torrance County Data'!B88+'Valencia County Data'!B88</f>
        <v>253855.49369732151</v>
      </c>
      <c r="C88" s="176" t="s">
        <v>412</v>
      </c>
      <c r="D88" s="177">
        <v>3</v>
      </c>
      <c r="E88" s="150">
        <f>'Bernalillo County Data'!E89+'Sandoval County Data'!E88+'Torrance County Data'!E88+'Valencia County Data'!E88</f>
        <v>24505431.695225082</v>
      </c>
      <c r="F88" s="176" t="s">
        <v>443</v>
      </c>
      <c r="G88" s="147"/>
      <c r="H88" s="147"/>
      <c r="I88" s="147"/>
      <c r="J88" s="147"/>
      <c r="K88" s="3"/>
      <c r="L88" s="3"/>
      <c r="M88" s="3"/>
      <c r="N88" s="3"/>
      <c r="O88" s="3"/>
      <c r="P88" s="3"/>
      <c r="Q88" s="3"/>
      <c r="R88" s="3"/>
      <c r="S88" s="3"/>
      <c r="T88" s="3"/>
      <c r="U88" s="3"/>
      <c r="V88" s="3"/>
      <c r="W88" s="3"/>
      <c r="X88" s="3"/>
      <c r="Y88" s="3"/>
      <c r="Z88" s="3"/>
    </row>
    <row r="89" spans="1:26" ht="22.5" customHeight="1" x14ac:dyDescent="0.85">
      <c r="A89" s="171" t="s">
        <v>152</v>
      </c>
      <c r="B89" s="172"/>
      <c r="C89" s="172"/>
      <c r="D89" s="172"/>
      <c r="E89" s="172"/>
      <c r="F89" s="173"/>
      <c r="G89" s="147"/>
      <c r="H89" s="147"/>
      <c r="I89" s="147"/>
      <c r="J89" s="147"/>
      <c r="K89" s="3"/>
      <c r="L89" s="3"/>
      <c r="M89" s="3"/>
      <c r="N89" s="3"/>
      <c r="O89" s="3"/>
      <c r="P89" s="3"/>
      <c r="Q89" s="3"/>
      <c r="R89" s="3"/>
      <c r="S89" s="3"/>
      <c r="T89" s="3"/>
      <c r="U89" s="3"/>
      <c r="V89" s="3"/>
      <c r="W89" s="3"/>
      <c r="X89" s="3"/>
      <c r="Y89" s="3"/>
      <c r="Z89" s="3"/>
    </row>
    <row r="90" spans="1:26" ht="22.5" customHeight="1" x14ac:dyDescent="0.85">
      <c r="A90" s="130" t="s">
        <v>409</v>
      </c>
      <c r="B90" s="130" t="s">
        <v>410</v>
      </c>
      <c r="C90" s="174" t="s">
        <v>362</v>
      </c>
      <c r="D90" s="174" t="s">
        <v>117</v>
      </c>
      <c r="E90" s="174" t="s">
        <v>251</v>
      </c>
      <c r="F90" s="174" t="s">
        <v>362</v>
      </c>
      <c r="G90" s="147"/>
      <c r="H90" s="147"/>
      <c r="I90" s="147"/>
      <c r="J90" s="147"/>
      <c r="K90" s="3"/>
      <c r="L90" s="3"/>
      <c r="M90" s="3"/>
      <c r="N90" s="3"/>
      <c r="O90" s="3"/>
      <c r="P90" s="3"/>
      <c r="Q90" s="3"/>
      <c r="R90" s="3"/>
      <c r="S90" s="3"/>
      <c r="T90" s="3"/>
      <c r="U90" s="3"/>
      <c r="V90" s="3"/>
      <c r="W90" s="3"/>
      <c r="X90" s="3"/>
      <c r="Y90" s="3"/>
      <c r="Z90" s="3"/>
    </row>
    <row r="91" spans="1:26" ht="22.5" customHeight="1" x14ac:dyDescent="0.85">
      <c r="A91" s="175" t="s">
        <v>444</v>
      </c>
      <c r="B91" s="150">
        <f>'Bernalillo County Data'!B92+'Sandoval County Data'!B91+'Torrance County Data'!B91+'Valencia County Data'!B91</f>
        <v>632396.99611859315</v>
      </c>
      <c r="C91" s="176" t="s">
        <v>412</v>
      </c>
      <c r="D91" s="177">
        <v>1</v>
      </c>
      <c r="E91" s="176" t="s">
        <v>106</v>
      </c>
      <c r="F91" s="176" t="s">
        <v>106</v>
      </c>
      <c r="G91" s="147"/>
      <c r="H91" s="147"/>
      <c r="I91" s="147"/>
      <c r="J91" s="147"/>
      <c r="K91" s="3"/>
      <c r="L91" s="3"/>
      <c r="M91" s="3"/>
      <c r="N91" s="3"/>
      <c r="O91" s="3"/>
      <c r="P91" s="3"/>
      <c r="Q91" s="3"/>
      <c r="R91" s="3"/>
      <c r="S91" s="3"/>
      <c r="T91" s="3"/>
      <c r="U91" s="3"/>
      <c r="V91" s="3"/>
      <c r="W91" s="3"/>
      <c r="X91" s="3"/>
      <c r="Y91" s="3"/>
      <c r="Z91" s="3"/>
    </row>
    <row r="92" spans="1:26" ht="22.5" customHeight="1" x14ac:dyDescent="0.85">
      <c r="A92" s="171" t="s">
        <v>153</v>
      </c>
      <c r="B92" s="172"/>
      <c r="C92" s="172"/>
      <c r="D92" s="172"/>
      <c r="E92" s="172"/>
      <c r="F92" s="173"/>
      <c r="G92" s="147"/>
      <c r="H92" s="147"/>
      <c r="I92" s="147"/>
      <c r="J92" s="147"/>
      <c r="K92" s="3"/>
      <c r="L92" s="3"/>
      <c r="M92" s="3"/>
      <c r="N92" s="3"/>
      <c r="O92" s="3"/>
      <c r="P92" s="3"/>
      <c r="Q92" s="3"/>
      <c r="R92" s="3"/>
      <c r="S92" s="3"/>
      <c r="T92" s="3"/>
      <c r="U92" s="3"/>
      <c r="V92" s="3"/>
      <c r="W92" s="3"/>
      <c r="X92" s="3"/>
      <c r="Y92" s="3"/>
      <c r="Z92" s="3"/>
    </row>
    <row r="93" spans="1:26" ht="22.5" customHeight="1" x14ac:dyDescent="0.85">
      <c r="A93" s="130" t="s">
        <v>409</v>
      </c>
      <c r="B93" s="130" t="s">
        <v>410</v>
      </c>
      <c r="C93" s="174" t="s">
        <v>362</v>
      </c>
      <c r="D93" s="174" t="s">
        <v>117</v>
      </c>
      <c r="E93" s="174" t="s">
        <v>251</v>
      </c>
      <c r="F93" s="174" t="s">
        <v>362</v>
      </c>
      <c r="G93" s="147"/>
      <c r="H93" s="147"/>
      <c r="I93" s="147"/>
      <c r="J93" s="147"/>
      <c r="K93" s="3"/>
      <c r="L93" s="3"/>
      <c r="M93" s="3"/>
      <c r="N93" s="3"/>
      <c r="O93" s="3"/>
      <c r="P93" s="3"/>
      <c r="Q93" s="3"/>
      <c r="R93" s="3"/>
      <c r="S93" s="3"/>
      <c r="T93" s="3"/>
      <c r="U93" s="3"/>
      <c r="V93" s="3"/>
      <c r="W93" s="3"/>
      <c r="X93" s="3"/>
      <c r="Y93" s="3"/>
      <c r="Z93" s="3"/>
    </row>
    <row r="94" spans="1:26" ht="22.5" customHeight="1" x14ac:dyDescent="0.85">
      <c r="A94" s="175" t="s">
        <v>445</v>
      </c>
      <c r="B94" s="150">
        <f>'Railways Data'!B11</f>
        <v>242851.66199368268</v>
      </c>
      <c r="C94" s="176" t="s">
        <v>412</v>
      </c>
      <c r="D94" s="176">
        <v>1</v>
      </c>
      <c r="E94" s="176" t="s">
        <v>106</v>
      </c>
      <c r="F94" s="176" t="s">
        <v>106</v>
      </c>
      <c r="G94" s="147"/>
      <c r="H94" s="147"/>
      <c r="I94" s="147"/>
      <c r="J94" s="147"/>
      <c r="K94" s="3"/>
      <c r="L94" s="3"/>
      <c r="M94" s="3"/>
      <c r="N94" s="3"/>
      <c r="O94" s="3"/>
      <c r="P94" s="3"/>
      <c r="Q94" s="3"/>
      <c r="R94" s="3"/>
      <c r="S94" s="3"/>
      <c r="T94" s="3"/>
      <c r="U94" s="3"/>
      <c r="V94" s="3"/>
      <c r="W94" s="3"/>
      <c r="X94" s="3"/>
      <c r="Y94" s="3"/>
      <c r="Z94" s="3"/>
    </row>
    <row r="95" spans="1:26" ht="22.5" customHeight="1" x14ac:dyDescent="0.85">
      <c r="A95" s="197" t="s">
        <v>446</v>
      </c>
      <c r="B95" s="198">
        <f>SUM(B77,B78,B79,B82,B83,B87,B88,B94,B91,B84)</f>
        <v>4659837.96592745</v>
      </c>
      <c r="C95" s="199"/>
      <c r="D95" s="200"/>
      <c r="E95" s="200"/>
      <c r="F95" s="201"/>
      <c r="G95" s="147"/>
      <c r="H95" s="147"/>
      <c r="I95" s="147"/>
      <c r="J95" s="147"/>
      <c r="K95" s="3"/>
      <c r="L95" s="3"/>
      <c r="M95" s="3"/>
      <c r="N95" s="3"/>
      <c r="O95" s="3"/>
      <c r="P95" s="3"/>
      <c r="Q95" s="3"/>
      <c r="R95" s="3"/>
      <c r="S95" s="3"/>
      <c r="T95" s="3"/>
      <c r="U95" s="3"/>
      <c r="V95" s="3"/>
      <c r="W95" s="3"/>
      <c r="X95" s="3"/>
      <c r="Y95" s="3"/>
      <c r="Z95" s="3"/>
    </row>
    <row r="96" spans="1:26" ht="22.5" customHeight="1" x14ac:dyDescent="0.85">
      <c r="A96" s="168" t="s">
        <v>329</v>
      </c>
      <c r="B96" s="169"/>
      <c r="C96" s="202"/>
      <c r="D96" s="202"/>
      <c r="E96" s="202"/>
      <c r="F96" s="203"/>
      <c r="G96" s="147"/>
      <c r="H96" s="147"/>
      <c r="I96" s="147"/>
      <c r="J96" s="147"/>
      <c r="K96" s="147"/>
      <c r="L96" s="147"/>
      <c r="M96" s="3"/>
      <c r="N96" s="3"/>
      <c r="O96" s="3"/>
      <c r="P96" s="3"/>
      <c r="Q96" s="3"/>
      <c r="R96" s="3"/>
      <c r="S96" s="3"/>
      <c r="T96" s="3"/>
      <c r="U96" s="3"/>
      <c r="V96" s="3"/>
      <c r="W96" s="3"/>
      <c r="X96" s="3"/>
      <c r="Y96" s="3"/>
      <c r="Z96" s="3"/>
    </row>
    <row r="97" spans="1:26" ht="22.5" customHeight="1" x14ac:dyDescent="0.85">
      <c r="A97" s="171" t="s">
        <v>447</v>
      </c>
      <c r="B97" s="172"/>
      <c r="C97" s="172"/>
      <c r="D97" s="172"/>
      <c r="E97" s="172"/>
      <c r="F97" s="173"/>
      <c r="G97" s="147"/>
      <c r="H97" s="147"/>
      <c r="I97" s="147"/>
      <c r="J97" s="147"/>
      <c r="K97" s="3"/>
      <c r="L97" s="3"/>
      <c r="M97" s="3"/>
      <c r="N97" s="3"/>
      <c r="O97" s="3"/>
      <c r="P97" s="3"/>
      <c r="Q97" s="3"/>
      <c r="R97" s="3"/>
      <c r="S97" s="3"/>
      <c r="T97" s="3"/>
      <c r="U97" s="3"/>
      <c r="V97" s="3"/>
      <c r="W97" s="3"/>
      <c r="X97" s="3"/>
      <c r="Y97" s="3"/>
      <c r="Z97" s="3"/>
    </row>
    <row r="98" spans="1:26" ht="22.5" customHeight="1" x14ac:dyDescent="0.85">
      <c r="A98" s="148" t="s">
        <v>409</v>
      </c>
      <c r="B98" s="148" t="s">
        <v>410</v>
      </c>
      <c r="C98" s="204" t="s">
        <v>362</v>
      </c>
      <c r="D98" s="204" t="s">
        <v>117</v>
      </c>
      <c r="E98" s="204" t="s">
        <v>251</v>
      </c>
      <c r="F98" s="204" t="s">
        <v>362</v>
      </c>
      <c r="G98" s="147"/>
      <c r="H98" s="147"/>
      <c r="I98" s="147"/>
      <c r="J98" s="147"/>
      <c r="K98" s="3"/>
      <c r="L98" s="3"/>
      <c r="M98" s="3"/>
      <c r="N98" s="3"/>
      <c r="O98" s="3"/>
      <c r="P98" s="3"/>
      <c r="Q98" s="3"/>
      <c r="R98" s="3"/>
      <c r="S98" s="3"/>
      <c r="T98" s="3"/>
      <c r="U98" s="3"/>
      <c r="V98" s="3"/>
      <c r="W98" s="3"/>
      <c r="X98" s="3"/>
      <c r="Y98" s="3"/>
      <c r="Z98" s="3"/>
    </row>
    <row r="99" spans="1:26" ht="22.5" customHeight="1" x14ac:dyDescent="0.85">
      <c r="A99" s="175" t="s">
        <v>448</v>
      </c>
      <c r="B99" s="150">
        <f>'Bernalillo County Data'!B100+'Sandoval County Data'!B99+'Torrance County Data'!B99+'Valencia County Data'!B99</f>
        <v>479858.10259387631</v>
      </c>
      <c r="C99" s="176" t="s">
        <v>412</v>
      </c>
      <c r="D99" s="176">
        <v>1</v>
      </c>
      <c r="E99" s="150">
        <f>'Bernalillo County Data'!E100+'Sandoval County Data'!E99+'Torrance County Data'!E99+'Valencia County Data'!E99</f>
        <v>2055817.3369646</v>
      </c>
      <c r="F99" s="176" t="s">
        <v>449</v>
      </c>
      <c r="G99" s="147"/>
      <c r="H99" s="147"/>
      <c r="I99" s="147"/>
      <c r="J99" s="147"/>
      <c r="K99" s="3"/>
      <c r="L99" s="3"/>
      <c r="M99" s="3"/>
      <c r="N99" s="3"/>
      <c r="O99" s="3"/>
      <c r="P99" s="3"/>
      <c r="Q99" s="3"/>
      <c r="R99" s="3"/>
      <c r="S99" s="3"/>
      <c r="T99" s="3"/>
      <c r="U99" s="3"/>
      <c r="V99" s="3"/>
      <c r="W99" s="3"/>
      <c r="X99" s="3"/>
      <c r="Y99" s="3"/>
      <c r="Z99" s="3"/>
    </row>
    <row r="100" spans="1:26" ht="22.5" customHeight="1" x14ac:dyDescent="0.85">
      <c r="A100" s="175" t="s">
        <v>450</v>
      </c>
      <c r="B100" s="150">
        <f>'Bernalillo County Data'!B101+'Sandoval County Data'!B100+'Torrance County Data'!B100+'Valencia County Data'!B100</f>
        <v>0</v>
      </c>
      <c r="C100" s="176" t="s">
        <v>412</v>
      </c>
      <c r="D100" s="176">
        <v>3</v>
      </c>
      <c r="E100" s="150">
        <f>'Bernalillo County Data'!E101+'Sandoval County Data'!E100+'Torrance County Data'!E100+'Valencia County Data'!E100</f>
        <v>0</v>
      </c>
      <c r="F100" s="176" t="s">
        <v>449</v>
      </c>
      <c r="G100" s="147"/>
      <c r="H100" s="147"/>
      <c r="I100" s="147"/>
      <c r="J100" s="147"/>
      <c r="K100" s="3"/>
      <c r="L100" s="3"/>
      <c r="M100" s="3"/>
      <c r="N100" s="3"/>
      <c r="O100" s="3"/>
      <c r="P100" s="3"/>
      <c r="Q100" s="3"/>
      <c r="R100" s="3"/>
      <c r="S100" s="3"/>
      <c r="T100" s="3"/>
      <c r="U100" s="3"/>
      <c r="V100" s="3"/>
      <c r="W100" s="3"/>
      <c r="X100" s="3"/>
      <c r="Y100" s="3"/>
      <c r="Z100" s="3"/>
    </row>
    <row r="101" spans="1:26" ht="22.5" customHeight="1" x14ac:dyDescent="0.85">
      <c r="A101" s="175" t="s">
        <v>451</v>
      </c>
      <c r="B101" s="150">
        <f>'Bernalillo County Data'!B102+'Sandoval County Data'!B101+'Torrance County Data'!B101+'Valencia County Data'!B101</f>
        <v>2226.2955787919464</v>
      </c>
      <c r="C101" s="176" t="s">
        <v>412</v>
      </c>
      <c r="D101" s="176">
        <v>1</v>
      </c>
      <c r="E101" s="150">
        <f>'Bernalillo County Data'!E102+'Sandoval County Data'!E101+'Torrance County Data'!E101+'Valencia County Data'!E101</f>
        <v>3754.52</v>
      </c>
      <c r="F101" s="176" t="s">
        <v>449</v>
      </c>
      <c r="G101" s="147"/>
      <c r="H101" s="147"/>
      <c r="I101" s="147"/>
      <c r="J101" s="147"/>
      <c r="K101" s="3"/>
      <c r="L101" s="3"/>
      <c r="M101" s="3"/>
      <c r="N101" s="3"/>
      <c r="O101" s="3"/>
      <c r="P101" s="3"/>
      <c r="Q101" s="3"/>
      <c r="R101" s="3"/>
      <c r="S101" s="3"/>
      <c r="T101" s="3"/>
      <c r="U101" s="3"/>
      <c r="V101" s="3"/>
      <c r="W101" s="3"/>
      <c r="X101" s="3"/>
      <c r="Y101" s="3"/>
      <c r="Z101" s="3"/>
    </row>
    <row r="102" spans="1:26" ht="22.5" customHeight="1" x14ac:dyDescent="0.85">
      <c r="A102" s="175" t="s">
        <v>452</v>
      </c>
      <c r="B102" s="150">
        <f>'Bernalillo County Data'!B103+'Sandoval County Data'!B102+'Torrance County Data'!B102+'Valencia County Data'!B102</f>
        <v>0</v>
      </c>
      <c r="C102" s="179" t="s">
        <v>412</v>
      </c>
      <c r="D102" s="179">
        <v>3</v>
      </c>
      <c r="E102" s="150">
        <f>'Bernalillo County Data'!E103+'Sandoval County Data'!E102+'Torrance County Data'!E102+'Valencia County Data'!E102</f>
        <v>0</v>
      </c>
      <c r="F102" s="179" t="s">
        <v>449</v>
      </c>
      <c r="G102" s="147"/>
      <c r="H102" s="147"/>
      <c r="I102" s="147"/>
      <c r="J102" s="147"/>
      <c r="K102" s="3"/>
      <c r="L102" s="3"/>
      <c r="M102" s="3"/>
      <c r="N102" s="3"/>
      <c r="O102" s="3"/>
      <c r="P102" s="3"/>
      <c r="Q102" s="3"/>
      <c r="R102" s="3"/>
      <c r="S102" s="3"/>
      <c r="T102" s="3"/>
      <c r="U102" s="3"/>
      <c r="V102" s="3"/>
      <c r="W102" s="3"/>
      <c r="X102" s="3"/>
      <c r="Y102" s="3"/>
      <c r="Z102" s="3"/>
    </row>
    <row r="103" spans="1:26" ht="22.5" customHeight="1" x14ac:dyDescent="0.85">
      <c r="A103" s="181" t="s">
        <v>453</v>
      </c>
      <c r="B103" s="182">
        <f>SUM(B99:B102)</f>
        <v>482084.39817266824</v>
      </c>
      <c r="C103" s="183"/>
      <c r="D103" s="184"/>
      <c r="E103" s="184"/>
      <c r="F103" s="185"/>
      <c r="G103" s="147"/>
      <c r="H103" s="147"/>
      <c r="I103" s="147"/>
      <c r="J103" s="147"/>
      <c r="K103" s="3"/>
      <c r="L103" s="3"/>
      <c r="M103" s="3"/>
      <c r="N103" s="3"/>
      <c r="O103" s="3"/>
      <c r="P103" s="3"/>
      <c r="Q103" s="3"/>
      <c r="R103" s="3"/>
      <c r="S103" s="3"/>
      <c r="T103" s="3"/>
      <c r="U103" s="3"/>
      <c r="V103" s="3"/>
      <c r="W103" s="3"/>
      <c r="X103" s="3"/>
      <c r="Y103" s="3"/>
      <c r="Z103" s="3"/>
    </row>
    <row r="104" spans="1:26" ht="22.5" customHeight="1" x14ac:dyDescent="0.85">
      <c r="A104" s="171" t="s">
        <v>454</v>
      </c>
      <c r="B104" s="172"/>
      <c r="C104" s="172"/>
      <c r="D104" s="172"/>
      <c r="E104" s="172"/>
      <c r="F104" s="173"/>
      <c r="G104" s="147"/>
      <c r="H104" s="147"/>
      <c r="I104" s="147"/>
      <c r="J104" s="147"/>
      <c r="K104" s="3"/>
      <c r="L104" s="3"/>
      <c r="M104" s="3"/>
      <c r="N104" s="3"/>
      <c r="O104" s="3"/>
      <c r="P104" s="3"/>
      <c r="Q104" s="3"/>
      <c r="R104" s="3"/>
      <c r="S104" s="3"/>
      <c r="T104" s="3"/>
      <c r="U104" s="3"/>
      <c r="V104" s="3"/>
      <c r="W104" s="3"/>
      <c r="X104" s="3"/>
      <c r="Y104" s="3"/>
      <c r="Z104" s="3"/>
    </row>
    <row r="105" spans="1:26" ht="22.5" customHeight="1" x14ac:dyDescent="0.85">
      <c r="A105" s="130" t="s">
        <v>409</v>
      </c>
      <c r="B105" s="130" t="s">
        <v>410</v>
      </c>
      <c r="C105" s="174" t="s">
        <v>362</v>
      </c>
      <c r="D105" s="174" t="s">
        <v>117</v>
      </c>
      <c r="E105" s="174" t="s">
        <v>251</v>
      </c>
      <c r="F105" s="174" t="s">
        <v>362</v>
      </c>
      <c r="G105" s="147"/>
      <c r="H105" s="147"/>
      <c r="I105" s="147"/>
      <c r="J105" s="147"/>
      <c r="K105" s="3"/>
      <c r="L105" s="3"/>
      <c r="M105" s="3"/>
      <c r="N105" s="3"/>
      <c r="O105" s="3"/>
      <c r="P105" s="3"/>
      <c r="Q105" s="3"/>
      <c r="R105" s="3"/>
      <c r="S105" s="3"/>
      <c r="T105" s="3"/>
      <c r="U105" s="3"/>
      <c r="V105" s="3"/>
      <c r="W105" s="3"/>
      <c r="X105" s="3"/>
      <c r="Y105" s="3"/>
      <c r="Z105" s="3"/>
    </row>
    <row r="106" spans="1:26" ht="22.5" customHeight="1" x14ac:dyDescent="0.85">
      <c r="A106" s="175" t="s">
        <v>455</v>
      </c>
      <c r="B106" s="150">
        <f>'Bernalillo County Data'!B107+'Sandoval County Data'!B106+'Torrance County Data'!B106+'Valencia County Data'!B106</f>
        <v>2571.3226863391401</v>
      </c>
      <c r="C106" s="176" t="s">
        <v>412</v>
      </c>
      <c r="D106" s="176">
        <v>3</v>
      </c>
      <c r="E106" s="177" t="s">
        <v>106</v>
      </c>
      <c r="F106" s="176" t="s">
        <v>32</v>
      </c>
      <c r="G106" s="147"/>
      <c r="H106" s="147"/>
      <c r="I106" s="147"/>
      <c r="J106" s="147"/>
      <c r="K106" s="3"/>
      <c r="L106" s="3"/>
      <c r="M106" s="3"/>
      <c r="N106" s="3"/>
      <c r="O106" s="3"/>
      <c r="P106" s="3"/>
      <c r="Q106" s="3"/>
      <c r="R106" s="3"/>
      <c r="S106" s="3"/>
      <c r="T106" s="3"/>
      <c r="U106" s="3"/>
      <c r="V106" s="3"/>
      <c r="W106" s="3"/>
      <c r="X106" s="3"/>
      <c r="Y106" s="3"/>
      <c r="Z106" s="3"/>
    </row>
    <row r="107" spans="1:26" ht="22.5" customHeight="1" x14ac:dyDescent="0.85">
      <c r="A107" s="175" t="s">
        <v>456</v>
      </c>
      <c r="B107" s="150">
        <f>'Wastewater Data'!G76</f>
        <v>18224.878490279996</v>
      </c>
      <c r="C107" s="179" t="s">
        <v>412</v>
      </c>
      <c r="D107" s="179">
        <v>1</v>
      </c>
      <c r="E107" s="180" t="s">
        <v>106</v>
      </c>
      <c r="F107" s="179" t="s">
        <v>32</v>
      </c>
      <c r="G107" s="147"/>
      <c r="H107" s="147"/>
      <c r="I107" s="147"/>
      <c r="J107" s="147"/>
      <c r="K107" s="3"/>
      <c r="L107" s="3"/>
      <c r="M107" s="3"/>
      <c r="N107" s="3"/>
      <c r="O107" s="3"/>
      <c r="P107" s="3"/>
      <c r="Q107" s="3"/>
      <c r="R107" s="3"/>
      <c r="S107" s="3"/>
      <c r="T107" s="3"/>
      <c r="U107" s="3"/>
      <c r="V107" s="3"/>
      <c r="W107" s="3"/>
      <c r="X107" s="3"/>
      <c r="Y107" s="3"/>
      <c r="Z107" s="3"/>
    </row>
    <row r="108" spans="1:26" ht="22.5" customHeight="1" x14ac:dyDescent="0.85">
      <c r="A108" s="181" t="s">
        <v>457</v>
      </c>
      <c r="B108" s="182">
        <f>SUM(B106:B107)</f>
        <v>20796.201176619135</v>
      </c>
      <c r="C108" s="183"/>
      <c r="D108" s="184"/>
      <c r="E108" s="184"/>
      <c r="F108" s="185"/>
      <c r="G108" s="147"/>
      <c r="H108" s="147"/>
      <c r="I108" s="147"/>
      <c r="J108" s="147"/>
      <c r="K108" s="3"/>
      <c r="L108" s="3"/>
      <c r="M108" s="3"/>
      <c r="N108" s="3"/>
      <c r="O108" s="3"/>
      <c r="P108" s="3"/>
      <c r="Q108" s="3"/>
      <c r="R108" s="3"/>
      <c r="S108" s="3"/>
      <c r="T108" s="3"/>
      <c r="U108" s="3"/>
      <c r="V108" s="3"/>
      <c r="W108" s="3"/>
      <c r="X108" s="3"/>
      <c r="Y108" s="3"/>
      <c r="Z108" s="3"/>
    </row>
    <row r="109" spans="1:26" ht="22.5" customHeight="1" x14ac:dyDescent="0.85">
      <c r="A109" s="186" t="s">
        <v>453</v>
      </c>
      <c r="B109" s="187">
        <f>SUM(B103+B108)</f>
        <v>502880.5993492874</v>
      </c>
      <c r="C109" s="188"/>
      <c r="D109" s="189"/>
      <c r="E109" s="189"/>
      <c r="F109" s="190"/>
      <c r="G109" s="147"/>
      <c r="H109" s="147"/>
      <c r="I109" s="147"/>
      <c r="J109" s="147"/>
      <c r="K109" s="3"/>
      <c r="L109" s="3"/>
      <c r="M109" s="3"/>
      <c r="N109" s="3"/>
      <c r="O109" s="3"/>
      <c r="P109" s="3"/>
      <c r="Q109" s="3"/>
      <c r="R109" s="3"/>
      <c r="S109" s="3"/>
      <c r="T109" s="3"/>
      <c r="U109" s="3"/>
      <c r="V109" s="3"/>
      <c r="W109" s="3"/>
      <c r="X109" s="3"/>
      <c r="Y109" s="3"/>
      <c r="Z109" s="3"/>
    </row>
    <row r="110" spans="1:26" ht="22.5" customHeight="1" x14ac:dyDescent="0.85">
      <c r="A110" s="205" t="s">
        <v>458</v>
      </c>
      <c r="B110" s="169"/>
      <c r="C110" s="202"/>
      <c r="D110" s="202"/>
      <c r="E110" s="202"/>
      <c r="F110" s="203"/>
      <c r="G110" s="147"/>
      <c r="H110" s="147"/>
      <c r="I110" s="147"/>
      <c r="J110" s="147"/>
      <c r="K110" s="147"/>
      <c r="L110" s="147"/>
      <c r="M110" s="3"/>
      <c r="N110" s="3"/>
      <c r="O110" s="3"/>
      <c r="P110" s="3"/>
      <c r="Q110" s="3"/>
      <c r="R110" s="3"/>
      <c r="S110" s="3"/>
      <c r="T110" s="3"/>
      <c r="U110" s="3"/>
      <c r="V110" s="3"/>
      <c r="W110" s="3"/>
      <c r="X110" s="3"/>
      <c r="Y110" s="3"/>
      <c r="Z110" s="3"/>
    </row>
    <row r="111" spans="1:26" ht="22.5" customHeight="1" x14ac:dyDescent="0.85">
      <c r="A111" s="130" t="s">
        <v>409</v>
      </c>
      <c r="B111" s="130" t="s">
        <v>410</v>
      </c>
      <c r="C111" s="174" t="s">
        <v>362</v>
      </c>
      <c r="D111" s="174" t="s">
        <v>117</v>
      </c>
      <c r="E111" s="174" t="s">
        <v>251</v>
      </c>
      <c r="F111" s="174" t="s">
        <v>362</v>
      </c>
      <c r="G111" s="147"/>
      <c r="H111" s="147"/>
      <c r="I111" s="147"/>
      <c r="J111" s="147"/>
      <c r="K111" s="3"/>
      <c r="L111" s="3"/>
      <c r="M111" s="3"/>
      <c r="N111" s="3"/>
      <c r="O111" s="3"/>
      <c r="P111" s="3"/>
      <c r="Q111" s="3"/>
      <c r="R111" s="3"/>
      <c r="S111" s="3"/>
      <c r="T111" s="3"/>
      <c r="U111" s="3"/>
      <c r="V111" s="3"/>
      <c r="W111" s="3"/>
      <c r="X111" s="3"/>
      <c r="Y111" s="3"/>
      <c r="Z111" s="3"/>
    </row>
    <row r="112" spans="1:26" ht="22.5" customHeight="1" x14ac:dyDescent="0.85">
      <c r="A112" s="175" t="s">
        <v>459</v>
      </c>
      <c r="B112" s="150">
        <f>'Industrial Processes Data'!B10</f>
        <v>410773.09399999992</v>
      </c>
      <c r="C112" s="176" t="s">
        <v>412</v>
      </c>
      <c r="D112" s="176">
        <v>1</v>
      </c>
      <c r="E112" s="178" t="s">
        <v>106</v>
      </c>
      <c r="F112" s="176" t="s">
        <v>106</v>
      </c>
      <c r="G112" s="147"/>
      <c r="H112" s="147"/>
      <c r="I112" s="147"/>
      <c r="J112" s="147"/>
      <c r="K112" s="3"/>
      <c r="L112" s="3"/>
      <c r="M112" s="3"/>
      <c r="N112" s="3"/>
      <c r="O112" s="3"/>
      <c r="P112" s="3"/>
      <c r="Q112" s="3"/>
      <c r="R112" s="3"/>
      <c r="S112" s="3"/>
      <c r="T112" s="3"/>
      <c r="U112" s="3"/>
      <c r="V112" s="3"/>
      <c r="W112" s="3"/>
      <c r="X112" s="3"/>
      <c r="Y112" s="3"/>
      <c r="Z112" s="3"/>
    </row>
    <row r="113" spans="1:26" ht="22.5" customHeight="1" x14ac:dyDescent="0.85">
      <c r="A113" s="175" t="s">
        <v>460</v>
      </c>
      <c r="B113" s="150">
        <f>'Refrigerants Data'!G33+'Refrigerants Data'!G43</f>
        <v>281925.01945940987</v>
      </c>
      <c r="C113" s="179" t="s">
        <v>412</v>
      </c>
      <c r="D113" s="179">
        <v>1</v>
      </c>
      <c r="E113" s="150">
        <f>'Bernalillo County Data'!E114+'Sandoval County Data'!E113+'Torrance County Data'!E113+'Valencia County Data'!E113</f>
        <v>1741671314.6575468</v>
      </c>
      <c r="F113" s="179" t="s">
        <v>461</v>
      </c>
      <c r="G113" s="147"/>
      <c r="H113" s="147"/>
      <c r="I113" s="147"/>
      <c r="J113" s="147"/>
      <c r="K113" s="3"/>
      <c r="L113" s="3"/>
      <c r="M113" s="3"/>
      <c r="N113" s="3"/>
      <c r="O113" s="3"/>
      <c r="P113" s="3"/>
      <c r="Q113" s="3"/>
      <c r="R113" s="3"/>
      <c r="S113" s="3"/>
      <c r="T113" s="3"/>
      <c r="U113" s="3"/>
      <c r="V113" s="3"/>
      <c r="W113" s="3"/>
      <c r="X113" s="3"/>
      <c r="Y113" s="3"/>
      <c r="Z113" s="3"/>
    </row>
    <row r="114" spans="1:26" ht="22.5" customHeight="1" x14ac:dyDescent="0.85">
      <c r="A114" s="186" t="s">
        <v>462</v>
      </c>
      <c r="B114" s="187">
        <f>B112+B113</f>
        <v>692698.1134594098</v>
      </c>
      <c r="C114" s="188"/>
      <c r="D114" s="189"/>
      <c r="E114" s="189"/>
      <c r="F114" s="190"/>
      <c r="G114" s="147"/>
      <c r="H114" s="147"/>
      <c r="I114" s="147"/>
      <c r="J114" s="147"/>
      <c r="K114" s="3"/>
      <c r="L114" s="3"/>
      <c r="M114" s="3"/>
      <c r="N114" s="3"/>
      <c r="O114" s="3"/>
      <c r="P114" s="3"/>
      <c r="Q114" s="3"/>
      <c r="R114" s="3"/>
      <c r="S114" s="3"/>
      <c r="T114" s="3"/>
      <c r="U114" s="3"/>
      <c r="V114" s="3"/>
      <c r="W114" s="3"/>
      <c r="X114" s="3"/>
      <c r="Y114" s="3"/>
      <c r="Z114" s="3"/>
    </row>
    <row r="115" spans="1:26" ht="22.5" customHeight="1" x14ac:dyDescent="0.85">
      <c r="A115" s="205" t="s">
        <v>463</v>
      </c>
      <c r="B115" s="169"/>
      <c r="C115" s="202"/>
      <c r="D115" s="202"/>
      <c r="E115" s="202"/>
      <c r="F115" s="203"/>
      <c r="G115" s="147"/>
      <c r="H115" s="147"/>
      <c r="I115" s="147"/>
      <c r="J115" s="147"/>
      <c r="K115" s="147"/>
      <c r="L115" s="147"/>
      <c r="M115" s="3"/>
      <c r="N115" s="3"/>
      <c r="O115" s="3"/>
      <c r="P115" s="3"/>
      <c r="Q115" s="3"/>
      <c r="R115" s="3"/>
      <c r="S115" s="3"/>
      <c r="T115" s="3"/>
      <c r="U115" s="3"/>
      <c r="V115" s="3"/>
      <c r="W115" s="3"/>
      <c r="X115" s="3"/>
      <c r="Y115" s="3"/>
      <c r="Z115" s="3"/>
    </row>
    <row r="116" spans="1:26" ht="22.5" customHeight="1" x14ac:dyDescent="0.85">
      <c r="A116" s="130" t="s">
        <v>409</v>
      </c>
      <c r="B116" s="130" t="s">
        <v>410</v>
      </c>
      <c r="C116" s="174" t="s">
        <v>362</v>
      </c>
      <c r="D116" s="174" t="s">
        <v>117</v>
      </c>
      <c r="E116" s="174" t="s">
        <v>251</v>
      </c>
      <c r="F116" s="174" t="s">
        <v>362</v>
      </c>
      <c r="G116" s="147"/>
      <c r="H116" s="147"/>
      <c r="I116" s="147"/>
      <c r="J116" s="147"/>
      <c r="K116" s="3"/>
      <c r="L116" s="3"/>
      <c r="M116" s="3"/>
      <c r="N116" s="3"/>
      <c r="O116" s="3"/>
      <c r="P116" s="3"/>
      <c r="Q116" s="3"/>
      <c r="R116" s="3"/>
      <c r="S116" s="3"/>
      <c r="T116" s="3"/>
      <c r="U116" s="3"/>
      <c r="V116" s="3"/>
      <c r="W116" s="3"/>
      <c r="X116" s="3"/>
      <c r="Y116" s="3"/>
      <c r="Z116" s="3"/>
    </row>
    <row r="117" spans="1:26" ht="22.5" customHeight="1" x14ac:dyDescent="0.85">
      <c r="A117" s="175" t="s">
        <v>464</v>
      </c>
      <c r="B117" s="150">
        <f>'Bernalillo County Data'!B118+'Sandoval County Data'!B117+'Torrance County Data'!B117+'Valencia County Data'!B117</f>
        <v>345713.09693891654</v>
      </c>
      <c r="C117" s="176" t="s">
        <v>412</v>
      </c>
      <c r="D117" s="176">
        <v>1</v>
      </c>
      <c r="E117" s="150">
        <f>'Bernalillo County Data'!E118+'Sandoval County Data'!E117+'Torrance County Data'!E117+'Valencia County Data'!E117</f>
        <v>92942</v>
      </c>
      <c r="F117" s="176" t="s">
        <v>465</v>
      </c>
      <c r="G117" s="147"/>
      <c r="H117" s="147"/>
      <c r="I117" s="147"/>
      <c r="J117" s="147"/>
      <c r="K117" s="3"/>
      <c r="L117" s="3"/>
      <c r="M117" s="3"/>
      <c r="N117" s="3"/>
      <c r="O117" s="3"/>
      <c r="P117" s="3"/>
      <c r="Q117" s="3"/>
      <c r="R117" s="3"/>
      <c r="S117" s="3"/>
      <c r="T117" s="3"/>
      <c r="U117" s="3"/>
      <c r="V117" s="3"/>
      <c r="W117" s="3"/>
      <c r="X117" s="3"/>
      <c r="Y117" s="3"/>
      <c r="Z117" s="3"/>
    </row>
    <row r="118" spans="1:26" ht="22.5" customHeight="1" x14ac:dyDescent="0.85">
      <c r="A118" s="175" t="s">
        <v>466</v>
      </c>
      <c r="B118" s="150">
        <f>'Bernalillo County Data'!B119+'Sandoval County Data'!B118+'Torrance County Data'!B118+'Valencia County Data'!B118</f>
        <v>3090.0233724071586</v>
      </c>
      <c r="C118" s="179" t="s">
        <v>412</v>
      </c>
      <c r="D118" s="179">
        <v>1</v>
      </c>
      <c r="E118" s="150">
        <f>'Bernalillo County Data'!E119+'Sandoval County Data'!E118+'Torrance County Data'!E118+'Valencia County Data'!E118</f>
        <v>26145</v>
      </c>
      <c r="F118" s="179" t="s">
        <v>467</v>
      </c>
      <c r="G118" s="147"/>
      <c r="H118" s="147"/>
      <c r="I118" s="147"/>
      <c r="J118" s="147"/>
      <c r="K118" s="3"/>
      <c r="L118" s="3"/>
      <c r="M118" s="3"/>
      <c r="N118" s="3"/>
      <c r="O118" s="3"/>
      <c r="P118" s="3"/>
      <c r="Q118" s="3"/>
      <c r="R118" s="3"/>
      <c r="S118" s="3"/>
      <c r="T118" s="3"/>
      <c r="U118" s="3"/>
      <c r="V118" s="3"/>
      <c r="W118" s="3"/>
      <c r="X118" s="3"/>
      <c r="Y118" s="3"/>
      <c r="Z118" s="3"/>
    </row>
    <row r="119" spans="1:26" ht="22.5" customHeight="1" x14ac:dyDescent="0.85">
      <c r="A119" s="175" t="s">
        <v>468</v>
      </c>
      <c r="B119" s="207">
        <f>'Bernalillo County Data'!B120+'Sandoval County Data'!B119+'Torrance County Data'!B119+'Valencia County Data'!B119</f>
        <v>-482096</v>
      </c>
      <c r="C119" s="179" t="s">
        <v>412</v>
      </c>
      <c r="D119" s="179">
        <v>1</v>
      </c>
      <c r="E119" s="150">
        <f>'Bernalillo County Data'!E120+'Sandoval County Data'!E119+'Torrance County Data'!E119+'Valencia County Data'!E119</f>
        <v>395298</v>
      </c>
      <c r="F119" s="179" t="s">
        <v>469</v>
      </c>
      <c r="G119" s="147"/>
      <c r="H119" s="147"/>
      <c r="I119" s="147"/>
      <c r="J119" s="147"/>
      <c r="K119" s="3"/>
      <c r="L119" s="3"/>
      <c r="M119" s="3"/>
      <c r="N119" s="3"/>
      <c r="O119" s="3"/>
      <c r="P119" s="3"/>
      <c r="Q119" s="3"/>
      <c r="R119" s="3"/>
      <c r="S119" s="3"/>
      <c r="T119" s="3"/>
      <c r="U119" s="3"/>
      <c r="V119" s="3"/>
      <c r="W119" s="3"/>
      <c r="X119" s="3"/>
      <c r="Y119" s="3"/>
      <c r="Z119" s="3"/>
    </row>
    <row r="120" spans="1:26" ht="22.5" customHeight="1" x14ac:dyDescent="0.85">
      <c r="A120" s="186" t="s">
        <v>470</v>
      </c>
      <c r="B120" s="208">
        <f>SUM(B117+B118+B119)</f>
        <v>-133292.87968867633</v>
      </c>
      <c r="C120" s="188"/>
      <c r="D120" s="189"/>
      <c r="E120" s="189"/>
      <c r="F120" s="190"/>
      <c r="G120" s="147"/>
      <c r="H120" s="147"/>
      <c r="I120" s="147"/>
      <c r="J120" s="147"/>
      <c r="K120" s="3"/>
      <c r="L120" s="3"/>
      <c r="M120" s="3"/>
      <c r="N120" s="3"/>
      <c r="O120" s="3"/>
      <c r="P120" s="3"/>
      <c r="Q120" s="3"/>
      <c r="R120" s="3"/>
      <c r="S120" s="3"/>
      <c r="T120" s="3"/>
      <c r="U120" s="3"/>
      <c r="V120" s="3"/>
      <c r="W120" s="3"/>
      <c r="X120" s="3"/>
      <c r="Y120" s="3"/>
      <c r="Z120" s="3"/>
    </row>
    <row r="121" spans="1:26" ht="22.5" customHeight="1" x14ac:dyDescent="0.85">
      <c r="A121" s="209" t="s">
        <v>101</v>
      </c>
      <c r="B121" s="210">
        <f>B114+B109+B95+B73+B117+B118</f>
        <v>10485052.256315874</v>
      </c>
      <c r="C121" s="211"/>
      <c r="D121" s="212"/>
      <c r="E121" s="212"/>
      <c r="F121" s="213"/>
      <c r="G121" s="147"/>
      <c r="H121" s="147"/>
      <c r="I121" s="147"/>
      <c r="J121" s="147"/>
      <c r="K121" s="3"/>
      <c r="L121" s="3"/>
      <c r="M121" s="3"/>
      <c r="N121" s="3"/>
      <c r="O121" s="3"/>
      <c r="P121" s="3"/>
      <c r="Q121" s="3"/>
      <c r="R121" s="3"/>
      <c r="S121" s="3"/>
      <c r="T121" s="3"/>
      <c r="U121" s="3"/>
      <c r="V121" s="3"/>
      <c r="W121" s="3"/>
      <c r="X121" s="3"/>
      <c r="Y121" s="3"/>
      <c r="Z121" s="3"/>
    </row>
    <row r="122" spans="1:26" ht="22.5" customHeight="1" x14ac:dyDescent="0.85">
      <c r="A122" s="209" t="s">
        <v>136</v>
      </c>
      <c r="B122" s="214">
        <f>B119</f>
        <v>-482096</v>
      </c>
      <c r="C122" s="211"/>
      <c r="D122" s="212"/>
      <c r="E122" s="212"/>
      <c r="F122" s="213"/>
      <c r="G122" s="147"/>
      <c r="H122" s="147"/>
      <c r="I122" s="147"/>
      <c r="J122" s="147"/>
      <c r="K122" s="3"/>
      <c r="L122" s="3"/>
      <c r="M122" s="3"/>
      <c r="N122" s="3"/>
      <c r="O122" s="3"/>
      <c r="P122" s="3"/>
      <c r="Q122" s="3"/>
      <c r="R122" s="3"/>
      <c r="S122" s="3"/>
      <c r="T122" s="3"/>
      <c r="U122" s="3"/>
      <c r="V122" s="3"/>
      <c r="W122" s="3"/>
      <c r="X122" s="3"/>
      <c r="Y122" s="3"/>
      <c r="Z122" s="3"/>
    </row>
    <row r="123" spans="1:26" ht="22.5" customHeight="1" x14ac:dyDescent="0.85">
      <c r="A123" s="209" t="s">
        <v>123</v>
      </c>
      <c r="B123" s="210">
        <f>B121+B122</f>
        <v>10002956.256315874</v>
      </c>
      <c r="C123" s="211"/>
      <c r="D123" s="212"/>
      <c r="E123" s="212"/>
      <c r="F123" s="213"/>
      <c r="G123" s="147"/>
      <c r="H123" s="147"/>
      <c r="I123" s="147"/>
      <c r="J123" s="147"/>
      <c r="K123" s="3"/>
      <c r="L123" s="3"/>
      <c r="M123" s="3"/>
      <c r="N123" s="3"/>
      <c r="O123" s="3"/>
      <c r="P123" s="3"/>
      <c r="Q123" s="3"/>
      <c r="R123" s="3"/>
      <c r="S123" s="3"/>
      <c r="T123" s="3"/>
      <c r="U123" s="3"/>
      <c r="V123" s="3"/>
      <c r="W123" s="3"/>
      <c r="X123" s="3"/>
      <c r="Y123" s="3"/>
      <c r="Z123" s="3"/>
    </row>
    <row r="124" spans="1:26" ht="22.5" customHeight="1" x14ac:dyDescent="0.85">
      <c r="A124" s="166"/>
      <c r="B124" s="167"/>
      <c r="C124" s="167"/>
      <c r="D124" s="147"/>
      <c r="E124" s="147"/>
      <c r="F124" s="147"/>
      <c r="G124" s="147"/>
      <c r="H124" s="147"/>
      <c r="I124" s="147"/>
      <c r="J124" s="147"/>
      <c r="K124" s="3"/>
      <c r="L124" s="3"/>
      <c r="M124" s="3"/>
      <c r="N124" s="3"/>
      <c r="O124" s="3"/>
      <c r="P124" s="3"/>
      <c r="Q124" s="3"/>
      <c r="R124" s="3"/>
      <c r="S124" s="3"/>
      <c r="T124" s="3"/>
      <c r="U124" s="3"/>
      <c r="V124" s="3"/>
      <c r="W124" s="3"/>
      <c r="X124" s="3"/>
      <c r="Y124" s="3"/>
      <c r="Z124" s="3"/>
    </row>
    <row r="125" spans="1:26" ht="22.5" customHeight="1" x14ac:dyDescent="0.85">
      <c r="A125" s="144" t="s">
        <v>471</v>
      </c>
      <c r="B125" s="145"/>
      <c r="C125" s="145"/>
      <c r="D125" s="145"/>
      <c r="E125" s="145"/>
      <c r="F125" s="145"/>
      <c r="G125" s="146"/>
      <c r="H125" s="147"/>
      <c r="I125" s="147"/>
      <c r="J125" s="147"/>
      <c r="K125" s="147"/>
      <c r="L125" s="147"/>
      <c r="M125" s="3"/>
      <c r="N125" s="3"/>
      <c r="O125" s="3"/>
      <c r="P125" s="3"/>
      <c r="Q125" s="3"/>
      <c r="R125" s="3"/>
      <c r="S125" s="3"/>
      <c r="T125" s="3"/>
      <c r="U125" s="3"/>
      <c r="V125" s="3"/>
      <c r="W125" s="3"/>
      <c r="X125" s="3"/>
      <c r="Y125" s="3"/>
      <c r="Z125" s="3"/>
    </row>
    <row r="126" spans="1:26" ht="22.5" customHeight="1" x14ac:dyDescent="0.85">
      <c r="A126" s="215" t="s">
        <v>472</v>
      </c>
      <c r="B126" s="216"/>
      <c r="C126" s="216"/>
      <c r="D126" s="216"/>
      <c r="E126" s="216"/>
      <c r="F126" s="216"/>
      <c r="G126" s="217"/>
      <c r="H126" s="147"/>
      <c r="I126" s="147"/>
      <c r="J126" s="147"/>
      <c r="K126" s="3"/>
      <c r="L126" s="3"/>
      <c r="M126" s="3"/>
      <c r="N126" s="3"/>
      <c r="O126" s="3"/>
      <c r="P126" s="3"/>
      <c r="Q126" s="3"/>
      <c r="R126" s="3"/>
      <c r="S126" s="3"/>
      <c r="T126" s="3"/>
      <c r="U126" s="3"/>
      <c r="V126" s="3"/>
      <c r="W126" s="3"/>
      <c r="X126" s="3"/>
      <c r="Y126" s="3"/>
      <c r="Z126" s="3"/>
    </row>
    <row r="127" spans="1:26" ht="22.5" customHeight="1" x14ac:dyDescent="0.85">
      <c r="A127" s="218" t="s">
        <v>473</v>
      </c>
      <c r="B127" s="148" t="s">
        <v>409</v>
      </c>
      <c r="C127" s="148" t="s">
        <v>410</v>
      </c>
      <c r="D127" s="204" t="s">
        <v>362</v>
      </c>
      <c r="E127" s="204" t="s">
        <v>117</v>
      </c>
      <c r="F127" s="204" t="s">
        <v>251</v>
      </c>
      <c r="G127" s="204" t="s">
        <v>362</v>
      </c>
      <c r="H127" s="147"/>
      <c r="I127" s="147"/>
      <c r="J127" s="147"/>
      <c r="K127" s="3"/>
      <c r="L127" s="3"/>
      <c r="M127" s="3"/>
      <c r="N127" s="3"/>
      <c r="O127" s="3"/>
      <c r="P127" s="3"/>
      <c r="Q127" s="3"/>
      <c r="R127" s="3"/>
      <c r="S127" s="3"/>
      <c r="T127" s="3"/>
      <c r="U127" s="3"/>
      <c r="V127" s="3"/>
      <c r="W127" s="3"/>
      <c r="X127" s="3"/>
      <c r="Y127" s="3"/>
      <c r="Z127" s="3"/>
    </row>
    <row r="128" spans="1:26" ht="22.5" customHeight="1" x14ac:dyDescent="0.85">
      <c r="A128" s="843" t="s">
        <v>474</v>
      </c>
      <c r="B128" s="175" t="s">
        <v>475</v>
      </c>
      <c r="C128" s="207">
        <f>'Bernalillo County Data'!C129+'Sandoval County Data'!C128+'Torrance County Data'!C128+'Valencia County Data'!C128</f>
        <v>-27412.9738515358</v>
      </c>
      <c r="D128" s="176" t="s">
        <v>412</v>
      </c>
      <c r="E128" s="176" t="s">
        <v>106</v>
      </c>
      <c r="F128" s="150">
        <f>'Bernalillo County Data'!F129+'Sandoval County Data'!F128+'Torrance County Data'!F128+'Valencia County Data'!F128</f>
        <v>105927.83478718037</v>
      </c>
      <c r="G128" s="176" t="s">
        <v>476</v>
      </c>
      <c r="H128" s="147"/>
      <c r="I128" s="147"/>
      <c r="J128" s="147"/>
      <c r="K128" s="3"/>
      <c r="L128" s="3"/>
      <c r="M128" s="3"/>
      <c r="N128" s="3"/>
      <c r="O128" s="3"/>
      <c r="P128" s="3"/>
      <c r="Q128" s="3"/>
      <c r="R128" s="3"/>
      <c r="S128" s="3"/>
      <c r="T128" s="3"/>
      <c r="U128" s="3"/>
      <c r="V128" s="3"/>
      <c r="W128" s="3"/>
      <c r="X128" s="3"/>
      <c r="Y128" s="3"/>
      <c r="Z128" s="3"/>
    </row>
    <row r="129" spans="1:26" ht="22.5" customHeight="1" x14ac:dyDescent="0.85">
      <c r="A129" s="797"/>
      <c r="B129" s="175" t="s">
        <v>477</v>
      </c>
      <c r="C129" s="207">
        <f>'Bernalillo County Data'!C130+'Sandoval County Data'!C129+'Torrance County Data'!C129+'Valencia County Data'!C129</f>
        <v>-2499.5124491785127</v>
      </c>
      <c r="D129" s="176" t="s">
        <v>412</v>
      </c>
      <c r="E129" s="176" t="s">
        <v>106</v>
      </c>
      <c r="F129" s="150">
        <f>'Bernalillo County Data'!F130+'Sandoval County Data'!F129+'Torrance County Data'!F129+'Valencia County Data'!F129</f>
        <v>9658.4902899999888</v>
      </c>
      <c r="G129" s="176" t="s">
        <v>476</v>
      </c>
      <c r="H129" s="147"/>
      <c r="I129" s="147"/>
      <c r="J129" s="147"/>
      <c r="K129" s="3"/>
      <c r="L129" s="3"/>
      <c r="M129" s="3"/>
      <c r="N129" s="3"/>
      <c r="O129" s="3"/>
      <c r="P129" s="3"/>
      <c r="Q129" s="3"/>
      <c r="R129" s="3"/>
      <c r="S129" s="3"/>
      <c r="T129" s="3"/>
      <c r="U129" s="3"/>
      <c r="V129" s="3"/>
      <c r="W129" s="3"/>
      <c r="X129" s="3"/>
      <c r="Y129" s="3"/>
      <c r="Z129" s="3"/>
    </row>
    <row r="130" spans="1:26" ht="22.5" customHeight="1" x14ac:dyDescent="0.85">
      <c r="A130" s="86" t="s">
        <v>478</v>
      </c>
      <c r="B130" s="175" t="s">
        <v>495</v>
      </c>
      <c r="C130" s="207">
        <f>'Bernalillo County Data'!C131+'Sandoval County Data'!C130+'Torrance County Data'!C130+'Valencia County Data'!C130</f>
        <v>-244.71654286589074</v>
      </c>
      <c r="D130" s="176" t="s">
        <v>412</v>
      </c>
      <c r="E130" s="176" t="s">
        <v>106</v>
      </c>
      <c r="F130" s="150">
        <f>'Bernalillo County Data'!F131+'Sandoval County Data'!F130+'Torrance County Data'!F130+'Valencia County Data'!F130</f>
        <v>376.15100000000001</v>
      </c>
      <c r="G130" s="176" t="s">
        <v>476</v>
      </c>
      <c r="H130" s="147"/>
      <c r="I130" s="147"/>
      <c r="J130" s="147"/>
      <c r="K130" s="3"/>
      <c r="L130" s="3"/>
      <c r="M130" s="3"/>
      <c r="N130" s="3"/>
      <c r="O130" s="3"/>
      <c r="P130" s="3"/>
      <c r="Q130" s="3"/>
      <c r="R130" s="3"/>
      <c r="S130" s="3"/>
      <c r="T130" s="3"/>
      <c r="U130" s="3"/>
      <c r="V130" s="3"/>
      <c r="W130" s="3"/>
      <c r="X130" s="3"/>
      <c r="Y130" s="3"/>
      <c r="Z130" s="3"/>
    </row>
    <row r="131" spans="1:26" ht="22.5" customHeight="1" x14ac:dyDescent="0.85">
      <c r="A131" s="220" t="s">
        <v>480</v>
      </c>
      <c r="B131" s="221"/>
      <c r="C131" s="222"/>
      <c r="D131" s="223"/>
      <c r="E131" s="223"/>
      <c r="F131" s="224"/>
      <c r="G131" s="225"/>
      <c r="H131" s="147"/>
      <c r="I131" s="147"/>
      <c r="J131" s="147"/>
      <c r="K131" s="3"/>
      <c r="L131" s="3"/>
      <c r="M131" s="3"/>
      <c r="N131" s="3"/>
      <c r="O131" s="3"/>
      <c r="P131" s="3"/>
      <c r="Q131" s="3"/>
      <c r="R131" s="3"/>
      <c r="S131" s="3"/>
      <c r="T131" s="3"/>
      <c r="U131" s="3"/>
      <c r="V131" s="3"/>
      <c r="W131" s="3"/>
      <c r="X131" s="3"/>
      <c r="Y131" s="3"/>
      <c r="Z131" s="3"/>
    </row>
    <row r="132" spans="1:26" ht="22.5" customHeight="1" x14ac:dyDescent="0.85">
      <c r="A132" s="130" t="s">
        <v>409</v>
      </c>
      <c r="B132" s="130" t="s">
        <v>410</v>
      </c>
      <c r="C132" s="174" t="s">
        <v>362</v>
      </c>
      <c r="D132" s="174" t="s">
        <v>117</v>
      </c>
      <c r="E132" s="174" t="s">
        <v>251</v>
      </c>
      <c r="F132" s="174" t="s">
        <v>362</v>
      </c>
      <c r="G132" s="225"/>
      <c r="H132" s="147"/>
      <c r="I132" s="147"/>
      <c r="J132" s="147"/>
      <c r="K132" s="3"/>
      <c r="L132" s="3"/>
      <c r="M132" s="3"/>
      <c r="N132" s="3"/>
      <c r="O132" s="3"/>
      <c r="P132" s="3"/>
      <c r="Q132" s="3"/>
      <c r="R132" s="3"/>
      <c r="S132" s="3"/>
      <c r="T132" s="3"/>
      <c r="U132" s="3"/>
      <c r="V132" s="3"/>
      <c r="W132" s="3"/>
      <c r="X132" s="3"/>
      <c r="Y132" s="3"/>
      <c r="Z132" s="3"/>
    </row>
    <row r="133" spans="1:26" ht="22.5" customHeight="1" x14ac:dyDescent="0.85">
      <c r="A133" s="175" t="s">
        <v>481</v>
      </c>
      <c r="B133" s="207">
        <f>'Bernalillo County Data'!B134+'Sandoval County Data'!B133+'Torrance County Data'!B133+'Valencia County Data'!B133</f>
        <v>-109484.31168240006</v>
      </c>
      <c r="C133" s="179" t="s">
        <v>412</v>
      </c>
      <c r="D133" s="179" t="s">
        <v>106</v>
      </c>
      <c r="E133" s="150">
        <f>'Bernalillo County Data'!E134+'Sandoval County Data'!E133+'Torrance County Data'!E133+'Valencia County Data'!E133</f>
        <v>36268.39</v>
      </c>
      <c r="F133" s="179" t="s">
        <v>482</v>
      </c>
      <c r="G133" s="225"/>
      <c r="H133" s="147"/>
      <c r="I133" s="147"/>
      <c r="J133" s="147"/>
      <c r="K133" s="3"/>
      <c r="L133" s="3"/>
      <c r="M133" s="3"/>
      <c r="N133" s="3"/>
      <c r="O133" s="3"/>
      <c r="P133" s="3"/>
      <c r="Q133" s="3"/>
      <c r="R133" s="3"/>
      <c r="S133" s="3"/>
      <c r="T133" s="3"/>
      <c r="U133" s="3"/>
      <c r="V133" s="3"/>
      <c r="W133" s="3"/>
      <c r="X133" s="3"/>
      <c r="Y133" s="3"/>
      <c r="Z133" s="3"/>
    </row>
    <row r="134" spans="1:26" ht="22.5" customHeight="1" x14ac:dyDescent="0.85">
      <c r="A134" s="186" t="s">
        <v>483</v>
      </c>
      <c r="B134" s="226">
        <f>B133+SUM(C128:C130)</f>
        <v>-139641.51452598028</v>
      </c>
      <c r="C134" s="188"/>
      <c r="D134" s="189"/>
      <c r="E134" s="189"/>
      <c r="F134" s="190"/>
      <c r="G134" s="225"/>
      <c r="H134" s="147"/>
      <c r="I134" s="147"/>
      <c r="J134" s="147"/>
      <c r="K134" s="3"/>
      <c r="L134" s="3"/>
      <c r="M134" s="3"/>
      <c r="N134" s="3"/>
      <c r="O134" s="3"/>
      <c r="P134" s="3"/>
      <c r="Q134" s="3"/>
      <c r="R134" s="3"/>
      <c r="S134" s="3"/>
      <c r="T134" s="3"/>
      <c r="U134" s="3"/>
      <c r="V134" s="3"/>
      <c r="W134" s="3"/>
      <c r="X134" s="3"/>
      <c r="Y134" s="3"/>
      <c r="Z134" s="3"/>
    </row>
    <row r="135" spans="1:26" ht="22.5" customHeight="1" x14ac:dyDescent="0.85">
      <c r="A135" s="166"/>
      <c r="B135" s="167"/>
      <c r="C135" s="167"/>
      <c r="D135" s="147"/>
      <c r="E135" s="147"/>
      <c r="F135" s="147"/>
      <c r="G135" s="147"/>
      <c r="H135" s="147"/>
      <c r="I135" s="147"/>
      <c r="J135" s="147"/>
      <c r="K135" s="3"/>
      <c r="L135" s="3"/>
      <c r="M135" s="3"/>
      <c r="N135" s="3"/>
      <c r="O135" s="3"/>
      <c r="P135" s="3"/>
      <c r="Q135" s="3"/>
      <c r="R135" s="3"/>
      <c r="S135" s="3"/>
      <c r="T135" s="3"/>
      <c r="U135" s="3"/>
      <c r="V135" s="3"/>
      <c r="W135" s="3"/>
      <c r="X135" s="3"/>
      <c r="Y135" s="3"/>
      <c r="Z135" s="3"/>
    </row>
    <row r="136" spans="1:26" ht="22.5" customHeight="1" x14ac:dyDescent="0.85">
      <c r="A136" s="166"/>
      <c r="B136" s="167"/>
      <c r="C136" s="167"/>
      <c r="D136" s="147"/>
      <c r="E136" s="147"/>
      <c r="F136" s="147"/>
      <c r="G136" s="147"/>
      <c r="H136" s="147"/>
      <c r="I136" s="147"/>
      <c r="J136" s="147"/>
      <c r="K136" s="3"/>
      <c r="L136" s="3"/>
      <c r="M136" s="3"/>
      <c r="N136" s="3"/>
      <c r="O136" s="3"/>
      <c r="P136" s="3"/>
      <c r="Q136" s="3"/>
      <c r="R136" s="3"/>
      <c r="S136" s="3"/>
      <c r="T136" s="3"/>
      <c r="U136" s="3"/>
      <c r="V136" s="3"/>
      <c r="W136" s="3"/>
      <c r="X136" s="3"/>
      <c r="Y136" s="3"/>
      <c r="Z136" s="3"/>
    </row>
    <row r="137" spans="1:26" ht="22.5" customHeight="1" x14ac:dyDescent="0.85">
      <c r="A137" s="166"/>
      <c r="B137" s="167"/>
      <c r="C137" s="167"/>
      <c r="D137" s="147"/>
      <c r="E137" s="147"/>
      <c r="F137" s="147"/>
      <c r="G137" s="147"/>
      <c r="H137" s="147"/>
      <c r="I137" s="147"/>
      <c r="J137" s="147"/>
      <c r="K137" s="3"/>
      <c r="L137" s="3"/>
      <c r="M137" s="3"/>
      <c r="N137" s="3"/>
      <c r="O137" s="3"/>
      <c r="P137" s="3"/>
      <c r="Q137" s="3"/>
      <c r="R137" s="3"/>
      <c r="S137" s="3"/>
      <c r="T137" s="3"/>
      <c r="U137" s="3"/>
      <c r="V137" s="3"/>
      <c r="W137" s="3"/>
      <c r="X137" s="3"/>
      <c r="Y137" s="3"/>
      <c r="Z137" s="3"/>
    </row>
    <row r="138" spans="1:26" ht="22.5" customHeight="1" x14ac:dyDescent="0.85">
      <c r="A138" s="166"/>
      <c r="B138" s="167"/>
      <c r="C138" s="167"/>
      <c r="D138" s="147"/>
      <c r="E138" s="147"/>
      <c r="F138" s="147"/>
      <c r="G138" s="147"/>
      <c r="H138" s="147"/>
      <c r="I138" s="147"/>
      <c r="J138" s="147"/>
      <c r="K138" s="3"/>
      <c r="L138" s="3"/>
      <c r="M138" s="3"/>
      <c r="N138" s="3"/>
      <c r="O138" s="3"/>
      <c r="P138" s="3"/>
      <c r="Q138" s="3"/>
      <c r="R138" s="3"/>
      <c r="S138" s="3"/>
      <c r="T138" s="3"/>
      <c r="U138" s="3"/>
      <c r="V138" s="3"/>
      <c r="W138" s="3"/>
      <c r="X138" s="3"/>
      <c r="Y138" s="3"/>
      <c r="Z138" s="3"/>
    </row>
    <row r="139" spans="1:26" ht="22.5" customHeight="1" x14ac:dyDescent="0.85">
      <c r="A139" s="166"/>
      <c r="B139" s="167"/>
      <c r="C139" s="167"/>
      <c r="D139" s="147"/>
      <c r="E139" s="147"/>
      <c r="F139" s="147"/>
      <c r="G139" s="147"/>
      <c r="H139" s="147"/>
      <c r="I139" s="147"/>
      <c r="J139" s="147"/>
      <c r="K139" s="3"/>
      <c r="L139" s="3"/>
      <c r="M139" s="3"/>
      <c r="N139" s="3"/>
      <c r="O139" s="3"/>
      <c r="P139" s="3"/>
      <c r="Q139" s="3"/>
      <c r="R139" s="3"/>
      <c r="S139" s="3"/>
      <c r="T139" s="3"/>
      <c r="U139" s="3"/>
      <c r="V139" s="3"/>
      <c r="W139" s="3"/>
      <c r="X139" s="3"/>
      <c r="Y139" s="3"/>
      <c r="Z139" s="3"/>
    </row>
    <row r="140" spans="1:26" ht="22.5" customHeight="1" x14ac:dyDescent="0.85">
      <c r="A140" s="166"/>
      <c r="B140" s="167"/>
      <c r="C140" s="167"/>
      <c r="D140" s="147"/>
      <c r="E140" s="147"/>
      <c r="F140" s="147"/>
      <c r="G140" s="147"/>
      <c r="H140" s="147"/>
      <c r="I140" s="147"/>
      <c r="J140" s="147"/>
      <c r="K140" s="3"/>
      <c r="L140" s="3"/>
      <c r="M140" s="3"/>
      <c r="N140" s="3"/>
      <c r="O140" s="3"/>
      <c r="P140" s="3"/>
      <c r="Q140" s="3"/>
      <c r="R140" s="3"/>
      <c r="S140" s="3"/>
      <c r="T140" s="3"/>
      <c r="U140" s="3"/>
      <c r="V140" s="3"/>
      <c r="W140" s="3"/>
      <c r="X140" s="3"/>
      <c r="Y140" s="3"/>
      <c r="Z140" s="3"/>
    </row>
    <row r="141" spans="1:26" ht="22.5" customHeight="1" x14ac:dyDescent="0.85">
      <c r="A141" s="166"/>
      <c r="B141" s="167"/>
      <c r="C141" s="167"/>
      <c r="D141" s="147"/>
      <c r="E141" s="147"/>
      <c r="F141" s="147"/>
      <c r="G141" s="147"/>
      <c r="H141" s="147"/>
      <c r="I141" s="147"/>
      <c r="J141" s="147"/>
      <c r="K141" s="3"/>
      <c r="L141" s="3"/>
      <c r="M141" s="3"/>
      <c r="N141" s="3"/>
      <c r="O141" s="3"/>
      <c r="P141" s="3"/>
      <c r="Q141" s="3"/>
      <c r="R141" s="3"/>
      <c r="S141" s="3"/>
      <c r="T141" s="3"/>
      <c r="U141" s="3"/>
      <c r="V141" s="3"/>
      <c r="W141" s="3"/>
      <c r="X141" s="3"/>
      <c r="Y141" s="3"/>
      <c r="Z141" s="3"/>
    </row>
    <row r="142" spans="1:26" ht="22.5" customHeight="1" x14ac:dyDescent="0.85">
      <c r="A142" s="166"/>
      <c r="B142" s="167"/>
      <c r="C142" s="167"/>
      <c r="D142" s="147"/>
      <c r="E142" s="147"/>
      <c r="F142" s="147"/>
      <c r="G142" s="147"/>
      <c r="H142" s="147"/>
      <c r="I142" s="147"/>
      <c r="J142" s="147"/>
      <c r="K142" s="3"/>
      <c r="L142" s="3"/>
      <c r="M142" s="3"/>
      <c r="N142" s="3"/>
      <c r="O142" s="3"/>
      <c r="P142" s="3"/>
      <c r="Q142" s="3"/>
      <c r="R142" s="3"/>
      <c r="S142" s="3"/>
      <c r="T142" s="3"/>
      <c r="U142" s="3"/>
      <c r="V142" s="3"/>
      <c r="W142" s="3"/>
      <c r="X142" s="3"/>
      <c r="Y142" s="3"/>
      <c r="Z142" s="3"/>
    </row>
    <row r="143" spans="1:26" ht="22.5" customHeight="1" x14ac:dyDescent="0.85">
      <c r="A143" s="166"/>
      <c r="B143" s="167"/>
      <c r="C143" s="167"/>
      <c r="D143" s="147"/>
      <c r="E143" s="147"/>
      <c r="F143" s="147"/>
      <c r="G143" s="147"/>
      <c r="H143" s="147"/>
      <c r="I143" s="147"/>
      <c r="J143" s="147"/>
      <c r="K143" s="3"/>
      <c r="L143" s="3"/>
      <c r="M143" s="3"/>
      <c r="N143" s="3"/>
      <c r="O143" s="3"/>
      <c r="P143" s="3"/>
      <c r="Q143" s="3"/>
      <c r="R143" s="3"/>
      <c r="S143" s="3"/>
      <c r="T143" s="3"/>
      <c r="U143" s="3"/>
      <c r="V143" s="3"/>
      <c r="W143" s="3"/>
      <c r="X143" s="3"/>
      <c r="Y143" s="3"/>
      <c r="Z143" s="3"/>
    </row>
    <row r="144" spans="1:26" ht="22.5" customHeight="1" x14ac:dyDescent="0.85">
      <c r="A144" s="166"/>
      <c r="B144" s="167"/>
      <c r="C144" s="167"/>
      <c r="D144" s="147"/>
      <c r="E144" s="147"/>
      <c r="F144" s="147"/>
      <c r="G144" s="147"/>
      <c r="H144" s="147"/>
      <c r="I144" s="147"/>
      <c r="J144" s="147"/>
      <c r="K144" s="3"/>
      <c r="L144" s="3"/>
      <c r="M144" s="3"/>
      <c r="N144" s="3"/>
      <c r="O144" s="3"/>
      <c r="P144" s="3"/>
      <c r="Q144" s="3"/>
      <c r="R144" s="3"/>
      <c r="S144" s="3"/>
      <c r="T144" s="3"/>
      <c r="U144" s="3"/>
      <c r="V144" s="3"/>
      <c r="W144" s="3"/>
      <c r="X144" s="3"/>
      <c r="Y144" s="3"/>
      <c r="Z144" s="3"/>
    </row>
    <row r="145" spans="1:26" ht="22.5" customHeight="1" x14ac:dyDescent="0.85">
      <c r="A145" s="166"/>
      <c r="B145" s="167"/>
      <c r="C145" s="167"/>
      <c r="D145" s="147"/>
      <c r="E145" s="147"/>
      <c r="F145" s="147"/>
      <c r="G145" s="147"/>
      <c r="H145" s="147"/>
      <c r="I145" s="147"/>
      <c r="J145" s="147"/>
      <c r="K145" s="3"/>
      <c r="L145" s="3"/>
      <c r="M145" s="3"/>
      <c r="N145" s="3"/>
      <c r="O145" s="3"/>
      <c r="P145" s="3"/>
      <c r="Q145" s="3"/>
      <c r="R145" s="3"/>
      <c r="S145" s="3"/>
      <c r="T145" s="3"/>
      <c r="U145" s="3"/>
      <c r="V145" s="3"/>
      <c r="W145" s="3"/>
      <c r="X145" s="3"/>
      <c r="Y145" s="3"/>
      <c r="Z145" s="3"/>
    </row>
    <row r="146" spans="1:26" ht="22.5" customHeight="1" x14ac:dyDescent="0.85">
      <c r="A146" s="166"/>
      <c r="B146" s="167"/>
      <c r="C146" s="167"/>
      <c r="D146" s="147"/>
      <c r="E146" s="147"/>
      <c r="F146" s="147"/>
      <c r="G146" s="147"/>
      <c r="H146" s="147"/>
      <c r="I146" s="147"/>
      <c r="J146" s="147"/>
      <c r="K146" s="3"/>
      <c r="L146" s="3"/>
      <c r="M146" s="3"/>
      <c r="N146" s="3"/>
      <c r="O146" s="3"/>
      <c r="P146" s="3"/>
      <c r="Q146" s="3"/>
      <c r="R146" s="3"/>
      <c r="S146" s="3"/>
      <c r="T146" s="3"/>
      <c r="U146" s="3"/>
      <c r="V146" s="3"/>
      <c r="W146" s="3"/>
      <c r="X146" s="3"/>
      <c r="Y146" s="3"/>
      <c r="Z146" s="3"/>
    </row>
    <row r="147" spans="1:26" ht="22.5" customHeight="1" x14ac:dyDescent="0.85">
      <c r="A147" s="166"/>
      <c r="B147" s="167"/>
      <c r="C147" s="167"/>
      <c r="D147" s="147"/>
      <c r="E147" s="147"/>
      <c r="F147" s="147"/>
      <c r="G147" s="147"/>
      <c r="H147" s="147"/>
      <c r="I147" s="147"/>
      <c r="J147" s="147"/>
      <c r="K147" s="3"/>
      <c r="L147" s="3"/>
      <c r="M147" s="3"/>
      <c r="N147" s="3"/>
      <c r="O147" s="3"/>
      <c r="P147" s="3"/>
      <c r="Q147" s="3"/>
      <c r="R147" s="3"/>
      <c r="S147" s="3"/>
      <c r="T147" s="3"/>
      <c r="U147" s="3"/>
      <c r="V147" s="3"/>
      <c r="W147" s="3"/>
      <c r="X147" s="3"/>
      <c r="Y147" s="3"/>
      <c r="Z147" s="3"/>
    </row>
    <row r="148" spans="1:26" ht="22.5" customHeight="1" x14ac:dyDescent="0.85">
      <c r="A148" s="166"/>
      <c r="B148" s="167"/>
      <c r="C148" s="167"/>
      <c r="D148" s="147"/>
      <c r="E148" s="147"/>
      <c r="F148" s="147"/>
      <c r="G148" s="147"/>
      <c r="H148" s="147"/>
      <c r="I148" s="147"/>
      <c r="J148" s="147"/>
      <c r="K148" s="3"/>
      <c r="L148" s="3"/>
      <c r="M148" s="3"/>
      <c r="N148" s="3"/>
      <c r="O148" s="3"/>
      <c r="P148" s="3"/>
      <c r="Q148" s="3"/>
      <c r="R148" s="3"/>
      <c r="S148" s="3"/>
      <c r="T148" s="3"/>
      <c r="U148" s="3"/>
      <c r="V148" s="3"/>
      <c r="W148" s="3"/>
      <c r="X148" s="3"/>
      <c r="Y148" s="3"/>
      <c r="Z148" s="3"/>
    </row>
    <row r="149" spans="1:26" ht="22.5" customHeight="1" x14ac:dyDescent="0.85">
      <c r="A149" s="166"/>
      <c r="B149" s="167"/>
      <c r="C149" s="167"/>
      <c r="D149" s="147"/>
      <c r="E149" s="147"/>
      <c r="F149" s="147"/>
      <c r="G149" s="147"/>
      <c r="H149" s="147"/>
      <c r="I149" s="147"/>
      <c r="J149" s="147"/>
      <c r="K149" s="3"/>
      <c r="L149" s="3"/>
      <c r="M149" s="3"/>
      <c r="N149" s="3"/>
      <c r="O149" s="3"/>
      <c r="P149" s="3"/>
      <c r="Q149" s="3"/>
      <c r="R149" s="3"/>
      <c r="S149" s="3"/>
      <c r="T149" s="3"/>
      <c r="U149" s="3"/>
      <c r="V149" s="3"/>
      <c r="W149" s="3"/>
      <c r="X149" s="3"/>
      <c r="Y149" s="3"/>
      <c r="Z149" s="3"/>
    </row>
    <row r="150" spans="1:26" ht="22.5" customHeight="1" x14ac:dyDescent="0.85">
      <c r="A150" s="166"/>
      <c r="B150" s="167"/>
      <c r="C150" s="167"/>
      <c r="D150" s="147"/>
      <c r="E150" s="147"/>
      <c r="F150" s="147"/>
      <c r="G150" s="147"/>
      <c r="H150" s="147"/>
      <c r="I150" s="147"/>
      <c r="J150" s="147"/>
      <c r="K150" s="3"/>
      <c r="L150" s="3"/>
      <c r="M150" s="3"/>
      <c r="N150" s="3"/>
      <c r="O150" s="3"/>
      <c r="P150" s="3"/>
      <c r="Q150" s="3"/>
      <c r="R150" s="3"/>
      <c r="S150" s="3"/>
      <c r="T150" s="3"/>
      <c r="U150" s="3"/>
      <c r="V150" s="3"/>
      <c r="W150" s="3"/>
      <c r="X150" s="3"/>
      <c r="Y150" s="3"/>
      <c r="Z150" s="3"/>
    </row>
    <row r="151" spans="1:26" ht="22.5" customHeight="1" x14ac:dyDescent="0.85">
      <c r="A151" s="166"/>
      <c r="B151" s="167"/>
      <c r="C151" s="167"/>
      <c r="D151" s="147"/>
      <c r="E151" s="147"/>
      <c r="F151" s="147"/>
      <c r="G151" s="147"/>
      <c r="H151" s="147"/>
      <c r="I151" s="147"/>
      <c r="J151" s="147"/>
      <c r="K151" s="3"/>
      <c r="L151" s="3"/>
      <c r="M151" s="3"/>
      <c r="N151" s="3"/>
      <c r="O151" s="3"/>
      <c r="P151" s="3"/>
      <c r="Q151" s="3"/>
      <c r="R151" s="3"/>
      <c r="S151" s="3"/>
      <c r="T151" s="3"/>
      <c r="U151" s="3"/>
      <c r="V151" s="3"/>
      <c r="W151" s="3"/>
      <c r="X151" s="3"/>
      <c r="Y151" s="3"/>
      <c r="Z151" s="3"/>
    </row>
    <row r="152" spans="1:26" ht="22.5" customHeight="1" x14ac:dyDescent="0.85">
      <c r="A152" s="166"/>
      <c r="B152" s="167"/>
      <c r="C152" s="167"/>
      <c r="D152" s="147"/>
      <c r="E152" s="147"/>
      <c r="F152" s="147"/>
      <c r="G152" s="147"/>
      <c r="H152" s="147"/>
      <c r="I152" s="147"/>
      <c r="J152" s="147"/>
      <c r="K152" s="3"/>
      <c r="L152" s="3"/>
      <c r="M152" s="3"/>
      <c r="N152" s="3"/>
      <c r="O152" s="3"/>
      <c r="P152" s="3"/>
      <c r="Q152" s="3"/>
      <c r="R152" s="3"/>
      <c r="S152" s="3"/>
      <c r="T152" s="3"/>
      <c r="U152" s="3"/>
      <c r="V152" s="3"/>
      <c r="W152" s="3"/>
      <c r="X152" s="3"/>
      <c r="Y152" s="3"/>
      <c r="Z152" s="3"/>
    </row>
    <row r="153" spans="1:26" ht="22.5" customHeight="1" x14ac:dyDescent="0.85">
      <c r="A153" s="166"/>
      <c r="B153" s="167"/>
      <c r="C153" s="167"/>
      <c r="D153" s="147"/>
      <c r="E153" s="147"/>
      <c r="F153" s="147"/>
      <c r="G153" s="147"/>
      <c r="H153" s="147"/>
      <c r="I153" s="147"/>
      <c r="J153" s="147"/>
      <c r="K153" s="3"/>
      <c r="L153" s="3"/>
      <c r="M153" s="3"/>
      <c r="N153" s="3"/>
      <c r="O153" s="3"/>
      <c r="P153" s="3"/>
      <c r="Q153" s="3"/>
      <c r="R153" s="3"/>
      <c r="S153" s="3"/>
      <c r="T153" s="3"/>
      <c r="U153" s="3"/>
      <c r="V153" s="3"/>
      <c r="W153" s="3"/>
      <c r="X153" s="3"/>
      <c r="Y153" s="3"/>
      <c r="Z153" s="3"/>
    </row>
    <row r="154" spans="1:26" ht="22.5" customHeight="1" x14ac:dyDescent="0.85">
      <c r="A154" s="166"/>
      <c r="B154" s="167"/>
      <c r="C154" s="167"/>
      <c r="D154" s="147"/>
      <c r="E154" s="147"/>
      <c r="F154" s="147"/>
      <c r="G154" s="147"/>
      <c r="H154" s="147"/>
      <c r="I154" s="147"/>
      <c r="J154" s="147"/>
      <c r="K154" s="3"/>
      <c r="L154" s="3"/>
      <c r="M154" s="3"/>
      <c r="N154" s="3"/>
      <c r="O154" s="3"/>
      <c r="P154" s="3"/>
      <c r="Q154" s="3"/>
      <c r="R154" s="3"/>
      <c r="S154" s="3"/>
      <c r="T154" s="3"/>
      <c r="U154" s="3"/>
      <c r="V154" s="3"/>
      <c r="W154" s="3"/>
      <c r="X154" s="3"/>
      <c r="Y154" s="3"/>
      <c r="Z154" s="3"/>
    </row>
    <row r="155" spans="1:26" ht="22.5" customHeight="1" x14ac:dyDescent="0.85">
      <c r="A155" s="166"/>
      <c r="B155" s="167"/>
      <c r="C155" s="167"/>
      <c r="D155" s="147"/>
      <c r="E155" s="147"/>
      <c r="F155" s="147"/>
      <c r="G155" s="147"/>
      <c r="H155" s="147"/>
      <c r="I155" s="147"/>
      <c r="J155" s="147"/>
      <c r="K155" s="3"/>
      <c r="L155" s="3"/>
      <c r="M155" s="3"/>
      <c r="N155" s="3"/>
      <c r="O155" s="3"/>
      <c r="P155" s="3"/>
      <c r="Q155" s="3"/>
      <c r="R155" s="3"/>
      <c r="S155" s="3"/>
      <c r="T155" s="3"/>
      <c r="U155" s="3"/>
      <c r="V155" s="3"/>
      <c r="W155" s="3"/>
      <c r="X155" s="3"/>
      <c r="Y155" s="3"/>
      <c r="Z155" s="3"/>
    </row>
    <row r="156" spans="1:26" ht="22.5" customHeight="1" x14ac:dyDescent="0.85">
      <c r="A156" s="166"/>
      <c r="B156" s="167"/>
      <c r="C156" s="167"/>
      <c r="D156" s="147"/>
      <c r="E156" s="147"/>
      <c r="F156" s="147"/>
      <c r="G156" s="147"/>
      <c r="H156" s="147"/>
      <c r="I156" s="147"/>
      <c r="J156" s="147"/>
      <c r="K156" s="3"/>
      <c r="L156" s="3"/>
      <c r="M156" s="3"/>
      <c r="N156" s="3"/>
      <c r="O156" s="3"/>
      <c r="P156" s="3"/>
      <c r="Q156" s="3"/>
      <c r="R156" s="3"/>
      <c r="S156" s="3"/>
      <c r="T156" s="3"/>
      <c r="U156" s="3"/>
      <c r="V156" s="3"/>
      <c r="W156" s="3"/>
      <c r="X156" s="3"/>
      <c r="Y156" s="3"/>
      <c r="Z156" s="3"/>
    </row>
    <row r="157" spans="1:26" ht="22.5" customHeight="1" x14ac:dyDescent="0.85">
      <c r="A157" s="166"/>
      <c r="B157" s="167"/>
      <c r="C157" s="167"/>
      <c r="D157" s="147"/>
      <c r="E157" s="147"/>
      <c r="F157" s="147"/>
      <c r="G157" s="147"/>
      <c r="H157" s="147"/>
      <c r="I157" s="147"/>
      <c r="J157" s="147"/>
      <c r="K157" s="3"/>
      <c r="L157" s="3"/>
      <c r="M157" s="3"/>
      <c r="N157" s="3"/>
      <c r="O157" s="3"/>
      <c r="P157" s="3"/>
      <c r="Q157" s="3"/>
      <c r="R157" s="3"/>
      <c r="S157" s="3"/>
      <c r="T157" s="3"/>
      <c r="U157" s="3"/>
      <c r="V157" s="3"/>
      <c r="W157" s="3"/>
      <c r="X157" s="3"/>
      <c r="Y157" s="3"/>
      <c r="Z157" s="3"/>
    </row>
    <row r="158" spans="1:26" ht="22.5" customHeight="1" x14ac:dyDescent="0.85">
      <c r="A158" s="166"/>
      <c r="B158" s="167"/>
      <c r="C158" s="167"/>
      <c r="D158" s="147"/>
      <c r="E158" s="147"/>
      <c r="F158" s="147"/>
      <c r="G158" s="147"/>
      <c r="H158" s="147"/>
      <c r="I158" s="147"/>
      <c r="J158" s="147"/>
      <c r="K158" s="3"/>
      <c r="L158" s="3"/>
      <c r="M158" s="3"/>
      <c r="N158" s="3"/>
      <c r="O158" s="3"/>
      <c r="P158" s="3"/>
      <c r="Q158" s="3"/>
      <c r="R158" s="3"/>
      <c r="S158" s="3"/>
      <c r="T158" s="3"/>
      <c r="U158" s="3"/>
      <c r="V158" s="3"/>
      <c r="W158" s="3"/>
      <c r="X158" s="3"/>
      <c r="Y158" s="3"/>
      <c r="Z158" s="3"/>
    </row>
    <row r="159" spans="1:26" ht="22.5" customHeight="1" x14ac:dyDescent="0.85">
      <c r="A159" s="166"/>
      <c r="B159" s="167"/>
      <c r="C159" s="167"/>
      <c r="D159" s="147"/>
      <c r="E159" s="147"/>
      <c r="F159" s="147"/>
      <c r="G159" s="147"/>
      <c r="H159" s="147"/>
      <c r="I159" s="147"/>
      <c r="J159" s="147"/>
      <c r="K159" s="3"/>
      <c r="L159" s="3"/>
      <c r="M159" s="3"/>
      <c r="N159" s="3"/>
      <c r="O159" s="3"/>
      <c r="P159" s="3"/>
      <c r="Q159" s="3"/>
      <c r="R159" s="3"/>
      <c r="S159" s="3"/>
      <c r="T159" s="3"/>
      <c r="U159" s="3"/>
      <c r="V159" s="3"/>
      <c r="W159" s="3"/>
      <c r="X159" s="3"/>
      <c r="Y159" s="3"/>
      <c r="Z159" s="3"/>
    </row>
    <row r="160" spans="1:26" ht="22.5" customHeight="1" x14ac:dyDescent="0.85">
      <c r="A160" s="166"/>
      <c r="B160" s="167"/>
      <c r="C160" s="167"/>
      <c r="D160" s="147"/>
      <c r="E160" s="147"/>
      <c r="F160" s="147"/>
      <c r="G160" s="147"/>
      <c r="H160" s="147"/>
      <c r="I160" s="147"/>
      <c r="J160" s="147"/>
      <c r="K160" s="3"/>
      <c r="L160" s="3"/>
      <c r="M160" s="3"/>
      <c r="N160" s="3"/>
      <c r="O160" s="3"/>
      <c r="P160" s="3"/>
      <c r="Q160" s="3"/>
      <c r="R160" s="3"/>
      <c r="S160" s="3"/>
      <c r="T160" s="3"/>
      <c r="U160" s="3"/>
      <c r="V160" s="3"/>
      <c r="W160" s="3"/>
      <c r="X160" s="3"/>
      <c r="Y160" s="3"/>
      <c r="Z160" s="3"/>
    </row>
    <row r="161" spans="1:26" ht="22.5" customHeight="1" x14ac:dyDescent="0.85">
      <c r="A161" s="166"/>
      <c r="B161" s="167"/>
      <c r="C161" s="167"/>
      <c r="D161" s="147"/>
      <c r="E161" s="147"/>
      <c r="F161" s="147"/>
      <c r="G161" s="147"/>
      <c r="H161" s="147"/>
      <c r="I161" s="147"/>
      <c r="J161" s="147"/>
      <c r="K161" s="3"/>
      <c r="L161" s="3"/>
      <c r="M161" s="3"/>
      <c r="N161" s="3"/>
      <c r="O161" s="3"/>
      <c r="P161" s="3"/>
      <c r="Q161" s="3"/>
      <c r="R161" s="3"/>
      <c r="S161" s="3"/>
      <c r="T161" s="3"/>
      <c r="U161" s="3"/>
      <c r="V161" s="3"/>
      <c r="W161" s="3"/>
      <c r="X161" s="3"/>
      <c r="Y161" s="3"/>
      <c r="Z161" s="3"/>
    </row>
    <row r="162" spans="1:26" ht="22.5" customHeight="1" x14ac:dyDescent="0.85">
      <c r="A162" s="166"/>
      <c r="B162" s="167"/>
      <c r="C162" s="167"/>
      <c r="D162" s="147"/>
      <c r="E162" s="147"/>
      <c r="F162" s="147"/>
      <c r="G162" s="147"/>
      <c r="H162" s="147"/>
      <c r="I162" s="147"/>
      <c r="J162" s="147"/>
      <c r="K162" s="3"/>
      <c r="L162" s="3"/>
      <c r="M162" s="3"/>
      <c r="N162" s="3"/>
      <c r="O162" s="3"/>
      <c r="P162" s="3"/>
      <c r="Q162" s="3"/>
      <c r="R162" s="3"/>
      <c r="S162" s="3"/>
      <c r="T162" s="3"/>
      <c r="U162" s="3"/>
      <c r="V162" s="3"/>
      <c r="W162" s="3"/>
      <c r="X162" s="3"/>
      <c r="Y162" s="3"/>
      <c r="Z162" s="3"/>
    </row>
    <row r="163" spans="1:26" ht="22.5" customHeight="1" x14ac:dyDescent="0.85">
      <c r="A163" s="166"/>
      <c r="B163" s="167"/>
      <c r="C163" s="167"/>
      <c r="D163" s="147"/>
      <c r="E163" s="147"/>
      <c r="F163" s="147"/>
      <c r="G163" s="147"/>
      <c r="H163" s="147"/>
      <c r="I163" s="147"/>
      <c r="J163" s="147"/>
      <c r="K163" s="3"/>
      <c r="L163" s="3"/>
      <c r="M163" s="3"/>
      <c r="N163" s="3"/>
      <c r="O163" s="3"/>
      <c r="P163" s="3"/>
      <c r="Q163" s="3"/>
      <c r="R163" s="3"/>
      <c r="S163" s="3"/>
      <c r="T163" s="3"/>
      <c r="U163" s="3"/>
      <c r="V163" s="3"/>
      <c r="W163" s="3"/>
      <c r="X163" s="3"/>
      <c r="Y163" s="3"/>
      <c r="Z163" s="3"/>
    </row>
    <row r="164" spans="1:26" ht="22.5" customHeight="1" x14ac:dyDescent="0.85">
      <c r="A164" s="166"/>
      <c r="B164" s="167"/>
      <c r="C164" s="167"/>
      <c r="D164" s="147"/>
      <c r="E164" s="147"/>
      <c r="F164" s="147"/>
      <c r="G164" s="147"/>
      <c r="H164" s="147"/>
      <c r="I164" s="147"/>
      <c r="J164" s="147"/>
      <c r="K164" s="3"/>
      <c r="L164" s="3"/>
      <c r="M164" s="3"/>
      <c r="N164" s="3"/>
      <c r="O164" s="3"/>
      <c r="P164" s="3"/>
      <c r="Q164" s="3"/>
      <c r="R164" s="3"/>
      <c r="S164" s="3"/>
      <c r="T164" s="3"/>
      <c r="U164" s="3"/>
      <c r="V164" s="3"/>
      <c r="W164" s="3"/>
      <c r="X164" s="3"/>
      <c r="Y164" s="3"/>
      <c r="Z164" s="3"/>
    </row>
    <row r="165" spans="1:26" ht="22.5" customHeight="1" x14ac:dyDescent="0.85">
      <c r="A165" s="166"/>
      <c r="B165" s="167"/>
      <c r="C165" s="167"/>
      <c r="D165" s="147"/>
      <c r="E165" s="147"/>
      <c r="F165" s="147"/>
      <c r="G165" s="147"/>
      <c r="H165" s="147"/>
      <c r="I165" s="147"/>
      <c r="J165" s="147"/>
      <c r="K165" s="3"/>
      <c r="L165" s="3"/>
      <c r="M165" s="3"/>
      <c r="N165" s="3"/>
      <c r="O165" s="3"/>
      <c r="P165" s="3"/>
      <c r="Q165" s="3"/>
      <c r="R165" s="3"/>
      <c r="S165" s="3"/>
      <c r="T165" s="3"/>
      <c r="U165" s="3"/>
      <c r="V165" s="3"/>
      <c r="W165" s="3"/>
      <c r="X165" s="3"/>
      <c r="Y165" s="3"/>
      <c r="Z165" s="3"/>
    </row>
    <row r="166" spans="1:26" ht="22.5" customHeight="1" x14ac:dyDescent="0.85">
      <c r="A166" s="166"/>
      <c r="B166" s="167"/>
      <c r="C166" s="167"/>
      <c r="D166" s="147"/>
      <c r="E166" s="147"/>
      <c r="F166" s="147"/>
      <c r="G166" s="147"/>
      <c r="H166" s="147"/>
      <c r="I166" s="147"/>
      <c r="J166" s="147"/>
      <c r="K166" s="3"/>
      <c r="L166" s="3"/>
      <c r="M166" s="3"/>
      <c r="N166" s="3"/>
      <c r="O166" s="3"/>
      <c r="P166" s="3"/>
      <c r="Q166" s="3"/>
      <c r="R166" s="3"/>
      <c r="S166" s="3"/>
      <c r="T166" s="3"/>
      <c r="U166" s="3"/>
      <c r="V166" s="3"/>
      <c r="W166" s="3"/>
      <c r="X166" s="3"/>
      <c r="Y166" s="3"/>
      <c r="Z166" s="3"/>
    </row>
    <row r="167" spans="1:26" ht="22.5" customHeight="1" x14ac:dyDescent="0.85">
      <c r="A167" s="166"/>
      <c r="B167" s="167"/>
      <c r="C167" s="167"/>
      <c r="D167" s="147"/>
      <c r="E167" s="147"/>
      <c r="F167" s="147"/>
      <c r="G167" s="147"/>
      <c r="H167" s="147"/>
      <c r="I167" s="147"/>
      <c r="J167" s="147"/>
      <c r="K167" s="3"/>
      <c r="L167" s="3"/>
      <c r="M167" s="3"/>
      <c r="N167" s="3"/>
      <c r="O167" s="3"/>
      <c r="P167" s="3"/>
      <c r="Q167" s="3"/>
      <c r="R167" s="3"/>
      <c r="S167" s="3"/>
      <c r="T167" s="3"/>
      <c r="U167" s="3"/>
      <c r="V167" s="3"/>
      <c r="W167" s="3"/>
      <c r="X167" s="3"/>
      <c r="Y167" s="3"/>
      <c r="Z167" s="3"/>
    </row>
    <row r="168" spans="1:26" ht="22.5" customHeight="1" x14ac:dyDescent="0.85">
      <c r="A168" s="166"/>
      <c r="B168" s="167"/>
      <c r="C168" s="167"/>
      <c r="D168" s="147"/>
      <c r="E168" s="147"/>
      <c r="F168" s="147"/>
      <c r="G168" s="147"/>
      <c r="H168" s="147"/>
      <c r="I168" s="147"/>
      <c r="J168" s="147"/>
      <c r="K168" s="3"/>
      <c r="L168" s="3"/>
      <c r="M168" s="3"/>
      <c r="N168" s="3"/>
      <c r="O168" s="3"/>
      <c r="P168" s="3"/>
      <c r="Q168" s="3"/>
      <c r="R168" s="3"/>
      <c r="S168" s="3"/>
      <c r="T168" s="3"/>
      <c r="U168" s="3"/>
      <c r="V168" s="3"/>
      <c r="W168" s="3"/>
      <c r="X168" s="3"/>
      <c r="Y168" s="3"/>
      <c r="Z168" s="3"/>
    </row>
    <row r="169" spans="1:26" ht="22.5" customHeight="1" x14ac:dyDescent="0.85">
      <c r="A169" s="166"/>
      <c r="B169" s="167"/>
      <c r="C169" s="167"/>
      <c r="D169" s="147"/>
      <c r="E169" s="147"/>
      <c r="F169" s="147"/>
      <c r="G169" s="147"/>
      <c r="H169" s="147"/>
      <c r="I169" s="147"/>
      <c r="J169" s="147"/>
      <c r="K169" s="3"/>
      <c r="L169" s="3"/>
      <c r="M169" s="3"/>
      <c r="N169" s="3"/>
      <c r="O169" s="3"/>
      <c r="P169" s="3"/>
      <c r="Q169" s="3"/>
      <c r="R169" s="3"/>
      <c r="S169" s="3"/>
      <c r="T169" s="3"/>
      <c r="U169" s="3"/>
      <c r="V169" s="3"/>
      <c r="W169" s="3"/>
      <c r="X169" s="3"/>
      <c r="Y169" s="3"/>
      <c r="Z169" s="3"/>
    </row>
    <row r="170" spans="1:26" ht="22.5" customHeight="1" x14ac:dyDescent="0.85">
      <c r="A170" s="166"/>
      <c r="B170" s="167"/>
      <c r="C170" s="167"/>
      <c r="D170" s="147"/>
      <c r="E170" s="147"/>
      <c r="F170" s="147"/>
      <c r="G170" s="147"/>
      <c r="H170" s="147"/>
      <c r="I170" s="147"/>
      <c r="J170" s="147"/>
      <c r="K170" s="3"/>
      <c r="L170" s="3"/>
      <c r="M170" s="3"/>
      <c r="N170" s="3"/>
      <c r="O170" s="3"/>
      <c r="P170" s="3"/>
      <c r="Q170" s="3"/>
      <c r="R170" s="3"/>
      <c r="S170" s="3"/>
      <c r="T170" s="3"/>
      <c r="U170" s="3"/>
      <c r="V170" s="3"/>
      <c r="W170" s="3"/>
      <c r="X170" s="3"/>
      <c r="Y170" s="3"/>
      <c r="Z170" s="3"/>
    </row>
    <row r="171" spans="1:26" ht="22.5" customHeight="1" x14ac:dyDescent="0.85">
      <c r="A171" s="166"/>
      <c r="B171" s="167"/>
      <c r="C171" s="167"/>
      <c r="D171" s="147"/>
      <c r="E171" s="147"/>
      <c r="F171" s="147"/>
      <c r="G171" s="147"/>
      <c r="H171" s="147"/>
      <c r="I171" s="147"/>
      <c r="J171" s="147"/>
      <c r="K171" s="3"/>
      <c r="L171" s="3"/>
      <c r="M171" s="3"/>
      <c r="N171" s="3"/>
      <c r="O171" s="3"/>
      <c r="P171" s="3"/>
      <c r="Q171" s="3"/>
      <c r="R171" s="3"/>
      <c r="S171" s="3"/>
      <c r="T171" s="3"/>
      <c r="U171" s="3"/>
      <c r="V171" s="3"/>
      <c r="W171" s="3"/>
      <c r="X171" s="3"/>
      <c r="Y171" s="3"/>
      <c r="Z171" s="3"/>
    </row>
    <row r="172" spans="1:26" ht="22.5" customHeight="1" x14ac:dyDescent="0.85">
      <c r="A172" s="166"/>
      <c r="B172" s="167"/>
      <c r="C172" s="167"/>
      <c r="D172" s="147"/>
      <c r="E172" s="147"/>
      <c r="F172" s="147"/>
      <c r="G172" s="147"/>
      <c r="H172" s="147"/>
      <c r="I172" s="147"/>
      <c r="J172" s="147"/>
      <c r="K172" s="3"/>
      <c r="L172" s="3"/>
      <c r="M172" s="3"/>
      <c r="N172" s="3"/>
      <c r="O172" s="3"/>
      <c r="P172" s="3"/>
      <c r="Q172" s="3"/>
      <c r="R172" s="3"/>
      <c r="S172" s="3"/>
      <c r="T172" s="3"/>
      <c r="U172" s="3"/>
      <c r="V172" s="3"/>
      <c r="W172" s="3"/>
      <c r="X172" s="3"/>
      <c r="Y172" s="3"/>
      <c r="Z172" s="3"/>
    </row>
    <row r="173" spans="1:26" ht="22.5" customHeight="1" x14ac:dyDescent="0.85">
      <c r="A173" s="166"/>
      <c r="B173" s="167"/>
      <c r="C173" s="167"/>
      <c r="D173" s="147"/>
      <c r="E173" s="147"/>
      <c r="F173" s="147"/>
      <c r="G173" s="147"/>
      <c r="H173" s="147"/>
      <c r="I173" s="147"/>
      <c r="J173" s="147"/>
      <c r="K173" s="3"/>
      <c r="L173" s="3"/>
      <c r="M173" s="3"/>
      <c r="N173" s="3"/>
      <c r="O173" s="3"/>
      <c r="P173" s="3"/>
      <c r="Q173" s="3"/>
      <c r="R173" s="3"/>
      <c r="S173" s="3"/>
      <c r="T173" s="3"/>
      <c r="U173" s="3"/>
      <c r="V173" s="3"/>
      <c r="W173" s="3"/>
      <c r="X173" s="3"/>
      <c r="Y173" s="3"/>
      <c r="Z173" s="3"/>
    </row>
    <row r="174" spans="1:26" ht="22.5" customHeight="1" x14ac:dyDescent="0.85">
      <c r="A174" s="166"/>
      <c r="B174" s="167"/>
      <c r="C174" s="167"/>
      <c r="D174" s="147"/>
      <c r="E174" s="147"/>
      <c r="F174" s="147"/>
      <c r="G174" s="147"/>
      <c r="H174" s="147"/>
      <c r="I174" s="147"/>
      <c r="J174" s="147"/>
      <c r="K174" s="3"/>
      <c r="L174" s="3"/>
      <c r="M174" s="3"/>
      <c r="N174" s="3"/>
      <c r="O174" s="3"/>
      <c r="P174" s="3"/>
      <c r="Q174" s="3"/>
      <c r="R174" s="3"/>
      <c r="S174" s="3"/>
      <c r="T174" s="3"/>
      <c r="U174" s="3"/>
      <c r="V174" s="3"/>
      <c r="W174" s="3"/>
      <c r="X174" s="3"/>
      <c r="Y174" s="3"/>
      <c r="Z174" s="3"/>
    </row>
    <row r="175" spans="1:26" ht="22.5" customHeight="1" x14ac:dyDescent="0.85">
      <c r="A175" s="166"/>
      <c r="B175" s="167"/>
      <c r="C175" s="167"/>
      <c r="D175" s="147"/>
      <c r="E175" s="147"/>
      <c r="F175" s="147"/>
      <c r="G175" s="147"/>
      <c r="H175" s="147"/>
      <c r="I175" s="147"/>
      <c r="J175" s="147"/>
      <c r="K175" s="3"/>
      <c r="L175" s="3"/>
      <c r="M175" s="3"/>
      <c r="N175" s="3"/>
      <c r="O175" s="3"/>
      <c r="P175" s="3"/>
      <c r="Q175" s="3"/>
      <c r="R175" s="3"/>
      <c r="S175" s="3"/>
      <c r="T175" s="3"/>
      <c r="U175" s="3"/>
      <c r="V175" s="3"/>
      <c r="W175" s="3"/>
      <c r="X175" s="3"/>
      <c r="Y175" s="3"/>
      <c r="Z175" s="3"/>
    </row>
    <row r="176" spans="1:26" ht="22.5" customHeight="1" x14ac:dyDescent="0.85">
      <c r="A176" s="166"/>
      <c r="B176" s="167"/>
      <c r="C176" s="167"/>
      <c r="D176" s="147"/>
      <c r="E176" s="147"/>
      <c r="F176" s="147"/>
      <c r="G176" s="147"/>
      <c r="H176" s="147"/>
      <c r="I176" s="147"/>
      <c r="J176" s="147"/>
      <c r="K176" s="3"/>
      <c r="L176" s="3"/>
      <c r="M176" s="3"/>
      <c r="N176" s="3"/>
      <c r="O176" s="3"/>
      <c r="P176" s="3"/>
      <c r="Q176" s="3"/>
      <c r="R176" s="3"/>
      <c r="S176" s="3"/>
      <c r="T176" s="3"/>
      <c r="U176" s="3"/>
      <c r="V176" s="3"/>
      <c r="W176" s="3"/>
      <c r="X176" s="3"/>
      <c r="Y176" s="3"/>
      <c r="Z176" s="3"/>
    </row>
    <row r="177" spans="1:26" ht="22.5" customHeight="1" x14ac:dyDescent="0.85">
      <c r="A177" s="166"/>
      <c r="B177" s="167"/>
      <c r="C177" s="167"/>
      <c r="D177" s="147"/>
      <c r="E177" s="147"/>
      <c r="F177" s="147"/>
      <c r="G177" s="147"/>
      <c r="H177" s="147"/>
      <c r="I177" s="147"/>
      <c r="J177" s="147"/>
      <c r="K177" s="3"/>
      <c r="L177" s="3"/>
      <c r="M177" s="3"/>
      <c r="N177" s="3"/>
      <c r="O177" s="3"/>
      <c r="P177" s="3"/>
      <c r="Q177" s="3"/>
      <c r="R177" s="3"/>
      <c r="S177" s="3"/>
      <c r="T177" s="3"/>
      <c r="U177" s="3"/>
      <c r="V177" s="3"/>
      <c r="W177" s="3"/>
      <c r="X177" s="3"/>
      <c r="Y177" s="3"/>
      <c r="Z177" s="3"/>
    </row>
    <row r="178" spans="1:26" ht="22.5" customHeight="1" x14ac:dyDescent="0.85">
      <c r="A178" s="166"/>
      <c r="B178" s="167"/>
      <c r="C178" s="167"/>
      <c r="D178" s="147"/>
      <c r="E178" s="147"/>
      <c r="F178" s="147"/>
      <c r="G178" s="147"/>
      <c r="H178" s="147"/>
      <c r="I178" s="147"/>
      <c r="J178" s="147"/>
      <c r="K178" s="3"/>
      <c r="L178" s="3"/>
      <c r="M178" s="3"/>
      <c r="N178" s="3"/>
      <c r="O178" s="3"/>
      <c r="P178" s="3"/>
      <c r="Q178" s="3"/>
      <c r="R178" s="3"/>
      <c r="S178" s="3"/>
      <c r="T178" s="3"/>
      <c r="U178" s="3"/>
      <c r="V178" s="3"/>
      <c r="W178" s="3"/>
      <c r="X178" s="3"/>
      <c r="Y178" s="3"/>
      <c r="Z178" s="3"/>
    </row>
    <row r="179" spans="1:26" ht="22.5" customHeight="1" x14ac:dyDescent="0.85">
      <c r="A179" s="166"/>
      <c r="B179" s="167"/>
      <c r="C179" s="167"/>
      <c r="D179" s="147"/>
      <c r="E179" s="147"/>
      <c r="F179" s="147"/>
      <c r="G179" s="147"/>
      <c r="H179" s="147"/>
      <c r="I179" s="147"/>
      <c r="J179" s="147"/>
      <c r="K179" s="3"/>
      <c r="L179" s="3"/>
      <c r="M179" s="3"/>
      <c r="N179" s="3"/>
      <c r="O179" s="3"/>
      <c r="P179" s="3"/>
      <c r="Q179" s="3"/>
      <c r="R179" s="3"/>
      <c r="S179" s="3"/>
      <c r="T179" s="3"/>
      <c r="U179" s="3"/>
      <c r="V179" s="3"/>
      <c r="W179" s="3"/>
      <c r="X179" s="3"/>
      <c r="Y179" s="3"/>
      <c r="Z179" s="3"/>
    </row>
    <row r="180" spans="1:26" ht="22.5" customHeight="1" x14ac:dyDescent="0.85">
      <c r="A180" s="166"/>
      <c r="B180" s="167"/>
      <c r="C180" s="167"/>
      <c r="D180" s="147"/>
      <c r="E180" s="147"/>
      <c r="F180" s="147"/>
      <c r="G180" s="147"/>
      <c r="H180" s="147"/>
      <c r="I180" s="147"/>
      <c r="J180" s="147"/>
      <c r="K180" s="3"/>
      <c r="L180" s="3"/>
      <c r="M180" s="3"/>
      <c r="N180" s="3"/>
      <c r="O180" s="3"/>
      <c r="P180" s="3"/>
      <c r="Q180" s="3"/>
      <c r="R180" s="3"/>
      <c r="S180" s="3"/>
      <c r="T180" s="3"/>
      <c r="U180" s="3"/>
      <c r="V180" s="3"/>
      <c r="W180" s="3"/>
      <c r="X180" s="3"/>
      <c r="Y180" s="3"/>
      <c r="Z180" s="3"/>
    </row>
    <row r="181" spans="1:26" ht="22.5" customHeight="1" x14ac:dyDescent="0.85">
      <c r="A181" s="166"/>
      <c r="B181" s="167"/>
      <c r="C181" s="167"/>
      <c r="D181" s="147"/>
      <c r="E181" s="147"/>
      <c r="F181" s="147"/>
      <c r="G181" s="147"/>
      <c r="H181" s="147"/>
      <c r="I181" s="147"/>
      <c r="J181" s="147"/>
      <c r="K181" s="3"/>
      <c r="L181" s="3"/>
      <c r="M181" s="3"/>
      <c r="N181" s="3"/>
      <c r="O181" s="3"/>
      <c r="P181" s="3"/>
      <c r="Q181" s="3"/>
      <c r="R181" s="3"/>
      <c r="S181" s="3"/>
      <c r="T181" s="3"/>
      <c r="U181" s="3"/>
      <c r="V181" s="3"/>
      <c r="W181" s="3"/>
      <c r="X181" s="3"/>
      <c r="Y181" s="3"/>
      <c r="Z181" s="3"/>
    </row>
    <row r="182" spans="1:26" ht="22.5" customHeight="1" x14ac:dyDescent="0.85">
      <c r="A182" s="166"/>
      <c r="B182" s="167"/>
      <c r="C182" s="167"/>
      <c r="D182" s="147"/>
      <c r="E182" s="147"/>
      <c r="F182" s="147"/>
      <c r="G182" s="147"/>
      <c r="H182" s="147"/>
      <c r="I182" s="147"/>
      <c r="J182" s="147"/>
      <c r="K182" s="3"/>
      <c r="L182" s="3"/>
      <c r="M182" s="3"/>
      <c r="N182" s="3"/>
      <c r="O182" s="3"/>
      <c r="P182" s="3"/>
      <c r="Q182" s="3"/>
      <c r="R182" s="3"/>
      <c r="S182" s="3"/>
      <c r="T182" s="3"/>
      <c r="U182" s="3"/>
      <c r="V182" s="3"/>
      <c r="W182" s="3"/>
      <c r="X182" s="3"/>
      <c r="Y182" s="3"/>
      <c r="Z182" s="3"/>
    </row>
    <row r="183" spans="1:26" ht="22.5" customHeight="1" x14ac:dyDescent="0.85">
      <c r="A183" s="166"/>
      <c r="B183" s="167"/>
      <c r="C183" s="167"/>
      <c r="D183" s="147"/>
      <c r="E183" s="147"/>
      <c r="F183" s="147"/>
      <c r="G183" s="147"/>
      <c r="H183" s="147"/>
      <c r="I183" s="147"/>
      <c r="J183" s="147"/>
      <c r="K183" s="3"/>
      <c r="L183" s="3"/>
      <c r="M183" s="3"/>
      <c r="N183" s="3"/>
      <c r="O183" s="3"/>
      <c r="P183" s="3"/>
      <c r="Q183" s="3"/>
      <c r="R183" s="3"/>
      <c r="S183" s="3"/>
      <c r="T183" s="3"/>
      <c r="U183" s="3"/>
      <c r="V183" s="3"/>
      <c r="W183" s="3"/>
      <c r="X183" s="3"/>
      <c r="Y183" s="3"/>
      <c r="Z183" s="3"/>
    </row>
    <row r="184" spans="1:26" ht="22.5" customHeight="1" x14ac:dyDescent="0.85">
      <c r="A184" s="166"/>
      <c r="B184" s="167"/>
      <c r="C184" s="167"/>
      <c r="D184" s="147"/>
      <c r="E184" s="147"/>
      <c r="F184" s="147"/>
      <c r="G184" s="147"/>
      <c r="H184" s="147"/>
      <c r="I184" s="147"/>
      <c r="J184" s="147"/>
      <c r="K184" s="3"/>
      <c r="L184" s="3"/>
      <c r="M184" s="3"/>
      <c r="N184" s="3"/>
      <c r="O184" s="3"/>
      <c r="P184" s="3"/>
      <c r="Q184" s="3"/>
      <c r="R184" s="3"/>
      <c r="S184" s="3"/>
      <c r="T184" s="3"/>
      <c r="U184" s="3"/>
      <c r="V184" s="3"/>
      <c r="W184" s="3"/>
      <c r="X184" s="3"/>
      <c r="Y184" s="3"/>
      <c r="Z184" s="3"/>
    </row>
    <row r="185" spans="1:26" ht="22.5" customHeight="1" x14ac:dyDescent="0.85">
      <c r="A185" s="166"/>
      <c r="B185" s="167"/>
      <c r="C185" s="167"/>
      <c r="D185" s="147"/>
      <c r="E185" s="147"/>
      <c r="F185" s="147"/>
      <c r="G185" s="147"/>
      <c r="H185" s="147"/>
      <c r="I185" s="147"/>
      <c r="J185" s="147"/>
      <c r="K185" s="3"/>
      <c r="L185" s="3"/>
      <c r="M185" s="3"/>
      <c r="N185" s="3"/>
      <c r="O185" s="3"/>
      <c r="P185" s="3"/>
      <c r="Q185" s="3"/>
      <c r="R185" s="3"/>
      <c r="S185" s="3"/>
      <c r="T185" s="3"/>
      <c r="U185" s="3"/>
      <c r="V185" s="3"/>
      <c r="W185" s="3"/>
      <c r="X185" s="3"/>
      <c r="Y185" s="3"/>
      <c r="Z185" s="3"/>
    </row>
    <row r="186" spans="1:26" ht="22.5" customHeight="1" x14ac:dyDescent="0.85">
      <c r="A186" s="166"/>
      <c r="B186" s="167"/>
      <c r="C186" s="167"/>
      <c r="D186" s="147"/>
      <c r="E186" s="147"/>
      <c r="F186" s="147"/>
      <c r="G186" s="147"/>
      <c r="H186" s="147"/>
      <c r="I186" s="147"/>
      <c r="J186" s="147"/>
      <c r="K186" s="3"/>
      <c r="L186" s="3"/>
      <c r="M186" s="3"/>
      <c r="N186" s="3"/>
      <c r="O186" s="3"/>
      <c r="P186" s="3"/>
      <c r="Q186" s="3"/>
      <c r="R186" s="3"/>
      <c r="S186" s="3"/>
      <c r="T186" s="3"/>
      <c r="U186" s="3"/>
      <c r="V186" s="3"/>
      <c r="W186" s="3"/>
      <c r="X186" s="3"/>
      <c r="Y186" s="3"/>
      <c r="Z186" s="3"/>
    </row>
    <row r="187" spans="1:26" ht="22.5" customHeight="1" x14ac:dyDescent="0.85">
      <c r="A187" s="166"/>
      <c r="B187" s="167"/>
      <c r="C187" s="167"/>
      <c r="D187" s="147"/>
      <c r="E187" s="147"/>
      <c r="F187" s="147"/>
      <c r="G187" s="147"/>
      <c r="H187" s="147"/>
      <c r="I187" s="147"/>
      <c r="J187" s="147"/>
      <c r="K187" s="3"/>
      <c r="L187" s="3"/>
      <c r="M187" s="3"/>
      <c r="N187" s="3"/>
      <c r="O187" s="3"/>
      <c r="P187" s="3"/>
      <c r="Q187" s="3"/>
      <c r="R187" s="3"/>
      <c r="S187" s="3"/>
      <c r="T187" s="3"/>
      <c r="U187" s="3"/>
      <c r="V187" s="3"/>
      <c r="W187" s="3"/>
      <c r="X187" s="3"/>
      <c r="Y187" s="3"/>
      <c r="Z187" s="3"/>
    </row>
    <row r="188" spans="1:26" ht="22.5" customHeight="1" x14ac:dyDescent="0.85">
      <c r="A188" s="166"/>
      <c r="B188" s="167"/>
      <c r="C188" s="167"/>
      <c r="D188" s="147"/>
      <c r="E188" s="147"/>
      <c r="F188" s="147"/>
      <c r="G188" s="147"/>
      <c r="H188" s="147"/>
      <c r="I188" s="147"/>
      <c r="J188" s="147"/>
      <c r="K188" s="3"/>
      <c r="L188" s="3"/>
      <c r="M188" s="3"/>
      <c r="N188" s="3"/>
      <c r="O188" s="3"/>
      <c r="P188" s="3"/>
      <c r="Q188" s="3"/>
      <c r="R188" s="3"/>
      <c r="S188" s="3"/>
      <c r="T188" s="3"/>
      <c r="U188" s="3"/>
      <c r="V188" s="3"/>
      <c r="W188" s="3"/>
      <c r="X188" s="3"/>
      <c r="Y188" s="3"/>
      <c r="Z188" s="3"/>
    </row>
    <row r="189" spans="1:26" ht="22.5" customHeight="1" x14ac:dyDescent="0.85">
      <c r="A189" s="166"/>
      <c r="B189" s="167"/>
      <c r="C189" s="167"/>
      <c r="D189" s="147"/>
      <c r="E189" s="147"/>
      <c r="F189" s="147"/>
      <c r="G189" s="147"/>
      <c r="H189" s="147"/>
      <c r="I189" s="147"/>
      <c r="J189" s="147"/>
      <c r="K189" s="3"/>
      <c r="L189" s="3"/>
      <c r="M189" s="3"/>
      <c r="N189" s="3"/>
      <c r="O189" s="3"/>
      <c r="P189" s="3"/>
      <c r="Q189" s="3"/>
      <c r="R189" s="3"/>
      <c r="S189" s="3"/>
      <c r="T189" s="3"/>
      <c r="U189" s="3"/>
      <c r="V189" s="3"/>
      <c r="W189" s="3"/>
      <c r="X189" s="3"/>
      <c r="Y189" s="3"/>
      <c r="Z189" s="3"/>
    </row>
    <row r="190" spans="1:26" ht="22.5" customHeight="1" x14ac:dyDescent="0.85">
      <c r="A190" s="166"/>
      <c r="B190" s="167"/>
      <c r="C190" s="167"/>
      <c r="D190" s="147"/>
      <c r="E190" s="147"/>
      <c r="F190" s="147"/>
      <c r="G190" s="147"/>
      <c r="H190" s="147"/>
      <c r="I190" s="147"/>
      <c r="J190" s="147"/>
      <c r="K190" s="3"/>
      <c r="L190" s="3"/>
      <c r="M190" s="3"/>
      <c r="N190" s="3"/>
      <c r="O190" s="3"/>
      <c r="P190" s="3"/>
      <c r="Q190" s="3"/>
      <c r="R190" s="3"/>
      <c r="S190" s="3"/>
      <c r="T190" s="3"/>
      <c r="U190" s="3"/>
      <c r="V190" s="3"/>
      <c r="W190" s="3"/>
      <c r="X190" s="3"/>
      <c r="Y190" s="3"/>
      <c r="Z190" s="3"/>
    </row>
    <row r="191" spans="1:26" ht="22.5" customHeight="1" x14ac:dyDescent="0.85">
      <c r="A191" s="166"/>
      <c r="B191" s="167"/>
      <c r="C191" s="167"/>
      <c r="D191" s="147"/>
      <c r="E191" s="147"/>
      <c r="F191" s="147"/>
      <c r="G191" s="147"/>
      <c r="H191" s="147"/>
      <c r="I191" s="147"/>
      <c r="J191" s="147"/>
      <c r="K191" s="3"/>
      <c r="L191" s="3"/>
      <c r="M191" s="3"/>
      <c r="N191" s="3"/>
      <c r="O191" s="3"/>
      <c r="P191" s="3"/>
      <c r="Q191" s="3"/>
      <c r="R191" s="3"/>
      <c r="S191" s="3"/>
      <c r="T191" s="3"/>
      <c r="U191" s="3"/>
      <c r="V191" s="3"/>
      <c r="W191" s="3"/>
      <c r="X191" s="3"/>
      <c r="Y191" s="3"/>
      <c r="Z191" s="3"/>
    </row>
    <row r="192" spans="1:26" ht="22.5" customHeight="1" x14ac:dyDescent="0.85">
      <c r="A192" s="166"/>
      <c r="B192" s="167"/>
      <c r="C192" s="167"/>
      <c r="D192" s="147"/>
      <c r="E192" s="147"/>
      <c r="F192" s="147"/>
      <c r="G192" s="147"/>
      <c r="H192" s="147"/>
      <c r="I192" s="147"/>
      <c r="J192" s="147"/>
      <c r="K192" s="3"/>
      <c r="L192" s="3"/>
      <c r="M192" s="3"/>
      <c r="N192" s="3"/>
      <c r="O192" s="3"/>
      <c r="P192" s="3"/>
      <c r="Q192" s="3"/>
      <c r="R192" s="3"/>
      <c r="S192" s="3"/>
      <c r="T192" s="3"/>
      <c r="U192" s="3"/>
      <c r="V192" s="3"/>
      <c r="W192" s="3"/>
      <c r="X192" s="3"/>
      <c r="Y192" s="3"/>
      <c r="Z192" s="3"/>
    </row>
    <row r="193" spans="1:26" ht="22.5" customHeight="1" x14ac:dyDescent="0.85">
      <c r="A193" s="166"/>
      <c r="B193" s="167"/>
      <c r="C193" s="167"/>
      <c r="D193" s="147"/>
      <c r="E193" s="147"/>
      <c r="F193" s="147"/>
      <c r="G193" s="147"/>
      <c r="H193" s="147"/>
      <c r="I193" s="147"/>
      <c r="J193" s="147"/>
      <c r="K193" s="3"/>
      <c r="L193" s="3"/>
      <c r="M193" s="3"/>
      <c r="N193" s="3"/>
      <c r="O193" s="3"/>
      <c r="P193" s="3"/>
      <c r="Q193" s="3"/>
      <c r="R193" s="3"/>
      <c r="S193" s="3"/>
      <c r="T193" s="3"/>
      <c r="U193" s="3"/>
      <c r="V193" s="3"/>
      <c r="W193" s="3"/>
      <c r="X193" s="3"/>
      <c r="Y193" s="3"/>
      <c r="Z193" s="3"/>
    </row>
    <row r="194" spans="1:26" ht="22.5" customHeight="1" x14ac:dyDescent="0.85">
      <c r="A194" s="166"/>
      <c r="B194" s="167"/>
      <c r="C194" s="167"/>
      <c r="D194" s="147"/>
      <c r="E194" s="147"/>
      <c r="F194" s="147"/>
      <c r="G194" s="147"/>
      <c r="H194" s="147"/>
      <c r="I194" s="147"/>
      <c r="J194" s="147"/>
      <c r="K194" s="3"/>
      <c r="L194" s="3"/>
      <c r="M194" s="3"/>
      <c r="N194" s="3"/>
      <c r="O194" s="3"/>
      <c r="P194" s="3"/>
      <c r="Q194" s="3"/>
      <c r="R194" s="3"/>
      <c r="S194" s="3"/>
      <c r="T194" s="3"/>
      <c r="U194" s="3"/>
      <c r="V194" s="3"/>
      <c r="W194" s="3"/>
      <c r="X194" s="3"/>
      <c r="Y194" s="3"/>
      <c r="Z194" s="3"/>
    </row>
    <row r="195" spans="1:26" ht="22.5" customHeight="1" x14ac:dyDescent="0.85">
      <c r="A195" s="166"/>
      <c r="B195" s="167"/>
      <c r="C195" s="167"/>
      <c r="D195" s="147"/>
      <c r="E195" s="147"/>
      <c r="F195" s="147"/>
      <c r="G195" s="147"/>
      <c r="H195" s="147"/>
      <c r="I195" s="147"/>
      <c r="J195" s="147"/>
      <c r="K195" s="3"/>
      <c r="L195" s="3"/>
      <c r="M195" s="3"/>
      <c r="N195" s="3"/>
      <c r="O195" s="3"/>
      <c r="P195" s="3"/>
      <c r="Q195" s="3"/>
      <c r="R195" s="3"/>
      <c r="S195" s="3"/>
      <c r="T195" s="3"/>
      <c r="U195" s="3"/>
      <c r="V195" s="3"/>
      <c r="W195" s="3"/>
      <c r="X195" s="3"/>
      <c r="Y195" s="3"/>
      <c r="Z195" s="3"/>
    </row>
    <row r="196" spans="1:26" ht="22.5" customHeight="1" x14ac:dyDescent="0.85">
      <c r="A196" s="166"/>
      <c r="B196" s="167"/>
      <c r="C196" s="167"/>
      <c r="D196" s="147"/>
      <c r="E196" s="147"/>
      <c r="F196" s="147"/>
      <c r="G196" s="147"/>
      <c r="H196" s="147"/>
      <c r="I196" s="147"/>
      <c r="J196" s="147"/>
      <c r="K196" s="3"/>
      <c r="L196" s="3"/>
      <c r="M196" s="3"/>
      <c r="N196" s="3"/>
      <c r="O196" s="3"/>
      <c r="P196" s="3"/>
      <c r="Q196" s="3"/>
      <c r="R196" s="3"/>
      <c r="S196" s="3"/>
      <c r="T196" s="3"/>
      <c r="U196" s="3"/>
      <c r="V196" s="3"/>
      <c r="W196" s="3"/>
      <c r="X196" s="3"/>
      <c r="Y196" s="3"/>
      <c r="Z196" s="3"/>
    </row>
    <row r="197" spans="1:26" ht="22.5" customHeight="1" x14ac:dyDescent="0.85">
      <c r="A197" s="166"/>
      <c r="B197" s="167"/>
      <c r="C197" s="167"/>
      <c r="D197" s="147"/>
      <c r="E197" s="147"/>
      <c r="F197" s="147"/>
      <c r="G197" s="147"/>
      <c r="H197" s="147"/>
      <c r="I197" s="147"/>
      <c r="J197" s="147"/>
      <c r="K197" s="3"/>
      <c r="L197" s="3"/>
      <c r="M197" s="3"/>
      <c r="N197" s="3"/>
      <c r="O197" s="3"/>
      <c r="P197" s="3"/>
      <c r="Q197" s="3"/>
      <c r="R197" s="3"/>
      <c r="S197" s="3"/>
      <c r="T197" s="3"/>
      <c r="U197" s="3"/>
      <c r="V197" s="3"/>
      <c r="W197" s="3"/>
      <c r="X197" s="3"/>
      <c r="Y197" s="3"/>
      <c r="Z197" s="3"/>
    </row>
    <row r="198" spans="1:26" ht="22.5" customHeight="1" x14ac:dyDescent="0.85">
      <c r="A198" s="166"/>
      <c r="B198" s="167"/>
      <c r="C198" s="167"/>
      <c r="D198" s="147"/>
      <c r="E198" s="147"/>
      <c r="F198" s="147"/>
      <c r="G198" s="147"/>
      <c r="H198" s="147"/>
      <c r="I198" s="147"/>
      <c r="J198" s="147"/>
      <c r="K198" s="3"/>
      <c r="L198" s="3"/>
      <c r="M198" s="3"/>
      <c r="N198" s="3"/>
      <c r="O198" s="3"/>
      <c r="P198" s="3"/>
      <c r="Q198" s="3"/>
      <c r="R198" s="3"/>
      <c r="S198" s="3"/>
      <c r="T198" s="3"/>
      <c r="U198" s="3"/>
      <c r="V198" s="3"/>
      <c r="W198" s="3"/>
      <c r="X198" s="3"/>
      <c r="Y198" s="3"/>
      <c r="Z198" s="3"/>
    </row>
    <row r="199" spans="1:26" ht="22.5" customHeight="1" x14ac:dyDescent="0.85">
      <c r="A199" s="166"/>
      <c r="B199" s="167"/>
      <c r="C199" s="167"/>
      <c r="D199" s="147"/>
      <c r="E199" s="147"/>
      <c r="F199" s="147"/>
      <c r="G199" s="147"/>
      <c r="H199" s="147"/>
      <c r="I199" s="147"/>
      <c r="J199" s="147"/>
      <c r="K199" s="3"/>
      <c r="L199" s="3"/>
      <c r="M199" s="3"/>
      <c r="N199" s="3"/>
      <c r="O199" s="3"/>
      <c r="P199" s="3"/>
      <c r="Q199" s="3"/>
      <c r="R199" s="3"/>
      <c r="S199" s="3"/>
      <c r="T199" s="3"/>
      <c r="U199" s="3"/>
      <c r="V199" s="3"/>
      <c r="W199" s="3"/>
      <c r="X199" s="3"/>
      <c r="Y199" s="3"/>
      <c r="Z199" s="3"/>
    </row>
    <row r="200" spans="1:26" ht="22.5" customHeight="1" x14ac:dyDescent="0.85">
      <c r="A200" s="166"/>
      <c r="B200" s="167"/>
      <c r="C200" s="167"/>
      <c r="D200" s="147"/>
      <c r="E200" s="147"/>
      <c r="F200" s="147"/>
      <c r="G200" s="147"/>
      <c r="H200" s="147"/>
      <c r="I200" s="147"/>
      <c r="J200" s="147"/>
      <c r="K200" s="3"/>
      <c r="L200" s="3"/>
      <c r="M200" s="3"/>
      <c r="N200" s="3"/>
      <c r="O200" s="3"/>
      <c r="P200" s="3"/>
      <c r="Q200" s="3"/>
      <c r="R200" s="3"/>
      <c r="S200" s="3"/>
      <c r="T200" s="3"/>
      <c r="U200" s="3"/>
      <c r="V200" s="3"/>
      <c r="W200" s="3"/>
      <c r="X200" s="3"/>
      <c r="Y200" s="3"/>
      <c r="Z200" s="3"/>
    </row>
    <row r="201" spans="1:26" ht="22.5" customHeight="1" x14ac:dyDescent="0.85">
      <c r="A201" s="166"/>
      <c r="B201" s="167"/>
      <c r="C201" s="167"/>
      <c r="D201" s="147"/>
      <c r="E201" s="147"/>
      <c r="F201" s="147"/>
      <c r="G201" s="147"/>
      <c r="H201" s="147"/>
      <c r="I201" s="147"/>
      <c r="J201" s="147"/>
      <c r="K201" s="3"/>
      <c r="L201" s="3"/>
      <c r="M201" s="3"/>
      <c r="N201" s="3"/>
      <c r="O201" s="3"/>
      <c r="P201" s="3"/>
      <c r="Q201" s="3"/>
      <c r="R201" s="3"/>
      <c r="S201" s="3"/>
      <c r="T201" s="3"/>
      <c r="U201" s="3"/>
      <c r="V201" s="3"/>
      <c r="W201" s="3"/>
      <c r="X201" s="3"/>
      <c r="Y201" s="3"/>
      <c r="Z201" s="3"/>
    </row>
    <row r="202" spans="1:26" ht="22.5" customHeight="1" x14ac:dyDescent="0.85">
      <c r="A202" s="166"/>
      <c r="B202" s="167"/>
      <c r="C202" s="167"/>
      <c r="D202" s="147"/>
      <c r="E202" s="147"/>
      <c r="F202" s="147"/>
      <c r="G202" s="147"/>
      <c r="H202" s="147"/>
      <c r="I202" s="147"/>
      <c r="J202" s="147"/>
      <c r="K202" s="3"/>
      <c r="L202" s="3"/>
      <c r="M202" s="3"/>
      <c r="N202" s="3"/>
      <c r="O202" s="3"/>
      <c r="P202" s="3"/>
      <c r="Q202" s="3"/>
      <c r="R202" s="3"/>
      <c r="S202" s="3"/>
      <c r="T202" s="3"/>
      <c r="U202" s="3"/>
      <c r="V202" s="3"/>
      <c r="W202" s="3"/>
      <c r="X202" s="3"/>
      <c r="Y202" s="3"/>
      <c r="Z202" s="3"/>
    </row>
    <row r="203" spans="1:26" ht="22.5" customHeight="1" x14ac:dyDescent="0.85">
      <c r="A203" s="166"/>
      <c r="B203" s="167"/>
      <c r="C203" s="167"/>
      <c r="D203" s="147"/>
      <c r="E203" s="147"/>
      <c r="F203" s="147"/>
      <c r="G203" s="147"/>
      <c r="H203" s="147"/>
      <c r="I203" s="147"/>
      <c r="J203" s="147"/>
      <c r="K203" s="3"/>
      <c r="L203" s="3"/>
      <c r="M203" s="3"/>
      <c r="N203" s="3"/>
      <c r="O203" s="3"/>
      <c r="P203" s="3"/>
      <c r="Q203" s="3"/>
      <c r="R203" s="3"/>
      <c r="S203" s="3"/>
      <c r="T203" s="3"/>
      <c r="U203" s="3"/>
      <c r="V203" s="3"/>
      <c r="W203" s="3"/>
      <c r="X203" s="3"/>
      <c r="Y203" s="3"/>
      <c r="Z203" s="3"/>
    </row>
    <row r="204" spans="1:26" ht="22.5" customHeight="1" x14ac:dyDescent="0.85">
      <c r="A204" s="166"/>
      <c r="B204" s="167"/>
      <c r="C204" s="167"/>
      <c r="D204" s="147"/>
      <c r="E204" s="147"/>
      <c r="F204" s="147"/>
      <c r="G204" s="147"/>
      <c r="H204" s="147"/>
      <c r="I204" s="147"/>
      <c r="J204" s="147"/>
      <c r="K204" s="3"/>
      <c r="L204" s="3"/>
      <c r="M204" s="3"/>
      <c r="N204" s="3"/>
      <c r="O204" s="3"/>
      <c r="P204" s="3"/>
      <c r="Q204" s="3"/>
      <c r="R204" s="3"/>
      <c r="S204" s="3"/>
      <c r="T204" s="3"/>
      <c r="U204" s="3"/>
      <c r="V204" s="3"/>
      <c r="W204" s="3"/>
      <c r="X204" s="3"/>
      <c r="Y204" s="3"/>
      <c r="Z204" s="3"/>
    </row>
    <row r="205" spans="1:26" ht="22.5" customHeight="1" x14ac:dyDescent="0.85">
      <c r="A205" s="166"/>
      <c r="B205" s="167"/>
      <c r="C205" s="167"/>
      <c r="D205" s="147"/>
      <c r="E205" s="147"/>
      <c r="F205" s="147"/>
      <c r="G205" s="147"/>
      <c r="H205" s="147"/>
      <c r="I205" s="147"/>
      <c r="J205" s="147"/>
      <c r="K205" s="3"/>
      <c r="L205" s="3"/>
      <c r="M205" s="3"/>
      <c r="N205" s="3"/>
      <c r="O205" s="3"/>
      <c r="P205" s="3"/>
      <c r="Q205" s="3"/>
      <c r="R205" s="3"/>
      <c r="S205" s="3"/>
      <c r="T205" s="3"/>
      <c r="U205" s="3"/>
      <c r="V205" s="3"/>
      <c r="W205" s="3"/>
      <c r="X205" s="3"/>
      <c r="Y205" s="3"/>
      <c r="Z205" s="3"/>
    </row>
    <row r="206" spans="1:26" ht="22.5" customHeight="1" x14ac:dyDescent="0.85">
      <c r="A206" s="166"/>
      <c r="B206" s="167"/>
      <c r="C206" s="167"/>
      <c r="D206" s="147"/>
      <c r="E206" s="147"/>
      <c r="F206" s="147"/>
      <c r="G206" s="147"/>
      <c r="H206" s="147"/>
      <c r="I206" s="147"/>
      <c r="J206" s="147"/>
      <c r="K206" s="3"/>
      <c r="L206" s="3"/>
      <c r="M206" s="3"/>
      <c r="N206" s="3"/>
      <c r="O206" s="3"/>
      <c r="P206" s="3"/>
      <c r="Q206" s="3"/>
      <c r="R206" s="3"/>
      <c r="S206" s="3"/>
      <c r="T206" s="3"/>
      <c r="U206" s="3"/>
      <c r="V206" s="3"/>
      <c r="W206" s="3"/>
      <c r="X206" s="3"/>
      <c r="Y206" s="3"/>
      <c r="Z206" s="3"/>
    </row>
    <row r="207" spans="1:26" ht="22.5" customHeight="1" x14ac:dyDescent="0.85">
      <c r="A207" s="166"/>
      <c r="B207" s="167"/>
      <c r="C207" s="167"/>
      <c r="D207" s="147"/>
      <c r="E207" s="147"/>
      <c r="F207" s="147"/>
      <c r="G207" s="147"/>
      <c r="H207" s="147"/>
      <c r="I207" s="147"/>
      <c r="J207" s="147"/>
      <c r="K207" s="3"/>
      <c r="L207" s="3"/>
      <c r="M207" s="3"/>
      <c r="N207" s="3"/>
      <c r="O207" s="3"/>
      <c r="P207" s="3"/>
      <c r="Q207" s="3"/>
      <c r="R207" s="3"/>
      <c r="S207" s="3"/>
      <c r="T207" s="3"/>
      <c r="U207" s="3"/>
      <c r="V207" s="3"/>
      <c r="W207" s="3"/>
      <c r="X207" s="3"/>
      <c r="Y207" s="3"/>
      <c r="Z207" s="3"/>
    </row>
    <row r="208" spans="1:26" ht="22.5" customHeight="1" x14ac:dyDescent="0.85">
      <c r="A208" s="166"/>
      <c r="B208" s="167"/>
      <c r="C208" s="167"/>
      <c r="D208" s="147"/>
      <c r="E208" s="147"/>
      <c r="F208" s="147"/>
      <c r="G208" s="147"/>
      <c r="H208" s="147"/>
      <c r="I208" s="147"/>
      <c r="J208" s="147"/>
      <c r="K208" s="3"/>
      <c r="L208" s="3"/>
      <c r="M208" s="3"/>
      <c r="N208" s="3"/>
      <c r="O208" s="3"/>
      <c r="P208" s="3"/>
      <c r="Q208" s="3"/>
      <c r="R208" s="3"/>
      <c r="S208" s="3"/>
      <c r="T208" s="3"/>
      <c r="U208" s="3"/>
      <c r="V208" s="3"/>
      <c r="W208" s="3"/>
      <c r="X208" s="3"/>
      <c r="Y208" s="3"/>
      <c r="Z208" s="3"/>
    </row>
    <row r="209" spans="1:26" ht="22.5" customHeight="1" x14ac:dyDescent="0.85">
      <c r="A209" s="166"/>
      <c r="B209" s="167"/>
      <c r="C209" s="167"/>
      <c r="D209" s="147"/>
      <c r="E209" s="147"/>
      <c r="F209" s="147"/>
      <c r="G209" s="147"/>
      <c r="H209" s="147"/>
      <c r="I209" s="147"/>
      <c r="J209" s="147"/>
      <c r="K209" s="3"/>
      <c r="L209" s="3"/>
      <c r="M209" s="3"/>
      <c r="N209" s="3"/>
      <c r="O209" s="3"/>
      <c r="P209" s="3"/>
      <c r="Q209" s="3"/>
      <c r="R209" s="3"/>
      <c r="S209" s="3"/>
      <c r="T209" s="3"/>
      <c r="U209" s="3"/>
      <c r="V209" s="3"/>
      <c r="W209" s="3"/>
      <c r="X209" s="3"/>
      <c r="Y209" s="3"/>
      <c r="Z209" s="3"/>
    </row>
    <row r="210" spans="1:26" ht="22.5" customHeight="1" x14ac:dyDescent="0.85">
      <c r="A210" s="166"/>
      <c r="B210" s="167"/>
      <c r="C210" s="167"/>
      <c r="D210" s="147"/>
      <c r="E210" s="147"/>
      <c r="F210" s="147"/>
      <c r="G210" s="147"/>
      <c r="H210" s="147"/>
      <c r="I210" s="147"/>
      <c r="J210" s="147"/>
      <c r="K210" s="3"/>
      <c r="L210" s="3"/>
      <c r="M210" s="3"/>
      <c r="N210" s="3"/>
      <c r="O210" s="3"/>
      <c r="P210" s="3"/>
      <c r="Q210" s="3"/>
      <c r="R210" s="3"/>
      <c r="S210" s="3"/>
      <c r="T210" s="3"/>
      <c r="U210" s="3"/>
      <c r="V210" s="3"/>
      <c r="W210" s="3"/>
      <c r="X210" s="3"/>
      <c r="Y210" s="3"/>
      <c r="Z210" s="3"/>
    </row>
    <row r="211" spans="1:26" ht="22.5" customHeight="1" x14ac:dyDescent="0.85">
      <c r="A211" s="166"/>
      <c r="B211" s="167"/>
      <c r="C211" s="167"/>
      <c r="D211" s="147"/>
      <c r="E211" s="147"/>
      <c r="F211" s="147"/>
      <c r="G211" s="147"/>
      <c r="H211" s="147"/>
      <c r="I211" s="147"/>
      <c r="J211" s="147"/>
      <c r="K211" s="3"/>
      <c r="L211" s="3"/>
      <c r="M211" s="3"/>
      <c r="N211" s="3"/>
      <c r="O211" s="3"/>
      <c r="P211" s="3"/>
      <c r="Q211" s="3"/>
      <c r="R211" s="3"/>
      <c r="S211" s="3"/>
      <c r="T211" s="3"/>
      <c r="U211" s="3"/>
      <c r="V211" s="3"/>
      <c r="W211" s="3"/>
      <c r="X211" s="3"/>
      <c r="Y211" s="3"/>
      <c r="Z211" s="3"/>
    </row>
    <row r="212" spans="1:26" ht="22.5" customHeight="1" x14ac:dyDescent="0.85">
      <c r="A212" s="166"/>
      <c r="B212" s="167"/>
      <c r="C212" s="167"/>
      <c r="D212" s="147"/>
      <c r="E212" s="147"/>
      <c r="F212" s="147"/>
      <c r="G212" s="147"/>
      <c r="H212" s="147"/>
      <c r="I212" s="147"/>
      <c r="J212" s="147"/>
      <c r="K212" s="3"/>
      <c r="L212" s="3"/>
      <c r="M212" s="3"/>
      <c r="N212" s="3"/>
      <c r="O212" s="3"/>
      <c r="P212" s="3"/>
      <c r="Q212" s="3"/>
      <c r="R212" s="3"/>
      <c r="S212" s="3"/>
      <c r="T212" s="3"/>
      <c r="U212" s="3"/>
      <c r="V212" s="3"/>
      <c r="W212" s="3"/>
      <c r="X212" s="3"/>
      <c r="Y212" s="3"/>
      <c r="Z212" s="3"/>
    </row>
    <row r="213" spans="1:26" ht="22.5" customHeight="1" x14ac:dyDescent="0.85">
      <c r="A213" s="166"/>
      <c r="B213" s="167"/>
      <c r="C213" s="167"/>
      <c r="D213" s="147"/>
      <c r="E213" s="147"/>
      <c r="F213" s="147"/>
      <c r="G213" s="147"/>
      <c r="H213" s="147"/>
      <c r="I213" s="147"/>
      <c r="J213" s="147"/>
      <c r="K213" s="3"/>
      <c r="L213" s="3"/>
      <c r="M213" s="3"/>
      <c r="N213" s="3"/>
      <c r="O213" s="3"/>
      <c r="P213" s="3"/>
      <c r="Q213" s="3"/>
      <c r="R213" s="3"/>
      <c r="S213" s="3"/>
      <c r="T213" s="3"/>
      <c r="U213" s="3"/>
      <c r="V213" s="3"/>
      <c r="W213" s="3"/>
      <c r="X213" s="3"/>
      <c r="Y213" s="3"/>
      <c r="Z213" s="3"/>
    </row>
    <row r="214" spans="1:26" ht="22.5" customHeight="1" x14ac:dyDescent="0.85">
      <c r="A214" s="166"/>
      <c r="B214" s="167"/>
      <c r="C214" s="167"/>
      <c r="D214" s="147"/>
      <c r="E214" s="147"/>
      <c r="F214" s="147"/>
      <c r="G214" s="147"/>
      <c r="H214" s="147"/>
      <c r="I214" s="147"/>
      <c r="J214" s="147"/>
      <c r="K214" s="3"/>
      <c r="L214" s="3"/>
      <c r="M214" s="3"/>
      <c r="N214" s="3"/>
      <c r="O214" s="3"/>
      <c r="P214" s="3"/>
      <c r="Q214" s="3"/>
      <c r="R214" s="3"/>
      <c r="S214" s="3"/>
      <c r="T214" s="3"/>
      <c r="U214" s="3"/>
      <c r="V214" s="3"/>
      <c r="W214" s="3"/>
      <c r="X214" s="3"/>
      <c r="Y214" s="3"/>
      <c r="Z214" s="3"/>
    </row>
    <row r="215" spans="1:26" ht="22.5" customHeight="1" x14ac:dyDescent="0.85">
      <c r="A215" s="166"/>
      <c r="B215" s="167"/>
      <c r="C215" s="167"/>
      <c r="D215" s="147"/>
      <c r="E215" s="147"/>
      <c r="F215" s="147"/>
      <c r="G215" s="147"/>
      <c r="H215" s="147"/>
      <c r="I215" s="147"/>
      <c r="J215" s="147"/>
      <c r="K215" s="3"/>
      <c r="L215" s="3"/>
      <c r="M215" s="3"/>
      <c r="N215" s="3"/>
      <c r="O215" s="3"/>
      <c r="P215" s="3"/>
      <c r="Q215" s="3"/>
      <c r="R215" s="3"/>
      <c r="S215" s="3"/>
      <c r="T215" s="3"/>
      <c r="U215" s="3"/>
      <c r="V215" s="3"/>
      <c r="W215" s="3"/>
      <c r="X215" s="3"/>
      <c r="Y215" s="3"/>
      <c r="Z215" s="3"/>
    </row>
    <row r="216" spans="1:26" ht="22.5" customHeight="1" x14ac:dyDescent="0.85">
      <c r="A216" s="166"/>
      <c r="B216" s="167"/>
      <c r="C216" s="167"/>
      <c r="D216" s="147"/>
      <c r="E216" s="147"/>
      <c r="F216" s="147"/>
      <c r="G216" s="147"/>
      <c r="H216" s="147"/>
      <c r="I216" s="147"/>
      <c r="J216" s="147"/>
      <c r="K216" s="3"/>
      <c r="L216" s="3"/>
      <c r="M216" s="3"/>
      <c r="N216" s="3"/>
      <c r="O216" s="3"/>
      <c r="P216" s="3"/>
      <c r="Q216" s="3"/>
      <c r="R216" s="3"/>
      <c r="S216" s="3"/>
      <c r="T216" s="3"/>
      <c r="U216" s="3"/>
      <c r="V216" s="3"/>
      <c r="W216" s="3"/>
      <c r="X216" s="3"/>
      <c r="Y216" s="3"/>
      <c r="Z216" s="3"/>
    </row>
    <row r="217" spans="1:26" ht="22.5" customHeight="1" x14ac:dyDescent="0.85">
      <c r="A217" s="166"/>
      <c r="B217" s="167"/>
      <c r="C217" s="167"/>
      <c r="D217" s="147"/>
      <c r="E217" s="147"/>
      <c r="F217" s="147"/>
      <c r="G217" s="147"/>
      <c r="H217" s="147"/>
      <c r="I217" s="147"/>
      <c r="J217" s="147"/>
      <c r="K217" s="3"/>
      <c r="L217" s="3"/>
      <c r="M217" s="3"/>
      <c r="N217" s="3"/>
      <c r="O217" s="3"/>
      <c r="P217" s="3"/>
      <c r="Q217" s="3"/>
      <c r="R217" s="3"/>
      <c r="S217" s="3"/>
      <c r="T217" s="3"/>
      <c r="U217" s="3"/>
      <c r="V217" s="3"/>
      <c r="W217" s="3"/>
      <c r="X217" s="3"/>
      <c r="Y217" s="3"/>
      <c r="Z217" s="3"/>
    </row>
    <row r="218" spans="1:26" ht="22.5" customHeight="1" x14ac:dyDescent="0.85">
      <c r="A218" s="166"/>
      <c r="B218" s="167"/>
      <c r="C218" s="167"/>
      <c r="D218" s="147"/>
      <c r="E218" s="147"/>
      <c r="F218" s="147"/>
      <c r="G218" s="147"/>
      <c r="H218" s="147"/>
      <c r="I218" s="147"/>
      <c r="J218" s="147"/>
      <c r="K218" s="3"/>
      <c r="L218" s="3"/>
      <c r="M218" s="3"/>
      <c r="N218" s="3"/>
      <c r="O218" s="3"/>
      <c r="P218" s="3"/>
      <c r="Q218" s="3"/>
      <c r="R218" s="3"/>
      <c r="S218" s="3"/>
      <c r="T218" s="3"/>
      <c r="U218" s="3"/>
      <c r="V218" s="3"/>
      <c r="W218" s="3"/>
      <c r="X218" s="3"/>
      <c r="Y218" s="3"/>
      <c r="Z218" s="3"/>
    </row>
    <row r="219" spans="1:26" ht="22.5" customHeight="1" x14ac:dyDescent="0.85">
      <c r="A219" s="166"/>
      <c r="B219" s="167"/>
      <c r="C219" s="167"/>
      <c r="D219" s="147"/>
      <c r="E219" s="147"/>
      <c r="F219" s="147"/>
      <c r="G219" s="147"/>
      <c r="H219" s="147"/>
      <c r="I219" s="147"/>
      <c r="J219" s="147"/>
      <c r="K219" s="3"/>
      <c r="L219" s="3"/>
      <c r="M219" s="3"/>
      <c r="N219" s="3"/>
      <c r="O219" s="3"/>
      <c r="P219" s="3"/>
      <c r="Q219" s="3"/>
      <c r="R219" s="3"/>
      <c r="S219" s="3"/>
      <c r="T219" s="3"/>
      <c r="U219" s="3"/>
      <c r="V219" s="3"/>
      <c r="W219" s="3"/>
      <c r="X219" s="3"/>
      <c r="Y219" s="3"/>
      <c r="Z219" s="3"/>
    </row>
    <row r="220" spans="1:26" ht="22.5" customHeight="1" x14ac:dyDescent="0.85">
      <c r="A220" s="166"/>
      <c r="B220" s="167"/>
      <c r="C220" s="167"/>
      <c r="D220" s="147"/>
      <c r="E220" s="147"/>
      <c r="F220" s="147"/>
      <c r="G220" s="147"/>
      <c r="H220" s="147"/>
      <c r="I220" s="147"/>
      <c r="J220" s="147"/>
      <c r="K220" s="3"/>
      <c r="L220" s="3"/>
      <c r="M220" s="3"/>
      <c r="N220" s="3"/>
      <c r="O220" s="3"/>
      <c r="P220" s="3"/>
      <c r="Q220" s="3"/>
      <c r="R220" s="3"/>
      <c r="S220" s="3"/>
      <c r="T220" s="3"/>
      <c r="U220" s="3"/>
      <c r="V220" s="3"/>
      <c r="W220" s="3"/>
      <c r="X220" s="3"/>
      <c r="Y220" s="3"/>
      <c r="Z220" s="3"/>
    </row>
    <row r="221" spans="1:26" ht="22.5" customHeight="1" x14ac:dyDescent="0.85">
      <c r="A221" s="166"/>
      <c r="B221" s="167"/>
      <c r="C221" s="167"/>
      <c r="D221" s="147"/>
      <c r="E221" s="147"/>
      <c r="F221" s="147"/>
      <c r="G221" s="147"/>
      <c r="H221" s="147"/>
      <c r="I221" s="147"/>
      <c r="J221" s="147"/>
      <c r="K221" s="3"/>
      <c r="L221" s="3"/>
      <c r="M221" s="3"/>
      <c r="N221" s="3"/>
      <c r="O221" s="3"/>
      <c r="P221" s="3"/>
      <c r="Q221" s="3"/>
      <c r="R221" s="3"/>
      <c r="S221" s="3"/>
      <c r="T221" s="3"/>
      <c r="U221" s="3"/>
      <c r="V221" s="3"/>
      <c r="W221" s="3"/>
      <c r="X221" s="3"/>
      <c r="Y221" s="3"/>
      <c r="Z221" s="3"/>
    </row>
    <row r="222" spans="1:26" ht="22.5" customHeight="1" x14ac:dyDescent="0.85">
      <c r="A222" s="166"/>
      <c r="B222" s="167"/>
      <c r="C222" s="167"/>
      <c r="D222" s="147"/>
      <c r="E222" s="147"/>
      <c r="F222" s="147"/>
      <c r="G222" s="147"/>
      <c r="H222" s="147"/>
      <c r="I222" s="147"/>
      <c r="J222" s="147"/>
      <c r="K222" s="3"/>
      <c r="L222" s="3"/>
      <c r="M222" s="3"/>
      <c r="N222" s="3"/>
      <c r="O222" s="3"/>
      <c r="P222" s="3"/>
      <c r="Q222" s="3"/>
      <c r="R222" s="3"/>
      <c r="S222" s="3"/>
      <c r="T222" s="3"/>
      <c r="U222" s="3"/>
      <c r="V222" s="3"/>
      <c r="W222" s="3"/>
      <c r="X222" s="3"/>
      <c r="Y222" s="3"/>
      <c r="Z222" s="3"/>
    </row>
    <row r="223" spans="1:26" ht="22.5" customHeight="1" x14ac:dyDescent="0.85">
      <c r="A223" s="166"/>
      <c r="B223" s="167"/>
      <c r="C223" s="167"/>
      <c r="D223" s="147"/>
      <c r="E223" s="147"/>
      <c r="F223" s="147"/>
      <c r="G223" s="147"/>
      <c r="H223" s="147"/>
      <c r="I223" s="147"/>
      <c r="J223" s="147"/>
      <c r="K223" s="3"/>
      <c r="L223" s="3"/>
      <c r="M223" s="3"/>
      <c r="N223" s="3"/>
      <c r="O223" s="3"/>
      <c r="P223" s="3"/>
      <c r="Q223" s="3"/>
      <c r="R223" s="3"/>
      <c r="S223" s="3"/>
      <c r="T223" s="3"/>
      <c r="U223" s="3"/>
      <c r="V223" s="3"/>
      <c r="W223" s="3"/>
      <c r="X223" s="3"/>
      <c r="Y223" s="3"/>
      <c r="Z223" s="3"/>
    </row>
    <row r="224" spans="1:26" ht="22.5" customHeight="1" x14ac:dyDescent="0.85">
      <c r="A224" s="166"/>
      <c r="B224" s="167"/>
      <c r="C224" s="167"/>
      <c r="D224" s="147"/>
      <c r="E224" s="147"/>
      <c r="F224" s="147"/>
      <c r="G224" s="147"/>
      <c r="H224" s="147"/>
      <c r="I224" s="147"/>
      <c r="J224" s="147"/>
      <c r="K224" s="3"/>
      <c r="L224" s="3"/>
      <c r="M224" s="3"/>
      <c r="N224" s="3"/>
      <c r="O224" s="3"/>
      <c r="P224" s="3"/>
      <c r="Q224" s="3"/>
      <c r="R224" s="3"/>
      <c r="S224" s="3"/>
      <c r="T224" s="3"/>
      <c r="U224" s="3"/>
      <c r="V224" s="3"/>
      <c r="W224" s="3"/>
      <c r="X224" s="3"/>
      <c r="Y224" s="3"/>
      <c r="Z224" s="3"/>
    </row>
    <row r="225" spans="1:26" ht="22.5" customHeight="1" x14ac:dyDescent="0.85">
      <c r="A225" s="166"/>
      <c r="B225" s="167"/>
      <c r="C225" s="167"/>
      <c r="D225" s="147"/>
      <c r="E225" s="147"/>
      <c r="F225" s="147"/>
      <c r="G225" s="147"/>
      <c r="H225" s="147"/>
      <c r="I225" s="147"/>
      <c r="J225" s="147"/>
      <c r="K225" s="3"/>
      <c r="L225" s="3"/>
      <c r="M225" s="3"/>
      <c r="N225" s="3"/>
      <c r="O225" s="3"/>
      <c r="P225" s="3"/>
      <c r="Q225" s="3"/>
      <c r="R225" s="3"/>
      <c r="S225" s="3"/>
      <c r="T225" s="3"/>
      <c r="U225" s="3"/>
      <c r="V225" s="3"/>
      <c r="W225" s="3"/>
      <c r="X225" s="3"/>
      <c r="Y225" s="3"/>
      <c r="Z225" s="3"/>
    </row>
    <row r="226" spans="1:26" ht="22.5" customHeight="1" x14ac:dyDescent="0.85">
      <c r="A226" s="166"/>
      <c r="B226" s="167"/>
      <c r="C226" s="167"/>
      <c r="D226" s="147"/>
      <c r="E226" s="147"/>
      <c r="F226" s="147"/>
      <c r="G226" s="147"/>
      <c r="H226" s="147"/>
      <c r="I226" s="147"/>
      <c r="J226" s="147"/>
      <c r="K226" s="3"/>
      <c r="L226" s="3"/>
      <c r="M226" s="3"/>
      <c r="N226" s="3"/>
      <c r="O226" s="3"/>
      <c r="P226" s="3"/>
      <c r="Q226" s="3"/>
      <c r="R226" s="3"/>
      <c r="S226" s="3"/>
      <c r="T226" s="3"/>
      <c r="U226" s="3"/>
      <c r="V226" s="3"/>
      <c r="W226" s="3"/>
      <c r="X226" s="3"/>
      <c r="Y226" s="3"/>
      <c r="Z226" s="3"/>
    </row>
    <row r="227" spans="1:26" ht="22.5" customHeight="1" x14ac:dyDescent="0.85">
      <c r="A227" s="166"/>
      <c r="B227" s="167"/>
      <c r="C227" s="167"/>
      <c r="D227" s="147"/>
      <c r="E227" s="147"/>
      <c r="F227" s="147"/>
      <c r="G227" s="147"/>
      <c r="H227" s="147"/>
      <c r="I227" s="147"/>
      <c r="J227" s="147"/>
      <c r="K227" s="3"/>
      <c r="L227" s="3"/>
      <c r="M227" s="3"/>
      <c r="N227" s="3"/>
      <c r="O227" s="3"/>
      <c r="P227" s="3"/>
      <c r="Q227" s="3"/>
      <c r="R227" s="3"/>
      <c r="S227" s="3"/>
      <c r="T227" s="3"/>
      <c r="U227" s="3"/>
      <c r="V227" s="3"/>
      <c r="W227" s="3"/>
      <c r="X227" s="3"/>
      <c r="Y227" s="3"/>
      <c r="Z227" s="3"/>
    </row>
    <row r="228" spans="1:26" ht="22.5" customHeight="1" x14ac:dyDescent="0.85">
      <c r="A228" s="166"/>
      <c r="B228" s="167"/>
      <c r="C228" s="167"/>
      <c r="D228" s="147"/>
      <c r="E228" s="147"/>
      <c r="F228" s="147"/>
      <c r="G228" s="147"/>
      <c r="H228" s="147"/>
      <c r="I228" s="147"/>
      <c r="J228" s="147"/>
      <c r="K228" s="3"/>
      <c r="L228" s="3"/>
      <c r="M228" s="3"/>
      <c r="N228" s="3"/>
      <c r="O228" s="3"/>
      <c r="P228" s="3"/>
      <c r="Q228" s="3"/>
      <c r="R228" s="3"/>
      <c r="S228" s="3"/>
      <c r="T228" s="3"/>
      <c r="U228" s="3"/>
      <c r="V228" s="3"/>
      <c r="W228" s="3"/>
      <c r="X228" s="3"/>
      <c r="Y228" s="3"/>
      <c r="Z228" s="3"/>
    </row>
    <row r="229" spans="1:26" ht="22.5" customHeight="1" x14ac:dyDescent="0.85">
      <c r="A229" s="166"/>
      <c r="B229" s="167"/>
      <c r="C229" s="167"/>
      <c r="D229" s="147"/>
      <c r="E229" s="147"/>
      <c r="F229" s="147"/>
      <c r="G229" s="147"/>
      <c r="H229" s="147"/>
      <c r="I229" s="147"/>
      <c r="J229" s="147"/>
      <c r="K229" s="3"/>
      <c r="L229" s="3"/>
      <c r="M229" s="3"/>
      <c r="N229" s="3"/>
      <c r="O229" s="3"/>
      <c r="P229" s="3"/>
      <c r="Q229" s="3"/>
      <c r="R229" s="3"/>
      <c r="S229" s="3"/>
      <c r="T229" s="3"/>
      <c r="U229" s="3"/>
      <c r="V229" s="3"/>
      <c r="W229" s="3"/>
      <c r="X229" s="3"/>
      <c r="Y229" s="3"/>
      <c r="Z229" s="3"/>
    </row>
    <row r="230" spans="1:26" ht="22.5" customHeight="1" x14ac:dyDescent="0.85">
      <c r="A230" s="166"/>
      <c r="B230" s="167"/>
      <c r="C230" s="167"/>
      <c r="D230" s="147"/>
      <c r="E230" s="147"/>
      <c r="F230" s="147"/>
      <c r="G230" s="147"/>
      <c r="H230" s="147"/>
      <c r="I230" s="147"/>
      <c r="J230" s="147"/>
      <c r="K230" s="3"/>
      <c r="L230" s="3"/>
      <c r="M230" s="3"/>
      <c r="N230" s="3"/>
      <c r="O230" s="3"/>
      <c r="P230" s="3"/>
      <c r="Q230" s="3"/>
      <c r="R230" s="3"/>
      <c r="S230" s="3"/>
      <c r="T230" s="3"/>
      <c r="U230" s="3"/>
      <c r="V230" s="3"/>
      <c r="W230" s="3"/>
      <c r="X230" s="3"/>
      <c r="Y230" s="3"/>
      <c r="Z230" s="3"/>
    </row>
    <row r="231" spans="1:26" ht="22.5" customHeight="1" x14ac:dyDescent="0.85">
      <c r="A231" s="166"/>
      <c r="B231" s="167"/>
      <c r="C231" s="167"/>
      <c r="D231" s="147"/>
      <c r="E231" s="147"/>
      <c r="F231" s="147"/>
      <c r="G231" s="147"/>
      <c r="H231" s="147"/>
      <c r="I231" s="147"/>
      <c r="J231" s="147"/>
      <c r="K231" s="3"/>
      <c r="L231" s="3"/>
      <c r="M231" s="3"/>
      <c r="N231" s="3"/>
      <c r="O231" s="3"/>
      <c r="P231" s="3"/>
      <c r="Q231" s="3"/>
      <c r="R231" s="3"/>
      <c r="S231" s="3"/>
      <c r="T231" s="3"/>
      <c r="U231" s="3"/>
      <c r="V231" s="3"/>
      <c r="W231" s="3"/>
      <c r="X231" s="3"/>
      <c r="Y231" s="3"/>
      <c r="Z231" s="3"/>
    </row>
    <row r="232" spans="1:26" ht="22.5" customHeight="1" x14ac:dyDescent="0.85">
      <c r="A232" s="166"/>
      <c r="B232" s="167"/>
      <c r="C232" s="167"/>
      <c r="D232" s="147"/>
      <c r="E232" s="147"/>
      <c r="F232" s="147"/>
      <c r="G232" s="147"/>
      <c r="H232" s="147"/>
      <c r="I232" s="147"/>
      <c r="J232" s="147"/>
      <c r="K232" s="3"/>
      <c r="L232" s="3"/>
      <c r="M232" s="3"/>
      <c r="N232" s="3"/>
      <c r="O232" s="3"/>
      <c r="P232" s="3"/>
      <c r="Q232" s="3"/>
      <c r="R232" s="3"/>
      <c r="S232" s="3"/>
      <c r="T232" s="3"/>
      <c r="U232" s="3"/>
      <c r="V232" s="3"/>
      <c r="W232" s="3"/>
      <c r="X232" s="3"/>
      <c r="Y232" s="3"/>
      <c r="Z232" s="3"/>
    </row>
    <row r="233" spans="1:26" ht="22.5" customHeight="1" x14ac:dyDescent="0.85">
      <c r="A233" s="166"/>
      <c r="B233" s="167"/>
      <c r="C233" s="167"/>
      <c r="D233" s="147"/>
      <c r="E233" s="147"/>
      <c r="F233" s="147"/>
      <c r="G233" s="147"/>
      <c r="H233" s="147"/>
      <c r="I233" s="147"/>
      <c r="J233" s="147"/>
      <c r="K233" s="3"/>
      <c r="L233" s="3"/>
      <c r="M233" s="3"/>
      <c r="N233" s="3"/>
      <c r="O233" s="3"/>
      <c r="P233" s="3"/>
      <c r="Q233" s="3"/>
      <c r="R233" s="3"/>
      <c r="S233" s="3"/>
      <c r="T233" s="3"/>
      <c r="U233" s="3"/>
      <c r="V233" s="3"/>
      <c r="W233" s="3"/>
      <c r="X233" s="3"/>
      <c r="Y233" s="3"/>
      <c r="Z233" s="3"/>
    </row>
    <row r="234" spans="1:26" ht="22.5" customHeight="1" x14ac:dyDescent="0.85">
      <c r="A234" s="166"/>
      <c r="B234" s="167"/>
      <c r="C234" s="167"/>
      <c r="D234" s="147"/>
      <c r="E234" s="147"/>
      <c r="F234" s="147"/>
      <c r="G234" s="147"/>
      <c r="H234" s="147"/>
      <c r="I234" s="147"/>
      <c r="J234" s="147"/>
      <c r="K234" s="3"/>
      <c r="L234" s="3"/>
      <c r="M234" s="3"/>
      <c r="N234" s="3"/>
      <c r="O234" s="3"/>
      <c r="P234" s="3"/>
      <c r="Q234" s="3"/>
      <c r="R234" s="3"/>
      <c r="S234" s="3"/>
      <c r="T234" s="3"/>
      <c r="U234" s="3"/>
      <c r="V234" s="3"/>
      <c r="W234" s="3"/>
      <c r="X234" s="3"/>
      <c r="Y234" s="3"/>
      <c r="Z234" s="3"/>
    </row>
    <row r="235" spans="1:26" ht="22.5" customHeight="1" x14ac:dyDescent="0.85">
      <c r="A235" s="166"/>
      <c r="B235" s="167"/>
      <c r="C235" s="167"/>
      <c r="D235" s="147"/>
      <c r="E235" s="147"/>
      <c r="F235" s="147"/>
      <c r="G235" s="147"/>
      <c r="H235" s="147"/>
      <c r="I235" s="147"/>
      <c r="J235" s="147"/>
      <c r="K235" s="3"/>
      <c r="L235" s="3"/>
      <c r="M235" s="3"/>
      <c r="N235" s="3"/>
      <c r="O235" s="3"/>
      <c r="P235" s="3"/>
      <c r="Q235" s="3"/>
      <c r="R235" s="3"/>
      <c r="S235" s="3"/>
      <c r="T235" s="3"/>
      <c r="U235" s="3"/>
      <c r="V235" s="3"/>
      <c r="W235" s="3"/>
      <c r="X235" s="3"/>
      <c r="Y235" s="3"/>
      <c r="Z235" s="3"/>
    </row>
    <row r="236" spans="1:26" ht="22.5" customHeight="1" x14ac:dyDescent="0.85">
      <c r="A236" s="166"/>
      <c r="B236" s="167"/>
      <c r="C236" s="167"/>
      <c r="D236" s="147"/>
      <c r="E236" s="147"/>
      <c r="F236" s="147"/>
      <c r="G236" s="147"/>
      <c r="H236" s="147"/>
      <c r="I236" s="147"/>
      <c r="J236" s="147"/>
      <c r="K236" s="3"/>
      <c r="L236" s="3"/>
      <c r="M236" s="3"/>
      <c r="N236" s="3"/>
      <c r="O236" s="3"/>
      <c r="P236" s="3"/>
      <c r="Q236" s="3"/>
      <c r="R236" s="3"/>
      <c r="S236" s="3"/>
      <c r="T236" s="3"/>
      <c r="U236" s="3"/>
      <c r="V236" s="3"/>
      <c r="W236" s="3"/>
      <c r="X236" s="3"/>
      <c r="Y236" s="3"/>
      <c r="Z236" s="3"/>
    </row>
    <row r="237" spans="1:26" ht="22.5" customHeight="1" x14ac:dyDescent="0.85">
      <c r="A237" s="166"/>
      <c r="B237" s="167"/>
      <c r="C237" s="167"/>
      <c r="D237" s="147"/>
      <c r="E237" s="147"/>
      <c r="F237" s="147"/>
      <c r="G237" s="147"/>
      <c r="H237" s="147"/>
      <c r="I237" s="147"/>
      <c r="J237" s="147"/>
      <c r="K237" s="3"/>
      <c r="L237" s="3"/>
      <c r="M237" s="3"/>
      <c r="N237" s="3"/>
      <c r="O237" s="3"/>
      <c r="P237" s="3"/>
      <c r="Q237" s="3"/>
      <c r="R237" s="3"/>
      <c r="S237" s="3"/>
      <c r="T237" s="3"/>
      <c r="U237" s="3"/>
      <c r="V237" s="3"/>
      <c r="W237" s="3"/>
      <c r="X237" s="3"/>
      <c r="Y237" s="3"/>
      <c r="Z237" s="3"/>
    </row>
    <row r="238" spans="1:26" ht="22.5" customHeight="1" x14ac:dyDescent="0.85">
      <c r="A238" s="166"/>
      <c r="B238" s="167"/>
      <c r="C238" s="167"/>
      <c r="D238" s="147"/>
      <c r="E238" s="147"/>
      <c r="F238" s="147"/>
      <c r="G238" s="147"/>
      <c r="H238" s="147"/>
      <c r="I238" s="147"/>
      <c r="J238" s="147"/>
      <c r="K238" s="3"/>
      <c r="L238" s="3"/>
      <c r="M238" s="3"/>
      <c r="N238" s="3"/>
      <c r="O238" s="3"/>
      <c r="P238" s="3"/>
      <c r="Q238" s="3"/>
      <c r="R238" s="3"/>
      <c r="S238" s="3"/>
      <c r="T238" s="3"/>
      <c r="U238" s="3"/>
      <c r="V238" s="3"/>
      <c r="W238" s="3"/>
      <c r="X238" s="3"/>
      <c r="Y238" s="3"/>
      <c r="Z238" s="3"/>
    </row>
    <row r="239" spans="1:26" ht="22.5" customHeight="1" x14ac:dyDescent="0.85">
      <c r="A239" s="166"/>
      <c r="B239" s="167"/>
      <c r="C239" s="167"/>
      <c r="D239" s="147"/>
      <c r="E239" s="147"/>
      <c r="F239" s="147"/>
      <c r="G239" s="147"/>
      <c r="H239" s="147"/>
      <c r="I239" s="147"/>
      <c r="J239" s="147"/>
      <c r="K239" s="3"/>
      <c r="L239" s="3"/>
      <c r="M239" s="3"/>
      <c r="N239" s="3"/>
      <c r="O239" s="3"/>
      <c r="P239" s="3"/>
      <c r="Q239" s="3"/>
      <c r="R239" s="3"/>
      <c r="S239" s="3"/>
      <c r="T239" s="3"/>
      <c r="U239" s="3"/>
      <c r="V239" s="3"/>
      <c r="W239" s="3"/>
      <c r="X239" s="3"/>
      <c r="Y239" s="3"/>
      <c r="Z239" s="3"/>
    </row>
    <row r="240" spans="1:26" ht="22.5" customHeight="1" x14ac:dyDescent="0.85">
      <c r="A240" s="166"/>
      <c r="B240" s="167"/>
      <c r="C240" s="167"/>
      <c r="D240" s="147"/>
      <c r="E240" s="147"/>
      <c r="F240" s="147"/>
      <c r="G240" s="147"/>
      <c r="H240" s="147"/>
      <c r="I240" s="147"/>
      <c r="J240" s="147"/>
      <c r="K240" s="3"/>
      <c r="L240" s="3"/>
      <c r="M240" s="3"/>
      <c r="N240" s="3"/>
      <c r="O240" s="3"/>
      <c r="P240" s="3"/>
      <c r="Q240" s="3"/>
      <c r="R240" s="3"/>
      <c r="S240" s="3"/>
      <c r="T240" s="3"/>
      <c r="U240" s="3"/>
      <c r="V240" s="3"/>
      <c r="W240" s="3"/>
      <c r="X240" s="3"/>
      <c r="Y240" s="3"/>
      <c r="Z240" s="3"/>
    </row>
    <row r="241" spans="1:26" ht="22.5" customHeight="1" x14ac:dyDescent="0.85">
      <c r="A241" s="166"/>
      <c r="B241" s="167"/>
      <c r="C241" s="167"/>
      <c r="D241" s="147"/>
      <c r="E241" s="147"/>
      <c r="F241" s="147"/>
      <c r="G241" s="147"/>
      <c r="H241" s="147"/>
      <c r="I241" s="147"/>
      <c r="J241" s="147"/>
      <c r="K241" s="3"/>
      <c r="L241" s="3"/>
      <c r="M241" s="3"/>
      <c r="N241" s="3"/>
      <c r="O241" s="3"/>
      <c r="P241" s="3"/>
      <c r="Q241" s="3"/>
      <c r="R241" s="3"/>
      <c r="S241" s="3"/>
      <c r="T241" s="3"/>
      <c r="U241" s="3"/>
      <c r="V241" s="3"/>
      <c r="W241" s="3"/>
      <c r="X241" s="3"/>
      <c r="Y241" s="3"/>
      <c r="Z241" s="3"/>
    </row>
    <row r="242" spans="1:26" ht="22.5" customHeight="1" x14ac:dyDescent="0.85">
      <c r="A242" s="166"/>
      <c r="B242" s="167"/>
      <c r="C242" s="167"/>
      <c r="D242" s="147"/>
      <c r="E242" s="147"/>
      <c r="F242" s="147"/>
      <c r="G242" s="147"/>
      <c r="H242" s="147"/>
      <c r="I242" s="147"/>
      <c r="J242" s="147"/>
      <c r="K242" s="3"/>
      <c r="L242" s="3"/>
      <c r="M242" s="3"/>
      <c r="N242" s="3"/>
      <c r="O242" s="3"/>
      <c r="P242" s="3"/>
      <c r="Q242" s="3"/>
      <c r="R242" s="3"/>
      <c r="S242" s="3"/>
      <c r="T242" s="3"/>
      <c r="U242" s="3"/>
      <c r="V242" s="3"/>
      <c r="W242" s="3"/>
      <c r="X242" s="3"/>
      <c r="Y242" s="3"/>
      <c r="Z242" s="3"/>
    </row>
    <row r="243" spans="1:26" ht="22.5" customHeight="1" x14ac:dyDescent="0.85">
      <c r="A243" s="166"/>
      <c r="B243" s="167"/>
      <c r="C243" s="167"/>
      <c r="D243" s="147"/>
      <c r="E243" s="147"/>
      <c r="F243" s="147"/>
      <c r="G243" s="147"/>
      <c r="H243" s="147"/>
      <c r="I243" s="147"/>
      <c r="J243" s="147"/>
      <c r="K243" s="3"/>
      <c r="L243" s="3"/>
      <c r="M243" s="3"/>
      <c r="N243" s="3"/>
      <c r="O243" s="3"/>
      <c r="P243" s="3"/>
      <c r="Q243" s="3"/>
      <c r="R243" s="3"/>
      <c r="S243" s="3"/>
      <c r="T243" s="3"/>
      <c r="U243" s="3"/>
      <c r="V243" s="3"/>
      <c r="W243" s="3"/>
      <c r="X243" s="3"/>
      <c r="Y243" s="3"/>
      <c r="Z243" s="3"/>
    </row>
    <row r="244" spans="1:26" ht="22.5" customHeight="1" x14ac:dyDescent="0.85">
      <c r="A244" s="166"/>
      <c r="B244" s="167"/>
      <c r="C244" s="167"/>
      <c r="D244" s="147"/>
      <c r="E244" s="147"/>
      <c r="F244" s="147"/>
      <c r="G244" s="147"/>
      <c r="H244" s="147"/>
      <c r="I244" s="147"/>
      <c r="J244" s="147"/>
      <c r="K244" s="3"/>
      <c r="L244" s="3"/>
      <c r="M244" s="3"/>
      <c r="N244" s="3"/>
      <c r="O244" s="3"/>
      <c r="P244" s="3"/>
      <c r="Q244" s="3"/>
      <c r="R244" s="3"/>
      <c r="S244" s="3"/>
      <c r="T244" s="3"/>
      <c r="U244" s="3"/>
      <c r="V244" s="3"/>
      <c r="W244" s="3"/>
      <c r="X244" s="3"/>
      <c r="Y244" s="3"/>
      <c r="Z244" s="3"/>
    </row>
    <row r="245" spans="1:26" ht="22.5" customHeight="1" x14ac:dyDescent="0.85">
      <c r="A245" s="166"/>
      <c r="B245" s="167"/>
      <c r="C245" s="167"/>
      <c r="D245" s="147"/>
      <c r="E245" s="147"/>
      <c r="F245" s="147"/>
      <c r="G245" s="147"/>
      <c r="H245" s="147"/>
      <c r="I245" s="147"/>
      <c r="J245" s="147"/>
      <c r="K245" s="3"/>
      <c r="L245" s="3"/>
      <c r="M245" s="3"/>
      <c r="N245" s="3"/>
      <c r="O245" s="3"/>
      <c r="P245" s="3"/>
      <c r="Q245" s="3"/>
      <c r="R245" s="3"/>
      <c r="S245" s="3"/>
      <c r="T245" s="3"/>
      <c r="U245" s="3"/>
      <c r="V245" s="3"/>
      <c r="W245" s="3"/>
      <c r="X245" s="3"/>
      <c r="Y245" s="3"/>
      <c r="Z245" s="3"/>
    </row>
    <row r="246" spans="1:26" ht="22.5" customHeight="1" x14ac:dyDescent="0.85">
      <c r="A246" s="166"/>
      <c r="B246" s="167"/>
      <c r="C246" s="167"/>
      <c r="D246" s="147"/>
      <c r="E246" s="147"/>
      <c r="F246" s="147"/>
      <c r="G246" s="147"/>
      <c r="H246" s="147"/>
      <c r="I246" s="147"/>
      <c r="J246" s="147"/>
      <c r="K246" s="3"/>
      <c r="L246" s="3"/>
      <c r="M246" s="3"/>
      <c r="N246" s="3"/>
      <c r="O246" s="3"/>
      <c r="P246" s="3"/>
      <c r="Q246" s="3"/>
      <c r="R246" s="3"/>
      <c r="S246" s="3"/>
      <c r="T246" s="3"/>
      <c r="U246" s="3"/>
      <c r="V246" s="3"/>
      <c r="W246" s="3"/>
      <c r="X246" s="3"/>
      <c r="Y246" s="3"/>
      <c r="Z246" s="3"/>
    </row>
    <row r="247" spans="1:26" ht="22.5" customHeight="1" x14ac:dyDescent="0.85">
      <c r="A247" s="166"/>
      <c r="B247" s="167"/>
      <c r="C247" s="167"/>
      <c r="D247" s="147"/>
      <c r="E247" s="147"/>
      <c r="F247" s="147"/>
      <c r="G247" s="147"/>
      <c r="H247" s="147"/>
      <c r="I247" s="147"/>
      <c r="J247" s="147"/>
      <c r="K247" s="3"/>
      <c r="L247" s="3"/>
      <c r="M247" s="3"/>
      <c r="N247" s="3"/>
      <c r="O247" s="3"/>
      <c r="P247" s="3"/>
      <c r="Q247" s="3"/>
      <c r="R247" s="3"/>
      <c r="S247" s="3"/>
      <c r="T247" s="3"/>
      <c r="U247" s="3"/>
      <c r="V247" s="3"/>
      <c r="W247" s="3"/>
      <c r="X247" s="3"/>
      <c r="Y247" s="3"/>
      <c r="Z247" s="3"/>
    </row>
    <row r="248" spans="1:26" ht="22.5" customHeight="1" x14ac:dyDescent="0.85">
      <c r="A248" s="166"/>
      <c r="B248" s="167"/>
      <c r="C248" s="167"/>
      <c r="D248" s="147"/>
      <c r="E248" s="147"/>
      <c r="F248" s="147"/>
      <c r="G248" s="147"/>
      <c r="H248" s="147"/>
      <c r="I248" s="147"/>
      <c r="J248" s="147"/>
      <c r="K248" s="3"/>
      <c r="L248" s="3"/>
      <c r="M248" s="3"/>
      <c r="N248" s="3"/>
      <c r="O248" s="3"/>
      <c r="P248" s="3"/>
      <c r="Q248" s="3"/>
      <c r="R248" s="3"/>
      <c r="S248" s="3"/>
      <c r="T248" s="3"/>
      <c r="U248" s="3"/>
      <c r="V248" s="3"/>
      <c r="W248" s="3"/>
      <c r="X248" s="3"/>
      <c r="Y248" s="3"/>
      <c r="Z248" s="3"/>
    </row>
    <row r="249" spans="1:26" ht="22.5" customHeight="1" x14ac:dyDescent="0.85">
      <c r="A249" s="166"/>
      <c r="B249" s="167"/>
      <c r="C249" s="167"/>
      <c r="D249" s="147"/>
      <c r="E249" s="147"/>
      <c r="F249" s="147"/>
      <c r="G249" s="147"/>
      <c r="H249" s="147"/>
      <c r="I249" s="147"/>
      <c r="J249" s="147"/>
      <c r="K249" s="3"/>
      <c r="L249" s="3"/>
      <c r="M249" s="3"/>
      <c r="N249" s="3"/>
      <c r="O249" s="3"/>
      <c r="P249" s="3"/>
      <c r="Q249" s="3"/>
      <c r="R249" s="3"/>
      <c r="S249" s="3"/>
      <c r="T249" s="3"/>
      <c r="U249" s="3"/>
      <c r="V249" s="3"/>
      <c r="W249" s="3"/>
      <c r="X249" s="3"/>
      <c r="Y249" s="3"/>
      <c r="Z249" s="3"/>
    </row>
    <row r="250" spans="1:26" ht="22.5" customHeight="1" x14ac:dyDescent="0.85">
      <c r="A250" s="166"/>
      <c r="B250" s="167"/>
      <c r="C250" s="167"/>
      <c r="D250" s="147"/>
      <c r="E250" s="147"/>
      <c r="F250" s="147"/>
      <c r="G250" s="147"/>
      <c r="H250" s="147"/>
      <c r="I250" s="147"/>
      <c r="J250" s="147"/>
      <c r="K250" s="3"/>
      <c r="L250" s="3"/>
      <c r="M250" s="3"/>
      <c r="N250" s="3"/>
      <c r="O250" s="3"/>
      <c r="P250" s="3"/>
      <c r="Q250" s="3"/>
      <c r="R250" s="3"/>
      <c r="S250" s="3"/>
      <c r="T250" s="3"/>
      <c r="U250" s="3"/>
      <c r="V250" s="3"/>
      <c r="W250" s="3"/>
      <c r="X250" s="3"/>
      <c r="Y250" s="3"/>
      <c r="Z250" s="3"/>
    </row>
    <row r="251" spans="1:26" ht="22.5" customHeight="1" x14ac:dyDescent="0.85">
      <c r="A251" s="166"/>
      <c r="B251" s="167"/>
      <c r="C251" s="167"/>
      <c r="D251" s="147"/>
      <c r="E251" s="147"/>
      <c r="F251" s="147"/>
      <c r="G251" s="147"/>
      <c r="H251" s="147"/>
      <c r="I251" s="147"/>
      <c r="J251" s="147"/>
      <c r="K251" s="3"/>
      <c r="L251" s="3"/>
      <c r="M251" s="3"/>
      <c r="N251" s="3"/>
      <c r="O251" s="3"/>
      <c r="P251" s="3"/>
      <c r="Q251" s="3"/>
      <c r="R251" s="3"/>
      <c r="S251" s="3"/>
      <c r="T251" s="3"/>
      <c r="U251" s="3"/>
      <c r="V251" s="3"/>
      <c r="W251" s="3"/>
      <c r="X251" s="3"/>
      <c r="Y251" s="3"/>
      <c r="Z251" s="3"/>
    </row>
    <row r="252" spans="1:26" ht="22.5" customHeight="1" x14ac:dyDescent="0.85">
      <c r="A252" s="166"/>
      <c r="B252" s="167"/>
      <c r="C252" s="167"/>
      <c r="D252" s="147"/>
      <c r="E252" s="147"/>
      <c r="F252" s="147"/>
      <c r="G252" s="147"/>
      <c r="H252" s="147"/>
      <c r="I252" s="147"/>
      <c r="J252" s="147"/>
      <c r="K252" s="3"/>
      <c r="L252" s="3"/>
      <c r="M252" s="3"/>
      <c r="N252" s="3"/>
      <c r="O252" s="3"/>
      <c r="P252" s="3"/>
      <c r="Q252" s="3"/>
      <c r="R252" s="3"/>
      <c r="S252" s="3"/>
      <c r="T252" s="3"/>
      <c r="U252" s="3"/>
      <c r="V252" s="3"/>
      <c r="W252" s="3"/>
      <c r="X252" s="3"/>
      <c r="Y252" s="3"/>
      <c r="Z252" s="3"/>
    </row>
    <row r="253" spans="1:26" ht="22.5" customHeight="1" x14ac:dyDescent="0.85">
      <c r="A253" s="166"/>
      <c r="B253" s="167"/>
      <c r="C253" s="167"/>
      <c r="D253" s="147"/>
      <c r="E253" s="147"/>
      <c r="F253" s="147"/>
      <c r="G253" s="147"/>
      <c r="H253" s="147"/>
      <c r="I253" s="147"/>
      <c r="J253" s="147"/>
      <c r="K253" s="3"/>
      <c r="L253" s="3"/>
      <c r="M253" s="3"/>
      <c r="N253" s="3"/>
      <c r="O253" s="3"/>
      <c r="P253" s="3"/>
      <c r="Q253" s="3"/>
      <c r="R253" s="3"/>
      <c r="S253" s="3"/>
      <c r="T253" s="3"/>
      <c r="U253" s="3"/>
      <c r="V253" s="3"/>
      <c r="W253" s="3"/>
      <c r="X253" s="3"/>
      <c r="Y253" s="3"/>
      <c r="Z253" s="3"/>
    </row>
    <row r="254" spans="1:26" ht="22.5" customHeight="1" x14ac:dyDescent="0.85">
      <c r="A254" s="166"/>
      <c r="B254" s="167"/>
      <c r="C254" s="167"/>
      <c r="D254" s="147"/>
      <c r="E254" s="147"/>
      <c r="F254" s="147"/>
      <c r="G254" s="147"/>
      <c r="H254" s="147"/>
      <c r="I254" s="147"/>
      <c r="J254" s="147"/>
      <c r="K254" s="3"/>
      <c r="L254" s="3"/>
      <c r="M254" s="3"/>
      <c r="N254" s="3"/>
      <c r="O254" s="3"/>
      <c r="P254" s="3"/>
      <c r="Q254" s="3"/>
      <c r="R254" s="3"/>
      <c r="S254" s="3"/>
      <c r="T254" s="3"/>
      <c r="U254" s="3"/>
      <c r="V254" s="3"/>
      <c r="W254" s="3"/>
      <c r="X254" s="3"/>
      <c r="Y254" s="3"/>
      <c r="Z254" s="3"/>
    </row>
    <row r="255" spans="1:26" ht="22.5" customHeight="1" x14ac:dyDescent="0.85">
      <c r="A255" s="166"/>
      <c r="B255" s="167"/>
      <c r="C255" s="167"/>
      <c r="D255" s="147"/>
      <c r="E255" s="147"/>
      <c r="F255" s="147"/>
      <c r="G255" s="147"/>
      <c r="H255" s="147"/>
      <c r="I255" s="147"/>
      <c r="J255" s="147"/>
      <c r="K255" s="3"/>
      <c r="L255" s="3"/>
      <c r="M255" s="3"/>
      <c r="N255" s="3"/>
      <c r="O255" s="3"/>
      <c r="P255" s="3"/>
      <c r="Q255" s="3"/>
      <c r="R255" s="3"/>
      <c r="S255" s="3"/>
      <c r="T255" s="3"/>
      <c r="U255" s="3"/>
      <c r="V255" s="3"/>
      <c r="W255" s="3"/>
      <c r="X255" s="3"/>
      <c r="Y255" s="3"/>
      <c r="Z255" s="3"/>
    </row>
    <row r="256" spans="1:26" ht="22.5" customHeight="1" x14ac:dyDescent="0.85">
      <c r="A256" s="166"/>
      <c r="B256" s="167"/>
      <c r="C256" s="167"/>
      <c r="D256" s="147"/>
      <c r="E256" s="147"/>
      <c r="F256" s="147"/>
      <c r="G256" s="147"/>
      <c r="H256" s="147"/>
      <c r="I256" s="147"/>
      <c r="J256" s="147"/>
      <c r="K256" s="3"/>
      <c r="L256" s="3"/>
      <c r="M256" s="3"/>
      <c r="N256" s="3"/>
      <c r="O256" s="3"/>
      <c r="P256" s="3"/>
      <c r="Q256" s="3"/>
      <c r="R256" s="3"/>
      <c r="S256" s="3"/>
      <c r="T256" s="3"/>
      <c r="U256" s="3"/>
      <c r="V256" s="3"/>
      <c r="W256" s="3"/>
      <c r="X256" s="3"/>
      <c r="Y256" s="3"/>
      <c r="Z256" s="3"/>
    </row>
    <row r="257" spans="1:26" ht="22.5" customHeight="1" x14ac:dyDescent="0.85">
      <c r="A257" s="166"/>
      <c r="B257" s="167"/>
      <c r="C257" s="167"/>
      <c r="D257" s="147"/>
      <c r="E257" s="147"/>
      <c r="F257" s="147"/>
      <c r="G257" s="147"/>
      <c r="H257" s="147"/>
      <c r="I257" s="147"/>
      <c r="J257" s="147"/>
      <c r="K257" s="3"/>
      <c r="L257" s="3"/>
      <c r="M257" s="3"/>
      <c r="N257" s="3"/>
      <c r="O257" s="3"/>
      <c r="P257" s="3"/>
      <c r="Q257" s="3"/>
      <c r="R257" s="3"/>
      <c r="S257" s="3"/>
      <c r="T257" s="3"/>
      <c r="U257" s="3"/>
      <c r="V257" s="3"/>
      <c r="W257" s="3"/>
      <c r="X257" s="3"/>
      <c r="Y257" s="3"/>
      <c r="Z257" s="3"/>
    </row>
    <row r="258" spans="1:26" ht="22.5" customHeight="1" x14ac:dyDescent="0.85">
      <c r="A258" s="166"/>
      <c r="B258" s="167"/>
      <c r="C258" s="167"/>
      <c r="D258" s="147"/>
      <c r="E258" s="147"/>
      <c r="F258" s="147"/>
      <c r="G258" s="147"/>
      <c r="H258" s="147"/>
      <c r="I258" s="147"/>
      <c r="J258" s="147"/>
      <c r="K258" s="3"/>
      <c r="L258" s="3"/>
      <c r="M258" s="3"/>
      <c r="N258" s="3"/>
      <c r="O258" s="3"/>
      <c r="P258" s="3"/>
      <c r="Q258" s="3"/>
      <c r="R258" s="3"/>
      <c r="S258" s="3"/>
      <c r="T258" s="3"/>
      <c r="U258" s="3"/>
      <c r="V258" s="3"/>
      <c r="W258" s="3"/>
      <c r="X258" s="3"/>
      <c r="Y258" s="3"/>
      <c r="Z258" s="3"/>
    </row>
    <row r="259" spans="1:26" ht="22.5" customHeight="1" x14ac:dyDescent="0.85">
      <c r="A259" s="166"/>
      <c r="B259" s="167"/>
      <c r="C259" s="167"/>
      <c r="D259" s="147"/>
      <c r="E259" s="147"/>
      <c r="F259" s="147"/>
      <c r="G259" s="147"/>
      <c r="H259" s="147"/>
      <c r="I259" s="147"/>
      <c r="J259" s="147"/>
      <c r="K259" s="3"/>
      <c r="L259" s="3"/>
      <c r="M259" s="3"/>
      <c r="N259" s="3"/>
      <c r="O259" s="3"/>
      <c r="P259" s="3"/>
      <c r="Q259" s="3"/>
      <c r="R259" s="3"/>
      <c r="S259" s="3"/>
      <c r="T259" s="3"/>
      <c r="U259" s="3"/>
      <c r="V259" s="3"/>
      <c r="W259" s="3"/>
      <c r="X259" s="3"/>
      <c r="Y259" s="3"/>
      <c r="Z259" s="3"/>
    </row>
    <row r="260" spans="1:26" ht="22.5" customHeight="1" x14ac:dyDescent="0.85">
      <c r="A260" s="166"/>
      <c r="B260" s="167"/>
      <c r="C260" s="167"/>
      <c r="D260" s="147"/>
      <c r="E260" s="147"/>
      <c r="F260" s="147"/>
      <c r="G260" s="147"/>
      <c r="H260" s="147"/>
      <c r="I260" s="147"/>
      <c r="J260" s="147"/>
      <c r="K260" s="3"/>
      <c r="L260" s="3"/>
      <c r="M260" s="3"/>
      <c r="N260" s="3"/>
      <c r="O260" s="3"/>
      <c r="P260" s="3"/>
      <c r="Q260" s="3"/>
      <c r="R260" s="3"/>
      <c r="S260" s="3"/>
      <c r="T260" s="3"/>
      <c r="U260" s="3"/>
      <c r="V260" s="3"/>
      <c r="W260" s="3"/>
      <c r="X260" s="3"/>
      <c r="Y260" s="3"/>
      <c r="Z260" s="3"/>
    </row>
    <row r="261" spans="1:26" ht="22.5" customHeight="1" x14ac:dyDescent="0.85">
      <c r="A261" s="166"/>
      <c r="B261" s="167"/>
      <c r="C261" s="167"/>
      <c r="D261" s="147"/>
      <c r="E261" s="147"/>
      <c r="F261" s="147"/>
      <c r="G261" s="147"/>
      <c r="H261" s="147"/>
      <c r="I261" s="147"/>
      <c r="J261" s="147"/>
      <c r="K261" s="3"/>
      <c r="L261" s="3"/>
      <c r="M261" s="3"/>
      <c r="N261" s="3"/>
      <c r="O261" s="3"/>
      <c r="P261" s="3"/>
      <c r="Q261" s="3"/>
      <c r="R261" s="3"/>
      <c r="S261" s="3"/>
      <c r="T261" s="3"/>
      <c r="U261" s="3"/>
      <c r="V261" s="3"/>
      <c r="W261" s="3"/>
      <c r="X261" s="3"/>
      <c r="Y261" s="3"/>
      <c r="Z261" s="3"/>
    </row>
    <row r="262" spans="1:26" ht="22.5" customHeight="1" x14ac:dyDescent="0.85">
      <c r="A262" s="166"/>
      <c r="B262" s="167"/>
      <c r="C262" s="167"/>
      <c r="D262" s="147"/>
      <c r="E262" s="147"/>
      <c r="F262" s="147"/>
      <c r="G262" s="147"/>
      <c r="H262" s="147"/>
      <c r="I262" s="147"/>
      <c r="J262" s="147"/>
      <c r="K262" s="3"/>
      <c r="L262" s="3"/>
      <c r="M262" s="3"/>
      <c r="N262" s="3"/>
      <c r="O262" s="3"/>
      <c r="P262" s="3"/>
      <c r="Q262" s="3"/>
      <c r="R262" s="3"/>
      <c r="S262" s="3"/>
      <c r="T262" s="3"/>
      <c r="U262" s="3"/>
      <c r="V262" s="3"/>
      <c r="W262" s="3"/>
      <c r="X262" s="3"/>
      <c r="Y262" s="3"/>
      <c r="Z262" s="3"/>
    </row>
    <row r="263" spans="1:26" ht="22.5" customHeight="1" x14ac:dyDescent="0.85">
      <c r="A263" s="166"/>
      <c r="B263" s="167"/>
      <c r="C263" s="167"/>
      <c r="D263" s="147"/>
      <c r="E263" s="147"/>
      <c r="F263" s="147"/>
      <c r="G263" s="147"/>
      <c r="H263" s="147"/>
      <c r="I263" s="147"/>
      <c r="J263" s="147"/>
      <c r="K263" s="3"/>
      <c r="L263" s="3"/>
      <c r="M263" s="3"/>
      <c r="N263" s="3"/>
      <c r="O263" s="3"/>
      <c r="P263" s="3"/>
      <c r="Q263" s="3"/>
      <c r="R263" s="3"/>
      <c r="S263" s="3"/>
      <c r="T263" s="3"/>
      <c r="U263" s="3"/>
      <c r="V263" s="3"/>
      <c r="W263" s="3"/>
      <c r="X263" s="3"/>
      <c r="Y263" s="3"/>
      <c r="Z263" s="3"/>
    </row>
    <row r="264" spans="1:26" ht="22.5" customHeight="1" x14ac:dyDescent="0.85">
      <c r="A264" s="166"/>
      <c r="B264" s="167"/>
      <c r="C264" s="167"/>
      <c r="D264" s="147"/>
      <c r="E264" s="147"/>
      <c r="F264" s="147"/>
      <c r="G264" s="147"/>
      <c r="H264" s="147"/>
      <c r="I264" s="147"/>
      <c r="J264" s="147"/>
      <c r="K264" s="3"/>
      <c r="L264" s="3"/>
      <c r="M264" s="3"/>
      <c r="N264" s="3"/>
      <c r="O264" s="3"/>
      <c r="P264" s="3"/>
      <c r="Q264" s="3"/>
      <c r="R264" s="3"/>
      <c r="S264" s="3"/>
      <c r="T264" s="3"/>
      <c r="U264" s="3"/>
      <c r="V264" s="3"/>
      <c r="W264" s="3"/>
      <c r="X264" s="3"/>
      <c r="Y264" s="3"/>
      <c r="Z264" s="3"/>
    </row>
    <row r="265" spans="1:26" ht="22.5" customHeight="1" x14ac:dyDescent="0.85">
      <c r="A265" s="166"/>
      <c r="B265" s="167"/>
      <c r="C265" s="167"/>
      <c r="D265" s="147"/>
      <c r="E265" s="147"/>
      <c r="F265" s="147"/>
      <c r="G265" s="147"/>
      <c r="H265" s="147"/>
      <c r="I265" s="147"/>
      <c r="J265" s="147"/>
      <c r="K265" s="3"/>
      <c r="L265" s="3"/>
      <c r="M265" s="3"/>
      <c r="N265" s="3"/>
      <c r="O265" s="3"/>
      <c r="P265" s="3"/>
      <c r="Q265" s="3"/>
      <c r="R265" s="3"/>
      <c r="S265" s="3"/>
      <c r="T265" s="3"/>
      <c r="U265" s="3"/>
      <c r="V265" s="3"/>
      <c r="W265" s="3"/>
      <c r="X265" s="3"/>
      <c r="Y265" s="3"/>
      <c r="Z265" s="3"/>
    </row>
    <row r="266" spans="1:26" ht="22.5" customHeight="1" x14ac:dyDescent="0.85">
      <c r="A266" s="166"/>
      <c r="B266" s="167"/>
      <c r="C266" s="167"/>
      <c r="D266" s="147"/>
      <c r="E266" s="147"/>
      <c r="F266" s="147"/>
      <c r="G266" s="147"/>
      <c r="H266" s="147"/>
      <c r="I266" s="147"/>
      <c r="J266" s="147"/>
      <c r="K266" s="3"/>
      <c r="L266" s="3"/>
      <c r="M266" s="3"/>
      <c r="N266" s="3"/>
      <c r="O266" s="3"/>
      <c r="P266" s="3"/>
      <c r="Q266" s="3"/>
      <c r="R266" s="3"/>
      <c r="S266" s="3"/>
      <c r="T266" s="3"/>
      <c r="U266" s="3"/>
      <c r="V266" s="3"/>
      <c r="W266" s="3"/>
      <c r="X266" s="3"/>
      <c r="Y266" s="3"/>
      <c r="Z266" s="3"/>
    </row>
    <row r="267" spans="1:26" ht="22.5" customHeight="1" x14ac:dyDescent="0.85">
      <c r="A267" s="166"/>
      <c r="B267" s="167"/>
      <c r="C267" s="167"/>
      <c r="D267" s="147"/>
      <c r="E267" s="147"/>
      <c r="F267" s="147"/>
      <c r="G267" s="147"/>
      <c r="H267" s="147"/>
      <c r="I267" s="147"/>
      <c r="J267" s="147"/>
      <c r="K267" s="3"/>
      <c r="L267" s="3"/>
      <c r="M267" s="3"/>
      <c r="N267" s="3"/>
      <c r="O267" s="3"/>
      <c r="P267" s="3"/>
      <c r="Q267" s="3"/>
      <c r="R267" s="3"/>
      <c r="S267" s="3"/>
      <c r="T267" s="3"/>
      <c r="U267" s="3"/>
      <c r="V267" s="3"/>
      <c r="W267" s="3"/>
      <c r="X267" s="3"/>
      <c r="Y267" s="3"/>
      <c r="Z267" s="3"/>
    </row>
    <row r="268" spans="1:26" ht="22.5" customHeight="1" x14ac:dyDescent="0.85">
      <c r="A268" s="166"/>
      <c r="B268" s="167"/>
      <c r="C268" s="167"/>
      <c r="D268" s="147"/>
      <c r="E268" s="147"/>
      <c r="F268" s="147"/>
      <c r="G268" s="147"/>
      <c r="H268" s="147"/>
      <c r="I268" s="147"/>
      <c r="J268" s="147"/>
      <c r="K268" s="3"/>
      <c r="L268" s="3"/>
      <c r="M268" s="3"/>
      <c r="N268" s="3"/>
      <c r="O268" s="3"/>
      <c r="P268" s="3"/>
      <c r="Q268" s="3"/>
      <c r="R268" s="3"/>
      <c r="S268" s="3"/>
      <c r="T268" s="3"/>
      <c r="U268" s="3"/>
      <c r="V268" s="3"/>
      <c r="W268" s="3"/>
      <c r="X268" s="3"/>
      <c r="Y268" s="3"/>
      <c r="Z268" s="3"/>
    </row>
    <row r="269" spans="1:26" ht="22.5" customHeight="1" x14ac:dyDescent="0.85">
      <c r="A269" s="166"/>
      <c r="B269" s="167"/>
      <c r="C269" s="167"/>
      <c r="D269" s="147"/>
      <c r="E269" s="147"/>
      <c r="F269" s="147"/>
      <c r="G269" s="147"/>
      <c r="H269" s="147"/>
      <c r="I269" s="147"/>
      <c r="J269" s="147"/>
      <c r="K269" s="3"/>
      <c r="L269" s="3"/>
      <c r="M269" s="3"/>
      <c r="N269" s="3"/>
      <c r="O269" s="3"/>
      <c r="P269" s="3"/>
      <c r="Q269" s="3"/>
      <c r="R269" s="3"/>
      <c r="S269" s="3"/>
      <c r="T269" s="3"/>
      <c r="U269" s="3"/>
      <c r="V269" s="3"/>
      <c r="W269" s="3"/>
      <c r="X269" s="3"/>
      <c r="Y269" s="3"/>
      <c r="Z269" s="3"/>
    </row>
    <row r="270" spans="1:26" ht="22.5" customHeight="1" x14ac:dyDescent="0.85">
      <c r="A270" s="166"/>
      <c r="B270" s="167"/>
      <c r="C270" s="167"/>
      <c r="D270" s="147"/>
      <c r="E270" s="147"/>
      <c r="F270" s="147"/>
      <c r="G270" s="147"/>
      <c r="H270" s="147"/>
      <c r="I270" s="147"/>
      <c r="J270" s="147"/>
      <c r="K270" s="3"/>
      <c r="L270" s="3"/>
      <c r="M270" s="3"/>
      <c r="N270" s="3"/>
      <c r="O270" s="3"/>
      <c r="P270" s="3"/>
      <c r="Q270" s="3"/>
      <c r="R270" s="3"/>
      <c r="S270" s="3"/>
      <c r="T270" s="3"/>
      <c r="U270" s="3"/>
      <c r="V270" s="3"/>
      <c r="W270" s="3"/>
      <c r="X270" s="3"/>
      <c r="Y270" s="3"/>
      <c r="Z270" s="3"/>
    </row>
    <row r="271" spans="1:26" ht="22.5" customHeight="1" x14ac:dyDescent="0.85">
      <c r="A271" s="166"/>
      <c r="B271" s="167"/>
      <c r="C271" s="167"/>
      <c r="D271" s="147"/>
      <c r="E271" s="147"/>
      <c r="F271" s="147"/>
      <c r="G271" s="147"/>
      <c r="H271" s="147"/>
      <c r="I271" s="147"/>
      <c r="J271" s="147"/>
      <c r="K271" s="3"/>
      <c r="L271" s="3"/>
      <c r="M271" s="3"/>
      <c r="N271" s="3"/>
      <c r="O271" s="3"/>
      <c r="P271" s="3"/>
      <c r="Q271" s="3"/>
      <c r="R271" s="3"/>
      <c r="S271" s="3"/>
      <c r="T271" s="3"/>
      <c r="U271" s="3"/>
      <c r="V271" s="3"/>
      <c r="W271" s="3"/>
      <c r="X271" s="3"/>
      <c r="Y271" s="3"/>
      <c r="Z271" s="3"/>
    </row>
    <row r="272" spans="1:26" ht="22.5" customHeight="1" x14ac:dyDescent="0.85">
      <c r="A272" s="166"/>
      <c r="B272" s="167"/>
      <c r="C272" s="167"/>
      <c r="D272" s="147"/>
      <c r="E272" s="147"/>
      <c r="F272" s="147"/>
      <c r="G272" s="147"/>
      <c r="H272" s="147"/>
      <c r="I272" s="147"/>
      <c r="J272" s="147"/>
      <c r="K272" s="3"/>
      <c r="L272" s="3"/>
      <c r="M272" s="3"/>
      <c r="N272" s="3"/>
      <c r="O272" s="3"/>
      <c r="P272" s="3"/>
      <c r="Q272" s="3"/>
      <c r="R272" s="3"/>
      <c r="S272" s="3"/>
      <c r="T272" s="3"/>
      <c r="U272" s="3"/>
      <c r="V272" s="3"/>
      <c r="W272" s="3"/>
      <c r="X272" s="3"/>
      <c r="Y272" s="3"/>
      <c r="Z272" s="3"/>
    </row>
    <row r="273" spans="1:26" ht="22.5" customHeight="1" x14ac:dyDescent="0.85">
      <c r="A273" s="166"/>
      <c r="B273" s="167"/>
      <c r="C273" s="167"/>
      <c r="D273" s="147"/>
      <c r="E273" s="147"/>
      <c r="F273" s="147"/>
      <c r="G273" s="147"/>
      <c r="H273" s="147"/>
      <c r="I273" s="147"/>
      <c r="J273" s="147"/>
      <c r="K273" s="3"/>
      <c r="L273" s="3"/>
      <c r="M273" s="3"/>
      <c r="N273" s="3"/>
      <c r="O273" s="3"/>
      <c r="P273" s="3"/>
      <c r="Q273" s="3"/>
      <c r="R273" s="3"/>
      <c r="S273" s="3"/>
      <c r="T273" s="3"/>
      <c r="U273" s="3"/>
      <c r="V273" s="3"/>
      <c r="W273" s="3"/>
      <c r="X273" s="3"/>
      <c r="Y273" s="3"/>
      <c r="Z273" s="3"/>
    </row>
    <row r="274" spans="1:26" ht="22.5" customHeight="1" x14ac:dyDescent="0.85">
      <c r="A274" s="166"/>
      <c r="B274" s="167"/>
      <c r="C274" s="167"/>
      <c r="D274" s="147"/>
      <c r="E274" s="147"/>
      <c r="F274" s="147"/>
      <c r="G274" s="147"/>
      <c r="H274" s="147"/>
      <c r="I274" s="147"/>
      <c r="J274" s="147"/>
      <c r="K274" s="3"/>
      <c r="L274" s="3"/>
      <c r="M274" s="3"/>
      <c r="N274" s="3"/>
      <c r="O274" s="3"/>
      <c r="P274" s="3"/>
      <c r="Q274" s="3"/>
      <c r="R274" s="3"/>
      <c r="S274" s="3"/>
      <c r="T274" s="3"/>
      <c r="U274" s="3"/>
      <c r="V274" s="3"/>
      <c r="W274" s="3"/>
      <c r="X274" s="3"/>
      <c r="Y274" s="3"/>
      <c r="Z274" s="3"/>
    </row>
    <row r="275" spans="1:26" ht="22.5" customHeight="1" x14ac:dyDescent="0.85">
      <c r="A275" s="166"/>
      <c r="B275" s="167"/>
      <c r="C275" s="167"/>
      <c r="D275" s="147"/>
      <c r="E275" s="147"/>
      <c r="F275" s="147"/>
      <c r="G275" s="147"/>
      <c r="H275" s="147"/>
      <c r="I275" s="147"/>
      <c r="J275" s="147"/>
      <c r="K275" s="3"/>
      <c r="L275" s="3"/>
      <c r="M275" s="3"/>
      <c r="N275" s="3"/>
      <c r="O275" s="3"/>
      <c r="P275" s="3"/>
      <c r="Q275" s="3"/>
      <c r="R275" s="3"/>
      <c r="S275" s="3"/>
      <c r="T275" s="3"/>
      <c r="U275" s="3"/>
      <c r="V275" s="3"/>
      <c r="W275" s="3"/>
      <c r="X275" s="3"/>
      <c r="Y275" s="3"/>
      <c r="Z275" s="3"/>
    </row>
    <row r="276" spans="1:26" ht="22.5" customHeight="1" x14ac:dyDescent="0.85">
      <c r="A276" s="166"/>
      <c r="B276" s="167"/>
      <c r="C276" s="167"/>
      <c r="D276" s="147"/>
      <c r="E276" s="147"/>
      <c r="F276" s="147"/>
      <c r="G276" s="147"/>
      <c r="H276" s="147"/>
      <c r="I276" s="147"/>
      <c r="J276" s="147"/>
      <c r="K276" s="3"/>
      <c r="L276" s="3"/>
      <c r="M276" s="3"/>
      <c r="N276" s="3"/>
      <c r="O276" s="3"/>
      <c r="P276" s="3"/>
      <c r="Q276" s="3"/>
      <c r="R276" s="3"/>
      <c r="S276" s="3"/>
      <c r="T276" s="3"/>
      <c r="U276" s="3"/>
      <c r="V276" s="3"/>
      <c r="W276" s="3"/>
      <c r="X276" s="3"/>
      <c r="Y276" s="3"/>
      <c r="Z276" s="3"/>
    </row>
    <row r="277" spans="1:26" ht="22.5" customHeight="1" x14ac:dyDescent="0.85">
      <c r="A277" s="166"/>
      <c r="B277" s="167"/>
      <c r="C277" s="167"/>
      <c r="D277" s="147"/>
      <c r="E277" s="147"/>
      <c r="F277" s="147"/>
      <c r="G277" s="147"/>
      <c r="H277" s="147"/>
      <c r="I277" s="147"/>
      <c r="J277" s="147"/>
      <c r="K277" s="3"/>
      <c r="L277" s="3"/>
      <c r="M277" s="3"/>
      <c r="N277" s="3"/>
      <c r="O277" s="3"/>
      <c r="P277" s="3"/>
      <c r="Q277" s="3"/>
      <c r="R277" s="3"/>
      <c r="S277" s="3"/>
      <c r="T277" s="3"/>
      <c r="U277" s="3"/>
      <c r="V277" s="3"/>
      <c r="W277" s="3"/>
      <c r="X277" s="3"/>
      <c r="Y277" s="3"/>
      <c r="Z277" s="3"/>
    </row>
    <row r="278" spans="1:26" ht="22.5" customHeight="1" x14ac:dyDescent="0.85">
      <c r="A278" s="166"/>
      <c r="B278" s="167"/>
      <c r="C278" s="167"/>
      <c r="D278" s="147"/>
      <c r="E278" s="147"/>
      <c r="F278" s="147"/>
      <c r="G278" s="147"/>
      <c r="H278" s="147"/>
      <c r="I278" s="147"/>
      <c r="J278" s="147"/>
      <c r="K278" s="3"/>
      <c r="L278" s="3"/>
      <c r="M278" s="3"/>
      <c r="N278" s="3"/>
      <c r="O278" s="3"/>
      <c r="P278" s="3"/>
      <c r="Q278" s="3"/>
      <c r="R278" s="3"/>
      <c r="S278" s="3"/>
      <c r="T278" s="3"/>
      <c r="U278" s="3"/>
      <c r="V278" s="3"/>
      <c r="W278" s="3"/>
      <c r="X278" s="3"/>
      <c r="Y278" s="3"/>
      <c r="Z278" s="3"/>
    </row>
    <row r="279" spans="1:26" ht="22.5" customHeight="1" x14ac:dyDescent="0.85">
      <c r="A279" s="166"/>
      <c r="B279" s="167"/>
      <c r="C279" s="167"/>
      <c r="D279" s="147"/>
      <c r="E279" s="147"/>
      <c r="F279" s="147"/>
      <c r="G279" s="147"/>
      <c r="H279" s="147"/>
      <c r="I279" s="147"/>
      <c r="J279" s="147"/>
      <c r="K279" s="3"/>
      <c r="L279" s="3"/>
      <c r="M279" s="3"/>
      <c r="N279" s="3"/>
      <c r="O279" s="3"/>
      <c r="P279" s="3"/>
      <c r="Q279" s="3"/>
      <c r="R279" s="3"/>
      <c r="S279" s="3"/>
      <c r="T279" s="3"/>
      <c r="U279" s="3"/>
      <c r="V279" s="3"/>
      <c r="W279" s="3"/>
      <c r="X279" s="3"/>
      <c r="Y279" s="3"/>
      <c r="Z279" s="3"/>
    </row>
    <row r="280" spans="1:26" ht="22.5" customHeight="1" x14ac:dyDescent="0.85">
      <c r="A280" s="166"/>
      <c r="B280" s="167"/>
      <c r="C280" s="167"/>
      <c r="D280" s="147"/>
      <c r="E280" s="147"/>
      <c r="F280" s="147"/>
      <c r="G280" s="147"/>
      <c r="H280" s="147"/>
      <c r="I280" s="147"/>
      <c r="J280" s="147"/>
      <c r="K280" s="3"/>
      <c r="L280" s="3"/>
      <c r="M280" s="3"/>
      <c r="N280" s="3"/>
      <c r="O280" s="3"/>
      <c r="P280" s="3"/>
      <c r="Q280" s="3"/>
      <c r="R280" s="3"/>
      <c r="S280" s="3"/>
      <c r="T280" s="3"/>
      <c r="U280" s="3"/>
      <c r="V280" s="3"/>
      <c r="W280" s="3"/>
      <c r="X280" s="3"/>
      <c r="Y280" s="3"/>
      <c r="Z280" s="3"/>
    </row>
    <row r="281" spans="1:26" ht="22.5" customHeight="1" x14ac:dyDescent="0.85">
      <c r="A281" s="166"/>
      <c r="B281" s="167"/>
      <c r="C281" s="167"/>
      <c r="D281" s="147"/>
      <c r="E281" s="147"/>
      <c r="F281" s="147"/>
      <c r="G281" s="147"/>
      <c r="H281" s="147"/>
      <c r="I281" s="147"/>
      <c r="J281" s="147"/>
      <c r="K281" s="3"/>
      <c r="L281" s="3"/>
      <c r="M281" s="3"/>
      <c r="N281" s="3"/>
      <c r="O281" s="3"/>
      <c r="P281" s="3"/>
      <c r="Q281" s="3"/>
      <c r="R281" s="3"/>
      <c r="S281" s="3"/>
      <c r="T281" s="3"/>
      <c r="U281" s="3"/>
      <c r="V281" s="3"/>
      <c r="W281" s="3"/>
      <c r="X281" s="3"/>
      <c r="Y281" s="3"/>
      <c r="Z281" s="3"/>
    </row>
    <row r="282" spans="1:26" ht="22.5" customHeight="1" x14ac:dyDescent="0.85">
      <c r="A282" s="166"/>
      <c r="B282" s="167"/>
      <c r="C282" s="167"/>
      <c r="D282" s="147"/>
      <c r="E282" s="147"/>
      <c r="F282" s="147"/>
      <c r="G282" s="147"/>
      <c r="H282" s="147"/>
      <c r="I282" s="147"/>
      <c r="J282" s="147"/>
      <c r="K282" s="3"/>
      <c r="L282" s="3"/>
      <c r="M282" s="3"/>
      <c r="N282" s="3"/>
      <c r="O282" s="3"/>
      <c r="P282" s="3"/>
      <c r="Q282" s="3"/>
      <c r="R282" s="3"/>
      <c r="S282" s="3"/>
      <c r="T282" s="3"/>
      <c r="U282" s="3"/>
      <c r="V282" s="3"/>
      <c r="W282" s="3"/>
      <c r="X282" s="3"/>
      <c r="Y282" s="3"/>
      <c r="Z282" s="3"/>
    </row>
    <row r="283" spans="1:26" ht="22.5" customHeight="1" x14ac:dyDescent="0.85">
      <c r="A283" s="166"/>
      <c r="B283" s="167"/>
      <c r="C283" s="167"/>
      <c r="D283" s="147"/>
      <c r="E283" s="147"/>
      <c r="F283" s="147"/>
      <c r="G283" s="147"/>
      <c r="H283" s="147"/>
      <c r="I283" s="147"/>
      <c r="J283" s="147"/>
      <c r="K283" s="3"/>
      <c r="L283" s="3"/>
      <c r="M283" s="3"/>
      <c r="N283" s="3"/>
      <c r="O283" s="3"/>
      <c r="P283" s="3"/>
      <c r="Q283" s="3"/>
      <c r="R283" s="3"/>
      <c r="S283" s="3"/>
      <c r="T283" s="3"/>
      <c r="U283" s="3"/>
      <c r="V283" s="3"/>
      <c r="W283" s="3"/>
      <c r="X283" s="3"/>
      <c r="Y283" s="3"/>
      <c r="Z283" s="3"/>
    </row>
    <row r="284" spans="1:26" ht="22.5" customHeight="1" x14ac:dyDescent="0.85">
      <c r="A284" s="166"/>
      <c r="B284" s="167"/>
      <c r="C284" s="167"/>
      <c r="D284" s="147"/>
      <c r="E284" s="147"/>
      <c r="F284" s="147"/>
      <c r="G284" s="147"/>
      <c r="H284" s="147"/>
      <c r="I284" s="147"/>
      <c r="J284" s="147"/>
      <c r="K284" s="3"/>
      <c r="L284" s="3"/>
      <c r="M284" s="3"/>
      <c r="N284" s="3"/>
      <c r="O284" s="3"/>
      <c r="P284" s="3"/>
      <c r="Q284" s="3"/>
      <c r="R284" s="3"/>
      <c r="S284" s="3"/>
      <c r="T284" s="3"/>
      <c r="U284" s="3"/>
      <c r="V284" s="3"/>
      <c r="W284" s="3"/>
      <c r="X284" s="3"/>
      <c r="Y284" s="3"/>
      <c r="Z284" s="3"/>
    </row>
    <row r="285" spans="1:26" ht="22.5" customHeight="1" x14ac:dyDescent="0.85">
      <c r="A285" s="166"/>
      <c r="B285" s="167"/>
      <c r="C285" s="167"/>
      <c r="D285" s="147"/>
      <c r="E285" s="147"/>
      <c r="F285" s="147"/>
      <c r="G285" s="147"/>
      <c r="H285" s="147"/>
      <c r="I285" s="147"/>
      <c r="J285" s="147"/>
      <c r="K285" s="3"/>
      <c r="L285" s="3"/>
      <c r="M285" s="3"/>
      <c r="N285" s="3"/>
      <c r="O285" s="3"/>
      <c r="P285" s="3"/>
      <c r="Q285" s="3"/>
      <c r="R285" s="3"/>
      <c r="S285" s="3"/>
      <c r="T285" s="3"/>
      <c r="U285" s="3"/>
      <c r="V285" s="3"/>
      <c r="W285" s="3"/>
      <c r="X285" s="3"/>
      <c r="Y285" s="3"/>
      <c r="Z285" s="3"/>
    </row>
    <row r="286" spans="1:26" ht="22.5" customHeight="1" x14ac:dyDescent="0.85">
      <c r="A286" s="166"/>
      <c r="B286" s="167"/>
      <c r="C286" s="167"/>
      <c r="D286" s="147"/>
      <c r="E286" s="147"/>
      <c r="F286" s="147"/>
      <c r="G286" s="147"/>
      <c r="H286" s="147"/>
      <c r="I286" s="147"/>
      <c r="J286" s="147"/>
      <c r="K286" s="3"/>
      <c r="L286" s="3"/>
      <c r="M286" s="3"/>
      <c r="N286" s="3"/>
      <c r="O286" s="3"/>
      <c r="P286" s="3"/>
      <c r="Q286" s="3"/>
      <c r="R286" s="3"/>
      <c r="S286" s="3"/>
      <c r="T286" s="3"/>
      <c r="U286" s="3"/>
      <c r="V286" s="3"/>
      <c r="W286" s="3"/>
      <c r="X286" s="3"/>
      <c r="Y286" s="3"/>
      <c r="Z286" s="3"/>
    </row>
    <row r="287" spans="1:26" ht="22.5" customHeight="1" x14ac:dyDescent="0.85">
      <c r="A287" s="166"/>
      <c r="B287" s="167"/>
      <c r="C287" s="167"/>
      <c r="D287" s="147"/>
      <c r="E287" s="147"/>
      <c r="F287" s="147"/>
      <c r="G287" s="147"/>
      <c r="H287" s="147"/>
      <c r="I287" s="147"/>
      <c r="J287" s="147"/>
      <c r="K287" s="3"/>
      <c r="L287" s="3"/>
      <c r="M287" s="3"/>
      <c r="N287" s="3"/>
      <c r="O287" s="3"/>
      <c r="P287" s="3"/>
      <c r="Q287" s="3"/>
      <c r="R287" s="3"/>
      <c r="S287" s="3"/>
      <c r="T287" s="3"/>
      <c r="U287" s="3"/>
      <c r="V287" s="3"/>
      <c r="W287" s="3"/>
      <c r="X287" s="3"/>
      <c r="Y287" s="3"/>
      <c r="Z287" s="3"/>
    </row>
    <row r="288" spans="1:26" ht="22.5" customHeight="1" x14ac:dyDescent="0.85">
      <c r="A288" s="166"/>
      <c r="B288" s="167"/>
      <c r="C288" s="167"/>
      <c r="D288" s="147"/>
      <c r="E288" s="147"/>
      <c r="F288" s="147"/>
      <c r="G288" s="147"/>
      <c r="H288" s="147"/>
      <c r="I288" s="147"/>
      <c r="J288" s="147"/>
      <c r="K288" s="3"/>
      <c r="L288" s="3"/>
      <c r="M288" s="3"/>
      <c r="N288" s="3"/>
      <c r="O288" s="3"/>
      <c r="P288" s="3"/>
      <c r="Q288" s="3"/>
      <c r="R288" s="3"/>
      <c r="S288" s="3"/>
      <c r="T288" s="3"/>
      <c r="U288" s="3"/>
      <c r="V288" s="3"/>
      <c r="W288" s="3"/>
      <c r="X288" s="3"/>
      <c r="Y288" s="3"/>
      <c r="Z288" s="3"/>
    </row>
    <row r="289" spans="1:26" ht="22.5" customHeight="1" x14ac:dyDescent="0.85">
      <c r="A289" s="166"/>
      <c r="B289" s="167"/>
      <c r="C289" s="167"/>
      <c r="D289" s="147"/>
      <c r="E289" s="147"/>
      <c r="F289" s="147"/>
      <c r="G289" s="147"/>
      <c r="H289" s="147"/>
      <c r="I289" s="147"/>
      <c r="J289" s="147"/>
      <c r="K289" s="3"/>
      <c r="L289" s="3"/>
      <c r="M289" s="3"/>
      <c r="N289" s="3"/>
      <c r="O289" s="3"/>
      <c r="P289" s="3"/>
      <c r="Q289" s="3"/>
      <c r="R289" s="3"/>
      <c r="S289" s="3"/>
      <c r="T289" s="3"/>
      <c r="U289" s="3"/>
      <c r="V289" s="3"/>
      <c r="W289" s="3"/>
      <c r="X289" s="3"/>
      <c r="Y289" s="3"/>
      <c r="Z289" s="3"/>
    </row>
    <row r="290" spans="1:26" ht="22.5" customHeight="1" x14ac:dyDescent="0.85">
      <c r="A290" s="166"/>
      <c r="B290" s="167"/>
      <c r="C290" s="167"/>
      <c r="D290" s="147"/>
      <c r="E290" s="147"/>
      <c r="F290" s="147"/>
      <c r="G290" s="147"/>
      <c r="H290" s="147"/>
      <c r="I290" s="147"/>
      <c r="J290" s="147"/>
      <c r="K290" s="3"/>
      <c r="L290" s="3"/>
      <c r="M290" s="3"/>
      <c r="N290" s="3"/>
      <c r="O290" s="3"/>
      <c r="P290" s="3"/>
      <c r="Q290" s="3"/>
      <c r="R290" s="3"/>
      <c r="S290" s="3"/>
      <c r="T290" s="3"/>
      <c r="U290" s="3"/>
      <c r="V290" s="3"/>
      <c r="W290" s="3"/>
      <c r="X290" s="3"/>
      <c r="Y290" s="3"/>
      <c r="Z290" s="3"/>
    </row>
    <row r="291" spans="1:26" ht="22.5" customHeight="1" x14ac:dyDescent="0.85">
      <c r="A291" s="166"/>
      <c r="B291" s="167"/>
      <c r="C291" s="167"/>
      <c r="D291" s="147"/>
      <c r="E291" s="147"/>
      <c r="F291" s="147"/>
      <c r="G291" s="147"/>
      <c r="H291" s="147"/>
      <c r="I291" s="147"/>
      <c r="J291" s="147"/>
      <c r="K291" s="3"/>
      <c r="L291" s="3"/>
      <c r="M291" s="3"/>
      <c r="N291" s="3"/>
      <c r="O291" s="3"/>
      <c r="P291" s="3"/>
      <c r="Q291" s="3"/>
      <c r="R291" s="3"/>
      <c r="S291" s="3"/>
      <c r="T291" s="3"/>
      <c r="U291" s="3"/>
      <c r="V291" s="3"/>
      <c r="W291" s="3"/>
      <c r="X291" s="3"/>
      <c r="Y291" s="3"/>
      <c r="Z291" s="3"/>
    </row>
    <row r="292" spans="1:26" ht="22.5" customHeight="1" x14ac:dyDescent="0.85">
      <c r="A292" s="166"/>
      <c r="B292" s="167"/>
      <c r="C292" s="167"/>
      <c r="D292" s="147"/>
      <c r="E292" s="147"/>
      <c r="F292" s="147"/>
      <c r="G292" s="147"/>
      <c r="H292" s="147"/>
      <c r="I292" s="147"/>
      <c r="J292" s="147"/>
      <c r="K292" s="3"/>
      <c r="L292" s="3"/>
      <c r="M292" s="3"/>
      <c r="N292" s="3"/>
      <c r="O292" s="3"/>
      <c r="P292" s="3"/>
      <c r="Q292" s="3"/>
      <c r="R292" s="3"/>
      <c r="S292" s="3"/>
      <c r="T292" s="3"/>
      <c r="U292" s="3"/>
      <c r="V292" s="3"/>
      <c r="W292" s="3"/>
      <c r="X292" s="3"/>
      <c r="Y292" s="3"/>
      <c r="Z292" s="3"/>
    </row>
    <row r="293" spans="1:26" ht="22.5" customHeight="1" x14ac:dyDescent="0.85">
      <c r="A293" s="166"/>
      <c r="B293" s="167"/>
      <c r="C293" s="167"/>
      <c r="D293" s="147"/>
      <c r="E293" s="147"/>
      <c r="F293" s="147"/>
      <c r="G293" s="147"/>
      <c r="H293" s="147"/>
      <c r="I293" s="147"/>
      <c r="J293" s="147"/>
      <c r="K293" s="3"/>
      <c r="L293" s="3"/>
      <c r="M293" s="3"/>
      <c r="N293" s="3"/>
      <c r="O293" s="3"/>
      <c r="P293" s="3"/>
      <c r="Q293" s="3"/>
      <c r="R293" s="3"/>
      <c r="S293" s="3"/>
      <c r="T293" s="3"/>
      <c r="U293" s="3"/>
      <c r="V293" s="3"/>
      <c r="W293" s="3"/>
      <c r="X293" s="3"/>
      <c r="Y293" s="3"/>
      <c r="Z293" s="3"/>
    </row>
    <row r="294" spans="1:26" ht="22.5" customHeight="1" x14ac:dyDescent="0.85">
      <c r="A294" s="166"/>
      <c r="B294" s="167"/>
      <c r="C294" s="167"/>
      <c r="D294" s="147"/>
      <c r="E294" s="147"/>
      <c r="F294" s="147"/>
      <c r="G294" s="147"/>
      <c r="H294" s="147"/>
      <c r="I294" s="147"/>
      <c r="J294" s="147"/>
      <c r="K294" s="3"/>
      <c r="L294" s="3"/>
      <c r="M294" s="3"/>
      <c r="N294" s="3"/>
      <c r="O294" s="3"/>
      <c r="P294" s="3"/>
      <c r="Q294" s="3"/>
      <c r="R294" s="3"/>
      <c r="S294" s="3"/>
      <c r="T294" s="3"/>
      <c r="U294" s="3"/>
      <c r="V294" s="3"/>
      <c r="W294" s="3"/>
      <c r="X294" s="3"/>
      <c r="Y294" s="3"/>
      <c r="Z294" s="3"/>
    </row>
    <row r="295" spans="1:26" ht="22.5" customHeight="1" x14ac:dyDescent="0.85">
      <c r="A295" s="166"/>
      <c r="B295" s="167"/>
      <c r="C295" s="167"/>
      <c r="D295" s="147"/>
      <c r="E295" s="147"/>
      <c r="F295" s="147"/>
      <c r="G295" s="147"/>
      <c r="H295" s="147"/>
      <c r="I295" s="147"/>
      <c r="J295" s="147"/>
      <c r="K295" s="3"/>
      <c r="L295" s="3"/>
      <c r="M295" s="3"/>
      <c r="N295" s="3"/>
      <c r="O295" s="3"/>
      <c r="P295" s="3"/>
      <c r="Q295" s="3"/>
      <c r="R295" s="3"/>
      <c r="S295" s="3"/>
      <c r="T295" s="3"/>
      <c r="U295" s="3"/>
      <c r="V295" s="3"/>
      <c r="W295" s="3"/>
      <c r="X295" s="3"/>
      <c r="Y295" s="3"/>
      <c r="Z295" s="3"/>
    </row>
    <row r="296" spans="1:26" ht="22.5" customHeight="1" x14ac:dyDescent="0.85">
      <c r="A296" s="166"/>
      <c r="B296" s="167"/>
      <c r="C296" s="167"/>
      <c r="D296" s="147"/>
      <c r="E296" s="147"/>
      <c r="F296" s="147"/>
      <c r="G296" s="147"/>
      <c r="H296" s="147"/>
      <c r="I296" s="147"/>
      <c r="J296" s="147"/>
      <c r="K296" s="3"/>
      <c r="L296" s="3"/>
      <c r="M296" s="3"/>
      <c r="N296" s="3"/>
      <c r="O296" s="3"/>
      <c r="P296" s="3"/>
      <c r="Q296" s="3"/>
      <c r="R296" s="3"/>
      <c r="S296" s="3"/>
      <c r="T296" s="3"/>
      <c r="U296" s="3"/>
      <c r="V296" s="3"/>
      <c r="W296" s="3"/>
      <c r="X296" s="3"/>
      <c r="Y296" s="3"/>
      <c r="Z296" s="3"/>
    </row>
    <row r="297" spans="1:26" ht="22.5" customHeight="1" x14ac:dyDescent="0.85">
      <c r="A297" s="166"/>
      <c r="B297" s="167"/>
      <c r="C297" s="167"/>
      <c r="D297" s="147"/>
      <c r="E297" s="147"/>
      <c r="F297" s="147"/>
      <c r="G297" s="147"/>
      <c r="H297" s="147"/>
      <c r="I297" s="147"/>
      <c r="J297" s="147"/>
      <c r="K297" s="3"/>
      <c r="L297" s="3"/>
      <c r="M297" s="3"/>
      <c r="N297" s="3"/>
      <c r="O297" s="3"/>
      <c r="P297" s="3"/>
      <c r="Q297" s="3"/>
      <c r="R297" s="3"/>
      <c r="S297" s="3"/>
      <c r="T297" s="3"/>
      <c r="U297" s="3"/>
      <c r="V297" s="3"/>
      <c r="W297" s="3"/>
      <c r="X297" s="3"/>
      <c r="Y297" s="3"/>
      <c r="Z297" s="3"/>
    </row>
    <row r="298" spans="1:26" ht="22.5" customHeight="1" x14ac:dyDescent="0.85">
      <c r="A298" s="166"/>
      <c r="B298" s="167"/>
      <c r="C298" s="167"/>
      <c r="D298" s="147"/>
      <c r="E298" s="147"/>
      <c r="F298" s="147"/>
      <c r="G298" s="147"/>
      <c r="H298" s="147"/>
      <c r="I298" s="147"/>
      <c r="J298" s="147"/>
      <c r="K298" s="3"/>
      <c r="L298" s="3"/>
      <c r="M298" s="3"/>
      <c r="N298" s="3"/>
      <c r="O298" s="3"/>
      <c r="P298" s="3"/>
      <c r="Q298" s="3"/>
      <c r="R298" s="3"/>
      <c r="S298" s="3"/>
      <c r="T298" s="3"/>
      <c r="U298" s="3"/>
      <c r="V298" s="3"/>
      <c r="W298" s="3"/>
      <c r="X298" s="3"/>
      <c r="Y298" s="3"/>
      <c r="Z298" s="3"/>
    </row>
    <row r="299" spans="1:26" ht="22.5" customHeight="1" x14ac:dyDescent="0.85">
      <c r="A299" s="166"/>
      <c r="B299" s="167"/>
      <c r="C299" s="167"/>
      <c r="D299" s="147"/>
      <c r="E299" s="147"/>
      <c r="F299" s="147"/>
      <c r="G299" s="147"/>
      <c r="H299" s="147"/>
      <c r="I299" s="147"/>
      <c r="J299" s="147"/>
      <c r="K299" s="3"/>
      <c r="L299" s="3"/>
      <c r="M299" s="3"/>
      <c r="N299" s="3"/>
      <c r="O299" s="3"/>
      <c r="P299" s="3"/>
      <c r="Q299" s="3"/>
      <c r="R299" s="3"/>
      <c r="S299" s="3"/>
      <c r="T299" s="3"/>
      <c r="U299" s="3"/>
      <c r="V299" s="3"/>
      <c r="W299" s="3"/>
      <c r="X299" s="3"/>
      <c r="Y299" s="3"/>
      <c r="Z299" s="3"/>
    </row>
    <row r="300" spans="1:26" ht="22.5" customHeight="1" x14ac:dyDescent="0.85">
      <c r="A300" s="166"/>
      <c r="B300" s="167"/>
      <c r="C300" s="167"/>
      <c r="D300" s="147"/>
      <c r="E300" s="147"/>
      <c r="F300" s="147"/>
      <c r="G300" s="147"/>
      <c r="H300" s="147"/>
      <c r="I300" s="147"/>
      <c r="J300" s="147"/>
      <c r="K300" s="3"/>
      <c r="L300" s="3"/>
      <c r="M300" s="3"/>
      <c r="N300" s="3"/>
      <c r="O300" s="3"/>
      <c r="P300" s="3"/>
      <c r="Q300" s="3"/>
      <c r="R300" s="3"/>
      <c r="S300" s="3"/>
      <c r="T300" s="3"/>
      <c r="U300" s="3"/>
      <c r="V300" s="3"/>
      <c r="W300" s="3"/>
      <c r="X300" s="3"/>
      <c r="Y300" s="3"/>
      <c r="Z300" s="3"/>
    </row>
    <row r="301" spans="1:26" ht="22.5" customHeight="1" x14ac:dyDescent="0.85">
      <c r="A301" s="166"/>
      <c r="B301" s="167"/>
      <c r="C301" s="167"/>
      <c r="D301" s="147"/>
      <c r="E301" s="147"/>
      <c r="F301" s="147"/>
      <c r="G301" s="147"/>
      <c r="H301" s="147"/>
      <c r="I301" s="147"/>
      <c r="J301" s="147"/>
      <c r="K301" s="3"/>
      <c r="L301" s="3"/>
      <c r="M301" s="3"/>
      <c r="N301" s="3"/>
      <c r="O301" s="3"/>
      <c r="P301" s="3"/>
      <c r="Q301" s="3"/>
      <c r="R301" s="3"/>
      <c r="S301" s="3"/>
      <c r="T301" s="3"/>
      <c r="U301" s="3"/>
      <c r="V301" s="3"/>
      <c r="W301" s="3"/>
      <c r="X301" s="3"/>
      <c r="Y301" s="3"/>
      <c r="Z301" s="3"/>
    </row>
    <row r="302" spans="1:26" ht="22.5" customHeight="1" x14ac:dyDescent="0.85">
      <c r="A302" s="166"/>
      <c r="B302" s="167"/>
      <c r="C302" s="167"/>
      <c r="D302" s="147"/>
      <c r="E302" s="147"/>
      <c r="F302" s="147"/>
      <c r="G302" s="147"/>
      <c r="H302" s="147"/>
      <c r="I302" s="147"/>
      <c r="J302" s="147"/>
      <c r="K302" s="3"/>
      <c r="L302" s="3"/>
      <c r="M302" s="3"/>
      <c r="N302" s="3"/>
      <c r="O302" s="3"/>
      <c r="P302" s="3"/>
      <c r="Q302" s="3"/>
      <c r="R302" s="3"/>
      <c r="S302" s="3"/>
      <c r="T302" s="3"/>
      <c r="U302" s="3"/>
      <c r="V302" s="3"/>
      <c r="W302" s="3"/>
      <c r="X302" s="3"/>
      <c r="Y302" s="3"/>
      <c r="Z302" s="3"/>
    </row>
    <row r="303" spans="1:26" ht="22.5" customHeight="1" x14ac:dyDescent="0.85">
      <c r="A303" s="166"/>
      <c r="B303" s="167"/>
      <c r="C303" s="167"/>
      <c r="D303" s="147"/>
      <c r="E303" s="147"/>
      <c r="F303" s="147"/>
      <c r="G303" s="147"/>
      <c r="H303" s="147"/>
      <c r="I303" s="147"/>
      <c r="J303" s="147"/>
      <c r="K303" s="3"/>
      <c r="L303" s="3"/>
      <c r="M303" s="3"/>
      <c r="N303" s="3"/>
      <c r="O303" s="3"/>
      <c r="P303" s="3"/>
      <c r="Q303" s="3"/>
      <c r="R303" s="3"/>
      <c r="S303" s="3"/>
      <c r="T303" s="3"/>
      <c r="U303" s="3"/>
      <c r="V303" s="3"/>
      <c r="W303" s="3"/>
      <c r="X303" s="3"/>
      <c r="Y303" s="3"/>
      <c r="Z303" s="3"/>
    </row>
    <row r="304" spans="1:26" ht="22.5" customHeight="1" x14ac:dyDescent="0.85">
      <c r="A304" s="166"/>
      <c r="B304" s="167"/>
      <c r="C304" s="167"/>
      <c r="D304" s="147"/>
      <c r="E304" s="147"/>
      <c r="F304" s="147"/>
      <c r="G304" s="147"/>
      <c r="H304" s="147"/>
      <c r="I304" s="147"/>
      <c r="J304" s="147"/>
      <c r="K304" s="3"/>
      <c r="L304" s="3"/>
      <c r="M304" s="3"/>
      <c r="N304" s="3"/>
      <c r="O304" s="3"/>
      <c r="P304" s="3"/>
      <c r="Q304" s="3"/>
      <c r="R304" s="3"/>
      <c r="S304" s="3"/>
      <c r="T304" s="3"/>
      <c r="U304" s="3"/>
      <c r="V304" s="3"/>
      <c r="W304" s="3"/>
      <c r="X304" s="3"/>
      <c r="Y304" s="3"/>
      <c r="Z304" s="3"/>
    </row>
    <row r="305" spans="1:26" ht="22.5" customHeight="1" x14ac:dyDescent="0.85">
      <c r="A305" s="166"/>
      <c r="B305" s="167"/>
      <c r="C305" s="167"/>
      <c r="D305" s="147"/>
      <c r="E305" s="147"/>
      <c r="F305" s="147"/>
      <c r="G305" s="147"/>
      <c r="H305" s="147"/>
      <c r="I305" s="147"/>
      <c r="J305" s="147"/>
      <c r="K305" s="3"/>
      <c r="L305" s="3"/>
      <c r="M305" s="3"/>
      <c r="N305" s="3"/>
      <c r="O305" s="3"/>
      <c r="P305" s="3"/>
      <c r="Q305" s="3"/>
      <c r="R305" s="3"/>
      <c r="S305" s="3"/>
      <c r="T305" s="3"/>
      <c r="U305" s="3"/>
      <c r="V305" s="3"/>
      <c r="W305" s="3"/>
      <c r="X305" s="3"/>
      <c r="Y305" s="3"/>
      <c r="Z305" s="3"/>
    </row>
    <row r="306" spans="1:26" ht="22.5" customHeight="1" x14ac:dyDescent="0.85">
      <c r="A306" s="166"/>
      <c r="B306" s="167"/>
      <c r="C306" s="167"/>
      <c r="D306" s="147"/>
      <c r="E306" s="147"/>
      <c r="F306" s="147"/>
      <c r="G306" s="147"/>
      <c r="H306" s="147"/>
      <c r="I306" s="147"/>
      <c r="J306" s="147"/>
      <c r="K306" s="3"/>
      <c r="L306" s="3"/>
      <c r="M306" s="3"/>
      <c r="N306" s="3"/>
      <c r="O306" s="3"/>
      <c r="P306" s="3"/>
      <c r="Q306" s="3"/>
      <c r="R306" s="3"/>
      <c r="S306" s="3"/>
      <c r="T306" s="3"/>
      <c r="U306" s="3"/>
      <c r="V306" s="3"/>
      <c r="W306" s="3"/>
      <c r="X306" s="3"/>
      <c r="Y306" s="3"/>
      <c r="Z306" s="3"/>
    </row>
    <row r="307" spans="1:26" ht="22.5" customHeight="1" x14ac:dyDescent="0.85">
      <c r="A307" s="166"/>
      <c r="B307" s="167"/>
      <c r="C307" s="167"/>
      <c r="D307" s="147"/>
      <c r="E307" s="147"/>
      <c r="F307" s="147"/>
      <c r="G307" s="147"/>
      <c r="H307" s="147"/>
      <c r="I307" s="147"/>
      <c r="J307" s="147"/>
      <c r="K307" s="3"/>
      <c r="L307" s="3"/>
      <c r="M307" s="3"/>
      <c r="N307" s="3"/>
      <c r="O307" s="3"/>
      <c r="P307" s="3"/>
      <c r="Q307" s="3"/>
      <c r="R307" s="3"/>
      <c r="S307" s="3"/>
      <c r="T307" s="3"/>
      <c r="U307" s="3"/>
      <c r="V307" s="3"/>
      <c r="W307" s="3"/>
      <c r="X307" s="3"/>
      <c r="Y307" s="3"/>
      <c r="Z307" s="3"/>
    </row>
    <row r="308" spans="1:26" ht="22.5" customHeight="1" x14ac:dyDescent="0.85">
      <c r="A308" s="166"/>
      <c r="B308" s="167"/>
      <c r="C308" s="167"/>
      <c r="D308" s="147"/>
      <c r="E308" s="147"/>
      <c r="F308" s="147"/>
      <c r="G308" s="147"/>
      <c r="H308" s="147"/>
      <c r="I308" s="147"/>
      <c r="J308" s="147"/>
      <c r="K308" s="3"/>
      <c r="L308" s="3"/>
      <c r="M308" s="3"/>
      <c r="N308" s="3"/>
      <c r="O308" s="3"/>
      <c r="P308" s="3"/>
      <c r="Q308" s="3"/>
      <c r="R308" s="3"/>
      <c r="S308" s="3"/>
      <c r="T308" s="3"/>
      <c r="U308" s="3"/>
      <c r="V308" s="3"/>
      <c r="W308" s="3"/>
      <c r="X308" s="3"/>
      <c r="Y308" s="3"/>
      <c r="Z308" s="3"/>
    </row>
    <row r="309" spans="1:26" ht="22.5" customHeight="1" x14ac:dyDescent="0.85">
      <c r="A309" s="166"/>
      <c r="B309" s="167"/>
      <c r="C309" s="167"/>
      <c r="D309" s="147"/>
      <c r="E309" s="147"/>
      <c r="F309" s="147"/>
      <c r="G309" s="147"/>
      <c r="H309" s="147"/>
      <c r="I309" s="147"/>
      <c r="J309" s="147"/>
      <c r="K309" s="3"/>
      <c r="L309" s="3"/>
      <c r="M309" s="3"/>
      <c r="N309" s="3"/>
      <c r="O309" s="3"/>
      <c r="P309" s="3"/>
      <c r="Q309" s="3"/>
      <c r="R309" s="3"/>
      <c r="S309" s="3"/>
      <c r="T309" s="3"/>
      <c r="U309" s="3"/>
      <c r="V309" s="3"/>
      <c r="W309" s="3"/>
      <c r="X309" s="3"/>
      <c r="Y309" s="3"/>
      <c r="Z309" s="3"/>
    </row>
    <row r="310" spans="1:26" ht="22.5" customHeight="1" x14ac:dyDescent="0.85">
      <c r="A310" s="166"/>
      <c r="B310" s="167"/>
      <c r="C310" s="167"/>
      <c r="D310" s="147"/>
      <c r="E310" s="147"/>
      <c r="F310" s="147"/>
      <c r="G310" s="147"/>
      <c r="H310" s="147"/>
      <c r="I310" s="147"/>
      <c r="J310" s="147"/>
      <c r="K310" s="3"/>
      <c r="L310" s="3"/>
      <c r="M310" s="3"/>
      <c r="N310" s="3"/>
      <c r="O310" s="3"/>
      <c r="P310" s="3"/>
      <c r="Q310" s="3"/>
      <c r="R310" s="3"/>
      <c r="S310" s="3"/>
      <c r="T310" s="3"/>
      <c r="U310" s="3"/>
      <c r="V310" s="3"/>
      <c r="W310" s="3"/>
      <c r="X310" s="3"/>
      <c r="Y310" s="3"/>
      <c r="Z310" s="3"/>
    </row>
    <row r="311" spans="1:26" ht="22.5" customHeight="1" x14ac:dyDescent="0.85">
      <c r="A311" s="166"/>
      <c r="B311" s="167"/>
      <c r="C311" s="167"/>
      <c r="D311" s="147"/>
      <c r="E311" s="147"/>
      <c r="F311" s="147"/>
      <c r="G311" s="147"/>
      <c r="H311" s="147"/>
      <c r="I311" s="147"/>
      <c r="J311" s="147"/>
      <c r="K311" s="3"/>
      <c r="L311" s="3"/>
      <c r="M311" s="3"/>
      <c r="N311" s="3"/>
      <c r="O311" s="3"/>
      <c r="P311" s="3"/>
      <c r="Q311" s="3"/>
      <c r="R311" s="3"/>
      <c r="S311" s="3"/>
      <c r="T311" s="3"/>
      <c r="U311" s="3"/>
      <c r="V311" s="3"/>
      <c r="W311" s="3"/>
      <c r="X311" s="3"/>
      <c r="Y311" s="3"/>
      <c r="Z311" s="3"/>
    </row>
    <row r="312" spans="1:26" ht="22.5" customHeight="1" x14ac:dyDescent="0.85">
      <c r="A312" s="166"/>
      <c r="B312" s="167"/>
      <c r="C312" s="167"/>
      <c r="D312" s="147"/>
      <c r="E312" s="147"/>
      <c r="F312" s="147"/>
      <c r="G312" s="147"/>
      <c r="H312" s="147"/>
      <c r="I312" s="147"/>
      <c r="J312" s="147"/>
      <c r="K312" s="3"/>
      <c r="L312" s="3"/>
      <c r="M312" s="3"/>
      <c r="N312" s="3"/>
      <c r="O312" s="3"/>
      <c r="P312" s="3"/>
      <c r="Q312" s="3"/>
      <c r="R312" s="3"/>
      <c r="S312" s="3"/>
      <c r="T312" s="3"/>
      <c r="U312" s="3"/>
      <c r="V312" s="3"/>
      <c r="W312" s="3"/>
      <c r="X312" s="3"/>
      <c r="Y312" s="3"/>
      <c r="Z312" s="3"/>
    </row>
    <row r="313" spans="1:26" ht="22.5" customHeight="1" x14ac:dyDescent="0.85">
      <c r="A313" s="166"/>
      <c r="B313" s="167"/>
      <c r="C313" s="167"/>
      <c r="D313" s="147"/>
      <c r="E313" s="147"/>
      <c r="F313" s="147"/>
      <c r="G313" s="147"/>
      <c r="H313" s="147"/>
      <c r="I313" s="147"/>
      <c r="J313" s="147"/>
      <c r="K313" s="3"/>
      <c r="L313" s="3"/>
      <c r="M313" s="3"/>
      <c r="N313" s="3"/>
      <c r="O313" s="3"/>
      <c r="P313" s="3"/>
      <c r="Q313" s="3"/>
      <c r="R313" s="3"/>
      <c r="S313" s="3"/>
      <c r="T313" s="3"/>
      <c r="U313" s="3"/>
      <c r="V313" s="3"/>
      <c r="W313" s="3"/>
      <c r="X313" s="3"/>
      <c r="Y313" s="3"/>
      <c r="Z313" s="3"/>
    </row>
    <row r="314" spans="1:26" ht="22.5" customHeight="1" x14ac:dyDescent="0.85">
      <c r="A314" s="166"/>
      <c r="B314" s="167"/>
      <c r="C314" s="167"/>
      <c r="D314" s="147"/>
      <c r="E314" s="147"/>
      <c r="F314" s="147"/>
      <c r="G314" s="147"/>
      <c r="H314" s="147"/>
      <c r="I314" s="147"/>
      <c r="J314" s="147"/>
      <c r="K314" s="3"/>
      <c r="L314" s="3"/>
      <c r="M314" s="3"/>
      <c r="N314" s="3"/>
      <c r="O314" s="3"/>
      <c r="P314" s="3"/>
      <c r="Q314" s="3"/>
      <c r="R314" s="3"/>
      <c r="S314" s="3"/>
      <c r="T314" s="3"/>
      <c r="U314" s="3"/>
      <c r="V314" s="3"/>
      <c r="W314" s="3"/>
      <c r="X314" s="3"/>
      <c r="Y314" s="3"/>
      <c r="Z314" s="3"/>
    </row>
    <row r="315" spans="1:26" ht="22.5" customHeight="1" x14ac:dyDescent="0.85">
      <c r="A315" s="166"/>
      <c r="B315" s="167"/>
      <c r="C315" s="167"/>
      <c r="D315" s="147"/>
      <c r="E315" s="147"/>
      <c r="F315" s="147"/>
      <c r="G315" s="147"/>
      <c r="H315" s="147"/>
      <c r="I315" s="147"/>
      <c r="J315" s="147"/>
      <c r="K315" s="3"/>
      <c r="L315" s="3"/>
      <c r="M315" s="3"/>
      <c r="N315" s="3"/>
      <c r="O315" s="3"/>
      <c r="P315" s="3"/>
      <c r="Q315" s="3"/>
      <c r="R315" s="3"/>
      <c r="S315" s="3"/>
      <c r="T315" s="3"/>
      <c r="U315" s="3"/>
      <c r="V315" s="3"/>
      <c r="W315" s="3"/>
      <c r="X315" s="3"/>
      <c r="Y315" s="3"/>
      <c r="Z315" s="3"/>
    </row>
    <row r="316" spans="1:26" ht="22.5" customHeight="1" x14ac:dyDescent="0.85">
      <c r="A316" s="166"/>
      <c r="B316" s="167"/>
      <c r="C316" s="167"/>
      <c r="D316" s="147"/>
      <c r="E316" s="147"/>
      <c r="F316" s="147"/>
      <c r="G316" s="147"/>
      <c r="H316" s="147"/>
      <c r="I316" s="147"/>
      <c r="J316" s="147"/>
      <c r="K316" s="3"/>
      <c r="L316" s="3"/>
      <c r="M316" s="3"/>
      <c r="N316" s="3"/>
      <c r="O316" s="3"/>
      <c r="P316" s="3"/>
      <c r="Q316" s="3"/>
      <c r="R316" s="3"/>
      <c r="S316" s="3"/>
      <c r="T316" s="3"/>
      <c r="U316" s="3"/>
      <c r="V316" s="3"/>
      <c r="W316" s="3"/>
      <c r="X316" s="3"/>
      <c r="Y316" s="3"/>
      <c r="Z316" s="3"/>
    </row>
    <row r="317" spans="1:26" ht="22.5" customHeight="1" x14ac:dyDescent="0.85">
      <c r="A317" s="166"/>
      <c r="B317" s="167"/>
      <c r="C317" s="167"/>
      <c r="D317" s="147"/>
      <c r="E317" s="147"/>
      <c r="F317" s="147"/>
      <c r="G317" s="147"/>
      <c r="H317" s="147"/>
      <c r="I317" s="147"/>
      <c r="J317" s="147"/>
      <c r="K317" s="3"/>
      <c r="L317" s="3"/>
      <c r="M317" s="3"/>
      <c r="N317" s="3"/>
      <c r="O317" s="3"/>
      <c r="P317" s="3"/>
      <c r="Q317" s="3"/>
      <c r="R317" s="3"/>
      <c r="S317" s="3"/>
      <c r="T317" s="3"/>
      <c r="U317" s="3"/>
      <c r="V317" s="3"/>
      <c r="W317" s="3"/>
      <c r="X317" s="3"/>
      <c r="Y317" s="3"/>
      <c r="Z317" s="3"/>
    </row>
    <row r="318" spans="1:26" ht="22.5" customHeight="1" x14ac:dyDescent="0.85">
      <c r="A318" s="166"/>
      <c r="B318" s="167"/>
      <c r="C318" s="167"/>
      <c r="D318" s="147"/>
      <c r="E318" s="147"/>
      <c r="F318" s="147"/>
      <c r="G318" s="147"/>
      <c r="H318" s="147"/>
      <c r="I318" s="147"/>
      <c r="J318" s="147"/>
      <c r="K318" s="3"/>
      <c r="L318" s="3"/>
      <c r="M318" s="3"/>
      <c r="N318" s="3"/>
      <c r="O318" s="3"/>
      <c r="P318" s="3"/>
      <c r="Q318" s="3"/>
      <c r="R318" s="3"/>
      <c r="S318" s="3"/>
      <c r="T318" s="3"/>
      <c r="U318" s="3"/>
      <c r="V318" s="3"/>
      <c r="W318" s="3"/>
      <c r="X318" s="3"/>
      <c r="Y318" s="3"/>
      <c r="Z318" s="3"/>
    </row>
    <row r="319" spans="1:26" ht="22.5" customHeight="1" x14ac:dyDescent="0.85">
      <c r="A319" s="166"/>
      <c r="B319" s="167"/>
      <c r="C319" s="167"/>
      <c r="D319" s="147"/>
      <c r="E319" s="147"/>
      <c r="F319" s="147"/>
      <c r="G319" s="147"/>
      <c r="H319" s="147"/>
      <c r="I319" s="147"/>
      <c r="J319" s="147"/>
      <c r="K319" s="3"/>
      <c r="L319" s="3"/>
      <c r="M319" s="3"/>
      <c r="N319" s="3"/>
      <c r="O319" s="3"/>
      <c r="P319" s="3"/>
      <c r="Q319" s="3"/>
      <c r="R319" s="3"/>
      <c r="S319" s="3"/>
      <c r="T319" s="3"/>
      <c r="U319" s="3"/>
      <c r="V319" s="3"/>
      <c r="W319" s="3"/>
      <c r="X319" s="3"/>
      <c r="Y319" s="3"/>
      <c r="Z319" s="3"/>
    </row>
    <row r="320" spans="1:26" ht="22.5" customHeight="1" x14ac:dyDescent="0.85">
      <c r="A320" s="166"/>
      <c r="B320" s="167"/>
      <c r="C320" s="167"/>
      <c r="D320" s="147"/>
      <c r="E320" s="147"/>
      <c r="F320" s="147"/>
      <c r="G320" s="147"/>
      <c r="H320" s="147"/>
      <c r="I320" s="147"/>
      <c r="J320" s="147"/>
      <c r="K320" s="3"/>
      <c r="L320" s="3"/>
      <c r="M320" s="3"/>
      <c r="N320" s="3"/>
      <c r="O320" s="3"/>
      <c r="P320" s="3"/>
      <c r="Q320" s="3"/>
      <c r="R320" s="3"/>
      <c r="S320" s="3"/>
      <c r="T320" s="3"/>
      <c r="U320" s="3"/>
      <c r="V320" s="3"/>
      <c r="W320" s="3"/>
      <c r="X320" s="3"/>
      <c r="Y320" s="3"/>
      <c r="Z320" s="3"/>
    </row>
    <row r="321" spans="1:26" ht="22.5" customHeight="1" x14ac:dyDescent="0.85">
      <c r="A321" s="166"/>
      <c r="B321" s="167"/>
      <c r="C321" s="167"/>
      <c r="D321" s="147"/>
      <c r="E321" s="147"/>
      <c r="F321" s="147"/>
      <c r="G321" s="147"/>
      <c r="H321" s="147"/>
      <c r="I321" s="147"/>
      <c r="J321" s="147"/>
      <c r="K321" s="3"/>
      <c r="L321" s="3"/>
      <c r="M321" s="3"/>
      <c r="N321" s="3"/>
      <c r="O321" s="3"/>
      <c r="P321" s="3"/>
      <c r="Q321" s="3"/>
      <c r="R321" s="3"/>
      <c r="S321" s="3"/>
      <c r="T321" s="3"/>
      <c r="U321" s="3"/>
      <c r="V321" s="3"/>
      <c r="W321" s="3"/>
      <c r="X321" s="3"/>
      <c r="Y321" s="3"/>
      <c r="Z321" s="3"/>
    </row>
    <row r="322" spans="1:26" ht="22.5" customHeight="1" x14ac:dyDescent="0.85">
      <c r="A322" s="166"/>
      <c r="B322" s="167"/>
      <c r="C322" s="167"/>
      <c r="D322" s="147"/>
      <c r="E322" s="147"/>
      <c r="F322" s="147"/>
      <c r="G322" s="147"/>
      <c r="H322" s="147"/>
      <c r="I322" s="147"/>
      <c r="J322" s="147"/>
      <c r="K322" s="3"/>
      <c r="L322" s="3"/>
      <c r="M322" s="3"/>
      <c r="N322" s="3"/>
      <c r="O322" s="3"/>
      <c r="P322" s="3"/>
      <c r="Q322" s="3"/>
      <c r="R322" s="3"/>
      <c r="S322" s="3"/>
      <c r="T322" s="3"/>
      <c r="U322" s="3"/>
      <c r="V322" s="3"/>
      <c r="W322" s="3"/>
      <c r="X322" s="3"/>
      <c r="Y322" s="3"/>
      <c r="Z322" s="3"/>
    </row>
    <row r="323" spans="1:26" ht="22.5" customHeight="1" x14ac:dyDescent="0.85">
      <c r="A323" s="166"/>
      <c r="B323" s="167"/>
      <c r="C323" s="167"/>
      <c r="D323" s="147"/>
      <c r="E323" s="147"/>
      <c r="F323" s="147"/>
      <c r="G323" s="147"/>
      <c r="H323" s="147"/>
      <c r="I323" s="147"/>
      <c r="J323" s="147"/>
      <c r="K323" s="3"/>
      <c r="L323" s="3"/>
      <c r="M323" s="3"/>
      <c r="N323" s="3"/>
      <c r="O323" s="3"/>
      <c r="P323" s="3"/>
      <c r="Q323" s="3"/>
      <c r="R323" s="3"/>
      <c r="S323" s="3"/>
      <c r="T323" s="3"/>
      <c r="U323" s="3"/>
      <c r="V323" s="3"/>
      <c r="W323" s="3"/>
      <c r="X323" s="3"/>
      <c r="Y323" s="3"/>
      <c r="Z323" s="3"/>
    </row>
    <row r="324" spans="1:26" ht="22.5" customHeight="1" x14ac:dyDescent="0.85">
      <c r="A324" s="166"/>
      <c r="B324" s="167"/>
      <c r="C324" s="167"/>
      <c r="D324" s="147"/>
      <c r="E324" s="147"/>
      <c r="F324" s="147"/>
      <c r="G324" s="147"/>
      <c r="H324" s="147"/>
      <c r="I324" s="147"/>
      <c r="J324" s="147"/>
      <c r="K324" s="3"/>
      <c r="L324" s="3"/>
      <c r="M324" s="3"/>
      <c r="N324" s="3"/>
      <c r="O324" s="3"/>
      <c r="P324" s="3"/>
      <c r="Q324" s="3"/>
      <c r="R324" s="3"/>
      <c r="S324" s="3"/>
      <c r="T324" s="3"/>
      <c r="U324" s="3"/>
      <c r="V324" s="3"/>
      <c r="W324" s="3"/>
      <c r="X324" s="3"/>
      <c r="Y324" s="3"/>
      <c r="Z324" s="3"/>
    </row>
    <row r="325" spans="1:26" ht="22.5" customHeight="1" x14ac:dyDescent="0.85">
      <c r="A325" s="166"/>
      <c r="B325" s="167"/>
      <c r="C325" s="167"/>
      <c r="D325" s="147"/>
      <c r="E325" s="147"/>
      <c r="F325" s="147"/>
      <c r="G325" s="147"/>
      <c r="H325" s="147"/>
      <c r="I325" s="147"/>
      <c r="J325" s="147"/>
      <c r="K325" s="3"/>
      <c r="L325" s="3"/>
      <c r="M325" s="3"/>
      <c r="N325" s="3"/>
      <c r="O325" s="3"/>
      <c r="P325" s="3"/>
      <c r="Q325" s="3"/>
      <c r="R325" s="3"/>
      <c r="S325" s="3"/>
      <c r="T325" s="3"/>
      <c r="U325" s="3"/>
      <c r="V325" s="3"/>
      <c r="W325" s="3"/>
      <c r="X325" s="3"/>
      <c r="Y325" s="3"/>
      <c r="Z325" s="3"/>
    </row>
    <row r="326" spans="1:26" ht="22.5" customHeight="1" x14ac:dyDescent="0.85">
      <c r="A326" s="166"/>
      <c r="B326" s="167"/>
      <c r="C326" s="167"/>
      <c r="D326" s="147"/>
      <c r="E326" s="147"/>
      <c r="F326" s="147"/>
      <c r="G326" s="147"/>
      <c r="H326" s="147"/>
      <c r="I326" s="147"/>
      <c r="J326" s="147"/>
      <c r="K326" s="3"/>
      <c r="L326" s="3"/>
      <c r="M326" s="3"/>
      <c r="N326" s="3"/>
      <c r="O326" s="3"/>
      <c r="P326" s="3"/>
      <c r="Q326" s="3"/>
      <c r="R326" s="3"/>
      <c r="S326" s="3"/>
      <c r="T326" s="3"/>
      <c r="U326" s="3"/>
      <c r="V326" s="3"/>
      <c r="W326" s="3"/>
      <c r="X326" s="3"/>
      <c r="Y326" s="3"/>
      <c r="Z326" s="3"/>
    </row>
    <row r="327" spans="1:26" ht="22.5" customHeight="1" x14ac:dyDescent="0.85">
      <c r="A327" s="166"/>
      <c r="B327" s="167"/>
      <c r="C327" s="167"/>
      <c r="D327" s="147"/>
      <c r="E327" s="147"/>
      <c r="F327" s="147"/>
      <c r="G327" s="147"/>
      <c r="H327" s="147"/>
      <c r="I327" s="147"/>
      <c r="J327" s="147"/>
      <c r="K327" s="3"/>
      <c r="L327" s="3"/>
      <c r="M327" s="3"/>
      <c r="N327" s="3"/>
      <c r="O327" s="3"/>
      <c r="P327" s="3"/>
      <c r="Q327" s="3"/>
      <c r="R327" s="3"/>
      <c r="S327" s="3"/>
      <c r="T327" s="3"/>
      <c r="U327" s="3"/>
      <c r="V327" s="3"/>
      <c r="W327" s="3"/>
      <c r="X327" s="3"/>
      <c r="Y327" s="3"/>
      <c r="Z327" s="3"/>
    </row>
    <row r="328" spans="1:26" ht="22.5" customHeight="1" x14ac:dyDescent="0.85">
      <c r="A328" s="166"/>
      <c r="B328" s="167"/>
      <c r="C328" s="167"/>
      <c r="D328" s="147"/>
      <c r="E328" s="147"/>
      <c r="F328" s="147"/>
      <c r="G328" s="147"/>
      <c r="H328" s="147"/>
      <c r="I328" s="147"/>
      <c r="J328" s="147"/>
      <c r="K328" s="3"/>
      <c r="L328" s="3"/>
      <c r="M328" s="3"/>
      <c r="N328" s="3"/>
      <c r="O328" s="3"/>
      <c r="P328" s="3"/>
      <c r="Q328" s="3"/>
      <c r="R328" s="3"/>
      <c r="S328" s="3"/>
      <c r="T328" s="3"/>
      <c r="U328" s="3"/>
      <c r="V328" s="3"/>
      <c r="W328" s="3"/>
      <c r="X328" s="3"/>
      <c r="Y328" s="3"/>
      <c r="Z328" s="3"/>
    </row>
    <row r="329" spans="1:26" ht="22.5" customHeight="1" x14ac:dyDescent="0.85">
      <c r="A329" s="166"/>
      <c r="B329" s="167"/>
      <c r="C329" s="167"/>
      <c r="D329" s="147"/>
      <c r="E329" s="147"/>
      <c r="F329" s="147"/>
      <c r="G329" s="147"/>
      <c r="H329" s="147"/>
      <c r="I329" s="147"/>
      <c r="J329" s="147"/>
      <c r="K329" s="3"/>
      <c r="L329" s="3"/>
      <c r="M329" s="3"/>
      <c r="N329" s="3"/>
      <c r="O329" s="3"/>
      <c r="P329" s="3"/>
      <c r="Q329" s="3"/>
      <c r="R329" s="3"/>
      <c r="S329" s="3"/>
      <c r="T329" s="3"/>
      <c r="U329" s="3"/>
      <c r="V329" s="3"/>
      <c r="W329" s="3"/>
      <c r="X329" s="3"/>
      <c r="Y329" s="3"/>
      <c r="Z329" s="3"/>
    </row>
    <row r="330" spans="1:26" ht="22.5" customHeight="1" x14ac:dyDescent="0.85">
      <c r="A330" s="166"/>
      <c r="B330" s="167"/>
      <c r="C330" s="167"/>
      <c r="D330" s="147"/>
      <c r="E330" s="147"/>
      <c r="F330" s="147"/>
      <c r="G330" s="147"/>
      <c r="H330" s="147"/>
      <c r="I330" s="147"/>
      <c r="J330" s="147"/>
      <c r="K330" s="3"/>
      <c r="L330" s="3"/>
      <c r="M330" s="3"/>
      <c r="N330" s="3"/>
      <c r="O330" s="3"/>
      <c r="P330" s="3"/>
      <c r="Q330" s="3"/>
      <c r="R330" s="3"/>
      <c r="S330" s="3"/>
      <c r="T330" s="3"/>
      <c r="U330" s="3"/>
      <c r="V330" s="3"/>
      <c r="W330" s="3"/>
      <c r="X330" s="3"/>
      <c r="Y330" s="3"/>
      <c r="Z330" s="3"/>
    </row>
    <row r="331" spans="1:26" ht="22.5" customHeight="1" x14ac:dyDescent="0.85">
      <c r="A331" s="166"/>
      <c r="B331" s="167"/>
      <c r="C331" s="167"/>
      <c r="D331" s="147"/>
      <c r="E331" s="147"/>
      <c r="F331" s="147"/>
      <c r="G331" s="147"/>
      <c r="H331" s="147"/>
      <c r="I331" s="147"/>
      <c r="J331" s="147"/>
      <c r="K331" s="3"/>
      <c r="L331" s="3"/>
      <c r="M331" s="3"/>
      <c r="N331" s="3"/>
      <c r="O331" s="3"/>
      <c r="P331" s="3"/>
      <c r="Q331" s="3"/>
      <c r="R331" s="3"/>
      <c r="S331" s="3"/>
      <c r="T331" s="3"/>
      <c r="U331" s="3"/>
      <c r="V331" s="3"/>
      <c r="W331" s="3"/>
      <c r="X331" s="3"/>
      <c r="Y331" s="3"/>
      <c r="Z331" s="3"/>
    </row>
    <row r="332" spans="1:26" ht="22.5" customHeight="1" x14ac:dyDescent="0.85">
      <c r="A332" s="166"/>
      <c r="B332" s="167"/>
      <c r="C332" s="167"/>
      <c r="D332" s="147"/>
      <c r="E332" s="147"/>
      <c r="F332" s="147"/>
      <c r="G332" s="147"/>
      <c r="H332" s="147"/>
      <c r="I332" s="147"/>
      <c r="J332" s="147"/>
      <c r="K332" s="3"/>
      <c r="L332" s="3"/>
      <c r="M332" s="3"/>
      <c r="N332" s="3"/>
      <c r="O332" s="3"/>
      <c r="P332" s="3"/>
      <c r="Q332" s="3"/>
      <c r="R332" s="3"/>
      <c r="S332" s="3"/>
      <c r="T332" s="3"/>
      <c r="U332" s="3"/>
      <c r="V332" s="3"/>
      <c r="W332" s="3"/>
      <c r="X332" s="3"/>
      <c r="Y332" s="3"/>
      <c r="Z332" s="3"/>
    </row>
    <row r="333" spans="1:26" ht="22.5" customHeight="1" x14ac:dyDescent="0.85">
      <c r="A333" s="166"/>
      <c r="B333" s="167"/>
      <c r="C333" s="167"/>
      <c r="D333" s="147"/>
      <c r="E333" s="147"/>
      <c r="F333" s="147"/>
      <c r="G333" s="147"/>
      <c r="H333" s="147"/>
      <c r="I333" s="147"/>
      <c r="J333" s="147"/>
      <c r="K333" s="3"/>
      <c r="L333" s="3"/>
      <c r="M333" s="3"/>
      <c r="N333" s="3"/>
      <c r="O333" s="3"/>
      <c r="P333" s="3"/>
      <c r="Q333" s="3"/>
      <c r="R333" s="3"/>
      <c r="S333" s="3"/>
      <c r="T333" s="3"/>
      <c r="U333" s="3"/>
      <c r="V333" s="3"/>
      <c r="W333" s="3"/>
      <c r="X333" s="3"/>
      <c r="Y333" s="3"/>
      <c r="Z333" s="3"/>
    </row>
    <row r="334" spans="1:26" ht="22.5" customHeight="1" x14ac:dyDescent="0.85">
      <c r="A334" s="166"/>
      <c r="B334" s="167"/>
      <c r="C334" s="167"/>
      <c r="D334" s="147"/>
      <c r="E334" s="147"/>
      <c r="F334" s="147"/>
      <c r="G334" s="147"/>
      <c r="H334" s="147"/>
      <c r="I334" s="147"/>
      <c r="J334" s="147"/>
      <c r="K334" s="3"/>
      <c r="L334" s="3"/>
      <c r="M334" s="3"/>
      <c r="N334" s="3"/>
      <c r="O334" s="3"/>
      <c r="P334" s="3"/>
      <c r="Q334" s="3"/>
      <c r="R334" s="3"/>
      <c r="S334" s="3"/>
      <c r="T334" s="3"/>
      <c r="U334" s="3"/>
      <c r="V334" s="3"/>
      <c r="W334" s="3"/>
      <c r="X334" s="3"/>
      <c r="Y334" s="3"/>
      <c r="Z334" s="3"/>
    </row>
    <row r="335" spans="1:26" ht="22.5" customHeight="1" x14ac:dyDescent="0.85">
      <c r="A335" s="166"/>
      <c r="B335" s="167"/>
      <c r="C335" s="167"/>
      <c r="D335" s="147"/>
      <c r="E335" s="147"/>
      <c r="F335" s="147"/>
      <c r="G335" s="147"/>
      <c r="H335" s="147"/>
      <c r="I335" s="147"/>
      <c r="J335" s="147"/>
      <c r="K335" s="3"/>
      <c r="L335" s="3"/>
      <c r="M335" s="3"/>
      <c r="N335" s="3"/>
      <c r="O335" s="3"/>
      <c r="P335" s="3"/>
      <c r="Q335" s="3"/>
      <c r="R335" s="3"/>
      <c r="S335" s="3"/>
      <c r="T335" s="3"/>
      <c r="U335" s="3"/>
      <c r="V335" s="3"/>
      <c r="W335" s="3"/>
      <c r="X335" s="3"/>
      <c r="Y335" s="3"/>
      <c r="Z335" s="3"/>
    </row>
    <row r="336" spans="1:26" ht="22.5" customHeight="1" x14ac:dyDescent="0.85">
      <c r="A336" s="166"/>
      <c r="B336" s="167"/>
      <c r="C336" s="167"/>
      <c r="D336" s="147"/>
      <c r="E336" s="147"/>
      <c r="F336" s="147"/>
      <c r="G336" s="147"/>
      <c r="H336" s="147"/>
      <c r="I336" s="147"/>
      <c r="J336" s="147"/>
      <c r="K336" s="3"/>
      <c r="L336" s="3"/>
      <c r="M336" s="3"/>
      <c r="N336" s="3"/>
      <c r="O336" s="3"/>
      <c r="P336" s="3"/>
      <c r="Q336" s="3"/>
      <c r="R336" s="3"/>
      <c r="S336" s="3"/>
      <c r="T336" s="3"/>
      <c r="U336" s="3"/>
      <c r="V336" s="3"/>
      <c r="W336" s="3"/>
      <c r="X336" s="3"/>
      <c r="Y336" s="3"/>
      <c r="Z336" s="3"/>
    </row>
    <row r="337" spans="1:26" ht="22.5" customHeight="1" x14ac:dyDescent="0.85">
      <c r="A337" s="166"/>
      <c r="B337" s="167"/>
      <c r="C337" s="167"/>
      <c r="D337" s="147"/>
      <c r="E337" s="147"/>
      <c r="F337" s="147"/>
      <c r="G337" s="147"/>
      <c r="H337" s="147"/>
      <c r="I337" s="147"/>
      <c r="J337" s="147"/>
      <c r="K337" s="3"/>
      <c r="L337" s="3"/>
      <c r="M337" s="3"/>
      <c r="N337" s="3"/>
      <c r="O337" s="3"/>
      <c r="P337" s="3"/>
      <c r="Q337" s="3"/>
      <c r="R337" s="3"/>
      <c r="S337" s="3"/>
      <c r="T337" s="3"/>
      <c r="U337" s="3"/>
      <c r="V337" s="3"/>
      <c r="W337" s="3"/>
      <c r="X337" s="3"/>
      <c r="Y337" s="3"/>
      <c r="Z337" s="3"/>
    </row>
    <row r="338" spans="1:26" ht="22.5" customHeight="1" x14ac:dyDescent="0.85">
      <c r="A338" s="166"/>
      <c r="B338" s="167"/>
      <c r="C338" s="167"/>
      <c r="D338" s="147"/>
      <c r="E338" s="147"/>
      <c r="F338" s="147"/>
      <c r="G338" s="147"/>
      <c r="H338" s="147"/>
      <c r="I338" s="147"/>
      <c r="J338" s="147"/>
      <c r="K338" s="3"/>
      <c r="L338" s="3"/>
      <c r="M338" s="3"/>
      <c r="N338" s="3"/>
      <c r="O338" s="3"/>
      <c r="P338" s="3"/>
      <c r="Q338" s="3"/>
      <c r="R338" s="3"/>
      <c r="S338" s="3"/>
      <c r="T338" s="3"/>
      <c r="U338" s="3"/>
      <c r="V338" s="3"/>
      <c r="W338" s="3"/>
      <c r="X338" s="3"/>
      <c r="Y338" s="3"/>
      <c r="Z338" s="3"/>
    </row>
    <row r="339" spans="1:26" ht="22.5" customHeight="1" x14ac:dyDescent="0.85">
      <c r="A339" s="166"/>
      <c r="B339" s="167"/>
      <c r="C339" s="167"/>
      <c r="D339" s="147"/>
      <c r="E339" s="147"/>
      <c r="F339" s="147"/>
      <c r="G339" s="147"/>
      <c r="H339" s="147"/>
      <c r="I339" s="147"/>
      <c r="J339" s="147"/>
      <c r="K339" s="3"/>
      <c r="L339" s="3"/>
      <c r="M339" s="3"/>
      <c r="N339" s="3"/>
      <c r="O339" s="3"/>
      <c r="P339" s="3"/>
      <c r="Q339" s="3"/>
      <c r="R339" s="3"/>
      <c r="S339" s="3"/>
      <c r="T339" s="3"/>
      <c r="U339" s="3"/>
      <c r="V339" s="3"/>
      <c r="W339" s="3"/>
      <c r="X339" s="3"/>
      <c r="Y339" s="3"/>
      <c r="Z339" s="3"/>
    </row>
    <row r="340" spans="1:26" ht="22.5" customHeight="1" x14ac:dyDescent="0.85">
      <c r="A340" s="166"/>
      <c r="B340" s="167"/>
      <c r="C340" s="167"/>
      <c r="D340" s="147"/>
      <c r="E340" s="147"/>
      <c r="F340" s="147"/>
      <c r="G340" s="147"/>
      <c r="H340" s="147"/>
      <c r="I340" s="147"/>
      <c r="J340" s="147"/>
      <c r="K340" s="3"/>
      <c r="L340" s="3"/>
      <c r="M340" s="3"/>
      <c r="N340" s="3"/>
      <c r="O340" s="3"/>
      <c r="P340" s="3"/>
      <c r="Q340" s="3"/>
      <c r="R340" s="3"/>
      <c r="S340" s="3"/>
      <c r="T340" s="3"/>
      <c r="U340" s="3"/>
      <c r="V340" s="3"/>
      <c r="W340" s="3"/>
      <c r="X340" s="3"/>
      <c r="Y340" s="3"/>
      <c r="Z340" s="3"/>
    </row>
    <row r="341" spans="1:26" ht="22.5" customHeight="1" x14ac:dyDescent="0.85">
      <c r="A341" s="166"/>
      <c r="B341" s="167"/>
      <c r="C341" s="167"/>
      <c r="D341" s="147"/>
      <c r="E341" s="147"/>
      <c r="F341" s="147"/>
      <c r="G341" s="147"/>
      <c r="H341" s="147"/>
      <c r="I341" s="147"/>
      <c r="J341" s="147"/>
      <c r="K341" s="3"/>
      <c r="L341" s="3"/>
      <c r="M341" s="3"/>
      <c r="N341" s="3"/>
      <c r="O341" s="3"/>
      <c r="P341" s="3"/>
      <c r="Q341" s="3"/>
      <c r="R341" s="3"/>
      <c r="S341" s="3"/>
      <c r="T341" s="3"/>
      <c r="U341" s="3"/>
      <c r="V341" s="3"/>
      <c r="W341" s="3"/>
      <c r="X341" s="3"/>
      <c r="Y341" s="3"/>
      <c r="Z341" s="3"/>
    </row>
    <row r="342" spans="1:26" ht="22.5" customHeight="1" x14ac:dyDescent="0.85">
      <c r="A342" s="166"/>
      <c r="B342" s="167"/>
      <c r="C342" s="167"/>
      <c r="D342" s="147"/>
      <c r="E342" s="147"/>
      <c r="F342" s="147"/>
      <c r="G342" s="147"/>
      <c r="H342" s="147"/>
      <c r="I342" s="147"/>
      <c r="J342" s="147"/>
      <c r="K342" s="3"/>
      <c r="L342" s="3"/>
      <c r="M342" s="3"/>
      <c r="N342" s="3"/>
      <c r="O342" s="3"/>
      <c r="P342" s="3"/>
      <c r="Q342" s="3"/>
      <c r="R342" s="3"/>
      <c r="S342" s="3"/>
      <c r="T342" s="3"/>
      <c r="U342" s="3"/>
      <c r="V342" s="3"/>
      <c r="W342" s="3"/>
      <c r="X342" s="3"/>
      <c r="Y342" s="3"/>
      <c r="Z342" s="3"/>
    </row>
    <row r="343" spans="1:26" ht="22.5" customHeight="1" x14ac:dyDescent="0.85">
      <c r="A343" s="166"/>
      <c r="B343" s="167"/>
      <c r="C343" s="167"/>
      <c r="D343" s="147"/>
      <c r="E343" s="147"/>
      <c r="F343" s="147"/>
      <c r="G343" s="147"/>
      <c r="H343" s="147"/>
      <c r="I343" s="147"/>
      <c r="J343" s="147"/>
      <c r="K343" s="3"/>
      <c r="L343" s="3"/>
      <c r="M343" s="3"/>
      <c r="N343" s="3"/>
      <c r="O343" s="3"/>
      <c r="P343" s="3"/>
      <c r="Q343" s="3"/>
      <c r="R343" s="3"/>
      <c r="S343" s="3"/>
      <c r="T343" s="3"/>
      <c r="U343" s="3"/>
      <c r="V343" s="3"/>
      <c r="W343" s="3"/>
      <c r="X343" s="3"/>
      <c r="Y343" s="3"/>
      <c r="Z343" s="3"/>
    </row>
    <row r="344" spans="1:26" ht="22.5" customHeight="1" x14ac:dyDescent="0.85">
      <c r="A344" s="166"/>
      <c r="B344" s="167"/>
      <c r="C344" s="167"/>
      <c r="D344" s="147"/>
      <c r="E344" s="147"/>
      <c r="F344" s="147"/>
      <c r="G344" s="147"/>
      <c r="H344" s="147"/>
      <c r="I344" s="147"/>
      <c r="J344" s="147"/>
      <c r="K344" s="3"/>
      <c r="L344" s="3"/>
      <c r="M344" s="3"/>
      <c r="N344" s="3"/>
      <c r="O344" s="3"/>
      <c r="P344" s="3"/>
      <c r="Q344" s="3"/>
      <c r="R344" s="3"/>
      <c r="S344" s="3"/>
      <c r="T344" s="3"/>
      <c r="U344" s="3"/>
      <c r="V344" s="3"/>
      <c r="W344" s="3"/>
      <c r="X344" s="3"/>
      <c r="Y344" s="3"/>
      <c r="Z344" s="3"/>
    </row>
    <row r="345" spans="1:26" ht="22.5" customHeight="1" x14ac:dyDescent="0.85">
      <c r="A345" s="166"/>
      <c r="B345" s="167"/>
      <c r="C345" s="167"/>
      <c r="D345" s="147"/>
      <c r="E345" s="147"/>
      <c r="F345" s="147"/>
      <c r="G345" s="147"/>
      <c r="H345" s="147"/>
      <c r="I345" s="147"/>
      <c r="J345" s="147"/>
      <c r="K345" s="3"/>
      <c r="L345" s="3"/>
      <c r="M345" s="3"/>
      <c r="N345" s="3"/>
      <c r="O345" s="3"/>
      <c r="P345" s="3"/>
      <c r="Q345" s="3"/>
      <c r="R345" s="3"/>
      <c r="S345" s="3"/>
      <c r="T345" s="3"/>
      <c r="U345" s="3"/>
      <c r="V345" s="3"/>
      <c r="W345" s="3"/>
      <c r="X345" s="3"/>
      <c r="Y345" s="3"/>
      <c r="Z345" s="3"/>
    </row>
    <row r="346" spans="1:26" ht="22.5" customHeight="1" x14ac:dyDescent="0.85">
      <c r="A346" s="166"/>
      <c r="B346" s="167"/>
      <c r="C346" s="167"/>
      <c r="D346" s="147"/>
      <c r="E346" s="147"/>
      <c r="F346" s="147"/>
      <c r="G346" s="147"/>
      <c r="H346" s="147"/>
      <c r="I346" s="147"/>
      <c r="J346" s="147"/>
      <c r="K346" s="3"/>
      <c r="L346" s="3"/>
      <c r="M346" s="3"/>
      <c r="N346" s="3"/>
      <c r="O346" s="3"/>
      <c r="P346" s="3"/>
      <c r="Q346" s="3"/>
      <c r="R346" s="3"/>
      <c r="S346" s="3"/>
      <c r="T346" s="3"/>
      <c r="U346" s="3"/>
      <c r="V346" s="3"/>
      <c r="W346" s="3"/>
      <c r="X346" s="3"/>
      <c r="Y346" s="3"/>
      <c r="Z346" s="3"/>
    </row>
    <row r="347" spans="1:26" ht="22.5" customHeight="1" x14ac:dyDescent="0.85">
      <c r="A347" s="166"/>
      <c r="B347" s="167"/>
      <c r="C347" s="167"/>
      <c r="D347" s="147"/>
      <c r="E347" s="147"/>
      <c r="F347" s="147"/>
      <c r="G347" s="147"/>
      <c r="H347" s="147"/>
      <c r="I347" s="147"/>
      <c r="J347" s="147"/>
      <c r="K347" s="3"/>
      <c r="L347" s="3"/>
      <c r="M347" s="3"/>
      <c r="N347" s="3"/>
      <c r="O347" s="3"/>
      <c r="P347" s="3"/>
      <c r="Q347" s="3"/>
      <c r="R347" s="3"/>
      <c r="S347" s="3"/>
      <c r="T347" s="3"/>
      <c r="U347" s="3"/>
      <c r="V347" s="3"/>
      <c r="W347" s="3"/>
      <c r="X347" s="3"/>
      <c r="Y347" s="3"/>
      <c r="Z347" s="3"/>
    </row>
    <row r="348" spans="1:26" ht="22.5" customHeight="1" x14ac:dyDescent="0.85">
      <c r="A348" s="166"/>
      <c r="B348" s="167"/>
      <c r="C348" s="167"/>
      <c r="D348" s="147"/>
      <c r="E348" s="147"/>
      <c r="F348" s="147"/>
      <c r="G348" s="147"/>
      <c r="H348" s="147"/>
      <c r="I348" s="147"/>
      <c r="J348" s="147"/>
      <c r="K348" s="3"/>
      <c r="L348" s="3"/>
      <c r="M348" s="3"/>
      <c r="N348" s="3"/>
      <c r="O348" s="3"/>
      <c r="P348" s="3"/>
      <c r="Q348" s="3"/>
      <c r="R348" s="3"/>
      <c r="S348" s="3"/>
      <c r="T348" s="3"/>
      <c r="U348" s="3"/>
      <c r="V348" s="3"/>
      <c r="W348" s="3"/>
      <c r="X348" s="3"/>
      <c r="Y348" s="3"/>
      <c r="Z348" s="3"/>
    </row>
    <row r="349" spans="1:26" ht="22.5" customHeight="1" x14ac:dyDescent="0.85">
      <c r="A349" s="166"/>
      <c r="B349" s="167"/>
      <c r="C349" s="167"/>
      <c r="D349" s="147"/>
      <c r="E349" s="147"/>
      <c r="F349" s="147"/>
      <c r="G349" s="147"/>
      <c r="H349" s="147"/>
      <c r="I349" s="147"/>
      <c r="J349" s="147"/>
      <c r="K349" s="3"/>
      <c r="L349" s="3"/>
      <c r="M349" s="3"/>
      <c r="N349" s="3"/>
      <c r="O349" s="3"/>
      <c r="P349" s="3"/>
      <c r="Q349" s="3"/>
      <c r="R349" s="3"/>
      <c r="S349" s="3"/>
      <c r="T349" s="3"/>
      <c r="U349" s="3"/>
      <c r="V349" s="3"/>
      <c r="W349" s="3"/>
      <c r="X349" s="3"/>
      <c r="Y349" s="3"/>
      <c r="Z349" s="3"/>
    </row>
    <row r="350" spans="1:26" ht="22.5" customHeight="1" x14ac:dyDescent="0.85">
      <c r="A350" s="166"/>
      <c r="B350" s="167"/>
      <c r="C350" s="167"/>
      <c r="D350" s="147"/>
      <c r="E350" s="147"/>
      <c r="F350" s="147"/>
      <c r="G350" s="147"/>
      <c r="H350" s="147"/>
      <c r="I350" s="147"/>
      <c r="J350" s="147"/>
      <c r="K350" s="3"/>
      <c r="L350" s="3"/>
      <c r="M350" s="3"/>
      <c r="N350" s="3"/>
      <c r="O350" s="3"/>
      <c r="P350" s="3"/>
      <c r="Q350" s="3"/>
      <c r="R350" s="3"/>
      <c r="S350" s="3"/>
      <c r="T350" s="3"/>
      <c r="U350" s="3"/>
      <c r="V350" s="3"/>
      <c r="W350" s="3"/>
      <c r="X350" s="3"/>
      <c r="Y350" s="3"/>
      <c r="Z350" s="3"/>
    </row>
    <row r="351" spans="1:26" ht="22.5" customHeight="1" x14ac:dyDescent="0.85">
      <c r="A351" s="166"/>
      <c r="B351" s="167"/>
      <c r="C351" s="167"/>
      <c r="D351" s="147"/>
      <c r="E351" s="147"/>
      <c r="F351" s="147"/>
      <c r="G351" s="147"/>
      <c r="H351" s="147"/>
      <c r="I351" s="147"/>
      <c r="J351" s="147"/>
      <c r="K351" s="3"/>
      <c r="L351" s="3"/>
      <c r="M351" s="3"/>
      <c r="N351" s="3"/>
      <c r="O351" s="3"/>
      <c r="P351" s="3"/>
      <c r="Q351" s="3"/>
      <c r="R351" s="3"/>
      <c r="S351" s="3"/>
      <c r="T351" s="3"/>
      <c r="U351" s="3"/>
      <c r="V351" s="3"/>
      <c r="W351" s="3"/>
      <c r="X351" s="3"/>
      <c r="Y351" s="3"/>
      <c r="Z351" s="3"/>
    </row>
    <row r="352" spans="1:26" ht="22.5" customHeight="1" x14ac:dyDescent="0.85">
      <c r="A352" s="166"/>
      <c r="B352" s="167"/>
      <c r="C352" s="167"/>
      <c r="D352" s="147"/>
      <c r="E352" s="147"/>
      <c r="F352" s="147"/>
      <c r="G352" s="147"/>
      <c r="H352" s="147"/>
      <c r="I352" s="147"/>
      <c r="J352" s="147"/>
      <c r="K352" s="3"/>
      <c r="L352" s="3"/>
      <c r="M352" s="3"/>
      <c r="N352" s="3"/>
      <c r="O352" s="3"/>
      <c r="P352" s="3"/>
      <c r="Q352" s="3"/>
      <c r="R352" s="3"/>
      <c r="S352" s="3"/>
      <c r="T352" s="3"/>
      <c r="U352" s="3"/>
      <c r="V352" s="3"/>
      <c r="W352" s="3"/>
      <c r="X352" s="3"/>
      <c r="Y352" s="3"/>
      <c r="Z352" s="3"/>
    </row>
    <row r="353" spans="1:26" ht="22.5" customHeight="1" x14ac:dyDescent="0.85">
      <c r="A353" s="166"/>
      <c r="B353" s="167"/>
      <c r="C353" s="167"/>
      <c r="D353" s="147"/>
      <c r="E353" s="147"/>
      <c r="F353" s="147"/>
      <c r="G353" s="147"/>
      <c r="H353" s="147"/>
      <c r="I353" s="147"/>
      <c r="J353" s="147"/>
      <c r="K353" s="3"/>
      <c r="L353" s="3"/>
      <c r="M353" s="3"/>
      <c r="N353" s="3"/>
      <c r="O353" s="3"/>
      <c r="P353" s="3"/>
      <c r="Q353" s="3"/>
      <c r="R353" s="3"/>
      <c r="S353" s="3"/>
      <c r="T353" s="3"/>
      <c r="U353" s="3"/>
      <c r="V353" s="3"/>
      <c r="W353" s="3"/>
      <c r="X353" s="3"/>
      <c r="Y353" s="3"/>
      <c r="Z353" s="3"/>
    </row>
    <row r="354" spans="1:26" ht="22.5" customHeight="1" x14ac:dyDescent="0.85">
      <c r="A354" s="166"/>
      <c r="B354" s="167"/>
      <c r="C354" s="167"/>
      <c r="D354" s="147"/>
      <c r="E354" s="147"/>
      <c r="F354" s="147"/>
      <c r="G354" s="147"/>
      <c r="H354" s="147"/>
      <c r="I354" s="147"/>
      <c r="J354" s="147"/>
      <c r="K354" s="3"/>
      <c r="L354" s="3"/>
      <c r="M354" s="3"/>
      <c r="N354" s="3"/>
      <c r="O354" s="3"/>
      <c r="P354" s="3"/>
      <c r="Q354" s="3"/>
      <c r="R354" s="3"/>
      <c r="S354" s="3"/>
      <c r="T354" s="3"/>
      <c r="U354" s="3"/>
      <c r="V354" s="3"/>
      <c r="W354" s="3"/>
      <c r="X354" s="3"/>
      <c r="Y354" s="3"/>
      <c r="Z354" s="3"/>
    </row>
    <row r="355" spans="1:26" ht="22.5" customHeight="1" x14ac:dyDescent="0.85">
      <c r="A355" s="166"/>
      <c r="B355" s="167"/>
      <c r="C355" s="167"/>
      <c r="D355" s="147"/>
      <c r="E355" s="147"/>
      <c r="F355" s="147"/>
      <c r="G355" s="147"/>
      <c r="H355" s="147"/>
      <c r="I355" s="147"/>
      <c r="J355" s="147"/>
      <c r="K355" s="3"/>
      <c r="L355" s="3"/>
      <c r="M355" s="3"/>
      <c r="N355" s="3"/>
      <c r="O355" s="3"/>
      <c r="P355" s="3"/>
      <c r="Q355" s="3"/>
      <c r="R355" s="3"/>
      <c r="S355" s="3"/>
      <c r="T355" s="3"/>
      <c r="U355" s="3"/>
      <c r="V355" s="3"/>
      <c r="W355" s="3"/>
      <c r="X355" s="3"/>
      <c r="Y355" s="3"/>
      <c r="Z355" s="3"/>
    </row>
    <row r="356" spans="1:26" ht="22.5" customHeight="1" x14ac:dyDescent="0.85">
      <c r="A356" s="166"/>
      <c r="B356" s="167"/>
      <c r="C356" s="167"/>
      <c r="D356" s="147"/>
      <c r="E356" s="147"/>
      <c r="F356" s="147"/>
      <c r="G356" s="147"/>
      <c r="H356" s="147"/>
      <c r="I356" s="147"/>
      <c r="J356" s="147"/>
      <c r="K356" s="3"/>
      <c r="L356" s="3"/>
      <c r="M356" s="3"/>
      <c r="N356" s="3"/>
      <c r="O356" s="3"/>
      <c r="P356" s="3"/>
      <c r="Q356" s="3"/>
      <c r="R356" s="3"/>
      <c r="S356" s="3"/>
      <c r="T356" s="3"/>
      <c r="U356" s="3"/>
      <c r="V356" s="3"/>
      <c r="W356" s="3"/>
      <c r="X356" s="3"/>
      <c r="Y356" s="3"/>
      <c r="Z356" s="3"/>
    </row>
    <row r="357" spans="1:26" ht="22.5" customHeight="1" x14ac:dyDescent="0.85">
      <c r="A357" s="166"/>
      <c r="B357" s="167"/>
      <c r="C357" s="167"/>
      <c r="D357" s="147"/>
      <c r="E357" s="147"/>
      <c r="F357" s="147"/>
      <c r="G357" s="147"/>
      <c r="H357" s="147"/>
      <c r="I357" s="147"/>
      <c r="J357" s="147"/>
      <c r="K357" s="3"/>
      <c r="L357" s="3"/>
      <c r="M357" s="3"/>
      <c r="N357" s="3"/>
      <c r="O357" s="3"/>
      <c r="P357" s="3"/>
      <c r="Q357" s="3"/>
      <c r="R357" s="3"/>
      <c r="S357" s="3"/>
      <c r="T357" s="3"/>
      <c r="U357" s="3"/>
      <c r="V357" s="3"/>
      <c r="W357" s="3"/>
      <c r="X357" s="3"/>
      <c r="Y357" s="3"/>
      <c r="Z357" s="3"/>
    </row>
    <row r="358" spans="1:26" ht="22.5" customHeight="1" x14ac:dyDescent="0.85">
      <c r="A358" s="166"/>
      <c r="B358" s="167"/>
      <c r="C358" s="167"/>
      <c r="D358" s="147"/>
      <c r="E358" s="147"/>
      <c r="F358" s="147"/>
      <c r="G358" s="147"/>
      <c r="H358" s="147"/>
      <c r="I358" s="147"/>
      <c r="J358" s="147"/>
      <c r="K358" s="3"/>
      <c r="L358" s="3"/>
      <c r="M358" s="3"/>
      <c r="N358" s="3"/>
      <c r="O358" s="3"/>
      <c r="P358" s="3"/>
      <c r="Q358" s="3"/>
      <c r="R358" s="3"/>
      <c r="S358" s="3"/>
      <c r="T358" s="3"/>
      <c r="U358" s="3"/>
      <c r="V358" s="3"/>
      <c r="W358" s="3"/>
      <c r="X358" s="3"/>
      <c r="Y358" s="3"/>
      <c r="Z358" s="3"/>
    </row>
    <row r="359" spans="1:26" ht="22.5" customHeight="1" x14ac:dyDescent="0.85">
      <c r="A359" s="166"/>
      <c r="B359" s="167"/>
      <c r="C359" s="167"/>
      <c r="D359" s="147"/>
      <c r="E359" s="147"/>
      <c r="F359" s="147"/>
      <c r="G359" s="147"/>
      <c r="H359" s="147"/>
      <c r="I359" s="147"/>
      <c r="J359" s="147"/>
      <c r="K359" s="3"/>
      <c r="L359" s="3"/>
      <c r="M359" s="3"/>
      <c r="N359" s="3"/>
      <c r="O359" s="3"/>
      <c r="P359" s="3"/>
      <c r="Q359" s="3"/>
      <c r="R359" s="3"/>
      <c r="S359" s="3"/>
      <c r="T359" s="3"/>
      <c r="U359" s="3"/>
      <c r="V359" s="3"/>
      <c r="W359" s="3"/>
      <c r="X359" s="3"/>
      <c r="Y359" s="3"/>
      <c r="Z359" s="3"/>
    </row>
    <row r="360" spans="1:26" ht="22.5" customHeight="1" x14ac:dyDescent="0.85">
      <c r="A360" s="166"/>
      <c r="B360" s="167"/>
      <c r="C360" s="167"/>
      <c r="D360" s="147"/>
      <c r="E360" s="147"/>
      <c r="F360" s="147"/>
      <c r="G360" s="147"/>
      <c r="H360" s="147"/>
      <c r="I360" s="147"/>
      <c r="J360" s="147"/>
      <c r="K360" s="3"/>
      <c r="L360" s="3"/>
      <c r="M360" s="3"/>
      <c r="N360" s="3"/>
      <c r="O360" s="3"/>
      <c r="P360" s="3"/>
      <c r="Q360" s="3"/>
      <c r="R360" s="3"/>
      <c r="S360" s="3"/>
      <c r="T360" s="3"/>
      <c r="U360" s="3"/>
      <c r="V360" s="3"/>
      <c r="W360" s="3"/>
      <c r="X360" s="3"/>
      <c r="Y360" s="3"/>
      <c r="Z360" s="3"/>
    </row>
    <row r="361" spans="1:26" ht="22.5" customHeight="1" x14ac:dyDescent="0.85">
      <c r="A361" s="166"/>
      <c r="B361" s="167"/>
      <c r="C361" s="167"/>
      <c r="D361" s="147"/>
      <c r="E361" s="147"/>
      <c r="F361" s="147"/>
      <c r="G361" s="147"/>
      <c r="H361" s="147"/>
      <c r="I361" s="147"/>
      <c r="J361" s="147"/>
      <c r="K361" s="3"/>
      <c r="L361" s="3"/>
      <c r="M361" s="3"/>
      <c r="N361" s="3"/>
      <c r="O361" s="3"/>
      <c r="P361" s="3"/>
      <c r="Q361" s="3"/>
      <c r="R361" s="3"/>
      <c r="S361" s="3"/>
      <c r="T361" s="3"/>
      <c r="U361" s="3"/>
      <c r="V361" s="3"/>
      <c r="W361" s="3"/>
      <c r="X361" s="3"/>
      <c r="Y361" s="3"/>
      <c r="Z361" s="3"/>
    </row>
    <row r="362" spans="1:26" ht="22.5" customHeight="1" x14ac:dyDescent="0.85">
      <c r="A362" s="166"/>
      <c r="B362" s="167"/>
      <c r="C362" s="167"/>
      <c r="D362" s="147"/>
      <c r="E362" s="147"/>
      <c r="F362" s="147"/>
      <c r="G362" s="147"/>
      <c r="H362" s="147"/>
      <c r="I362" s="147"/>
      <c r="J362" s="147"/>
      <c r="K362" s="3"/>
      <c r="L362" s="3"/>
      <c r="M362" s="3"/>
      <c r="N362" s="3"/>
      <c r="O362" s="3"/>
      <c r="P362" s="3"/>
      <c r="Q362" s="3"/>
      <c r="R362" s="3"/>
      <c r="S362" s="3"/>
      <c r="T362" s="3"/>
      <c r="U362" s="3"/>
      <c r="V362" s="3"/>
      <c r="W362" s="3"/>
      <c r="X362" s="3"/>
      <c r="Y362" s="3"/>
      <c r="Z362" s="3"/>
    </row>
    <row r="363" spans="1:26" ht="22.5" customHeight="1" x14ac:dyDescent="0.85">
      <c r="A363" s="166"/>
      <c r="B363" s="167"/>
      <c r="C363" s="167"/>
      <c r="D363" s="147"/>
      <c r="E363" s="147"/>
      <c r="F363" s="147"/>
      <c r="G363" s="147"/>
      <c r="H363" s="147"/>
      <c r="I363" s="147"/>
      <c r="J363" s="147"/>
      <c r="K363" s="3"/>
      <c r="L363" s="3"/>
      <c r="M363" s="3"/>
      <c r="N363" s="3"/>
      <c r="O363" s="3"/>
      <c r="P363" s="3"/>
      <c r="Q363" s="3"/>
      <c r="R363" s="3"/>
      <c r="S363" s="3"/>
      <c r="T363" s="3"/>
      <c r="U363" s="3"/>
      <c r="V363" s="3"/>
      <c r="W363" s="3"/>
      <c r="X363" s="3"/>
      <c r="Y363" s="3"/>
      <c r="Z363" s="3"/>
    </row>
    <row r="364" spans="1:26" ht="22.5" customHeight="1" x14ac:dyDescent="0.85">
      <c r="A364" s="166"/>
      <c r="B364" s="167"/>
      <c r="C364" s="167"/>
      <c r="D364" s="147"/>
      <c r="E364" s="147"/>
      <c r="F364" s="147"/>
      <c r="G364" s="147"/>
      <c r="H364" s="147"/>
      <c r="I364" s="147"/>
      <c r="J364" s="147"/>
      <c r="K364" s="3"/>
      <c r="L364" s="3"/>
      <c r="M364" s="3"/>
      <c r="N364" s="3"/>
      <c r="O364" s="3"/>
      <c r="P364" s="3"/>
      <c r="Q364" s="3"/>
      <c r="R364" s="3"/>
      <c r="S364" s="3"/>
      <c r="T364" s="3"/>
      <c r="U364" s="3"/>
      <c r="V364" s="3"/>
      <c r="W364" s="3"/>
      <c r="X364" s="3"/>
      <c r="Y364" s="3"/>
      <c r="Z364" s="3"/>
    </row>
    <row r="365" spans="1:26" ht="22.5" customHeight="1" x14ac:dyDescent="0.85">
      <c r="A365" s="166"/>
      <c r="B365" s="167"/>
      <c r="C365" s="167"/>
      <c r="D365" s="147"/>
      <c r="E365" s="147"/>
      <c r="F365" s="147"/>
      <c r="G365" s="147"/>
      <c r="H365" s="147"/>
      <c r="I365" s="147"/>
      <c r="J365" s="147"/>
      <c r="K365" s="3"/>
      <c r="L365" s="3"/>
      <c r="M365" s="3"/>
      <c r="N365" s="3"/>
      <c r="O365" s="3"/>
      <c r="P365" s="3"/>
      <c r="Q365" s="3"/>
      <c r="R365" s="3"/>
      <c r="S365" s="3"/>
      <c r="T365" s="3"/>
      <c r="U365" s="3"/>
      <c r="V365" s="3"/>
      <c r="W365" s="3"/>
      <c r="X365" s="3"/>
      <c r="Y365" s="3"/>
      <c r="Z365" s="3"/>
    </row>
    <row r="366" spans="1:26" ht="22.5" customHeight="1" x14ac:dyDescent="0.85">
      <c r="A366" s="166"/>
      <c r="B366" s="167"/>
      <c r="C366" s="167"/>
      <c r="D366" s="147"/>
      <c r="E366" s="147"/>
      <c r="F366" s="147"/>
      <c r="G366" s="147"/>
      <c r="H366" s="147"/>
      <c r="I366" s="147"/>
      <c r="J366" s="147"/>
      <c r="K366" s="3"/>
      <c r="L366" s="3"/>
      <c r="M366" s="3"/>
      <c r="N366" s="3"/>
      <c r="O366" s="3"/>
      <c r="P366" s="3"/>
      <c r="Q366" s="3"/>
      <c r="R366" s="3"/>
      <c r="S366" s="3"/>
      <c r="T366" s="3"/>
      <c r="U366" s="3"/>
      <c r="V366" s="3"/>
      <c r="W366" s="3"/>
      <c r="X366" s="3"/>
      <c r="Y366" s="3"/>
      <c r="Z366" s="3"/>
    </row>
    <row r="367" spans="1:26" ht="22.5" customHeight="1" x14ac:dyDescent="0.85">
      <c r="A367" s="166"/>
      <c r="B367" s="167"/>
      <c r="C367" s="167"/>
      <c r="D367" s="147"/>
      <c r="E367" s="147"/>
      <c r="F367" s="147"/>
      <c r="G367" s="147"/>
      <c r="H367" s="147"/>
      <c r="I367" s="147"/>
      <c r="J367" s="147"/>
      <c r="K367" s="3"/>
      <c r="L367" s="3"/>
      <c r="M367" s="3"/>
      <c r="N367" s="3"/>
      <c r="O367" s="3"/>
      <c r="P367" s="3"/>
      <c r="Q367" s="3"/>
      <c r="R367" s="3"/>
      <c r="S367" s="3"/>
      <c r="T367" s="3"/>
      <c r="U367" s="3"/>
      <c r="V367" s="3"/>
      <c r="W367" s="3"/>
      <c r="X367" s="3"/>
      <c r="Y367" s="3"/>
      <c r="Z367" s="3"/>
    </row>
    <row r="368" spans="1:26" ht="22.5" customHeight="1" x14ac:dyDescent="0.85">
      <c r="A368" s="166"/>
      <c r="B368" s="167"/>
      <c r="C368" s="167"/>
      <c r="D368" s="147"/>
      <c r="E368" s="147"/>
      <c r="F368" s="147"/>
      <c r="G368" s="147"/>
      <c r="H368" s="147"/>
      <c r="I368" s="147"/>
      <c r="J368" s="147"/>
      <c r="K368" s="3"/>
      <c r="L368" s="3"/>
      <c r="M368" s="3"/>
      <c r="N368" s="3"/>
      <c r="O368" s="3"/>
      <c r="P368" s="3"/>
      <c r="Q368" s="3"/>
      <c r="R368" s="3"/>
      <c r="S368" s="3"/>
      <c r="T368" s="3"/>
      <c r="U368" s="3"/>
      <c r="V368" s="3"/>
      <c r="W368" s="3"/>
      <c r="X368" s="3"/>
      <c r="Y368" s="3"/>
      <c r="Z368" s="3"/>
    </row>
    <row r="369" spans="1:26" ht="22.5" customHeight="1" x14ac:dyDescent="0.85">
      <c r="A369" s="166"/>
      <c r="B369" s="167"/>
      <c r="C369" s="167"/>
      <c r="D369" s="147"/>
      <c r="E369" s="147"/>
      <c r="F369" s="147"/>
      <c r="G369" s="147"/>
      <c r="H369" s="147"/>
      <c r="I369" s="147"/>
      <c r="J369" s="147"/>
      <c r="K369" s="3"/>
      <c r="L369" s="3"/>
      <c r="M369" s="3"/>
      <c r="N369" s="3"/>
      <c r="O369" s="3"/>
      <c r="P369" s="3"/>
      <c r="Q369" s="3"/>
      <c r="R369" s="3"/>
      <c r="S369" s="3"/>
      <c r="T369" s="3"/>
      <c r="U369" s="3"/>
      <c r="V369" s="3"/>
      <c r="W369" s="3"/>
      <c r="X369" s="3"/>
      <c r="Y369" s="3"/>
      <c r="Z369" s="3"/>
    </row>
    <row r="370" spans="1:26" ht="22.5" customHeight="1" x14ac:dyDescent="0.85">
      <c r="A370" s="166"/>
      <c r="B370" s="167"/>
      <c r="C370" s="167"/>
      <c r="D370" s="147"/>
      <c r="E370" s="147"/>
      <c r="F370" s="147"/>
      <c r="G370" s="147"/>
      <c r="H370" s="147"/>
      <c r="I370" s="147"/>
      <c r="J370" s="147"/>
      <c r="K370" s="3"/>
      <c r="L370" s="3"/>
      <c r="M370" s="3"/>
      <c r="N370" s="3"/>
      <c r="O370" s="3"/>
      <c r="P370" s="3"/>
      <c r="Q370" s="3"/>
      <c r="R370" s="3"/>
      <c r="S370" s="3"/>
      <c r="T370" s="3"/>
      <c r="U370" s="3"/>
      <c r="V370" s="3"/>
      <c r="W370" s="3"/>
      <c r="X370" s="3"/>
      <c r="Y370" s="3"/>
      <c r="Z370" s="3"/>
    </row>
    <row r="371" spans="1:26" ht="22.5" customHeight="1" x14ac:dyDescent="0.85">
      <c r="A371" s="166"/>
      <c r="B371" s="167"/>
      <c r="C371" s="167"/>
      <c r="D371" s="147"/>
      <c r="E371" s="147"/>
      <c r="F371" s="147"/>
      <c r="G371" s="147"/>
      <c r="H371" s="147"/>
      <c r="I371" s="147"/>
      <c r="J371" s="147"/>
      <c r="K371" s="3"/>
      <c r="L371" s="3"/>
      <c r="M371" s="3"/>
      <c r="N371" s="3"/>
      <c r="O371" s="3"/>
      <c r="P371" s="3"/>
      <c r="Q371" s="3"/>
      <c r="R371" s="3"/>
      <c r="S371" s="3"/>
      <c r="T371" s="3"/>
      <c r="U371" s="3"/>
      <c r="V371" s="3"/>
      <c r="W371" s="3"/>
      <c r="X371" s="3"/>
      <c r="Y371" s="3"/>
      <c r="Z371" s="3"/>
    </row>
    <row r="372" spans="1:26" ht="22.5" customHeight="1" x14ac:dyDescent="0.85">
      <c r="A372" s="166"/>
      <c r="B372" s="167"/>
      <c r="C372" s="167"/>
      <c r="D372" s="147"/>
      <c r="E372" s="147"/>
      <c r="F372" s="147"/>
      <c r="G372" s="147"/>
      <c r="H372" s="147"/>
      <c r="I372" s="147"/>
      <c r="J372" s="147"/>
      <c r="K372" s="3"/>
      <c r="L372" s="3"/>
      <c r="M372" s="3"/>
      <c r="N372" s="3"/>
      <c r="O372" s="3"/>
      <c r="P372" s="3"/>
      <c r="Q372" s="3"/>
      <c r="R372" s="3"/>
      <c r="S372" s="3"/>
      <c r="T372" s="3"/>
      <c r="U372" s="3"/>
      <c r="V372" s="3"/>
      <c r="W372" s="3"/>
      <c r="X372" s="3"/>
      <c r="Y372" s="3"/>
      <c r="Z372" s="3"/>
    </row>
    <row r="373" spans="1:26" ht="22.5" customHeight="1" x14ac:dyDescent="0.85">
      <c r="A373" s="166"/>
      <c r="B373" s="167"/>
      <c r="C373" s="167"/>
      <c r="D373" s="147"/>
      <c r="E373" s="147"/>
      <c r="F373" s="147"/>
      <c r="G373" s="147"/>
      <c r="H373" s="147"/>
      <c r="I373" s="147"/>
      <c r="J373" s="147"/>
      <c r="K373" s="3"/>
      <c r="L373" s="3"/>
      <c r="M373" s="3"/>
      <c r="N373" s="3"/>
      <c r="O373" s="3"/>
      <c r="P373" s="3"/>
      <c r="Q373" s="3"/>
      <c r="R373" s="3"/>
      <c r="S373" s="3"/>
      <c r="T373" s="3"/>
      <c r="U373" s="3"/>
      <c r="V373" s="3"/>
      <c r="W373" s="3"/>
      <c r="X373" s="3"/>
      <c r="Y373" s="3"/>
      <c r="Z373" s="3"/>
    </row>
    <row r="374" spans="1:26" ht="22.5" customHeight="1" x14ac:dyDescent="0.85">
      <c r="A374" s="166"/>
      <c r="B374" s="167"/>
      <c r="C374" s="167"/>
      <c r="D374" s="147"/>
      <c r="E374" s="147"/>
      <c r="F374" s="147"/>
      <c r="G374" s="147"/>
      <c r="H374" s="147"/>
      <c r="I374" s="147"/>
      <c r="J374" s="147"/>
      <c r="K374" s="3"/>
      <c r="L374" s="3"/>
      <c r="M374" s="3"/>
      <c r="N374" s="3"/>
      <c r="O374" s="3"/>
      <c r="P374" s="3"/>
      <c r="Q374" s="3"/>
      <c r="R374" s="3"/>
      <c r="S374" s="3"/>
      <c r="T374" s="3"/>
      <c r="U374" s="3"/>
      <c r="V374" s="3"/>
      <c r="W374" s="3"/>
      <c r="X374" s="3"/>
      <c r="Y374" s="3"/>
      <c r="Z374" s="3"/>
    </row>
    <row r="375" spans="1:26" ht="22.5" customHeight="1" x14ac:dyDescent="0.85">
      <c r="A375" s="166"/>
      <c r="B375" s="167"/>
      <c r="C375" s="167"/>
      <c r="D375" s="147"/>
      <c r="E375" s="147"/>
      <c r="F375" s="147"/>
      <c r="G375" s="147"/>
      <c r="H375" s="147"/>
      <c r="I375" s="147"/>
      <c r="J375" s="147"/>
      <c r="K375" s="3"/>
      <c r="L375" s="3"/>
      <c r="M375" s="3"/>
      <c r="N375" s="3"/>
      <c r="O375" s="3"/>
      <c r="P375" s="3"/>
      <c r="Q375" s="3"/>
      <c r="R375" s="3"/>
      <c r="S375" s="3"/>
      <c r="T375" s="3"/>
      <c r="U375" s="3"/>
      <c r="V375" s="3"/>
      <c r="W375" s="3"/>
      <c r="X375" s="3"/>
      <c r="Y375" s="3"/>
      <c r="Z375" s="3"/>
    </row>
    <row r="376" spans="1:26" ht="22.5" customHeight="1" x14ac:dyDescent="0.85">
      <c r="A376" s="166"/>
      <c r="B376" s="167"/>
      <c r="C376" s="167"/>
      <c r="D376" s="147"/>
      <c r="E376" s="147"/>
      <c r="F376" s="147"/>
      <c r="G376" s="147"/>
      <c r="H376" s="147"/>
      <c r="I376" s="147"/>
      <c r="J376" s="147"/>
      <c r="K376" s="3"/>
      <c r="L376" s="3"/>
      <c r="M376" s="3"/>
      <c r="N376" s="3"/>
      <c r="O376" s="3"/>
      <c r="P376" s="3"/>
      <c r="Q376" s="3"/>
      <c r="R376" s="3"/>
      <c r="S376" s="3"/>
      <c r="T376" s="3"/>
      <c r="U376" s="3"/>
      <c r="V376" s="3"/>
      <c r="W376" s="3"/>
      <c r="X376" s="3"/>
      <c r="Y376" s="3"/>
      <c r="Z376" s="3"/>
    </row>
    <row r="377" spans="1:26" ht="22.5" customHeight="1" x14ac:dyDescent="0.85">
      <c r="A377" s="166"/>
      <c r="B377" s="167"/>
      <c r="C377" s="167"/>
      <c r="D377" s="147"/>
      <c r="E377" s="147"/>
      <c r="F377" s="147"/>
      <c r="G377" s="147"/>
      <c r="H377" s="147"/>
      <c r="I377" s="147"/>
      <c r="J377" s="147"/>
      <c r="K377" s="3"/>
      <c r="L377" s="3"/>
      <c r="M377" s="3"/>
      <c r="N377" s="3"/>
      <c r="O377" s="3"/>
      <c r="P377" s="3"/>
      <c r="Q377" s="3"/>
      <c r="R377" s="3"/>
      <c r="S377" s="3"/>
      <c r="T377" s="3"/>
      <c r="U377" s="3"/>
      <c r="V377" s="3"/>
      <c r="W377" s="3"/>
      <c r="X377" s="3"/>
      <c r="Y377" s="3"/>
      <c r="Z377" s="3"/>
    </row>
    <row r="378" spans="1:26" ht="22.5" customHeight="1" x14ac:dyDescent="0.85">
      <c r="A378" s="166"/>
      <c r="B378" s="167"/>
      <c r="C378" s="167"/>
      <c r="D378" s="147"/>
      <c r="E378" s="147"/>
      <c r="F378" s="147"/>
      <c r="G378" s="147"/>
      <c r="H378" s="147"/>
      <c r="I378" s="147"/>
      <c r="J378" s="147"/>
      <c r="K378" s="3"/>
      <c r="L378" s="3"/>
      <c r="M378" s="3"/>
      <c r="N378" s="3"/>
      <c r="O378" s="3"/>
      <c r="P378" s="3"/>
      <c r="Q378" s="3"/>
      <c r="R378" s="3"/>
      <c r="S378" s="3"/>
      <c r="T378" s="3"/>
      <c r="U378" s="3"/>
      <c r="V378" s="3"/>
      <c r="W378" s="3"/>
      <c r="X378" s="3"/>
      <c r="Y378" s="3"/>
      <c r="Z378" s="3"/>
    </row>
    <row r="379" spans="1:26" ht="22.5" customHeight="1" x14ac:dyDescent="0.85">
      <c r="A379" s="166"/>
      <c r="B379" s="167"/>
      <c r="C379" s="167"/>
      <c r="D379" s="147"/>
      <c r="E379" s="147"/>
      <c r="F379" s="147"/>
      <c r="G379" s="147"/>
      <c r="H379" s="147"/>
      <c r="I379" s="147"/>
      <c r="J379" s="147"/>
      <c r="K379" s="3"/>
      <c r="L379" s="3"/>
      <c r="M379" s="3"/>
      <c r="N379" s="3"/>
      <c r="O379" s="3"/>
      <c r="P379" s="3"/>
      <c r="Q379" s="3"/>
      <c r="R379" s="3"/>
      <c r="S379" s="3"/>
      <c r="T379" s="3"/>
      <c r="U379" s="3"/>
      <c r="V379" s="3"/>
      <c r="W379" s="3"/>
      <c r="X379" s="3"/>
      <c r="Y379" s="3"/>
      <c r="Z379" s="3"/>
    </row>
    <row r="380" spans="1:26" ht="22.5" customHeight="1" x14ac:dyDescent="0.85">
      <c r="A380" s="166"/>
      <c r="B380" s="167"/>
      <c r="C380" s="167"/>
      <c r="D380" s="147"/>
      <c r="E380" s="147"/>
      <c r="F380" s="147"/>
      <c r="G380" s="147"/>
      <c r="H380" s="147"/>
      <c r="I380" s="147"/>
      <c r="J380" s="147"/>
      <c r="K380" s="3"/>
      <c r="L380" s="3"/>
      <c r="M380" s="3"/>
      <c r="N380" s="3"/>
      <c r="O380" s="3"/>
      <c r="P380" s="3"/>
      <c r="Q380" s="3"/>
      <c r="R380" s="3"/>
      <c r="S380" s="3"/>
      <c r="T380" s="3"/>
      <c r="U380" s="3"/>
      <c r="V380" s="3"/>
      <c r="W380" s="3"/>
      <c r="X380" s="3"/>
      <c r="Y380" s="3"/>
      <c r="Z380" s="3"/>
    </row>
    <row r="381" spans="1:26" ht="22.5" customHeight="1" x14ac:dyDescent="0.85">
      <c r="A381" s="166"/>
      <c r="B381" s="167"/>
      <c r="C381" s="167"/>
      <c r="D381" s="147"/>
      <c r="E381" s="147"/>
      <c r="F381" s="147"/>
      <c r="G381" s="147"/>
      <c r="H381" s="147"/>
      <c r="I381" s="147"/>
      <c r="J381" s="147"/>
      <c r="K381" s="3"/>
      <c r="L381" s="3"/>
      <c r="M381" s="3"/>
      <c r="N381" s="3"/>
      <c r="O381" s="3"/>
      <c r="P381" s="3"/>
      <c r="Q381" s="3"/>
      <c r="R381" s="3"/>
      <c r="S381" s="3"/>
      <c r="T381" s="3"/>
      <c r="U381" s="3"/>
      <c r="V381" s="3"/>
      <c r="W381" s="3"/>
      <c r="X381" s="3"/>
      <c r="Y381" s="3"/>
      <c r="Z381" s="3"/>
    </row>
    <row r="382" spans="1:26" ht="22.5" customHeight="1" x14ac:dyDescent="0.85">
      <c r="A382" s="166"/>
      <c r="B382" s="167"/>
      <c r="C382" s="167"/>
      <c r="D382" s="147"/>
      <c r="E382" s="147"/>
      <c r="F382" s="147"/>
      <c r="G382" s="147"/>
      <c r="H382" s="147"/>
      <c r="I382" s="147"/>
      <c r="J382" s="147"/>
      <c r="K382" s="3"/>
      <c r="L382" s="3"/>
      <c r="M382" s="3"/>
      <c r="N382" s="3"/>
      <c r="O382" s="3"/>
      <c r="P382" s="3"/>
      <c r="Q382" s="3"/>
      <c r="R382" s="3"/>
      <c r="S382" s="3"/>
      <c r="T382" s="3"/>
      <c r="U382" s="3"/>
      <c r="V382" s="3"/>
      <c r="W382" s="3"/>
      <c r="X382" s="3"/>
      <c r="Y382" s="3"/>
      <c r="Z382" s="3"/>
    </row>
    <row r="383" spans="1:26" ht="22.5" customHeight="1" x14ac:dyDescent="0.85">
      <c r="A383" s="166"/>
      <c r="B383" s="167"/>
      <c r="C383" s="167"/>
      <c r="D383" s="147"/>
      <c r="E383" s="147"/>
      <c r="F383" s="147"/>
      <c r="G383" s="147"/>
      <c r="H383" s="147"/>
      <c r="I383" s="147"/>
      <c r="J383" s="147"/>
      <c r="K383" s="3"/>
      <c r="L383" s="3"/>
      <c r="M383" s="3"/>
      <c r="N383" s="3"/>
      <c r="O383" s="3"/>
      <c r="P383" s="3"/>
      <c r="Q383" s="3"/>
      <c r="R383" s="3"/>
      <c r="S383" s="3"/>
      <c r="T383" s="3"/>
      <c r="U383" s="3"/>
      <c r="V383" s="3"/>
      <c r="W383" s="3"/>
      <c r="X383" s="3"/>
      <c r="Y383" s="3"/>
      <c r="Z383" s="3"/>
    </row>
    <row r="384" spans="1:26" ht="22.5" customHeight="1" x14ac:dyDescent="0.85">
      <c r="A384" s="166"/>
      <c r="B384" s="167"/>
      <c r="C384" s="167"/>
      <c r="D384" s="147"/>
      <c r="E384" s="147"/>
      <c r="F384" s="147"/>
      <c r="G384" s="147"/>
      <c r="H384" s="147"/>
      <c r="I384" s="147"/>
      <c r="J384" s="147"/>
      <c r="K384" s="3"/>
      <c r="L384" s="3"/>
      <c r="M384" s="3"/>
      <c r="N384" s="3"/>
      <c r="O384" s="3"/>
      <c r="P384" s="3"/>
      <c r="Q384" s="3"/>
      <c r="R384" s="3"/>
      <c r="S384" s="3"/>
      <c r="T384" s="3"/>
      <c r="U384" s="3"/>
      <c r="V384" s="3"/>
      <c r="W384" s="3"/>
      <c r="X384" s="3"/>
      <c r="Y384" s="3"/>
      <c r="Z384" s="3"/>
    </row>
    <row r="385" spans="1:26" ht="22.5" customHeight="1" x14ac:dyDescent="0.85">
      <c r="A385" s="166"/>
      <c r="B385" s="167"/>
      <c r="C385" s="167"/>
      <c r="D385" s="147"/>
      <c r="E385" s="147"/>
      <c r="F385" s="147"/>
      <c r="G385" s="147"/>
      <c r="H385" s="147"/>
      <c r="I385" s="147"/>
      <c r="J385" s="147"/>
      <c r="K385" s="3"/>
      <c r="L385" s="3"/>
      <c r="M385" s="3"/>
      <c r="N385" s="3"/>
      <c r="O385" s="3"/>
      <c r="P385" s="3"/>
      <c r="Q385" s="3"/>
      <c r="R385" s="3"/>
      <c r="S385" s="3"/>
      <c r="T385" s="3"/>
      <c r="U385" s="3"/>
      <c r="V385" s="3"/>
      <c r="W385" s="3"/>
      <c r="X385" s="3"/>
      <c r="Y385" s="3"/>
      <c r="Z385" s="3"/>
    </row>
    <row r="386" spans="1:26" ht="22.5" customHeight="1" x14ac:dyDescent="0.85">
      <c r="A386" s="166"/>
      <c r="B386" s="167"/>
      <c r="C386" s="167"/>
      <c r="D386" s="147"/>
      <c r="E386" s="147"/>
      <c r="F386" s="147"/>
      <c r="G386" s="147"/>
      <c r="H386" s="147"/>
      <c r="I386" s="147"/>
      <c r="J386" s="147"/>
      <c r="K386" s="3"/>
      <c r="L386" s="3"/>
      <c r="M386" s="3"/>
      <c r="N386" s="3"/>
      <c r="O386" s="3"/>
      <c r="P386" s="3"/>
      <c r="Q386" s="3"/>
      <c r="R386" s="3"/>
      <c r="S386" s="3"/>
      <c r="T386" s="3"/>
      <c r="U386" s="3"/>
      <c r="V386" s="3"/>
      <c r="W386" s="3"/>
      <c r="X386" s="3"/>
      <c r="Y386" s="3"/>
      <c r="Z386" s="3"/>
    </row>
    <row r="387" spans="1:26" ht="22.5" customHeight="1" x14ac:dyDescent="0.85">
      <c r="A387" s="166"/>
      <c r="B387" s="167"/>
      <c r="C387" s="167"/>
      <c r="D387" s="147"/>
      <c r="E387" s="147"/>
      <c r="F387" s="147"/>
      <c r="G387" s="147"/>
      <c r="H387" s="147"/>
      <c r="I387" s="147"/>
      <c r="J387" s="147"/>
      <c r="K387" s="3"/>
      <c r="L387" s="3"/>
      <c r="M387" s="3"/>
      <c r="N387" s="3"/>
      <c r="O387" s="3"/>
      <c r="P387" s="3"/>
      <c r="Q387" s="3"/>
      <c r="R387" s="3"/>
      <c r="S387" s="3"/>
      <c r="T387" s="3"/>
      <c r="U387" s="3"/>
      <c r="V387" s="3"/>
      <c r="W387" s="3"/>
      <c r="X387" s="3"/>
      <c r="Y387" s="3"/>
      <c r="Z387" s="3"/>
    </row>
    <row r="388" spans="1:26" ht="22.5" customHeight="1" x14ac:dyDescent="0.85">
      <c r="A388" s="166"/>
      <c r="B388" s="167"/>
      <c r="C388" s="167"/>
      <c r="D388" s="147"/>
      <c r="E388" s="147"/>
      <c r="F388" s="147"/>
      <c r="G388" s="147"/>
      <c r="H388" s="147"/>
      <c r="I388" s="147"/>
      <c r="J388" s="147"/>
      <c r="K388" s="3"/>
      <c r="L388" s="3"/>
      <c r="M388" s="3"/>
      <c r="N388" s="3"/>
      <c r="O388" s="3"/>
      <c r="P388" s="3"/>
      <c r="Q388" s="3"/>
      <c r="R388" s="3"/>
      <c r="S388" s="3"/>
      <c r="T388" s="3"/>
      <c r="U388" s="3"/>
      <c r="V388" s="3"/>
      <c r="W388" s="3"/>
      <c r="X388" s="3"/>
      <c r="Y388" s="3"/>
      <c r="Z388" s="3"/>
    </row>
    <row r="389" spans="1:26" ht="22.5" customHeight="1" x14ac:dyDescent="0.85">
      <c r="A389" s="166"/>
      <c r="B389" s="167"/>
      <c r="C389" s="167"/>
      <c r="D389" s="147"/>
      <c r="E389" s="147"/>
      <c r="F389" s="147"/>
      <c r="G389" s="147"/>
      <c r="H389" s="147"/>
      <c r="I389" s="147"/>
      <c r="J389" s="147"/>
      <c r="K389" s="3"/>
      <c r="L389" s="3"/>
      <c r="M389" s="3"/>
      <c r="N389" s="3"/>
      <c r="O389" s="3"/>
      <c r="P389" s="3"/>
      <c r="Q389" s="3"/>
      <c r="R389" s="3"/>
      <c r="S389" s="3"/>
      <c r="T389" s="3"/>
      <c r="U389" s="3"/>
      <c r="V389" s="3"/>
      <c r="W389" s="3"/>
      <c r="X389" s="3"/>
      <c r="Y389" s="3"/>
      <c r="Z389" s="3"/>
    </row>
    <row r="390" spans="1:26" ht="22.5" customHeight="1" x14ac:dyDescent="0.85">
      <c r="A390" s="166"/>
      <c r="B390" s="167"/>
      <c r="C390" s="167"/>
      <c r="D390" s="147"/>
      <c r="E390" s="147"/>
      <c r="F390" s="147"/>
      <c r="G390" s="147"/>
      <c r="H390" s="147"/>
      <c r="I390" s="147"/>
      <c r="J390" s="147"/>
      <c r="K390" s="3"/>
      <c r="L390" s="3"/>
      <c r="M390" s="3"/>
      <c r="N390" s="3"/>
      <c r="O390" s="3"/>
      <c r="P390" s="3"/>
      <c r="Q390" s="3"/>
      <c r="R390" s="3"/>
      <c r="S390" s="3"/>
      <c r="T390" s="3"/>
      <c r="U390" s="3"/>
      <c r="V390" s="3"/>
      <c r="W390" s="3"/>
      <c r="X390" s="3"/>
      <c r="Y390" s="3"/>
      <c r="Z390" s="3"/>
    </row>
    <row r="391" spans="1:26" ht="22.5" customHeight="1" x14ac:dyDescent="0.85">
      <c r="A391" s="166"/>
      <c r="B391" s="167"/>
      <c r="C391" s="167"/>
      <c r="D391" s="147"/>
      <c r="E391" s="147"/>
      <c r="F391" s="147"/>
      <c r="G391" s="147"/>
      <c r="H391" s="147"/>
      <c r="I391" s="147"/>
      <c r="J391" s="147"/>
      <c r="K391" s="3"/>
      <c r="L391" s="3"/>
      <c r="M391" s="3"/>
      <c r="N391" s="3"/>
      <c r="O391" s="3"/>
      <c r="P391" s="3"/>
      <c r="Q391" s="3"/>
      <c r="R391" s="3"/>
      <c r="S391" s="3"/>
      <c r="T391" s="3"/>
      <c r="U391" s="3"/>
      <c r="V391" s="3"/>
      <c r="W391" s="3"/>
      <c r="X391" s="3"/>
      <c r="Y391" s="3"/>
      <c r="Z391" s="3"/>
    </row>
    <row r="392" spans="1:26" ht="22.5" customHeight="1" x14ac:dyDescent="0.85">
      <c r="A392" s="166"/>
      <c r="B392" s="167"/>
      <c r="C392" s="167"/>
      <c r="D392" s="147"/>
      <c r="E392" s="147"/>
      <c r="F392" s="147"/>
      <c r="G392" s="147"/>
      <c r="H392" s="147"/>
      <c r="I392" s="147"/>
      <c r="J392" s="147"/>
      <c r="K392" s="3"/>
      <c r="L392" s="3"/>
      <c r="M392" s="3"/>
      <c r="N392" s="3"/>
      <c r="O392" s="3"/>
      <c r="P392" s="3"/>
      <c r="Q392" s="3"/>
      <c r="R392" s="3"/>
      <c r="S392" s="3"/>
      <c r="T392" s="3"/>
      <c r="U392" s="3"/>
      <c r="V392" s="3"/>
      <c r="W392" s="3"/>
      <c r="X392" s="3"/>
      <c r="Y392" s="3"/>
      <c r="Z392" s="3"/>
    </row>
    <row r="393" spans="1:26" ht="22.5" customHeight="1" x14ac:dyDescent="0.85">
      <c r="A393" s="166"/>
      <c r="B393" s="167"/>
      <c r="C393" s="167"/>
      <c r="D393" s="147"/>
      <c r="E393" s="147"/>
      <c r="F393" s="147"/>
      <c r="G393" s="147"/>
      <c r="H393" s="147"/>
      <c r="I393" s="147"/>
      <c r="J393" s="147"/>
      <c r="K393" s="3"/>
      <c r="L393" s="3"/>
      <c r="M393" s="3"/>
      <c r="N393" s="3"/>
      <c r="O393" s="3"/>
      <c r="P393" s="3"/>
      <c r="Q393" s="3"/>
      <c r="R393" s="3"/>
      <c r="S393" s="3"/>
      <c r="T393" s="3"/>
      <c r="U393" s="3"/>
      <c r="V393" s="3"/>
      <c r="W393" s="3"/>
      <c r="X393" s="3"/>
      <c r="Y393" s="3"/>
      <c r="Z393" s="3"/>
    </row>
    <row r="394" spans="1:26" ht="22.5" customHeight="1" x14ac:dyDescent="0.85">
      <c r="A394" s="166"/>
      <c r="B394" s="167"/>
      <c r="C394" s="167"/>
      <c r="D394" s="147"/>
      <c r="E394" s="147"/>
      <c r="F394" s="147"/>
      <c r="G394" s="147"/>
      <c r="H394" s="147"/>
      <c r="I394" s="147"/>
      <c r="J394" s="147"/>
      <c r="K394" s="3"/>
      <c r="L394" s="3"/>
      <c r="M394" s="3"/>
      <c r="N394" s="3"/>
      <c r="O394" s="3"/>
      <c r="P394" s="3"/>
      <c r="Q394" s="3"/>
      <c r="R394" s="3"/>
      <c r="S394" s="3"/>
      <c r="T394" s="3"/>
      <c r="U394" s="3"/>
      <c r="V394" s="3"/>
      <c r="W394" s="3"/>
      <c r="X394" s="3"/>
      <c r="Y394" s="3"/>
      <c r="Z394" s="3"/>
    </row>
    <row r="395" spans="1:26" ht="22.5" customHeight="1" x14ac:dyDescent="0.85">
      <c r="A395" s="166"/>
      <c r="B395" s="167"/>
      <c r="C395" s="167"/>
      <c r="D395" s="147"/>
      <c r="E395" s="147"/>
      <c r="F395" s="147"/>
      <c r="G395" s="147"/>
      <c r="H395" s="147"/>
      <c r="I395" s="147"/>
      <c r="J395" s="147"/>
      <c r="K395" s="3"/>
      <c r="L395" s="3"/>
      <c r="M395" s="3"/>
      <c r="N395" s="3"/>
      <c r="O395" s="3"/>
      <c r="P395" s="3"/>
      <c r="Q395" s="3"/>
      <c r="R395" s="3"/>
      <c r="S395" s="3"/>
      <c r="T395" s="3"/>
      <c r="U395" s="3"/>
      <c r="V395" s="3"/>
      <c r="W395" s="3"/>
      <c r="X395" s="3"/>
      <c r="Y395" s="3"/>
      <c r="Z395" s="3"/>
    </row>
    <row r="396" spans="1:26" ht="22.5" customHeight="1" x14ac:dyDescent="0.85">
      <c r="A396" s="166"/>
      <c r="B396" s="167"/>
      <c r="C396" s="167"/>
      <c r="D396" s="147"/>
      <c r="E396" s="147"/>
      <c r="F396" s="147"/>
      <c r="G396" s="147"/>
      <c r="H396" s="147"/>
      <c r="I396" s="147"/>
      <c r="J396" s="147"/>
      <c r="K396" s="3"/>
      <c r="L396" s="3"/>
      <c r="M396" s="3"/>
      <c r="N396" s="3"/>
      <c r="O396" s="3"/>
      <c r="P396" s="3"/>
      <c r="Q396" s="3"/>
      <c r="R396" s="3"/>
      <c r="S396" s="3"/>
      <c r="T396" s="3"/>
      <c r="U396" s="3"/>
      <c r="V396" s="3"/>
      <c r="W396" s="3"/>
      <c r="X396" s="3"/>
      <c r="Y396" s="3"/>
      <c r="Z396" s="3"/>
    </row>
    <row r="397" spans="1:26" ht="22.5" customHeight="1" x14ac:dyDescent="0.85">
      <c r="A397" s="166"/>
      <c r="B397" s="167"/>
      <c r="C397" s="167"/>
      <c r="D397" s="147"/>
      <c r="E397" s="147"/>
      <c r="F397" s="147"/>
      <c r="G397" s="147"/>
      <c r="H397" s="147"/>
      <c r="I397" s="147"/>
      <c r="J397" s="147"/>
      <c r="K397" s="3"/>
      <c r="L397" s="3"/>
      <c r="M397" s="3"/>
      <c r="N397" s="3"/>
      <c r="O397" s="3"/>
      <c r="P397" s="3"/>
      <c r="Q397" s="3"/>
      <c r="R397" s="3"/>
      <c r="S397" s="3"/>
      <c r="T397" s="3"/>
      <c r="U397" s="3"/>
      <c r="V397" s="3"/>
      <c r="W397" s="3"/>
      <c r="X397" s="3"/>
      <c r="Y397" s="3"/>
      <c r="Z397" s="3"/>
    </row>
    <row r="398" spans="1:26" ht="22.5" customHeight="1" x14ac:dyDescent="0.85">
      <c r="A398" s="166"/>
      <c r="B398" s="167"/>
      <c r="C398" s="167"/>
      <c r="D398" s="147"/>
      <c r="E398" s="147"/>
      <c r="F398" s="147"/>
      <c r="G398" s="147"/>
      <c r="H398" s="147"/>
      <c r="I398" s="147"/>
      <c r="J398" s="147"/>
      <c r="K398" s="3"/>
      <c r="L398" s="3"/>
      <c r="M398" s="3"/>
      <c r="N398" s="3"/>
      <c r="O398" s="3"/>
      <c r="P398" s="3"/>
      <c r="Q398" s="3"/>
      <c r="R398" s="3"/>
      <c r="S398" s="3"/>
      <c r="T398" s="3"/>
      <c r="U398" s="3"/>
      <c r="V398" s="3"/>
      <c r="W398" s="3"/>
      <c r="X398" s="3"/>
      <c r="Y398" s="3"/>
      <c r="Z398" s="3"/>
    </row>
    <row r="399" spans="1:26" ht="22.5" customHeight="1" x14ac:dyDescent="0.85">
      <c r="A399" s="166"/>
      <c r="B399" s="167"/>
      <c r="C399" s="167"/>
      <c r="D399" s="147"/>
      <c r="E399" s="147"/>
      <c r="F399" s="147"/>
      <c r="G399" s="147"/>
      <c r="H399" s="147"/>
      <c r="I399" s="147"/>
      <c r="J399" s="147"/>
      <c r="K399" s="3"/>
      <c r="L399" s="3"/>
      <c r="M399" s="3"/>
      <c r="N399" s="3"/>
      <c r="O399" s="3"/>
      <c r="P399" s="3"/>
      <c r="Q399" s="3"/>
      <c r="R399" s="3"/>
      <c r="S399" s="3"/>
      <c r="T399" s="3"/>
      <c r="U399" s="3"/>
      <c r="V399" s="3"/>
      <c r="W399" s="3"/>
      <c r="X399" s="3"/>
      <c r="Y399" s="3"/>
      <c r="Z399" s="3"/>
    </row>
    <row r="400" spans="1:26" ht="22.5" customHeight="1" x14ac:dyDescent="0.85">
      <c r="A400" s="166"/>
      <c r="B400" s="167"/>
      <c r="C400" s="167"/>
      <c r="D400" s="147"/>
      <c r="E400" s="147"/>
      <c r="F400" s="147"/>
      <c r="G400" s="147"/>
      <c r="H400" s="147"/>
      <c r="I400" s="147"/>
      <c r="J400" s="147"/>
      <c r="K400" s="3"/>
      <c r="L400" s="3"/>
      <c r="M400" s="3"/>
      <c r="N400" s="3"/>
      <c r="O400" s="3"/>
      <c r="P400" s="3"/>
      <c r="Q400" s="3"/>
      <c r="R400" s="3"/>
      <c r="S400" s="3"/>
      <c r="T400" s="3"/>
      <c r="U400" s="3"/>
      <c r="V400" s="3"/>
      <c r="W400" s="3"/>
      <c r="X400" s="3"/>
      <c r="Y400" s="3"/>
      <c r="Z400" s="3"/>
    </row>
    <row r="401" spans="1:26" ht="22.5" customHeight="1" x14ac:dyDescent="0.85">
      <c r="A401" s="166"/>
      <c r="B401" s="167"/>
      <c r="C401" s="167"/>
      <c r="D401" s="147"/>
      <c r="E401" s="147"/>
      <c r="F401" s="147"/>
      <c r="G401" s="147"/>
      <c r="H401" s="147"/>
      <c r="I401" s="147"/>
      <c r="J401" s="147"/>
      <c r="K401" s="3"/>
      <c r="L401" s="3"/>
      <c r="M401" s="3"/>
      <c r="N401" s="3"/>
      <c r="O401" s="3"/>
      <c r="P401" s="3"/>
      <c r="Q401" s="3"/>
      <c r="R401" s="3"/>
      <c r="S401" s="3"/>
      <c r="T401" s="3"/>
      <c r="U401" s="3"/>
      <c r="V401" s="3"/>
      <c r="W401" s="3"/>
      <c r="X401" s="3"/>
      <c r="Y401" s="3"/>
      <c r="Z401" s="3"/>
    </row>
    <row r="402" spans="1:26" ht="22.5" customHeight="1" x14ac:dyDescent="0.85">
      <c r="A402" s="166"/>
      <c r="B402" s="167"/>
      <c r="C402" s="167"/>
      <c r="D402" s="147"/>
      <c r="E402" s="147"/>
      <c r="F402" s="147"/>
      <c r="G402" s="147"/>
      <c r="H402" s="147"/>
      <c r="I402" s="147"/>
      <c r="J402" s="147"/>
      <c r="K402" s="3"/>
      <c r="L402" s="3"/>
      <c r="M402" s="3"/>
      <c r="N402" s="3"/>
      <c r="O402" s="3"/>
      <c r="P402" s="3"/>
      <c r="Q402" s="3"/>
      <c r="R402" s="3"/>
      <c r="S402" s="3"/>
      <c r="T402" s="3"/>
      <c r="U402" s="3"/>
      <c r="V402" s="3"/>
      <c r="W402" s="3"/>
      <c r="X402" s="3"/>
      <c r="Y402" s="3"/>
      <c r="Z402" s="3"/>
    </row>
    <row r="403" spans="1:26" ht="22.5" customHeight="1" x14ac:dyDescent="0.85">
      <c r="A403" s="166"/>
      <c r="B403" s="167"/>
      <c r="C403" s="167"/>
      <c r="D403" s="147"/>
      <c r="E403" s="147"/>
      <c r="F403" s="147"/>
      <c r="G403" s="147"/>
      <c r="H403" s="147"/>
      <c r="I403" s="147"/>
      <c r="J403" s="147"/>
      <c r="K403" s="3"/>
      <c r="L403" s="3"/>
      <c r="M403" s="3"/>
      <c r="N403" s="3"/>
      <c r="O403" s="3"/>
      <c r="P403" s="3"/>
      <c r="Q403" s="3"/>
      <c r="R403" s="3"/>
      <c r="S403" s="3"/>
      <c r="T403" s="3"/>
      <c r="U403" s="3"/>
      <c r="V403" s="3"/>
      <c r="W403" s="3"/>
      <c r="X403" s="3"/>
      <c r="Y403" s="3"/>
      <c r="Z403" s="3"/>
    </row>
    <row r="404" spans="1:26" ht="22.5" customHeight="1" x14ac:dyDescent="0.85">
      <c r="A404" s="166"/>
      <c r="B404" s="167"/>
      <c r="C404" s="167"/>
      <c r="D404" s="147"/>
      <c r="E404" s="147"/>
      <c r="F404" s="147"/>
      <c r="G404" s="147"/>
      <c r="H404" s="147"/>
      <c r="I404" s="147"/>
      <c r="J404" s="147"/>
      <c r="K404" s="3"/>
      <c r="L404" s="3"/>
      <c r="M404" s="3"/>
      <c r="N404" s="3"/>
      <c r="O404" s="3"/>
      <c r="P404" s="3"/>
      <c r="Q404" s="3"/>
      <c r="R404" s="3"/>
      <c r="S404" s="3"/>
      <c r="T404" s="3"/>
      <c r="U404" s="3"/>
      <c r="V404" s="3"/>
      <c r="W404" s="3"/>
      <c r="X404" s="3"/>
      <c r="Y404" s="3"/>
      <c r="Z404" s="3"/>
    </row>
    <row r="405" spans="1:26" ht="22.5" customHeight="1" x14ac:dyDescent="0.85">
      <c r="A405" s="166"/>
      <c r="B405" s="167"/>
      <c r="C405" s="167"/>
      <c r="D405" s="147"/>
      <c r="E405" s="147"/>
      <c r="F405" s="147"/>
      <c r="G405" s="147"/>
      <c r="H405" s="147"/>
      <c r="I405" s="147"/>
      <c r="J405" s="147"/>
      <c r="K405" s="3"/>
      <c r="L405" s="3"/>
      <c r="M405" s="3"/>
      <c r="N405" s="3"/>
      <c r="O405" s="3"/>
      <c r="P405" s="3"/>
      <c r="Q405" s="3"/>
      <c r="R405" s="3"/>
      <c r="S405" s="3"/>
      <c r="T405" s="3"/>
      <c r="U405" s="3"/>
      <c r="V405" s="3"/>
      <c r="W405" s="3"/>
      <c r="X405" s="3"/>
      <c r="Y405" s="3"/>
      <c r="Z405" s="3"/>
    </row>
    <row r="406" spans="1:26" ht="22.5" customHeight="1" x14ac:dyDescent="0.85">
      <c r="A406" s="166"/>
      <c r="B406" s="167"/>
      <c r="C406" s="167"/>
      <c r="D406" s="147"/>
      <c r="E406" s="147"/>
      <c r="F406" s="147"/>
      <c r="G406" s="147"/>
      <c r="H406" s="147"/>
      <c r="I406" s="147"/>
      <c r="J406" s="147"/>
      <c r="K406" s="3"/>
      <c r="L406" s="3"/>
      <c r="M406" s="3"/>
      <c r="N406" s="3"/>
      <c r="O406" s="3"/>
      <c r="P406" s="3"/>
      <c r="Q406" s="3"/>
      <c r="R406" s="3"/>
      <c r="S406" s="3"/>
      <c r="T406" s="3"/>
      <c r="U406" s="3"/>
      <c r="V406" s="3"/>
      <c r="W406" s="3"/>
      <c r="X406" s="3"/>
      <c r="Y406" s="3"/>
      <c r="Z406" s="3"/>
    </row>
    <row r="407" spans="1:26" ht="22.5" customHeight="1" x14ac:dyDescent="0.85">
      <c r="A407" s="166"/>
      <c r="B407" s="167"/>
      <c r="C407" s="167"/>
      <c r="D407" s="147"/>
      <c r="E407" s="147"/>
      <c r="F407" s="147"/>
      <c r="G407" s="147"/>
      <c r="H407" s="147"/>
      <c r="I407" s="147"/>
      <c r="J407" s="147"/>
      <c r="K407" s="3"/>
      <c r="L407" s="3"/>
      <c r="M407" s="3"/>
      <c r="N407" s="3"/>
      <c r="O407" s="3"/>
      <c r="P407" s="3"/>
      <c r="Q407" s="3"/>
      <c r="R407" s="3"/>
      <c r="S407" s="3"/>
      <c r="T407" s="3"/>
      <c r="U407" s="3"/>
      <c r="V407" s="3"/>
      <c r="W407" s="3"/>
      <c r="X407" s="3"/>
      <c r="Y407" s="3"/>
      <c r="Z407" s="3"/>
    </row>
    <row r="408" spans="1:26" ht="22.5" customHeight="1" x14ac:dyDescent="0.85">
      <c r="A408" s="166"/>
      <c r="B408" s="167"/>
      <c r="C408" s="167"/>
      <c r="D408" s="147"/>
      <c r="E408" s="147"/>
      <c r="F408" s="147"/>
      <c r="G408" s="147"/>
      <c r="H408" s="147"/>
      <c r="I408" s="147"/>
      <c r="J408" s="147"/>
      <c r="K408" s="3"/>
      <c r="L408" s="3"/>
      <c r="M408" s="3"/>
      <c r="N408" s="3"/>
      <c r="O408" s="3"/>
      <c r="P408" s="3"/>
      <c r="Q408" s="3"/>
      <c r="R408" s="3"/>
      <c r="S408" s="3"/>
      <c r="T408" s="3"/>
      <c r="U408" s="3"/>
      <c r="V408" s="3"/>
      <c r="W408" s="3"/>
      <c r="X408" s="3"/>
      <c r="Y408" s="3"/>
      <c r="Z408" s="3"/>
    </row>
    <row r="409" spans="1:26" ht="22.5" customHeight="1" x14ac:dyDescent="0.85">
      <c r="A409" s="166"/>
      <c r="B409" s="167"/>
      <c r="C409" s="167"/>
      <c r="D409" s="147"/>
      <c r="E409" s="147"/>
      <c r="F409" s="147"/>
      <c r="G409" s="147"/>
      <c r="H409" s="147"/>
      <c r="I409" s="147"/>
      <c r="J409" s="147"/>
      <c r="K409" s="3"/>
      <c r="L409" s="3"/>
      <c r="M409" s="3"/>
      <c r="N409" s="3"/>
      <c r="O409" s="3"/>
      <c r="P409" s="3"/>
      <c r="Q409" s="3"/>
      <c r="R409" s="3"/>
      <c r="S409" s="3"/>
      <c r="T409" s="3"/>
      <c r="U409" s="3"/>
      <c r="V409" s="3"/>
      <c r="W409" s="3"/>
      <c r="X409" s="3"/>
      <c r="Y409" s="3"/>
      <c r="Z409" s="3"/>
    </row>
    <row r="410" spans="1:26" ht="22.5" customHeight="1" x14ac:dyDescent="0.85">
      <c r="A410" s="166"/>
      <c r="B410" s="167"/>
      <c r="C410" s="167"/>
      <c r="D410" s="147"/>
      <c r="E410" s="147"/>
      <c r="F410" s="147"/>
      <c r="G410" s="147"/>
      <c r="H410" s="147"/>
      <c r="I410" s="147"/>
      <c r="J410" s="147"/>
      <c r="K410" s="3"/>
      <c r="L410" s="3"/>
      <c r="M410" s="3"/>
      <c r="N410" s="3"/>
      <c r="O410" s="3"/>
      <c r="P410" s="3"/>
      <c r="Q410" s="3"/>
      <c r="R410" s="3"/>
      <c r="S410" s="3"/>
      <c r="T410" s="3"/>
      <c r="U410" s="3"/>
      <c r="V410" s="3"/>
      <c r="W410" s="3"/>
      <c r="X410" s="3"/>
      <c r="Y410" s="3"/>
      <c r="Z410" s="3"/>
    </row>
    <row r="411" spans="1:26" ht="22.5" customHeight="1" x14ac:dyDescent="0.85">
      <c r="A411" s="166"/>
      <c r="B411" s="167"/>
      <c r="C411" s="167"/>
      <c r="D411" s="147"/>
      <c r="E411" s="147"/>
      <c r="F411" s="147"/>
      <c r="G411" s="147"/>
      <c r="H411" s="147"/>
      <c r="I411" s="147"/>
      <c r="J411" s="147"/>
      <c r="K411" s="3"/>
      <c r="L411" s="3"/>
      <c r="M411" s="3"/>
      <c r="N411" s="3"/>
      <c r="O411" s="3"/>
      <c r="P411" s="3"/>
      <c r="Q411" s="3"/>
      <c r="R411" s="3"/>
      <c r="S411" s="3"/>
      <c r="T411" s="3"/>
      <c r="U411" s="3"/>
      <c r="V411" s="3"/>
      <c r="W411" s="3"/>
      <c r="X411" s="3"/>
      <c r="Y411" s="3"/>
      <c r="Z411" s="3"/>
    </row>
    <row r="412" spans="1:26" ht="22.5" customHeight="1" x14ac:dyDescent="0.85">
      <c r="A412" s="166"/>
      <c r="B412" s="167"/>
      <c r="C412" s="167"/>
      <c r="D412" s="147"/>
      <c r="E412" s="147"/>
      <c r="F412" s="147"/>
      <c r="G412" s="147"/>
      <c r="H412" s="147"/>
      <c r="I412" s="147"/>
      <c r="J412" s="147"/>
      <c r="K412" s="3"/>
      <c r="L412" s="3"/>
      <c r="M412" s="3"/>
      <c r="N412" s="3"/>
      <c r="O412" s="3"/>
      <c r="P412" s="3"/>
      <c r="Q412" s="3"/>
      <c r="R412" s="3"/>
      <c r="S412" s="3"/>
      <c r="T412" s="3"/>
      <c r="U412" s="3"/>
      <c r="V412" s="3"/>
      <c r="W412" s="3"/>
      <c r="X412" s="3"/>
      <c r="Y412" s="3"/>
      <c r="Z412" s="3"/>
    </row>
    <row r="413" spans="1:26" ht="22.5" customHeight="1" x14ac:dyDescent="0.85">
      <c r="A413" s="166"/>
      <c r="B413" s="167"/>
      <c r="C413" s="167"/>
      <c r="D413" s="147"/>
      <c r="E413" s="147"/>
      <c r="F413" s="147"/>
      <c r="G413" s="147"/>
      <c r="H413" s="147"/>
      <c r="I413" s="147"/>
      <c r="J413" s="147"/>
      <c r="K413" s="3"/>
      <c r="L413" s="3"/>
      <c r="M413" s="3"/>
      <c r="N413" s="3"/>
      <c r="O413" s="3"/>
      <c r="P413" s="3"/>
      <c r="Q413" s="3"/>
      <c r="R413" s="3"/>
      <c r="S413" s="3"/>
      <c r="T413" s="3"/>
      <c r="U413" s="3"/>
      <c r="V413" s="3"/>
      <c r="W413" s="3"/>
      <c r="X413" s="3"/>
      <c r="Y413" s="3"/>
      <c r="Z413" s="3"/>
    </row>
    <row r="414" spans="1:26" ht="22.5" customHeight="1" x14ac:dyDescent="0.85">
      <c r="A414" s="166"/>
      <c r="B414" s="167"/>
      <c r="C414" s="167"/>
      <c r="D414" s="147"/>
      <c r="E414" s="147"/>
      <c r="F414" s="147"/>
      <c r="G414" s="147"/>
      <c r="H414" s="147"/>
      <c r="I414" s="147"/>
      <c r="J414" s="147"/>
      <c r="K414" s="3"/>
      <c r="L414" s="3"/>
      <c r="M414" s="3"/>
      <c r="N414" s="3"/>
      <c r="O414" s="3"/>
      <c r="P414" s="3"/>
      <c r="Q414" s="3"/>
      <c r="R414" s="3"/>
      <c r="S414" s="3"/>
      <c r="T414" s="3"/>
      <c r="U414" s="3"/>
      <c r="V414" s="3"/>
      <c r="W414" s="3"/>
      <c r="X414" s="3"/>
      <c r="Y414" s="3"/>
      <c r="Z414" s="3"/>
    </row>
    <row r="415" spans="1:26" ht="22.5" customHeight="1" x14ac:dyDescent="0.85">
      <c r="A415" s="166"/>
      <c r="B415" s="167"/>
      <c r="C415" s="167"/>
      <c r="D415" s="147"/>
      <c r="E415" s="147"/>
      <c r="F415" s="147"/>
      <c r="G415" s="147"/>
      <c r="H415" s="147"/>
      <c r="I415" s="147"/>
      <c r="J415" s="147"/>
      <c r="K415" s="3"/>
      <c r="L415" s="3"/>
      <c r="M415" s="3"/>
      <c r="N415" s="3"/>
      <c r="O415" s="3"/>
      <c r="P415" s="3"/>
      <c r="Q415" s="3"/>
      <c r="R415" s="3"/>
      <c r="S415" s="3"/>
      <c r="T415" s="3"/>
      <c r="U415" s="3"/>
      <c r="V415" s="3"/>
      <c r="W415" s="3"/>
      <c r="X415" s="3"/>
      <c r="Y415" s="3"/>
      <c r="Z415" s="3"/>
    </row>
    <row r="416" spans="1:26" ht="22.5" customHeight="1" x14ac:dyDescent="0.85">
      <c r="A416" s="166"/>
      <c r="B416" s="167"/>
      <c r="C416" s="167"/>
      <c r="D416" s="147"/>
      <c r="E416" s="147"/>
      <c r="F416" s="147"/>
      <c r="G416" s="147"/>
      <c r="H416" s="147"/>
      <c r="I416" s="147"/>
      <c r="J416" s="147"/>
      <c r="K416" s="3"/>
      <c r="L416" s="3"/>
      <c r="M416" s="3"/>
      <c r="N416" s="3"/>
      <c r="O416" s="3"/>
      <c r="P416" s="3"/>
      <c r="Q416" s="3"/>
      <c r="R416" s="3"/>
      <c r="S416" s="3"/>
      <c r="T416" s="3"/>
      <c r="U416" s="3"/>
      <c r="V416" s="3"/>
      <c r="W416" s="3"/>
      <c r="X416" s="3"/>
      <c r="Y416" s="3"/>
      <c r="Z416" s="3"/>
    </row>
    <row r="417" spans="1:26" ht="22.5" customHeight="1" x14ac:dyDescent="0.85">
      <c r="A417" s="166"/>
      <c r="B417" s="167"/>
      <c r="C417" s="167"/>
      <c r="D417" s="147"/>
      <c r="E417" s="147"/>
      <c r="F417" s="147"/>
      <c r="G417" s="147"/>
      <c r="H417" s="147"/>
      <c r="I417" s="147"/>
      <c r="J417" s="147"/>
      <c r="K417" s="3"/>
      <c r="L417" s="3"/>
      <c r="M417" s="3"/>
      <c r="N417" s="3"/>
      <c r="O417" s="3"/>
      <c r="P417" s="3"/>
      <c r="Q417" s="3"/>
      <c r="R417" s="3"/>
      <c r="S417" s="3"/>
      <c r="T417" s="3"/>
      <c r="U417" s="3"/>
      <c r="V417" s="3"/>
      <c r="W417" s="3"/>
      <c r="X417" s="3"/>
      <c r="Y417" s="3"/>
      <c r="Z417" s="3"/>
    </row>
    <row r="418" spans="1:26" ht="22.5" customHeight="1" x14ac:dyDescent="0.85">
      <c r="A418" s="166"/>
      <c r="B418" s="167"/>
      <c r="C418" s="167"/>
      <c r="D418" s="147"/>
      <c r="E418" s="147"/>
      <c r="F418" s="147"/>
      <c r="G418" s="147"/>
      <c r="H418" s="147"/>
      <c r="I418" s="147"/>
      <c r="J418" s="147"/>
      <c r="K418" s="3"/>
      <c r="L418" s="3"/>
      <c r="M418" s="3"/>
      <c r="N418" s="3"/>
      <c r="O418" s="3"/>
      <c r="P418" s="3"/>
      <c r="Q418" s="3"/>
      <c r="R418" s="3"/>
      <c r="S418" s="3"/>
      <c r="T418" s="3"/>
      <c r="U418" s="3"/>
      <c r="V418" s="3"/>
      <c r="W418" s="3"/>
      <c r="X418" s="3"/>
      <c r="Y418" s="3"/>
      <c r="Z418" s="3"/>
    </row>
    <row r="419" spans="1:26" ht="22.5" customHeight="1" x14ac:dyDescent="0.85">
      <c r="A419" s="166"/>
      <c r="B419" s="167"/>
      <c r="C419" s="167"/>
      <c r="D419" s="147"/>
      <c r="E419" s="147"/>
      <c r="F419" s="147"/>
      <c r="G419" s="147"/>
      <c r="H419" s="147"/>
      <c r="I419" s="147"/>
      <c r="J419" s="147"/>
      <c r="K419" s="3"/>
      <c r="L419" s="3"/>
      <c r="M419" s="3"/>
      <c r="N419" s="3"/>
      <c r="O419" s="3"/>
      <c r="P419" s="3"/>
      <c r="Q419" s="3"/>
      <c r="R419" s="3"/>
      <c r="S419" s="3"/>
      <c r="T419" s="3"/>
      <c r="U419" s="3"/>
      <c r="V419" s="3"/>
      <c r="W419" s="3"/>
      <c r="X419" s="3"/>
      <c r="Y419" s="3"/>
      <c r="Z419" s="3"/>
    </row>
    <row r="420" spans="1:26" ht="22.5" customHeight="1" x14ac:dyDescent="0.85">
      <c r="A420" s="166"/>
      <c r="B420" s="167"/>
      <c r="C420" s="167"/>
      <c r="D420" s="147"/>
      <c r="E420" s="147"/>
      <c r="F420" s="147"/>
      <c r="G420" s="147"/>
      <c r="H420" s="147"/>
      <c r="I420" s="147"/>
      <c r="J420" s="147"/>
      <c r="K420" s="3"/>
      <c r="L420" s="3"/>
      <c r="M420" s="3"/>
      <c r="N420" s="3"/>
      <c r="O420" s="3"/>
      <c r="P420" s="3"/>
      <c r="Q420" s="3"/>
      <c r="R420" s="3"/>
      <c r="S420" s="3"/>
      <c r="T420" s="3"/>
      <c r="U420" s="3"/>
      <c r="V420" s="3"/>
      <c r="W420" s="3"/>
      <c r="X420" s="3"/>
      <c r="Y420" s="3"/>
      <c r="Z420" s="3"/>
    </row>
    <row r="421" spans="1:26" ht="22.5" customHeight="1" x14ac:dyDescent="0.85">
      <c r="A421" s="166"/>
      <c r="B421" s="167"/>
      <c r="C421" s="167"/>
      <c r="D421" s="147"/>
      <c r="E421" s="147"/>
      <c r="F421" s="147"/>
      <c r="G421" s="147"/>
      <c r="H421" s="147"/>
      <c r="I421" s="147"/>
      <c r="J421" s="147"/>
      <c r="K421" s="3"/>
      <c r="L421" s="3"/>
      <c r="M421" s="3"/>
      <c r="N421" s="3"/>
      <c r="O421" s="3"/>
      <c r="P421" s="3"/>
      <c r="Q421" s="3"/>
      <c r="R421" s="3"/>
      <c r="S421" s="3"/>
      <c r="T421" s="3"/>
      <c r="U421" s="3"/>
      <c r="V421" s="3"/>
      <c r="W421" s="3"/>
      <c r="X421" s="3"/>
      <c r="Y421" s="3"/>
      <c r="Z421" s="3"/>
    </row>
    <row r="422" spans="1:26" ht="22.5" customHeight="1" x14ac:dyDescent="0.85">
      <c r="A422" s="166"/>
      <c r="B422" s="167"/>
      <c r="C422" s="167"/>
      <c r="D422" s="147"/>
      <c r="E422" s="147"/>
      <c r="F422" s="147"/>
      <c r="G422" s="147"/>
      <c r="H422" s="147"/>
      <c r="I422" s="147"/>
      <c r="J422" s="147"/>
      <c r="K422" s="3"/>
      <c r="L422" s="3"/>
      <c r="M422" s="3"/>
      <c r="N422" s="3"/>
      <c r="O422" s="3"/>
      <c r="P422" s="3"/>
      <c r="Q422" s="3"/>
      <c r="R422" s="3"/>
      <c r="S422" s="3"/>
      <c r="T422" s="3"/>
      <c r="U422" s="3"/>
      <c r="V422" s="3"/>
      <c r="W422" s="3"/>
      <c r="X422" s="3"/>
      <c r="Y422" s="3"/>
      <c r="Z422" s="3"/>
    </row>
    <row r="423" spans="1:26" ht="22.5" customHeight="1" x14ac:dyDescent="0.85">
      <c r="A423" s="166"/>
      <c r="B423" s="167"/>
      <c r="C423" s="167"/>
      <c r="D423" s="147"/>
      <c r="E423" s="147"/>
      <c r="F423" s="147"/>
      <c r="G423" s="147"/>
      <c r="H423" s="147"/>
      <c r="I423" s="147"/>
      <c r="J423" s="147"/>
      <c r="K423" s="3"/>
      <c r="L423" s="3"/>
      <c r="M423" s="3"/>
      <c r="N423" s="3"/>
      <c r="O423" s="3"/>
      <c r="P423" s="3"/>
      <c r="Q423" s="3"/>
      <c r="R423" s="3"/>
      <c r="S423" s="3"/>
      <c r="T423" s="3"/>
      <c r="U423" s="3"/>
      <c r="V423" s="3"/>
      <c r="W423" s="3"/>
      <c r="X423" s="3"/>
      <c r="Y423" s="3"/>
      <c r="Z423" s="3"/>
    </row>
    <row r="424" spans="1:26" ht="22.5" customHeight="1" x14ac:dyDescent="0.85">
      <c r="A424" s="166"/>
      <c r="B424" s="167"/>
      <c r="C424" s="167"/>
      <c r="D424" s="147"/>
      <c r="E424" s="147"/>
      <c r="F424" s="147"/>
      <c r="G424" s="147"/>
      <c r="H424" s="147"/>
      <c r="I424" s="147"/>
      <c r="J424" s="147"/>
      <c r="K424" s="3"/>
      <c r="L424" s="3"/>
      <c r="M424" s="3"/>
      <c r="N424" s="3"/>
      <c r="O424" s="3"/>
      <c r="P424" s="3"/>
      <c r="Q424" s="3"/>
      <c r="R424" s="3"/>
      <c r="S424" s="3"/>
      <c r="T424" s="3"/>
      <c r="U424" s="3"/>
      <c r="V424" s="3"/>
      <c r="W424" s="3"/>
      <c r="X424" s="3"/>
      <c r="Y424" s="3"/>
      <c r="Z424" s="3"/>
    </row>
    <row r="425" spans="1:26" ht="22.5" customHeight="1" x14ac:dyDescent="0.85">
      <c r="A425" s="166"/>
      <c r="B425" s="167"/>
      <c r="C425" s="167"/>
      <c r="D425" s="147"/>
      <c r="E425" s="147"/>
      <c r="F425" s="147"/>
      <c r="G425" s="147"/>
      <c r="H425" s="147"/>
      <c r="I425" s="147"/>
      <c r="J425" s="147"/>
      <c r="K425" s="3"/>
      <c r="L425" s="3"/>
      <c r="M425" s="3"/>
      <c r="N425" s="3"/>
      <c r="O425" s="3"/>
      <c r="P425" s="3"/>
      <c r="Q425" s="3"/>
      <c r="R425" s="3"/>
      <c r="S425" s="3"/>
      <c r="T425" s="3"/>
      <c r="U425" s="3"/>
      <c r="V425" s="3"/>
      <c r="W425" s="3"/>
      <c r="X425" s="3"/>
      <c r="Y425" s="3"/>
      <c r="Z425" s="3"/>
    </row>
    <row r="426" spans="1:26" ht="22.5" customHeight="1" x14ac:dyDescent="0.85">
      <c r="A426" s="166"/>
      <c r="B426" s="167"/>
      <c r="C426" s="167"/>
      <c r="D426" s="147"/>
      <c r="E426" s="147"/>
      <c r="F426" s="147"/>
      <c r="G426" s="147"/>
      <c r="H426" s="147"/>
      <c r="I426" s="147"/>
      <c r="J426" s="147"/>
      <c r="K426" s="3"/>
      <c r="L426" s="3"/>
      <c r="M426" s="3"/>
      <c r="N426" s="3"/>
      <c r="O426" s="3"/>
      <c r="P426" s="3"/>
      <c r="Q426" s="3"/>
      <c r="R426" s="3"/>
      <c r="S426" s="3"/>
      <c r="T426" s="3"/>
      <c r="U426" s="3"/>
      <c r="V426" s="3"/>
      <c r="W426" s="3"/>
      <c r="X426" s="3"/>
      <c r="Y426" s="3"/>
      <c r="Z426" s="3"/>
    </row>
    <row r="427" spans="1:26" ht="22.5" customHeight="1" x14ac:dyDescent="0.85">
      <c r="A427" s="166"/>
      <c r="B427" s="167"/>
      <c r="C427" s="167"/>
      <c r="D427" s="147"/>
      <c r="E427" s="147"/>
      <c r="F427" s="147"/>
      <c r="G427" s="147"/>
      <c r="H427" s="147"/>
      <c r="I427" s="147"/>
      <c r="J427" s="147"/>
      <c r="K427" s="3"/>
      <c r="L427" s="3"/>
      <c r="M427" s="3"/>
      <c r="N427" s="3"/>
      <c r="O427" s="3"/>
      <c r="P427" s="3"/>
      <c r="Q427" s="3"/>
      <c r="R427" s="3"/>
      <c r="S427" s="3"/>
      <c r="T427" s="3"/>
      <c r="U427" s="3"/>
      <c r="V427" s="3"/>
      <c r="W427" s="3"/>
      <c r="X427" s="3"/>
      <c r="Y427" s="3"/>
      <c r="Z427" s="3"/>
    </row>
    <row r="428" spans="1:26" ht="22.5" customHeight="1" x14ac:dyDescent="0.85">
      <c r="A428" s="166"/>
      <c r="B428" s="167"/>
      <c r="C428" s="167"/>
      <c r="D428" s="147"/>
      <c r="E428" s="147"/>
      <c r="F428" s="147"/>
      <c r="G428" s="147"/>
      <c r="H428" s="147"/>
      <c r="I428" s="147"/>
      <c r="J428" s="147"/>
      <c r="K428" s="3"/>
      <c r="L428" s="3"/>
      <c r="M428" s="3"/>
      <c r="N428" s="3"/>
      <c r="O428" s="3"/>
      <c r="P428" s="3"/>
      <c r="Q428" s="3"/>
      <c r="R428" s="3"/>
      <c r="S428" s="3"/>
      <c r="T428" s="3"/>
      <c r="U428" s="3"/>
      <c r="V428" s="3"/>
      <c r="W428" s="3"/>
      <c r="X428" s="3"/>
      <c r="Y428" s="3"/>
      <c r="Z428" s="3"/>
    </row>
    <row r="429" spans="1:26" ht="22.5" customHeight="1" x14ac:dyDescent="0.85">
      <c r="A429" s="166"/>
      <c r="B429" s="167"/>
      <c r="C429" s="167"/>
      <c r="D429" s="147"/>
      <c r="E429" s="147"/>
      <c r="F429" s="147"/>
      <c r="G429" s="147"/>
      <c r="H429" s="147"/>
      <c r="I429" s="147"/>
      <c r="J429" s="147"/>
      <c r="K429" s="3"/>
      <c r="L429" s="3"/>
      <c r="M429" s="3"/>
      <c r="N429" s="3"/>
      <c r="O429" s="3"/>
      <c r="P429" s="3"/>
      <c r="Q429" s="3"/>
      <c r="R429" s="3"/>
      <c r="S429" s="3"/>
      <c r="T429" s="3"/>
      <c r="U429" s="3"/>
      <c r="V429" s="3"/>
      <c r="W429" s="3"/>
      <c r="X429" s="3"/>
      <c r="Y429" s="3"/>
      <c r="Z429" s="3"/>
    </row>
    <row r="430" spans="1:26" ht="22.5" customHeight="1" x14ac:dyDescent="0.85">
      <c r="A430" s="166"/>
      <c r="B430" s="167"/>
      <c r="C430" s="167"/>
      <c r="D430" s="147"/>
      <c r="E430" s="147"/>
      <c r="F430" s="147"/>
      <c r="G430" s="147"/>
      <c r="H430" s="147"/>
      <c r="I430" s="147"/>
      <c r="J430" s="147"/>
      <c r="K430" s="3"/>
      <c r="L430" s="3"/>
      <c r="M430" s="3"/>
      <c r="N430" s="3"/>
      <c r="O430" s="3"/>
      <c r="P430" s="3"/>
      <c r="Q430" s="3"/>
      <c r="R430" s="3"/>
      <c r="S430" s="3"/>
      <c r="T430" s="3"/>
      <c r="U430" s="3"/>
      <c r="V430" s="3"/>
      <c r="W430" s="3"/>
      <c r="X430" s="3"/>
      <c r="Y430" s="3"/>
      <c r="Z430" s="3"/>
    </row>
    <row r="431" spans="1:26" ht="22.5" customHeight="1" x14ac:dyDescent="0.85">
      <c r="A431" s="166"/>
      <c r="B431" s="167"/>
      <c r="C431" s="167"/>
      <c r="D431" s="147"/>
      <c r="E431" s="147"/>
      <c r="F431" s="147"/>
      <c r="G431" s="147"/>
      <c r="H431" s="147"/>
      <c r="I431" s="147"/>
      <c r="J431" s="147"/>
      <c r="K431" s="3"/>
      <c r="L431" s="3"/>
      <c r="M431" s="3"/>
      <c r="N431" s="3"/>
      <c r="O431" s="3"/>
      <c r="P431" s="3"/>
      <c r="Q431" s="3"/>
      <c r="R431" s="3"/>
      <c r="S431" s="3"/>
      <c r="T431" s="3"/>
      <c r="U431" s="3"/>
      <c r="V431" s="3"/>
      <c r="W431" s="3"/>
      <c r="X431" s="3"/>
      <c r="Y431" s="3"/>
      <c r="Z431" s="3"/>
    </row>
    <row r="432" spans="1:26" ht="22.5" customHeight="1" x14ac:dyDescent="0.85">
      <c r="A432" s="166"/>
      <c r="B432" s="167"/>
      <c r="C432" s="167"/>
      <c r="D432" s="147"/>
      <c r="E432" s="147"/>
      <c r="F432" s="147"/>
      <c r="G432" s="147"/>
      <c r="H432" s="147"/>
      <c r="I432" s="147"/>
      <c r="J432" s="147"/>
      <c r="K432" s="3"/>
      <c r="L432" s="3"/>
      <c r="M432" s="3"/>
      <c r="N432" s="3"/>
      <c r="O432" s="3"/>
      <c r="P432" s="3"/>
      <c r="Q432" s="3"/>
      <c r="R432" s="3"/>
      <c r="S432" s="3"/>
      <c r="T432" s="3"/>
      <c r="U432" s="3"/>
      <c r="V432" s="3"/>
      <c r="W432" s="3"/>
      <c r="X432" s="3"/>
      <c r="Y432" s="3"/>
      <c r="Z432" s="3"/>
    </row>
    <row r="433" spans="1:26" ht="22.5" customHeight="1" x14ac:dyDescent="0.85">
      <c r="A433" s="166"/>
      <c r="B433" s="167"/>
      <c r="C433" s="167"/>
      <c r="D433" s="147"/>
      <c r="E433" s="147"/>
      <c r="F433" s="147"/>
      <c r="G433" s="147"/>
      <c r="H433" s="147"/>
      <c r="I433" s="147"/>
      <c r="J433" s="147"/>
      <c r="K433" s="3"/>
      <c r="L433" s="3"/>
      <c r="M433" s="3"/>
      <c r="N433" s="3"/>
      <c r="O433" s="3"/>
      <c r="P433" s="3"/>
      <c r="Q433" s="3"/>
      <c r="R433" s="3"/>
      <c r="S433" s="3"/>
      <c r="T433" s="3"/>
      <c r="U433" s="3"/>
      <c r="V433" s="3"/>
      <c r="W433" s="3"/>
      <c r="X433" s="3"/>
      <c r="Y433" s="3"/>
      <c r="Z433" s="3"/>
    </row>
    <row r="434" spans="1:26" ht="22.5" customHeight="1" x14ac:dyDescent="0.85">
      <c r="A434" s="166"/>
      <c r="B434" s="167"/>
      <c r="C434" s="167"/>
      <c r="D434" s="147"/>
      <c r="E434" s="147"/>
      <c r="F434" s="147"/>
      <c r="G434" s="147"/>
      <c r="H434" s="147"/>
      <c r="I434" s="147"/>
      <c r="J434" s="147"/>
      <c r="K434" s="3"/>
      <c r="L434" s="3"/>
      <c r="M434" s="3"/>
      <c r="N434" s="3"/>
      <c r="O434" s="3"/>
      <c r="P434" s="3"/>
      <c r="Q434" s="3"/>
      <c r="R434" s="3"/>
      <c r="S434" s="3"/>
      <c r="T434" s="3"/>
      <c r="U434" s="3"/>
      <c r="V434" s="3"/>
      <c r="W434" s="3"/>
      <c r="X434" s="3"/>
      <c r="Y434" s="3"/>
      <c r="Z434" s="3"/>
    </row>
    <row r="435" spans="1:26" ht="22.5" customHeight="1" x14ac:dyDescent="0.85">
      <c r="A435" s="166"/>
      <c r="B435" s="167"/>
      <c r="C435" s="167"/>
      <c r="D435" s="147"/>
      <c r="E435" s="147"/>
      <c r="F435" s="147"/>
      <c r="G435" s="147"/>
      <c r="H435" s="147"/>
      <c r="I435" s="147"/>
      <c r="J435" s="147"/>
      <c r="K435" s="3"/>
      <c r="L435" s="3"/>
      <c r="M435" s="3"/>
      <c r="N435" s="3"/>
      <c r="O435" s="3"/>
      <c r="P435" s="3"/>
      <c r="Q435" s="3"/>
      <c r="R435" s="3"/>
      <c r="S435" s="3"/>
      <c r="T435" s="3"/>
      <c r="U435" s="3"/>
      <c r="V435" s="3"/>
      <c r="W435" s="3"/>
      <c r="X435" s="3"/>
      <c r="Y435" s="3"/>
      <c r="Z435" s="3"/>
    </row>
    <row r="436" spans="1:26" ht="22.5" customHeight="1" x14ac:dyDescent="0.85">
      <c r="A436" s="166"/>
      <c r="B436" s="167"/>
      <c r="C436" s="167"/>
      <c r="D436" s="147"/>
      <c r="E436" s="147"/>
      <c r="F436" s="147"/>
      <c r="G436" s="147"/>
      <c r="H436" s="147"/>
      <c r="I436" s="147"/>
      <c r="J436" s="147"/>
      <c r="K436" s="3"/>
      <c r="L436" s="3"/>
      <c r="M436" s="3"/>
      <c r="N436" s="3"/>
      <c r="O436" s="3"/>
      <c r="P436" s="3"/>
      <c r="Q436" s="3"/>
      <c r="R436" s="3"/>
      <c r="S436" s="3"/>
      <c r="T436" s="3"/>
      <c r="U436" s="3"/>
      <c r="V436" s="3"/>
      <c r="W436" s="3"/>
      <c r="X436" s="3"/>
      <c r="Y436" s="3"/>
      <c r="Z436" s="3"/>
    </row>
    <row r="437" spans="1:26" ht="22.5" customHeight="1" x14ac:dyDescent="0.85">
      <c r="A437" s="166"/>
      <c r="B437" s="167"/>
      <c r="C437" s="167"/>
      <c r="D437" s="147"/>
      <c r="E437" s="147"/>
      <c r="F437" s="147"/>
      <c r="G437" s="147"/>
      <c r="H437" s="147"/>
      <c r="I437" s="147"/>
      <c r="J437" s="147"/>
      <c r="K437" s="3"/>
      <c r="L437" s="3"/>
      <c r="M437" s="3"/>
      <c r="N437" s="3"/>
      <c r="O437" s="3"/>
      <c r="P437" s="3"/>
      <c r="Q437" s="3"/>
      <c r="R437" s="3"/>
      <c r="S437" s="3"/>
      <c r="T437" s="3"/>
      <c r="U437" s="3"/>
      <c r="V437" s="3"/>
      <c r="W437" s="3"/>
      <c r="X437" s="3"/>
      <c r="Y437" s="3"/>
      <c r="Z437" s="3"/>
    </row>
    <row r="438" spans="1:26" ht="22.5" customHeight="1" x14ac:dyDescent="0.85">
      <c r="A438" s="166"/>
      <c r="B438" s="167"/>
      <c r="C438" s="167"/>
      <c r="D438" s="147"/>
      <c r="E438" s="147"/>
      <c r="F438" s="147"/>
      <c r="G438" s="147"/>
      <c r="H438" s="147"/>
      <c r="I438" s="147"/>
      <c r="J438" s="147"/>
      <c r="K438" s="3"/>
      <c r="L438" s="3"/>
      <c r="M438" s="3"/>
      <c r="N438" s="3"/>
      <c r="O438" s="3"/>
      <c r="P438" s="3"/>
      <c r="Q438" s="3"/>
      <c r="R438" s="3"/>
      <c r="S438" s="3"/>
      <c r="T438" s="3"/>
      <c r="U438" s="3"/>
      <c r="V438" s="3"/>
      <c r="W438" s="3"/>
      <c r="X438" s="3"/>
      <c r="Y438" s="3"/>
      <c r="Z438" s="3"/>
    </row>
    <row r="439" spans="1:26" ht="22.5" customHeight="1" x14ac:dyDescent="0.85">
      <c r="A439" s="166"/>
      <c r="B439" s="167"/>
      <c r="C439" s="167"/>
      <c r="D439" s="147"/>
      <c r="E439" s="147"/>
      <c r="F439" s="147"/>
      <c r="G439" s="147"/>
      <c r="H439" s="147"/>
      <c r="I439" s="147"/>
      <c r="J439" s="147"/>
      <c r="K439" s="3"/>
      <c r="L439" s="3"/>
      <c r="M439" s="3"/>
      <c r="N439" s="3"/>
      <c r="O439" s="3"/>
      <c r="P439" s="3"/>
      <c r="Q439" s="3"/>
      <c r="R439" s="3"/>
      <c r="S439" s="3"/>
      <c r="T439" s="3"/>
      <c r="U439" s="3"/>
      <c r="V439" s="3"/>
      <c r="W439" s="3"/>
      <c r="X439" s="3"/>
      <c r="Y439" s="3"/>
      <c r="Z439" s="3"/>
    </row>
    <row r="440" spans="1:26" ht="22.5" customHeight="1" x14ac:dyDescent="0.85">
      <c r="A440" s="166"/>
      <c r="B440" s="167"/>
      <c r="C440" s="167"/>
      <c r="D440" s="147"/>
      <c r="E440" s="147"/>
      <c r="F440" s="147"/>
      <c r="G440" s="147"/>
      <c r="H440" s="147"/>
      <c r="I440" s="147"/>
      <c r="J440" s="147"/>
      <c r="K440" s="3"/>
      <c r="L440" s="3"/>
      <c r="M440" s="3"/>
      <c r="N440" s="3"/>
      <c r="O440" s="3"/>
      <c r="P440" s="3"/>
      <c r="Q440" s="3"/>
      <c r="R440" s="3"/>
      <c r="S440" s="3"/>
      <c r="T440" s="3"/>
      <c r="U440" s="3"/>
      <c r="V440" s="3"/>
      <c r="W440" s="3"/>
      <c r="X440" s="3"/>
      <c r="Y440" s="3"/>
      <c r="Z440" s="3"/>
    </row>
    <row r="441" spans="1:26" ht="22.5" customHeight="1" x14ac:dyDescent="0.85">
      <c r="A441" s="166"/>
      <c r="B441" s="167"/>
      <c r="C441" s="167"/>
      <c r="D441" s="147"/>
      <c r="E441" s="147"/>
      <c r="F441" s="147"/>
      <c r="G441" s="147"/>
      <c r="H441" s="147"/>
      <c r="I441" s="147"/>
      <c r="J441" s="147"/>
      <c r="K441" s="3"/>
      <c r="L441" s="3"/>
      <c r="M441" s="3"/>
      <c r="N441" s="3"/>
      <c r="O441" s="3"/>
      <c r="P441" s="3"/>
      <c r="Q441" s="3"/>
      <c r="R441" s="3"/>
      <c r="S441" s="3"/>
      <c r="T441" s="3"/>
      <c r="U441" s="3"/>
      <c r="V441" s="3"/>
      <c r="W441" s="3"/>
      <c r="X441" s="3"/>
      <c r="Y441" s="3"/>
      <c r="Z441" s="3"/>
    </row>
    <row r="442" spans="1:26" ht="22.5" customHeight="1" x14ac:dyDescent="0.85">
      <c r="A442" s="166"/>
      <c r="B442" s="167"/>
      <c r="C442" s="167"/>
      <c r="D442" s="147"/>
      <c r="E442" s="147"/>
      <c r="F442" s="147"/>
      <c r="G442" s="147"/>
      <c r="H442" s="147"/>
      <c r="I442" s="147"/>
      <c r="J442" s="147"/>
      <c r="K442" s="3"/>
      <c r="L442" s="3"/>
      <c r="M442" s="3"/>
      <c r="N442" s="3"/>
      <c r="O442" s="3"/>
      <c r="P442" s="3"/>
      <c r="Q442" s="3"/>
      <c r="R442" s="3"/>
      <c r="S442" s="3"/>
      <c r="T442" s="3"/>
      <c r="U442" s="3"/>
      <c r="V442" s="3"/>
      <c r="W442" s="3"/>
      <c r="X442" s="3"/>
      <c r="Y442" s="3"/>
      <c r="Z442" s="3"/>
    </row>
    <row r="443" spans="1:26" ht="22.5" customHeight="1" x14ac:dyDescent="0.85">
      <c r="A443" s="166"/>
      <c r="B443" s="167"/>
      <c r="C443" s="167"/>
      <c r="D443" s="147"/>
      <c r="E443" s="147"/>
      <c r="F443" s="147"/>
      <c r="G443" s="147"/>
      <c r="H443" s="147"/>
      <c r="I443" s="147"/>
      <c r="J443" s="147"/>
      <c r="K443" s="3"/>
      <c r="L443" s="3"/>
      <c r="M443" s="3"/>
      <c r="N443" s="3"/>
      <c r="O443" s="3"/>
      <c r="P443" s="3"/>
      <c r="Q443" s="3"/>
      <c r="R443" s="3"/>
      <c r="S443" s="3"/>
      <c r="T443" s="3"/>
      <c r="U443" s="3"/>
      <c r="V443" s="3"/>
      <c r="W443" s="3"/>
      <c r="X443" s="3"/>
      <c r="Y443" s="3"/>
      <c r="Z443" s="3"/>
    </row>
    <row r="444" spans="1:26" ht="22.5" customHeight="1" x14ac:dyDescent="0.85">
      <c r="A444" s="166"/>
      <c r="B444" s="167"/>
      <c r="C444" s="167"/>
      <c r="D444" s="147"/>
      <c r="E444" s="147"/>
      <c r="F444" s="147"/>
      <c r="G444" s="147"/>
      <c r="H444" s="147"/>
      <c r="I444" s="147"/>
      <c r="J444" s="147"/>
      <c r="K444" s="3"/>
      <c r="L444" s="3"/>
      <c r="M444" s="3"/>
      <c r="N444" s="3"/>
      <c r="O444" s="3"/>
      <c r="P444" s="3"/>
      <c r="Q444" s="3"/>
      <c r="R444" s="3"/>
      <c r="S444" s="3"/>
      <c r="T444" s="3"/>
      <c r="U444" s="3"/>
      <c r="V444" s="3"/>
      <c r="W444" s="3"/>
      <c r="X444" s="3"/>
      <c r="Y444" s="3"/>
      <c r="Z444" s="3"/>
    </row>
    <row r="445" spans="1:26" ht="22.5" customHeight="1" x14ac:dyDescent="0.85">
      <c r="A445" s="166"/>
      <c r="B445" s="167"/>
      <c r="C445" s="167"/>
      <c r="D445" s="147"/>
      <c r="E445" s="147"/>
      <c r="F445" s="147"/>
      <c r="G445" s="147"/>
      <c r="H445" s="147"/>
      <c r="I445" s="147"/>
      <c r="J445" s="147"/>
      <c r="K445" s="3"/>
      <c r="L445" s="3"/>
      <c r="M445" s="3"/>
      <c r="N445" s="3"/>
      <c r="O445" s="3"/>
      <c r="P445" s="3"/>
      <c r="Q445" s="3"/>
      <c r="R445" s="3"/>
      <c r="S445" s="3"/>
      <c r="T445" s="3"/>
      <c r="U445" s="3"/>
      <c r="V445" s="3"/>
      <c r="W445" s="3"/>
      <c r="X445" s="3"/>
      <c r="Y445" s="3"/>
      <c r="Z445" s="3"/>
    </row>
    <row r="446" spans="1:26" ht="22.5" customHeight="1" x14ac:dyDescent="0.85">
      <c r="A446" s="166"/>
      <c r="B446" s="167"/>
      <c r="C446" s="167"/>
      <c r="D446" s="147"/>
      <c r="E446" s="147"/>
      <c r="F446" s="147"/>
      <c r="G446" s="147"/>
      <c r="H446" s="147"/>
      <c r="I446" s="147"/>
      <c r="J446" s="147"/>
      <c r="K446" s="3"/>
      <c r="L446" s="3"/>
      <c r="M446" s="3"/>
      <c r="N446" s="3"/>
      <c r="O446" s="3"/>
      <c r="P446" s="3"/>
      <c r="Q446" s="3"/>
      <c r="R446" s="3"/>
      <c r="S446" s="3"/>
      <c r="T446" s="3"/>
      <c r="U446" s="3"/>
      <c r="V446" s="3"/>
      <c r="W446" s="3"/>
      <c r="X446" s="3"/>
      <c r="Y446" s="3"/>
      <c r="Z446" s="3"/>
    </row>
    <row r="447" spans="1:26" ht="22.5" customHeight="1" x14ac:dyDescent="0.85">
      <c r="A447" s="166"/>
      <c r="B447" s="167"/>
      <c r="C447" s="167"/>
      <c r="D447" s="147"/>
      <c r="E447" s="147"/>
      <c r="F447" s="147"/>
      <c r="G447" s="147"/>
      <c r="H447" s="147"/>
      <c r="I447" s="147"/>
      <c r="J447" s="147"/>
      <c r="K447" s="3"/>
      <c r="L447" s="3"/>
      <c r="M447" s="3"/>
      <c r="N447" s="3"/>
      <c r="O447" s="3"/>
      <c r="P447" s="3"/>
      <c r="Q447" s="3"/>
      <c r="R447" s="3"/>
      <c r="S447" s="3"/>
      <c r="T447" s="3"/>
      <c r="U447" s="3"/>
      <c r="V447" s="3"/>
      <c r="W447" s="3"/>
      <c r="X447" s="3"/>
      <c r="Y447" s="3"/>
      <c r="Z447" s="3"/>
    </row>
    <row r="448" spans="1:26" ht="22.5" customHeight="1" x14ac:dyDescent="0.85">
      <c r="A448" s="166"/>
      <c r="B448" s="167"/>
      <c r="C448" s="167"/>
      <c r="D448" s="147"/>
      <c r="E448" s="147"/>
      <c r="F448" s="147"/>
      <c r="G448" s="147"/>
      <c r="H448" s="147"/>
      <c r="I448" s="147"/>
      <c r="J448" s="147"/>
      <c r="K448" s="3"/>
      <c r="L448" s="3"/>
      <c r="M448" s="3"/>
      <c r="N448" s="3"/>
      <c r="O448" s="3"/>
      <c r="P448" s="3"/>
      <c r="Q448" s="3"/>
      <c r="R448" s="3"/>
      <c r="S448" s="3"/>
      <c r="T448" s="3"/>
      <c r="U448" s="3"/>
      <c r="V448" s="3"/>
      <c r="W448" s="3"/>
      <c r="X448" s="3"/>
      <c r="Y448" s="3"/>
      <c r="Z448" s="3"/>
    </row>
    <row r="449" spans="1:26" ht="22.5" customHeight="1" x14ac:dyDescent="0.85">
      <c r="A449" s="166"/>
      <c r="B449" s="167"/>
      <c r="C449" s="167"/>
      <c r="D449" s="147"/>
      <c r="E449" s="147"/>
      <c r="F449" s="147"/>
      <c r="G449" s="147"/>
      <c r="H449" s="147"/>
      <c r="I449" s="147"/>
      <c r="J449" s="147"/>
      <c r="K449" s="3"/>
      <c r="L449" s="3"/>
      <c r="M449" s="3"/>
      <c r="N449" s="3"/>
      <c r="O449" s="3"/>
      <c r="P449" s="3"/>
      <c r="Q449" s="3"/>
      <c r="R449" s="3"/>
      <c r="S449" s="3"/>
      <c r="T449" s="3"/>
      <c r="U449" s="3"/>
      <c r="V449" s="3"/>
      <c r="W449" s="3"/>
      <c r="X449" s="3"/>
      <c r="Y449" s="3"/>
      <c r="Z449" s="3"/>
    </row>
    <row r="450" spans="1:26" ht="22.5" customHeight="1" x14ac:dyDescent="0.85">
      <c r="A450" s="166"/>
      <c r="B450" s="167"/>
      <c r="C450" s="167"/>
      <c r="D450" s="147"/>
      <c r="E450" s="147"/>
      <c r="F450" s="147"/>
      <c r="G450" s="147"/>
      <c r="H450" s="147"/>
      <c r="I450" s="147"/>
      <c r="J450" s="147"/>
      <c r="K450" s="3"/>
      <c r="L450" s="3"/>
      <c r="M450" s="3"/>
      <c r="N450" s="3"/>
      <c r="O450" s="3"/>
      <c r="P450" s="3"/>
      <c r="Q450" s="3"/>
      <c r="R450" s="3"/>
      <c r="S450" s="3"/>
      <c r="T450" s="3"/>
      <c r="U450" s="3"/>
      <c r="V450" s="3"/>
      <c r="W450" s="3"/>
      <c r="X450" s="3"/>
      <c r="Y450" s="3"/>
      <c r="Z450" s="3"/>
    </row>
    <row r="451" spans="1:26" ht="22.5" customHeight="1" x14ac:dyDescent="0.85">
      <c r="A451" s="166"/>
      <c r="B451" s="167"/>
      <c r="C451" s="167"/>
      <c r="D451" s="147"/>
      <c r="E451" s="147"/>
      <c r="F451" s="147"/>
      <c r="G451" s="147"/>
      <c r="H451" s="147"/>
      <c r="I451" s="147"/>
      <c r="J451" s="147"/>
      <c r="K451" s="3"/>
      <c r="L451" s="3"/>
      <c r="M451" s="3"/>
      <c r="N451" s="3"/>
      <c r="O451" s="3"/>
      <c r="P451" s="3"/>
      <c r="Q451" s="3"/>
      <c r="R451" s="3"/>
      <c r="S451" s="3"/>
      <c r="T451" s="3"/>
      <c r="U451" s="3"/>
      <c r="V451" s="3"/>
      <c r="W451" s="3"/>
      <c r="X451" s="3"/>
      <c r="Y451" s="3"/>
      <c r="Z451" s="3"/>
    </row>
    <row r="452" spans="1:26" ht="22.5" customHeight="1" x14ac:dyDescent="0.85">
      <c r="A452" s="166"/>
      <c r="B452" s="167"/>
      <c r="C452" s="167"/>
      <c r="D452" s="147"/>
      <c r="E452" s="147"/>
      <c r="F452" s="147"/>
      <c r="G452" s="147"/>
      <c r="H452" s="147"/>
      <c r="I452" s="147"/>
      <c r="J452" s="147"/>
      <c r="K452" s="3"/>
      <c r="L452" s="3"/>
      <c r="M452" s="3"/>
      <c r="N452" s="3"/>
      <c r="O452" s="3"/>
      <c r="P452" s="3"/>
      <c r="Q452" s="3"/>
      <c r="R452" s="3"/>
      <c r="S452" s="3"/>
      <c r="T452" s="3"/>
      <c r="U452" s="3"/>
      <c r="V452" s="3"/>
      <c r="W452" s="3"/>
      <c r="X452" s="3"/>
      <c r="Y452" s="3"/>
      <c r="Z452" s="3"/>
    </row>
    <row r="453" spans="1:26" ht="22.5" customHeight="1" x14ac:dyDescent="0.85">
      <c r="A453" s="166"/>
      <c r="B453" s="167"/>
      <c r="C453" s="167"/>
      <c r="D453" s="147"/>
      <c r="E453" s="147"/>
      <c r="F453" s="147"/>
      <c r="G453" s="147"/>
      <c r="H453" s="147"/>
      <c r="I453" s="147"/>
      <c r="J453" s="147"/>
      <c r="K453" s="3"/>
      <c r="L453" s="3"/>
      <c r="M453" s="3"/>
      <c r="N453" s="3"/>
      <c r="O453" s="3"/>
      <c r="P453" s="3"/>
      <c r="Q453" s="3"/>
      <c r="R453" s="3"/>
      <c r="S453" s="3"/>
      <c r="T453" s="3"/>
      <c r="U453" s="3"/>
      <c r="V453" s="3"/>
      <c r="W453" s="3"/>
      <c r="X453" s="3"/>
      <c r="Y453" s="3"/>
      <c r="Z453" s="3"/>
    </row>
    <row r="454" spans="1:26" ht="22.5" customHeight="1" x14ac:dyDescent="0.85">
      <c r="A454" s="166"/>
      <c r="B454" s="167"/>
      <c r="C454" s="167"/>
      <c r="D454" s="147"/>
      <c r="E454" s="147"/>
      <c r="F454" s="147"/>
      <c r="G454" s="147"/>
      <c r="H454" s="147"/>
      <c r="I454" s="147"/>
      <c r="J454" s="147"/>
      <c r="K454" s="3"/>
      <c r="L454" s="3"/>
      <c r="M454" s="3"/>
      <c r="N454" s="3"/>
      <c r="O454" s="3"/>
      <c r="P454" s="3"/>
      <c r="Q454" s="3"/>
      <c r="R454" s="3"/>
      <c r="S454" s="3"/>
      <c r="T454" s="3"/>
      <c r="U454" s="3"/>
      <c r="V454" s="3"/>
      <c r="W454" s="3"/>
      <c r="X454" s="3"/>
      <c r="Y454" s="3"/>
      <c r="Z454" s="3"/>
    </row>
    <row r="455" spans="1:26" ht="22.5" customHeight="1" x14ac:dyDescent="0.85">
      <c r="A455" s="166"/>
      <c r="B455" s="167"/>
      <c r="C455" s="167"/>
      <c r="D455" s="147"/>
      <c r="E455" s="147"/>
      <c r="F455" s="147"/>
      <c r="G455" s="147"/>
      <c r="H455" s="147"/>
      <c r="I455" s="147"/>
      <c r="J455" s="147"/>
      <c r="K455" s="3"/>
      <c r="L455" s="3"/>
      <c r="M455" s="3"/>
      <c r="N455" s="3"/>
      <c r="O455" s="3"/>
      <c r="P455" s="3"/>
      <c r="Q455" s="3"/>
      <c r="R455" s="3"/>
      <c r="S455" s="3"/>
      <c r="T455" s="3"/>
      <c r="U455" s="3"/>
      <c r="V455" s="3"/>
      <c r="W455" s="3"/>
      <c r="X455" s="3"/>
      <c r="Y455" s="3"/>
      <c r="Z455" s="3"/>
    </row>
    <row r="456" spans="1:26" ht="22.5" customHeight="1" x14ac:dyDescent="0.85">
      <c r="A456" s="166"/>
      <c r="B456" s="167"/>
      <c r="C456" s="167"/>
      <c r="D456" s="147"/>
      <c r="E456" s="147"/>
      <c r="F456" s="147"/>
      <c r="G456" s="147"/>
      <c r="H456" s="147"/>
      <c r="I456" s="147"/>
      <c r="J456" s="147"/>
      <c r="K456" s="3"/>
      <c r="L456" s="3"/>
      <c r="M456" s="3"/>
      <c r="N456" s="3"/>
      <c r="O456" s="3"/>
      <c r="P456" s="3"/>
      <c r="Q456" s="3"/>
      <c r="R456" s="3"/>
      <c r="S456" s="3"/>
      <c r="T456" s="3"/>
      <c r="U456" s="3"/>
      <c r="V456" s="3"/>
      <c r="W456" s="3"/>
      <c r="X456" s="3"/>
      <c r="Y456" s="3"/>
      <c r="Z456" s="3"/>
    </row>
    <row r="457" spans="1:26" ht="22.5" customHeight="1" x14ac:dyDescent="0.85">
      <c r="A457" s="166"/>
      <c r="B457" s="167"/>
      <c r="C457" s="167"/>
      <c r="D457" s="147"/>
      <c r="E457" s="147"/>
      <c r="F457" s="147"/>
      <c r="G457" s="147"/>
      <c r="H457" s="147"/>
      <c r="I457" s="147"/>
      <c r="J457" s="147"/>
      <c r="K457" s="3"/>
      <c r="L457" s="3"/>
      <c r="M457" s="3"/>
      <c r="N457" s="3"/>
      <c r="O457" s="3"/>
      <c r="P457" s="3"/>
      <c r="Q457" s="3"/>
      <c r="R457" s="3"/>
      <c r="S457" s="3"/>
      <c r="T457" s="3"/>
      <c r="U457" s="3"/>
      <c r="V457" s="3"/>
      <c r="W457" s="3"/>
      <c r="X457" s="3"/>
      <c r="Y457" s="3"/>
      <c r="Z457" s="3"/>
    </row>
    <row r="458" spans="1:26" ht="22.5" customHeight="1" x14ac:dyDescent="0.85">
      <c r="A458" s="166"/>
      <c r="B458" s="167"/>
      <c r="C458" s="167"/>
      <c r="D458" s="147"/>
      <c r="E458" s="147"/>
      <c r="F458" s="147"/>
      <c r="G458" s="147"/>
      <c r="H458" s="147"/>
      <c r="I458" s="147"/>
      <c r="J458" s="147"/>
      <c r="K458" s="3"/>
      <c r="L458" s="3"/>
      <c r="M458" s="3"/>
      <c r="N458" s="3"/>
      <c r="O458" s="3"/>
      <c r="P458" s="3"/>
      <c r="Q458" s="3"/>
      <c r="R458" s="3"/>
      <c r="S458" s="3"/>
      <c r="T458" s="3"/>
      <c r="U458" s="3"/>
      <c r="V458" s="3"/>
      <c r="W458" s="3"/>
      <c r="X458" s="3"/>
      <c r="Y458" s="3"/>
      <c r="Z458" s="3"/>
    </row>
    <row r="459" spans="1:26" ht="22.5" customHeight="1" x14ac:dyDescent="0.85">
      <c r="A459" s="166"/>
      <c r="B459" s="167"/>
      <c r="C459" s="167"/>
      <c r="D459" s="147"/>
      <c r="E459" s="147"/>
      <c r="F459" s="147"/>
      <c r="G459" s="147"/>
      <c r="H459" s="147"/>
      <c r="I459" s="147"/>
      <c r="J459" s="147"/>
      <c r="K459" s="3"/>
      <c r="L459" s="3"/>
      <c r="M459" s="3"/>
      <c r="N459" s="3"/>
      <c r="O459" s="3"/>
      <c r="P459" s="3"/>
      <c r="Q459" s="3"/>
      <c r="R459" s="3"/>
      <c r="S459" s="3"/>
      <c r="T459" s="3"/>
      <c r="U459" s="3"/>
      <c r="V459" s="3"/>
      <c r="W459" s="3"/>
      <c r="X459" s="3"/>
      <c r="Y459" s="3"/>
      <c r="Z459" s="3"/>
    </row>
    <row r="460" spans="1:26" ht="22.5" customHeight="1" x14ac:dyDescent="0.85">
      <c r="A460" s="166"/>
      <c r="B460" s="167"/>
      <c r="C460" s="167"/>
      <c r="D460" s="147"/>
      <c r="E460" s="147"/>
      <c r="F460" s="147"/>
      <c r="G460" s="147"/>
      <c r="H460" s="147"/>
      <c r="I460" s="147"/>
      <c r="J460" s="147"/>
      <c r="K460" s="3"/>
      <c r="L460" s="3"/>
      <c r="M460" s="3"/>
      <c r="N460" s="3"/>
      <c r="O460" s="3"/>
      <c r="P460" s="3"/>
      <c r="Q460" s="3"/>
      <c r="R460" s="3"/>
      <c r="S460" s="3"/>
      <c r="T460" s="3"/>
      <c r="U460" s="3"/>
      <c r="V460" s="3"/>
      <c r="W460" s="3"/>
      <c r="X460" s="3"/>
      <c r="Y460" s="3"/>
      <c r="Z460" s="3"/>
    </row>
    <row r="461" spans="1:26" ht="22.5" customHeight="1" x14ac:dyDescent="0.85">
      <c r="A461" s="166"/>
      <c r="B461" s="167"/>
      <c r="C461" s="167"/>
      <c r="D461" s="147"/>
      <c r="E461" s="147"/>
      <c r="F461" s="147"/>
      <c r="G461" s="147"/>
      <c r="H461" s="147"/>
      <c r="I461" s="147"/>
      <c r="J461" s="147"/>
      <c r="K461" s="3"/>
      <c r="L461" s="3"/>
      <c r="M461" s="3"/>
      <c r="N461" s="3"/>
      <c r="O461" s="3"/>
      <c r="P461" s="3"/>
      <c r="Q461" s="3"/>
      <c r="R461" s="3"/>
      <c r="S461" s="3"/>
      <c r="T461" s="3"/>
      <c r="U461" s="3"/>
      <c r="V461" s="3"/>
      <c r="W461" s="3"/>
      <c r="X461" s="3"/>
      <c r="Y461" s="3"/>
      <c r="Z461" s="3"/>
    </row>
    <row r="462" spans="1:26" ht="22.5" customHeight="1" x14ac:dyDescent="0.85">
      <c r="A462" s="166"/>
      <c r="B462" s="167"/>
      <c r="C462" s="167"/>
      <c r="D462" s="147"/>
      <c r="E462" s="147"/>
      <c r="F462" s="147"/>
      <c r="G462" s="147"/>
      <c r="H462" s="147"/>
      <c r="I462" s="147"/>
      <c r="J462" s="147"/>
      <c r="K462" s="3"/>
      <c r="L462" s="3"/>
      <c r="M462" s="3"/>
      <c r="N462" s="3"/>
      <c r="O462" s="3"/>
      <c r="P462" s="3"/>
      <c r="Q462" s="3"/>
      <c r="R462" s="3"/>
      <c r="S462" s="3"/>
      <c r="T462" s="3"/>
      <c r="U462" s="3"/>
      <c r="V462" s="3"/>
      <c r="W462" s="3"/>
      <c r="X462" s="3"/>
      <c r="Y462" s="3"/>
      <c r="Z462" s="3"/>
    </row>
    <row r="463" spans="1:26" ht="22.5" customHeight="1" x14ac:dyDescent="0.85">
      <c r="A463" s="166"/>
      <c r="B463" s="167"/>
      <c r="C463" s="167"/>
      <c r="D463" s="147"/>
      <c r="E463" s="147"/>
      <c r="F463" s="147"/>
      <c r="G463" s="147"/>
      <c r="H463" s="147"/>
      <c r="I463" s="147"/>
      <c r="J463" s="147"/>
      <c r="K463" s="3"/>
      <c r="L463" s="3"/>
      <c r="M463" s="3"/>
      <c r="N463" s="3"/>
      <c r="O463" s="3"/>
      <c r="P463" s="3"/>
      <c r="Q463" s="3"/>
      <c r="R463" s="3"/>
      <c r="S463" s="3"/>
      <c r="T463" s="3"/>
      <c r="U463" s="3"/>
      <c r="V463" s="3"/>
      <c r="W463" s="3"/>
      <c r="X463" s="3"/>
      <c r="Y463" s="3"/>
      <c r="Z463" s="3"/>
    </row>
    <row r="464" spans="1:26" ht="22.5" customHeight="1" x14ac:dyDescent="0.85">
      <c r="A464" s="166"/>
      <c r="B464" s="167"/>
      <c r="C464" s="167"/>
      <c r="D464" s="147"/>
      <c r="E464" s="147"/>
      <c r="F464" s="147"/>
      <c r="G464" s="147"/>
      <c r="H464" s="147"/>
      <c r="I464" s="147"/>
      <c r="J464" s="147"/>
      <c r="K464" s="3"/>
      <c r="L464" s="3"/>
      <c r="M464" s="3"/>
      <c r="N464" s="3"/>
      <c r="O464" s="3"/>
      <c r="P464" s="3"/>
      <c r="Q464" s="3"/>
      <c r="R464" s="3"/>
      <c r="S464" s="3"/>
      <c r="T464" s="3"/>
      <c r="U464" s="3"/>
      <c r="V464" s="3"/>
      <c r="W464" s="3"/>
      <c r="X464" s="3"/>
      <c r="Y464" s="3"/>
      <c r="Z464" s="3"/>
    </row>
    <row r="465" spans="1:26" ht="22.5" customHeight="1" x14ac:dyDescent="0.85">
      <c r="A465" s="166"/>
      <c r="B465" s="167"/>
      <c r="C465" s="167"/>
      <c r="D465" s="147"/>
      <c r="E465" s="147"/>
      <c r="F465" s="147"/>
      <c r="G465" s="147"/>
      <c r="H465" s="147"/>
      <c r="I465" s="147"/>
      <c r="J465" s="147"/>
      <c r="K465" s="3"/>
      <c r="L465" s="3"/>
      <c r="M465" s="3"/>
      <c r="N465" s="3"/>
      <c r="O465" s="3"/>
      <c r="P465" s="3"/>
      <c r="Q465" s="3"/>
      <c r="R465" s="3"/>
      <c r="S465" s="3"/>
      <c r="T465" s="3"/>
      <c r="U465" s="3"/>
      <c r="V465" s="3"/>
      <c r="W465" s="3"/>
      <c r="X465" s="3"/>
      <c r="Y465" s="3"/>
      <c r="Z465" s="3"/>
    </row>
    <row r="466" spans="1:26" ht="22.5" customHeight="1" x14ac:dyDescent="0.85">
      <c r="A466" s="166"/>
      <c r="B466" s="167"/>
      <c r="C466" s="167"/>
      <c r="D466" s="147"/>
      <c r="E466" s="147"/>
      <c r="F466" s="147"/>
      <c r="G466" s="147"/>
      <c r="H466" s="147"/>
      <c r="I466" s="147"/>
      <c r="J466" s="147"/>
      <c r="K466" s="3"/>
      <c r="L466" s="3"/>
      <c r="M466" s="3"/>
      <c r="N466" s="3"/>
      <c r="O466" s="3"/>
      <c r="P466" s="3"/>
      <c r="Q466" s="3"/>
      <c r="R466" s="3"/>
      <c r="S466" s="3"/>
      <c r="T466" s="3"/>
      <c r="U466" s="3"/>
      <c r="V466" s="3"/>
      <c r="W466" s="3"/>
      <c r="X466" s="3"/>
      <c r="Y466" s="3"/>
      <c r="Z466" s="3"/>
    </row>
    <row r="467" spans="1:26" ht="22.5" customHeight="1" x14ac:dyDescent="0.85">
      <c r="A467" s="166"/>
      <c r="B467" s="167"/>
      <c r="C467" s="167"/>
      <c r="D467" s="147"/>
      <c r="E467" s="147"/>
      <c r="F467" s="147"/>
      <c r="G467" s="147"/>
      <c r="H467" s="147"/>
      <c r="I467" s="147"/>
      <c r="J467" s="147"/>
      <c r="K467" s="3"/>
      <c r="L467" s="3"/>
      <c r="M467" s="3"/>
      <c r="N467" s="3"/>
      <c r="O467" s="3"/>
      <c r="P467" s="3"/>
      <c r="Q467" s="3"/>
      <c r="R467" s="3"/>
      <c r="S467" s="3"/>
      <c r="T467" s="3"/>
      <c r="U467" s="3"/>
      <c r="V467" s="3"/>
      <c r="W467" s="3"/>
      <c r="X467" s="3"/>
      <c r="Y467" s="3"/>
      <c r="Z467" s="3"/>
    </row>
    <row r="468" spans="1:26" ht="22.5" customHeight="1" x14ac:dyDescent="0.85">
      <c r="A468" s="166"/>
      <c r="B468" s="167"/>
      <c r="C468" s="167"/>
      <c r="D468" s="147"/>
      <c r="E468" s="147"/>
      <c r="F468" s="147"/>
      <c r="G468" s="147"/>
      <c r="H468" s="147"/>
      <c r="I468" s="147"/>
      <c r="J468" s="147"/>
      <c r="K468" s="3"/>
      <c r="L468" s="3"/>
      <c r="M468" s="3"/>
      <c r="N468" s="3"/>
      <c r="O468" s="3"/>
      <c r="P468" s="3"/>
      <c r="Q468" s="3"/>
      <c r="R468" s="3"/>
      <c r="S468" s="3"/>
      <c r="T468" s="3"/>
      <c r="U468" s="3"/>
      <c r="V468" s="3"/>
      <c r="W468" s="3"/>
      <c r="X468" s="3"/>
      <c r="Y468" s="3"/>
      <c r="Z468" s="3"/>
    </row>
    <row r="469" spans="1:26" ht="22.5" customHeight="1" x14ac:dyDescent="0.85">
      <c r="A469" s="166"/>
      <c r="B469" s="167"/>
      <c r="C469" s="167"/>
      <c r="D469" s="147"/>
      <c r="E469" s="147"/>
      <c r="F469" s="147"/>
      <c r="G469" s="147"/>
      <c r="H469" s="147"/>
      <c r="I469" s="147"/>
      <c r="J469" s="147"/>
      <c r="K469" s="3"/>
      <c r="L469" s="3"/>
      <c r="M469" s="3"/>
      <c r="N469" s="3"/>
      <c r="O469" s="3"/>
      <c r="P469" s="3"/>
      <c r="Q469" s="3"/>
      <c r="R469" s="3"/>
      <c r="S469" s="3"/>
      <c r="T469" s="3"/>
      <c r="U469" s="3"/>
      <c r="V469" s="3"/>
      <c r="W469" s="3"/>
      <c r="X469" s="3"/>
      <c r="Y469" s="3"/>
      <c r="Z469" s="3"/>
    </row>
    <row r="470" spans="1:26" ht="22.5" customHeight="1" x14ac:dyDescent="0.85">
      <c r="A470" s="166"/>
      <c r="B470" s="167"/>
      <c r="C470" s="167"/>
      <c r="D470" s="147"/>
      <c r="E470" s="147"/>
      <c r="F470" s="147"/>
      <c r="G470" s="147"/>
      <c r="H470" s="147"/>
      <c r="I470" s="147"/>
      <c r="J470" s="147"/>
      <c r="K470" s="3"/>
      <c r="L470" s="3"/>
      <c r="M470" s="3"/>
      <c r="N470" s="3"/>
      <c r="O470" s="3"/>
      <c r="P470" s="3"/>
      <c r="Q470" s="3"/>
      <c r="R470" s="3"/>
      <c r="S470" s="3"/>
      <c r="T470" s="3"/>
      <c r="U470" s="3"/>
      <c r="V470" s="3"/>
      <c r="W470" s="3"/>
      <c r="X470" s="3"/>
      <c r="Y470" s="3"/>
      <c r="Z470" s="3"/>
    </row>
    <row r="471" spans="1:26" ht="22.5" customHeight="1" x14ac:dyDescent="0.85">
      <c r="A471" s="166"/>
      <c r="B471" s="167"/>
      <c r="C471" s="167"/>
      <c r="D471" s="147"/>
      <c r="E471" s="147"/>
      <c r="F471" s="147"/>
      <c r="G471" s="147"/>
      <c r="H471" s="147"/>
      <c r="I471" s="147"/>
      <c r="J471" s="147"/>
      <c r="K471" s="3"/>
      <c r="L471" s="3"/>
      <c r="M471" s="3"/>
      <c r="N471" s="3"/>
      <c r="O471" s="3"/>
      <c r="P471" s="3"/>
      <c r="Q471" s="3"/>
      <c r="R471" s="3"/>
      <c r="S471" s="3"/>
      <c r="T471" s="3"/>
      <c r="U471" s="3"/>
      <c r="V471" s="3"/>
      <c r="W471" s="3"/>
      <c r="X471" s="3"/>
      <c r="Y471" s="3"/>
      <c r="Z471" s="3"/>
    </row>
    <row r="472" spans="1:26" ht="22.5" customHeight="1" x14ac:dyDescent="0.85">
      <c r="A472" s="166"/>
      <c r="B472" s="167"/>
      <c r="C472" s="167"/>
      <c r="D472" s="147"/>
      <c r="E472" s="147"/>
      <c r="F472" s="147"/>
      <c r="G472" s="147"/>
      <c r="H472" s="147"/>
      <c r="I472" s="147"/>
      <c r="J472" s="147"/>
      <c r="K472" s="3"/>
      <c r="L472" s="3"/>
      <c r="M472" s="3"/>
      <c r="N472" s="3"/>
      <c r="O472" s="3"/>
      <c r="P472" s="3"/>
      <c r="Q472" s="3"/>
      <c r="R472" s="3"/>
      <c r="S472" s="3"/>
      <c r="T472" s="3"/>
      <c r="U472" s="3"/>
      <c r="V472" s="3"/>
      <c r="W472" s="3"/>
      <c r="X472" s="3"/>
      <c r="Y472" s="3"/>
      <c r="Z472" s="3"/>
    </row>
    <row r="473" spans="1:26" ht="22.5" customHeight="1" x14ac:dyDescent="0.85">
      <c r="A473" s="166"/>
      <c r="B473" s="167"/>
      <c r="C473" s="167"/>
      <c r="D473" s="147"/>
      <c r="E473" s="147"/>
      <c r="F473" s="147"/>
      <c r="G473" s="147"/>
      <c r="H473" s="147"/>
      <c r="I473" s="147"/>
      <c r="J473" s="147"/>
      <c r="K473" s="3"/>
      <c r="L473" s="3"/>
      <c r="M473" s="3"/>
      <c r="N473" s="3"/>
      <c r="O473" s="3"/>
      <c r="P473" s="3"/>
      <c r="Q473" s="3"/>
      <c r="R473" s="3"/>
      <c r="S473" s="3"/>
      <c r="T473" s="3"/>
      <c r="U473" s="3"/>
      <c r="V473" s="3"/>
      <c r="W473" s="3"/>
      <c r="X473" s="3"/>
      <c r="Y473" s="3"/>
      <c r="Z473" s="3"/>
    </row>
    <row r="474" spans="1:26" ht="22.5" customHeight="1" x14ac:dyDescent="0.85">
      <c r="A474" s="166"/>
      <c r="B474" s="167"/>
      <c r="C474" s="167"/>
      <c r="D474" s="147"/>
      <c r="E474" s="147"/>
      <c r="F474" s="147"/>
      <c r="G474" s="147"/>
      <c r="H474" s="147"/>
      <c r="I474" s="147"/>
      <c r="J474" s="147"/>
      <c r="K474" s="3"/>
      <c r="L474" s="3"/>
      <c r="M474" s="3"/>
      <c r="N474" s="3"/>
      <c r="O474" s="3"/>
      <c r="P474" s="3"/>
      <c r="Q474" s="3"/>
      <c r="R474" s="3"/>
      <c r="S474" s="3"/>
      <c r="T474" s="3"/>
      <c r="U474" s="3"/>
      <c r="V474" s="3"/>
      <c r="W474" s="3"/>
      <c r="X474" s="3"/>
      <c r="Y474" s="3"/>
      <c r="Z474" s="3"/>
    </row>
    <row r="475" spans="1:26" ht="22.5" customHeight="1" x14ac:dyDescent="0.85">
      <c r="A475" s="166"/>
      <c r="B475" s="167"/>
      <c r="C475" s="167"/>
      <c r="D475" s="147"/>
      <c r="E475" s="147"/>
      <c r="F475" s="147"/>
      <c r="G475" s="147"/>
      <c r="H475" s="147"/>
      <c r="I475" s="147"/>
      <c r="J475" s="147"/>
      <c r="K475" s="3"/>
      <c r="L475" s="3"/>
      <c r="M475" s="3"/>
      <c r="N475" s="3"/>
      <c r="O475" s="3"/>
      <c r="P475" s="3"/>
      <c r="Q475" s="3"/>
      <c r="R475" s="3"/>
      <c r="S475" s="3"/>
      <c r="T475" s="3"/>
      <c r="U475" s="3"/>
      <c r="V475" s="3"/>
      <c r="W475" s="3"/>
      <c r="X475" s="3"/>
      <c r="Y475" s="3"/>
      <c r="Z475" s="3"/>
    </row>
    <row r="476" spans="1:26" ht="22.5" customHeight="1" x14ac:dyDescent="0.85">
      <c r="A476" s="166"/>
      <c r="B476" s="167"/>
      <c r="C476" s="167"/>
      <c r="D476" s="147"/>
      <c r="E476" s="147"/>
      <c r="F476" s="147"/>
      <c r="G476" s="147"/>
      <c r="H476" s="147"/>
      <c r="I476" s="147"/>
      <c r="J476" s="147"/>
      <c r="K476" s="3"/>
      <c r="L476" s="3"/>
      <c r="M476" s="3"/>
      <c r="N476" s="3"/>
      <c r="O476" s="3"/>
      <c r="P476" s="3"/>
      <c r="Q476" s="3"/>
      <c r="R476" s="3"/>
      <c r="S476" s="3"/>
      <c r="T476" s="3"/>
      <c r="U476" s="3"/>
      <c r="V476" s="3"/>
      <c r="W476" s="3"/>
      <c r="X476" s="3"/>
      <c r="Y476" s="3"/>
      <c r="Z476" s="3"/>
    </row>
    <row r="477" spans="1:26" ht="22.5" customHeight="1" x14ac:dyDescent="0.85">
      <c r="A477" s="166"/>
      <c r="B477" s="167"/>
      <c r="C477" s="167"/>
      <c r="D477" s="147"/>
      <c r="E477" s="147"/>
      <c r="F477" s="147"/>
      <c r="G477" s="147"/>
      <c r="H477" s="147"/>
      <c r="I477" s="147"/>
      <c r="J477" s="147"/>
      <c r="K477" s="3"/>
      <c r="L477" s="3"/>
      <c r="M477" s="3"/>
      <c r="N477" s="3"/>
      <c r="O477" s="3"/>
      <c r="P477" s="3"/>
      <c r="Q477" s="3"/>
      <c r="R477" s="3"/>
      <c r="S477" s="3"/>
      <c r="T477" s="3"/>
      <c r="U477" s="3"/>
      <c r="V477" s="3"/>
      <c r="W477" s="3"/>
      <c r="X477" s="3"/>
      <c r="Y477" s="3"/>
      <c r="Z477" s="3"/>
    </row>
    <row r="478" spans="1:26" ht="22.5" customHeight="1" x14ac:dyDescent="0.85">
      <c r="A478" s="166"/>
      <c r="B478" s="167"/>
      <c r="C478" s="167"/>
      <c r="D478" s="147"/>
      <c r="E478" s="147"/>
      <c r="F478" s="147"/>
      <c r="G478" s="147"/>
      <c r="H478" s="147"/>
      <c r="I478" s="147"/>
      <c r="J478" s="147"/>
      <c r="K478" s="3"/>
      <c r="L478" s="3"/>
      <c r="M478" s="3"/>
      <c r="N478" s="3"/>
      <c r="O478" s="3"/>
      <c r="P478" s="3"/>
      <c r="Q478" s="3"/>
      <c r="R478" s="3"/>
      <c r="S478" s="3"/>
      <c r="T478" s="3"/>
      <c r="U478" s="3"/>
      <c r="V478" s="3"/>
      <c r="W478" s="3"/>
      <c r="X478" s="3"/>
      <c r="Y478" s="3"/>
      <c r="Z478" s="3"/>
    </row>
    <row r="479" spans="1:26" ht="22.5" customHeight="1" x14ac:dyDescent="0.85">
      <c r="A479" s="166"/>
      <c r="B479" s="167"/>
      <c r="C479" s="167"/>
      <c r="D479" s="147"/>
      <c r="E479" s="147"/>
      <c r="F479" s="147"/>
      <c r="G479" s="147"/>
      <c r="H479" s="147"/>
      <c r="I479" s="147"/>
      <c r="J479" s="147"/>
      <c r="K479" s="3"/>
      <c r="L479" s="3"/>
      <c r="M479" s="3"/>
      <c r="N479" s="3"/>
      <c r="O479" s="3"/>
      <c r="P479" s="3"/>
      <c r="Q479" s="3"/>
      <c r="R479" s="3"/>
      <c r="S479" s="3"/>
      <c r="T479" s="3"/>
      <c r="U479" s="3"/>
      <c r="V479" s="3"/>
      <c r="W479" s="3"/>
      <c r="X479" s="3"/>
      <c r="Y479" s="3"/>
      <c r="Z479" s="3"/>
    </row>
    <row r="480" spans="1:26" ht="22.5" customHeight="1" x14ac:dyDescent="0.85">
      <c r="A480" s="166"/>
      <c r="B480" s="167"/>
      <c r="C480" s="167"/>
      <c r="D480" s="147"/>
      <c r="E480" s="147"/>
      <c r="F480" s="147"/>
      <c r="G480" s="147"/>
      <c r="H480" s="147"/>
      <c r="I480" s="147"/>
      <c r="J480" s="147"/>
      <c r="K480" s="3"/>
      <c r="L480" s="3"/>
      <c r="M480" s="3"/>
      <c r="N480" s="3"/>
      <c r="O480" s="3"/>
      <c r="P480" s="3"/>
      <c r="Q480" s="3"/>
      <c r="R480" s="3"/>
      <c r="S480" s="3"/>
      <c r="T480" s="3"/>
      <c r="U480" s="3"/>
      <c r="V480" s="3"/>
      <c r="W480" s="3"/>
      <c r="X480" s="3"/>
      <c r="Y480" s="3"/>
      <c r="Z480" s="3"/>
    </row>
    <row r="481" spans="1:26" ht="22.5" customHeight="1" x14ac:dyDescent="0.85">
      <c r="A481" s="166"/>
      <c r="B481" s="167"/>
      <c r="C481" s="167"/>
      <c r="D481" s="147"/>
      <c r="E481" s="147"/>
      <c r="F481" s="147"/>
      <c r="G481" s="147"/>
      <c r="H481" s="147"/>
      <c r="I481" s="147"/>
      <c r="J481" s="147"/>
      <c r="K481" s="3"/>
      <c r="L481" s="3"/>
      <c r="M481" s="3"/>
      <c r="N481" s="3"/>
      <c r="O481" s="3"/>
      <c r="P481" s="3"/>
      <c r="Q481" s="3"/>
      <c r="R481" s="3"/>
      <c r="S481" s="3"/>
      <c r="T481" s="3"/>
      <c r="U481" s="3"/>
      <c r="V481" s="3"/>
      <c r="W481" s="3"/>
      <c r="X481" s="3"/>
      <c r="Y481" s="3"/>
      <c r="Z481" s="3"/>
    </row>
    <row r="482" spans="1:26" ht="22.5" customHeight="1" x14ac:dyDescent="0.85">
      <c r="A482" s="166"/>
      <c r="B482" s="167"/>
      <c r="C482" s="167"/>
      <c r="D482" s="147"/>
      <c r="E482" s="147"/>
      <c r="F482" s="147"/>
      <c r="G482" s="147"/>
      <c r="H482" s="147"/>
      <c r="I482" s="147"/>
      <c r="J482" s="147"/>
      <c r="K482" s="3"/>
      <c r="L482" s="3"/>
      <c r="M482" s="3"/>
      <c r="N482" s="3"/>
      <c r="O482" s="3"/>
      <c r="P482" s="3"/>
      <c r="Q482" s="3"/>
      <c r="R482" s="3"/>
      <c r="S482" s="3"/>
      <c r="T482" s="3"/>
      <c r="U482" s="3"/>
      <c r="V482" s="3"/>
      <c r="W482" s="3"/>
      <c r="X482" s="3"/>
      <c r="Y482" s="3"/>
      <c r="Z482" s="3"/>
    </row>
    <row r="483" spans="1:26" ht="22.5" customHeight="1" x14ac:dyDescent="0.85">
      <c r="A483" s="166"/>
      <c r="B483" s="167"/>
      <c r="C483" s="167"/>
      <c r="D483" s="147"/>
      <c r="E483" s="147"/>
      <c r="F483" s="147"/>
      <c r="G483" s="147"/>
      <c r="H483" s="147"/>
      <c r="I483" s="147"/>
      <c r="J483" s="147"/>
      <c r="K483" s="3"/>
      <c r="L483" s="3"/>
      <c r="M483" s="3"/>
      <c r="N483" s="3"/>
      <c r="O483" s="3"/>
      <c r="P483" s="3"/>
      <c r="Q483" s="3"/>
      <c r="R483" s="3"/>
      <c r="S483" s="3"/>
      <c r="T483" s="3"/>
      <c r="U483" s="3"/>
      <c r="V483" s="3"/>
      <c r="W483" s="3"/>
      <c r="X483" s="3"/>
      <c r="Y483" s="3"/>
      <c r="Z483" s="3"/>
    </row>
    <row r="484" spans="1:26" ht="22.5" customHeight="1" x14ac:dyDescent="0.85">
      <c r="A484" s="166"/>
      <c r="B484" s="167"/>
      <c r="C484" s="167"/>
      <c r="D484" s="147"/>
      <c r="E484" s="147"/>
      <c r="F484" s="147"/>
      <c r="G484" s="147"/>
      <c r="H484" s="147"/>
      <c r="I484" s="147"/>
      <c r="J484" s="147"/>
      <c r="K484" s="3"/>
      <c r="L484" s="3"/>
      <c r="M484" s="3"/>
      <c r="N484" s="3"/>
      <c r="O484" s="3"/>
      <c r="P484" s="3"/>
      <c r="Q484" s="3"/>
      <c r="R484" s="3"/>
      <c r="S484" s="3"/>
      <c r="T484" s="3"/>
      <c r="U484" s="3"/>
      <c r="V484" s="3"/>
      <c r="W484" s="3"/>
      <c r="X484" s="3"/>
      <c r="Y484" s="3"/>
      <c r="Z484" s="3"/>
    </row>
    <row r="485" spans="1:26" ht="22.5" customHeight="1" x14ac:dyDescent="0.85">
      <c r="A485" s="166"/>
      <c r="B485" s="167"/>
      <c r="C485" s="167"/>
      <c r="D485" s="147"/>
      <c r="E485" s="147"/>
      <c r="F485" s="147"/>
      <c r="G485" s="147"/>
      <c r="H485" s="147"/>
      <c r="I485" s="147"/>
      <c r="J485" s="147"/>
      <c r="K485" s="3"/>
      <c r="L485" s="3"/>
      <c r="M485" s="3"/>
      <c r="N485" s="3"/>
      <c r="O485" s="3"/>
      <c r="P485" s="3"/>
      <c r="Q485" s="3"/>
      <c r="R485" s="3"/>
      <c r="S485" s="3"/>
      <c r="T485" s="3"/>
      <c r="U485" s="3"/>
      <c r="V485" s="3"/>
      <c r="W485" s="3"/>
      <c r="X485" s="3"/>
      <c r="Y485" s="3"/>
      <c r="Z485" s="3"/>
    </row>
    <row r="486" spans="1:26" ht="22.5" customHeight="1" x14ac:dyDescent="0.85">
      <c r="A486" s="166"/>
      <c r="B486" s="167"/>
      <c r="C486" s="167"/>
      <c r="D486" s="147"/>
      <c r="E486" s="147"/>
      <c r="F486" s="147"/>
      <c r="G486" s="147"/>
      <c r="H486" s="147"/>
      <c r="I486" s="147"/>
      <c r="J486" s="147"/>
      <c r="K486" s="3"/>
      <c r="L486" s="3"/>
      <c r="M486" s="3"/>
      <c r="N486" s="3"/>
      <c r="O486" s="3"/>
      <c r="P486" s="3"/>
      <c r="Q486" s="3"/>
      <c r="R486" s="3"/>
      <c r="S486" s="3"/>
      <c r="T486" s="3"/>
      <c r="U486" s="3"/>
      <c r="V486" s="3"/>
      <c r="W486" s="3"/>
      <c r="X486" s="3"/>
      <c r="Y486" s="3"/>
      <c r="Z486" s="3"/>
    </row>
    <row r="487" spans="1:26" ht="22.5" customHeight="1" x14ac:dyDescent="0.85">
      <c r="A487" s="166"/>
      <c r="B487" s="167"/>
      <c r="C487" s="167"/>
      <c r="D487" s="147"/>
      <c r="E487" s="147"/>
      <c r="F487" s="147"/>
      <c r="G487" s="147"/>
      <c r="H487" s="147"/>
      <c r="I487" s="147"/>
      <c r="J487" s="147"/>
      <c r="K487" s="3"/>
      <c r="L487" s="3"/>
      <c r="M487" s="3"/>
      <c r="N487" s="3"/>
      <c r="O487" s="3"/>
      <c r="P487" s="3"/>
      <c r="Q487" s="3"/>
      <c r="R487" s="3"/>
      <c r="S487" s="3"/>
      <c r="T487" s="3"/>
      <c r="U487" s="3"/>
      <c r="V487" s="3"/>
      <c r="W487" s="3"/>
      <c r="X487" s="3"/>
      <c r="Y487" s="3"/>
      <c r="Z487" s="3"/>
    </row>
    <row r="488" spans="1:26" ht="22.5" customHeight="1" x14ac:dyDescent="0.85">
      <c r="A488" s="166"/>
      <c r="B488" s="167"/>
      <c r="C488" s="167"/>
      <c r="D488" s="147"/>
      <c r="E488" s="147"/>
      <c r="F488" s="147"/>
      <c r="G488" s="147"/>
      <c r="H488" s="147"/>
      <c r="I488" s="147"/>
      <c r="J488" s="147"/>
      <c r="K488" s="3"/>
      <c r="L488" s="3"/>
      <c r="M488" s="3"/>
      <c r="N488" s="3"/>
      <c r="O488" s="3"/>
      <c r="P488" s="3"/>
      <c r="Q488" s="3"/>
      <c r="R488" s="3"/>
      <c r="S488" s="3"/>
      <c r="T488" s="3"/>
      <c r="U488" s="3"/>
      <c r="V488" s="3"/>
      <c r="W488" s="3"/>
      <c r="X488" s="3"/>
      <c r="Y488" s="3"/>
      <c r="Z488" s="3"/>
    </row>
    <row r="489" spans="1:26" ht="22.5" customHeight="1" x14ac:dyDescent="0.85">
      <c r="A489" s="166"/>
      <c r="B489" s="167"/>
      <c r="C489" s="167"/>
      <c r="D489" s="147"/>
      <c r="E489" s="147"/>
      <c r="F489" s="147"/>
      <c r="G489" s="147"/>
      <c r="H489" s="147"/>
      <c r="I489" s="147"/>
      <c r="J489" s="147"/>
      <c r="K489" s="3"/>
      <c r="L489" s="3"/>
      <c r="M489" s="3"/>
      <c r="N489" s="3"/>
      <c r="O489" s="3"/>
      <c r="P489" s="3"/>
      <c r="Q489" s="3"/>
      <c r="R489" s="3"/>
      <c r="S489" s="3"/>
      <c r="T489" s="3"/>
      <c r="U489" s="3"/>
      <c r="V489" s="3"/>
      <c r="W489" s="3"/>
      <c r="X489" s="3"/>
      <c r="Y489" s="3"/>
      <c r="Z489" s="3"/>
    </row>
    <row r="490" spans="1:26" ht="22.5" customHeight="1" x14ac:dyDescent="0.85">
      <c r="A490" s="166"/>
      <c r="B490" s="167"/>
      <c r="C490" s="167"/>
      <c r="D490" s="147"/>
      <c r="E490" s="147"/>
      <c r="F490" s="147"/>
      <c r="G490" s="147"/>
      <c r="H490" s="147"/>
      <c r="I490" s="147"/>
      <c r="J490" s="147"/>
      <c r="K490" s="3"/>
      <c r="L490" s="3"/>
      <c r="M490" s="3"/>
      <c r="N490" s="3"/>
      <c r="O490" s="3"/>
      <c r="P490" s="3"/>
      <c r="Q490" s="3"/>
      <c r="R490" s="3"/>
      <c r="S490" s="3"/>
      <c r="T490" s="3"/>
      <c r="U490" s="3"/>
      <c r="V490" s="3"/>
      <c r="W490" s="3"/>
      <c r="X490" s="3"/>
      <c r="Y490" s="3"/>
      <c r="Z490" s="3"/>
    </row>
    <row r="491" spans="1:26" ht="22.5" customHeight="1" x14ac:dyDescent="0.85">
      <c r="A491" s="166"/>
      <c r="B491" s="167"/>
      <c r="C491" s="167"/>
      <c r="D491" s="147"/>
      <c r="E491" s="147"/>
      <c r="F491" s="147"/>
      <c r="G491" s="147"/>
      <c r="H491" s="147"/>
      <c r="I491" s="147"/>
      <c r="J491" s="147"/>
      <c r="K491" s="3"/>
      <c r="L491" s="3"/>
      <c r="M491" s="3"/>
      <c r="N491" s="3"/>
      <c r="O491" s="3"/>
      <c r="P491" s="3"/>
      <c r="Q491" s="3"/>
      <c r="R491" s="3"/>
      <c r="S491" s="3"/>
      <c r="T491" s="3"/>
      <c r="U491" s="3"/>
      <c r="V491" s="3"/>
      <c r="W491" s="3"/>
      <c r="X491" s="3"/>
      <c r="Y491" s="3"/>
      <c r="Z491" s="3"/>
    </row>
    <row r="492" spans="1:26" ht="22.5" customHeight="1" x14ac:dyDescent="0.85">
      <c r="A492" s="166"/>
      <c r="B492" s="167"/>
      <c r="C492" s="167"/>
      <c r="D492" s="147"/>
      <c r="E492" s="147"/>
      <c r="F492" s="147"/>
      <c r="G492" s="147"/>
      <c r="H492" s="147"/>
      <c r="I492" s="147"/>
      <c r="J492" s="147"/>
      <c r="K492" s="3"/>
      <c r="L492" s="3"/>
      <c r="M492" s="3"/>
      <c r="N492" s="3"/>
      <c r="O492" s="3"/>
      <c r="P492" s="3"/>
      <c r="Q492" s="3"/>
      <c r="R492" s="3"/>
      <c r="S492" s="3"/>
      <c r="T492" s="3"/>
      <c r="U492" s="3"/>
      <c r="V492" s="3"/>
      <c r="W492" s="3"/>
      <c r="X492" s="3"/>
      <c r="Y492" s="3"/>
      <c r="Z492" s="3"/>
    </row>
    <row r="493" spans="1:26" ht="22.5" customHeight="1" x14ac:dyDescent="0.85">
      <c r="A493" s="166"/>
      <c r="B493" s="167"/>
      <c r="C493" s="167"/>
      <c r="D493" s="147"/>
      <c r="E493" s="147"/>
      <c r="F493" s="147"/>
      <c r="G493" s="147"/>
      <c r="H493" s="147"/>
      <c r="I493" s="147"/>
      <c r="J493" s="147"/>
      <c r="K493" s="3"/>
      <c r="L493" s="3"/>
      <c r="M493" s="3"/>
      <c r="N493" s="3"/>
      <c r="O493" s="3"/>
      <c r="P493" s="3"/>
      <c r="Q493" s="3"/>
      <c r="R493" s="3"/>
      <c r="S493" s="3"/>
      <c r="T493" s="3"/>
      <c r="U493" s="3"/>
      <c r="V493" s="3"/>
      <c r="W493" s="3"/>
      <c r="X493" s="3"/>
      <c r="Y493" s="3"/>
      <c r="Z493" s="3"/>
    </row>
    <row r="494" spans="1:26" ht="22.5" customHeight="1" x14ac:dyDescent="0.85">
      <c r="A494" s="166"/>
      <c r="B494" s="167"/>
      <c r="C494" s="167"/>
      <c r="D494" s="147"/>
      <c r="E494" s="147"/>
      <c r="F494" s="147"/>
      <c r="G494" s="147"/>
      <c r="H494" s="147"/>
      <c r="I494" s="147"/>
      <c r="J494" s="147"/>
      <c r="K494" s="3"/>
      <c r="L494" s="3"/>
      <c r="M494" s="3"/>
      <c r="N494" s="3"/>
      <c r="O494" s="3"/>
      <c r="P494" s="3"/>
      <c r="Q494" s="3"/>
      <c r="R494" s="3"/>
      <c r="S494" s="3"/>
      <c r="T494" s="3"/>
      <c r="U494" s="3"/>
      <c r="V494" s="3"/>
      <c r="W494" s="3"/>
      <c r="X494" s="3"/>
      <c r="Y494" s="3"/>
      <c r="Z494" s="3"/>
    </row>
    <row r="495" spans="1:26" ht="22.5" customHeight="1" x14ac:dyDescent="0.85">
      <c r="A495" s="166"/>
      <c r="B495" s="167"/>
      <c r="C495" s="167"/>
      <c r="D495" s="147"/>
      <c r="E495" s="147"/>
      <c r="F495" s="147"/>
      <c r="G495" s="147"/>
      <c r="H495" s="147"/>
      <c r="I495" s="147"/>
      <c r="J495" s="147"/>
      <c r="K495" s="3"/>
      <c r="L495" s="3"/>
      <c r="M495" s="3"/>
      <c r="N495" s="3"/>
      <c r="O495" s="3"/>
      <c r="P495" s="3"/>
      <c r="Q495" s="3"/>
      <c r="R495" s="3"/>
      <c r="S495" s="3"/>
      <c r="T495" s="3"/>
      <c r="U495" s="3"/>
      <c r="V495" s="3"/>
      <c r="W495" s="3"/>
      <c r="X495" s="3"/>
      <c r="Y495" s="3"/>
      <c r="Z495" s="3"/>
    </row>
    <row r="496" spans="1:26" ht="22.5" customHeight="1" x14ac:dyDescent="0.85">
      <c r="A496" s="166"/>
      <c r="B496" s="167"/>
      <c r="C496" s="167"/>
      <c r="D496" s="147"/>
      <c r="E496" s="147"/>
      <c r="F496" s="147"/>
      <c r="G496" s="147"/>
      <c r="H496" s="147"/>
      <c r="I496" s="147"/>
      <c r="J496" s="147"/>
      <c r="K496" s="3"/>
      <c r="L496" s="3"/>
      <c r="M496" s="3"/>
      <c r="N496" s="3"/>
      <c r="O496" s="3"/>
      <c r="P496" s="3"/>
      <c r="Q496" s="3"/>
      <c r="R496" s="3"/>
      <c r="S496" s="3"/>
      <c r="T496" s="3"/>
      <c r="U496" s="3"/>
      <c r="V496" s="3"/>
      <c r="W496" s="3"/>
      <c r="X496" s="3"/>
      <c r="Y496" s="3"/>
      <c r="Z496" s="3"/>
    </row>
    <row r="497" spans="1:26" ht="22.5" customHeight="1" x14ac:dyDescent="0.85">
      <c r="A497" s="166"/>
      <c r="B497" s="167"/>
      <c r="C497" s="167"/>
      <c r="D497" s="147"/>
      <c r="E497" s="147"/>
      <c r="F497" s="147"/>
      <c r="G497" s="147"/>
      <c r="H497" s="147"/>
      <c r="I497" s="147"/>
      <c r="J497" s="147"/>
      <c r="K497" s="3"/>
      <c r="L497" s="3"/>
      <c r="M497" s="3"/>
      <c r="N497" s="3"/>
      <c r="O497" s="3"/>
      <c r="P497" s="3"/>
      <c r="Q497" s="3"/>
      <c r="R497" s="3"/>
      <c r="S497" s="3"/>
      <c r="T497" s="3"/>
      <c r="U497" s="3"/>
      <c r="V497" s="3"/>
      <c r="W497" s="3"/>
      <c r="X497" s="3"/>
      <c r="Y497" s="3"/>
      <c r="Z497" s="3"/>
    </row>
    <row r="498" spans="1:26" ht="22.5" customHeight="1" x14ac:dyDescent="0.85">
      <c r="A498" s="166"/>
      <c r="B498" s="167"/>
      <c r="C498" s="167"/>
      <c r="D498" s="147"/>
      <c r="E498" s="147"/>
      <c r="F498" s="147"/>
      <c r="G498" s="147"/>
      <c r="H498" s="147"/>
      <c r="I498" s="147"/>
      <c r="J498" s="147"/>
      <c r="K498" s="3"/>
      <c r="L498" s="3"/>
      <c r="M498" s="3"/>
      <c r="N498" s="3"/>
      <c r="O498" s="3"/>
      <c r="P498" s="3"/>
      <c r="Q498" s="3"/>
      <c r="R498" s="3"/>
      <c r="S498" s="3"/>
      <c r="T498" s="3"/>
      <c r="U498" s="3"/>
      <c r="V498" s="3"/>
      <c r="W498" s="3"/>
      <c r="X498" s="3"/>
      <c r="Y498" s="3"/>
      <c r="Z498" s="3"/>
    </row>
    <row r="499" spans="1:26" ht="22.5" customHeight="1" x14ac:dyDescent="0.85">
      <c r="A499" s="166"/>
      <c r="B499" s="167"/>
      <c r="C499" s="167"/>
      <c r="D499" s="147"/>
      <c r="E499" s="147"/>
      <c r="F499" s="147"/>
      <c r="G499" s="147"/>
      <c r="H499" s="147"/>
      <c r="I499" s="147"/>
      <c r="J499" s="147"/>
      <c r="K499" s="3"/>
      <c r="L499" s="3"/>
      <c r="M499" s="3"/>
      <c r="N499" s="3"/>
      <c r="O499" s="3"/>
      <c r="P499" s="3"/>
      <c r="Q499" s="3"/>
      <c r="R499" s="3"/>
      <c r="S499" s="3"/>
      <c r="T499" s="3"/>
      <c r="U499" s="3"/>
      <c r="V499" s="3"/>
      <c r="W499" s="3"/>
      <c r="X499" s="3"/>
      <c r="Y499" s="3"/>
      <c r="Z499" s="3"/>
    </row>
    <row r="500" spans="1:26" ht="22.5" customHeight="1" x14ac:dyDescent="0.85">
      <c r="A500" s="166"/>
      <c r="B500" s="167"/>
      <c r="C500" s="167"/>
      <c r="D500" s="147"/>
      <c r="E500" s="147"/>
      <c r="F500" s="147"/>
      <c r="G500" s="147"/>
      <c r="H500" s="147"/>
      <c r="I500" s="147"/>
      <c r="J500" s="147"/>
      <c r="K500" s="3"/>
      <c r="L500" s="3"/>
      <c r="M500" s="3"/>
      <c r="N500" s="3"/>
      <c r="O500" s="3"/>
      <c r="P500" s="3"/>
      <c r="Q500" s="3"/>
      <c r="R500" s="3"/>
      <c r="S500" s="3"/>
      <c r="T500" s="3"/>
      <c r="U500" s="3"/>
      <c r="V500" s="3"/>
      <c r="W500" s="3"/>
      <c r="X500" s="3"/>
      <c r="Y500" s="3"/>
      <c r="Z500" s="3"/>
    </row>
    <row r="501" spans="1:26" ht="22.5" customHeight="1" x14ac:dyDescent="0.85">
      <c r="A501" s="166"/>
      <c r="B501" s="167"/>
      <c r="C501" s="167"/>
      <c r="D501" s="147"/>
      <c r="E501" s="147"/>
      <c r="F501" s="147"/>
      <c r="G501" s="147"/>
      <c r="H501" s="147"/>
      <c r="I501" s="147"/>
      <c r="J501" s="147"/>
      <c r="K501" s="3"/>
      <c r="L501" s="3"/>
      <c r="M501" s="3"/>
      <c r="N501" s="3"/>
      <c r="O501" s="3"/>
      <c r="P501" s="3"/>
      <c r="Q501" s="3"/>
      <c r="R501" s="3"/>
      <c r="S501" s="3"/>
      <c r="T501" s="3"/>
      <c r="U501" s="3"/>
      <c r="V501" s="3"/>
      <c r="W501" s="3"/>
      <c r="X501" s="3"/>
      <c r="Y501" s="3"/>
      <c r="Z501" s="3"/>
    </row>
    <row r="502" spans="1:26" ht="22.5" customHeight="1" x14ac:dyDescent="0.85">
      <c r="A502" s="166"/>
      <c r="B502" s="167"/>
      <c r="C502" s="167"/>
      <c r="D502" s="147"/>
      <c r="E502" s="147"/>
      <c r="F502" s="147"/>
      <c r="G502" s="147"/>
      <c r="H502" s="147"/>
      <c r="I502" s="147"/>
      <c r="J502" s="147"/>
      <c r="K502" s="3"/>
      <c r="L502" s="3"/>
      <c r="M502" s="3"/>
      <c r="N502" s="3"/>
      <c r="O502" s="3"/>
      <c r="P502" s="3"/>
      <c r="Q502" s="3"/>
      <c r="R502" s="3"/>
      <c r="S502" s="3"/>
      <c r="T502" s="3"/>
      <c r="U502" s="3"/>
      <c r="V502" s="3"/>
      <c r="W502" s="3"/>
      <c r="X502" s="3"/>
      <c r="Y502" s="3"/>
      <c r="Z502" s="3"/>
    </row>
    <row r="503" spans="1:26" ht="22.5" customHeight="1" x14ac:dyDescent="0.85">
      <c r="A503" s="166"/>
      <c r="B503" s="167"/>
      <c r="C503" s="167"/>
      <c r="D503" s="147"/>
      <c r="E503" s="147"/>
      <c r="F503" s="147"/>
      <c r="G503" s="147"/>
      <c r="H503" s="147"/>
      <c r="I503" s="147"/>
      <c r="J503" s="147"/>
      <c r="K503" s="3"/>
      <c r="L503" s="3"/>
      <c r="M503" s="3"/>
      <c r="N503" s="3"/>
      <c r="O503" s="3"/>
      <c r="P503" s="3"/>
      <c r="Q503" s="3"/>
      <c r="R503" s="3"/>
      <c r="S503" s="3"/>
      <c r="T503" s="3"/>
      <c r="U503" s="3"/>
      <c r="V503" s="3"/>
      <c r="W503" s="3"/>
      <c r="X503" s="3"/>
      <c r="Y503" s="3"/>
      <c r="Z503" s="3"/>
    </row>
    <row r="504" spans="1:26" ht="22.5" customHeight="1" x14ac:dyDescent="0.85">
      <c r="A504" s="166"/>
      <c r="B504" s="167"/>
      <c r="C504" s="167"/>
      <c r="D504" s="147"/>
      <c r="E504" s="147"/>
      <c r="F504" s="147"/>
      <c r="G504" s="147"/>
      <c r="H504" s="147"/>
      <c r="I504" s="147"/>
      <c r="J504" s="147"/>
      <c r="K504" s="3"/>
      <c r="L504" s="3"/>
      <c r="M504" s="3"/>
      <c r="N504" s="3"/>
      <c r="O504" s="3"/>
      <c r="P504" s="3"/>
      <c r="Q504" s="3"/>
      <c r="R504" s="3"/>
      <c r="S504" s="3"/>
      <c r="T504" s="3"/>
      <c r="U504" s="3"/>
      <c r="V504" s="3"/>
      <c r="W504" s="3"/>
      <c r="X504" s="3"/>
      <c r="Y504" s="3"/>
      <c r="Z504" s="3"/>
    </row>
    <row r="505" spans="1:26" ht="22.5" customHeight="1" x14ac:dyDescent="0.85">
      <c r="A505" s="166"/>
      <c r="B505" s="167"/>
      <c r="C505" s="167"/>
      <c r="D505" s="147"/>
      <c r="E505" s="147"/>
      <c r="F505" s="147"/>
      <c r="G505" s="147"/>
      <c r="H505" s="147"/>
      <c r="I505" s="147"/>
      <c r="J505" s="147"/>
      <c r="K505" s="3"/>
      <c r="L505" s="3"/>
      <c r="M505" s="3"/>
      <c r="N505" s="3"/>
      <c r="O505" s="3"/>
      <c r="P505" s="3"/>
      <c r="Q505" s="3"/>
      <c r="R505" s="3"/>
      <c r="S505" s="3"/>
      <c r="T505" s="3"/>
      <c r="U505" s="3"/>
      <c r="V505" s="3"/>
      <c r="W505" s="3"/>
      <c r="X505" s="3"/>
      <c r="Y505" s="3"/>
      <c r="Z505" s="3"/>
    </row>
    <row r="506" spans="1:26" ht="22.5" customHeight="1" x14ac:dyDescent="0.85">
      <c r="A506" s="166"/>
      <c r="B506" s="167"/>
      <c r="C506" s="167"/>
      <c r="D506" s="147"/>
      <c r="E506" s="147"/>
      <c r="F506" s="147"/>
      <c r="G506" s="147"/>
      <c r="H506" s="147"/>
      <c r="I506" s="147"/>
      <c r="J506" s="147"/>
      <c r="K506" s="3"/>
      <c r="L506" s="3"/>
      <c r="M506" s="3"/>
      <c r="N506" s="3"/>
      <c r="O506" s="3"/>
      <c r="P506" s="3"/>
      <c r="Q506" s="3"/>
      <c r="R506" s="3"/>
      <c r="S506" s="3"/>
      <c r="T506" s="3"/>
      <c r="U506" s="3"/>
      <c r="V506" s="3"/>
      <c r="W506" s="3"/>
      <c r="X506" s="3"/>
      <c r="Y506" s="3"/>
      <c r="Z506" s="3"/>
    </row>
    <row r="507" spans="1:26" ht="22.5" customHeight="1" x14ac:dyDescent="0.85">
      <c r="A507" s="166"/>
      <c r="B507" s="167"/>
      <c r="C507" s="167"/>
      <c r="D507" s="147"/>
      <c r="E507" s="147"/>
      <c r="F507" s="147"/>
      <c r="G507" s="147"/>
      <c r="H507" s="147"/>
      <c r="I507" s="147"/>
      <c r="J507" s="147"/>
      <c r="K507" s="3"/>
      <c r="L507" s="3"/>
      <c r="M507" s="3"/>
      <c r="N507" s="3"/>
      <c r="O507" s="3"/>
      <c r="P507" s="3"/>
      <c r="Q507" s="3"/>
      <c r="R507" s="3"/>
      <c r="S507" s="3"/>
      <c r="T507" s="3"/>
      <c r="U507" s="3"/>
      <c r="V507" s="3"/>
      <c r="W507" s="3"/>
      <c r="X507" s="3"/>
      <c r="Y507" s="3"/>
      <c r="Z507" s="3"/>
    </row>
    <row r="508" spans="1:26" ht="22.5" customHeight="1" x14ac:dyDescent="0.85">
      <c r="A508" s="166"/>
      <c r="B508" s="167"/>
      <c r="C508" s="167"/>
      <c r="D508" s="147"/>
      <c r="E508" s="147"/>
      <c r="F508" s="147"/>
      <c r="G508" s="147"/>
      <c r="H508" s="147"/>
      <c r="I508" s="147"/>
      <c r="J508" s="147"/>
      <c r="K508" s="3"/>
      <c r="L508" s="3"/>
      <c r="M508" s="3"/>
      <c r="N508" s="3"/>
      <c r="O508" s="3"/>
      <c r="P508" s="3"/>
      <c r="Q508" s="3"/>
      <c r="R508" s="3"/>
      <c r="S508" s="3"/>
      <c r="T508" s="3"/>
      <c r="U508" s="3"/>
      <c r="V508" s="3"/>
      <c r="W508" s="3"/>
      <c r="X508" s="3"/>
      <c r="Y508" s="3"/>
      <c r="Z508" s="3"/>
    </row>
    <row r="509" spans="1:26" ht="22.5" customHeight="1" x14ac:dyDescent="0.85">
      <c r="A509" s="166"/>
      <c r="B509" s="167"/>
      <c r="C509" s="167"/>
      <c r="D509" s="147"/>
      <c r="E509" s="147"/>
      <c r="F509" s="147"/>
      <c r="G509" s="147"/>
      <c r="H509" s="147"/>
      <c r="I509" s="147"/>
      <c r="J509" s="147"/>
      <c r="K509" s="3"/>
      <c r="L509" s="3"/>
      <c r="M509" s="3"/>
      <c r="N509" s="3"/>
      <c r="O509" s="3"/>
      <c r="P509" s="3"/>
      <c r="Q509" s="3"/>
      <c r="R509" s="3"/>
      <c r="S509" s="3"/>
      <c r="T509" s="3"/>
      <c r="U509" s="3"/>
      <c r="V509" s="3"/>
      <c r="W509" s="3"/>
      <c r="X509" s="3"/>
      <c r="Y509" s="3"/>
      <c r="Z509" s="3"/>
    </row>
    <row r="510" spans="1:26" ht="22.5" customHeight="1" x14ac:dyDescent="0.85">
      <c r="A510" s="166"/>
      <c r="B510" s="167"/>
      <c r="C510" s="167"/>
      <c r="D510" s="147"/>
      <c r="E510" s="147"/>
      <c r="F510" s="147"/>
      <c r="G510" s="147"/>
      <c r="H510" s="147"/>
      <c r="I510" s="147"/>
      <c r="J510" s="147"/>
      <c r="K510" s="3"/>
      <c r="L510" s="3"/>
      <c r="M510" s="3"/>
      <c r="N510" s="3"/>
      <c r="O510" s="3"/>
      <c r="P510" s="3"/>
      <c r="Q510" s="3"/>
      <c r="R510" s="3"/>
      <c r="S510" s="3"/>
      <c r="T510" s="3"/>
      <c r="U510" s="3"/>
      <c r="V510" s="3"/>
      <c r="W510" s="3"/>
      <c r="X510" s="3"/>
      <c r="Y510" s="3"/>
      <c r="Z510" s="3"/>
    </row>
    <row r="511" spans="1:26" ht="22.5" customHeight="1" x14ac:dyDescent="0.85">
      <c r="A511" s="166"/>
      <c r="B511" s="167"/>
      <c r="C511" s="167"/>
      <c r="D511" s="147"/>
      <c r="E511" s="147"/>
      <c r="F511" s="147"/>
      <c r="G511" s="147"/>
      <c r="H511" s="147"/>
      <c r="I511" s="147"/>
      <c r="J511" s="147"/>
      <c r="K511" s="3"/>
      <c r="L511" s="3"/>
      <c r="M511" s="3"/>
      <c r="N511" s="3"/>
      <c r="O511" s="3"/>
      <c r="P511" s="3"/>
      <c r="Q511" s="3"/>
      <c r="R511" s="3"/>
      <c r="S511" s="3"/>
      <c r="T511" s="3"/>
      <c r="U511" s="3"/>
      <c r="V511" s="3"/>
      <c r="W511" s="3"/>
      <c r="X511" s="3"/>
      <c r="Y511" s="3"/>
      <c r="Z511" s="3"/>
    </row>
    <row r="512" spans="1:26" ht="22.5" customHeight="1" x14ac:dyDescent="0.85">
      <c r="A512" s="166"/>
      <c r="B512" s="167"/>
      <c r="C512" s="167"/>
      <c r="D512" s="147"/>
      <c r="E512" s="147"/>
      <c r="F512" s="147"/>
      <c r="G512" s="147"/>
      <c r="H512" s="147"/>
      <c r="I512" s="147"/>
      <c r="J512" s="147"/>
      <c r="K512" s="3"/>
      <c r="L512" s="3"/>
      <c r="M512" s="3"/>
      <c r="N512" s="3"/>
      <c r="O512" s="3"/>
      <c r="P512" s="3"/>
      <c r="Q512" s="3"/>
      <c r="R512" s="3"/>
      <c r="S512" s="3"/>
      <c r="T512" s="3"/>
      <c r="U512" s="3"/>
      <c r="V512" s="3"/>
      <c r="W512" s="3"/>
      <c r="X512" s="3"/>
      <c r="Y512" s="3"/>
      <c r="Z512" s="3"/>
    </row>
    <row r="513" spans="1:26" ht="22.5" customHeight="1" x14ac:dyDescent="0.85">
      <c r="A513" s="166"/>
      <c r="B513" s="167"/>
      <c r="C513" s="167"/>
      <c r="D513" s="147"/>
      <c r="E513" s="147"/>
      <c r="F513" s="147"/>
      <c r="G513" s="147"/>
      <c r="H513" s="147"/>
      <c r="I513" s="147"/>
      <c r="J513" s="147"/>
      <c r="K513" s="3"/>
      <c r="L513" s="3"/>
      <c r="M513" s="3"/>
      <c r="N513" s="3"/>
      <c r="O513" s="3"/>
      <c r="P513" s="3"/>
      <c r="Q513" s="3"/>
      <c r="R513" s="3"/>
      <c r="S513" s="3"/>
      <c r="T513" s="3"/>
      <c r="U513" s="3"/>
      <c r="V513" s="3"/>
      <c r="W513" s="3"/>
      <c r="X513" s="3"/>
      <c r="Y513" s="3"/>
      <c r="Z513" s="3"/>
    </row>
    <row r="514" spans="1:26" ht="22.5" customHeight="1" x14ac:dyDescent="0.85">
      <c r="A514" s="166"/>
      <c r="B514" s="167"/>
      <c r="C514" s="167"/>
      <c r="D514" s="147"/>
      <c r="E514" s="147"/>
      <c r="F514" s="147"/>
      <c r="G514" s="147"/>
      <c r="H514" s="147"/>
      <c r="I514" s="147"/>
      <c r="J514" s="147"/>
      <c r="K514" s="3"/>
      <c r="L514" s="3"/>
      <c r="M514" s="3"/>
      <c r="N514" s="3"/>
      <c r="O514" s="3"/>
      <c r="P514" s="3"/>
      <c r="Q514" s="3"/>
      <c r="R514" s="3"/>
      <c r="S514" s="3"/>
      <c r="T514" s="3"/>
      <c r="U514" s="3"/>
      <c r="V514" s="3"/>
      <c r="W514" s="3"/>
      <c r="X514" s="3"/>
      <c r="Y514" s="3"/>
      <c r="Z514" s="3"/>
    </row>
    <row r="515" spans="1:26" ht="22.5" customHeight="1" x14ac:dyDescent="0.85">
      <c r="A515" s="166"/>
      <c r="B515" s="167"/>
      <c r="C515" s="167"/>
      <c r="D515" s="147"/>
      <c r="E515" s="147"/>
      <c r="F515" s="147"/>
      <c r="G515" s="147"/>
      <c r="H515" s="147"/>
      <c r="I515" s="147"/>
      <c r="J515" s="147"/>
      <c r="K515" s="3"/>
      <c r="L515" s="3"/>
      <c r="M515" s="3"/>
      <c r="N515" s="3"/>
      <c r="O515" s="3"/>
      <c r="P515" s="3"/>
      <c r="Q515" s="3"/>
      <c r="R515" s="3"/>
      <c r="S515" s="3"/>
      <c r="T515" s="3"/>
      <c r="U515" s="3"/>
      <c r="V515" s="3"/>
      <c r="W515" s="3"/>
      <c r="X515" s="3"/>
      <c r="Y515" s="3"/>
      <c r="Z515" s="3"/>
    </row>
    <row r="516" spans="1:26" ht="22.5" customHeight="1" x14ac:dyDescent="0.85">
      <c r="A516" s="166"/>
      <c r="B516" s="167"/>
      <c r="C516" s="167"/>
      <c r="D516" s="147"/>
      <c r="E516" s="147"/>
      <c r="F516" s="147"/>
      <c r="G516" s="147"/>
      <c r="H516" s="147"/>
      <c r="I516" s="147"/>
      <c r="J516" s="147"/>
      <c r="K516" s="3"/>
      <c r="L516" s="3"/>
      <c r="M516" s="3"/>
      <c r="N516" s="3"/>
      <c r="O516" s="3"/>
      <c r="P516" s="3"/>
      <c r="Q516" s="3"/>
      <c r="R516" s="3"/>
      <c r="S516" s="3"/>
      <c r="T516" s="3"/>
      <c r="U516" s="3"/>
      <c r="V516" s="3"/>
      <c r="W516" s="3"/>
      <c r="X516" s="3"/>
      <c r="Y516" s="3"/>
      <c r="Z516" s="3"/>
    </row>
    <row r="517" spans="1:26" ht="22.5" customHeight="1" x14ac:dyDescent="0.85">
      <c r="A517" s="166"/>
      <c r="B517" s="167"/>
      <c r="C517" s="167"/>
      <c r="D517" s="147"/>
      <c r="E517" s="147"/>
      <c r="F517" s="147"/>
      <c r="G517" s="147"/>
      <c r="H517" s="147"/>
      <c r="I517" s="147"/>
      <c r="J517" s="147"/>
      <c r="K517" s="3"/>
      <c r="L517" s="3"/>
      <c r="M517" s="3"/>
      <c r="N517" s="3"/>
      <c r="O517" s="3"/>
      <c r="P517" s="3"/>
      <c r="Q517" s="3"/>
      <c r="R517" s="3"/>
      <c r="S517" s="3"/>
      <c r="T517" s="3"/>
      <c r="U517" s="3"/>
      <c r="V517" s="3"/>
      <c r="W517" s="3"/>
      <c r="X517" s="3"/>
      <c r="Y517" s="3"/>
      <c r="Z517" s="3"/>
    </row>
    <row r="518" spans="1:26" ht="22.5" customHeight="1" x14ac:dyDescent="0.85">
      <c r="A518" s="166"/>
      <c r="B518" s="167"/>
      <c r="C518" s="167"/>
      <c r="D518" s="147"/>
      <c r="E518" s="147"/>
      <c r="F518" s="147"/>
      <c r="G518" s="147"/>
      <c r="H518" s="147"/>
      <c r="I518" s="147"/>
      <c r="J518" s="147"/>
      <c r="K518" s="3"/>
      <c r="L518" s="3"/>
      <c r="M518" s="3"/>
      <c r="N518" s="3"/>
      <c r="O518" s="3"/>
      <c r="P518" s="3"/>
      <c r="Q518" s="3"/>
      <c r="R518" s="3"/>
      <c r="S518" s="3"/>
      <c r="T518" s="3"/>
      <c r="U518" s="3"/>
      <c r="V518" s="3"/>
      <c r="W518" s="3"/>
      <c r="X518" s="3"/>
      <c r="Y518" s="3"/>
      <c r="Z518" s="3"/>
    </row>
    <row r="519" spans="1:26" ht="22.5" customHeight="1" x14ac:dyDescent="0.85">
      <c r="A519" s="166"/>
      <c r="B519" s="167"/>
      <c r="C519" s="167"/>
      <c r="D519" s="147"/>
      <c r="E519" s="147"/>
      <c r="F519" s="147"/>
      <c r="G519" s="147"/>
      <c r="H519" s="147"/>
      <c r="I519" s="147"/>
      <c r="J519" s="147"/>
      <c r="K519" s="3"/>
      <c r="L519" s="3"/>
      <c r="M519" s="3"/>
      <c r="N519" s="3"/>
      <c r="O519" s="3"/>
      <c r="P519" s="3"/>
      <c r="Q519" s="3"/>
      <c r="R519" s="3"/>
      <c r="S519" s="3"/>
      <c r="T519" s="3"/>
      <c r="U519" s="3"/>
      <c r="V519" s="3"/>
      <c r="W519" s="3"/>
      <c r="X519" s="3"/>
      <c r="Y519" s="3"/>
      <c r="Z519" s="3"/>
    </row>
    <row r="520" spans="1:26" ht="22.5" customHeight="1" x14ac:dyDescent="0.85">
      <c r="A520" s="166"/>
      <c r="B520" s="167"/>
      <c r="C520" s="167"/>
      <c r="D520" s="147"/>
      <c r="E520" s="147"/>
      <c r="F520" s="147"/>
      <c r="G520" s="147"/>
      <c r="H520" s="147"/>
      <c r="I520" s="147"/>
      <c r="J520" s="147"/>
      <c r="K520" s="3"/>
      <c r="L520" s="3"/>
      <c r="M520" s="3"/>
      <c r="N520" s="3"/>
      <c r="O520" s="3"/>
      <c r="P520" s="3"/>
      <c r="Q520" s="3"/>
      <c r="R520" s="3"/>
      <c r="S520" s="3"/>
      <c r="T520" s="3"/>
      <c r="U520" s="3"/>
      <c r="V520" s="3"/>
      <c r="W520" s="3"/>
      <c r="X520" s="3"/>
      <c r="Y520" s="3"/>
      <c r="Z520" s="3"/>
    </row>
    <row r="521" spans="1:26" ht="22.5" customHeight="1" x14ac:dyDescent="0.85">
      <c r="A521" s="166"/>
      <c r="B521" s="167"/>
      <c r="C521" s="167"/>
      <c r="D521" s="147"/>
      <c r="E521" s="147"/>
      <c r="F521" s="147"/>
      <c r="G521" s="147"/>
      <c r="H521" s="147"/>
      <c r="I521" s="147"/>
      <c r="J521" s="147"/>
      <c r="K521" s="3"/>
      <c r="L521" s="3"/>
      <c r="M521" s="3"/>
      <c r="N521" s="3"/>
      <c r="O521" s="3"/>
      <c r="P521" s="3"/>
      <c r="Q521" s="3"/>
      <c r="R521" s="3"/>
      <c r="S521" s="3"/>
      <c r="T521" s="3"/>
      <c r="U521" s="3"/>
      <c r="V521" s="3"/>
      <c r="W521" s="3"/>
      <c r="X521" s="3"/>
      <c r="Y521" s="3"/>
      <c r="Z521" s="3"/>
    </row>
    <row r="522" spans="1:26" ht="22.5" customHeight="1" x14ac:dyDescent="0.85">
      <c r="A522" s="166"/>
      <c r="B522" s="167"/>
      <c r="C522" s="167"/>
      <c r="D522" s="147"/>
      <c r="E522" s="147"/>
      <c r="F522" s="147"/>
      <c r="G522" s="147"/>
      <c r="H522" s="147"/>
      <c r="I522" s="147"/>
      <c r="J522" s="147"/>
      <c r="K522" s="3"/>
      <c r="L522" s="3"/>
      <c r="M522" s="3"/>
      <c r="N522" s="3"/>
      <c r="O522" s="3"/>
      <c r="P522" s="3"/>
      <c r="Q522" s="3"/>
      <c r="R522" s="3"/>
      <c r="S522" s="3"/>
      <c r="T522" s="3"/>
      <c r="U522" s="3"/>
      <c r="V522" s="3"/>
      <c r="W522" s="3"/>
      <c r="X522" s="3"/>
      <c r="Y522" s="3"/>
      <c r="Z522" s="3"/>
    </row>
    <row r="523" spans="1:26" ht="22.5" customHeight="1" x14ac:dyDescent="0.85">
      <c r="A523" s="166"/>
      <c r="B523" s="167"/>
      <c r="C523" s="167"/>
      <c r="D523" s="147"/>
      <c r="E523" s="147"/>
      <c r="F523" s="147"/>
      <c r="G523" s="147"/>
      <c r="H523" s="147"/>
      <c r="I523" s="147"/>
      <c r="J523" s="147"/>
      <c r="K523" s="3"/>
      <c r="L523" s="3"/>
      <c r="M523" s="3"/>
      <c r="N523" s="3"/>
      <c r="O523" s="3"/>
      <c r="P523" s="3"/>
      <c r="Q523" s="3"/>
      <c r="R523" s="3"/>
      <c r="S523" s="3"/>
      <c r="T523" s="3"/>
      <c r="U523" s="3"/>
      <c r="V523" s="3"/>
      <c r="W523" s="3"/>
      <c r="X523" s="3"/>
      <c r="Y523" s="3"/>
      <c r="Z523" s="3"/>
    </row>
    <row r="524" spans="1:26" ht="22.5" customHeight="1" x14ac:dyDescent="0.85">
      <c r="A524" s="166"/>
      <c r="B524" s="167"/>
      <c r="C524" s="167"/>
      <c r="D524" s="147"/>
      <c r="E524" s="147"/>
      <c r="F524" s="147"/>
      <c r="G524" s="147"/>
      <c r="H524" s="147"/>
      <c r="I524" s="147"/>
      <c r="J524" s="147"/>
      <c r="K524" s="3"/>
      <c r="L524" s="3"/>
      <c r="M524" s="3"/>
      <c r="N524" s="3"/>
      <c r="O524" s="3"/>
      <c r="P524" s="3"/>
      <c r="Q524" s="3"/>
      <c r="R524" s="3"/>
      <c r="S524" s="3"/>
      <c r="T524" s="3"/>
      <c r="U524" s="3"/>
      <c r="V524" s="3"/>
      <c r="W524" s="3"/>
      <c r="X524" s="3"/>
      <c r="Y524" s="3"/>
      <c r="Z524" s="3"/>
    </row>
    <row r="525" spans="1:26" ht="22.5" customHeight="1" x14ac:dyDescent="0.85">
      <c r="A525" s="166"/>
      <c r="B525" s="167"/>
      <c r="C525" s="167"/>
      <c r="D525" s="147"/>
      <c r="E525" s="147"/>
      <c r="F525" s="147"/>
      <c r="G525" s="147"/>
      <c r="H525" s="147"/>
      <c r="I525" s="147"/>
      <c r="J525" s="147"/>
      <c r="K525" s="3"/>
      <c r="L525" s="3"/>
      <c r="M525" s="3"/>
      <c r="N525" s="3"/>
      <c r="O525" s="3"/>
      <c r="P525" s="3"/>
      <c r="Q525" s="3"/>
      <c r="R525" s="3"/>
      <c r="S525" s="3"/>
      <c r="T525" s="3"/>
      <c r="U525" s="3"/>
      <c r="V525" s="3"/>
      <c r="W525" s="3"/>
      <c r="X525" s="3"/>
      <c r="Y525" s="3"/>
      <c r="Z525" s="3"/>
    </row>
    <row r="526" spans="1:26" ht="22.5" customHeight="1" x14ac:dyDescent="0.85">
      <c r="A526" s="166"/>
      <c r="B526" s="167"/>
      <c r="C526" s="167"/>
      <c r="D526" s="147"/>
      <c r="E526" s="147"/>
      <c r="F526" s="147"/>
      <c r="G526" s="147"/>
      <c r="H526" s="147"/>
      <c r="I526" s="147"/>
      <c r="J526" s="147"/>
      <c r="K526" s="3"/>
      <c r="L526" s="3"/>
      <c r="M526" s="3"/>
      <c r="N526" s="3"/>
      <c r="O526" s="3"/>
      <c r="P526" s="3"/>
      <c r="Q526" s="3"/>
      <c r="R526" s="3"/>
      <c r="S526" s="3"/>
      <c r="T526" s="3"/>
      <c r="U526" s="3"/>
      <c r="V526" s="3"/>
      <c r="W526" s="3"/>
      <c r="X526" s="3"/>
      <c r="Y526" s="3"/>
      <c r="Z526" s="3"/>
    </row>
    <row r="527" spans="1:26" ht="22.5" customHeight="1" x14ac:dyDescent="0.85">
      <c r="A527" s="166"/>
      <c r="B527" s="167"/>
      <c r="C527" s="167"/>
      <c r="D527" s="147"/>
      <c r="E527" s="147"/>
      <c r="F527" s="147"/>
      <c r="G527" s="147"/>
      <c r="H527" s="147"/>
      <c r="I527" s="147"/>
      <c r="J527" s="147"/>
      <c r="K527" s="3"/>
      <c r="L527" s="3"/>
      <c r="M527" s="3"/>
      <c r="N527" s="3"/>
      <c r="O527" s="3"/>
      <c r="P527" s="3"/>
      <c r="Q527" s="3"/>
      <c r="R527" s="3"/>
      <c r="S527" s="3"/>
      <c r="T527" s="3"/>
      <c r="U527" s="3"/>
      <c r="V527" s="3"/>
      <c r="W527" s="3"/>
      <c r="X527" s="3"/>
      <c r="Y527" s="3"/>
      <c r="Z527" s="3"/>
    </row>
    <row r="528" spans="1:26" ht="22.5" customHeight="1" x14ac:dyDescent="0.85">
      <c r="A528" s="166"/>
      <c r="B528" s="167"/>
      <c r="C528" s="167"/>
      <c r="D528" s="147"/>
      <c r="E528" s="147"/>
      <c r="F528" s="147"/>
      <c r="G528" s="147"/>
      <c r="H528" s="147"/>
      <c r="I528" s="147"/>
      <c r="J528" s="147"/>
      <c r="K528" s="3"/>
      <c r="L528" s="3"/>
      <c r="M528" s="3"/>
      <c r="N528" s="3"/>
      <c r="O528" s="3"/>
      <c r="P528" s="3"/>
      <c r="Q528" s="3"/>
      <c r="R528" s="3"/>
      <c r="S528" s="3"/>
      <c r="T528" s="3"/>
      <c r="U528" s="3"/>
      <c r="V528" s="3"/>
      <c r="W528" s="3"/>
      <c r="X528" s="3"/>
      <c r="Y528" s="3"/>
      <c r="Z528" s="3"/>
    </row>
    <row r="529" spans="1:26" ht="22.5" customHeight="1" x14ac:dyDescent="0.85">
      <c r="A529" s="166"/>
      <c r="B529" s="167"/>
      <c r="C529" s="167"/>
      <c r="D529" s="147"/>
      <c r="E529" s="147"/>
      <c r="F529" s="147"/>
      <c r="G529" s="147"/>
      <c r="H529" s="147"/>
      <c r="I529" s="147"/>
      <c r="J529" s="147"/>
      <c r="K529" s="3"/>
      <c r="L529" s="3"/>
      <c r="M529" s="3"/>
      <c r="N529" s="3"/>
      <c r="O529" s="3"/>
      <c r="P529" s="3"/>
      <c r="Q529" s="3"/>
      <c r="R529" s="3"/>
      <c r="S529" s="3"/>
      <c r="T529" s="3"/>
      <c r="U529" s="3"/>
      <c r="V529" s="3"/>
      <c r="W529" s="3"/>
      <c r="X529" s="3"/>
      <c r="Y529" s="3"/>
      <c r="Z529" s="3"/>
    </row>
    <row r="530" spans="1:26" ht="22.5" customHeight="1" x14ac:dyDescent="0.85">
      <c r="A530" s="166"/>
      <c r="B530" s="167"/>
      <c r="C530" s="167"/>
      <c r="D530" s="147"/>
      <c r="E530" s="147"/>
      <c r="F530" s="147"/>
      <c r="G530" s="147"/>
      <c r="H530" s="147"/>
      <c r="I530" s="147"/>
      <c r="J530" s="147"/>
      <c r="K530" s="3"/>
      <c r="L530" s="3"/>
      <c r="M530" s="3"/>
      <c r="N530" s="3"/>
      <c r="O530" s="3"/>
      <c r="P530" s="3"/>
      <c r="Q530" s="3"/>
      <c r="R530" s="3"/>
      <c r="S530" s="3"/>
      <c r="T530" s="3"/>
      <c r="U530" s="3"/>
      <c r="V530" s="3"/>
      <c r="W530" s="3"/>
      <c r="X530" s="3"/>
      <c r="Y530" s="3"/>
      <c r="Z530" s="3"/>
    </row>
    <row r="531" spans="1:26" ht="22.5" customHeight="1" x14ac:dyDescent="0.85">
      <c r="A531" s="166"/>
      <c r="B531" s="167"/>
      <c r="C531" s="167"/>
      <c r="D531" s="147"/>
      <c r="E531" s="147"/>
      <c r="F531" s="147"/>
      <c r="G531" s="147"/>
      <c r="H531" s="147"/>
      <c r="I531" s="147"/>
      <c r="J531" s="147"/>
      <c r="K531" s="3"/>
      <c r="L531" s="3"/>
      <c r="M531" s="3"/>
      <c r="N531" s="3"/>
      <c r="O531" s="3"/>
      <c r="P531" s="3"/>
      <c r="Q531" s="3"/>
      <c r="R531" s="3"/>
      <c r="S531" s="3"/>
      <c r="T531" s="3"/>
      <c r="U531" s="3"/>
      <c r="V531" s="3"/>
      <c r="W531" s="3"/>
      <c r="X531" s="3"/>
      <c r="Y531" s="3"/>
      <c r="Z531" s="3"/>
    </row>
    <row r="532" spans="1:26" ht="22.5" customHeight="1" x14ac:dyDescent="0.85">
      <c r="A532" s="166"/>
      <c r="B532" s="167"/>
      <c r="C532" s="167"/>
      <c r="D532" s="147"/>
      <c r="E532" s="147"/>
      <c r="F532" s="147"/>
      <c r="G532" s="147"/>
      <c r="H532" s="147"/>
      <c r="I532" s="147"/>
      <c r="J532" s="147"/>
      <c r="K532" s="3"/>
      <c r="L532" s="3"/>
      <c r="M532" s="3"/>
      <c r="N532" s="3"/>
      <c r="O532" s="3"/>
      <c r="P532" s="3"/>
      <c r="Q532" s="3"/>
      <c r="R532" s="3"/>
      <c r="S532" s="3"/>
      <c r="T532" s="3"/>
      <c r="U532" s="3"/>
      <c r="V532" s="3"/>
      <c r="W532" s="3"/>
      <c r="X532" s="3"/>
      <c r="Y532" s="3"/>
      <c r="Z532" s="3"/>
    </row>
    <row r="533" spans="1:26" ht="22.5" customHeight="1" x14ac:dyDescent="0.85">
      <c r="A533" s="166"/>
      <c r="B533" s="167"/>
      <c r="C533" s="167"/>
      <c r="D533" s="147"/>
      <c r="E533" s="147"/>
      <c r="F533" s="147"/>
      <c r="G533" s="147"/>
      <c r="H533" s="147"/>
      <c r="I533" s="147"/>
      <c r="J533" s="147"/>
      <c r="K533" s="3"/>
      <c r="L533" s="3"/>
      <c r="M533" s="3"/>
      <c r="N533" s="3"/>
      <c r="O533" s="3"/>
      <c r="P533" s="3"/>
      <c r="Q533" s="3"/>
      <c r="R533" s="3"/>
      <c r="S533" s="3"/>
      <c r="T533" s="3"/>
      <c r="U533" s="3"/>
      <c r="V533" s="3"/>
      <c r="W533" s="3"/>
      <c r="X533" s="3"/>
      <c r="Y533" s="3"/>
      <c r="Z533" s="3"/>
    </row>
    <row r="534" spans="1:26" ht="22.5" customHeight="1" x14ac:dyDescent="0.85">
      <c r="A534" s="166"/>
      <c r="B534" s="167"/>
      <c r="C534" s="167"/>
      <c r="D534" s="147"/>
      <c r="E534" s="147"/>
      <c r="F534" s="147"/>
      <c r="G534" s="147"/>
      <c r="H534" s="147"/>
      <c r="I534" s="147"/>
      <c r="J534" s="147"/>
      <c r="K534" s="3"/>
      <c r="L534" s="3"/>
      <c r="M534" s="3"/>
      <c r="N534" s="3"/>
      <c r="O534" s="3"/>
      <c r="P534" s="3"/>
      <c r="Q534" s="3"/>
      <c r="R534" s="3"/>
      <c r="S534" s="3"/>
      <c r="T534" s="3"/>
      <c r="U534" s="3"/>
      <c r="V534" s="3"/>
      <c r="W534" s="3"/>
      <c r="X534" s="3"/>
      <c r="Y534" s="3"/>
      <c r="Z534" s="3"/>
    </row>
    <row r="535" spans="1:26" ht="22.5" customHeight="1" x14ac:dyDescent="0.85">
      <c r="A535" s="166"/>
      <c r="B535" s="167"/>
      <c r="C535" s="167"/>
      <c r="D535" s="147"/>
      <c r="E535" s="147"/>
      <c r="F535" s="147"/>
      <c r="G535" s="147"/>
      <c r="H535" s="147"/>
      <c r="I535" s="147"/>
      <c r="J535" s="147"/>
      <c r="K535" s="3"/>
      <c r="L535" s="3"/>
      <c r="M535" s="3"/>
      <c r="N535" s="3"/>
      <c r="O535" s="3"/>
      <c r="P535" s="3"/>
      <c r="Q535" s="3"/>
      <c r="R535" s="3"/>
      <c r="S535" s="3"/>
      <c r="T535" s="3"/>
      <c r="U535" s="3"/>
      <c r="V535" s="3"/>
      <c r="W535" s="3"/>
      <c r="X535" s="3"/>
      <c r="Y535" s="3"/>
      <c r="Z535" s="3"/>
    </row>
    <row r="536" spans="1:26" ht="22.5" customHeight="1" x14ac:dyDescent="0.85">
      <c r="A536" s="166"/>
      <c r="B536" s="167"/>
      <c r="C536" s="167"/>
      <c r="D536" s="147"/>
      <c r="E536" s="147"/>
      <c r="F536" s="147"/>
      <c r="G536" s="147"/>
      <c r="H536" s="147"/>
      <c r="I536" s="147"/>
      <c r="J536" s="147"/>
      <c r="K536" s="3"/>
      <c r="L536" s="3"/>
      <c r="M536" s="3"/>
      <c r="N536" s="3"/>
      <c r="O536" s="3"/>
      <c r="P536" s="3"/>
      <c r="Q536" s="3"/>
      <c r="R536" s="3"/>
      <c r="S536" s="3"/>
      <c r="T536" s="3"/>
      <c r="U536" s="3"/>
      <c r="V536" s="3"/>
      <c r="W536" s="3"/>
      <c r="X536" s="3"/>
      <c r="Y536" s="3"/>
      <c r="Z536" s="3"/>
    </row>
    <row r="537" spans="1:26" ht="22.5" customHeight="1" x14ac:dyDescent="0.85">
      <c r="A537" s="166"/>
      <c r="B537" s="167"/>
      <c r="C537" s="167"/>
      <c r="D537" s="147"/>
      <c r="E537" s="147"/>
      <c r="F537" s="147"/>
      <c r="G537" s="147"/>
      <c r="H537" s="147"/>
      <c r="I537" s="147"/>
      <c r="J537" s="147"/>
      <c r="K537" s="3"/>
      <c r="L537" s="3"/>
      <c r="M537" s="3"/>
      <c r="N537" s="3"/>
      <c r="O537" s="3"/>
      <c r="P537" s="3"/>
      <c r="Q537" s="3"/>
      <c r="R537" s="3"/>
      <c r="S537" s="3"/>
      <c r="T537" s="3"/>
      <c r="U537" s="3"/>
      <c r="V537" s="3"/>
      <c r="W537" s="3"/>
      <c r="X537" s="3"/>
      <c r="Y537" s="3"/>
      <c r="Z537" s="3"/>
    </row>
    <row r="538" spans="1:26" ht="22.5" customHeight="1" x14ac:dyDescent="0.85">
      <c r="A538" s="166"/>
      <c r="B538" s="167"/>
      <c r="C538" s="167"/>
      <c r="D538" s="147"/>
      <c r="E538" s="147"/>
      <c r="F538" s="147"/>
      <c r="G538" s="147"/>
      <c r="H538" s="147"/>
      <c r="I538" s="147"/>
      <c r="J538" s="147"/>
      <c r="K538" s="3"/>
      <c r="L538" s="3"/>
      <c r="M538" s="3"/>
      <c r="N538" s="3"/>
      <c r="O538" s="3"/>
      <c r="P538" s="3"/>
      <c r="Q538" s="3"/>
      <c r="R538" s="3"/>
      <c r="S538" s="3"/>
      <c r="T538" s="3"/>
      <c r="U538" s="3"/>
      <c r="V538" s="3"/>
      <c r="W538" s="3"/>
      <c r="X538" s="3"/>
      <c r="Y538" s="3"/>
      <c r="Z538" s="3"/>
    </row>
    <row r="539" spans="1:26" ht="22.5" customHeight="1" x14ac:dyDescent="0.85">
      <c r="A539" s="166"/>
      <c r="B539" s="167"/>
      <c r="C539" s="167"/>
      <c r="D539" s="147"/>
      <c r="E539" s="147"/>
      <c r="F539" s="147"/>
      <c r="G539" s="147"/>
      <c r="H539" s="147"/>
      <c r="I539" s="147"/>
      <c r="J539" s="147"/>
      <c r="K539" s="3"/>
      <c r="L539" s="3"/>
      <c r="M539" s="3"/>
      <c r="N539" s="3"/>
      <c r="O539" s="3"/>
      <c r="P539" s="3"/>
      <c r="Q539" s="3"/>
      <c r="R539" s="3"/>
      <c r="S539" s="3"/>
      <c r="T539" s="3"/>
      <c r="U539" s="3"/>
      <c r="V539" s="3"/>
      <c r="W539" s="3"/>
      <c r="X539" s="3"/>
      <c r="Y539" s="3"/>
      <c r="Z539" s="3"/>
    </row>
    <row r="540" spans="1:26" ht="22.5" customHeight="1" x14ac:dyDescent="0.85">
      <c r="A540" s="166"/>
      <c r="B540" s="167"/>
      <c r="C540" s="167"/>
      <c r="D540" s="147"/>
      <c r="E540" s="147"/>
      <c r="F540" s="147"/>
      <c r="G540" s="147"/>
      <c r="H540" s="147"/>
      <c r="I540" s="147"/>
      <c r="J540" s="147"/>
      <c r="K540" s="3"/>
      <c r="L540" s="3"/>
      <c r="M540" s="3"/>
      <c r="N540" s="3"/>
      <c r="O540" s="3"/>
      <c r="P540" s="3"/>
      <c r="Q540" s="3"/>
      <c r="R540" s="3"/>
      <c r="S540" s="3"/>
      <c r="T540" s="3"/>
      <c r="U540" s="3"/>
      <c r="V540" s="3"/>
      <c r="W540" s="3"/>
      <c r="X540" s="3"/>
      <c r="Y540" s="3"/>
      <c r="Z540" s="3"/>
    </row>
    <row r="541" spans="1:26" ht="22.5" customHeight="1" x14ac:dyDescent="0.85">
      <c r="A541" s="166"/>
      <c r="B541" s="167"/>
      <c r="C541" s="167"/>
      <c r="D541" s="147"/>
      <c r="E541" s="147"/>
      <c r="F541" s="147"/>
      <c r="G541" s="147"/>
      <c r="H541" s="147"/>
      <c r="I541" s="147"/>
      <c r="J541" s="147"/>
      <c r="K541" s="3"/>
      <c r="L541" s="3"/>
      <c r="M541" s="3"/>
      <c r="N541" s="3"/>
      <c r="O541" s="3"/>
      <c r="P541" s="3"/>
      <c r="Q541" s="3"/>
      <c r="R541" s="3"/>
      <c r="S541" s="3"/>
      <c r="T541" s="3"/>
      <c r="U541" s="3"/>
      <c r="V541" s="3"/>
      <c r="W541" s="3"/>
      <c r="X541" s="3"/>
      <c r="Y541" s="3"/>
      <c r="Z541" s="3"/>
    </row>
    <row r="542" spans="1:26" ht="22.5" customHeight="1" x14ac:dyDescent="0.85">
      <c r="A542" s="166"/>
      <c r="B542" s="167"/>
      <c r="C542" s="167"/>
      <c r="D542" s="147"/>
      <c r="E542" s="147"/>
      <c r="F542" s="147"/>
      <c r="G542" s="147"/>
      <c r="H542" s="147"/>
      <c r="I542" s="147"/>
      <c r="J542" s="147"/>
      <c r="K542" s="3"/>
      <c r="L542" s="3"/>
      <c r="M542" s="3"/>
      <c r="N542" s="3"/>
      <c r="O542" s="3"/>
      <c r="P542" s="3"/>
      <c r="Q542" s="3"/>
      <c r="R542" s="3"/>
      <c r="S542" s="3"/>
      <c r="T542" s="3"/>
      <c r="U542" s="3"/>
      <c r="V542" s="3"/>
      <c r="W542" s="3"/>
      <c r="X542" s="3"/>
      <c r="Y542" s="3"/>
      <c r="Z542" s="3"/>
    </row>
    <row r="543" spans="1:26" ht="22.5" customHeight="1" x14ac:dyDescent="0.85">
      <c r="A543" s="166"/>
      <c r="B543" s="167"/>
      <c r="C543" s="167"/>
      <c r="D543" s="147"/>
      <c r="E543" s="147"/>
      <c r="F543" s="147"/>
      <c r="G543" s="147"/>
      <c r="H543" s="147"/>
      <c r="I543" s="147"/>
      <c r="J543" s="147"/>
      <c r="K543" s="3"/>
      <c r="L543" s="3"/>
      <c r="M543" s="3"/>
      <c r="N543" s="3"/>
      <c r="O543" s="3"/>
      <c r="P543" s="3"/>
      <c r="Q543" s="3"/>
      <c r="R543" s="3"/>
      <c r="S543" s="3"/>
      <c r="T543" s="3"/>
      <c r="U543" s="3"/>
      <c r="V543" s="3"/>
      <c r="W543" s="3"/>
      <c r="X543" s="3"/>
      <c r="Y543" s="3"/>
      <c r="Z543" s="3"/>
    </row>
    <row r="544" spans="1:26" ht="22.5" customHeight="1" x14ac:dyDescent="0.85">
      <c r="A544" s="166"/>
      <c r="B544" s="167"/>
      <c r="C544" s="167"/>
      <c r="D544" s="147"/>
      <c r="E544" s="147"/>
      <c r="F544" s="147"/>
      <c r="G544" s="147"/>
      <c r="H544" s="147"/>
      <c r="I544" s="147"/>
      <c r="J544" s="147"/>
      <c r="K544" s="3"/>
      <c r="L544" s="3"/>
      <c r="M544" s="3"/>
      <c r="N544" s="3"/>
      <c r="O544" s="3"/>
      <c r="P544" s="3"/>
      <c r="Q544" s="3"/>
      <c r="R544" s="3"/>
      <c r="S544" s="3"/>
      <c r="T544" s="3"/>
      <c r="U544" s="3"/>
      <c r="V544" s="3"/>
      <c r="W544" s="3"/>
      <c r="X544" s="3"/>
      <c r="Y544" s="3"/>
      <c r="Z544" s="3"/>
    </row>
    <row r="545" spans="1:26" ht="22.5" customHeight="1" x14ac:dyDescent="0.85">
      <c r="A545" s="166"/>
      <c r="B545" s="167"/>
      <c r="C545" s="167"/>
      <c r="D545" s="147"/>
      <c r="E545" s="147"/>
      <c r="F545" s="147"/>
      <c r="G545" s="147"/>
      <c r="H545" s="147"/>
      <c r="I545" s="147"/>
      <c r="J545" s="147"/>
      <c r="K545" s="3"/>
      <c r="L545" s="3"/>
      <c r="M545" s="3"/>
      <c r="N545" s="3"/>
      <c r="O545" s="3"/>
      <c r="P545" s="3"/>
      <c r="Q545" s="3"/>
      <c r="R545" s="3"/>
      <c r="S545" s="3"/>
      <c r="T545" s="3"/>
      <c r="U545" s="3"/>
      <c r="V545" s="3"/>
      <c r="W545" s="3"/>
      <c r="X545" s="3"/>
      <c r="Y545" s="3"/>
      <c r="Z545" s="3"/>
    </row>
    <row r="546" spans="1:26" ht="22.5" customHeight="1" x14ac:dyDescent="0.85">
      <c r="A546" s="166"/>
      <c r="B546" s="167"/>
      <c r="C546" s="167"/>
      <c r="D546" s="147"/>
      <c r="E546" s="147"/>
      <c r="F546" s="147"/>
      <c r="G546" s="147"/>
      <c r="H546" s="147"/>
      <c r="I546" s="147"/>
      <c r="J546" s="147"/>
      <c r="K546" s="3"/>
      <c r="L546" s="3"/>
      <c r="M546" s="3"/>
      <c r="N546" s="3"/>
      <c r="O546" s="3"/>
      <c r="P546" s="3"/>
      <c r="Q546" s="3"/>
      <c r="R546" s="3"/>
      <c r="S546" s="3"/>
      <c r="T546" s="3"/>
      <c r="U546" s="3"/>
      <c r="V546" s="3"/>
      <c r="W546" s="3"/>
      <c r="X546" s="3"/>
      <c r="Y546" s="3"/>
      <c r="Z546" s="3"/>
    </row>
    <row r="547" spans="1:26" ht="22.5" customHeight="1" x14ac:dyDescent="0.85">
      <c r="A547" s="166"/>
      <c r="B547" s="167"/>
      <c r="C547" s="167"/>
      <c r="D547" s="147"/>
      <c r="E547" s="147"/>
      <c r="F547" s="147"/>
      <c r="G547" s="147"/>
      <c r="H547" s="147"/>
      <c r="I547" s="147"/>
      <c r="J547" s="147"/>
      <c r="K547" s="3"/>
      <c r="L547" s="3"/>
      <c r="M547" s="3"/>
      <c r="N547" s="3"/>
      <c r="O547" s="3"/>
      <c r="P547" s="3"/>
      <c r="Q547" s="3"/>
      <c r="R547" s="3"/>
      <c r="S547" s="3"/>
      <c r="T547" s="3"/>
      <c r="U547" s="3"/>
      <c r="V547" s="3"/>
      <c r="W547" s="3"/>
      <c r="X547" s="3"/>
      <c r="Y547" s="3"/>
      <c r="Z547" s="3"/>
    </row>
    <row r="548" spans="1:26" ht="22.5" customHeight="1" x14ac:dyDescent="0.85">
      <c r="A548" s="166"/>
      <c r="B548" s="167"/>
      <c r="C548" s="167"/>
      <c r="D548" s="147"/>
      <c r="E548" s="147"/>
      <c r="F548" s="147"/>
      <c r="G548" s="147"/>
      <c r="H548" s="147"/>
      <c r="I548" s="147"/>
      <c r="J548" s="147"/>
      <c r="K548" s="3"/>
      <c r="L548" s="3"/>
      <c r="M548" s="3"/>
      <c r="N548" s="3"/>
      <c r="O548" s="3"/>
      <c r="P548" s="3"/>
      <c r="Q548" s="3"/>
      <c r="R548" s="3"/>
      <c r="S548" s="3"/>
      <c r="T548" s="3"/>
      <c r="U548" s="3"/>
      <c r="V548" s="3"/>
      <c r="W548" s="3"/>
      <c r="X548" s="3"/>
      <c r="Y548" s="3"/>
      <c r="Z548" s="3"/>
    </row>
    <row r="549" spans="1:26" ht="22.5" customHeight="1" x14ac:dyDescent="0.85">
      <c r="A549" s="166"/>
      <c r="B549" s="167"/>
      <c r="C549" s="167"/>
      <c r="D549" s="147"/>
      <c r="E549" s="147"/>
      <c r="F549" s="147"/>
      <c r="G549" s="147"/>
      <c r="H549" s="147"/>
      <c r="I549" s="147"/>
      <c r="J549" s="147"/>
      <c r="K549" s="3"/>
      <c r="L549" s="3"/>
      <c r="M549" s="3"/>
      <c r="N549" s="3"/>
      <c r="O549" s="3"/>
      <c r="P549" s="3"/>
      <c r="Q549" s="3"/>
      <c r="R549" s="3"/>
      <c r="S549" s="3"/>
      <c r="T549" s="3"/>
      <c r="U549" s="3"/>
      <c r="V549" s="3"/>
      <c r="W549" s="3"/>
      <c r="X549" s="3"/>
      <c r="Y549" s="3"/>
      <c r="Z549" s="3"/>
    </row>
    <row r="550" spans="1:26" ht="22.5" customHeight="1" x14ac:dyDescent="0.85">
      <c r="A550" s="166"/>
      <c r="B550" s="167"/>
      <c r="C550" s="167"/>
      <c r="D550" s="147"/>
      <c r="E550" s="147"/>
      <c r="F550" s="147"/>
      <c r="G550" s="147"/>
      <c r="H550" s="147"/>
      <c r="I550" s="147"/>
      <c r="J550" s="147"/>
      <c r="K550" s="3"/>
      <c r="L550" s="3"/>
      <c r="M550" s="3"/>
      <c r="N550" s="3"/>
      <c r="O550" s="3"/>
      <c r="P550" s="3"/>
      <c r="Q550" s="3"/>
      <c r="R550" s="3"/>
      <c r="S550" s="3"/>
      <c r="T550" s="3"/>
      <c r="U550" s="3"/>
      <c r="V550" s="3"/>
      <c r="W550" s="3"/>
      <c r="X550" s="3"/>
      <c r="Y550" s="3"/>
      <c r="Z550" s="3"/>
    </row>
    <row r="551" spans="1:26" ht="22.5" customHeight="1" x14ac:dyDescent="0.85">
      <c r="A551" s="166"/>
      <c r="B551" s="167"/>
      <c r="C551" s="167"/>
      <c r="D551" s="147"/>
      <c r="E551" s="147"/>
      <c r="F551" s="147"/>
      <c r="G551" s="147"/>
      <c r="H551" s="147"/>
      <c r="I551" s="147"/>
      <c r="J551" s="147"/>
      <c r="K551" s="3"/>
      <c r="L551" s="3"/>
      <c r="M551" s="3"/>
      <c r="N551" s="3"/>
      <c r="O551" s="3"/>
      <c r="P551" s="3"/>
      <c r="Q551" s="3"/>
      <c r="R551" s="3"/>
      <c r="S551" s="3"/>
      <c r="T551" s="3"/>
      <c r="U551" s="3"/>
      <c r="V551" s="3"/>
      <c r="W551" s="3"/>
      <c r="X551" s="3"/>
      <c r="Y551" s="3"/>
      <c r="Z551" s="3"/>
    </row>
    <row r="552" spans="1:26" ht="22.5" customHeight="1" x14ac:dyDescent="0.85">
      <c r="A552" s="166"/>
      <c r="B552" s="167"/>
      <c r="C552" s="167"/>
      <c r="D552" s="147"/>
      <c r="E552" s="147"/>
      <c r="F552" s="147"/>
      <c r="G552" s="147"/>
      <c r="H552" s="147"/>
      <c r="I552" s="147"/>
      <c r="J552" s="147"/>
      <c r="K552" s="3"/>
      <c r="L552" s="3"/>
      <c r="M552" s="3"/>
      <c r="N552" s="3"/>
      <c r="O552" s="3"/>
      <c r="P552" s="3"/>
      <c r="Q552" s="3"/>
      <c r="R552" s="3"/>
      <c r="S552" s="3"/>
      <c r="T552" s="3"/>
      <c r="U552" s="3"/>
      <c r="V552" s="3"/>
      <c r="W552" s="3"/>
      <c r="X552" s="3"/>
      <c r="Y552" s="3"/>
      <c r="Z552" s="3"/>
    </row>
    <row r="553" spans="1:26" ht="22.5" customHeight="1" x14ac:dyDescent="0.85">
      <c r="A553" s="166"/>
      <c r="B553" s="167"/>
      <c r="C553" s="167"/>
      <c r="D553" s="147"/>
      <c r="E553" s="147"/>
      <c r="F553" s="147"/>
      <c r="G553" s="147"/>
      <c r="H553" s="147"/>
      <c r="I553" s="147"/>
      <c r="J553" s="147"/>
      <c r="K553" s="3"/>
      <c r="L553" s="3"/>
      <c r="M553" s="3"/>
      <c r="N553" s="3"/>
      <c r="O553" s="3"/>
      <c r="P553" s="3"/>
      <c r="Q553" s="3"/>
      <c r="R553" s="3"/>
      <c r="S553" s="3"/>
      <c r="T553" s="3"/>
      <c r="U553" s="3"/>
      <c r="V553" s="3"/>
      <c r="W553" s="3"/>
      <c r="X553" s="3"/>
      <c r="Y553" s="3"/>
      <c r="Z553" s="3"/>
    </row>
    <row r="554" spans="1:26" ht="22.5" customHeight="1" x14ac:dyDescent="0.85">
      <c r="A554" s="166"/>
      <c r="B554" s="167"/>
      <c r="C554" s="167"/>
      <c r="D554" s="147"/>
      <c r="E554" s="147"/>
      <c r="F554" s="147"/>
      <c r="G554" s="147"/>
      <c r="H554" s="147"/>
      <c r="I554" s="147"/>
      <c r="J554" s="147"/>
      <c r="K554" s="3"/>
      <c r="L554" s="3"/>
      <c r="M554" s="3"/>
      <c r="N554" s="3"/>
      <c r="O554" s="3"/>
      <c r="P554" s="3"/>
      <c r="Q554" s="3"/>
      <c r="R554" s="3"/>
      <c r="S554" s="3"/>
      <c r="T554" s="3"/>
      <c r="U554" s="3"/>
      <c r="V554" s="3"/>
      <c r="W554" s="3"/>
      <c r="X554" s="3"/>
      <c r="Y554" s="3"/>
      <c r="Z554" s="3"/>
    </row>
    <row r="555" spans="1:26" ht="22.5" customHeight="1" x14ac:dyDescent="0.85">
      <c r="A555" s="166"/>
      <c r="B555" s="167"/>
      <c r="C555" s="167"/>
      <c r="D555" s="147"/>
      <c r="E555" s="147"/>
      <c r="F555" s="147"/>
      <c r="G555" s="147"/>
      <c r="H555" s="147"/>
      <c r="I555" s="147"/>
      <c r="J555" s="147"/>
      <c r="K555" s="3"/>
      <c r="L555" s="3"/>
      <c r="M555" s="3"/>
      <c r="N555" s="3"/>
      <c r="O555" s="3"/>
      <c r="P555" s="3"/>
      <c r="Q555" s="3"/>
      <c r="R555" s="3"/>
      <c r="S555" s="3"/>
      <c r="T555" s="3"/>
      <c r="U555" s="3"/>
      <c r="V555" s="3"/>
      <c r="W555" s="3"/>
      <c r="X555" s="3"/>
      <c r="Y555" s="3"/>
      <c r="Z555" s="3"/>
    </row>
    <row r="556" spans="1:26" ht="22.5" customHeight="1" x14ac:dyDescent="0.85">
      <c r="A556" s="166"/>
      <c r="B556" s="167"/>
      <c r="C556" s="167"/>
      <c r="D556" s="147"/>
      <c r="E556" s="147"/>
      <c r="F556" s="147"/>
      <c r="G556" s="147"/>
      <c r="H556" s="147"/>
      <c r="I556" s="147"/>
      <c r="J556" s="147"/>
      <c r="K556" s="3"/>
      <c r="L556" s="3"/>
      <c r="M556" s="3"/>
      <c r="N556" s="3"/>
      <c r="O556" s="3"/>
      <c r="P556" s="3"/>
      <c r="Q556" s="3"/>
      <c r="R556" s="3"/>
      <c r="S556" s="3"/>
      <c r="T556" s="3"/>
      <c r="U556" s="3"/>
      <c r="V556" s="3"/>
      <c r="W556" s="3"/>
      <c r="X556" s="3"/>
      <c r="Y556" s="3"/>
      <c r="Z556" s="3"/>
    </row>
    <row r="557" spans="1:26" ht="22.5" customHeight="1" x14ac:dyDescent="0.85">
      <c r="A557" s="166"/>
      <c r="B557" s="167"/>
      <c r="C557" s="167"/>
      <c r="D557" s="147"/>
      <c r="E557" s="147"/>
      <c r="F557" s="147"/>
      <c r="G557" s="147"/>
      <c r="H557" s="147"/>
      <c r="I557" s="147"/>
      <c r="J557" s="147"/>
      <c r="K557" s="3"/>
      <c r="L557" s="3"/>
      <c r="M557" s="3"/>
      <c r="N557" s="3"/>
      <c r="O557" s="3"/>
      <c r="P557" s="3"/>
      <c r="Q557" s="3"/>
      <c r="R557" s="3"/>
      <c r="S557" s="3"/>
      <c r="T557" s="3"/>
      <c r="U557" s="3"/>
      <c r="V557" s="3"/>
      <c r="W557" s="3"/>
      <c r="X557" s="3"/>
      <c r="Y557" s="3"/>
      <c r="Z557" s="3"/>
    </row>
    <row r="558" spans="1:26" ht="22.5" customHeight="1" x14ac:dyDescent="0.85">
      <c r="A558" s="166"/>
      <c r="B558" s="167"/>
      <c r="C558" s="167"/>
      <c r="D558" s="147"/>
      <c r="E558" s="147"/>
      <c r="F558" s="147"/>
      <c r="G558" s="147"/>
      <c r="H558" s="147"/>
      <c r="I558" s="147"/>
      <c r="J558" s="147"/>
      <c r="K558" s="3"/>
      <c r="L558" s="3"/>
      <c r="M558" s="3"/>
      <c r="N558" s="3"/>
      <c r="O558" s="3"/>
      <c r="P558" s="3"/>
      <c r="Q558" s="3"/>
      <c r="R558" s="3"/>
      <c r="S558" s="3"/>
      <c r="T558" s="3"/>
      <c r="U558" s="3"/>
      <c r="V558" s="3"/>
      <c r="W558" s="3"/>
      <c r="X558" s="3"/>
      <c r="Y558" s="3"/>
      <c r="Z558" s="3"/>
    </row>
    <row r="559" spans="1:26" ht="22.5" customHeight="1" x14ac:dyDescent="0.85">
      <c r="A559" s="166"/>
      <c r="B559" s="167"/>
      <c r="C559" s="167"/>
      <c r="D559" s="147"/>
      <c r="E559" s="147"/>
      <c r="F559" s="147"/>
      <c r="G559" s="147"/>
      <c r="H559" s="147"/>
      <c r="I559" s="147"/>
      <c r="J559" s="147"/>
      <c r="K559" s="3"/>
      <c r="L559" s="3"/>
      <c r="M559" s="3"/>
      <c r="N559" s="3"/>
      <c r="O559" s="3"/>
      <c r="P559" s="3"/>
      <c r="Q559" s="3"/>
      <c r="R559" s="3"/>
      <c r="S559" s="3"/>
      <c r="T559" s="3"/>
      <c r="U559" s="3"/>
      <c r="V559" s="3"/>
      <c r="W559" s="3"/>
      <c r="X559" s="3"/>
      <c r="Y559" s="3"/>
      <c r="Z559" s="3"/>
    </row>
    <row r="560" spans="1:26" ht="22.5" customHeight="1" x14ac:dyDescent="0.85">
      <c r="A560" s="166"/>
      <c r="B560" s="167"/>
      <c r="C560" s="167"/>
      <c r="D560" s="147"/>
      <c r="E560" s="147"/>
      <c r="F560" s="147"/>
      <c r="G560" s="147"/>
      <c r="H560" s="147"/>
      <c r="I560" s="147"/>
      <c r="J560" s="147"/>
      <c r="K560" s="3"/>
      <c r="L560" s="3"/>
      <c r="M560" s="3"/>
      <c r="N560" s="3"/>
      <c r="O560" s="3"/>
      <c r="P560" s="3"/>
      <c r="Q560" s="3"/>
      <c r="R560" s="3"/>
      <c r="S560" s="3"/>
      <c r="T560" s="3"/>
      <c r="U560" s="3"/>
      <c r="V560" s="3"/>
      <c r="W560" s="3"/>
      <c r="X560" s="3"/>
      <c r="Y560" s="3"/>
      <c r="Z560" s="3"/>
    </row>
    <row r="561" spans="1:26" ht="22.5" customHeight="1" x14ac:dyDescent="0.85">
      <c r="A561" s="166"/>
      <c r="B561" s="167"/>
      <c r="C561" s="167"/>
      <c r="D561" s="147"/>
      <c r="E561" s="147"/>
      <c r="F561" s="147"/>
      <c r="G561" s="147"/>
      <c r="H561" s="147"/>
      <c r="I561" s="147"/>
      <c r="J561" s="147"/>
      <c r="K561" s="3"/>
      <c r="L561" s="3"/>
      <c r="M561" s="3"/>
      <c r="N561" s="3"/>
      <c r="O561" s="3"/>
      <c r="P561" s="3"/>
      <c r="Q561" s="3"/>
      <c r="R561" s="3"/>
      <c r="S561" s="3"/>
      <c r="T561" s="3"/>
      <c r="U561" s="3"/>
      <c r="V561" s="3"/>
      <c r="W561" s="3"/>
      <c r="X561" s="3"/>
      <c r="Y561" s="3"/>
      <c r="Z561" s="3"/>
    </row>
    <row r="562" spans="1:26" ht="22.5" customHeight="1" x14ac:dyDescent="0.85">
      <c r="A562" s="166"/>
      <c r="B562" s="167"/>
      <c r="C562" s="167"/>
      <c r="D562" s="147"/>
      <c r="E562" s="147"/>
      <c r="F562" s="147"/>
      <c r="G562" s="147"/>
      <c r="H562" s="147"/>
      <c r="I562" s="147"/>
      <c r="J562" s="147"/>
      <c r="K562" s="3"/>
      <c r="L562" s="3"/>
      <c r="M562" s="3"/>
      <c r="N562" s="3"/>
      <c r="O562" s="3"/>
      <c r="P562" s="3"/>
      <c r="Q562" s="3"/>
      <c r="R562" s="3"/>
      <c r="S562" s="3"/>
      <c r="T562" s="3"/>
      <c r="U562" s="3"/>
      <c r="V562" s="3"/>
      <c r="W562" s="3"/>
      <c r="X562" s="3"/>
      <c r="Y562" s="3"/>
      <c r="Z562" s="3"/>
    </row>
    <row r="563" spans="1:26" ht="22.5" customHeight="1" x14ac:dyDescent="0.85">
      <c r="A563" s="166"/>
      <c r="B563" s="167"/>
      <c r="C563" s="167"/>
      <c r="D563" s="147"/>
      <c r="E563" s="147"/>
      <c r="F563" s="147"/>
      <c r="G563" s="147"/>
      <c r="H563" s="147"/>
      <c r="I563" s="147"/>
      <c r="J563" s="147"/>
      <c r="K563" s="3"/>
      <c r="L563" s="3"/>
      <c r="M563" s="3"/>
      <c r="N563" s="3"/>
      <c r="O563" s="3"/>
      <c r="P563" s="3"/>
      <c r="Q563" s="3"/>
      <c r="R563" s="3"/>
      <c r="S563" s="3"/>
      <c r="T563" s="3"/>
      <c r="U563" s="3"/>
      <c r="V563" s="3"/>
      <c r="W563" s="3"/>
      <c r="X563" s="3"/>
      <c r="Y563" s="3"/>
      <c r="Z563" s="3"/>
    </row>
    <row r="564" spans="1:26" ht="22.5" customHeight="1" x14ac:dyDescent="0.85">
      <c r="A564" s="166"/>
      <c r="B564" s="167"/>
      <c r="C564" s="167"/>
      <c r="D564" s="147"/>
      <c r="E564" s="147"/>
      <c r="F564" s="147"/>
      <c r="G564" s="147"/>
      <c r="H564" s="147"/>
      <c r="I564" s="147"/>
      <c r="J564" s="147"/>
      <c r="K564" s="3"/>
      <c r="L564" s="3"/>
      <c r="M564" s="3"/>
      <c r="N564" s="3"/>
      <c r="O564" s="3"/>
      <c r="P564" s="3"/>
      <c r="Q564" s="3"/>
      <c r="R564" s="3"/>
      <c r="S564" s="3"/>
      <c r="T564" s="3"/>
      <c r="U564" s="3"/>
      <c r="V564" s="3"/>
      <c r="W564" s="3"/>
      <c r="X564" s="3"/>
      <c r="Y564" s="3"/>
      <c r="Z564" s="3"/>
    </row>
    <row r="565" spans="1:26" ht="22.5" customHeight="1" x14ac:dyDescent="0.85">
      <c r="A565" s="166"/>
      <c r="B565" s="167"/>
      <c r="C565" s="167"/>
      <c r="D565" s="147"/>
      <c r="E565" s="147"/>
      <c r="F565" s="147"/>
      <c r="G565" s="147"/>
      <c r="H565" s="147"/>
      <c r="I565" s="147"/>
      <c r="J565" s="147"/>
      <c r="K565" s="3"/>
      <c r="L565" s="3"/>
      <c r="M565" s="3"/>
      <c r="N565" s="3"/>
      <c r="O565" s="3"/>
      <c r="P565" s="3"/>
      <c r="Q565" s="3"/>
      <c r="R565" s="3"/>
      <c r="S565" s="3"/>
      <c r="T565" s="3"/>
      <c r="U565" s="3"/>
      <c r="V565" s="3"/>
      <c r="W565" s="3"/>
      <c r="X565" s="3"/>
      <c r="Y565" s="3"/>
      <c r="Z565" s="3"/>
    </row>
    <row r="566" spans="1:26" ht="22.5" customHeight="1" x14ac:dyDescent="0.85">
      <c r="A566" s="166"/>
      <c r="B566" s="167"/>
      <c r="C566" s="167"/>
      <c r="D566" s="147"/>
      <c r="E566" s="147"/>
      <c r="F566" s="147"/>
      <c r="G566" s="147"/>
      <c r="H566" s="147"/>
      <c r="I566" s="147"/>
      <c r="J566" s="147"/>
      <c r="K566" s="3"/>
      <c r="L566" s="3"/>
      <c r="M566" s="3"/>
      <c r="N566" s="3"/>
      <c r="O566" s="3"/>
      <c r="P566" s="3"/>
      <c r="Q566" s="3"/>
      <c r="R566" s="3"/>
      <c r="S566" s="3"/>
      <c r="T566" s="3"/>
      <c r="U566" s="3"/>
      <c r="V566" s="3"/>
      <c r="W566" s="3"/>
      <c r="X566" s="3"/>
      <c r="Y566" s="3"/>
      <c r="Z566" s="3"/>
    </row>
    <row r="567" spans="1:26" ht="22.5" customHeight="1" x14ac:dyDescent="0.85">
      <c r="A567" s="166"/>
      <c r="B567" s="167"/>
      <c r="C567" s="167"/>
      <c r="D567" s="147"/>
      <c r="E567" s="147"/>
      <c r="F567" s="147"/>
      <c r="G567" s="147"/>
      <c r="H567" s="147"/>
      <c r="I567" s="147"/>
      <c r="J567" s="147"/>
      <c r="K567" s="3"/>
      <c r="L567" s="3"/>
      <c r="M567" s="3"/>
      <c r="N567" s="3"/>
      <c r="O567" s="3"/>
      <c r="P567" s="3"/>
      <c r="Q567" s="3"/>
      <c r="R567" s="3"/>
      <c r="S567" s="3"/>
      <c r="T567" s="3"/>
      <c r="U567" s="3"/>
      <c r="V567" s="3"/>
      <c r="W567" s="3"/>
      <c r="X567" s="3"/>
      <c r="Y567" s="3"/>
      <c r="Z567" s="3"/>
    </row>
    <row r="568" spans="1:26" ht="22.5" customHeight="1" x14ac:dyDescent="0.85">
      <c r="A568" s="166"/>
      <c r="B568" s="167"/>
      <c r="C568" s="167"/>
      <c r="D568" s="147"/>
      <c r="E568" s="147"/>
      <c r="F568" s="147"/>
      <c r="G568" s="147"/>
      <c r="H568" s="147"/>
      <c r="I568" s="147"/>
      <c r="J568" s="147"/>
      <c r="K568" s="3"/>
      <c r="L568" s="3"/>
      <c r="M568" s="3"/>
      <c r="N568" s="3"/>
      <c r="O568" s="3"/>
      <c r="P568" s="3"/>
      <c r="Q568" s="3"/>
      <c r="R568" s="3"/>
      <c r="S568" s="3"/>
      <c r="T568" s="3"/>
      <c r="U568" s="3"/>
      <c r="V568" s="3"/>
      <c r="W568" s="3"/>
      <c r="X568" s="3"/>
      <c r="Y568" s="3"/>
      <c r="Z568" s="3"/>
    </row>
    <row r="569" spans="1:26" ht="22.5" customHeight="1" x14ac:dyDescent="0.85">
      <c r="A569" s="166"/>
      <c r="B569" s="167"/>
      <c r="C569" s="167"/>
      <c r="D569" s="147"/>
      <c r="E569" s="147"/>
      <c r="F569" s="147"/>
      <c r="G569" s="147"/>
      <c r="H569" s="147"/>
      <c r="I569" s="147"/>
      <c r="J569" s="147"/>
      <c r="K569" s="3"/>
      <c r="L569" s="3"/>
      <c r="M569" s="3"/>
      <c r="N569" s="3"/>
      <c r="O569" s="3"/>
      <c r="P569" s="3"/>
      <c r="Q569" s="3"/>
      <c r="R569" s="3"/>
      <c r="S569" s="3"/>
      <c r="T569" s="3"/>
      <c r="U569" s="3"/>
      <c r="V569" s="3"/>
      <c r="W569" s="3"/>
      <c r="X569" s="3"/>
      <c r="Y569" s="3"/>
      <c r="Z569" s="3"/>
    </row>
    <row r="570" spans="1:26" ht="22.5" customHeight="1" x14ac:dyDescent="0.85">
      <c r="A570" s="166"/>
      <c r="B570" s="167"/>
      <c r="C570" s="167"/>
      <c r="D570" s="147"/>
      <c r="E570" s="147"/>
      <c r="F570" s="147"/>
      <c r="G570" s="147"/>
      <c r="H570" s="147"/>
      <c r="I570" s="147"/>
      <c r="J570" s="147"/>
      <c r="K570" s="3"/>
      <c r="L570" s="3"/>
      <c r="M570" s="3"/>
      <c r="N570" s="3"/>
      <c r="O570" s="3"/>
      <c r="P570" s="3"/>
      <c r="Q570" s="3"/>
      <c r="R570" s="3"/>
      <c r="S570" s="3"/>
      <c r="T570" s="3"/>
      <c r="U570" s="3"/>
      <c r="V570" s="3"/>
      <c r="W570" s="3"/>
      <c r="X570" s="3"/>
      <c r="Y570" s="3"/>
      <c r="Z570" s="3"/>
    </row>
    <row r="571" spans="1:26" ht="22.5" customHeight="1" x14ac:dyDescent="0.85">
      <c r="A571" s="166"/>
      <c r="B571" s="167"/>
      <c r="C571" s="167"/>
      <c r="D571" s="147"/>
      <c r="E571" s="147"/>
      <c r="F571" s="147"/>
      <c r="G571" s="147"/>
      <c r="H571" s="147"/>
      <c r="I571" s="147"/>
      <c r="J571" s="147"/>
      <c r="K571" s="3"/>
      <c r="L571" s="3"/>
      <c r="M571" s="3"/>
      <c r="N571" s="3"/>
      <c r="O571" s="3"/>
      <c r="P571" s="3"/>
      <c r="Q571" s="3"/>
      <c r="R571" s="3"/>
      <c r="S571" s="3"/>
      <c r="T571" s="3"/>
      <c r="U571" s="3"/>
      <c r="V571" s="3"/>
      <c r="W571" s="3"/>
      <c r="X571" s="3"/>
      <c r="Y571" s="3"/>
      <c r="Z571" s="3"/>
    </row>
    <row r="572" spans="1:26" ht="22.5" customHeight="1" x14ac:dyDescent="0.85">
      <c r="A572" s="166"/>
      <c r="B572" s="167"/>
      <c r="C572" s="167"/>
      <c r="D572" s="147"/>
      <c r="E572" s="147"/>
      <c r="F572" s="147"/>
      <c r="G572" s="147"/>
      <c r="H572" s="147"/>
      <c r="I572" s="147"/>
      <c r="J572" s="147"/>
      <c r="K572" s="3"/>
      <c r="L572" s="3"/>
      <c r="M572" s="3"/>
      <c r="N572" s="3"/>
      <c r="O572" s="3"/>
      <c r="P572" s="3"/>
      <c r="Q572" s="3"/>
      <c r="R572" s="3"/>
      <c r="S572" s="3"/>
      <c r="T572" s="3"/>
      <c r="U572" s="3"/>
      <c r="V572" s="3"/>
      <c r="W572" s="3"/>
      <c r="X572" s="3"/>
      <c r="Y572" s="3"/>
      <c r="Z572" s="3"/>
    </row>
    <row r="573" spans="1:26" ht="22.5" customHeight="1" x14ac:dyDescent="0.85">
      <c r="A573" s="166"/>
      <c r="B573" s="167"/>
      <c r="C573" s="167"/>
      <c r="D573" s="147"/>
      <c r="E573" s="147"/>
      <c r="F573" s="147"/>
      <c r="G573" s="147"/>
      <c r="H573" s="147"/>
      <c r="I573" s="147"/>
      <c r="J573" s="147"/>
      <c r="K573" s="3"/>
      <c r="L573" s="3"/>
      <c r="M573" s="3"/>
      <c r="N573" s="3"/>
      <c r="O573" s="3"/>
      <c r="P573" s="3"/>
      <c r="Q573" s="3"/>
      <c r="R573" s="3"/>
      <c r="S573" s="3"/>
      <c r="T573" s="3"/>
      <c r="U573" s="3"/>
      <c r="V573" s="3"/>
      <c r="W573" s="3"/>
      <c r="X573" s="3"/>
      <c r="Y573" s="3"/>
      <c r="Z573" s="3"/>
    </row>
    <row r="574" spans="1:26" ht="22.5" customHeight="1" x14ac:dyDescent="0.85">
      <c r="A574" s="166"/>
      <c r="B574" s="167"/>
      <c r="C574" s="167"/>
      <c r="D574" s="147"/>
      <c r="E574" s="147"/>
      <c r="F574" s="147"/>
      <c r="G574" s="147"/>
      <c r="H574" s="147"/>
      <c r="I574" s="147"/>
      <c r="J574" s="147"/>
      <c r="K574" s="3"/>
      <c r="L574" s="3"/>
      <c r="M574" s="3"/>
      <c r="N574" s="3"/>
      <c r="O574" s="3"/>
      <c r="P574" s="3"/>
      <c r="Q574" s="3"/>
      <c r="R574" s="3"/>
      <c r="S574" s="3"/>
      <c r="T574" s="3"/>
      <c r="U574" s="3"/>
      <c r="V574" s="3"/>
      <c r="W574" s="3"/>
      <c r="X574" s="3"/>
      <c r="Y574" s="3"/>
      <c r="Z574" s="3"/>
    </row>
    <row r="575" spans="1:26" ht="22.5" customHeight="1" x14ac:dyDescent="0.85">
      <c r="A575" s="166"/>
      <c r="B575" s="167"/>
      <c r="C575" s="167"/>
      <c r="D575" s="147"/>
      <c r="E575" s="147"/>
      <c r="F575" s="147"/>
      <c r="G575" s="147"/>
      <c r="H575" s="147"/>
      <c r="I575" s="147"/>
      <c r="J575" s="147"/>
      <c r="K575" s="3"/>
      <c r="L575" s="3"/>
      <c r="M575" s="3"/>
      <c r="N575" s="3"/>
      <c r="O575" s="3"/>
      <c r="P575" s="3"/>
      <c r="Q575" s="3"/>
      <c r="R575" s="3"/>
      <c r="S575" s="3"/>
      <c r="T575" s="3"/>
      <c r="U575" s="3"/>
      <c r="V575" s="3"/>
      <c r="W575" s="3"/>
      <c r="X575" s="3"/>
      <c r="Y575" s="3"/>
      <c r="Z575" s="3"/>
    </row>
    <row r="576" spans="1:26" ht="22.5" customHeight="1" x14ac:dyDescent="0.85">
      <c r="A576" s="166"/>
      <c r="B576" s="167"/>
      <c r="C576" s="167"/>
      <c r="D576" s="147"/>
      <c r="E576" s="147"/>
      <c r="F576" s="147"/>
      <c r="G576" s="147"/>
      <c r="H576" s="147"/>
      <c r="I576" s="147"/>
      <c r="J576" s="147"/>
      <c r="K576" s="3"/>
      <c r="L576" s="3"/>
      <c r="M576" s="3"/>
      <c r="N576" s="3"/>
      <c r="O576" s="3"/>
      <c r="P576" s="3"/>
      <c r="Q576" s="3"/>
      <c r="R576" s="3"/>
      <c r="S576" s="3"/>
      <c r="T576" s="3"/>
      <c r="U576" s="3"/>
      <c r="V576" s="3"/>
      <c r="W576" s="3"/>
      <c r="X576" s="3"/>
      <c r="Y576" s="3"/>
      <c r="Z576" s="3"/>
    </row>
    <row r="577" spans="1:26" ht="22.5" customHeight="1" x14ac:dyDescent="0.85">
      <c r="A577" s="166"/>
      <c r="B577" s="167"/>
      <c r="C577" s="167"/>
      <c r="D577" s="147"/>
      <c r="E577" s="147"/>
      <c r="F577" s="147"/>
      <c r="G577" s="147"/>
      <c r="H577" s="147"/>
      <c r="I577" s="147"/>
      <c r="J577" s="147"/>
      <c r="K577" s="3"/>
      <c r="L577" s="3"/>
      <c r="M577" s="3"/>
      <c r="N577" s="3"/>
      <c r="O577" s="3"/>
      <c r="P577" s="3"/>
      <c r="Q577" s="3"/>
      <c r="R577" s="3"/>
      <c r="S577" s="3"/>
      <c r="T577" s="3"/>
      <c r="U577" s="3"/>
      <c r="V577" s="3"/>
      <c r="W577" s="3"/>
      <c r="X577" s="3"/>
      <c r="Y577" s="3"/>
      <c r="Z577" s="3"/>
    </row>
    <row r="578" spans="1:26" ht="22.5" customHeight="1" x14ac:dyDescent="0.85">
      <c r="A578" s="166"/>
      <c r="B578" s="167"/>
      <c r="C578" s="167"/>
      <c r="D578" s="147"/>
      <c r="E578" s="147"/>
      <c r="F578" s="147"/>
      <c r="G578" s="147"/>
      <c r="H578" s="147"/>
      <c r="I578" s="147"/>
      <c r="J578" s="147"/>
      <c r="K578" s="3"/>
      <c r="L578" s="3"/>
      <c r="M578" s="3"/>
      <c r="N578" s="3"/>
      <c r="O578" s="3"/>
      <c r="P578" s="3"/>
      <c r="Q578" s="3"/>
      <c r="R578" s="3"/>
      <c r="S578" s="3"/>
      <c r="T578" s="3"/>
      <c r="U578" s="3"/>
      <c r="V578" s="3"/>
      <c r="W578" s="3"/>
      <c r="X578" s="3"/>
      <c r="Y578" s="3"/>
      <c r="Z578" s="3"/>
    </row>
    <row r="579" spans="1:26" ht="22.5" customHeight="1" x14ac:dyDescent="0.85">
      <c r="A579" s="166"/>
      <c r="B579" s="167"/>
      <c r="C579" s="167"/>
      <c r="D579" s="147"/>
      <c r="E579" s="147"/>
      <c r="F579" s="147"/>
      <c r="G579" s="147"/>
      <c r="H579" s="147"/>
      <c r="I579" s="147"/>
      <c r="J579" s="147"/>
      <c r="K579" s="3"/>
      <c r="L579" s="3"/>
      <c r="M579" s="3"/>
      <c r="N579" s="3"/>
      <c r="O579" s="3"/>
      <c r="P579" s="3"/>
      <c r="Q579" s="3"/>
      <c r="R579" s="3"/>
      <c r="S579" s="3"/>
      <c r="T579" s="3"/>
      <c r="U579" s="3"/>
      <c r="V579" s="3"/>
      <c r="W579" s="3"/>
      <c r="X579" s="3"/>
      <c r="Y579" s="3"/>
      <c r="Z579" s="3"/>
    </row>
    <row r="580" spans="1:26" ht="22.5" customHeight="1" x14ac:dyDescent="0.85">
      <c r="A580" s="166"/>
      <c r="B580" s="167"/>
      <c r="C580" s="167"/>
      <c r="D580" s="147"/>
      <c r="E580" s="147"/>
      <c r="F580" s="147"/>
      <c r="G580" s="147"/>
      <c r="H580" s="147"/>
      <c r="I580" s="147"/>
      <c r="J580" s="147"/>
      <c r="K580" s="3"/>
      <c r="L580" s="3"/>
      <c r="M580" s="3"/>
      <c r="N580" s="3"/>
      <c r="O580" s="3"/>
      <c r="P580" s="3"/>
      <c r="Q580" s="3"/>
      <c r="R580" s="3"/>
      <c r="S580" s="3"/>
      <c r="T580" s="3"/>
      <c r="U580" s="3"/>
      <c r="V580" s="3"/>
      <c r="W580" s="3"/>
      <c r="X580" s="3"/>
      <c r="Y580" s="3"/>
      <c r="Z580" s="3"/>
    </row>
    <row r="581" spans="1:26" ht="22.5" customHeight="1" x14ac:dyDescent="0.85">
      <c r="A581" s="166"/>
      <c r="B581" s="167"/>
      <c r="C581" s="167"/>
      <c r="D581" s="147"/>
      <c r="E581" s="147"/>
      <c r="F581" s="147"/>
      <c r="G581" s="147"/>
      <c r="H581" s="147"/>
      <c r="I581" s="147"/>
      <c r="J581" s="147"/>
      <c r="K581" s="3"/>
      <c r="L581" s="3"/>
      <c r="M581" s="3"/>
      <c r="N581" s="3"/>
      <c r="O581" s="3"/>
      <c r="P581" s="3"/>
      <c r="Q581" s="3"/>
      <c r="R581" s="3"/>
      <c r="S581" s="3"/>
      <c r="T581" s="3"/>
      <c r="U581" s="3"/>
      <c r="V581" s="3"/>
      <c r="W581" s="3"/>
      <c r="X581" s="3"/>
      <c r="Y581" s="3"/>
      <c r="Z581" s="3"/>
    </row>
    <row r="582" spans="1:26" ht="22.5" customHeight="1" x14ac:dyDescent="0.85">
      <c r="A582" s="166"/>
      <c r="B582" s="167"/>
      <c r="C582" s="167"/>
      <c r="D582" s="147"/>
      <c r="E582" s="147"/>
      <c r="F582" s="147"/>
      <c r="G582" s="147"/>
      <c r="H582" s="147"/>
      <c r="I582" s="147"/>
      <c r="J582" s="147"/>
      <c r="K582" s="3"/>
      <c r="L582" s="3"/>
      <c r="M582" s="3"/>
      <c r="N582" s="3"/>
      <c r="O582" s="3"/>
      <c r="P582" s="3"/>
      <c r="Q582" s="3"/>
      <c r="R582" s="3"/>
      <c r="S582" s="3"/>
      <c r="T582" s="3"/>
      <c r="U582" s="3"/>
      <c r="V582" s="3"/>
      <c r="W582" s="3"/>
      <c r="X582" s="3"/>
      <c r="Y582" s="3"/>
      <c r="Z582" s="3"/>
    </row>
    <row r="583" spans="1:26" ht="22.5" customHeight="1" x14ac:dyDescent="0.85">
      <c r="A583" s="166"/>
      <c r="B583" s="167"/>
      <c r="C583" s="167"/>
      <c r="D583" s="147"/>
      <c r="E583" s="147"/>
      <c r="F583" s="147"/>
      <c r="G583" s="147"/>
      <c r="H583" s="147"/>
      <c r="I583" s="147"/>
      <c r="J583" s="147"/>
      <c r="K583" s="3"/>
      <c r="L583" s="3"/>
      <c r="M583" s="3"/>
      <c r="N583" s="3"/>
      <c r="O583" s="3"/>
      <c r="P583" s="3"/>
      <c r="Q583" s="3"/>
      <c r="R583" s="3"/>
      <c r="S583" s="3"/>
      <c r="T583" s="3"/>
      <c r="U583" s="3"/>
      <c r="V583" s="3"/>
      <c r="W583" s="3"/>
      <c r="X583" s="3"/>
      <c r="Y583" s="3"/>
      <c r="Z583" s="3"/>
    </row>
    <row r="584" spans="1:26" ht="22.5" customHeight="1" x14ac:dyDescent="0.85">
      <c r="A584" s="166"/>
      <c r="B584" s="167"/>
      <c r="C584" s="167"/>
      <c r="D584" s="147"/>
      <c r="E584" s="147"/>
      <c r="F584" s="147"/>
      <c r="G584" s="147"/>
      <c r="H584" s="147"/>
      <c r="I584" s="147"/>
      <c r="J584" s="147"/>
      <c r="K584" s="3"/>
      <c r="L584" s="3"/>
      <c r="M584" s="3"/>
      <c r="N584" s="3"/>
      <c r="O584" s="3"/>
      <c r="P584" s="3"/>
      <c r="Q584" s="3"/>
      <c r="R584" s="3"/>
      <c r="S584" s="3"/>
      <c r="T584" s="3"/>
      <c r="U584" s="3"/>
      <c r="V584" s="3"/>
      <c r="W584" s="3"/>
      <c r="X584" s="3"/>
      <c r="Y584" s="3"/>
      <c r="Z584" s="3"/>
    </row>
    <row r="585" spans="1:26" ht="22.5" customHeight="1" x14ac:dyDescent="0.85">
      <c r="A585" s="166"/>
      <c r="B585" s="167"/>
      <c r="C585" s="167"/>
      <c r="D585" s="147"/>
      <c r="E585" s="147"/>
      <c r="F585" s="147"/>
      <c r="G585" s="147"/>
      <c r="H585" s="147"/>
      <c r="I585" s="147"/>
      <c r="J585" s="147"/>
      <c r="K585" s="3"/>
      <c r="L585" s="3"/>
      <c r="M585" s="3"/>
      <c r="N585" s="3"/>
      <c r="O585" s="3"/>
      <c r="P585" s="3"/>
      <c r="Q585" s="3"/>
      <c r="R585" s="3"/>
      <c r="S585" s="3"/>
      <c r="T585" s="3"/>
      <c r="U585" s="3"/>
      <c r="V585" s="3"/>
      <c r="W585" s="3"/>
      <c r="X585" s="3"/>
      <c r="Y585" s="3"/>
      <c r="Z585" s="3"/>
    </row>
    <row r="586" spans="1:26" ht="22.5" customHeight="1" x14ac:dyDescent="0.85">
      <c r="A586" s="166"/>
      <c r="B586" s="167"/>
      <c r="C586" s="167"/>
      <c r="D586" s="147"/>
      <c r="E586" s="147"/>
      <c r="F586" s="147"/>
      <c r="G586" s="147"/>
      <c r="H586" s="147"/>
      <c r="I586" s="147"/>
      <c r="J586" s="147"/>
      <c r="K586" s="3"/>
      <c r="L586" s="3"/>
      <c r="M586" s="3"/>
      <c r="N586" s="3"/>
      <c r="O586" s="3"/>
      <c r="P586" s="3"/>
      <c r="Q586" s="3"/>
      <c r="R586" s="3"/>
      <c r="S586" s="3"/>
      <c r="T586" s="3"/>
      <c r="U586" s="3"/>
      <c r="V586" s="3"/>
      <c r="W586" s="3"/>
      <c r="X586" s="3"/>
      <c r="Y586" s="3"/>
      <c r="Z586" s="3"/>
    </row>
    <row r="587" spans="1:26" ht="22.5" customHeight="1" x14ac:dyDescent="0.85">
      <c r="A587" s="166"/>
      <c r="B587" s="167"/>
      <c r="C587" s="167"/>
      <c r="D587" s="147"/>
      <c r="E587" s="147"/>
      <c r="F587" s="147"/>
      <c r="G587" s="147"/>
      <c r="H587" s="147"/>
      <c r="I587" s="147"/>
      <c r="J587" s="147"/>
      <c r="K587" s="3"/>
      <c r="L587" s="3"/>
      <c r="M587" s="3"/>
      <c r="N587" s="3"/>
      <c r="O587" s="3"/>
      <c r="P587" s="3"/>
      <c r="Q587" s="3"/>
      <c r="R587" s="3"/>
      <c r="S587" s="3"/>
      <c r="T587" s="3"/>
      <c r="U587" s="3"/>
      <c r="V587" s="3"/>
      <c r="W587" s="3"/>
      <c r="X587" s="3"/>
      <c r="Y587" s="3"/>
      <c r="Z587" s="3"/>
    </row>
    <row r="588" spans="1:26" ht="22.5" customHeight="1" x14ac:dyDescent="0.85">
      <c r="A588" s="166"/>
      <c r="B588" s="167"/>
      <c r="C588" s="167"/>
      <c r="D588" s="147"/>
      <c r="E588" s="147"/>
      <c r="F588" s="147"/>
      <c r="G588" s="147"/>
      <c r="H588" s="147"/>
      <c r="I588" s="147"/>
      <c r="J588" s="147"/>
      <c r="K588" s="3"/>
      <c r="L588" s="3"/>
      <c r="M588" s="3"/>
      <c r="N588" s="3"/>
      <c r="O588" s="3"/>
      <c r="P588" s="3"/>
      <c r="Q588" s="3"/>
      <c r="R588" s="3"/>
      <c r="S588" s="3"/>
      <c r="T588" s="3"/>
      <c r="U588" s="3"/>
      <c r="V588" s="3"/>
      <c r="W588" s="3"/>
      <c r="X588" s="3"/>
      <c r="Y588" s="3"/>
      <c r="Z588" s="3"/>
    </row>
    <row r="589" spans="1:26" ht="22.5" customHeight="1" x14ac:dyDescent="0.85">
      <c r="A589" s="166"/>
      <c r="B589" s="167"/>
      <c r="C589" s="167"/>
      <c r="D589" s="147"/>
      <c r="E589" s="147"/>
      <c r="F589" s="147"/>
      <c r="G589" s="147"/>
      <c r="H589" s="147"/>
      <c r="I589" s="147"/>
      <c r="J589" s="147"/>
      <c r="K589" s="3"/>
      <c r="L589" s="3"/>
      <c r="M589" s="3"/>
      <c r="N589" s="3"/>
      <c r="O589" s="3"/>
      <c r="P589" s="3"/>
      <c r="Q589" s="3"/>
      <c r="R589" s="3"/>
      <c r="S589" s="3"/>
      <c r="T589" s="3"/>
      <c r="U589" s="3"/>
      <c r="V589" s="3"/>
      <c r="W589" s="3"/>
      <c r="X589" s="3"/>
      <c r="Y589" s="3"/>
      <c r="Z589" s="3"/>
    </row>
    <row r="590" spans="1:26" ht="22.5" customHeight="1" x14ac:dyDescent="0.85">
      <c r="A590" s="166"/>
      <c r="B590" s="167"/>
      <c r="C590" s="167"/>
      <c r="D590" s="147"/>
      <c r="E590" s="147"/>
      <c r="F590" s="147"/>
      <c r="G590" s="147"/>
      <c r="H590" s="147"/>
      <c r="I590" s="147"/>
      <c r="J590" s="147"/>
      <c r="K590" s="3"/>
      <c r="L590" s="3"/>
      <c r="M590" s="3"/>
      <c r="N590" s="3"/>
      <c r="O590" s="3"/>
      <c r="P590" s="3"/>
      <c r="Q590" s="3"/>
      <c r="R590" s="3"/>
      <c r="S590" s="3"/>
      <c r="T590" s="3"/>
      <c r="U590" s="3"/>
      <c r="V590" s="3"/>
      <c r="W590" s="3"/>
      <c r="X590" s="3"/>
      <c r="Y590" s="3"/>
      <c r="Z590" s="3"/>
    </row>
    <row r="591" spans="1:26" ht="22.5" customHeight="1" x14ac:dyDescent="0.85">
      <c r="A591" s="166"/>
      <c r="B591" s="167"/>
      <c r="C591" s="167"/>
      <c r="D591" s="147"/>
      <c r="E591" s="147"/>
      <c r="F591" s="147"/>
      <c r="G591" s="147"/>
      <c r="H591" s="147"/>
      <c r="I591" s="147"/>
      <c r="J591" s="147"/>
      <c r="K591" s="3"/>
      <c r="L591" s="3"/>
      <c r="M591" s="3"/>
      <c r="N591" s="3"/>
      <c r="O591" s="3"/>
      <c r="P591" s="3"/>
      <c r="Q591" s="3"/>
      <c r="R591" s="3"/>
      <c r="S591" s="3"/>
      <c r="T591" s="3"/>
      <c r="U591" s="3"/>
      <c r="V591" s="3"/>
      <c r="W591" s="3"/>
      <c r="X591" s="3"/>
      <c r="Y591" s="3"/>
      <c r="Z591" s="3"/>
    </row>
    <row r="592" spans="1:26" ht="22.5" customHeight="1" x14ac:dyDescent="0.85">
      <c r="A592" s="166"/>
      <c r="B592" s="167"/>
      <c r="C592" s="167"/>
      <c r="D592" s="147"/>
      <c r="E592" s="147"/>
      <c r="F592" s="147"/>
      <c r="G592" s="147"/>
      <c r="H592" s="147"/>
      <c r="I592" s="147"/>
      <c r="J592" s="147"/>
      <c r="K592" s="3"/>
      <c r="L592" s="3"/>
      <c r="M592" s="3"/>
      <c r="N592" s="3"/>
      <c r="O592" s="3"/>
      <c r="P592" s="3"/>
      <c r="Q592" s="3"/>
      <c r="R592" s="3"/>
      <c r="S592" s="3"/>
      <c r="T592" s="3"/>
      <c r="U592" s="3"/>
      <c r="V592" s="3"/>
      <c r="W592" s="3"/>
      <c r="X592" s="3"/>
      <c r="Y592" s="3"/>
      <c r="Z592" s="3"/>
    </row>
    <row r="593" spans="1:26" ht="22.5" customHeight="1" x14ac:dyDescent="0.85">
      <c r="A593" s="166"/>
      <c r="B593" s="167"/>
      <c r="C593" s="167"/>
      <c r="D593" s="147"/>
      <c r="E593" s="147"/>
      <c r="F593" s="147"/>
      <c r="G593" s="147"/>
      <c r="H593" s="147"/>
      <c r="I593" s="147"/>
      <c r="J593" s="147"/>
      <c r="K593" s="3"/>
      <c r="L593" s="3"/>
      <c r="M593" s="3"/>
      <c r="N593" s="3"/>
      <c r="O593" s="3"/>
      <c r="P593" s="3"/>
      <c r="Q593" s="3"/>
      <c r="R593" s="3"/>
      <c r="S593" s="3"/>
      <c r="T593" s="3"/>
      <c r="U593" s="3"/>
      <c r="V593" s="3"/>
      <c r="W593" s="3"/>
      <c r="X593" s="3"/>
      <c r="Y593" s="3"/>
      <c r="Z593" s="3"/>
    </row>
    <row r="594" spans="1:26" ht="22.5" customHeight="1" x14ac:dyDescent="0.85">
      <c r="A594" s="166"/>
      <c r="B594" s="167"/>
      <c r="C594" s="167"/>
      <c r="D594" s="147"/>
      <c r="E594" s="147"/>
      <c r="F594" s="147"/>
      <c r="G594" s="147"/>
      <c r="H594" s="147"/>
      <c r="I594" s="147"/>
      <c r="J594" s="147"/>
      <c r="K594" s="3"/>
      <c r="L594" s="3"/>
      <c r="M594" s="3"/>
      <c r="N594" s="3"/>
      <c r="O594" s="3"/>
      <c r="P594" s="3"/>
      <c r="Q594" s="3"/>
      <c r="R594" s="3"/>
      <c r="S594" s="3"/>
      <c r="T594" s="3"/>
      <c r="U594" s="3"/>
      <c r="V594" s="3"/>
      <c r="W594" s="3"/>
      <c r="X594" s="3"/>
      <c r="Y594" s="3"/>
      <c r="Z594" s="3"/>
    </row>
    <row r="595" spans="1:26" ht="22.5" customHeight="1" x14ac:dyDescent="0.85">
      <c r="A595" s="166"/>
      <c r="B595" s="167"/>
      <c r="C595" s="167"/>
      <c r="D595" s="147"/>
      <c r="E595" s="147"/>
      <c r="F595" s="147"/>
      <c r="G595" s="147"/>
      <c r="H595" s="147"/>
      <c r="I595" s="147"/>
      <c r="J595" s="147"/>
      <c r="K595" s="3"/>
      <c r="L595" s="3"/>
      <c r="M595" s="3"/>
      <c r="N595" s="3"/>
      <c r="O595" s="3"/>
      <c r="P595" s="3"/>
      <c r="Q595" s="3"/>
      <c r="R595" s="3"/>
      <c r="S595" s="3"/>
      <c r="T595" s="3"/>
      <c r="U595" s="3"/>
      <c r="V595" s="3"/>
      <c r="W595" s="3"/>
      <c r="X595" s="3"/>
      <c r="Y595" s="3"/>
      <c r="Z595" s="3"/>
    </row>
    <row r="596" spans="1:26" ht="22.5" customHeight="1" x14ac:dyDescent="0.85">
      <c r="A596" s="166"/>
      <c r="B596" s="167"/>
      <c r="C596" s="167"/>
      <c r="D596" s="147"/>
      <c r="E596" s="147"/>
      <c r="F596" s="147"/>
      <c r="G596" s="147"/>
      <c r="H596" s="147"/>
      <c r="I596" s="147"/>
      <c r="J596" s="147"/>
      <c r="K596" s="3"/>
      <c r="L596" s="3"/>
      <c r="M596" s="3"/>
      <c r="N596" s="3"/>
      <c r="O596" s="3"/>
      <c r="P596" s="3"/>
      <c r="Q596" s="3"/>
      <c r="R596" s="3"/>
      <c r="S596" s="3"/>
      <c r="T596" s="3"/>
      <c r="U596" s="3"/>
      <c r="V596" s="3"/>
      <c r="W596" s="3"/>
      <c r="X596" s="3"/>
      <c r="Y596" s="3"/>
      <c r="Z596" s="3"/>
    </row>
    <row r="597" spans="1:26" ht="22.5" customHeight="1" x14ac:dyDescent="0.85">
      <c r="A597" s="166"/>
      <c r="B597" s="167"/>
      <c r="C597" s="167"/>
      <c r="D597" s="147"/>
      <c r="E597" s="147"/>
      <c r="F597" s="147"/>
      <c r="G597" s="147"/>
      <c r="H597" s="147"/>
      <c r="I597" s="147"/>
      <c r="J597" s="147"/>
      <c r="K597" s="3"/>
      <c r="L597" s="3"/>
      <c r="M597" s="3"/>
      <c r="N597" s="3"/>
      <c r="O597" s="3"/>
      <c r="P597" s="3"/>
      <c r="Q597" s="3"/>
      <c r="R597" s="3"/>
      <c r="S597" s="3"/>
      <c r="T597" s="3"/>
      <c r="U597" s="3"/>
      <c r="V597" s="3"/>
      <c r="W597" s="3"/>
      <c r="X597" s="3"/>
      <c r="Y597" s="3"/>
      <c r="Z597" s="3"/>
    </row>
    <row r="598" spans="1:26" ht="22.5" customHeight="1" x14ac:dyDescent="0.85">
      <c r="A598" s="166"/>
      <c r="B598" s="167"/>
      <c r="C598" s="167"/>
      <c r="D598" s="147"/>
      <c r="E598" s="147"/>
      <c r="F598" s="147"/>
      <c r="G598" s="147"/>
      <c r="H598" s="147"/>
      <c r="I598" s="147"/>
      <c r="J598" s="147"/>
      <c r="K598" s="3"/>
      <c r="L598" s="3"/>
      <c r="M598" s="3"/>
      <c r="N598" s="3"/>
      <c r="O598" s="3"/>
      <c r="P598" s="3"/>
      <c r="Q598" s="3"/>
      <c r="R598" s="3"/>
      <c r="S598" s="3"/>
      <c r="T598" s="3"/>
      <c r="U598" s="3"/>
      <c r="V598" s="3"/>
      <c r="W598" s="3"/>
      <c r="X598" s="3"/>
      <c r="Y598" s="3"/>
      <c r="Z598" s="3"/>
    </row>
    <row r="599" spans="1:26" ht="22.5" customHeight="1" x14ac:dyDescent="0.85">
      <c r="A599" s="166"/>
      <c r="B599" s="167"/>
      <c r="C599" s="167"/>
      <c r="D599" s="147"/>
      <c r="E599" s="147"/>
      <c r="F599" s="147"/>
      <c r="G599" s="147"/>
      <c r="H599" s="147"/>
      <c r="I599" s="147"/>
      <c r="J599" s="147"/>
      <c r="K599" s="3"/>
      <c r="L599" s="3"/>
      <c r="M599" s="3"/>
      <c r="N599" s="3"/>
      <c r="O599" s="3"/>
      <c r="P599" s="3"/>
      <c r="Q599" s="3"/>
      <c r="R599" s="3"/>
      <c r="S599" s="3"/>
      <c r="T599" s="3"/>
      <c r="U599" s="3"/>
      <c r="V599" s="3"/>
      <c r="W599" s="3"/>
      <c r="X599" s="3"/>
      <c r="Y599" s="3"/>
      <c r="Z599" s="3"/>
    </row>
    <row r="600" spans="1:26" ht="22.5" customHeight="1" x14ac:dyDescent="0.85">
      <c r="A600" s="166"/>
      <c r="B600" s="167"/>
      <c r="C600" s="167"/>
      <c r="D600" s="147"/>
      <c r="E600" s="147"/>
      <c r="F600" s="147"/>
      <c r="G600" s="147"/>
      <c r="H600" s="147"/>
      <c r="I600" s="147"/>
      <c r="J600" s="147"/>
      <c r="K600" s="3"/>
      <c r="L600" s="3"/>
      <c r="M600" s="3"/>
      <c r="N600" s="3"/>
      <c r="O600" s="3"/>
      <c r="P600" s="3"/>
      <c r="Q600" s="3"/>
      <c r="R600" s="3"/>
      <c r="S600" s="3"/>
      <c r="T600" s="3"/>
      <c r="U600" s="3"/>
      <c r="V600" s="3"/>
      <c r="W600" s="3"/>
      <c r="X600" s="3"/>
      <c r="Y600" s="3"/>
      <c r="Z600" s="3"/>
    </row>
    <row r="601" spans="1:26" ht="22.5" customHeight="1" x14ac:dyDescent="0.85">
      <c r="A601" s="166"/>
      <c r="B601" s="167"/>
      <c r="C601" s="167"/>
      <c r="D601" s="147"/>
      <c r="E601" s="147"/>
      <c r="F601" s="147"/>
      <c r="G601" s="147"/>
      <c r="H601" s="147"/>
      <c r="I601" s="147"/>
      <c r="J601" s="147"/>
      <c r="K601" s="3"/>
      <c r="L601" s="3"/>
      <c r="M601" s="3"/>
      <c r="N601" s="3"/>
      <c r="O601" s="3"/>
      <c r="P601" s="3"/>
      <c r="Q601" s="3"/>
      <c r="R601" s="3"/>
      <c r="S601" s="3"/>
      <c r="T601" s="3"/>
      <c r="U601" s="3"/>
      <c r="V601" s="3"/>
      <c r="W601" s="3"/>
      <c r="X601" s="3"/>
      <c r="Y601" s="3"/>
      <c r="Z601" s="3"/>
    </row>
    <row r="602" spans="1:26" ht="22.5" customHeight="1" x14ac:dyDescent="0.85">
      <c r="A602" s="166"/>
      <c r="B602" s="167"/>
      <c r="C602" s="167"/>
      <c r="D602" s="147"/>
      <c r="E602" s="147"/>
      <c r="F602" s="147"/>
      <c r="G602" s="147"/>
      <c r="H602" s="147"/>
      <c r="I602" s="147"/>
      <c r="J602" s="147"/>
      <c r="K602" s="3"/>
      <c r="L602" s="3"/>
      <c r="M602" s="3"/>
      <c r="N602" s="3"/>
      <c r="O602" s="3"/>
      <c r="P602" s="3"/>
      <c r="Q602" s="3"/>
      <c r="R602" s="3"/>
      <c r="S602" s="3"/>
      <c r="T602" s="3"/>
      <c r="U602" s="3"/>
      <c r="V602" s="3"/>
      <c r="W602" s="3"/>
      <c r="X602" s="3"/>
      <c r="Y602" s="3"/>
      <c r="Z602" s="3"/>
    </row>
    <row r="603" spans="1:26" ht="22.5" customHeight="1" x14ac:dyDescent="0.85">
      <c r="A603" s="166"/>
      <c r="B603" s="167"/>
      <c r="C603" s="167"/>
      <c r="D603" s="147"/>
      <c r="E603" s="147"/>
      <c r="F603" s="147"/>
      <c r="G603" s="147"/>
      <c r="H603" s="147"/>
      <c r="I603" s="147"/>
      <c r="J603" s="147"/>
      <c r="K603" s="3"/>
      <c r="L603" s="3"/>
      <c r="M603" s="3"/>
      <c r="N603" s="3"/>
      <c r="O603" s="3"/>
      <c r="P603" s="3"/>
      <c r="Q603" s="3"/>
      <c r="R603" s="3"/>
      <c r="S603" s="3"/>
      <c r="T603" s="3"/>
      <c r="U603" s="3"/>
      <c r="V603" s="3"/>
      <c r="W603" s="3"/>
      <c r="X603" s="3"/>
      <c r="Y603" s="3"/>
      <c r="Z603" s="3"/>
    </row>
    <row r="604" spans="1:26" ht="22.5" customHeight="1" x14ac:dyDescent="0.85">
      <c r="A604" s="166"/>
      <c r="B604" s="167"/>
      <c r="C604" s="167"/>
      <c r="D604" s="147"/>
      <c r="E604" s="147"/>
      <c r="F604" s="147"/>
      <c r="G604" s="147"/>
      <c r="H604" s="147"/>
      <c r="I604" s="147"/>
      <c r="J604" s="147"/>
      <c r="K604" s="3"/>
      <c r="L604" s="3"/>
      <c r="M604" s="3"/>
      <c r="N604" s="3"/>
      <c r="O604" s="3"/>
      <c r="P604" s="3"/>
      <c r="Q604" s="3"/>
      <c r="R604" s="3"/>
      <c r="S604" s="3"/>
      <c r="T604" s="3"/>
      <c r="U604" s="3"/>
      <c r="V604" s="3"/>
      <c r="W604" s="3"/>
      <c r="X604" s="3"/>
      <c r="Y604" s="3"/>
      <c r="Z604" s="3"/>
    </row>
    <row r="605" spans="1:26" ht="22.5" customHeight="1" x14ac:dyDescent="0.85">
      <c r="A605" s="166"/>
      <c r="B605" s="167"/>
      <c r="C605" s="167"/>
      <c r="D605" s="147"/>
      <c r="E605" s="147"/>
      <c r="F605" s="147"/>
      <c r="G605" s="147"/>
      <c r="H605" s="147"/>
      <c r="I605" s="147"/>
      <c r="J605" s="147"/>
      <c r="K605" s="3"/>
      <c r="L605" s="3"/>
      <c r="M605" s="3"/>
      <c r="N605" s="3"/>
      <c r="O605" s="3"/>
      <c r="P605" s="3"/>
      <c r="Q605" s="3"/>
      <c r="R605" s="3"/>
      <c r="S605" s="3"/>
      <c r="T605" s="3"/>
      <c r="U605" s="3"/>
      <c r="V605" s="3"/>
      <c r="W605" s="3"/>
      <c r="X605" s="3"/>
      <c r="Y605" s="3"/>
      <c r="Z605" s="3"/>
    </row>
    <row r="606" spans="1:26" ht="22.5" customHeight="1" x14ac:dyDescent="0.85">
      <c r="A606" s="166"/>
      <c r="B606" s="167"/>
      <c r="C606" s="167"/>
      <c r="D606" s="147"/>
      <c r="E606" s="147"/>
      <c r="F606" s="147"/>
      <c r="G606" s="147"/>
      <c r="H606" s="147"/>
      <c r="I606" s="147"/>
      <c r="J606" s="147"/>
      <c r="K606" s="3"/>
      <c r="L606" s="3"/>
      <c r="M606" s="3"/>
      <c r="N606" s="3"/>
      <c r="O606" s="3"/>
      <c r="P606" s="3"/>
      <c r="Q606" s="3"/>
      <c r="R606" s="3"/>
      <c r="S606" s="3"/>
      <c r="T606" s="3"/>
      <c r="U606" s="3"/>
      <c r="V606" s="3"/>
      <c r="W606" s="3"/>
      <c r="X606" s="3"/>
      <c r="Y606" s="3"/>
      <c r="Z606" s="3"/>
    </row>
    <row r="607" spans="1:26" ht="22.5" customHeight="1" x14ac:dyDescent="0.85">
      <c r="A607" s="166"/>
      <c r="B607" s="167"/>
      <c r="C607" s="167"/>
      <c r="D607" s="147"/>
      <c r="E607" s="147"/>
      <c r="F607" s="147"/>
      <c r="G607" s="147"/>
      <c r="H607" s="147"/>
      <c r="I607" s="147"/>
      <c r="J607" s="147"/>
      <c r="K607" s="3"/>
      <c r="L607" s="3"/>
      <c r="M607" s="3"/>
      <c r="N607" s="3"/>
      <c r="O607" s="3"/>
      <c r="P607" s="3"/>
      <c r="Q607" s="3"/>
      <c r="R607" s="3"/>
      <c r="S607" s="3"/>
      <c r="T607" s="3"/>
      <c r="U607" s="3"/>
      <c r="V607" s="3"/>
      <c r="W607" s="3"/>
      <c r="X607" s="3"/>
      <c r="Y607" s="3"/>
      <c r="Z607" s="3"/>
    </row>
    <row r="608" spans="1:26" ht="22.5" customHeight="1" x14ac:dyDescent="0.85">
      <c r="A608" s="166"/>
      <c r="B608" s="167"/>
      <c r="C608" s="167"/>
      <c r="D608" s="147"/>
      <c r="E608" s="147"/>
      <c r="F608" s="147"/>
      <c r="G608" s="147"/>
      <c r="H608" s="147"/>
      <c r="I608" s="147"/>
      <c r="J608" s="147"/>
      <c r="K608" s="3"/>
      <c r="L608" s="3"/>
      <c r="M608" s="3"/>
      <c r="N608" s="3"/>
      <c r="O608" s="3"/>
      <c r="P608" s="3"/>
      <c r="Q608" s="3"/>
      <c r="R608" s="3"/>
      <c r="S608" s="3"/>
      <c r="T608" s="3"/>
      <c r="U608" s="3"/>
      <c r="V608" s="3"/>
      <c r="W608" s="3"/>
      <c r="X608" s="3"/>
      <c r="Y608" s="3"/>
      <c r="Z608" s="3"/>
    </row>
    <row r="609" spans="1:26" ht="22.5" customHeight="1" x14ac:dyDescent="0.85">
      <c r="A609" s="166"/>
      <c r="B609" s="167"/>
      <c r="C609" s="167"/>
      <c r="D609" s="147"/>
      <c r="E609" s="147"/>
      <c r="F609" s="147"/>
      <c r="G609" s="147"/>
      <c r="H609" s="147"/>
      <c r="I609" s="147"/>
      <c r="J609" s="147"/>
      <c r="K609" s="3"/>
      <c r="L609" s="3"/>
      <c r="M609" s="3"/>
      <c r="N609" s="3"/>
      <c r="O609" s="3"/>
      <c r="P609" s="3"/>
      <c r="Q609" s="3"/>
      <c r="R609" s="3"/>
      <c r="S609" s="3"/>
      <c r="T609" s="3"/>
      <c r="U609" s="3"/>
      <c r="V609" s="3"/>
      <c r="W609" s="3"/>
      <c r="X609" s="3"/>
      <c r="Y609" s="3"/>
      <c r="Z609" s="3"/>
    </row>
    <row r="610" spans="1:26" ht="22.5" customHeight="1" x14ac:dyDescent="0.85">
      <c r="A610" s="166"/>
      <c r="B610" s="167"/>
      <c r="C610" s="167"/>
      <c r="D610" s="147"/>
      <c r="E610" s="147"/>
      <c r="F610" s="147"/>
      <c r="G610" s="147"/>
      <c r="H610" s="147"/>
      <c r="I610" s="147"/>
      <c r="J610" s="147"/>
      <c r="K610" s="3"/>
      <c r="L610" s="3"/>
      <c r="M610" s="3"/>
      <c r="N610" s="3"/>
      <c r="O610" s="3"/>
      <c r="P610" s="3"/>
      <c r="Q610" s="3"/>
      <c r="R610" s="3"/>
      <c r="S610" s="3"/>
      <c r="T610" s="3"/>
      <c r="U610" s="3"/>
      <c r="V610" s="3"/>
      <c r="W610" s="3"/>
      <c r="X610" s="3"/>
      <c r="Y610" s="3"/>
      <c r="Z610" s="3"/>
    </row>
    <row r="611" spans="1:26" ht="22.5" customHeight="1" x14ac:dyDescent="0.85">
      <c r="A611" s="166"/>
      <c r="B611" s="167"/>
      <c r="C611" s="167"/>
      <c r="D611" s="147"/>
      <c r="E611" s="147"/>
      <c r="F611" s="147"/>
      <c r="G611" s="147"/>
      <c r="H611" s="147"/>
      <c r="I611" s="147"/>
      <c r="J611" s="147"/>
      <c r="K611" s="3"/>
      <c r="L611" s="3"/>
      <c r="M611" s="3"/>
      <c r="N611" s="3"/>
      <c r="O611" s="3"/>
      <c r="P611" s="3"/>
      <c r="Q611" s="3"/>
      <c r="R611" s="3"/>
      <c r="S611" s="3"/>
      <c r="T611" s="3"/>
      <c r="U611" s="3"/>
      <c r="V611" s="3"/>
      <c r="W611" s="3"/>
      <c r="X611" s="3"/>
      <c r="Y611" s="3"/>
      <c r="Z611" s="3"/>
    </row>
    <row r="612" spans="1:26" ht="22.5" customHeight="1" x14ac:dyDescent="0.85">
      <c r="A612" s="166"/>
      <c r="B612" s="167"/>
      <c r="C612" s="167"/>
      <c r="D612" s="147"/>
      <c r="E612" s="147"/>
      <c r="F612" s="147"/>
      <c r="G612" s="147"/>
      <c r="H612" s="147"/>
      <c r="I612" s="147"/>
      <c r="J612" s="147"/>
      <c r="K612" s="3"/>
      <c r="L612" s="3"/>
      <c r="M612" s="3"/>
      <c r="N612" s="3"/>
      <c r="O612" s="3"/>
      <c r="P612" s="3"/>
      <c r="Q612" s="3"/>
      <c r="R612" s="3"/>
      <c r="S612" s="3"/>
      <c r="T612" s="3"/>
      <c r="U612" s="3"/>
      <c r="V612" s="3"/>
      <c r="W612" s="3"/>
      <c r="X612" s="3"/>
      <c r="Y612" s="3"/>
      <c r="Z612" s="3"/>
    </row>
    <row r="613" spans="1:26" ht="22.5" customHeight="1" x14ac:dyDescent="0.85">
      <c r="A613" s="166"/>
      <c r="B613" s="167"/>
      <c r="C613" s="167"/>
      <c r="D613" s="147"/>
      <c r="E613" s="147"/>
      <c r="F613" s="147"/>
      <c r="G613" s="147"/>
      <c r="H613" s="147"/>
      <c r="I613" s="147"/>
      <c r="J613" s="147"/>
      <c r="K613" s="3"/>
      <c r="L613" s="3"/>
      <c r="M613" s="3"/>
      <c r="N613" s="3"/>
      <c r="O613" s="3"/>
      <c r="P613" s="3"/>
      <c r="Q613" s="3"/>
      <c r="R613" s="3"/>
      <c r="S613" s="3"/>
      <c r="T613" s="3"/>
      <c r="U613" s="3"/>
      <c r="V613" s="3"/>
      <c r="W613" s="3"/>
      <c r="X613" s="3"/>
      <c r="Y613" s="3"/>
      <c r="Z613" s="3"/>
    </row>
    <row r="614" spans="1:26" ht="22.5" customHeight="1" x14ac:dyDescent="0.85">
      <c r="A614" s="166"/>
      <c r="B614" s="167"/>
      <c r="C614" s="167"/>
      <c r="D614" s="147"/>
      <c r="E614" s="147"/>
      <c r="F614" s="147"/>
      <c r="G614" s="147"/>
      <c r="H614" s="147"/>
      <c r="I614" s="147"/>
      <c r="J614" s="147"/>
      <c r="K614" s="3"/>
      <c r="L614" s="3"/>
      <c r="M614" s="3"/>
      <c r="N614" s="3"/>
      <c r="O614" s="3"/>
      <c r="P614" s="3"/>
      <c r="Q614" s="3"/>
      <c r="R614" s="3"/>
      <c r="S614" s="3"/>
      <c r="T614" s="3"/>
      <c r="U614" s="3"/>
      <c r="V614" s="3"/>
      <c r="W614" s="3"/>
      <c r="X614" s="3"/>
      <c r="Y614" s="3"/>
      <c r="Z614" s="3"/>
    </row>
    <row r="615" spans="1:26" ht="22.5" customHeight="1" x14ac:dyDescent="0.85">
      <c r="A615" s="166"/>
      <c r="B615" s="167"/>
      <c r="C615" s="167"/>
      <c r="D615" s="147"/>
      <c r="E615" s="147"/>
      <c r="F615" s="147"/>
      <c r="G615" s="147"/>
      <c r="H615" s="147"/>
      <c r="I615" s="147"/>
      <c r="J615" s="147"/>
      <c r="K615" s="3"/>
      <c r="L615" s="3"/>
      <c r="M615" s="3"/>
      <c r="N615" s="3"/>
      <c r="O615" s="3"/>
      <c r="P615" s="3"/>
      <c r="Q615" s="3"/>
      <c r="R615" s="3"/>
      <c r="S615" s="3"/>
      <c r="T615" s="3"/>
      <c r="U615" s="3"/>
      <c r="V615" s="3"/>
      <c r="W615" s="3"/>
      <c r="X615" s="3"/>
      <c r="Y615" s="3"/>
      <c r="Z615" s="3"/>
    </row>
    <row r="616" spans="1:26" ht="22.5" customHeight="1" x14ac:dyDescent="0.85">
      <c r="A616" s="166"/>
      <c r="B616" s="167"/>
      <c r="C616" s="167"/>
      <c r="D616" s="147"/>
      <c r="E616" s="147"/>
      <c r="F616" s="147"/>
      <c r="G616" s="147"/>
      <c r="H616" s="147"/>
      <c r="I616" s="147"/>
      <c r="J616" s="147"/>
      <c r="K616" s="3"/>
      <c r="L616" s="3"/>
      <c r="M616" s="3"/>
      <c r="N616" s="3"/>
      <c r="O616" s="3"/>
      <c r="P616" s="3"/>
      <c r="Q616" s="3"/>
      <c r="R616" s="3"/>
      <c r="S616" s="3"/>
      <c r="T616" s="3"/>
      <c r="U616" s="3"/>
      <c r="V616" s="3"/>
      <c r="W616" s="3"/>
      <c r="X616" s="3"/>
      <c r="Y616" s="3"/>
      <c r="Z616" s="3"/>
    </row>
    <row r="617" spans="1:26" ht="22.5" customHeight="1" x14ac:dyDescent="0.85">
      <c r="A617" s="166"/>
      <c r="B617" s="167"/>
      <c r="C617" s="167"/>
      <c r="D617" s="147"/>
      <c r="E617" s="147"/>
      <c r="F617" s="147"/>
      <c r="G617" s="147"/>
      <c r="H617" s="147"/>
      <c r="I617" s="147"/>
      <c r="J617" s="147"/>
      <c r="K617" s="3"/>
      <c r="L617" s="3"/>
      <c r="M617" s="3"/>
      <c r="N617" s="3"/>
      <c r="O617" s="3"/>
      <c r="P617" s="3"/>
      <c r="Q617" s="3"/>
      <c r="R617" s="3"/>
      <c r="S617" s="3"/>
      <c r="T617" s="3"/>
      <c r="U617" s="3"/>
      <c r="V617" s="3"/>
      <c r="W617" s="3"/>
      <c r="X617" s="3"/>
      <c r="Y617" s="3"/>
      <c r="Z617" s="3"/>
    </row>
    <row r="618" spans="1:26" ht="22.5" customHeight="1" x14ac:dyDescent="0.85">
      <c r="A618" s="166"/>
      <c r="B618" s="167"/>
      <c r="C618" s="167"/>
      <c r="D618" s="147"/>
      <c r="E618" s="147"/>
      <c r="F618" s="147"/>
      <c r="G618" s="147"/>
      <c r="H618" s="147"/>
      <c r="I618" s="147"/>
      <c r="J618" s="147"/>
      <c r="K618" s="3"/>
      <c r="L618" s="3"/>
      <c r="M618" s="3"/>
      <c r="N618" s="3"/>
      <c r="O618" s="3"/>
      <c r="P618" s="3"/>
      <c r="Q618" s="3"/>
      <c r="R618" s="3"/>
      <c r="S618" s="3"/>
      <c r="T618" s="3"/>
      <c r="U618" s="3"/>
      <c r="V618" s="3"/>
      <c r="W618" s="3"/>
      <c r="X618" s="3"/>
      <c r="Y618" s="3"/>
      <c r="Z618" s="3"/>
    </row>
    <row r="619" spans="1:26" ht="22.5" customHeight="1" x14ac:dyDescent="0.85">
      <c r="A619" s="166"/>
      <c r="B619" s="167"/>
      <c r="C619" s="167"/>
      <c r="D619" s="147"/>
      <c r="E619" s="147"/>
      <c r="F619" s="147"/>
      <c r="G619" s="147"/>
      <c r="H619" s="147"/>
      <c r="I619" s="147"/>
      <c r="J619" s="147"/>
      <c r="K619" s="3"/>
      <c r="L619" s="3"/>
      <c r="M619" s="3"/>
      <c r="N619" s="3"/>
      <c r="O619" s="3"/>
      <c r="P619" s="3"/>
      <c r="Q619" s="3"/>
      <c r="R619" s="3"/>
      <c r="S619" s="3"/>
      <c r="T619" s="3"/>
      <c r="U619" s="3"/>
      <c r="V619" s="3"/>
      <c r="W619" s="3"/>
      <c r="X619" s="3"/>
      <c r="Y619" s="3"/>
      <c r="Z619" s="3"/>
    </row>
    <row r="620" spans="1:26" ht="22.5" customHeight="1" x14ac:dyDescent="0.85">
      <c r="A620" s="166"/>
      <c r="B620" s="167"/>
      <c r="C620" s="167"/>
      <c r="D620" s="147"/>
      <c r="E620" s="147"/>
      <c r="F620" s="147"/>
      <c r="G620" s="147"/>
      <c r="H620" s="147"/>
      <c r="I620" s="147"/>
      <c r="J620" s="147"/>
      <c r="K620" s="3"/>
      <c r="L620" s="3"/>
      <c r="M620" s="3"/>
      <c r="N620" s="3"/>
      <c r="O620" s="3"/>
      <c r="P620" s="3"/>
      <c r="Q620" s="3"/>
      <c r="R620" s="3"/>
      <c r="S620" s="3"/>
      <c r="T620" s="3"/>
      <c r="U620" s="3"/>
      <c r="V620" s="3"/>
      <c r="W620" s="3"/>
      <c r="X620" s="3"/>
      <c r="Y620" s="3"/>
      <c r="Z620" s="3"/>
    </row>
    <row r="621" spans="1:26" ht="22.5" customHeight="1" x14ac:dyDescent="0.85">
      <c r="A621" s="166"/>
      <c r="B621" s="167"/>
      <c r="C621" s="167"/>
      <c r="D621" s="147"/>
      <c r="E621" s="147"/>
      <c r="F621" s="147"/>
      <c r="G621" s="147"/>
      <c r="H621" s="147"/>
      <c r="I621" s="147"/>
      <c r="J621" s="147"/>
      <c r="K621" s="3"/>
      <c r="L621" s="3"/>
      <c r="M621" s="3"/>
      <c r="N621" s="3"/>
      <c r="O621" s="3"/>
      <c r="P621" s="3"/>
      <c r="Q621" s="3"/>
      <c r="R621" s="3"/>
      <c r="S621" s="3"/>
      <c r="T621" s="3"/>
      <c r="U621" s="3"/>
      <c r="V621" s="3"/>
      <c r="W621" s="3"/>
      <c r="X621" s="3"/>
      <c r="Y621" s="3"/>
      <c r="Z621" s="3"/>
    </row>
    <row r="622" spans="1:26" ht="22.5" customHeight="1" x14ac:dyDescent="0.85">
      <c r="A622" s="166"/>
      <c r="B622" s="167"/>
      <c r="C622" s="167"/>
      <c r="D622" s="147"/>
      <c r="E622" s="147"/>
      <c r="F622" s="147"/>
      <c r="G622" s="147"/>
      <c r="H622" s="147"/>
      <c r="I622" s="147"/>
      <c r="J622" s="147"/>
      <c r="K622" s="3"/>
      <c r="L622" s="3"/>
      <c r="M622" s="3"/>
      <c r="N622" s="3"/>
      <c r="O622" s="3"/>
      <c r="P622" s="3"/>
      <c r="Q622" s="3"/>
      <c r="R622" s="3"/>
      <c r="S622" s="3"/>
      <c r="T622" s="3"/>
      <c r="U622" s="3"/>
      <c r="V622" s="3"/>
      <c r="W622" s="3"/>
      <c r="X622" s="3"/>
      <c r="Y622" s="3"/>
      <c r="Z622" s="3"/>
    </row>
    <row r="623" spans="1:26" ht="22.5" customHeight="1" x14ac:dyDescent="0.85">
      <c r="A623" s="166"/>
      <c r="B623" s="167"/>
      <c r="C623" s="167"/>
      <c r="D623" s="147"/>
      <c r="E623" s="147"/>
      <c r="F623" s="147"/>
      <c r="G623" s="147"/>
      <c r="H623" s="147"/>
      <c r="I623" s="147"/>
      <c r="J623" s="147"/>
      <c r="K623" s="3"/>
      <c r="L623" s="3"/>
      <c r="M623" s="3"/>
      <c r="N623" s="3"/>
      <c r="O623" s="3"/>
      <c r="P623" s="3"/>
      <c r="Q623" s="3"/>
      <c r="R623" s="3"/>
      <c r="S623" s="3"/>
      <c r="T623" s="3"/>
      <c r="U623" s="3"/>
      <c r="V623" s="3"/>
      <c r="W623" s="3"/>
      <c r="X623" s="3"/>
      <c r="Y623" s="3"/>
      <c r="Z623" s="3"/>
    </row>
    <row r="624" spans="1:26" ht="22.5" customHeight="1" x14ac:dyDescent="0.85">
      <c r="A624" s="166"/>
      <c r="B624" s="167"/>
      <c r="C624" s="167"/>
      <c r="D624" s="147"/>
      <c r="E624" s="147"/>
      <c r="F624" s="147"/>
      <c r="G624" s="147"/>
      <c r="H624" s="147"/>
      <c r="I624" s="147"/>
      <c r="J624" s="147"/>
      <c r="K624" s="3"/>
      <c r="L624" s="3"/>
      <c r="M624" s="3"/>
      <c r="N624" s="3"/>
      <c r="O624" s="3"/>
      <c r="P624" s="3"/>
      <c r="Q624" s="3"/>
      <c r="R624" s="3"/>
      <c r="S624" s="3"/>
      <c r="T624" s="3"/>
      <c r="U624" s="3"/>
      <c r="V624" s="3"/>
      <c r="W624" s="3"/>
      <c r="X624" s="3"/>
      <c r="Y624" s="3"/>
      <c r="Z624" s="3"/>
    </row>
    <row r="625" spans="1:26" ht="22.5" customHeight="1" x14ac:dyDescent="0.85">
      <c r="A625" s="166"/>
      <c r="B625" s="167"/>
      <c r="C625" s="167"/>
      <c r="D625" s="147"/>
      <c r="E625" s="147"/>
      <c r="F625" s="147"/>
      <c r="G625" s="147"/>
      <c r="H625" s="147"/>
      <c r="I625" s="147"/>
      <c r="J625" s="147"/>
      <c r="K625" s="3"/>
      <c r="L625" s="3"/>
      <c r="M625" s="3"/>
      <c r="N625" s="3"/>
      <c r="O625" s="3"/>
      <c r="P625" s="3"/>
      <c r="Q625" s="3"/>
      <c r="R625" s="3"/>
      <c r="S625" s="3"/>
      <c r="T625" s="3"/>
      <c r="U625" s="3"/>
      <c r="V625" s="3"/>
      <c r="W625" s="3"/>
      <c r="X625" s="3"/>
      <c r="Y625" s="3"/>
      <c r="Z625" s="3"/>
    </row>
    <row r="626" spans="1:26" ht="22.5" customHeight="1" x14ac:dyDescent="0.85">
      <c r="A626" s="166"/>
      <c r="B626" s="167"/>
      <c r="C626" s="167"/>
      <c r="D626" s="147"/>
      <c r="E626" s="147"/>
      <c r="F626" s="147"/>
      <c r="G626" s="147"/>
      <c r="H626" s="147"/>
      <c r="I626" s="147"/>
      <c r="J626" s="147"/>
      <c r="K626" s="3"/>
      <c r="L626" s="3"/>
      <c r="M626" s="3"/>
      <c r="N626" s="3"/>
      <c r="O626" s="3"/>
      <c r="P626" s="3"/>
      <c r="Q626" s="3"/>
      <c r="R626" s="3"/>
      <c r="S626" s="3"/>
      <c r="T626" s="3"/>
      <c r="U626" s="3"/>
      <c r="V626" s="3"/>
      <c r="W626" s="3"/>
      <c r="X626" s="3"/>
      <c r="Y626" s="3"/>
      <c r="Z626" s="3"/>
    </row>
    <row r="627" spans="1:26" ht="22.5" customHeight="1" x14ac:dyDescent="0.85">
      <c r="A627" s="166"/>
      <c r="B627" s="167"/>
      <c r="C627" s="167"/>
      <c r="D627" s="147"/>
      <c r="E627" s="147"/>
      <c r="F627" s="147"/>
      <c r="G627" s="147"/>
      <c r="H627" s="147"/>
      <c r="I627" s="147"/>
      <c r="J627" s="147"/>
      <c r="K627" s="3"/>
      <c r="L627" s="3"/>
      <c r="M627" s="3"/>
      <c r="N627" s="3"/>
      <c r="O627" s="3"/>
      <c r="P627" s="3"/>
      <c r="Q627" s="3"/>
      <c r="R627" s="3"/>
      <c r="S627" s="3"/>
      <c r="T627" s="3"/>
      <c r="U627" s="3"/>
      <c r="V627" s="3"/>
      <c r="W627" s="3"/>
      <c r="X627" s="3"/>
      <c r="Y627" s="3"/>
      <c r="Z627" s="3"/>
    </row>
    <row r="628" spans="1:26" ht="22.5" customHeight="1" x14ac:dyDescent="0.85">
      <c r="A628" s="166"/>
      <c r="B628" s="167"/>
      <c r="C628" s="167"/>
      <c r="D628" s="147"/>
      <c r="E628" s="147"/>
      <c r="F628" s="147"/>
      <c r="G628" s="147"/>
      <c r="H628" s="147"/>
      <c r="I628" s="147"/>
      <c r="J628" s="147"/>
      <c r="K628" s="3"/>
      <c r="L628" s="3"/>
      <c r="M628" s="3"/>
      <c r="N628" s="3"/>
      <c r="O628" s="3"/>
      <c r="P628" s="3"/>
      <c r="Q628" s="3"/>
      <c r="R628" s="3"/>
      <c r="S628" s="3"/>
      <c r="T628" s="3"/>
      <c r="U628" s="3"/>
      <c r="V628" s="3"/>
      <c r="W628" s="3"/>
      <c r="X628" s="3"/>
      <c r="Y628" s="3"/>
      <c r="Z628" s="3"/>
    </row>
    <row r="629" spans="1:26" ht="22.5" customHeight="1" x14ac:dyDescent="0.85">
      <c r="A629" s="166"/>
      <c r="B629" s="167"/>
      <c r="C629" s="167"/>
      <c r="D629" s="147"/>
      <c r="E629" s="147"/>
      <c r="F629" s="147"/>
      <c r="G629" s="147"/>
      <c r="H629" s="147"/>
      <c r="I629" s="147"/>
      <c r="J629" s="147"/>
      <c r="K629" s="3"/>
      <c r="L629" s="3"/>
      <c r="M629" s="3"/>
      <c r="N629" s="3"/>
      <c r="O629" s="3"/>
      <c r="P629" s="3"/>
      <c r="Q629" s="3"/>
      <c r="R629" s="3"/>
      <c r="S629" s="3"/>
      <c r="T629" s="3"/>
      <c r="U629" s="3"/>
      <c r="V629" s="3"/>
      <c r="W629" s="3"/>
      <c r="X629" s="3"/>
      <c r="Y629" s="3"/>
      <c r="Z629" s="3"/>
    </row>
    <row r="630" spans="1:26" ht="22.5" customHeight="1" x14ac:dyDescent="0.85">
      <c r="A630" s="166"/>
      <c r="B630" s="167"/>
      <c r="C630" s="167"/>
      <c r="D630" s="147"/>
      <c r="E630" s="147"/>
      <c r="F630" s="147"/>
      <c r="G630" s="147"/>
      <c r="H630" s="147"/>
      <c r="I630" s="147"/>
      <c r="J630" s="147"/>
      <c r="K630" s="3"/>
      <c r="L630" s="3"/>
      <c r="M630" s="3"/>
      <c r="N630" s="3"/>
      <c r="O630" s="3"/>
      <c r="P630" s="3"/>
      <c r="Q630" s="3"/>
      <c r="R630" s="3"/>
      <c r="S630" s="3"/>
      <c r="T630" s="3"/>
      <c r="U630" s="3"/>
      <c r="V630" s="3"/>
      <c r="W630" s="3"/>
      <c r="X630" s="3"/>
      <c r="Y630" s="3"/>
      <c r="Z630" s="3"/>
    </row>
    <row r="631" spans="1:26" ht="22.5" customHeight="1" x14ac:dyDescent="0.85">
      <c r="A631" s="166"/>
      <c r="B631" s="167"/>
      <c r="C631" s="167"/>
      <c r="D631" s="147"/>
      <c r="E631" s="147"/>
      <c r="F631" s="147"/>
      <c r="G631" s="147"/>
      <c r="H631" s="147"/>
      <c r="I631" s="147"/>
      <c r="J631" s="147"/>
      <c r="K631" s="3"/>
      <c r="L631" s="3"/>
      <c r="M631" s="3"/>
      <c r="N631" s="3"/>
      <c r="O631" s="3"/>
      <c r="P631" s="3"/>
      <c r="Q631" s="3"/>
      <c r="R631" s="3"/>
      <c r="S631" s="3"/>
      <c r="T631" s="3"/>
      <c r="U631" s="3"/>
      <c r="V631" s="3"/>
      <c r="W631" s="3"/>
      <c r="X631" s="3"/>
      <c r="Y631" s="3"/>
      <c r="Z631" s="3"/>
    </row>
    <row r="632" spans="1:26" ht="22.5" customHeight="1" x14ac:dyDescent="0.85">
      <c r="A632" s="166"/>
      <c r="B632" s="167"/>
      <c r="C632" s="167"/>
      <c r="D632" s="147"/>
      <c r="E632" s="147"/>
      <c r="F632" s="147"/>
      <c r="G632" s="147"/>
      <c r="H632" s="147"/>
      <c r="I632" s="147"/>
      <c r="J632" s="147"/>
      <c r="K632" s="3"/>
      <c r="L632" s="3"/>
      <c r="M632" s="3"/>
      <c r="N632" s="3"/>
      <c r="O632" s="3"/>
      <c r="P632" s="3"/>
      <c r="Q632" s="3"/>
      <c r="R632" s="3"/>
      <c r="S632" s="3"/>
      <c r="T632" s="3"/>
      <c r="U632" s="3"/>
      <c r="V632" s="3"/>
      <c r="W632" s="3"/>
      <c r="X632" s="3"/>
      <c r="Y632" s="3"/>
      <c r="Z632" s="3"/>
    </row>
    <row r="633" spans="1:26" ht="22.5" customHeight="1" x14ac:dyDescent="0.85">
      <c r="A633" s="166"/>
      <c r="B633" s="167"/>
      <c r="C633" s="167"/>
      <c r="D633" s="147"/>
      <c r="E633" s="147"/>
      <c r="F633" s="147"/>
      <c r="G633" s="147"/>
      <c r="H633" s="147"/>
      <c r="I633" s="147"/>
      <c r="J633" s="147"/>
      <c r="K633" s="3"/>
      <c r="L633" s="3"/>
      <c r="M633" s="3"/>
      <c r="N633" s="3"/>
      <c r="O633" s="3"/>
      <c r="P633" s="3"/>
      <c r="Q633" s="3"/>
      <c r="R633" s="3"/>
      <c r="S633" s="3"/>
      <c r="T633" s="3"/>
      <c r="U633" s="3"/>
      <c r="V633" s="3"/>
      <c r="W633" s="3"/>
      <c r="X633" s="3"/>
      <c r="Y633" s="3"/>
      <c r="Z633" s="3"/>
    </row>
    <row r="634" spans="1:26" ht="22.5" customHeight="1" x14ac:dyDescent="0.85">
      <c r="A634" s="166"/>
      <c r="B634" s="167"/>
      <c r="C634" s="167"/>
      <c r="D634" s="147"/>
      <c r="E634" s="147"/>
      <c r="F634" s="147"/>
      <c r="G634" s="147"/>
      <c r="H634" s="147"/>
      <c r="I634" s="147"/>
      <c r="J634" s="147"/>
      <c r="K634" s="3"/>
      <c r="L634" s="3"/>
      <c r="M634" s="3"/>
      <c r="N634" s="3"/>
      <c r="O634" s="3"/>
      <c r="P634" s="3"/>
      <c r="Q634" s="3"/>
      <c r="R634" s="3"/>
      <c r="S634" s="3"/>
      <c r="T634" s="3"/>
      <c r="U634" s="3"/>
      <c r="V634" s="3"/>
      <c r="W634" s="3"/>
      <c r="X634" s="3"/>
      <c r="Y634" s="3"/>
      <c r="Z634" s="3"/>
    </row>
    <row r="635" spans="1:26" ht="22.5" customHeight="1" x14ac:dyDescent="0.85">
      <c r="A635" s="166"/>
      <c r="B635" s="167"/>
      <c r="C635" s="167"/>
      <c r="D635" s="147"/>
      <c r="E635" s="147"/>
      <c r="F635" s="147"/>
      <c r="G635" s="147"/>
      <c r="H635" s="147"/>
      <c r="I635" s="147"/>
      <c r="J635" s="147"/>
      <c r="K635" s="3"/>
      <c r="L635" s="3"/>
      <c r="M635" s="3"/>
      <c r="N635" s="3"/>
      <c r="O635" s="3"/>
      <c r="P635" s="3"/>
      <c r="Q635" s="3"/>
      <c r="R635" s="3"/>
      <c r="S635" s="3"/>
      <c r="T635" s="3"/>
      <c r="U635" s="3"/>
      <c r="V635" s="3"/>
      <c r="W635" s="3"/>
      <c r="X635" s="3"/>
      <c r="Y635" s="3"/>
      <c r="Z635" s="3"/>
    </row>
    <row r="636" spans="1:26" ht="22.5" customHeight="1" x14ac:dyDescent="0.85">
      <c r="A636" s="166"/>
      <c r="B636" s="167"/>
      <c r="C636" s="167"/>
      <c r="D636" s="147"/>
      <c r="E636" s="147"/>
      <c r="F636" s="147"/>
      <c r="G636" s="147"/>
      <c r="H636" s="147"/>
      <c r="I636" s="147"/>
      <c r="J636" s="147"/>
      <c r="K636" s="3"/>
      <c r="L636" s="3"/>
      <c r="M636" s="3"/>
      <c r="N636" s="3"/>
      <c r="O636" s="3"/>
      <c r="P636" s="3"/>
      <c r="Q636" s="3"/>
      <c r="R636" s="3"/>
      <c r="S636" s="3"/>
      <c r="T636" s="3"/>
      <c r="U636" s="3"/>
      <c r="V636" s="3"/>
      <c r="W636" s="3"/>
      <c r="X636" s="3"/>
      <c r="Y636" s="3"/>
      <c r="Z636" s="3"/>
    </row>
    <row r="637" spans="1:26" ht="22.5" customHeight="1" x14ac:dyDescent="0.85">
      <c r="A637" s="166"/>
      <c r="B637" s="167"/>
      <c r="C637" s="167"/>
      <c r="D637" s="147"/>
      <c r="E637" s="147"/>
      <c r="F637" s="147"/>
      <c r="G637" s="147"/>
      <c r="H637" s="147"/>
      <c r="I637" s="147"/>
      <c r="J637" s="147"/>
      <c r="K637" s="3"/>
      <c r="L637" s="3"/>
      <c r="M637" s="3"/>
      <c r="N637" s="3"/>
      <c r="O637" s="3"/>
      <c r="P637" s="3"/>
      <c r="Q637" s="3"/>
      <c r="R637" s="3"/>
      <c r="S637" s="3"/>
      <c r="T637" s="3"/>
      <c r="U637" s="3"/>
      <c r="V637" s="3"/>
      <c r="W637" s="3"/>
      <c r="X637" s="3"/>
      <c r="Y637" s="3"/>
      <c r="Z637" s="3"/>
    </row>
    <row r="638" spans="1:26" ht="22.5" customHeight="1" x14ac:dyDescent="0.85">
      <c r="A638" s="166"/>
      <c r="B638" s="167"/>
      <c r="C638" s="167"/>
      <c r="D638" s="147"/>
      <c r="E638" s="147"/>
      <c r="F638" s="147"/>
      <c r="G638" s="147"/>
      <c r="H638" s="147"/>
      <c r="I638" s="147"/>
      <c r="J638" s="147"/>
      <c r="K638" s="3"/>
      <c r="L638" s="3"/>
      <c r="M638" s="3"/>
      <c r="N638" s="3"/>
      <c r="O638" s="3"/>
      <c r="P638" s="3"/>
      <c r="Q638" s="3"/>
      <c r="R638" s="3"/>
      <c r="S638" s="3"/>
      <c r="T638" s="3"/>
      <c r="U638" s="3"/>
      <c r="V638" s="3"/>
      <c r="W638" s="3"/>
      <c r="X638" s="3"/>
      <c r="Y638" s="3"/>
      <c r="Z638" s="3"/>
    </row>
    <row r="639" spans="1:26" ht="22.5" customHeight="1" x14ac:dyDescent="0.85">
      <c r="A639" s="166"/>
      <c r="B639" s="167"/>
      <c r="C639" s="167"/>
      <c r="D639" s="147"/>
      <c r="E639" s="147"/>
      <c r="F639" s="147"/>
      <c r="G639" s="147"/>
      <c r="H639" s="147"/>
      <c r="I639" s="147"/>
      <c r="J639" s="147"/>
      <c r="K639" s="3"/>
      <c r="L639" s="3"/>
      <c r="M639" s="3"/>
      <c r="N639" s="3"/>
      <c r="O639" s="3"/>
      <c r="P639" s="3"/>
      <c r="Q639" s="3"/>
      <c r="R639" s="3"/>
      <c r="S639" s="3"/>
      <c r="T639" s="3"/>
      <c r="U639" s="3"/>
      <c r="V639" s="3"/>
      <c r="W639" s="3"/>
      <c r="X639" s="3"/>
      <c r="Y639" s="3"/>
      <c r="Z639" s="3"/>
    </row>
    <row r="640" spans="1:26" ht="22.5" customHeight="1" x14ac:dyDescent="0.85">
      <c r="A640" s="166"/>
      <c r="B640" s="167"/>
      <c r="C640" s="167"/>
      <c r="D640" s="147"/>
      <c r="E640" s="147"/>
      <c r="F640" s="147"/>
      <c r="G640" s="147"/>
      <c r="H640" s="147"/>
      <c r="I640" s="147"/>
      <c r="J640" s="147"/>
      <c r="K640" s="3"/>
      <c r="L640" s="3"/>
      <c r="M640" s="3"/>
      <c r="N640" s="3"/>
      <c r="O640" s="3"/>
      <c r="P640" s="3"/>
      <c r="Q640" s="3"/>
      <c r="R640" s="3"/>
      <c r="S640" s="3"/>
      <c r="T640" s="3"/>
      <c r="U640" s="3"/>
      <c r="V640" s="3"/>
      <c r="W640" s="3"/>
      <c r="X640" s="3"/>
      <c r="Y640" s="3"/>
      <c r="Z640" s="3"/>
    </row>
    <row r="641" spans="1:26" ht="22.5" customHeight="1" x14ac:dyDescent="0.85">
      <c r="A641" s="166"/>
      <c r="B641" s="167"/>
      <c r="C641" s="167"/>
      <c r="D641" s="147"/>
      <c r="E641" s="147"/>
      <c r="F641" s="147"/>
      <c r="G641" s="147"/>
      <c r="H641" s="147"/>
      <c r="I641" s="147"/>
      <c r="J641" s="147"/>
      <c r="K641" s="3"/>
      <c r="L641" s="3"/>
      <c r="M641" s="3"/>
      <c r="N641" s="3"/>
      <c r="O641" s="3"/>
      <c r="P641" s="3"/>
      <c r="Q641" s="3"/>
      <c r="R641" s="3"/>
      <c r="S641" s="3"/>
      <c r="T641" s="3"/>
      <c r="U641" s="3"/>
      <c r="V641" s="3"/>
      <c r="W641" s="3"/>
      <c r="X641" s="3"/>
      <c r="Y641" s="3"/>
      <c r="Z641" s="3"/>
    </row>
    <row r="642" spans="1:26" ht="22.5" customHeight="1" x14ac:dyDescent="0.85">
      <c r="A642" s="166"/>
      <c r="B642" s="167"/>
      <c r="C642" s="167"/>
      <c r="D642" s="147"/>
      <c r="E642" s="147"/>
      <c r="F642" s="147"/>
      <c r="G642" s="147"/>
      <c r="H642" s="147"/>
      <c r="I642" s="147"/>
      <c r="J642" s="147"/>
      <c r="K642" s="3"/>
      <c r="L642" s="3"/>
      <c r="M642" s="3"/>
      <c r="N642" s="3"/>
      <c r="O642" s="3"/>
      <c r="P642" s="3"/>
      <c r="Q642" s="3"/>
      <c r="R642" s="3"/>
      <c r="S642" s="3"/>
      <c r="T642" s="3"/>
      <c r="U642" s="3"/>
      <c r="V642" s="3"/>
      <c r="W642" s="3"/>
      <c r="X642" s="3"/>
      <c r="Y642" s="3"/>
      <c r="Z642" s="3"/>
    </row>
    <row r="643" spans="1:26" ht="22.5" customHeight="1" x14ac:dyDescent="0.85">
      <c r="A643" s="166"/>
      <c r="B643" s="167"/>
      <c r="C643" s="167"/>
      <c r="D643" s="147"/>
      <c r="E643" s="147"/>
      <c r="F643" s="147"/>
      <c r="G643" s="147"/>
      <c r="H643" s="147"/>
      <c r="I643" s="147"/>
      <c r="J643" s="147"/>
      <c r="K643" s="3"/>
      <c r="L643" s="3"/>
      <c r="M643" s="3"/>
      <c r="N643" s="3"/>
      <c r="O643" s="3"/>
      <c r="P643" s="3"/>
      <c r="Q643" s="3"/>
      <c r="R643" s="3"/>
      <c r="S643" s="3"/>
      <c r="T643" s="3"/>
      <c r="U643" s="3"/>
      <c r="V643" s="3"/>
      <c r="W643" s="3"/>
      <c r="X643" s="3"/>
      <c r="Y643" s="3"/>
      <c r="Z643" s="3"/>
    </row>
    <row r="644" spans="1:26" ht="22.5" customHeight="1" x14ac:dyDescent="0.85">
      <c r="A644" s="166"/>
      <c r="B644" s="167"/>
      <c r="C644" s="167"/>
      <c r="D644" s="147"/>
      <c r="E644" s="147"/>
      <c r="F644" s="147"/>
      <c r="G644" s="147"/>
      <c r="H644" s="147"/>
      <c r="I644" s="147"/>
      <c r="J644" s="147"/>
      <c r="K644" s="3"/>
      <c r="L644" s="3"/>
      <c r="M644" s="3"/>
      <c r="N644" s="3"/>
      <c r="O644" s="3"/>
      <c r="P644" s="3"/>
      <c r="Q644" s="3"/>
      <c r="R644" s="3"/>
      <c r="S644" s="3"/>
      <c r="T644" s="3"/>
      <c r="U644" s="3"/>
      <c r="V644" s="3"/>
      <c r="W644" s="3"/>
      <c r="X644" s="3"/>
      <c r="Y644" s="3"/>
      <c r="Z644" s="3"/>
    </row>
    <row r="645" spans="1:26" ht="22.5" customHeight="1" x14ac:dyDescent="0.85">
      <c r="A645" s="166"/>
      <c r="B645" s="167"/>
      <c r="C645" s="167"/>
      <c r="D645" s="147"/>
      <c r="E645" s="147"/>
      <c r="F645" s="147"/>
      <c r="G645" s="147"/>
      <c r="H645" s="147"/>
      <c r="I645" s="147"/>
      <c r="J645" s="147"/>
      <c r="K645" s="3"/>
      <c r="L645" s="3"/>
      <c r="M645" s="3"/>
      <c r="N645" s="3"/>
      <c r="O645" s="3"/>
      <c r="P645" s="3"/>
      <c r="Q645" s="3"/>
      <c r="R645" s="3"/>
      <c r="S645" s="3"/>
      <c r="T645" s="3"/>
      <c r="U645" s="3"/>
      <c r="V645" s="3"/>
      <c r="W645" s="3"/>
      <c r="X645" s="3"/>
      <c r="Y645" s="3"/>
      <c r="Z645" s="3"/>
    </row>
    <row r="646" spans="1:26" ht="22.5" customHeight="1" x14ac:dyDescent="0.85">
      <c r="A646" s="166"/>
      <c r="B646" s="167"/>
      <c r="C646" s="167"/>
      <c r="D646" s="147"/>
      <c r="E646" s="147"/>
      <c r="F646" s="147"/>
      <c r="G646" s="147"/>
      <c r="H646" s="147"/>
      <c r="I646" s="147"/>
      <c r="J646" s="147"/>
      <c r="K646" s="3"/>
      <c r="L646" s="3"/>
      <c r="M646" s="3"/>
      <c r="N646" s="3"/>
      <c r="O646" s="3"/>
      <c r="P646" s="3"/>
      <c r="Q646" s="3"/>
      <c r="R646" s="3"/>
      <c r="S646" s="3"/>
      <c r="T646" s="3"/>
      <c r="U646" s="3"/>
      <c r="V646" s="3"/>
      <c r="W646" s="3"/>
      <c r="X646" s="3"/>
      <c r="Y646" s="3"/>
      <c r="Z646" s="3"/>
    </row>
    <row r="647" spans="1:26" ht="22.5" customHeight="1" x14ac:dyDescent="0.85">
      <c r="A647" s="166"/>
      <c r="B647" s="167"/>
      <c r="C647" s="167"/>
      <c r="D647" s="147"/>
      <c r="E647" s="147"/>
      <c r="F647" s="147"/>
      <c r="G647" s="147"/>
      <c r="H647" s="147"/>
      <c r="I647" s="147"/>
      <c r="J647" s="147"/>
      <c r="K647" s="3"/>
      <c r="L647" s="3"/>
      <c r="M647" s="3"/>
      <c r="N647" s="3"/>
      <c r="O647" s="3"/>
      <c r="P647" s="3"/>
      <c r="Q647" s="3"/>
      <c r="R647" s="3"/>
      <c r="S647" s="3"/>
      <c r="T647" s="3"/>
      <c r="U647" s="3"/>
      <c r="V647" s="3"/>
      <c r="W647" s="3"/>
      <c r="X647" s="3"/>
      <c r="Y647" s="3"/>
      <c r="Z647" s="3"/>
    </row>
    <row r="648" spans="1:26" ht="22.5" customHeight="1" x14ac:dyDescent="0.85">
      <c r="A648" s="166"/>
      <c r="B648" s="167"/>
      <c r="C648" s="167"/>
      <c r="D648" s="147"/>
      <c r="E648" s="147"/>
      <c r="F648" s="147"/>
      <c r="G648" s="147"/>
      <c r="H648" s="147"/>
      <c r="I648" s="147"/>
      <c r="J648" s="147"/>
      <c r="K648" s="3"/>
      <c r="L648" s="3"/>
      <c r="M648" s="3"/>
      <c r="N648" s="3"/>
      <c r="O648" s="3"/>
      <c r="P648" s="3"/>
      <c r="Q648" s="3"/>
      <c r="R648" s="3"/>
      <c r="S648" s="3"/>
      <c r="T648" s="3"/>
      <c r="U648" s="3"/>
      <c r="V648" s="3"/>
      <c r="W648" s="3"/>
      <c r="X648" s="3"/>
      <c r="Y648" s="3"/>
      <c r="Z648" s="3"/>
    </row>
    <row r="649" spans="1:26" ht="22.5" customHeight="1" x14ac:dyDescent="0.85">
      <c r="A649" s="166"/>
      <c r="B649" s="167"/>
      <c r="C649" s="167"/>
      <c r="D649" s="147"/>
      <c r="E649" s="147"/>
      <c r="F649" s="147"/>
      <c r="G649" s="147"/>
      <c r="H649" s="147"/>
      <c r="I649" s="147"/>
      <c r="J649" s="147"/>
      <c r="K649" s="3"/>
      <c r="L649" s="3"/>
      <c r="M649" s="3"/>
      <c r="N649" s="3"/>
      <c r="O649" s="3"/>
      <c r="P649" s="3"/>
      <c r="Q649" s="3"/>
      <c r="R649" s="3"/>
      <c r="S649" s="3"/>
      <c r="T649" s="3"/>
      <c r="U649" s="3"/>
      <c r="V649" s="3"/>
      <c r="W649" s="3"/>
      <c r="X649" s="3"/>
      <c r="Y649" s="3"/>
      <c r="Z649" s="3"/>
    </row>
    <row r="650" spans="1:26" ht="22.5" customHeight="1" x14ac:dyDescent="0.85">
      <c r="A650" s="166"/>
      <c r="B650" s="167"/>
      <c r="C650" s="167"/>
      <c r="D650" s="147"/>
      <c r="E650" s="147"/>
      <c r="F650" s="147"/>
      <c r="G650" s="147"/>
      <c r="H650" s="147"/>
      <c r="I650" s="147"/>
      <c r="J650" s="147"/>
      <c r="K650" s="3"/>
      <c r="L650" s="3"/>
      <c r="M650" s="3"/>
      <c r="N650" s="3"/>
      <c r="O650" s="3"/>
      <c r="P650" s="3"/>
      <c r="Q650" s="3"/>
      <c r="R650" s="3"/>
      <c r="S650" s="3"/>
      <c r="T650" s="3"/>
      <c r="U650" s="3"/>
      <c r="V650" s="3"/>
      <c r="W650" s="3"/>
      <c r="X650" s="3"/>
      <c r="Y650" s="3"/>
      <c r="Z650" s="3"/>
    </row>
    <row r="651" spans="1:26" ht="22.5" customHeight="1" x14ac:dyDescent="0.85">
      <c r="A651" s="166"/>
      <c r="B651" s="167"/>
      <c r="C651" s="167"/>
      <c r="D651" s="147"/>
      <c r="E651" s="147"/>
      <c r="F651" s="147"/>
      <c r="G651" s="147"/>
      <c r="H651" s="147"/>
      <c r="I651" s="147"/>
      <c r="J651" s="147"/>
      <c r="K651" s="3"/>
      <c r="L651" s="3"/>
      <c r="M651" s="3"/>
      <c r="N651" s="3"/>
      <c r="O651" s="3"/>
      <c r="P651" s="3"/>
      <c r="Q651" s="3"/>
      <c r="R651" s="3"/>
      <c r="S651" s="3"/>
      <c r="T651" s="3"/>
      <c r="U651" s="3"/>
      <c r="V651" s="3"/>
      <c r="W651" s="3"/>
      <c r="X651" s="3"/>
      <c r="Y651" s="3"/>
      <c r="Z651" s="3"/>
    </row>
    <row r="652" spans="1:26" ht="22.5" customHeight="1" x14ac:dyDescent="0.85">
      <c r="A652" s="166"/>
      <c r="B652" s="167"/>
      <c r="C652" s="167"/>
      <c r="D652" s="147"/>
      <c r="E652" s="147"/>
      <c r="F652" s="147"/>
      <c r="G652" s="147"/>
      <c r="H652" s="147"/>
      <c r="I652" s="147"/>
      <c r="J652" s="147"/>
      <c r="K652" s="3"/>
      <c r="L652" s="3"/>
      <c r="M652" s="3"/>
      <c r="N652" s="3"/>
      <c r="O652" s="3"/>
      <c r="P652" s="3"/>
      <c r="Q652" s="3"/>
      <c r="R652" s="3"/>
      <c r="S652" s="3"/>
      <c r="T652" s="3"/>
      <c r="U652" s="3"/>
      <c r="V652" s="3"/>
      <c r="W652" s="3"/>
      <c r="X652" s="3"/>
      <c r="Y652" s="3"/>
      <c r="Z652" s="3"/>
    </row>
    <row r="653" spans="1:26" ht="22.5" customHeight="1" x14ac:dyDescent="0.85">
      <c r="A653" s="166"/>
      <c r="B653" s="167"/>
      <c r="C653" s="167"/>
      <c r="D653" s="147"/>
      <c r="E653" s="147"/>
      <c r="F653" s="147"/>
      <c r="G653" s="147"/>
      <c r="H653" s="147"/>
      <c r="I653" s="147"/>
      <c r="J653" s="147"/>
      <c r="K653" s="3"/>
      <c r="L653" s="3"/>
      <c r="M653" s="3"/>
      <c r="N653" s="3"/>
      <c r="O653" s="3"/>
      <c r="P653" s="3"/>
      <c r="Q653" s="3"/>
      <c r="R653" s="3"/>
      <c r="S653" s="3"/>
      <c r="T653" s="3"/>
      <c r="U653" s="3"/>
      <c r="V653" s="3"/>
      <c r="W653" s="3"/>
      <c r="X653" s="3"/>
      <c r="Y653" s="3"/>
      <c r="Z653" s="3"/>
    </row>
    <row r="654" spans="1:26" ht="22.5" customHeight="1" x14ac:dyDescent="0.85">
      <c r="A654" s="166"/>
      <c r="B654" s="167"/>
      <c r="C654" s="167"/>
      <c r="D654" s="147"/>
      <c r="E654" s="147"/>
      <c r="F654" s="147"/>
      <c r="G654" s="147"/>
      <c r="H654" s="147"/>
      <c r="I654" s="147"/>
      <c r="J654" s="147"/>
      <c r="K654" s="3"/>
      <c r="L654" s="3"/>
      <c r="M654" s="3"/>
      <c r="N654" s="3"/>
      <c r="O654" s="3"/>
      <c r="P654" s="3"/>
      <c r="Q654" s="3"/>
      <c r="R654" s="3"/>
      <c r="S654" s="3"/>
      <c r="T654" s="3"/>
      <c r="U654" s="3"/>
      <c r="V654" s="3"/>
      <c r="W654" s="3"/>
      <c r="X654" s="3"/>
      <c r="Y654" s="3"/>
      <c r="Z654" s="3"/>
    </row>
    <row r="655" spans="1:26" ht="22.5" customHeight="1" x14ac:dyDescent="0.85">
      <c r="A655" s="166"/>
      <c r="B655" s="167"/>
      <c r="C655" s="167"/>
      <c r="D655" s="147"/>
      <c r="E655" s="147"/>
      <c r="F655" s="147"/>
      <c r="G655" s="147"/>
      <c r="H655" s="147"/>
      <c r="I655" s="147"/>
      <c r="J655" s="147"/>
      <c r="K655" s="3"/>
      <c r="L655" s="3"/>
      <c r="M655" s="3"/>
      <c r="N655" s="3"/>
      <c r="O655" s="3"/>
      <c r="P655" s="3"/>
      <c r="Q655" s="3"/>
      <c r="R655" s="3"/>
      <c r="S655" s="3"/>
      <c r="T655" s="3"/>
      <c r="U655" s="3"/>
      <c r="V655" s="3"/>
      <c r="W655" s="3"/>
      <c r="X655" s="3"/>
      <c r="Y655" s="3"/>
      <c r="Z655" s="3"/>
    </row>
    <row r="656" spans="1:26" ht="22.5" customHeight="1" x14ac:dyDescent="0.85">
      <c r="A656" s="166"/>
      <c r="B656" s="167"/>
      <c r="C656" s="167"/>
      <c r="D656" s="147"/>
      <c r="E656" s="147"/>
      <c r="F656" s="147"/>
      <c r="G656" s="147"/>
      <c r="H656" s="147"/>
      <c r="I656" s="147"/>
      <c r="J656" s="147"/>
      <c r="K656" s="3"/>
      <c r="L656" s="3"/>
      <c r="M656" s="3"/>
      <c r="N656" s="3"/>
      <c r="O656" s="3"/>
      <c r="P656" s="3"/>
      <c r="Q656" s="3"/>
      <c r="R656" s="3"/>
      <c r="S656" s="3"/>
      <c r="T656" s="3"/>
      <c r="U656" s="3"/>
      <c r="V656" s="3"/>
      <c r="W656" s="3"/>
      <c r="X656" s="3"/>
      <c r="Y656" s="3"/>
      <c r="Z656" s="3"/>
    </row>
    <row r="657" spans="1:26" ht="22.5" customHeight="1" x14ac:dyDescent="0.85">
      <c r="A657" s="166"/>
      <c r="B657" s="167"/>
      <c r="C657" s="167"/>
      <c r="D657" s="147"/>
      <c r="E657" s="147"/>
      <c r="F657" s="147"/>
      <c r="G657" s="147"/>
      <c r="H657" s="147"/>
      <c r="I657" s="147"/>
      <c r="J657" s="147"/>
      <c r="K657" s="3"/>
      <c r="L657" s="3"/>
      <c r="M657" s="3"/>
      <c r="N657" s="3"/>
      <c r="O657" s="3"/>
      <c r="P657" s="3"/>
      <c r="Q657" s="3"/>
      <c r="R657" s="3"/>
      <c r="S657" s="3"/>
      <c r="T657" s="3"/>
      <c r="U657" s="3"/>
      <c r="V657" s="3"/>
      <c r="W657" s="3"/>
      <c r="X657" s="3"/>
      <c r="Y657" s="3"/>
      <c r="Z657" s="3"/>
    </row>
    <row r="658" spans="1:26" ht="22.5" customHeight="1" x14ac:dyDescent="0.85">
      <c r="A658" s="166"/>
      <c r="B658" s="167"/>
      <c r="C658" s="167"/>
      <c r="D658" s="147"/>
      <c r="E658" s="147"/>
      <c r="F658" s="147"/>
      <c r="G658" s="147"/>
      <c r="H658" s="147"/>
      <c r="I658" s="147"/>
      <c r="J658" s="147"/>
      <c r="K658" s="3"/>
      <c r="L658" s="3"/>
      <c r="M658" s="3"/>
      <c r="N658" s="3"/>
      <c r="O658" s="3"/>
      <c r="P658" s="3"/>
      <c r="Q658" s="3"/>
      <c r="R658" s="3"/>
      <c r="S658" s="3"/>
      <c r="T658" s="3"/>
      <c r="U658" s="3"/>
      <c r="V658" s="3"/>
      <c r="W658" s="3"/>
      <c r="X658" s="3"/>
      <c r="Y658" s="3"/>
      <c r="Z658" s="3"/>
    </row>
    <row r="659" spans="1:26" ht="22.5" customHeight="1" x14ac:dyDescent="0.85">
      <c r="A659" s="166"/>
      <c r="B659" s="167"/>
      <c r="C659" s="167"/>
      <c r="D659" s="147"/>
      <c r="E659" s="147"/>
      <c r="F659" s="147"/>
      <c r="G659" s="147"/>
      <c r="H659" s="147"/>
      <c r="I659" s="147"/>
      <c r="J659" s="147"/>
      <c r="K659" s="3"/>
      <c r="L659" s="3"/>
      <c r="M659" s="3"/>
      <c r="N659" s="3"/>
      <c r="O659" s="3"/>
      <c r="P659" s="3"/>
      <c r="Q659" s="3"/>
      <c r="R659" s="3"/>
      <c r="S659" s="3"/>
      <c r="T659" s="3"/>
      <c r="U659" s="3"/>
      <c r="V659" s="3"/>
      <c r="W659" s="3"/>
      <c r="X659" s="3"/>
      <c r="Y659" s="3"/>
      <c r="Z659" s="3"/>
    </row>
    <row r="660" spans="1:26" ht="22.5" customHeight="1" x14ac:dyDescent="0.85">
      <c r="A660" s="166"/>
      <c r="B660" s="167"/>
      <c r="C660" s="167"/>
      <c r="D660" s="147"/>
      <c r="E660" s="147"/>
      <c r="F660" s="147"/>
      <c r="G660" s="147"/>
      <c r="H660" s="147"/>
      <c r="I660" s="147"/>
      <c r="J660" s="147"/>
      <c r="K660" s="3"/>
      <c r="L660" s="3"/>
      <c r="M660" s="3"/>
      <c r="N660" s="3"/>
      <c r="O660" s="3"/>
      <c r="P660" s="3"/>
      <c r="Q660" s="3"/>
      <c r="R660" s="3"/>
      <c r="S660" s="3"/>
      <c r="T660" s="3"/>
      <c r="U660" s="3"/>
      <c r="V660" s="3"/>
      <c r="W660" s="3"/>
      <c r="X660" s="3"/>
      <c r="Y660" s="3"/>
      <c r="Z660" s="3"/>
    </row>
    <row r="661" spans="1:26" ht="22.5" customHeight="1" x14ac:dyDescent="0.85">
      <c r="A661" s="166"/>
      <c r="B661" s="167"/>
      <c r="C661" s="167"/>
      <c r="D661" s="147"/>
      <c r="E661" s="147"/>
      <c r="F661" s="147"/>
      <c r="G661" s="147"/>
      <c r="H661" s="147"/>
      <c r="I661" s="147"/>
      <c r="J661" s="147"/>
      <c r="K661" s="3"/>
      <c r="L661" s="3"/>
      <c r="M661" s="3"/>
      <c r="N661" s="3"/>
      <c r="O661" s="3"/>
      <c r="P661" s="3"/>
      <c r="Q661" s="3"/>
      <c r="R661" s="3"/>
      <c r="S661" s="3"/>
      <c r="T661" s="3"/>
      <c r="U661" s="3"/>
      <c r="V661" s="3"/>
      <c r="W661" s="3"/>
      <c r="X661" s="3"/>
      <c r="Y661" s="3"/>
      <c r="Z661" s="3"/>
    </row>
    <row r="662" spans="1:26" ht="22.5" customHeight="1" x14ac:dyDescent="0.85">
      <c r="A662" s="166"/>
      <c r="B662" s="167"/>
      <c r="C662" s="167"/>
      <c r="D662" s="147"/>
      <c r="E662" s="147"/>
      <c r="F662" s="147"/>
      <c r="G662" s="147"/>
      <c r="H662" s="147"/>
      <c r="I662" s="147"/>
      <c r="J662" s="147"/>
      <c r="K662" s="3"/>
      <c r="L662" s="3"/>
      <c r="M662" s="3"/>
      <c r="N662" s="3"/>
      <c r="O662" s="3"/>
      <c r="P662" s="3"/>
      <c r="Q662" s="3"/>
      <c r="R662" s="3"/>
      <c r="S662" s="3"/>
      <c r="T662" s="3"/>
      <c r="U662" s="3"/>
      <c r="V662" s="3"/>
      <c r="W662" s="3"/>
      <c r="X662" s="3"/>
      <c r="Y662" s="3"/>
      <c r="Z662" s="3"/>
    </row>
    <row r="663" spans="1:26" ht="22.5" customHeight="1" x14ac:dyDescent="0.85">
      <c r="A663" s="166"/>
      <c r="B663" s="167"/>
      <c r="C663" s="167"/>
      <c r="D663" s="147"/>
      <c r="E663" s="147"/>
      <c r="F663" s="147"/>
      <c r="G663" s="147"/>
      <c r="H663" s="147"/>
      <c r="I663" s="147"/>
      <c r="J663" s="147"/>
      <c r="K663" s="3"/>
      <c r="L663" s="3"/>
      <c r="M663" s="3"/>
      <c r="N663" s="3"/>
      <c r="O663" s="3"/>
      <c r="P663" s="3"/>
      <c r="Q663" s="3"/>
      <c r="R663" s="3"/>
      <c r="S663" s="3"/>
      <c r="T663" s="3"/>
      <c r="U663" s="3"/>
      <c r="V663" s="3"/>
      <c r="W663" s="3"/>
      <c r="X663" s="3"/>
      <c r="Y663" s="3"/>
      <c r="Z663" s="3"/>
    </row>
    <row r="664" spans="1:26" ht="22.5" customHeight="1" x14ac:dyDescent="0.85">
      <c r="A664" s="166"/>
      <c r="B664" s="167"/>
      <c r="C664" s="167"/>
      <c r="D664" s="147"/>
      <c r="E664" s="147"/>
      <c r="F664" s="147"/>
      <c r="G664" s="147"/>
      <c r="H664" s="147"/>
      <c r="I664" s="147"/>
      <c r="J664" s="147"/>
      <c r="K664" s="3"/>
      <c r="L664" s="3"/>
      <c r="M664" s="3"/>
      <c r="N664" s="3"/>
      <c r="O664" s="3"/>
      <c r="P664" s="3"/>
      <c r="Q664" s="3"/>
      <c r="R664" s="3"/>
      <c r="S664" s="3"/>
      <c r="T664" s="3"/>
      <c r="U664" s="3"/>
      <c r="V664" s="3"/>
      <c r="W664" s="3"/>
      <c r="X664" s="3"/>
      <c r="Y664" s="3"/>
      <c r="Z664" s="3"/>
    </row>
    <row r="665" spans="1:26" ht="22.5" customHeight="1" x14ac:dyDescent="0.85">
      <c r="A665" s="166"/>
      <c r="B665" s="167"/>
      <c r="C665" s="167"/>
      <c r="D665" s="147"/>
      <c r="E665" s="147"/>
      <c r="F665" s="147"/>
      <c r="G665" s="147"/>
      <c r="H665" s="147"/>
      <c r="I665" s="147"/>
      <c r="J665" s="147"/>
      <c r="K665" s="3"/>
      <c r="L665" s="3"/>
      <c r="M665" s="3"/>
      <c r="N665" s="3"/>
      <c r="O665" s="3"/>
      <c r="P665" s="3"/>
      <c r="Q665" s="3"/>
      <c r="R665" s="3"/>
      <c r="S665" s="3"/>
      <c r="T665" s="3"/>
      <c r="U665" s="3"/>
      <c r="V665" s="3"/>
      <c r="W665" s="3"/>
      <c r="X665" s="3"/>
      <c r="Y665" s="3"/>
      <c r="Z665" s="3"/>
    </row>
    <row r="666" spans="1:26" ht="22.5" customHeight="1" x14ac:dyDescent="0.85">
      <c r="A666" s="166"/>
      <c r="B666" s="167"/>
      <c r="C666" s="167"/>
      <c r="D666" s="147"/>
      <c r="E666" s="147"/>
      <c r="F666" s="147"/>
      <c r="G666" s="147"/>
      <c r="H666" s="147"/>
      <c r="I666" s="147"/>
      <c r="J666" s="147"/>
      <c r="K666" s="3"/>
      <c r="L666" s="3"/>
      <c r="M666" s="3"/>
      <c r="N666" s="3"/>
      <c r="O666" s="3"/>
      <c r="P666" s="3"/>
      <c r="Q666" s="3"/>
      <c r="R666" s="3"/>
      <c r="S666" s="3"/>
      <c r="T666" s="3"/>
      <c r="U666" s="3"/>
      <c r="V666" s="3"/>
      <c r="W666" s="3"/>
      <c r="X666" s="3"/>
      <c r="Y666" s="3"/>
      <c r="Z666" s="3"/>
    </row>
    <row r="667" spans="1:26" ht="22.5" customHeight="1" x14ac:dyDescent="0.85">
      <c r="A667" s="166"/>
      <c r="B667" s="167"/>
      <c r="C667" s="167"/>
      <c r="D667" s="147"/>
      <c r="E667" s="147"/>
      <c r="F667" s="147"/>
      <c r="G667" s="147"/>
      <c r="H667" s="147"/>
      <c r="I667" s="147"/>
      <c r="J667" s="147"/>
      <c r="K667" s="3"/>
      <c r="L667" s="3"/>
      <c r="M667" s="3"/>
      <c r="N667" s="3"/>
      <c r="O667" s="3"/>
      <c r="P667" s="3"/>
      <c r="Q667" s="3"/>
      <c r="R667" s="3"/>
      <c r="S667" s="3"/>
      <c r="T667" s="3"/>
      <c r="U667" s="3"/>
      <c r="V667" s="3"/>
      <c r="W667" s="3"/>
      <c r="X667" s="3"/>
      <c r="Y667" s="3"/>
      <c r="Z667" s="3"/>
    </row>
    <row r="668" spans="1:26" ht="22.5" customHeight="1" x14ac:dyDescent="0.85">
      <c r="A668" s="166"/>
      <c r="B668" s="167"/>
      <c r="C668" s="167"/>
      <c r="D668" s="147"/>
      <c r="E668" s="147"/>
      <c r="F668" s="147"/>
      <c r="G668" s="147"/>
      <c r="H668" s="147"/>
      <c r="I668" s="147"/>
      <c r="J668" s="147"/>
      <c r="K668" s="3"/>
      <c r="L668" s="3"/>
      <c r="M668" s="3"/>
      <c r="N668" s="3"/>
      <c r="O668" s="3"/>
      <c r="P668" s="3"/>
      <c r="Q668" s="3"/>
      <c r="R668" s="3"/>
      <c r="S668" s="3"/>
      <c r="T668" s="3"/>
      <c r="U668" s="3"/>
      <c r="V668" s="3"/>
      <c r="W668" s="3"/>
      <c r="X668" s="3"/>
      <c r="Y668" s="3"/>
      <c r="Z668" s="3"/>
    </row>
    <row r="669" spans="1:26" ht="22.5" customHeight="1" x14ac:dyDescent="0.85">
      <c r="A669" s="166"/>
      <c r="B669" s="167"/>
      <c r="C669" s="167"/>
      <c r="D669" s="147"/>
      <c r="E669" s="147"/>
      <c r="F669" s="147"/>
      <c r="G669" s="147"/>
      <c r="H669" s="147"/>
      <c r="I669" s="147"/>
      <c r="J669" s="147"/>
      <c r="K669" s="3"/>
      <c r="L669" s="3"/>
      <c r="M669" s="3"/>
      <c r="N669" s="3"/>
      <c r="O669" s="3"/>
      <c r="P669" s="3"/>
      <c r="Q669" s="3"/>
      <c r="R669" s="3"/>
      <c r="S669" s="3"/>
      <c r="T669" s="3"/>
      <c r="U669" s="3"/>
      <c r="V669" s="3"/>
      <c r="W669" s="3"/>
      <c r="X669" s="3"/>
      <c r="Y669" s="3"/>
      <c r="Z669" s="3"/>
    </row>
    <row r="670" spans="1:26" ht="22.5" customHeight="1" x14ac:dyDescent="0.85">
      <c r="A670" s="166"/>
      <c r="B670" s="167"/>
      <c r="C670" s="167"/>
      <c r="D670" s="147"/>
      <c r="E670" s="147"/>
      <c r="F670" s="147"/>
      <c r="G670" s="147"/>
      <c r="H670" s="147"/>
      <c r="I670" s="147"/>
      <c r="J670" s="147"/>
      <c r="K670" s="3"/>
      <c r="L670" s="3"/>
      <c r="M670" s="3"/>
      <c r="N670" s="3"/>
      <c r="O670" s="3"/>
      <c r="P670" s="3"/>
      <c r="Q670" s="3"/>
      <c r="R670" s="3"/>
      <c r="S670" s="3"/>
      <c r="T670" s="3"/>
      <c r="U670" s="3"/>
      <c r="V670" s="3"/>
      <c r="W670" s="3"/>
      <c r="X670" s="3"/>
      <c r="Y670" s="3"/>
      <c r="Z670" s="3"/>
    </row>
    <row r="671" spans="1:26" ht="22.5" customHeight="1" x14ac:dyDescent="0.85">
      <c r="A671" s="166"/>
      <c r="B671" s="167"/>
      <c r="C671" s="167"/>
      <c r="D671" s="147"/>
      <c r="E671" s="147"/>
      <c r="F671" s="147"/>
      <c r="G671" s="147"/>
      <c r="H671" s="147"/>
      <c r="I671" s="147"/>
      <c r="J671" s="147"/>
      <c r="K671" s="3"/>
      <c r="L671" s="3"/>
      <c r="M671" s="3"/>
      <c r="N671" s="3"/>
      <c r="O671" s="3"/>
      <c r="P671" s="3"/>
      <c r="Q671" s="3"/>
      <c r="R671" s="3"/>
      <c r="S671" s="3"/>
      <c r="T671" s="3"/>
      <c r="U671" s="3"/>
      <c r="V671" s="3"/>
      <c r="W671" s="3"/>
      <c r="X671" s="3"/>
      <c r="Y671" s="3"/>
      <c r="Z671" s="3"/>
    </row>
    <row r="672" spans="1:26" ht="22.5" customHeight="1" x14ac:dyDescent="0.85">
      <c r="A672" s="166"/>
      <c r="B672" s="167"/>
      <c r="C672" s="167"/>
      <c r="D672" s="147"/>
      <c r="E672" s="147"/>
      <c r="F672" s="147"/>
      <c r="G672" s="147"/>
      <c r="H672" s="147"/>
      <c r="I672" s="147"/>
      <c r="J672" s="147"/>
      <c r="K672" s="3"/>
      <c r="L672" s="3"/>
      <c r="M672" s="3"/>
      <c r="N672" s="3"/>
      <c r="O672" s="3"/>
      <c r="P672" s="3"/>
      <c r="Q672" s="3"/>
      <c r="R672" s="3"/>
      <c r="S672" s="3"/>
      <c r="T672" s="3"/>
      <c r="U672" s="3"/>
      <c r="V672" s="3"/>
      <c r="W672" s="3"/>
      <c r="X672" s="3"/>
      <c r="Y672" s="3"/>
      <c r="Z672" s="3"/>
    </row>
    <row r="673" spans="1:26" ht="22.5" customHeight="1" x14ac:dyDescent="0.85">
      <c r="A673" s="166"/>
      <c r="B673" s="167"/>
      <c r="C673" s="167"/>
      <c r="D673" s="147"/>
      <c r="E673" s="147"/>
      <c r="F673" s="147"/>
      <c r="G673" s="147"/>
      <c r="H673" s="147"/>
      <c r="I673" s="147"/>
      <c r="J673" s="147"/>
      <c r="K673" s="3"/>
      <c r="L673" s="3"/>
      <c r="M673" s="3"/>
      <c r="N673" s="3"/>
      <c r="O673" s="3"/>
      <c r="P673" s="3"/>
      <c r="Q673" s="3"/>
      <c r="R673" s="3"/>
      <c r="S673" s="3"/>
      <c r="T673" s="3"/>
      <c r="U673" s="3"/>
      <c r="V673" s="3"/>
      <c r="W673" s="3"/>
      <c r="X673" s="3"/>
      <c r="Y673" s="3"/>
      <c r="Z673" s="3"/>
    </row>
    <row r="674" spans="1:26" ht="22.5" customHeight="1" x14ac:dyDescent="0.85">
      <c r="A674" s="166"/>
      <c r="B674" s="167"/>
      <c r="C674" s="167"/>
      <c r="D674" s="147"/>
      <c r="E674" s="147"/>
      <c r="F674" s="147"/>
      <c r="G674" s="147"/>
      <c r="H674" s="147"/>
      <c r="I674" s="147"/>
      <c r="J674" s="147"/>
      <c r="K674" s="3"/>
      <c r="L674" s="3"/>
      <c r="M674" s="3"/>
      <c r="N674" s="3"/>
      <c r="O674" s="3"/>
      <c r="P674" s="3"/>
      <c r="Q674" s="3"/>
      <c r="R674" s="3"/>
      <c r="S674" s="3"/>
      <c r="T674" s="3"/>
      <c r="U674" s="3"/>
      <c r="V674" s="3"/>
      <c r="W674" s="3"/>
      <c r="X674" s="3"/>
      <c r="Y674" s="3"/>
      <c r="Z674" s="3"/>
    </row>
    <row r="675" spans="1:26" ht="22.5" customHeight="1" x14ac:dyDescent="0.85">
      <c r="A675" s="166"/>
      <c r="B675" s="167"/>
      <c r="C675" s="167"/>
      <c r="D675" s="147"/>
      <c r="E675" s="147"/>
      <c r="F675" s="147"/>
      <c r="G675" s="147"/>
      <c r="H675" s="147"/>
      <c r="I675" s="147"/>
      <c r="J675" s="147"/>
      <c r="K675" s="3"/>
      <c r="L675" s="3"/>
      <c r="M675" s="3"/>
      <c r="N675" s="3"/>
      <c r="O675" s="3"/>
      <c r="P675" s="3"/>
      <c r="Q675" s="3"/>
      <c r="R675" s="3"/>
      <c r="S675" s="3"/>
      <c r="T675" s="3"/>
      <c r="U675" s="3"/>
      <c r="V675" s="3"/>
      <c r="W675" s="3"/>
      <c r="X675" s="3"/>
      <c r="Y675" s="3"/>
      <c r="Z675" s="3"/>
    </row>
    <row r="676" spans="1:26" ht="22.5" customHeight="1" x14ac:dyDescent="0.85">
      <c r="A676" s="166"/>
      <c r="B676" s="167"/>
      <c r="C676" s="167"/>
      <c r="D676" s="147"/>
      <c r="E676" s="147"/>
      <c r="F676" s="147"/>
      <c r="G676" s="147"/>
      <c r="H676" s="147"/>
      <c r="I676" s="147"/>
      <c r="J676" s="147"/>
      <c r="K676" s="3"/>
      <c r="L676" s="3"/>
      <c r="M676" s="3"/>
      <c r="N676" s="3"/>
      <c r="O676" s="3"/>
      <c r="P676" s="3"/>
      <c r="Q676" s="3"/>
      <c r="R676" s="3"/>
      <c r="S676" s="3"/>
      <c r="T676" s="3"/>
      <c r="U676" s="3"/>
      <c r="V676" s="3"/>
      <c r="W676" s="3"/>
      <c r="X676" s="3"/>
      <c r="Y676" s="3"/>
      <c r="Z676" s="3"/>
    </row>
    <row r="677" spans="1:26" ht="22.5" customHeight="1" x14ac:dyDescent="0.85">
      <c r="A677" s="166"/>
      <c r="B677" s="167"/>
      <c r="C677" s="167"/>
      <c r="D677" s="147"/>
      <c r="E677" s="147"/>
      <c r="F677" s="147"/>
      <c r="G677" s="147"/>
      <c r="H677" s="147"/>
      <c r="I677" s="147"/>
      <c r="J677" s="147"/>
      <c r="K677" s="3"/>
      <c r="L677" s="3"/>
      <c r="M677" s="3"/>
      <c r="N677" s="3"/>
      <c r="O677" s="3"/>
      <c r="P677" s="3"/>
      <c r="Q677" s="3"/>
      <c r="R677" s="3"/>
      <c r="S677" s="3"/>
      <c r="T677" s="3"/>
      <c r="U677" s="3"/>
      <c r="V677" s="3"/>
      <c r="W677" s="3"/>
      <c r="X677" s="3"/>
      <c r="Y677" s="3"/>
      <c r="Z677" s="3"/>
    </row>
    <row r="678" spans="1:26" ht="22.5" customHeight="1" x14ac:dyDescent="0.85">
      <c r="A678" s="166"/>
      <c r="B678" s="167"/>
      <c r="C678" s="167"/>
      <c r="D678" s="147"/>
      <c r="E678" s="147"/>
      <c r="F678" s="147"/>
      <c r="G678" s="147"/>
      <c r="H678" s="147"/>
      <c r="I678" s="147"/>
      <c r="J678" s="147"/>
      <c r="K678" s="3"/>
      <c r="L678" s="3"/>
      <c r="M678" s="3"/>
      <c r="N678" s="3"/>
      <c r="O678" s="3"/>
      <c r="P678" s="3"/>
      <c r="Q678" s="3"/>
      <c r="R678" s="3"/>
      <c r="S678" s="3"/>
      <c r="T678" s="3"/>
      <c r="U678" s="3"/>
      <c r="V678" s="3"/>
      <c r="W678" s="3"/>
      <c r="X678" s="3"/>
      <c r="Y678" s="3"/>
      <c r="Z678" s="3"/>
    </row>
    <row r="679" spans="1:26" ht="22.5" customHeight="1" x14ac:dyDescent="0.85">
      <c r="A679" s="166"/>
      <c r="B679" s="167"/>
      <c r="C679" s="167"/>
      <c r="D679" s="147"/>
      <c r="E679" s="147"/>
      <c r="F679" s="147"/>
      <c r="G679" s="147"/>
      <c r="H679" s="147"/>
      <c r="I679" s="147"/>
      <c r="J679" s="147"/>
      <c r="K679" s="3"/>
      <c r="L679" s="3"/>
      <c r="M679" s="3"/>
      <c r="N679" s="3"/>
      <c r="O679" s="3"/>
      <c r="P679" s="3"/>
      <c r="Q679" s="3"/>
      <c r="R679" s="3"/>
      <c r="S679" s="3"/>
      <c r="T679" s="3"/>
      <c r="U679" s="3"/>
      <c r="V679" s="3"/>
      <c r="W679" s="3"/>
      <c r="X679" s="3"/>
      <c r="Y679" s="3"/>
      <c r="Z679" s="3"/>
    </row>
    <row r="680" spans="1:26" ht="22.5" customHeight="1" x14ac:dyDescent="0.85">
      <c r="A680" s="166"/>
      <c r="B680" s="167"/>
      <c r="C680" s="167"/>
      <c r="D680" s="147"/>
      <c r="E680" s="147"/>
      <c r="F680" s="147"/>
      <c r="G680" s="147"/>
      <c r="H680" s="147"/>
      <c r="I680" s="147"/>
      <c r="J680" s="147"/>
      <c r="K680" s="3"/>
      <c r="L680" s="3"/>
      <c r="M680" s="3"/>
      <c r="N680" s="3"/>
      <c r="O680" s="3"/>
      <c r="P680" s="3"/>
      <c r="Q680" s="3"/>
      <c r="R680" s="3"/>
      <c r="S680" s="3"/>
      <c r="T680" s="3"/>
      <c r="U680" s="3"/>
      <c r="V680" s="3"/>
      <c r="W680" s="3"/>
      <c r="X680" s="3"/>
      <c r="Y680" s="3"/>
      <c r="Z680" s="3"/>
    </row>
    <row r="681" spans="1:26" ht="22.5" customHeight="1" x14ac:dyDescent="0.85">
      <c r="A681" s="166"/>
      <c r="B681" s="167"/>
      <c r="C681" s="167"/>
      <c r="D681" s="147"/>
      <c r="E681" s="147"/>
      <c r="F681" s="147"/>
      <c r="G681" s="147"/>
      <c r="H681" s="147"/>
      <c r="I681" s="147"/>
      <c r="J681" s="147"/>
      <c r="K681" s="3"/>
      <c r="L681" s="3"/>
      <c r="M681" s="3"/>
      <c r="N681" s="3"/>
      <c r="O681" s="3"/>
      <c r="P681" s="3"/>
      <c r="Q681" s="3"/>
      <c r="R681" s="3"/>
      <c r="S681" s="3"/>
      <c r="T681" s="3"/>
      <c r="U681" s="3"/>
      <c r="V681" s="3"/>
      <c r="W681" s="3"/>
      <c r="X681" s="3"/>
      <c r="Y681" s="3"/>
      <c r="Z681" s="3"/>
    </row>
    <row r="682" spans="1:26" ht="22.5" customHeight="1" x14ac:dyDescent="0.85">
      <c r="A682" s="166"/>
      <c r="B682" s="167"/>
      <c r="C682" s="167"/>
      <c r="D682" s="147"/>
      <c r="E682" s="147"/>
      <c r="F682" s="147"/>
      <c r="G682" s="147"/>
      <c r="H682" s="147"/>
      <c r="I682" s="147"/>
      <c r="J682" s="147"/>
      <c r="K682" s="3"/>
      <c r="L682" s="3"/>
      <c r="M682" s="3"/>
      <c r="N682" s="3"/>
      <c r="O682" s="3"/>
      <c r="P682" s="3"/>
      <c r="Q682" s="3"/>
      <c r="R682" s="3"/>
      <c r="S682" s="3"/>
      <c r="T682" s="3"/>
      <c r="U682" s="3"/>
      <c r="V682" s="3"/>
      <c r="W682" s="3"/>
      <c r="X682" s="3"/>
      <c r="Y682" s="3"/>
      <c r="Z682" s="3"/>
    </row>
    <row r="683" spans="1:26" ht="22.5" customHeight="1" x14ac:dyDescent="0.85">
      <c r="A683" s="166"/>
      <c r="B683" s="167"/>
      <c r="C683" s="167"/>
      <c r="D683" s="147"/>
      <c r="E683" s="147"/>
      <c r="F683" s="147"/>
      <c r="G683" s="147"/>
      <c r="H683" s="147"/>
      <c r="I683" s="147"/>
      <c r="J683" s="147"/>
      <c r="K683" s="3"/>
      <c r="L683" s="3"/>
      <c r="M683" s="3"/>
      <c r="N683" s="3"/>
      <c r="O683" s="3"/>
      <c r="P683" s="3"/>
      <c r="Q683" s="3"/>
      <c r="R683" s="3"/>
      <c r="S683" s="3"/>
      <c r="T683" s="3"/>
      <c r="U683" s="3"/>
      <c r="V683" s="3"/>
      <c r="W683" s="3"/>
      <c r="X683" s="3"/>
      <c r="Y683" s="3"/>
      <c r="Z683" s="3"/>
    </row>
    <row r="684" spans="1:26" ht="22.5" customHeight="1" x14ac:dyDescent="0.85">
      <c r="A684" s="166"/>
      <c r="B684" s="167"/>
      <c r="C684" s="167"/>
      <c r="D684" s="147"/>
      <c r="E684" s="147"/>
      <c r="F684" s="147"/>
      <c r="G684" s="147"/>
      <c r="H684" s="147"/>
      <c r="I684" s="147"/>
      <c r="J684" s="147"/>
      <c r="K684" s="3"/>
      <c r="L684" s="3"/>
      <c r="M684" s="3"/>
      <c r="N684" s="3"/>
      <c r="O684" s="3"/>
      <c r="P684" s="3"/>
      <c r="Q684" s="3"/>
      <c r="R684" s="3"/>
      <c r="S684" s="3"/>
      <c r="T684" s="3"/>
      <c r="U684" s="3"/>
      <c r="V684" s="3"/>
      <c r="W684" s="3"/>
      <c r="X684" s="3"/>
      <c r="Y684" s="3"/>
      <c r="Z684" s="3"/>
    </row>
    <row r="685" spans="1:26" ht="22.5" customHeight="1" x14ac:dyDescent="0.85">
      <c r="A685" s="166"/>
      <c r="B685" s="167"/>
      <c r="C685" s="167"/>
      <c r="D685" s="147"/>
      <c r="E685" s="147"/>
      <c r="F685" s="147"/>
      <c r="G685" s="147"/>
      <c r="H685" s="147"/>
      <c r="I685" s="147"/>
      <c r="J685" s="147"/>
      <c r="K685" s="3"/>
      <c r="L685" s="3"/>
      <c r="M685" s="3"/>
      <c r="N685" s="3"/>
      <c r="O685" s="3"/>
      <c r="P685" s="3"/>
      <c r="Q685" s="3"/>
      <c r="R685" s="3"/>
      <c r="S685" s="3"/>
      <c r="T685" s="3"/>
      <c r="U685" s="3"/>
      <c r="V685" s="3"/>
      <c r="W685" s="3"/>
      <c r="X685" s="3"/>
      <c r="Y685" s="3"/>
      <c r="Z685" s="3"/>
    </row>
    <row r="686" spans="1:26" ht="22.5" customHeight="1" x14ac:dyDescent="0.85">
      <c r="A686" s="166"/>
      <c r="B686" s="167"/>
      <c r="C686" s="167"/>
      <c r="D686" s="147"/>
      <c r="E686" s="147"/>
      <c r="F686" s="147"/>
      <c r="G686" s="147"/>
      <c r="H686" s="147"/>
      <c r="I686" s="147"/>
      <c r="J686" s="147"/>
      <c r="K686" s="3"/>
      <c r="L686" s="3"/>
      <c r="M686" s="3"/>
      <c r="N686" s="3"/>
      <c r="O686" s="3"/>
      <c r="P686" s="3"/>
      <c r="Q686" s="3"/>
      <c r="R686" s="3"/>
      <c r="S686" s="3"/>
      <c r="T686" s="3"/>
      <c r="U686" s="3"/>
      <c r="V686" s="3"/>
      <c r="W686" s="3"/>
      <c r="X686" s="3"/>
      <c r="Y686" s="3"/>
      <c r="Z686" s="3"/>
    </row>
    <row r="687" spans="1:26" ht="22.5" customHeight="1" x14ac:dyDescent="0.85">
      <c r="A687" s="166"/>
      <c r="B687" s="167"/>
      <c r="C687" s="167"/>
      <c r="D687" s="147"/>
      <c r="E687" s="147"/>
      <c r="F687" s="147"/>
      <c r="G687" s="147"/>
      <c r="H687" s="147"/>
      <c r="I687" s="147"/>
      <c r="J687" s="147"/>
      <c r="K687" s="3"/>
      <c r="L687" s="3"/>
      <c r="M687" s="3"/>
      <c r="N687" s="3"/>
      <c r="O687" s="3"/>
      <c r="P687" s="3"/>
      <c r="Q687" s="3"/>
      <c r="R687" s="3"/>
      <c r="S687" s="3"/>
      <c r="T687" s="3"/>
      <c r="U687" s="3"/>
      <c r="V687" s="3"/>
      <c r="W687" s="3"/>
      <c r="X687" s="3"/>
      <c r="Y687" s="3"/>
      <c r="Z687" s="3"/>
    </row>
    <row r="688" spans="1:26" ht="22.5" customHeight="1" x14ac:dyDescent="0.85">
      <c r="A688" s="166"/>
      <c r="B688" s="167"/>
      <c r="C688" s="167"/>
      <c r="D688" s="147"/>
      <c r="E688" s="147"/>
      <c r="F688" s="147"/>
      <c r="G688" s="147"/>
      <c r="H688" s="147"/>
      <c r="I688" s="147"/>
      <c r="J688" s="147"/>
      <c r="K688" s="3"/>
      <c r="L688" s="3"/>
      <c r="M688" s="3"/>
      <c r="N688" s="3"/>
      <c r="O688" s="3"/>
      <c r="P688" s="3"/>
      <c r="Q688" s="3"/>
      <c r="R688" s="3"/>
      <c r="S688" s="3"/>
      <c r="T688" s="3"/>
      <c r="U688" s="3"/>
      <c r="V688" s="3"/>
      <c r="W688" s="3"/>
      <c r="X688" s="3"/>
      <c r="Y688" s="3"/>
      <c r="Z688" s="3"/>
    </row>
    <row r="689" spans="1:26" ht="22.5" customHeight="1" x14ac:dyDescent="0.85">
      <c r="A689" s="166"/>
      <c r="B689" s="167"/>
      <c r="C689" s="167"/>
      <c r="D689" s="147"/>
      <c r="E689" s="147"/>
      <c r="F689" s="147"/>
      <c r="G689" s="147"/>
      <c r="H689" s="147"/>
      <c r="I689" s="147"/>
      <c r="J689" s="147"/>
      <c r="K689" s="3"/>
      <c r="L689" s="3"/>
      <c r="M689" s="3"/>
      <c r="N689" s="3"/>
      <c r="O689" s="3"/>
      <c r="P689" s="3"/>
      <c r="Q689" s="3"/>
      <c r="R689" s="3"/>
      <c r="S689" s="3"/>
      <c r="T689" s="3"/>
      <c r="U689" s="3"/>
      <c r="V689" s="3"/>
      <c r="W689" s="3"/>
      <c r="X689" s="3"/>
      <c r="Y689" s="3"/>
      <c r="Z689" s="3"/>
    </row>
    <row r="690" spans="1:26" ht="22.5" customHeight="1" x14ac:dyDescent="0.85">
      <c r="A690" s="166"/>
      <c r="B690" s="167"/>
      <c r="C690" s="167"/>
      <c r="D690" s="147"/>
      <c r="E690" s="147"/>
      <c r="F690" s="147"/>
      <c r="G690" s="147"/>
      <c r="H690" s="147"/>
      <c r="I690" s="147"/>
      <c r="J690" s="147"/>
      <c r="K690" s="3"/>
      <c r="L690" s="3"/>
      <c r="M690" s="3"/>
      <c r="N690" s="3"/>
      <c r="O690" s="3"/>
      <c r="P690" s="3"/>
      <c r="Q690" s="3"/>
      <c r="R690" s="3"/>
      <c r="S690" s="3"/>
      <c r="T690" s="3"/>
      <c r="U690" s="3"/>
      <c r="V690" s="3"/>
      <c r="W690" s="3"/>
      <c r="X690" s="3"/>
      <c r="Y690" s="3"/>
      <c r="Z690" s="3"/>
    </row>
    <row r="691" spans="1:26" ht="22.5" customHeight="1" x14ac:dyDescent="0.85">
      <c r="A691" s="166"/>
      <c r="B691" s="167"/>
      <c r="C691" s="167"/>
      <c r="D691" s="147"/>
      <c r="E691" s="147"/>
      <c r="F691" s="147"/>
      <c r="G691" s="147"/>
      <c r="H691" s="147"/>
      <c r="I691" s="147"/>
      <c r="J691" s="147"/>
      <c r="K691" s="3"/>
      <c r="L691" s="3"/>
      <c r="M691" s="3"/>
      <c r="N691" s="3"/>
      <c r="O691" s="3"/>
      <c r="P691" s="3"/>
      <c r="Q691" s="3"/>
      <c r="R691" s="3"/>
      <c r="S691" s="3"/>
      <c r="T691" s="3"/>
      <c r="U691" s="3"/>
      <c r="V691" s="3"/>
      <c r="W691" s="3"/>
      <c r="X691" s="3"/>
      <c r="Y691" s="3"/>
      <c r="Z691" s="3"/>
    </row>
    <row r="692" spans="1:26" ht="22.5" customHeight="1" x14ac:dyDescent="0.85">
      <c r="A692" s="166"/>
      <c r="B692" s="167"/>
      <c r="C692" s="167"/>
      <c r="D692" s="147"/>
      <c r="E692" s="147"/>
      <c r="F692" s="147"/>
      <c r="G692" s="147"/>
      <c r="H692" s="147"/>
      <c r="I692" s="147"/>
      <c r="J692" s="147"/>
      <c r="K692" s="3"/>
      <c r="L692" s="3"/>
      <c r="M692" s="3"/>
      <c r="N692" s="3"/>
      <c r="O692" s="3"/>
      <c r="P692" s="3"/>
      <c r="Q692" s="3"/>
      <c r="R692" s="3"/>
      <c r="S692" s="3"/>
      <c r="T692" s="3"/>
      <c r="U692" s="3"/>
      <c r="V692" s="3"/>
      <c r="W692" s="3"/>
      <c r="X692" s="3"/>
      <c r="Y692" s="3"/>
      <c r="Z692" s="3"/>
    </row>
    <row r="693" spans="1:26" ht="22.5" customHeight="1" x14ac:dyDescent="0.85">
      <c r="A693" s="166"/>
      <c r="B693" s="167"/>
      <c r="C693" s="167"/>
      <c r="D693" s="147"/>
      <c r="E693" s="147"/>
      <c r="F693" s="147"/>
      <c r="G693" s="147"/>
      <c r="H693" s="147"/>
      <c r="I693" s="147"/>
      <c r="J693" s="147"/>
      <c r="K693" s="3"/>
      <c r="L693" s="3"/>
      <c r="M693" s="3"/>
      <c r="N693" s="3"/>
      <c r="O693" s="3"/>
      <c r="P693" s="3"/>
      <c r="Q693" s="3"/>
      <c r="R693" s="3"/>
      <c r="S693" s="3"/>
      <c r="T693" s="3"/>
      <c r="U693" s="3"/>
      <c r="V693" s="3"/>
      <c r="W693" s="3"/>
      <c r="X693" s="3"/>
      <c r="Y693" s="3"/>
      <c r="Z693" s="3"/>
    </row>
    <row r="694" spans="1:26" ht="22.5" customHeight="1" x14ac:dyDescent="0.85">
      <c r="A694" s="166"/>
      <c r="B694" s="167"/>
      <c r="C694" s="167"/>
      <c r="D694" s="147"/>
      <c r="E694" s="147"/>
      <c r="F694" s="147"/>
      <c r="G694" s="147"/>
      <c r="H694" s="147"/>
      <c r="I694" s="147"/>
      <c r="J694" s="147"/>
      <c r="K694" s="3"/>
      <c r="L694" s="3"/>
      <c r="M694" s="3"/>
      <c r="N694" s="3"/>
      <c r="O694" s="3"/>
      <c r="P694" s="3"/>
      <c r="Q694" s="3"/>
      <c r="R694" s="3"/>
      <c r="S694" s="3"/>
      <c r="T694" s="3"/>
      <c r="U694" s="3"/>
      <c r="V694" s="3"/>
      <c r="W694" s="3"/>
      <c r="X694" s="3"/>
      <c r="Y694" s="3"/>
      <c r="Z694" s="3"/>
    </row>
    <row r="695" spans="1:26" ht="22.5" customHeight="1" x14ac:dyDescent="0.85">
      <c r="A695" s="166"/>
      <c r="B695" s="167"/>
      <c r="C695" s="167"/>
      <c r="D695" s="147"/>
      <c r="E695" s="147"/>
      <c r="F695" s="147"/>
      <c r="G695" s="147"/>
      <c r="H695" s="147"/>
      <c r="I695" s="147"/>
      <c r="J695" s="147"/>
      <c r="K695" s="3"/>
      <c r="L695" s="3"/>
      <c r="M695" s="3"/>
      <c r="N695" s="3"/>
      <c r="O695" s="3"/>
      <c r="P695" s="3"/>
      <c r="Q695" s="3"/>
      <c r="R695" s="3"/>
      <c r="S695" s="3"/>
      <c r="T695" s="3"/>
      <c r="U695" s="3"/>
      <c r="V695" s="3"/>
      <c r="W695" s="3"/>
      <c r="X695" s="3"/>
      <c r="Y695" s="3"/>
      <c r="Z695" s="3"/>
    </row>
    <row r="696" spans="1:26" ht="22.5" customHeight="1" x14ac:dyDescent="0.85">
      <c r="A696" s="166"/>
      <c r="B696" s="167"/>
      <c r="C696" s="167"/>
      <c r="D696" s="147"/>
      <c r="E696" s="147"/>
      <c r="F696" s="147"/>
      <c r="G696" s="147"/>
      <c r="H696" s="147"/>
      <c r="I696" s="147"/>
      <c r="J696" s="147"/>
      <c r="K696" s="3"/>
      <c r="L696" s="3"/>
      <c r="M696" s="3"/>
      <c r="N696" s="3"/>
      <c r="O696" s="3"/>
      <c r="P696" s="3"/>
      <c r="Q696" s="3"/>
      <c r="R696" s="3"/>
      <c r="S696" s="3"/>
      <c r="T696" s="3"/>
      <c r="U696" s="3"/>
      <c r="V696" s="3"/>
      <c r="W696" s="3"/>
      <c r="X696" s="3"/>
      <c r="Y696" s="3"/>
      <c r="Z696" s="3"/>
    </row>
    <row r="697" spans="1:26" ht="22.5" customHeight="1" x14ac:dyDescent="0.85">
      <c r="A697" s="166"/>
      <c r="B697" s="167"/>
      <c r="C697" s="167"/>
      <c r="D697" s="147"/>
      <c r="E697" s="147"/>
      <c r="F697" s="147"/>
      <c r="G697" s="147"/>
      <c r="H697" s="147"/>
      <c r="I697" s="147"/>
      <c r="J697" s="147"/>
      <c r="K697" s="3"/>
      <c r="L697" s="3"/>
      <c r="M697" s="3"/>
      <c r="N697" s="3"/>
      <c r="O697" s="3"/>
      <c r="P697" s="3"/>
      <c r="Q697" s="3"/>
      <c r="R697" s="3"/>
      <c r="S697" s="3"/>
      <c r="T697" s="3"/>
      <c r="U697" s="3"/>
      <c r="V697" s="3"/>
      <c r="W697" s="3"/>
      <c r="X697" s="3"/>
      <c r="Y697" s="3"/>
      <c r="Z697" s="3"/>
    </row>
    <row r="698" spans="1:26" ht="22.5" customHeight="1" x14ac:dyDescent="0.85">
      <c r="A698" s="166"/>
      <c r="B698" s="167"/>
      <c r="C698" s="167"/>
      <c r="D698" s="147"/>
      <c r="E698" s="147"/>
      <c r="F698" s="147"/>
      <c r="G698" s="147"/>
      <c r="H698" s="147"/>
      <c r="I698" s="147"/>
      <c r="J698" s="147"/>
      <c r="K698" s="3"/>
      <c r="L698" s="3"/>
      <c r="M698" s="3"/>
      <c r="N698" s="3"/>
      <c r="O698" s="3"/>
      <c r="P698" s="3"/>
      <c r="Q698" s="3"/>
      <c r="R698" s="3"/>
      <c r="S698" s="3"/>
      <c r="T698" s="3"/>
      <c r="U698" s="3"/>
      <c r="V698" s="3"/>
      <c r="W698" s="3"/>
      <c r="X698" s="3"/>
      <c r="Y698" s="3"/>
      <c r="Z698" s="3"/>
    </row>
    <row r="699" spans="1:26" ht="22.5" customHeight="1" x14ac:dyDescent="0.85">
      <c r="A699" s="166"/>
      <c r="B699" s="167"/>
      <c r="C699" s="167"/>
      <c r="D699" s="147"/>
      <c r="E699" s="147"/>
      <c r="F699" s="147"/>
      <c r="G699" s="147"/>
      <c r="H699" s="147"/>
      <c r="I699" s="147"/>
      <c r="J699" s="147"/>
      <c r="K699" s="3"/>
      <c r="L699" s="3"/>
      <c r="M699" s="3"/>
      <c r="N699" s="3"/>
      <c r="O699" s="3"/>
      <c r="P699" s="3"/>
      <c r="Q699" s="3"/>
      <c r="R699" s="3"/>
      <c r="S699" s="3"/>
      <c r="T699" s="3"/>
      <c r="U699" s="3"/>
      <c r="V699" s="3"/>
      <c r="W699" s="3"/>
      <c r="X699" s="3"/>
      <c r="Y699" s="3"/>
      <c r="Z699" s="3"/>
    </row>
    <row r="700" spans="1:26" ht="22.5" customHeight="1" x14ac:dyDescent="0.85">
      <c r="A700" s="166"/>
      <c r="B700" s="167"/>
      <c r="C700" s="167"/>
      <c r="D700" s="147"/>
      <c r="E700" s="147"/>
      <c r="F700" s="147"/>
      <c r="G700" s="147"/>
      <c r="H700" s="147"/>
      <c r="I700" s="147"/>
      <c r="J700" s="147"/>
      <c r="K700" s="3"/>
      <c r="L700" s="3"/>
      <c r="M700" s="3"/>
      <c r="N700" s="3"/>
      <c r="O700" s="3"/>
      <c r="P700" s="3"/>
      <c r="Q700" s="3"/>
      <c r="R700" s="3"/>
      <c r="S700" s="3"/>
      <c r="T700" s="3"/>
      <c r="U700" s="3"/>
      <c r="V700" s="3"/>
      <c r="W700" s="3"/>
      <c r="X700" s="3"/>
      <c r="Y700" s="3"/>
      <c r="Z700" s="3"/>
    </row>
    <row r="701" spans="1:26" ht="22.5" customHeight="1" x14ac:dyDescent="0.85">
      <c r="A701" s="166"/>
      <c r="B701" s="167"/>
      <c r="C701" s="167"/>
      <c r="D701" s="147"/>
      <c r="E701" s="147"/>
      <c r="F701" s="147"/>
      <c r="G701" s="147"/>
      <c r="H701" s="147"/>
      <c r="I701" s="147"/>
      <c r="J701" s="147"/>
      <c r="K701" s="3"/>
      <c r="L701" s="3"/>
      <c r="M701" s="3"/>
      <c r="N701" s="3"/>
      <c r="O701" s="3"/>
      <c r="P701" s="3"/>
      <c r="Q701" s="3"/>
      <c r="R701" s="3"/>
      <c r="S701" s="3"/>
      <c r="T701" s="3"/>
      <c r="U701" s="3"/>
      <c r="V701" s="3"/>
      <c r="W701" s="3"/>
      <c r="X701" s="3"/>
      <c r="Y701" s="3"/>
      <c r="Z701" s="3"/>
    </row>
    <row r="702" spans="1:26" ht="22.5" customHeight="1" x14ac:dyDescent="0.85">
      <c r="A702" s="166"/>
      <c r="B702" s="167"/>
      <c r="C702" s="167"/>
      <c r="D702" s="147"/>
      <c r="E702" s="147"/>
      <c r="F702" s="147"/>
      <c r="G702" s="147"/>
      <c r="H702" s="147"/>
      <c r="I702" s="147"/>
      <c r="J702" s="147"/>
      <c r="K702" s="3"/>
      <c r="L702" s="3"/>
      <c r="M702" s="3"/>
      <c r="N702" s="3"/>
      <c r="O702" s="3"/>
      <c r="P702" s="3"/>
      <c r="Q702" s="3"/>
      <c r="R702" s="3"/>
      <c r="S702" s="3"/>
      <c r="T702" s="3"/>
      <c r="U702" s="3"/>
      <c r="V702" s="3"/>
      <c r="W702" s="3"/>
      <c r="X702" s="3"/>
      <c r="Y702" s="3"/>
      <c r="Z702" s="3"/>
    </row>
    <row r="703" spans="1:26" ht="22.5" customHeight="1" x14ac:dyDescent="0.85">
      <c r="A703" s="166"/>
      <c r="B703" s="167"/>
      <c r="C703" s="167"/>
      <c r="D703" s="147"/>
      <c r="E703" s="147"/>
      <c r="F703" s="147"/>
      <c r="G703" s="147"/>
      <c r="H703" s="147"/>
      <c r="I703" s="147"/>
      <c r="J703" s="147"/>
      <c r="K703" s="3"/>
      <c r="L703" s="3"/>
      <c r="M703" s="3"/>
      <c r="N703" s="3"/>
      <c r="O703" s="3"/>
      <c r="P703" s="3"/>
      <c r="Q703" s="3"/>
      <c r="R703" s="3"/>
      <c r="S703" s="3"/>
      <c r="T703" s="3"/>
      <c r="U703" s="3"/>
      <c r="V703" s="3"/>
      <c r="W703" s="3"/>
      <c r="X703" s="3"/>
      <c r="Y703" s="3"/>
      <c r="Z703" s="3"/>
    </row>
    <row r="704" spans="1:26" ht="22.5" customHeight="1" x14ac:dyDescent="0.85">
      <c r="A704" s="166"/>
      <c r="B704" s="167"/>
      <c r="C704" s="167"/>
      <c r="D704" s="147"/>
      <c r="E704" s="147"/>
      <c r="F704" s="147"/>
      <c r="G704" s="147"/>
      <c r="H704" s="147"/>
      <c r="I704" s="147"/>
      <c r="J704" s="147"/>
      <c r="K704" s="3"/>
      <c r="L704" s="3"/>
      <c r="M704" s="3"/>
      <c r="N704" s="3"/>
      <c r="O704" s="3"/>
      <c r="P704" s="3"/>
      <c r="Q704" s="3"/>
      <c r="R704" s="3"/>
      <c r="S704" s="3"/>
      <c r="T704" s="3"/>
      <c r="U704" s="3"/>
      <c r="V704" s="3"/>
      <c r="W704" s="3"/>
      <c r="X704" s="3"/>
      <c r="Y704" s="3"/>
      <c r="Z704" s="3"/>
    </row>
    <row r="705" spans="1:26" ht="22.5" customHeight="1" x14ac:dyDescent="0.85">
      <c r="A705" s="166"/>
      <c r="B705" s="167"/>
      <c r="C705" s="167"/>
      <c r="D705" s="147"/>
      <c r="E705" s="147"/>
      <c r="F705" s="147"/>
      <c r="G705" s="147"/>
      <c r="H705" s="147"/>
      <c r="I705" s="147"/>
      <c r="J705" s="147"/>
      <c r="K705" s="3"/>
      <c r="L705" s="3"/>
      <c r="M705" s="3"/>
      <c r="N705" s="3"/>
      <c r="O705" s="3"/>
      <c r="P705" s="3"/>
      <c r="Q705" s="3"/>
      <c r="R705" s="3"/>
      <c r="S705" s="3"/>
      <c r="T705" s="3"/>
      <c r="U705" s="3"/>
      <c r="V705" s="3"/>
      <c r="W705" s="3"/>
      <c r="X705" s="3"/>
      <c r="Y705" s="3"/>
      <c r="Z705" s="3"/>
    </row>
    <row r="706" spans="1:26" ht="22.5" customHeight="1" x14ac:dyDescent="0.85">
      <c r="A706" s="166"/>
      <c r="B706" s="167"/>
      <c r="C706" s="167"/>
      <c r="D706" s="147"/>
      <c r="E706" s="147"/>
      <c r="F706" s="147"/>
      <c r="G706" s="147"/>
      <c r="H706" s="147"/>
      <c r="I706" s="147"/>
      <c r="J706" s="147"/>
      <c r="K706" s="3"/>
      <c r="L706" s="3"/>
      <c r="M706" s="3"/>
      <c r="N706" s="3"/>
      <c r="O706" s="3"/>
      <c r="P706" s="3"/>
      <c r="Q706" s="3"/>
      <c r="R706" s="3"/>
      <c r="S706" s="3"/>
      <c r="T706" s="3"/>
      <c r="U706" s="3"/>
      <c r="V706" s="3"/>
      <c r="W706" s="3"/>
      <c r="X706" s="3"/>
      <c r="Y706" s="3"/>
      <c r="Z706" s="3"/>
    </row>
    <row r="707" spans="1:26" ht="22.5" customHeight="1" x14ac:dyDescent="0.85">
      <c r="A707" s="166"/>
      <c r="B707" s="167"/>
      <c r="C707" s="167"/>
      <c r="D707" s="147"/>
      <c r="E707" s="147"/>
      <c r="F707" s="147"/>
      <c r="G707" s="147"/>
      <c r="H707" s="147"/>
      <c r="I707" s="147"/>
      <c r="J707" s="147"/>
      <c r="K707" s="3"/>
      <c r="L707" s="3"/>
      <c r="M707" s="3"/>
      <c r="N707" s="3"/>
      <c r="O707" s="3"/>
      <c r="P707" s="3"/>
      <c r="Q707" s="3"/>
      <c r="R707" s="3"/>
      <c r="S707" s="3"/>
      <c r="T707" s="3"/>
      <c r="U707" s="3"/>
      <c r="V707" s="3"/>
      <c r="W707" s="3"/>
      <c r="X707" s="3"/>
      <c r="Y707" s="3"/>
      <c r="Z707" s="3"/>
    </row>
    <row r="708" spans="1:26" ht="22.5" customHeight="1" x14ac:dyDescent="0.85">
      <c r="A708" s="166"/>
      <c r="B708" s="167"/>
      <c r="C708" s="167"/>
      <c r="D708" s="147"/>
      <c r="E708" s="147"/>
      <c r="F708" s="147"/>
      <c r="G708" s="147"/>
      <c r="H708" s="147"/>
      <c r="I708" s="147"/>
      <c r="J708" s="147"/>
      <c r="K708" s="3"/>
      <c r="L708" s="3"/>
      <c r="M708" s="3"/>
      <c r="N708" s="3"/>
      <c r="O708" s="3"/>
      <c r="P708" s="3"/>
      <c r="Q708" s="3"/>
      <c r="R708" s="3"/>
      <c r="S708" s="3"/>
      <c r="T708" s="3"/>
      <c r="U708" s="3"/>
      <c r="V708" s="3"/>
      <c r="W708" s="3"/>
      <c r="X708" s="3"/>
      <c r="Y708" s="3"/>
      <c r="Z708" s="3"/>
    </row>
    <row r="709" spans="1:26" ht="22.5" customHeight="1" x14ac:dyDescent="0.85">
      <c r="A709" s="166"/>
      <c r="B709" s="167"/>
      <c r="C709" s="167"/>
      <c r="D709" s="147"/>
      <c r="E709" s="147"/>
      <c r="F709" s="147"/>
      <c r="G709" s="147"/>
      <c r="H709" s="147"/>
      <c r="I709" s="147"/>
      <c r="J709" s="147"/>
      <c r="K709" s="3"/>
      <c r="L709" s="3"/>
      <c r="M709" s="3"/>
      <c r="N709" s="3"/>
      <c r="O709" s="3"/>
      <c r="P709" s="3"/>
      <c r="Q709" s="3"/>
      <c r="R709" s="3"/>
      <c r="S709" s="3"/>
      <c r="T709" s="3"/>
      <c r="U709" s="3"/>
      <c r="V709" s="3"/>
      <c r="W709" s="3"/>
      <c r="X709" s="3"/>
      <c r="Y709" s="3"/>
      <c r="Z709" s="3"/>
    </row>
    <row r="710" spans="1:26" ht="22.5" customHeight="1" x14ac:dyDescent="0.85">
      <c r="A710" s="166"/>
      <c r="B710" s="167"/>
      <c r="C710" s="167"/>
      <c r="D710" s="147"/>
      <c r="E710" s="147"/>
      <c r="F710" s="147"/>
      <c r="G710" s="147"/>
      <c r="H710" s="147"/>
      <c r="I710" s="147"/>
      <c r="J710" s="147"/>
      <c r="K710" s="3"/>
      <c r="L710" s="3"/>
      <c r="M710" s="3"/>
      <c r="N710" s="3"/>
      <c r="O710" s="3"/>
      <c r="P710" s="3"/>
      <c r="Q710" s="3"/>
      <c r="R710" s="3"/>
      <c r="S710" s="3"/>
      <c r="T710" s="3"/>
      <c r="U710" s="3"/>
      <c r="V710" s="3"/>
      <c r="W710" s="3"/>
      <c r="X710" s="3"/>
      <c r="Y710" s="3"/>
      <c r="Z710" s="3"/>
    </row>
    <row r="711" spans="1:26" ht="22.5" customHeight="1" x14ac:dyDescent="0.85">
      <c r="A711" s="166"/>
      <c r="B711" s="167"/>
      <c r="C711" s="167"/>
      <c r="D711" s="147"/>
      <c r="E711" s="147"/>
      <c r="F711" s="147"/>
      <c r="G711" s="147"/>
      <c r="H711" s="147"/>
      <c r="I711" s="147"/>
      <c r="J711" s="147"/>
      <c r="K711" s="3"/>
      <c r="L711" s="3"/>
      <c r="M711" s="3"/>
      <c r="N711" s="3"/>
      <c r="O711" s="3"/>
      <c r="P711" s="3"/>
      <c r="Q711" s="3"/>
      <c r="R711" s="3"/>
      <c r="S711" s="3"/>
      <c r="T711" s="3"/>
      <c r="U711" s="3"/>
      <c r="V711" s="3"/>
      <c r="W711" s="3"/>
      <c r="X711" s="3"/>
      <c r="Y711" s="3"/>
      <c r="Z711" s="3"/>
    </row>
    <row r="712" spans="1:26" ht="22.5" customHeight="1" x14ac:dyDescent="0.85">
      <c r="A712" s="166"/>
      <c r="B712" s="167"/>
      <c r="C712" s="167"/>
      <c r="D712" s="147"/>
      <c r="E712" s="147"/>
      <c r="F712" s="147"/>
      <c r="G712" s="147"/>
      <c r="H712" s="147"/>
      <c r="I712" s="147"/>
      <c r="J712" s="147"/>
      <c r="K712" s="3"/>
      <c r="L712" s="3"/>
      <c r="M712" s="3"/>
      <c r="N712" s="3"/>
      <c r="O712" s="3"/>
      <c r="P712" s="3"/>
      <c r="Q712" s="3"/>
      <c r="R712" s="3"/>
      <c r="S712" s="3"/>
      <c r="T712" s="3"/>
      <c r="U712" s="3"/>
      <c r="V712" s="3"/>
      <c r="W712" s="3"/>
      <c r="X712" s="3"/>
      <c r="Y712" s="3"/>
      <c r="Z712" s="3"/>
    </row>
    <row r="713" spans="1:26" ht="22.5" customHeight="1" x14ac:dyDescent="0.85">
      <c r="A713" s="166"/>
      <c r="B713" s="167"/>
      <c r="C713" s="167"/>
      <c r="D713" s="147"/>
      <c r="E713" s="147"/>
      <c r="F713" s="147"/>
      <c r="G713" s="147"/>
      <c r="H713" s="147"/>
      <c r="I713" s="147"/>
      <c r="J713" s="147"/>
      <c r="K713" s="3"/>
      <c r="L713" s="3"/>
      <c r="M713" s="3"/>
      <c r="N713" s="3"/>
      <c r="O713" s="3"/>
      <c r="P713" s="3"/>
      <c r="Q713" s="3"/>
      <c r="R713" s="3"/>
      <c r="S713" s="3"/>
      <c r="T713" s="3"/>
      <c r="U713" s="3"/>
      <c r="V713" s="3"/>
      <c r="W713" s="3"/>
      <c r="X713" s="3"/>
      <c r="Y713" s="3"/>
      <c r="Z713" s="3"/>
    </row>
    <row r="714" spans="1:26" ht="22.5" customHeight="1" x14ac:dyDescent="0.85">
      <c r="A714" s="166"/>
      <c r="B714" s="167"/>
      <c r="C714" s="167"/>
      <c r="D714" s="147"/>
      <c r="E714" s="147"/>
      <c r="F714" s="147"/>
      <c r="G714" s="147"/>
      <c r="H714" s="147"/>
      <c r="I714" s="147"/>
      <c r="J714" s="147"/>
      <c r="K714" s="3"/>
      <c r="L714" s="3"/>
      <c r="M714" s="3"/>
      <c r="N714" s="3"/>
      <c r="O714" s="3"/>
      <c r="P714" s="3"/>
      <c r="Q714" s="3"/>
      <c r="R714" s="3"/>
      <c r="S714" s="3"/>
      <c r="T714" s="3"/>
      <c r="U714" s="3"/>
      <c r="V714" s="3"/>
      <c r="W714" s="3"/>
      <c r="X714" s="3"/>
      <c r="Y714" s="3"/>
      <c r="Z714" s="3"/>
    </row>
    <row r="715" spans="1:26" ht="22.5" customHeight="1" x14ac:dyDescent="0.85">
      <c r="A715" s="166"/>
      <c r="B715" s="167"/>
      <c r="C715" s="167"/>
      <c r="D715" s="147"/>
      <c r="E715" s="147"/>
      <c r="F715" s="147"/>
      <c r="G715" s="147"/>
      <c r="H715" s="147"/>
      <c r="I715" s="147"/>
      <c r="J715" s="147"/>
      <c r="K715" s="3"/>
      <c r="L715" s="3"/>
      <c r="M715" s="3"/>
      <c r="N715" s="3"/>
      <c r="O715" s="3"/>
      <c r="P715" s="3"/>
      <c r="Q715" s="3"/>
      <c r="R715" s="3"/>
      <c r="S715" s="3"/>
      <c r="T715" s="3"/>
      <c r="U715" s="3"/>
      <c r="V715" s="3"/>
      <c r="W715" s="3"/>
      <c r="X715" s="3"/>
      <c r="Y715" s="3"/>
      <c r="Z715" s="3"/>
    </row>
    <row r="716" spans="1:26" ht="22.5" customHeight="1" x14ac:dyDescent="0.85">
      <c r="A716" s="166"/>
      <c r="B716" s="167"/>
      <c r="C716" s="167"/>
      <c r="D716" s="147"/>
      <c r="E716" s="147"/>
      <c r="F716" s="147"/>
      <c r="G716" s="147"/>
      <c r="H716" s="147"/>
      <c r="I716" s="147"/>
      <c r="J716" s="147"/>
      <c r="K716" s="3"/>
      <c r="L716" s="3"/>
      <c r="M716" s="3"/>
      <c r="N716" s="3"/>
      <c r="O716" s="3"/>
      <c r="P716" s="3"/>
      <c r="Q716" s="3"/>
      <c r="R716" s="3"/>
      <c r="S716" s="3"/>
      <c r="T716" s="3"/>
      <c r="U716" s="3"/>
      <c r="V716" s="3"/>
      <c r="W716" s="3"/>
      <c r="X716" s="3"/>
      <c r="Y716" s="3"/>
      <c r="Z716" s="3"/>
    </row>
    <row r="717" spans="1:26" ht="22.5" customHeight="1" x14ac:dyDescent="0.85">
      <c r="A717" s="166"/>
      <c r="B717" s="167"/>
      <c r="C717" s="167"/>
      <c r="D717" s="147"/>
      <c r="E717" s="147"/>
      <c r="F717" s="147"/>
      <c r="G717" s="147"/>
      <c r="H717" s="147"/>
      <c r="I717" s="147"/>
      <c r="J717" s="147"/>
      <c r="K717" s="3"/>
      <c r="L717" s="3"/>
      <c r="M717" s="3"/>
      <c r="N717" s="3"/>
      <c r="O717" s="3"/>
      <c r="P717" s="3"/>
      <c r="Q717" s="3"/>
      <c r="R717" s="3"/>
      <c r="S717" s="3"/>
      <c r="T717" s="3"/>
      <c r="U717" s="3"/>
      <c r="V717" s="3"/>
      <c r="W717" s="3"/>
      <c r="X717" s="3"/>
      <c r="Y717" s="3"/>
      <c r="Z717" s="3"/>
    </row>
    <row r="718" spans="1:26" ht="22.5" customHeight="1" x14ac:dyDescent="0.85">
      <c r="A718" s="166"/>
      <c r="B718" s="167"/>
      <c r="C718" s="167"/>
      <c r="D718" s="147"/>
      <c r="E718" s="147"/>
      <c r="F718" s="147"/>
      <c r="G718" s="147"/>
      <c r="H718" s="147"/>
      <c r="I718" s="147"/>
      <c r="J718" s="147"/>
      <c r="K718" s="3"/>
      <c r="L718" s="3"/>
      <c r="M718" s="3"/>
      <c r="N718" s="3"/>
      <c r="O718" s="3"/>
      <c r="P718" s="3"/>
      <c r="Q718" s="3"/>
      <c r="R718" s="3"/>
      <c r="S718" s="3"/>
      <c r="T718" s="3"/>
      <c r="U718" s="3"/>
      <c r="V718" s="3"/>
      <c r="W718" s="3"/>
      <c r="X718" s="3"/>
      <c r="Y718" s="3"/>
      <c r="Z718" s="3"/>
    </row>
    <row r="719" spans="1:26" ht="22.5" customHeight="1" x14ac:dyDescent="0.85">
      <c r="A719" s="166"/>
      <c r="B719" s="167"/>
      <c r="C719" s="167"/>
      <c r="D719" s="147"/>
      <c r="E719" s="147"/>
      <c r="F719" s="147"/>
      <c r="G719" s="147"/>
      <c r="H719" s="147"/>
      <c r="I719" s="147"/>
      <c r="J719" s="147"/>
      <c r="K719" s="3"/>
      <c r="L719" s="3"/>
      <c r="M719" s="3"/>
      <c r="N719" s="3"/>
      <c r="O719" s="3"/>
      <c r="P719" s="3"/>
      <c r="Q719" s="3"/>
      <c r="R719" s="3"/>
      <c r="S719" s="3"/>
      <c r="T719" s="3"/>
      <c r="U719" s="3"/>
      <c r="V719" s="3"/>
      <c r="W719" s="3"/>
      <c r="X719" s="3"/>
      <c r="Y719" s="3"/>
      <c r="Z719" s="3"/>
    </row>
    <row r="720" spans="1:26" ht="22.5" customHeight="1" x14ac:dyDescent="0.85">
      <c r="A720" s="166"/>
      <c r="B720" s="167"/>
      <c r="C720" s="167"/>
      <c r="D720" s="147"/>
      <c r="E720" s="147"/>
      <c r="F720" s="147"/>
      <c r="G720" s="147"/>
      <c r="H720" s="147"/>
      <c r="I720" s="147"/>
      <c r="J720" s="147"/>
      <c r="K720" s="3"/>
      <c r="L720" s="3"/>
      <c r="M720" s="3"/>
      <c r="N720" s="3"/>
      <c r="O720" s="3"/>
      <c r="P720" s="3"/>
      <c r="Q720" s="3"/>
      <c r="R720" s="3"/>
      <c r="S720" s="3"/>
      <c r="T720" s="3"/>
      <c r="U720" s="3"/>
      <c r="V720" s="3"/>
      <c r="W720" s="3"/>
      <c r="X720" s="3"/>
      <c r="Y720" s="3"/>
      <c r="Z720" s="3"/>
    </row>
    <row r="721" spans="1:26" ht="22.5" customHeight="1" x14ac:dyDescent="0.85">
      <c r="A721" s="166"/>
      <c r="B721" s="167"/>
      <c r="C721" s="167"/>
      <c r="D721" s="147"/>
      <c r="E721" s="147"/>
      <c r="F721" s="147"/>
      <c r="G721" s="147"/>
      <c r="H721" s="147"/>
      <c r="I721" s="147"/>
      <c r="J721" s="147"/>
      <c r="K721" s="3"/>
      <c r="L721" s="3"/>
      <c r="M721" s="3"/>
      <c r="N721" s="3"/>
      <c r="O721" s="3"/>
      <c r="P721" s="3"/>
      <c r="Q721" s="3"/>
      <c r="R721" s="3"/>
      <c r="S721" s="3"/>
      <c r="T721" s="3"/>
      <c r="U721" s="3"/>
      <c r="V721" s="3"/>
      <c r="W721" s="3"/>
      <c r="X721" s="3"/>
      <c r="Y721" s="3"/>
      <c r="Z721" s="3"/>
    </row>
    <row r="722" spans="1:26" ht="22.5" customHeight="1" x14ac:dyDescent="0.85">
      <c r="A722" s="166"/>
      <c r="B722" s="167"/>
      <c r="C722" s="167"/>
      <c r="D722" s="147"/>
      <c r="E722" s="147"/>
      <c r="F722" s="147"/>
      <c r="G722" s="147"/>
      <c r="H722" s="147"/>
      <c r="I722" s="147"/>
      <c r="J722" s="147"/>
      <c r="K722" s="3"/>
      <c r="L722" s="3"/>
      <c r="M722" s="3"/>
      <c r="N722" s="3"/>
      <c r="O722" s="3"/>
      <c r="P722" s="3"/>
      <c r="Q722" s="3"/>
      <c r="R722" s="3"/>
      <c r="S722" s="3"/>
      <c r="T722" s="3"/>
      <c r="U722" s="3"/>
      <c r="V722" s="3"/>
      <c r="W722" s="3"/>
      <c r="X722" s="3"/>
      <c r="Y722" s="3"/>
      <c r="Z722" s="3"/>
    </row>
    <row r="723" spans="1:26" ht="22.5" customHeight="1" x14ac:dyDescent="0.85">
      <c r="A723" s="166"/>
      <c r="B723" s="167"/>
      <c r="C723" s="167"/>
      <c r="D723" s="147"/>
      <c r="E723" s="147"/>
      <c r="F723" s="147"/>
      <c r="G723" s="147"/>
      <c r="H723" s="147"/>
      <c r="I723" s="147"/>
      <c r="J723" s="147"/>
      <c r="K723" s="3"/>
      <c r="L723" s="3"/>
      <c r="M723" s="3"/>
      <c r="N723" s="3"/>
      <c r="O723" s="3"/>
      <c r="P723" s="3"/>
      <c r="Q723" s="3"/>
      <c r="R723" s="3"/>
      <c r="S723" s="3"/>
      <c r="T723" s="3"/>
      <c r="U723" s="3"/>
      <c r="V723" s="3"/>
      <c r="W723" s="3"/>
      <c r="X723" s="3"/>
      <c r="Y723" s="3"/>
      <c r="Z723" s="3"/>
    </row>
    <row r="724" spans="1:26" ht="22.5" customHeight="1" x14ac:dyDescent="0.85">
      <c r="A724" s="166"/>
      <c r="B724" s="167"/>
      <c r="C724" s="167"/>
      <c r="D724" s="147"/>
      <c r="E724" s="147"/>
      <c r="F724" s="147"/>
      <c r="G724" s="147"/>
      <c r="H724" s="147"/>
      <c r="I724" s="147"/>
      <c r="J724" s="147"/>
      <c r="K724" s="3"/>
      <c r="L724" s="3"/>
      <c r="M724" s="3"/>
      <c r="N724" s="3"/>
      <c r="O724" s="3"/>
      <c r="P724" s="3"/>
      <c r="Q724" s="3"/>
      <c r="R724" s="3"/>
      <c r="S724" s="3"/>
      <c r="T724" s="3"/>
      <c r="U724" s="3"/>
      <c r="V724" s="3"/>
      <c r="W724" s="3"/>
      <c r="X724" s="3"/>
      <c r="Y724" s="3"/>
      <c r="Z724" s="3"/>
    </row>
    <row r="725" spans="1:26" ht="22.5" customHeight="1" x14ac:dyDescent="0.85">
      <c r="A725" s="166"/>
      <c r="B725" s="167"/>
      <c r="C725" s="167"/>
      <c r="D725" s="147"/>
      <c r="E725" s="147"/>
      <c r="F725" s="147"/>
      <c r="G725" s="147"/>
      <c r="H725" s="147"/>
      <c r="I725" s="147"/>
      <c r="J725" s="147"/>
      <c r="K725" s="3"/>
      <c r="L725" s="3"/>
      <c r="M725" s="3"/>
      <c r="N725" s="3"/>
      <c r="O725" s="3"/>
      <c r="P725" s="3"/>
      <c r="Q725" s="3"/>
      <c r="R725" s="3"/>
      <c r="S725" s="3"/>
      <c r="T725" s="3"/>
      <c r="U725" s="3"/>
      <c r="V725" s="3"/>
      <c r="W725" s="3"/>
      <c r="X725" s="3"/>
      <c r="Y725" s="3"/>
      <c r="Z725" s="3"/>
    </row>
    <row r="726" spans="1:26" ht="22.5" customHeight="1" x14ac:dyDescent="0.85">
      <c r="A726" s="166"/>
      <c r="B726" s="167"/>
      <c r="C726" s="167"/>
      <c r="D726" s="147"/>
      <c r="E726" s="147"/>
      <c r="F726" s="147"/>
      <c r="G726" s="147"/>
      <c r="H726" s="147"/>
      <c r="I726" s="147"/>
      <c r="J726" s="147"/>
      <c r="K726" s="3"/>
      <c r="L726" s="3"/>
      <c r="M726" s="3"/>
      <c r="N726" s="3"/>
      <c r="O726" s="3"/>
      <c r="P726" s="3"/>
      <c r="Q726" s="3"/>
      <c r="R726" s="3"/>
      <c r="S726" s="3"/>
      <c r="T726" s="3"/>
      <c r="U726" s="3"/>
      <c r="V726" s="3"/>
      <c r="W726" s="3"/>
      <c r="X726" s="3"/>
      <c r="Y726" s="3"/>
      <c r="Z726" s="3"/>
    </row>
    <row r="727" spans="1:26" ht="22.5" customHeight="1" x14ac:dyDescent="0.85">
      <c r="A727" s="166"/>
      <c r="B727" s="167"/>
      <c r="C727" s="167"/>
      <c r="D727" s="147"/>
      <c r="E727" s="147"/>
      <c r="F727" s="147"/>
      <c r="G727" s="147"/>
      <c r="H727" s="147"/>
      <c r="I727" s="147"/>
      <c r="J727" s="147"/>
      <c r="K727" s="3"/>
      <c r="L727" s="3"/>
      <c r="M727" s="3"/>
      <c r="N727" s="3"/>
      <c r="O727" s="3"/>
      <c r="P727" s="3"/>
      <c r="Q727" s="3"/>
      <c r="R727" s="3"/>
      <c r="S727" s="3"/>
      <c r="T727" s="3"/>
      <c r="U727" s="3"/>
      <c r="V727" s="3"/>
      <c r="W727" s="3"/>
      <c r="X727" s="3"/>
      <c r="Y727" s="3"/>
      <c r="Z727" s="3"/>
    </row>
    <row r="728" spans="1:26" ht="22.5" customHeight="1" x14ac:dyDescent="0.85">
      <c r="A728" s="166"/>
      <c r="B728" s="167"/>
      <c r="C728" s="167"/>
      <c r="D728" s="147"/>
      <c r="E728" s="147"/>
      <c r="F728" s="147"/>
      <c r="G728" s="147"/>
      <c r="H728" s="147"/>
      <c r="I728" s="147"/>
      <c r="J728" s="147"/>
      <c r="K728" s="3"/>
      <c r="L728" s="3"/>
      <c r="M728" s="3"/>
      <c r="N728" s="3"/>
      <c r="O728" s="3"/>
      <c r="P728" s="3"/>
      <c r="Q728" s="3"/>
      <c r="R728" s="3"/>
      <c r="S728" s="3"/>
      <c r="T728" s="3"/>
      <c r="U728" s="3"/>
      <c r="V728" s="3"/>
      <c r="W728" s="3"/>
      <c r="X728" s="3"/>
      <c r="Y728" s="3"/>
      <c r="Z728" s="3"/>
    </row>
    <row r="729" spans="1:26" ht="22.5" customHeight="1" x14ac:dyDescent="0.85">
      <c r="A729" s="166"/>
      <c r="B729" s="167"/>
      <c r="C729" s="167"/>
      <c r="D729" s="147"/>
      <c r="E729" s="147"/>
      <c r="F729" s="147"/>
      <c r="G729" s="147"/>
      <c r="H729" s="147"/>
      <c r="I729" s="147"/>
      <c r="J729" s="147"/>
      <c r="K729" s="3"/>
      <c r="L729" s="3"/>
      <c r="M729" s="3"/>
      <c r="N729" s="3"/>
      <c r="O729" s="3"/>
      <c r="P729" s="3"/>
      <c r="Q729" s="3"/>
      <c r="R729" s="3"/>
      <c r="S729" s="3"/>
      <c r="T729" s="3"/>
      <c r="U729" s="3"/>
      <c r="V729" s="3"/>
      <c r="W729" s="3"/>
      <c r="X729" s="3"/>
      <c r="Y729" s="3"/>
      <c r="Z729" s="3"/>
    </row>
    <row r="730" spans="1:26" ht="22.5" customHeight="1" x14ac:dyDescent="0.85">
      <c r="A730" s="166"/>
      <c r="B730" s="167"/>
      <c r="C730" s="167"/>
      <c r="D730" s="147"/>
      <c r="E730" s="147"/>
      <c r="F730" s="147"/>
      <c r="G730" s="147"/>
      <c r="H730" s="147"/>
      <c r="I730" s="147"/>
      <c r="J730" s="147"/>
      <c r="K730" s="3"/>
      <c r="L730" s="3"/>
      <c r="M730" s="3"/>
      <c r="N730" s="3"/>
      <c r="O730" s="3"/>
      <c r="P730" s="3"/>
      <c r="Q730" s="3"/>
      <c r="R730" s="3"/>
      <c r="S730" s="3"/>
      <c r="T730" s="3"/>
      <c r="U730" s="3"/>
      <c r="V730" s="3"/>
      <c r="W730" s="3"/>
      <c r="X730" s="3"/>
      <c r="Y730" s="3"/>
      <c r="Z730" s="3"/>
    </row>
    <row r="731" spans="1:26" ht="22.5" customHeight="1" x14ac:dyDescent="0.85">
      <c r="A731" s="166"/>
      <c r="B731" s="167"/>
      <c r="C731" s="167"/>
      <c r="D731" s="147"/>
      <c r="E731" s="147"/>
      <c r="F731" s="147"/>
      <c r="G731" s="147"/>
      <c r="H731" s="147"/>
      <c r="I731" s="147"/>
      <c r="J731" s="147"/>
      <c r="K731" s="3"/>
      <c r="L731" s="3"/>
      <c r="M731" s="3"/>
      <c r="N731" s="3"/>
      <c r="O731" s="3"/>
      <c r="P731" s="3"/>
      <c r="Q731" s="3"/>
      <c r="R731" s="3"/>
      <c r="S731" s="3"/>
      <c r="T731" s="3"/>
      <c r="U731" s="3"/>
      <c r="V731" s="3"/>
      <c r="W731" s="3"/>
      <c r="X731" s="3"/>
      <c r="Y731" s="3"/>
      <c r="Z731" s="3"/>
    </row>
    <row r="732" spans="1:26" ht="22.5" customHeight="1" x14ac:dyDescent="0.85">
      <c r="A732" s="166"/>
      <c r="B732" s="167"/>
      <c r="C732" s="167"/>
      <c r="D732" s="147"/>
      <c r="E732" s="147"/>
      <c r="F732" s="147"/>
      <c r="G732" s="147"/>
      <c r="H732" s="147"/>
      <c r="I732" s="147"/>
      <c r="J732" s="147"/>
      <c r="K732" s="3"/>
      <c r="L732" s="3"/>
      <c r="M732" s="3"/>
      <c r="N732" s="3"/>
      <c r="O732" s="3"/>
      <c r="P732" s="3"/>
      <c r="Q732" s="3"/>
      <c r="R732" s="3"/>
      <c r="S732" s="3"/>
      <c r="T732" s="3"/>
      <c r="U732" s="3"/>
      <c r="V732" s="3"/>
      <c r="W732" s="3"/>
      <c r="X732" s="3"/>
      <c r="Y732" s="3"/>
      <c r="Z732" s="3"/>
    </row>
    <row r="733" spans="1:26" ht="22.5" customHeight="1" x14ac:dyDescent="0.85">
      <c r="A733" s="166"/>
      <c r="B733" s="167"/>
      <c r="C733" s="167"/>
      <c r="D733" s="147"/>
      <c r="E733" s="147"/>
      <c r="F733" s="147"/>
      <c r="G733" s="147"/>
      <c r="H733" s="147"/>
      <c r="I733" s="147"/>
      <c r="J733" s="147"/>
      <c r="K733" s="3"/>
      <c r="L733" s="3"/>
      <c r="M733" s="3"/>
      <c r="N733" s="3"/>
      <c r="O733" s="3"/>
      <c r="P733" s="3"/>
      <c r="Q733" s="3"/>
      <c r="R733" s="3"/>
      <c r="S733" s="3"/>
      <c r="T733" s="3"/>
      <c r="U733" s="3"/>
      <c r="V733" s="3"/>
      <c r="W733" s="3"/>
      <c r="X733" s="3"/>
      <c r="Y733" s="3"/>
      <c r="Z733" s="3"/>
    </row>
    <row r="734" spans="1:26" ht="22.5" customHeight="1" x14ac:dyDescent="0.85">
      <c r="A734" s="166"/>
      <c r="B734" s="167"/>
      <c r="C734" s="167"/>
      <c r="D734" s="147"/>
      <c r="E734" s="147"/>
      <c r="F734" s="147"/>
      <c r="G734" s="147"/>
      <c r="H734" s="147"/>
      <c r="I734" s="147"/>
      <c r="J734" s="147"/>
      <c r="K734" s="3"/>
      <c r="L734" s="3"/>
      <c r="M734" s="3"/>
      <c r="N734" s="3"/>
      <c r="O734" s="3"/>
      <c r="P734" s="3"/>
      <c r="Q734" s="3"/>
      <c r="R734" s="3"/>
      <c r="S734" s="3"/>
      <c r="T734" s="3"/>
      <c r="U734" s="3"/>
      <c r="V734" s="3"/>
      <c r="W734" s="3"/>
      <c r="X734" s="3"/>
      <c r="Y734" s="3"/>
      <c r="Z734" s="3"/>
    </row>
    <row r="735" spans="1:26" ht="22.5" customHeight="1" x14ac:dyDescent="0.85">
      <c r="A735" s="166"/>
      <c r="B735" s="167"/>
      <c r="C735" s="167"/>
      <c r="D735" s="147"/>
      <c r="E735" s="147"/>
      <c r="F735" s="147"/>
      <c r="G735" s="147"/>
      <c r="H735" s="147"/>
      <c r="I735" s="147"/>
      <c r="J735" s="147"/>
      <c r="K735" s="3"/>
      <c r="L735" s="3"/>
      <c r="M735" s="3"/>
      <c r="N735" s="3"/>
      <c r="O735" s="3"/>
      <c r="P735" s="3"/>
      <c r="Q735" s="3"/>
      <c r="R735" s="3"/>
      <c r="S735" s="3"/>
      <c r="T735" s="3"/>
      <c r="U735" s="3"/>
      <c r="V735" s="3"/>
      <c r="W735" s="3"/>
      <c r="X735" s="3"/>
      <c r="Y735" s="3"/>
      <c r="Z735" s="3"/>
    </row>
    <row r="736" spans="1:26" ht="22.5" customHeight="1" x14ac:dyDescent="0.85">
      <c r="A736" s="166"/>
      <c r="B736" s="167"/>
      <c r="C736" s="167"/>
      <c r="D736" s="147"/>
      <c r="E736" s="147"/>
      <c r="F736" s="147"/>
      <c r="G736" s="147"/>
      <c r="H736" s="147"/>
      <c r="I736" s="147"/>
      <c r="J736" s="147"/>
      <c r="K736" s="3"/>
      <c r="L736" s="3"/>
      <c r="M736" s="3"/>
      <c r="N736" s="3"/>
      <c r="O736" s="3"/>
      <c r="P736" s="3"/>
      <c r="Q736" s="3"/>
      <c r="R736" s="3"/>
      <c r="S736" s="3"/>
      <c r="T736" s="3"/>
      <c r="U736" s="3"/>
      <c r="V736" s="3"/>
      <c r="W736" s="3"/>
      <c r="X736" s="3"/>
      <c r="Y736" s="3"/>
      <c r="Z736" s="3"/>
    </row>
    <row r="737" spans="1:26" ht="22.5" customHeight="1" x14ac:dyDescent="0.85">
      <c r="A737" s="166"/>
      <c r="B737" s="167"/>
      <c r="C737" s="167"/>
      <c r="D737" s="147"/>
      <c r="E737" s="147"/>
      <c r="F737" s="147"/>
      <c r="G737" s="147"/>
      <c r="H737" s="147"/>
      <c r="I737" s="147"/>
      <c r="J737" s="147"/>
      <c r="K737" s="3"/>
      <c r="L737" s="3"/>
      <c r="M737" s="3"/>
      <c r="N737" s="3"/>
      <c r="O737" s="3"/>
      <c r="P737" s="3"/>
      <c r="Q737" s="3"/>
      <c r="R737" s="3"/>
      <c r="S737" s="3"/>
      <c r="T737" s="3"/>
      <c r="U737" s="3"/>
      <c r="V737" s="3"/>
      <c r="W737" s="3"/>
      <c r="X737" s="3"/>
      <c r="Y737" s="3"/>
      <c r="Z737" s="3"/>
    </row>
    <row r="738" spans="1:26" ht="22.5" customHeight="1" x14ac:dyDescent="0.85">
      <c r="A738" s="166"/>
      <c r="B738" s="167"/>
      <c r="C738" s="167"/>
      <c r="D738" s="147"/>
      <c r="E738" s="147"/>
      <c r="F738" s="147"/>
      <c r="G738" s="147"/>
      <c r="H738" s="147"/>
      <c r="I738" s="147"/>
      <c r="J738" s="147"/>
      <c r="K738" s="3"/>
      <c r="L738" s="3"/>
      <c r="M738" s="3"/>
      <c r="N738" s="3"/>
      <c r="O738" s="3"/>
      <c r="P738" s="3"/>
      <c r="Q738" s="3"/>
      <c r="R738" s="3"/>
      <c r="S738" s="3"/>
      <c r="T738" s="3"/>
      <c r="U738" s="3"/>
      <c r="V738" s="3"/>
      <c r="W738" s="3"/>
      <c r="X738" s="3"/>
      <c r="Y738" s="3"/>
      <c r="Z738" s="3"/>
    </row>
    <row r="739" spans="1:26" ht="22.5" customHeight="1" x14ac:dyDescent="0.85">
      <c r="A739" s="166"/>
      <c r="B739" s="167"/>
      <c r="C739" s="167"/>
      <c r="D739" s="147"/>
      <c r="E739" s="147"/>
      <c r="F739" s="147"/>
      <c r="G739" s="147"/>
      <c r="H739" s="147"/>
      <c r="I739" s="147"/>
      <c r="J739" s="147"/>
      <c r="K739" s="3"/>
      <c r="L739" s="3"/>
      <c r="M739" s="3"/>
      <c r="N739" s="3"/>
      <c r="O739" s="3"/>
      <c r="P739" s="3"/>
      <c r="Q739" s="3"/>
      <c r="R739" s="3"/>
      <c r="S739" s="3"/>
      <c r="T739" s="3"/>
      <c r="U739" s="3"/>
      <c r="V739" s="3"/>
      <c r="W739" s="3"/>
      <c r="X739" s="3"/>
      <c r="Y739" s="3"/>
      <c r="Z739" s="3"/>
    </row>
    <row r="740" spans="1:26" ht="22.5" customHeight="1" x14ac:dyDescent="0.85">
      <c r="A740" s="166"/>
      <c r="B740" s="167"/>
      <c r="C740" s="167"/>
      <c r="D740" s="147"/>
      <c r="E740" s="147"/>
      <c r="F740" s="147"/>
      <c r="G740" s="147"/>
      <c r="H740" s="147"/>
      <c r="I740" s="147"/>
      <c r="J740" s="147"/>
      <c r="K740" s="3"/>
      <c r="L740" s="3"/>
      <c r="M740" s="3"/>
      <c r="N740" s="3"/>
      <c r="O740" s="3"/>
      <c r="P740" s="3"/>
      <c r="Q740" s="3"/>
      <c r="R740" s="3"/>
      <c r="S740" s="3"/>
      <c r="T740" s="3"/>
      <c r="U740" s="3"/>
      <c r="V740" s="3"/>
      <c r="W740" s="3"/>
      <c r="X740" s="3"/>
      <c r="Y740" s="3"/>
      <c r="Z740" s="3"/>
    </row>
    <row r="741" spans="1:26" ht="22.5" customHeight="1" x14ac:dyDescent="0.85">
      <c r="A741" s="166"/>
      <c r="B741" s="167"/>
      <c r="C741" s="167"/>
      <c r="D741" s="147"/>
      <c r="E741" s="147"/>
      <c r="F741" s="147"/>
      <c r="G741" s="147"/>
      <c r="H741" s="147"/>
      <c r="I741" s="147"/>
      <c r="J741" s="147"/>
      <c r="K741" s="3"/>
      <c r="L741" s="3"/>
      <c r="M741" s="3"/>
      <c r="N741" s="3"/>
      <c r="O741" s="3"/>
      <c r="P741" s="3"/>
      <c r="Q741" s="3"/>
      <c r="R741" s="3"/>
      <c r="S741" s="3"/>
      <c r="T741" s="3"/>
      <c r="U741" s="3"/>
      <c r="V741" s="3"/>
      <c r="W741" s="3"/>
      <c r="X741" s="3"/>
      <c r="Y741" s="3"/>
      <c r="Z741" s="3"/>
    </row>
    <row r="742" spans="1:26" ht="22.5" customHeight="1" x14ac:dyDescent="0.85">
      <c r="A742" s="166"/>
      <c r="B742" s="167"/>
      <c r="C742" s="167"/>
      <c r="D742" s="147"/>
      <c r="E742" s="147"/>
      <c r="F742" s="147"/>
      <c r="G742" s="147"/>
      <c r="H742" s="147"/>
      <c r="I742" s="147"/>
      <c r="J742" s="147"/>
      <c r="K742" s="3"/>
      <c r="L742" s="3"/>
      <c r="M742" s="3"/>
      <c r="N742" s="3"/>
      <c r="O742" s="3"/>
      <c r="P742" s="3"/>
      <c r="Q742" s="3"/>
      <c r="R742" s="3"/>
      <c r="S742" s="3"/>
      <c r="T742" s="3"/>
      <c r="U742" s="3"/>
      <c r="V742" s="3"/>
      <c r="W742" s="3"/>
      <c r="X742" s="3"/>
      <c r="Y742" s="3"/>
      <c r="Z742" s="3"/>
    </row>
    <row r="743" spans="1:26" ht="22.5" customHeight="1" x14ac:dyDescent="0.85">
      <c r="A743" s="166"/>
      <c r="B743" s="167"/>
      <c r="C743" s="167"/>
      <c r="D743" s="147"/>
      <c r="E743" s="147"/>
      <c r="F743" s="147"/>
      <c r="G743" s="147"/>
      <c r="H743" s="147"/>
      <c r="I743" s="147"/>
      <c r="J743" s="147"/>
      <c r="K743" s="3"/>
      <c r="L743" s="3"/>
      <c r="M743" s="3"/>
      <c r="N743" s="3"/>
      <c r="O743" s="3"/>
      <c r="P743" s="3"/>
      <c r="Q743" s="3"/>
      <c r="R743" s="3"/>
      <c r="S743" s="3"/>
      <c r="T743" s="3"/>
      <c r="U743" s="3"/>
      <c r="V743" s="3"/>
      <c r="W743" s="3"/>
      <c r="X743" s="3"/>
      <c r="Y743" s="3"/>
      <c r="Z743" s="3"/>
    </row>
    <row r="744" spans="1:26" ht="22.5" customHeight="1" x14ac:dyDescent="0.85">
      <c r="A744" s="166"/>
      <c r="B744" s="167"/>
      <c r="C744" s="167"/>
      <c r="D744" s="147"/>
      <c r="E744" s="147"/>
      <c r="F744" s="147"/>
      <c r="G744" s="147"/>
      <c r="H744" s="147"/>
      <c r="I744" s="147"/>
      <c r="J744" s="147"/>
      <c r="K744" s="3"/>
      <c r="L744" s="3"/>
      <c r="M744" s="3"/>
      <c r="N744" s="3"/>
      <c r="O744" s="3"/>
      <c r="P744" s="3"/>
      <c r="Q744" s="3"/>
      <c r="R744" s="3"/>
      <c r="S744" s="3"/>
      <c r="T744" s="3"/>
      <c r="U744" s="3"/>
      <c r="V744" s="3"/>
      <c r="W744" s="3"/>
      <c r="X744" s="3"/>
      <c r="Y744" s="3"/>
      <c r="Z744" s="3"/>
    </row>
    <row r="745" spans="1:26" ht="22.5" customHeight="1" x14ac:dyDescent="0.85">
      <c r="A745" s="166"/>
      <c r="B745" s="167"/>
      <c r="C745" s="167"/>
      <c r="D745" s="147"/>
      <c r="E745" s="147"/>
      <c r="F745" s="147"/>
      <c r="G745" s="147"/>
      <c r="H745" s="147"/>
      <c r="I745" s="147"/>
      <c r="J745" s="147"/>
      <c r="K745" s="3"/>
      <c r="L745" s="3"/>
      <c r="M745" s="3"/>
      <c r="N745" s="3"/>
      <c r="O745" s="3"/>
      <c r="P745" s="3"/>
      <c r="Q745" s="3"/>
      <c r="R745" s="3"/>
      <c r="S745" s="3"/>
      <c r="T745" s="3"/>
      <c r="U745" s="3"/>
      <c r="V745" s="3"/>
      <c r="W745" s="3"/>
      <c r="X745" s="3"/>
      <c r="Y745" s="3"/>
      <c r="Z745" s="3"/>
    </row>
    <row r="746" spans="1:26" ht="22.5" customHeight="1" x14ac:dyDescent="0.85">
      <c r="A746" s="166"/>
      <c r="B746" s="167"/>
      <c r="C746" s="167"/>
      <c r="D746" s="147"/>
      <c r="E746" s="147"/>
      <c r="F746" s="147"/>
      <c r="G746" s="147"/>
      <c r="H746" s="147"/>
      <c r="I746" s="147"/>
      <c r="J746" s="147"/>
      <c r="K746" s="3"/>
      <c r="L746" s="3"/>
      <c r="M746" s="3"/>
      <c r="N746" s="3"/>
      <c r="O746" s="3"/>
      <c r="P746" s="3"/>
      <c r="Q746" s="3"/>
      <c r="R746" s="3"/>
      <c r="S746" s="3"/>
      <c r="T746" s="3"/>
      <c r="U746" s="3"/>
      <c r="V746" s="3"/>
      <c r="W746" s="3"/>
      <c r="X746" s="3"/>
      <c r="Y746" s="3"/>
      <c r="Z746" s="3"/>
    </row>
    <row r="747" spans="1:26" ht="22.5" customHeight="1" x14ac:dyDescent="0.85">
      <c r="A747" s="166"/>
      <c r="B747" s="167"/>
      <c r="C747" s="167"/>
      <c r="D747" s="147"/>
      <c r="E747" s="147"/>
      <c r="F747" s="147"/>
      <c r="G747" s="147"/>
      <c r="H747" s="147"/>
      <c r="I747" s="147"/>
      <c r="J747" s="147"/>
      <c r="K747" s="3"/>
      <c r="L747" s="3"/>
      <c r="M747" s="3"/>
      <c r="N747" s="3"/>
      <c r="O747" s="3"/>
      <c r="P747" s="3"/>
      <c r="Q747" s="3"/>
      <c r="R747" s="3"/>
      <c r="S747" s="3"/>
      <c r="T747" s="3"/>
      <c r="U747" s="3"/>
      <c r="V747" s="3"/>
      <c r="W747" s="3"/>
      <c r="X747" s="3"/>
      <c r="Y747" s="3"/>
      <c r="Z747" s="3"/>
    </row>
    <row r="748" spans="1:26" ht="22.5" customHeight="1" x14ac:dyDescent="0.85">
      <c r="A748" s="166"/>
      <c r="B748" s="167"/>
      <c r="C748" s="167"/>
      <c r="D748" s="147"/>
      <c r="E748" s="147"/>
      <c r="F748" s="147"/>
      <c r="G748" s="147"/>
      <c r="H748" s="147"/>
      <c r="I748" s="147"/>
      <c r="J748" s="147"/>
      <c r="K748" s="3"/>
      <c r="L748" s="3"/>
      <c r="M748" s="3"/>
      <c r="N748" s="3"/>
      <c r="O748" s="3"/>
      <c r="P748" s="3"/>
      <c r="Q748" s="3"/>
      <c r="R748" s="3"/>
      <c r="S748" s="3"/>
      <c r="T748" s="3"/>
      <c r="U748" s="3"/>
      <c r="V748" s="3"/>
      <c r="W748" s="3"/>
      <c r="X748" s="3"/>
      <c r="Y748" s="3"/>
      <c r="Z748" s="3"/>
    </row>
    <row r="749" spans="1:26" ht="22.5" customHeight="1" x14ac:dyDescent="0.85">
      <c r="A749" s="166"/>
      <c r="B749" s="167"/>
      <c r="C749" s="167"/>
      <c r="D749" s="147"/>
      <c r="E749" s="147"/>
      <c r="F749" s="147"/>
      <c r="G749" s="147"/>
      <c r="H749" s="147"/>
      <c r="I749" s="147"/>
      <c r="J749" s="147"/>
      <c r="K749" s="3"/>
      <c r="L749" s="3"/>
      <c r="M749" s="3"/>
      <c r="N749" s="3"/>
      <c r="O749" s="3"/>
      <c r="P749" s="3"/>
      <c r="Q749" s="3"/>
      <c r="R749" s="3"/>
      <c r="S749" s="3"/>
      <c r="T749" s="3"/>
      <c r="U749" s="3"/>
      <c r="V749" s="3"/>
      <c r="W749" s="3"/>
      <c r="X749" s="3"/>
      <c r="Y749" s="3"/>
      <c r="Z749" s="3"/>
    </row>
    <row r="750" spans="1:26" ht="22.5" customHeight="1" x14ac:dyDescent="0.85">
      <c r="A750" s="166"/>
      <c r="B750" s="167"/>
      <c r="C750" s="167"/>
      <c r="D750" s="147"/>
      <c r="E750" s="147"/>
      <c r="F750" s="147"/>
      <c r="G750" s="147"/>
      <c r="H750" s="147"/>
      <c r="I750" s="147"/>
      <c r="J750" s="147"/>
      <c r="K750" s="3"/>
      <c r="L750" s="3"/>
      <c r="M750" s="3"/>
      <c r="N750" s="3"/>
      <c r="O750" s="3"/>
      <c r="P750" s="3"/>
      <c r="Q750" s="3"/>
      <c r="R750" s="3"/>
      <c r="S750" s="3"/>
      <c r="T750" s="3"/>
      <c r="U750" s="3"/>
      <c r="V750" s="3"/>
      <c r="W750" s="3"/>
      <c r="X750" s="3"/>
      <c r="Y750" s="3"/>
      <c r="Z750" s="3"/>
    </row>
    <row r="751" spans="1:26" ht="22.5" customHeight="1" x14ac:dyDescent="0.85">
      <c r="A751" s="166"/>
      <c r="B751" s="167"/>
      <c r="C751" s="167"/>
      <c r="D751" s="147"/>
      <c r="E751" s="147"/>
      <c r="F751" s="147"/>
      <c r="G751" s="147"/>
      <c r="H751" s="147"/>
      <c r="I751" s="147"/>
      <c r="J751" s="147"/>
      <c r="K751" s="3"/>
      <c r="L751" s="3"/>
      <c r="M751" s="3"/>
      <c r="N751" s="3"/>
      <c r="O751" s="3"/>
      <c r="P751" s="3"/>
      <c r="Q751" s="3"/>
      <c r="R751" s="3"/>
      <c r="S751" s="3"/>
      <c r="T751" s="3"/>
      <c r="U751" s="3"/>
      <c r="V751" s="3"/>
      <c r="W751" s="3"/>
      <c r="X751" s="3"/>
      <c r="Y751" s="3"/>
      <c r="Z751" s="3"/>
    </row>
    <row r="752" spans="1:26" ht="22.5" customHeight="1" x14ac:dyDescent="0.85">
      <c r="A752" s="166"/>
      <c r="B752" s="167"/>
      <c r="C752" s="167"/>
      <c r="D752" s="147"/>
      <c r="E752" s="147"/>
      <c r="F752" s="147"/>
      <c r="G752" s="147"/>
      <c r="H752" s="147"/>
      <c r="I752" s="147"/>
      <c r="J752" s="147"/>
      <c r="K752" s="3"/>
      <c r="L752" s="3"/>
      <c r="M752" s="3"/>
      <c r="N752" s="3"/>
      <c r="O752" s="3"/>
      <c r="P752" s="3"/>
      <c r="Q752" s="3"/>
      <c r="R752" s="3"/>
      <c r="S752" s="3"/>
      <c r="T752" s="3"/>
      <c r="U752" s="3"/>
      <c r="V752" s="3"/>
      <c r="W752" s="3"/>
      <c r="X752" s="3"/>
      <c r="Y752" s="3"/>
      <c r="Z752" s="3"/>
    </row>
    <row r="753" spans="1:26" ht="22.5" customHeight="1" x14ac:dyDescent="0.85">
      <c r="A753" s="166"/>
      <c r="B753" s="167"/>
      <c r="C753" s="167"/>
      <c r="D753" s="147"/>
      <c r="E753" s="147"/>
      <c r="F753" s="147"/>
      <c r="G753" s="147"/>
      <c r="H753" s="147"/>
      <c r="I753" s="147"/>
      <c r="J753" s="147"/>
      <c r="K753" s="3"/>
      <c r="L753" s="3"/>
      <c r="M753" s="3"/>
      <c r="N753" s="3"/>
      <c r="O753" s="3"/>
      <c r="P753" s="3"/>
      <c r="Q753" s="3"/>
      <c r="R753" s="3"/>
      <c r="S753" s="3"/>
      <c r="T753" s="3"/>
      <c r="U753" s="3"/>
      <c r="V753" s="3"/>
      <c r="W753" s="3"/>
      <c r="X753" s="3"/>
      <c r="Y753" s="3"/>
      <c r="Z753" s="3"/>
    </row>
    <row r="754" spans="1:26" ht="22.5" customHeight="1" x14ac:dyDescent="0.85">
      <c r="A754" s="166"/>
      <c r="B754" s="167"/>
      <c r="C754" s="167"/>
      <c r="D754" s="147"/>
      <c r="E754" s="147"/>
      <c r="F754" s="147"/>
      <c r="G754" s="147"/>
      <c r="H754" s="147"/>
      <c r="I754" s="147"/>
      <c r="J754" s="147"/>
      <c r="K754" s="3"/>
      <c r="L754" s="3"/>
      <c r="M754" s="3"/>
      <c r="N754" s="3"/>
      <c r="O754" s="3"/>
      <c r="P754" s="3"/>
      <c r="Q754" s="3"/>
      <c r="R754" s="3"/>
      <c r="S754" s="3"/>
      <c r="T754" s="3"/>
      <c r="U754" s="3"/>
      <c r="V754" s="3"/>
      <c r="W754" s="3"/>
      <c r="X754" s="3"/>
      <c r="Y754" s="3"/>
      <c r="Z754" s="3"/>
    </row>
    <row r="755" spans="1:26" ht="22.5" customHeight="1" x14ac:dyDescent="0.85">
      <c r="A755" s="166"/>
      <c r="B755" s="167"/>
      <c r="C755" s="167"/>
      <c r="D755" s="147"/>
      <c r="E755" s="147"/>
      <c r="F755" s="147"/>
      <c r="G755" s="147"/>
      <c r="H755" s="147"/>
      <c r="I755" s="147"/>
      <c r="J755" s="147"/>
      <c r="K755" s="3"/>
      <c r="L755" s="3"/>
      <c r="M755" s="3"/>
      <c r="N755" s="3"/>
      <c r="O755" s="3"/>
      <c r="P755" s="3"/>
      <c r="Q755" s="3"/>
      <c r="R755" s="3"/>
      <c r="S755" s="3"/>
      <c r="T755" s="3"/>
      <c r="U755" s="3"/>
      <c r="V755" s="3"/>
      <c r="W755" s="3"/>
      <c r="X755" s="3"/>
      <c r="Y755" s="3"/>
      <c r="Z755" s="3"/>
    </row>
    <row r="756" spans="1:26" ht="22.5" customHeight="1" x14ac:dyDescent="0.85">
      <c r="A756" s="166"/>
      <c r="B756" s="167"/>
      <c r="C756" s="167"/>
      <c r="D756" s="147"/>
      <c r="E756" s="147"/>
      <c r="F756" s="147"/>
      <c r="G756" s="147"/>
      <c r="H756" s="147"/>
      <c r="I756" s="147"/>
      <c r="J756" s="147"/>
      <c r="K756" s="3"/>
      <c r="L756" s="3"/>
      <c r="M756" s="3"/>
      <c r="N756" s="3"/>
      <c r="O756" s="3"/>
      <c r="P756" s="3"/>
      <c r="Q756" s="3"/>
      <c r="R756" s="3"/>
      <c r="S756" s="3"/>
      <c r="T756" s="3"/>
      <c r="U756" s="3"/>
      <c r="V756" s="3"/>
      <c r="W756" s="3"/>
      <c r="X756" s="3"/>
      <c r="Y756" s="3"/>
      <c r="Z756" s="3"/>
    </row>
    <row r="757" spans="1:26" ht="22.5" customHeight="1" x14ac:dyDescent="0.85">
      <c r="A757" s="166"/>
      <c r="B757" s="167"/>
      <c r="C757" s="167"/>
      <c r="D757" s="147"/>
      <c r="E757" s="147"/>
      <c r="F757" s="147"/>
      <c r="G757" s="147"/>
      <c r="H757" s="147"/>
      <c r="I757" s="147"/>
      <c r="J757" s="147"/>
      <c r="K757" s="3"/>
      <c r="L757" s="3"/>
      <c r="M757" s="3"/>
      <c r="N757" s="3"/>
      <c r="O757" s="3"/>
      <c r="P757" s="3"/>
      <c r="Q757" s="3"/>
      <c r="R757" s="3"/>
      <c r="S757" s="3"/>
      <c r="T757" s="3"/>
      <c r="U757" s="3"/>
      <c r="V757" s="3"/>
      <c r="W757" s="3"/>
      <c r="X757" s="3"/>
      <c r="Y757" s="3"/>
      <c r="Z757" s="3"/>
    </row>
    <row r="758" spans="1:26" ht="22.5" customHeight="1" x14ac:dyDescent="0.85">
      <c r="A758" s="166"/>
      <c r="B758" s="167"/>
      <c r="C758" s="167"/>
      <c r="D758" s="147"/>
      <c r="E758" s="147"/>
      <c r="F758" s="147"/>
      <c r="G758" s="147"/>
      <c r="H758" s="147"/>
      <c r="I758" s="147"/>
      <c r="J758" s="147"/>
      <c r="K758" s="3"/>
      <c r="L758" s="3"/>
      <c r="M758" s="3"/>
      <c r="N758" s="3"/>
      <c r="O758" s="3"/>
      <c r="P758" s="3"/>
      <c r="Q758" s="3"/>
      <c r="R758" s="3"/>
      <c r="S758" s="3"/>
      <c r="T758" s="3"/>
      <c r="U758" s="3"/>
      <c r="V758" s="3"/>
      <c r="W758" s="3"/>
      <c r="X758" s="3"/>
      <c r="Y758" s="3"/>
      <c r="Z758" s="3"/>
    </row>
    <row r="759" spans="1:26" ht="22.5" customHeight="1" x14ac:dyDescent="0.85">
      <c r="A759" s="166"/>
      <c r="B759" s="167"/>
      <c r="C759" s="167"/>
      <c r="D759" s="147"/>
      <c r="E759" s="147"/>
      <c r="F759" s="147"/>
      <c r="G759" s="147"/>
      <c r="H759" s="147"/>
      <c r="I759" s="147"/>
      <c r="J759" s="147"/>
      <c r="K759" s="3"/>
      <c r="L759" s="3"/>
      <c r="M759" s="3"/>
      <c r="N759" s="3"/>
      <c r="O759" s="3"/>
      <c r="P759" s="3"/>
      <c r="Q759" s="3"/>
      <c r="R759" s="3"/>
      <c r="S759" s="3"/>
      <c r="T759" s="3"/>
      <c r="U759" s="3"/>
      <c r="V759" s="3"/>
      <c r="W759" s="3"/>
      <c r="X759" s="3"/>
      <c r="Y759" s="3"/>
      <c r="Z759" s="3"/>
    </row>
    <row r="760" spans="1:26" ht="22.5" customHeight="1" x14ac:dyDescent="0.85">
      <c r="A760" s="166"/>
      <c r="B760" s="167"/>
      <c r="C760" s="167"/>
      <c r="D760" s="147"/>
      <c r="E760" s="147"/>
      <c r="F760" s="147"/>
      <c r="G760" s="147"/>
      <c r="H760" s="147"/>
      <c r="I760" s="147"/>
      <c r="J760" s="147"/>
      <c r="K760" s="3"/>
      <c r="L760" s="3"/>
      <c r="M760" s="3"/>
      <c r="N760" s="3"/>
      <c r="O760" s="3"/>
      <c r="P760" s="3"/>
      <c r="Q760" s="3"/>
      <c r="R760" s="3"/>
      <c r="S760" s="3"/>
      <c r="T760" s="3"/>
      <c r="U760" s="3"/>
      <c r="V760" s="3"/>
      <c r="W760" s="3"/>
      <c r="X760" s="3"/>
      <c r="Y760" s="3"/>
      <c r="Z760" s="3"/>
    </row>
    <row r="761" spans="1:26" ht="22.5" customHeight="1" x14ac:dyDescent="0.85">
      <c r="A761" s="166"/>
      <c r="B761" s="167"/>
      <c r="C761" s="167"/>
      <c r="D761" s="147"/>
      <c r="E761" s="147"/>
      <c r="F761" s="147"/>
      <c r="G761" s="147"/>
      <c r="H761" s="147"/>
      <c r="I761" s="147"/>
      <c r="J761" s="147"/>
      <c r="K761" s="3"/>
      <c r="L761" s="3"/>
      <c r="M761" s="3"/>
      <c r="N761" s="3"/>
      <c r="O761" s="3"/>
      <c r="P761" s="3"/>
      <c r="Q761" s="3"/>
      <c r="R761" s="3"/>
      <c r="S761" s="3"/>
      <c r="T761" s="3"/>
      <c r="U761" s="3"/>
      <c r="V761" s="3"/>
      <c r="W761" s="3"/>
      <c r="X761" s="3"/>
      <c r="Y761" s="3"/>
      <c r="Z761" s="3"/>
    </row>
    <row r="762" spans="1:26" ht="22.5" customHeight="1" x14ac:dyDescent="0.85">
      <c r="A762" s="166"/>
      <c r="B762" s="167"/>
      <c r="C762" s="167"/>
      <c r="D762" s="147"/>
      <c r="E762" s="147"/>
      <c r="F762" s="147"/>
      <c r="G762" s="147"/>
      <c r="H762" s="147"/>
      <c r="I762" s="147"/>
      <c r="J762" s="147"/>
      <c r="K762" s="3"/>
      <c r="L762" s="3"/>
      <c r="M762" s="3"/>
      <c r="N762" s="3"/>
      <c r="O762" s="3"/>
      <c r="P762" s="3"/>
      <c r="Q762" s="3"/>
      <c r="R762" s="3"/>
      <c r="S762" s="3"/>
      <c r="T762" s="3"/>
      <c r="U762" s="3"/>
      <c r="V762" s="3"/>
      <c r="W762" s="3"/>
      <c r="X762" s="3"/>
      <c r="Y762" s="3"/>
      <c r="Z762" s="3"/>
    </row>
    <row r="763" spans="1:26" ht="22.5" customHeight="1" x14ac:dyDescent="0.85">
      <c r="A763" s="166"/>
      <c r="B763" s="167"/>
      <c r="C763" s="167"/>
      <c r="D763" s="147"/>
      <c r="E763" s="147"/>
      <c r="F763" s="147"/>
      <c r="G763" s="147"/>
      <c r="H763" s="147"/>
      <c r="I763" s="147"/>
      <c r="J763" s="147"/>
      <c r="K763" s="3"/>
      <c r="L763" s="3"/>
      <c r="M763" s="3"/>
      <c r="N763" s="3"/>
      <c r="O763" s="3"/>
      <c r="P763" s="3"/>
      <c r="Q763" s="3"/>
      <c r="R763" s="3"/>
      <c r="S763" s="3"/>
      <c r="T763" s="3"/>
      <c r="U763" s="3"/>
      <c r="V763" s="3"/>
      <c r="W763" s="3"/>
      <c r="X763" s="3"/>
      <c r="Y763" s="3"/>
      <c r="Z763" s="3"/>
    </row>
    <row r="764" spans="1:26" ht="22.5" customHeight="1" x14ac:dyDescent="0.85">
      <c r="A764" s="166"/>
      <c r="B764" s="167"/>
      <c r="C764" s="167"/>
      <c r="D764" s="147"/>
      <c r="E764" s="147"/>
      <c r="F764" s="147"/>
      <c r="G764" s="147"/>
      <c r="H764" s="147"/>
      <c r="I764" s="147"/>
      <c r="J764" s="147"/>
      <c r="K764" s="3"/>
      <c r="L764" s="3"/>
      <c r="M764" s="3"/>
      <c r="N764" s="3"/>
      <c r="O764" s="3"/>
      <c r="P764" s="3"/>
      <c r="Q764" s="3"/>
      <c r="R764" s="3"/>
      <c r="S764" s="3"/>
      <c r="T764" s="3"/>
      <c r="U764" s="3"/>
      <c r="V764" s="3"/>
      <c r="W764" s="3"/>
      <c r="X764" s="3"/>
      <c r="Y764" s="3"/>
      <c r="Z764" s="3"/>
    </row>
    <row r="765" spans="1:26" ht="22.5" customHeight="1" x14ac:dyDescent="0.85">
      <c r="A765" s="166"/>
      <c r="B765" s="167"/>
      <c r="C765" s="167"/>
      <c r="D765" s="147"/>
      <c r="E765" s="147"/>
      <c r="F765" s="147"/>
      <c r="G765" s="147"/>
      <c r="H765" s="147"/>
      <c r="I765" s="147"/>
      <c r="J765" s="147"/>
      <c r="K765" s="3"/>
      <c r="L765" s="3"/>
      <c r="M765" s="3"/>
      <c r="N765" s="3"/>
      <c r="O765" s="3"/>
      <c r="P765" s="3"/>
      <c r="Q765" s="3"/>
      <c r="R765" s="3"/>
      <c r="S765" s="3"/>
      <c r="T765" s="3"/>
      <c r="U765" s="3"/>
      <c r="V765" s="3"/>
      <c r="W765" s="3"/>
      <c r="X765" s="3"/>
      <c r="Y765" s="3"/>
      <c r="Z765" s="3"/>
    </row>
    <row r="766" spans="1:26" ht="22.5" customHeight="1" x14ac:dyDescent="0.85">
      <c r="A766" s="166"/>
      <c r="B766" s="167"/>
      <c r="C766" s="167"/>
      <c r="D766" s="147"/>
      <c r="E766" s="147"/>
      <c r="F766" s="147"/>
      <c r="G766" s="147"/>
      <c r="H766" s="147"/>
      <c r="I766" s="147"/>
      <c r="J766" s="147"/>
      <c r="K766" s="3"/>
      <c r="L766" s="3"/>
      <c r="M766" s="3"/>
      <c r="N766" s="3"/>
      <c r="O766" s="3"/>
      <c r="P766" s="3"/>
      <c r="Q766" s="3"/>
      <c r="R766" s="3"/>
      <c r="S766" s="3"/>
      <c r="T766" s="3"/>
      <c r="U766" s="3"/>
      <c r="V766" s="3"/>
      <c r="W766" s="3"/>
      <c r="X766" s="3"/>
      <c r="Y766" s="3"/>
      <c r="Z766" s="3"/>
    </row>
    <row r="767" spans="1:26" ht="22.5" customHeight="1" x14ac:dyDescent="0.85">
      <c r="A767" s="166"/>
      <c r="B767" s="167"/>
      <c r="C767" s="167"/>
      <c r="D767" s="147"/>
      <c r="E767" s="147"/>
      <c r="F767" s="147"/>
      <c r="G767" s="147"/>
      <c r="H767" s="147"/>
      <c r="I767" s="147"/>
      <c r="J767" s="147"/>
      <c r="K767" s="3"/>
      <c r="L767" s="3"/>
      <c r="M767" s="3"/>
      <c r="N767" s="3"/>
      <c r="O767" s="3"/>
      <c r="P767" s="3"/>
      <c r="Q767" s="3"/>
      <c r="R767" s="3"/>
      <c r="S767" s="3"/>
      <c r="T767" s="3"/>
      <c r="U767" s="3"/>
      <c r="V767" s="3"/>
      <c r="W767" s="3"/>
      <c r="X767" s="3"/>
      <c r="Y767" s="3"/>
      <c r="Z767" s="3"/>
    </row>
    <row r="768" spans="1:26" ht="22.5" customHeight="1" x14ac:dyDescent="0.85">
      <c r="A768" s="166"/>
      <c r="B768" s="167"/>
      <c r="C768" s="167"/>
      <c r="D768" s="147"/>
      <c r="E768" s="147"/>
      <c r="F768" s="147"/>
      <c r="G768" s="147"/>
      <c r="H768" s="147"/>
      <c r="I768" s="147"/>
      <c r="J768" s="147"/>
      <c r="K768" s="3"/>
      <c r="L768" s="3"/>
      <c r="M768" s="3"/>
      <c r="N768" s="3"/>
      <c r="O768" s="3"/>
      <c r="P768" s="3"/>
      <c r="Q768" s="3"/>
      <c r="R768" s="3"/>
      <c r="S768" s="3"/>
      <c r="T768" s="3"/>
      <c r="U768" s="3"/>
      <c r="V768" s="3"/>
      <c r="W768" s="3"/>
      <c r="X768" s="3"/>
      <c r="Y768" s="3"/>
      <c r="Z768" s="3"/>
    </row>
    <row r="769" spans="1:26" ht="22.5" customHeight="1" x14ac:dyDescent="0.85">
      <c r="A769" s="166"/>
      <c r="B769" s="167"/>
      <c r="C769" s="167"/>
      <c r="D769" s="147"/>
      <c r="E769" s="147"/>
      <c r="F769" s="147"/>
      <c r="G769" s="147"/>
      <c r="H769" s="147"/>
      <c r="I769" s="147"/>
      <c r="J769" s="147"/>
      <c r="K769" s="3"/>
      <c r="L769" s="3"/>
      <c r="M769" s="3"/>
      <c r="N769" s="3"/>
      <c r="O769" s="3"/>
      <c r="P769" s="3"/>
      <c r="Q769" s="3"/>
      <c r="R769" s="3"/>
      <c r="S769" s="3"/>
      <c r="T769" s="3"/>
      <c r="U769" s="3"/>
      <c r="V769" s="3"/>
      <c r="W769" s="3"/>
      <c r="X769" s="3"/>
      <c r="Y769" s="3"/>
      <c r="Z769" s="3"/>
    </row>
    <row r="770" spans="1:26" ht="22.5" customHeight="1" x14ac:dyDescent="0.85">
      <c r="A770" s="166"/>
      <c r="B770" s="167"/>
      <c r="C770" s="167"/>
      <c r="D770" s="147"/>
      <c r="E770" s="147"/>
      <c r="F770" s="147"/>
      <c r="G770" s="147"/>
      <c r="H770" s="147"/>
      <c r="I770" s="147"/>
      <c r="J770" s="147"/>
      <c r="K770" s="3"/>
      <c r="L770" s="3"/>
      <c r="M770" s="3"/>
      <c r="N770" s="3"/>
      <c r="O770" s="3"/>
      <c r="P770" s="3"/>
      <c r="Q770" s="3"/>
      <c r="R770" s="3"/>
      <c r="S770" s="3"/>
      <c r="T770" s="3"/>
      <c r="U770" s="3"/>
      <c r="V770" s="3"/>
      <c r="W770" s="3"/>
      <c r="X770" s="3"/>
      <c r="Y770" s="3"/>
      <c r="Z770" s="3"/>
    </row>
    <row r="771" spans="1:26" ht="22.5" customHeight="1" x14ac:dyDescent="0.85">
      <c r="A771" s="166"/>
      <c r="B771" s="167"/>
      <c r="C771" s="167"/>
      <c r="D771" s="147"/>
      <c r="E771" s="147"/>
      <c r="F771" s="147"/>
      <c r="G771" s="147"/>
      <c r="H771" s="147"/>
      <c r="I771" s="147"/>
      <c r="J771" s="147"/>
      <c r="K771" s="3"/>
      <c r="L771" s="3"/>
      <c r="M771" s="3"/>
      <c r="N771" s="3"/>
      <c r="O771" s="3"/>
      <c r="P771" s="3"/>
      <c r="Q771" s="3"/>
      <c r="R771" s="3"/>
      <c r="S771" s="3"/>
      <c r="T771" s="3"/>
      <c r="U771" s="3"/>
      <c r="V771" s="3"/>
      <c r="W771" s="3"/>
      <c r="X771" s="3"/>
      <c r="Y771" s="3"/>
      <c r="Z771" s="3"/>
    </row>
    <row r="772" spans="1:26" ht="22.5" customHeight="1" x14ac:dyDescent="0.85">
      <c r="A772" s="166"/>
      <c r="B772" s="167"/>
      <c r="C772" s="167"/>
      <c r="D772" s="147"/>
      <c r="E772" s="147"/>
      <c r="F772" s="147"/>
      <c r="G772" s="147"/>
      <c r="H772" s="147"/>
      <c r="I772" s="147"/>
      <c r="J772" s="147"/>
      <c r="K772" s="3"/>
      <c r="L772" s="3"/>
      <c r="M772" s="3"/>
      <c r="N772" s="3"/>
      <c r="O772" s="3"/>
      <c r="P772" s="3"/>
      <c r="Q772" s="3"/>
      <c r="R772" s="3"/>
      <c r="S772" s="3"/>
      <c r="T772" s="3"/>
      <c r="U772" s="3"/>
      <c r="V772" s="3"/>
      <c r="W772" s="3"/>
      <c r="X772" s="3"/>
      <c r="Y772" s="3"/>
      <c r="Z772" s="3"/>
    </row>
    <row r="773" spans="1:26" ht="22.5" customHeight="1" x14ac:dyDescent="0.85">
      <c r="A773" s="166"/>
      <c r="B773" s="167"/>
      <c r="C773" s="167"/>
      <c r="D773" s="147"/>
      <c r="E773" s="147"/>
      <c r="F773" s="147"/>
      <c r="G773" s="147"/>
      <c r="H773" s="147"/>
      <c r="I773" s="147"/>
      <c r="J773" s="147"/>
      <c r="K773" s="3"/>
      <c r="L773" s="3"/>
      <c r="M773" s="3"/>
      <c r="N773" s="3"/>
      <c r="O773" s="3"/>
      <c r="P773" s="3"/>
      <c r="Q773" s="3"/>
      <c r="R773" s="3"/>
      <c r="S773" s="3"/>
      <c r="T773" s="3"/>
      <c r="U773" s="3"/>
      <c r="V773" s="3"/>
      <c r="W773" s="3"/>
      <c r="X773" s="3"/>
      <c r="Y773" s="3"/>
      <c r="Z773" s="3"/>
    </row>
    <row r="774" spans="1:26" ht="22.5" customHeight="1" x14ac:dyDescent="0.85">
      <c r="A774" s="166"/>
      <c r="B774" s="167"/>
      <c r="C774" s="167"/>
      <c r="D774" s="147"/>
      <c r="E774" s="147"/>
      <c r="F774" s="147"/>
      <c r="G774" s="147"/>
      <c r="H774" s="147"/>
      <c r="I774" s="147"/>
      <c r="J774" s="147"/>
      <c r="K774" s="3"/>
      <c r="L774" s="3"/>
      <c r="M774" s="3"/>
      <c r="N774" s="3"/>
      <c r="O774" s="3"/>
      <c r="P774" s="3"/>
      <c r="Q774" s="3"/>
      <c r="R774" s="3"/>
      <c r="S774" s="3"/>
      <c r="T774" s="3"/>
      <c r="U774" s="3"/>
      <c r="V774" s="3"/>
      <c r="W774" s="3"/>
      <c r="X774" s="3"/>
      <c r="Y774" s="3"/>
      <c r="Z774" s="3"/>
    </row>
    <row r="775" spans="1:26" ht="22.5" customHeight="1" x14ac:dyDescent="0.85">
      <c r="A775" s="166"/>
      <c r="B775" s="167"/>
      <c r="C775" s="167"/>
      <c r="D775" s="147"/>
      <c r="E775" s="147"/>
      <c r="F775" s="147"/>
      <c r="G775" s="147"/>
      <c r="H775" s="147"/>
      <c r="I775" s="147"/>
      <c r="J775" s="147"/>
      <c r="K775" s="3"/>
      <c r="L775" s="3"/>
      <c r="M775" s="3"/>
      <c r="N775" s="3"/>
      <c r="O775" s="3"/>
      <c r="P775" s="3"/>
      <c r="Q775" s="3"/>
      <c r="R775" s="3"/>
      <c r="S775" s="3"/>
      <c r="T775" s="3"/>
      <c r="U775" s="3"/>
      <c r="V775" s="3"/>
      <c r="W775" s="3"/>
      <c r="X775" s="3"/>
      <c r="Y775" s="3"/>
      <c r="Z775" s="3"/>
    </row>
    <row r="776" spans="1:26" ht="22.5" customHeight="1" x14ac:dyDescent="0.85">
      <c r="A776" s="166"/>
      <c r="B776" s="167"/>
      <c r="C776" s="167"/>
      <c r="D776" s="147"/>
      <c r="E776" s="147"/>
      <c r="F776" s="147"/>
      <c r="G776" s="147"/>
      <c r="H776" s="147"/>
      <c r="I776" s="147"/>
      <c r="J776" s="147"/>
      <c r="K776" s="3"/>
      <c r="L776" s="3"/>
      <c r="M776" s="3"/>
      <c r="N776" s="3"/>
      <c r="O776" s="3"/>
      <c r="P776" s="3"/>
      <c r="Q776" s="3"/>
      <c r="R776" s="3"/>
      <c r="S776" s="3"/>
      <c r="T776" s="3"/>
      <c r="U776" s="3"/>
      <c r="V776" s="3"/>
      <c r="W776" s="3"/>
      <c r="X776" s="3"/>
      <c r="Y776" s="3"/>
      <c r="Z776" s="3"/>
    </row>
    <row r="777" spans="1:26" ht="22.5" customHeight="1" x14ac:dyDescent="0.85">
      <c r="A777" s="166"/>
      <c r="B777" s="167"/>
      <c r="C777" s="167"/>
      <c r="D777" s="147"/>
      <c r="E777" s="147"/>
      <c r="F777" s="147"/>
      <c r="G777" s="147"/>
      <c r="H777" s="147"/>
      <c r="I777" s="147"/>
      <c r="J777" s="147"/>
      <c r="K777" s="3"/>
      <c r="L777" s="3"/>
      <c r="M777" s="3"/>
      <c r="N777" s="3"/>
      <c r="O777" s="3"/>
      <c r="P777" s="3"/>
      <c r="Q777" s="3"/>
      <c r="R777" s="3"/>
      <c r="S777" s="3"/>
      <c r="T777" s="3"/>
      <c r="U777" s="3"/>
      <c r="V777" s="3"/>
      <c r="W777" s="3"/>
      <c r="X777" s="3"/>
      <c r="Y777" s="3"/>
      <c r="Z777" s="3"/>
    </row>
    <row r="778" spans="1:26" ht="22.5" customHeight="1" x14ac:dyDescent="0.85">
      <c r="A778" s="166"/>
      <c r="B778" s="167"/>
      <c r="C778" s="167"/>
      <c r="D778" s="147"/>
      <c r="E778" s="147"/>
      <c r="F778" s="147"/>
      <c r="G778" s="147"/>
      <c r="H778" s="147"/>
      <c r="I778" s="147"/>
      <c r="J778" s="147"/>
      <c r="K778" s="3"/>
      <c r="L778" s="3"/>
      <c r="M778" s="3"/>
      <c r="N778" s="3"/>
      <c r="O778" s="3"/>
      <c r="P778" s="3"/>
      <c r="Q778" s="3"/>
      <c r="R778" s="3"/>
      <c r="S778" s="3"/>
      <c r="T778" s="3"/>
      <c r="U778" s="3"/>
      <c r="V778" s="3"/>
      <c r="W778" s="3"/>
      <c r="X778" s="3"/>
      <c r="Y778" s="3"/>
      <c r="Z778" s="3"/>
    </row>
    <row r="779" spans="1:26" ht="22.5" customHeight="1" x14ac:dyDescent="0.85">
      <c r="A779" s="166"/>
      <c r="B779" s="167"/>
      <c r="C779" s="167"/>
      <c r="D779" s="147"/>
      <c r="E779" s="147"/>
      <c r="F779" s="147"/>
      <c r="G779" s="147"/>
      <c r="H779" s="147"/>
      <c r="I779" s="147"/>
      <c r="J779" s="147"/>
      <c r="K779" s="3"/>
      <c r="L779" s="3"/>
      <c r="M779" s="3"/>
      <c r="N779" s="3"/>
      <c r="O779" s="3"/>
      <c r="P779" s="3"/>
      <c r="Q779" s="3"/>
      <c r="R779" s="3"/>
      <c r="S779" s="3"/>
      <c r="T779" s="3"/>
      <c r="U779" s="3"/>
      <c r="V779" s="3"/>
      <c r="W779" s="3"/>
      <c r="X779" s="3"/>
      <c r="Y779" s="3"/>
      <c r="Z779" s="3"/>
    </row>
    <row r="780" spans="1:26" ht="22.5" customHeight="1" x14ac:dyDescent="0.85">
      <c r="A780" s="166"/>
      <c r="B780" s="167"/>
      <c r="C780" s="167"/>
      <c r="D780" s="147"/>
      <c r="E780" s="147"/>
      <c r="F780" s="147"/>
      <c r="G780" s="147"/>
      <c r="H780" s="147"/>
      <c r="I780" s="147"/>
      <c r="J780" s="147"/>
      <c r="K780" s="3"/>
      <c r="L780" s="3"/>
      <c r="M780" s="3"/>
      <c r="N780" s="3"/>
      <c r="O780" s="3"/>
      <c r="P780" s="3"/>
      <c r="Q780" s="3"/>
      <c r="R780" s="3"/>
      <c r="S780" s="3"/>
      <c r="T780" s="3"/>
      <c r="U780" s="3"/>
      <c r="V780" s="3"/>
      <c r="W780" s="3"/>
      <c r="X780" s="3"/>
      <c r="Y780" s="3"/>
      <c r="Z780" s="3"/>
    </row>
    <row r="781" spans="1:26" ht="22.5" customHeight="1" x14ac:dyDescent="0.85">
      <c r="A781" s="166"/>
      <c r="B781" s="167"/>
      <c r="C781" s="167"/>
      <c r="D781" s="147"/>
      <c r="E781" s="147"/>
      <c r="F781" s="147"/>
      <c r="G781" s="147"/>
      <c r="H781" s="147"/>
      <c r="I781" s="147"/>
      <c r="J781" s="147"/>
      <c r="K781" s="3"/>
      <c r="L781" s="3"/>
      <c r="M781" s="3"/>
      <c r="N781" s="3"/>
      <c r="O781" s="3"/>
      <c r="P781" s="3"/>
      <c r="Q781" s="3"/>
      <c r="R781" s="3"/>
      <c r="S781" s="3"/>
      <c r="T781" s="3"/>
      <c r="U781" s="3"/>
      <c r="V781" s="3"/>
      <c r="W781" s="3"/>
      <c r="X781" s="3"/>
      <c r="Y781" s="3"/>
      <c r="Z781" s="3"/>
    </row>
    <row r="782" spans="1:26" ht="22.5" customHeight="1" x14ac:dyDescent="0.85">
      <c r="A782" s="166"/>
      <c r="B782" s="167"/>
      <c r="C782" s="167"/>
      <c r="D782" s="147"/>
      <c r="E782" s="147"/>
      <c r="F782" s="147"/>
      <c r="G782" s="147"/>
      <c r="H782" s="147"/>
      <c r="I782" s="147"/>
      <c r="J782" s="147"/>
      <c r="K782" s="3"/>
      <c r="L782" s="3"/>
      <c r="M782" s="3"/>
      <c r="N782" s="3"/>
      <c r="O782" s="3"/>
      <c r="P782" s="3"/>
      <c r="Q782" s="3"/>
      <c r="R782" s="3"/>
      <c r="S782" s="3"/>
      <c r="T782" s="3"/>
      <c r="U782" s="3"/>
      <c r="V782" s="3"/>
      <c r="W782" s="3"/>
      <c r="X782" s="3"/>
      <c r="Y782" s="3"/>
      <c r="Z782" s="3"/>
    </row>
    <row r="783" spans="1:26" ht="22.5" customHeight="1" x14ac:dyDescent="0.85">
      <c r="A783" s="166"/>
      <c r="B783" s="167"/>
      <c r="C783" s="167"/>
      <c r="D783" s="147"/>
      <c r="E783" s="147"/>
      <c r="F783" s="147"/>
      <c r="G783" s="147"/>
      <c r="H783" s="147"/>
      <c r="I783" s="147"/>
      <c r="J783" s="147"/>
      <c r="K783" s="3"/>
      <c r="L783" s="3"/>
      <c r="M783" s="3"/>
      <c r="N783" s="3"/>
      <c r="O783" s="3"/>
      <c r="P783" s="3"/>
      <c r="Q783" s="3"/>
      <c r="R783" s="3"/>
      <c r="S783" s="3"/>
      <c r="T783" s="3"/>
      <c r="U783" s="3"/>
      <c r="V783" s="3"/>
      <c r="W783" s="3"/>
      <c r="X783" s="3"/>
      <c r="Y783" s="3"/>
      <c r="Z783" s="3"/>
    </row>
    <row r="784" spans="1:26" ht="22.5" customHeight="1" x14ac:dyDescent="0.85">
      <c r="A784" s="166"/>
      <c r="B784" s="167"/>
      <c r="C784" s="167"/>
      <c r="D784" s="147"/>
      <c r="E784" s="147"/>
      <c r="F784" s="147"/>
      <c r="G784" s="147"/>
      <c r="H784" s="147"/>
      <c r="I784" s="147"/>
      <c r="J784" s="147"/>
      <c r="K784" s="3"/>
      <c r="L784" s="3"/>
      <c r="M784" s="3"/>
      <c r="N784" s="3"/>
      <c r="O784" s="3"/>
      <c r="P784" s="3"/>
      <c r="Q784" s="3"/>
      <c r="R784" s="3"/>
      <c r="S784" s="3"/>
      <c r="T784" s="3"/>
      <c r="U784" s="3"/>
      <c r="V784" s="3"/>
      <c r="W784" s="3"/>
      <c r="X784" s="3"/>
      <c r="Y784" s="3"/>
      <c r="Z784" s="3"/>
    </row>
    <row r="785" spans="1:26" ht="22.5" customHeight="1" x14ac:dyDescent="0.85">
      <c r="A785" s="166"/>
      <c r="B785" s="167"/>
      <c r="C785" s="167"/>
      <c r="D785" s="147"/>
      <c r="E785" s="147"/>
      <c r="F785" s="147"/>
      <c r="G785" s="147"/>
      <c r="H785" s="147"/>
      <c r="I785" s="147"/>
      <c r="J785" s="147"/>
      <c r="K785" s="3"/>
      <c r="L785" s="3"/>
      <c r="M785" s="3"/>
      <c r="N785" s="3"/>
      <c r="O785" s="3"/>
      <c r="P785" s="3"/>
      <c r="Q785" s="3"/>
      <c r="R785" s="3"/>
      <c r="S785" s="3"/>
      <c r="T785" s="3"/>
      <c r="U785" s="3"/>
      <c r="V785" s="3"/>
      <c r="W785" s="3"/>
      <c r="X785" s="3"/>
      <c r="Y785" s="3"/>
      <c r="Z785" s="3"/>
    </row>
    <row r="786" spans="1:26" ht="22.5" customHeight="1" x14ac:dyDescent="0.85">
      <c r="A786" s="166"/>
      <c r="B786" s="167"/>
      <c r="C786" s="167"/>
      <c r="D786" s="147"/>
      <c r="E786" s="147"/>
      <c r="F786" s="147"/>
      <c r="G786" s="147"/>
      <c r="H786" s="147"/>
      <c r="I786" s="147"/>
      <c r="J786" s="147"/>
      <c r="K786" s="3"/>
      <c r="L786" s="3"/>
      <c r="M786" s="3"/>
      <c r="N786" s="3"/>
      <c r="O786" s="3"/>
      <c r="P786" s="3"/>
      <c r="Q786" s="3"/>
      <c r="R786" s="3"/>
      <c r="S786" s="3"/>
      <c r="T786" s="3"/>
      <c r="U786" s="3"/>
      <c r="V786" s="3"/>
      <c r="W786" s="3"/>
      <c r="X786" s="3"/>
      <c r="Y786" s="3"/>
      <c r="Z786" s="3"/>
    </row>
    <row r="787" spans="1:26" ht="22.5" customHeight="1" x14ac:dyDescent="0.85">
      <c r="A787" s="166"/>
      <c r="B787" s="167"/>
      <c r="C787" s="167"/>
      <c r="D787" s="147"/>
      <c r="E787" s="147"/>
      <c r="F787" s="147"/>
      <c r="G787" s="147"/>
      <c r="H787" s="147"/>
      <c r="I787" s="147"/>
      <c r="J787" s="147"/>
      <c r="K787" s="3"/>
      <c r="L787" s="3"/>
      <c r="M787" s="3"/>
      <c r="N787" s="3"/>
      <c r="O787" s="3"/>
      <c r="P787" s="3"/>
      <c r="Q787" s="3"/>
      <c r="R787" s="3"/>
      <c r="S787" s="3"/>
      <c r="T787" s="3"/>
      <c r="U787" s="3"/>
      <c r="V787" s="3"/>
      <c r="W787" s="3"/>
      <c r="X787" s="3"/>
      <c r="Y787" s="3"/>
      <c r="Z787" s="3"/>
    </row>
    <row r="788" spans="1:26" ht="22.5" customHeight="1" x14ac:dyDescent="0.85">
      <c r="A788" s="166"/>
      <c r="B788" s="167"/>
      <c r="C788" s="167"/>
      <c r="D788" s="147"/>
      <c r="E788" s="147"/>
      <c r="F788" s="147"/>
      <c r="G788" s="147"/>
      <c r="H788" s="147"/>
      <c r="I788" s="147"/>
      <c r="J788" s="147"/>
      <c r="K788" s="3"/>
      <c r="L788" s="3"/>
      <c r="M788" s="3"/>
      <c r="N788" s="3"/>
      <c r="O788" s="3"/>
      <c r="P788" s="3"/>
      <c r="Q788" s="3"/>
      <c r="R788" s="3"/>
      <c r="S788" s="3"/>
      <c r="T788" s="3"/>
      <c r="U788" s="3"/>
      <c r="V788" s="3"/>
      <c r="W788" s="3"/>
      <c r="X788" s="3"/>
      <c r="Y788" s="3"/>
      <c r="Z788" s="3"/>
    </row>
    <row r="789" spans="1:26" ht="22.5" customHeight="1" x14ac:dyDescent="0.85">
      <c r="A789" s="166"/>
      <c r="B789" s="167"/>
      <c r="C789" s="167"/>
      <c r="D789" s="147"/>
      <c r="E789" s="147"/>
      <c r="F789" s="147"/>
      <c r="G789" s="147"/>
      <c r="H789" s="147"/>
      <c r="I789" s="147"/>
      <c r="J789" s="147"/>
      <c r="K789" s="3"/>
      <c r="L789" s="3"/>
      <c r="M789" s="3"/>
      <c r="N789" s="3"/>
      <c r="O789" s="3"/>
      <c r="P789" s="3"/>
      <c r="Q789" s="3"/>
      <c r="R789" s="3"/>
      <c r="S789" s="3"/>
      <c r="T789" s="3"/>
      <c r="U789" s="3"/>
      <c r="V789" s="3"/>
      <c r="W789" s="3"/>
      <c r="X789" s="3"/>
      <c r="Y789" s="3"/>
      <c r="Z789" s="3"/>
    </row>
    <row r="790" spans="1:26" ht="22.5" customHeight="1" x14ac:dyDescent="0.85">
      <c r="A790" s="166"/>
      <c r="B790" s="167"/>
      <c r="C790" s="167"/>
      <c r="D790" s="147"/>
      <c r="E790" s="147"/>
      <c r="F790" s="147"/>
      <c r="G790" s="147"/>
      <c r="H790" s="147"/>
      <c r="I790" s="147"/>
      <c r="J790" s="147"/>
      <c r="K790" s="3"/>
      <c r="L790" s="3"/>
      <c r="M790" s="3"/>
      <c r="N790" s="3"/>
      <c r="O790" s="3"/>
      <c r="P790" s="3"/>
      <c r="Q790" s="3"/>
      <c r="R790" s="3"/>
      <c r="S790" s="3"/>
      <c r="T790" s="3"/>
      <c r="U790" s="3"/>
      <c r="V790" s="3"/>
      <c r="W790" s="3"/>
      <c r="X790" s="3"/>
      <c r="Y790" s="3"/>
      <c r="Z790" s="3"/>
    </row>
    <row r="791" spans="1:26" ht="22.5" customHeight="1" x14ac:dyDescent="0.85">
      <c r="A791" s="166"/>
      <c r="B791" s="167"/>
      <c r="C791" s="167"/>
      <c r="D791" s="147"/>
      <c r="E791" s="147"/>
      <c r="F791" s="147"/>
      <c r="G791" s="147"/>
      <c r="H791" s="147"/>
      <c r="I791" s="147"/>
      <c r="J791" s="147"/>
      <c r="K791" s="3"/>
      <c r="L791" s="3"/>
      <c r="M791" s="3"/>
      <c r="N791" s="3"/>
      <c r="O791" s="3"/>
      <c r="P791" s="3"/>
      <c r="Q791" s="3"/>
      <c r="R791" s="3"/>
      <c r="S791" s="3"/>
      <c r="T791" s="3"/>
      <c r="U791" s="3"/>
      <c r="V791" s="3"/>
      <c r="W791" s="3"/>
      <c r="X791" s="3"/>
      <c r="Y791" s="3"/>
      <c r="Z791" s="3"/>
    </row>
    <row r="792" spans="1:26" ht="22.5" customHeight="1" x14ac:dyDescent="0.85">
      <c r="A792" s="166"/>
      <c r="B792" s="167"/>
      <c r="C792" s="167"/>
      <c r="D792" s="147"/>
      <c r="E792" s="147"/>
      <c r="F792" s="147"/>
      <c r="G792" s="147"/>
      <c r="H792" s="147"/>
      <c r="I792" s="147"/>
      <c r="J792" s="147"/>
      <c r="K792" s="3"/>
      <c r="L792" s="3"/>
      <c r="M792" s="3"/>
      <c r="N792" s="3"/>
      <c r="O792" s="3"/>
      <c r="P792" s="3"/>
      <c r="Q792" s="3"/>
      <c r="R792" s="3"/>
      <c r="S792" s="3"/>
      <c r="T792" s="3"/>
      <c r="U792" s="3"/>
      <c r="V792" s="3"/>
      <c r="W792" s="3"/>
      <c r="X792" s="3"/>
      <c r="Y792" s="3"/>
      <c r="Z792" s="3"/>
    </row>
    <row r="793" spans="1:26" ht="22.5" customHeight="1" x14ac:dyDescent="0.85">
      <c r="A793" s="166"/>
      <c r="B793" s="167"/>
      <c r="C793" s="167"/>
      <c r="D793" s="147"/>
      <c r="E793" s="147"/>
      <c r="F793" s="147"/>
      <c r="G793" s="147"/>
      <c r="H793" s="147"/>
      <c r="I793" s="147"/>
      <c r="J793" s="147"/>
      <c r="K793" s="3"/>
      <c r="L793" s="3"/>
      <c r="M793" s="3"/>
      <c r="N793" s="3"/>
      <c r="O793" s="3"/>
      <c r="P793" s="3"/>
      <c r="Q793" s="3"/>
      <c r="R793" s="3"/>
      <c r="S793" s="3"/>
      <c r="T793" s="3"/>
      <c r="U793" s="3"/>
      <c r="V793" s="3"/>
      <c r="W793" s="3"/>
      <c r="X793" s="3"/>
      <c r="Y793" s="3"/>
      <c r="Z793" s="3"/>
    </row>
    <row r="794" spans="1:26" ht="22.5" customHeight="1" x14ac:dyDescent="0.85">
      <c r="A794" s="166"/>
      <c r="B794" s="167"/>
      <c r="C794" s="167"/>
      <c r="D794" s="147"/>
      <c r="E794" s="147"/>
      <c r="F794" s="147"/>
      <c r="G794" s="147"/>
      <c r="H794" s="147"/>
      <c r="I794" s="147"/>
      <c r="J794" s="147"/>
      <c r="K794" s="3"/>
      <c r="L794" s="3"/>
      <c r="M794" s="3"/>
      <c r="N794" s="3"/>
      <c r="O794" s="3"/>
      <c r="P794" s="3"/>
      <c r="Q794" s="3"/>
      <c r="R794" s="3"/>
      <c r="S794" s="3"/>
      <c r="T794" s="3"/>
      <c r="U794" s="3"/>
      <c r="V794" s="3"/>
      <c r="W794" s="3"/>
      <c r="X794" s="3"/>
      <c r="Y794" s="3"/>
      <c r="Z794" s="3"/>
    </row>
    <row r="795" spans="1:26" ht="22.5" customHeight="1" x14ac:dyDescent="0.85">
      <c r="A795" s="166"/>
      <c r="B795" s="167"/>
      <c r="C795" s="167"/>
      <c r="D795" s="147"/>
      <c r="E795" s="147"/>
      <c r="F795" s="147"/>
      <c r="G795" s="147"/>
      <c r="H795" s="147"/>
      <c r="I795" s="147"/>
      <c r="J795" s="147"/>
      <c r="K795" s="3"/>
      <c r="L795" s="3"/>
      <c r="M795" s="3"/>
      <c r="N795" s="3"/>
      <c r="O795" s="3"/>
      <c r="P795" s="3"/>
      <c r="Q795" s="3"/>
      <c r="R795" s="3"/>
      <c r="S795" s="3"/>
      <c r="T795" s="3"/>
      <c r="U795" s="3"/>
      <c r="V795" s="3"/>
      <c r="W795" s="3"/>
      <c r="X795" s="3"/>
      <c r="Y795" s="3"/>
      <c r="Z795" s="3"/>
    </row>
    <row r="796" spans="1:26" ht="22.5" customHeight="1" x14ac:dyDescent="0.85">
      <c r="A796" s="166"/>
      <c r="B796" s="167"/>
      <c r="C796" s="167"/>
      <c r="D796" s="147"/>
      <c r="E796" s="147"/>
      <c r="F796" s="147"/>
      <c r="G796" s="147"/>
      <c r="H796" s="147"/>
      <c r="I796" s="147"/>
      <c r="J796" s="147"/>
      <c r="K796" s="3"/>
      <c r="L796" s="3"/>
      <c r="M796" s="3"/>
      <c r="N796" s="3"/>
      <c r="O796" s="3"/>
      <c r="P796" s="3"/>
      <c r="Q796" s="3"/>
      <c r="R796" s="3"/>
      <c r="S796" s="3"/>
      <c r="T796" s="3"/>
      <c r="U796" s="3"/>
      <c r="V796" s="3"/>
      <c r="W796" s="3"/>
      <c r="X796" s="3"/>
      <c r="Y796" s="3"/>
      <c r="Z796" s="3"/>
    </row>
    <row r="797" spans="1:26" ht="22.5" customHeight="1" x14ac:dyDescent="0.85">
      <c r="A797" s="166"/>
      <c r="B797" s="167"/>
      <c r="C797" s="167"/>
      <c r="D797" s="147"/>
      <c r="E797" s="147"/>
      <c r="F797" s="147"/>
      <c r="G797" s="147"/>
      <c r="H797" s="147"/>
      <c r="I797" s="147"/>
      <c r="J797" s="147"/>
      <c r="K797" s="3"/>
      <c r="L797" s="3"/>
      <c r="M797" s="3"/>
      <c r="N797" s="3"/>
      <c r="O797" s="3"/>
      <c r="P797" s="3"/>
      <c r="Q797" s="3"/>
      <c r="R797" s="3"/>
      <c r="S797" s="3"/>
      <c r="T797" s="3"/>
      <c r="U797" s="3"/>
      <c r="V797" s="3"/>
      <c r="W797" s="3"/>
      <c r="X797" s="3"/>
      <c r="Y797" s="3"/>
      <c r="Z797" s="3"/>
    </row>
    <row r="798" spans="1:26" ht="22.5" customHeight="1" x14ac:dyDescent="0.85">
      <c r="A798" s="166"/>
      <c r="B798" s="167"/>
      <c r="C798" s="167"/>
      <c r="D798" s="147"/>
      <c r="E798" s="147"/>
      <c r="F798" s="147"/>
      <c r="G798" s="147"/>
      <c r="H798" s="147"/>
      <c r="I798" s="147"/>
      <c r="J798" s="147"/>
      <c r="K798" s="3"/>
      <c r="L798" s="3"/>
      <c r="M798" s="3"/>
      <c r="N798" s="3"/>
      <c r="O798" s="3"/>
      <c r="P798" s="3"/>
      <c r="Q798" s="3"/>
      <c r="R798" s="3"/>
      <c r="S798" s="3"/>
      <c r="T798" s="3"/>
      <c r="U798" s="3"/>
      <c r="V798" s="3"/>
      <c r="W798" s="3"/>
      <c r="X798" s="3"/>
      <c r="Y798" s="3"/>
      <c r="Z798" s="3"/>
    </row>
    <row r="799" spans="1:26" ht="22.5" customHeight="1" x14ac:dyDescent="0.85">
      <c r="A799" s="166"/>
      <c r="B799" s="167"/>
      <c r="C799" s="167"/>
      <c r="D799" s="147"/>
      <c r="E799" s="147"/>
      <c r="F799" s="147"/>
      <c r="G799" s="147"/>
      <c r="H799" s="147"/>
      <c r="I799" s="147"/>
      <c r="J799" s="147"/>
      <c r="K799" s="3"/>
      <c r="L799" s="3"/>
      <c r="M799" s="3"/>
      <c r="N799" s="3"/>
      <c r="O799" s="3"/>
      <c r="P799" s="3"/>
      <c r="Q799" s="3"/>
      <c r="R799" s="3"/>
      <c r="S799" s="3"/>
      <c r="T799" s="3"/>
      <c r="U799" s="3"/>
      <c r="V799" s="3"/>
      <c r="W799" s="3"/>
      <c r="X799" s="3"/>
      <c r="Y799" s="3"/>
      <c r="Z799" s="3"/>
    </row>
    <row r="800" spans="1:26" ht="22.5" customHeight="1" x14ac:dyDescent="0.85">
      <c r="A800" s="166"/>
      <c r="B800" s="167"/>
      <c r="C800" s="167"/>
      <c r="D800" s="147"/>
      <c r="E800" s="147"/>
      <c r="F800" s="147"/>
      <c r="G800" s="147"/>
      <c r="H800" s="147"/>
      <c r="I800" s="147"/>
      <c r="J800" s="147"/>
      <c r="K800" s="3"/>
      <c r="L800" s="3"/>
      <c r="M800" s="3"/>
      <c r="N800" s="3"/>
      <c r="O800" s="3"/>
      <c r="P800" s="3"/>
      <c r="Q800" s="3"/>
      <c r="R800" s="3"/>
      <c r="S800" s="3"/>
      <c r="T800" s="3"/>
      <c r="U800" s="3"/>
      <c r="V800" s="3"/>
      <c r="W800" s="3"/>
      <c r="X800" s="3"/>
      <c r="Y800" s="3"/>
      <c r="Z800" s="3"/>
    </row>
    <row r="801" spans="1:26" ht="22.5" customHeight="1" x14ac:dyDescent="0.85">
      <c r="A801" s="166"/>
      <c r="B801" s="167"/>
      <c r="C801" s="167"/>
      <c r="D801" s="147"/>
      <c r="E801" s="147"/>
      <c r="F801" s="147"/>
      <c r="G801" s="147"/>
      <c r="H801" s="147"/>
      <c r="I801" s="147"/>
      <c r="J801" s="147"/>
      <c r="K801" s="3"/>
      <c r="L801" s="3"/>
      <c r="M801" s="3"/>
      <c r="N801" s="3"/>
      <c r="O801" s="3"/>
      <c r="P801" s="3"/>
      <c r="Q801" s="3"/>
      <c r="R801" s="3"/>
      <c r="S801" s="3"/>
      <c r="T801" s="3"/>
      <c r="U801" s="3"/>
      <c r="V801" s="3"/>
      <c r="W801" s="3"/>
      <c r="X801" s="3"/>
      <c r="Y801" s="3"/>
      <c r="Z801" s="3"/>
    </row>
    <row r="802" spans="1:26" ht="22.5" customHeight="1" x14ac:dyDescent="0.85">
      <c r="A802" s="166"/>
      <c r="B802" s="167"/>
      <c r="C802" s="167"/>
      <c r="D802" s="147"/>
      <c r="E802" s="147"/>
      <c r="F802" s="147"/>
      <c r="G802" s="147"/>
      <c r="H802" s="147"/>
      <c r="I802" s="147"/>
      <c r="J802" s="147"/>
      <c r="K802" s="3"/>
      <c r="L802" s="3"/>
      <c r="M802" s="3"/>
      <c r="N802" s="3"/>
      <c r="O802" s="3"/>
      <c r="P802" s="3"/>
      <c r="Q802" s="3"/>
      <c r="R802" s="3"/>
      <c r="S802" s="3"/>
      <c r="T802" s="3"/>
      <c r="U802" s="3"/>
      <c r="V802" s="3"/>
      <c r="W802" s="3"/>
      <c r="X802" s="3"/>
      <c r="Y802" s="3"/>
      <c r="Z802" s="3"/>
    </row>
    <row r="803" spans="1:26" ht="22.5" customHeight="1" x14ac:dyDescent="0.85">
      <c r="A803" s="166"/>
      <c r="B803" s="167"/>
      <c r="C803" s="167"/>
      <c r="D803" s="147"/>
      <c r="E803" s="147"/>
      <c r="F803" s="147"/>
      <c r="G803" s="147"/>
      <c r="H803" s="147"/>
      <c r="I803" s="147"/>
      <c r="J803" s="147"/>
      <c r="K803" s="3"/>
      <c r="L803" s="3"/>
      <c r="M803" s="3"/>
      <c r="N803" s="3"/>
      <c r="O803" s="3"/>
      <c r="P803" s="3"/>
      <c r="Q803" s="3"/>
      <c r="R803" s="3"/>
      <c r="S803" s="3"/>
      <c r="T803" s="3"/>
      <c r="U803" s="3"/>
      <c r="V803" s="3"/>
      <c r="W803" s="3"/>
      <c r="X803" s="3"/>
      <c r="Y803" s="3"/>
      <c r="Z803" s="3"/>
    </row>
    <row r="804" spans="1:26" ht="22.5" customHeight="1" x14ac:dyDescent="0.85">
      <c r="A804" s="166"/>
      <c r="B804" s="167"/>
      <c r="C804" s="167"/>
      <c r="D804" s="147"/>
      <c r="E804" s="147"/>
      <c r="F804" s="147"/>
      <c r="G804" s="147"/>
      <c r="H804" s="147"/>
      <c r="I804" s="147"/>
      <c r="J804" s="147"/>
      <c r="K804" s="3"/>
      <c r="L804" s="3"/>
      <c r="M804" s="3"/>
      <c r="N804" s="3"/>
      <c r="O804" s="3"/>
      <c r="P804" s="3"/>
      <c r="Q804" s="3"/>
      <c r="R804" s="3"/>
      <c r="S804" s="3"/>
      <c r="T804" s="3"/>
      <c r="U804" s="3"/>
      <c r="V804" s="3"/>
      <c r="W804" s="3"/>
      <c r="X804" s="3"/>
      <c r="Y804" s="3"/>
      <c r="Z804" s="3"/>
    </row>
    <row r="805" spans="1:26" ht="22.5" customHeight="1" x14ac:dyDescent="0.85">
      <c r="A805" s="166"/>
      <c r="B805" s="167"/>
      <c r="C805" s="167"/>
      <c r="D805" s="147"/>
      <c r="E805" s="147"/>
      <c r="F805" s="147"/>
      <c r="G805" s="147"/>
      <c r="H805" s="147"/>
      <c r="I805" s="147"/>
      <c r="J805" s="147"/>
      <c r="K805" s="3"/>
      <c r="L805" s="3"/>
      <c r="M805" s="3"/>
      <c r="N805" s="3"/>
      <c r="O805" s="3"/>
      <c r="P805" s="3"/>
      <c r="Q805" s="3"/>
      <c r="R805" s="3"/>
      <c r="S805" s="3"/>
      <c r="T805" s="3"/>
      <c r="U805" s="3"/>
      <c r="V805" s="3"/>
      <c r="W805" s="3"/>
      <c r="X805" s="3"/>
      <c r="Y805" s="3"/>
      <c r="Z805" s="3"/>
    </row>
    <row r="806" spans="1:26" ht="22.5" customHeight="1" x14ac:dyDescent="0.85">
      <c r="A806" s="166"/>
      <c r="B806" s="167"/>
      <c r="C806" s="167"/>
      <c r="D806" s="147"/>
      <c r="E806" s="147"/>
      <c r="F806" s="147"/>
      <c r="G806" s="147"/>
      <c r="H806" s="147"/>
      <c r="I806" s="147"/>
      <c r="J806" s="147"/>
      <c r="K806" s="3"/>
      <c r="L806" s="3"/>
      <c r="M806" s="3"/>
      <c r="N806" s="3"/>
      <c r="O806" s="3"/>
      <c r="P806" s="3"/>
      <c r="Q806" s="3"/>
      <c r="R806" s="3"/>
      <c r="S806" s="3"/>
      <c r="T806" s="3"/>
      <c r="U806" s="3"/>
      <c r="V806" s="3"/>
      <c r="W806" s="3"/>
      <c r="X806" s="3"/>
      <c r="Y806" s="3"/>
      <c r="Z806" s="3"/>
    </row>
    <row r="807" spans="1:26" ht="22.5" customHeight="1" x14ac:dyDescent="0.85">
      <c r="A807" s="166"/>
      <c r="B807" s="167"/>
      <c r="C807" s="167"/>
      <c r="D807" s="147"/>
      <c r="E807" s="147"/>
      <c r="F807" s="147"/>
      <c r="G807" s="147"/>
      <c r="H807" s="147"/>
      <c r="I807" s="147"/>
      <c r="J807" s="147"/>
      <c r="K807" s="3"/>
      <c r="L807" s="3"/>
      <c r="M807" s="3"/>
      <c r="N807" s="3"/>
      <c r="O807" s="3"/>
      <c r="P807" s="3"/>
      <c r="Q807" s="3"/>
      <c r="R807" s="3"/>
      <c r="S807" s="3"/>
      <c r="T807" s="3"/>
      <c r="U807" s="3"/>
      <c r="V807" s="3"/>
      <c r="W807" s="3"/>
      <c r="X807" s="3"/>
      <c r="Y807" s="3"/>
      <c r="Z807" s="3"/>
    </row>
    <row r="808" spans="1:26" ht="22.5" customHeight="1" x14ac:dyDescent="0.85">
      <c r="A808" s="166"/>
      <c r="B808" s="167"/>
      <c r="C808" s="167"/>
      <c r="D808" s="147"/>
      <c r="E808" s="147"/>
      <c r="F808" s="147"/>
      <c r="G808" s="147"/>
      <c r="H808" s="147"/>
      <c r="I808" s="147"/>
      <c r="J808" s="147"/>
      <c r="K808" s="3"/>
      <c r="L808" s="3"/>
      <c r="M808" s="3"/>
      <c r="N808" s="3"/>
      <c r="O808" s="3"/>
      <c r="P808" s="3"/>
      <c r="Q808" s="3"/>
      <c r="R808" s="3"/>
      <c r="S808" s="3"/>
      <c r="T808" s="3"/>
      <c r="U808" s="3"/>
      <c r="V808" s="3"/>
      <c r="W808" s="3"/>
      <c r="X808" s="3"/>
      <c r="Y808" s="3"/>
      <c r="Z808" s="3"/>
    </row>
    <row r="809" spans="1:26" ht="22.5" customHeight="1" x14ac:dyDescent="0.85">
      <c r="A809" s="166"/>
      <c r="B809" s="167"/>
      <c r="C809" s="167"/>
      <c r="D809" s="147"/>
      <c r="E809" s="147"/>
      <c r="F809" s="147"/>
      <c r="G809" s="147"/>
      <c r="H809" s="147"/>
      <c r="I809" s="147"/>
      <c r="J809" s="147"/>
      <c r="K809" s="3"/>
      <c r="L809" s="3"/>
      <c r="M809" s="3"/>
      <c r="N809" s="3"/>
      <c r="O809" s="3"/>
      <c r="P809" s="3"/>
      <c r="Q809" s="3"/>
      <c r="R809" s="3"/>
      <c r="S809" s="3"/>
      <c r="T809" s="3"/>
      <c r="U809" s="3"/>
      <c r="V809" s="3"/>
      <c r="W809" s="3"/>
      <c r="X809" s="3"/>
      <c r="Y809" s="3"/>
      <c r="Z809" s="3"/>
    </row>
    <row r="810" spans="1:26" ht="22.5" customHeight="1" x14ac:dyDescent="0.85">
      <c r="A810" s="166"/>
      <c r="B810" s="167"/>
      <c r="C810" s="167"/>
      <c r="D810" s="147"/>
      <c r="E810" s="147"/>
      <c r="F810" s="147"/>
      <c r="G810" s="147"/>
      <c r="H810" s="147"/>
      <c r="I810" s="147"/>
      <c r="J810" s="147"/>
      <c r="K810" s="3"/>
      <c r="L810" s="3"/>
      <c r="M810" s="3"/>
      <c r="N810" s="3"/>
      <c r="O810" s="3"/>
      <c r="P810" s="3"/>
      <c r="Q810" s="3"/>
      <c r="R810" s="3"/>
      <c r="S810" s="3"/>
      <c r="T810" s="3"/>
      <c r="U810" s="3"/>
      <c r="V810" s="3"/>
      <c r="W810" s="3"/>
      <c r="X810" s="3"/>
      <c r="Y810" s="3"/>
      <c r="Z810" s="3"/>
    </row>
    <row r="811" spans="1:26" ht="22.5" customHeight="1" x14ac:dyDescent="0.85">
      <c r="A811" s="166"/>
      <c r="B811" s="167"/>
      <c r="C811" s="167"/>
      <c r="D811" s="147"/>
      <c r="E811" s="147"/>
      <c r="F811" s="147"/>
      <c r="G811" s="147"/>
      <c r="H811" s="147"/>
      <c r="I811" s="147"/>
      <c r="J811" s="147"/>
      <c r="K811" s="3"/>
      <c r="L811" s="3"/>
      <c r="M811" s="3"/>
      <c r="N811" s="3"/>
      <c r="O811" s="3"/>
      <c r="P811" s="3"/>
      <c r="Q811" s="3"/>
      <c r="R811" s="3"/>
      <c r="S811" s="3"/>
      <c r="T811" s="3"/>
      <c r="U811" s="3"/>
      <c r="V811" s="3"/>
      <c r="W811" s="3"/>
      <c r="X811" s="3"/>
      <c r="Y811" s="3"/>
      <c r="Z811" s="3"/>
    </row>
    <row r="812" spans="1:26" ht="22.5" customHeight="1" x14ac:dyDescent="0.85">
      <c r="A812" s="166"/>
      <c r="B812" s="167"/>
      <c r="C812" s="167"/>
      <c r="D812" s="147"/>
      <c r="E812" s="147"/>
      <c r="F812" s="147"/>
      <c r="G812" s="147"/>
      <c r="H812" s="147"/>
      <c r="I812" s="147"/>
      <c r="J812" s="147"/>
      <c r="K812" s="3"/>
      <c r="L812" s="3"/>
      <c r="M812" s="3"/>
      <c r="N812" s="3"/>
      <c r="O812" s="3"/>
      <c r="P812" s="3"/>
      <c r="Q812" s="3"/>
      <c r="R812" s="3"/>
      <c r="S812" s="3"/>
      <c r="T812" s="3"/>
      <c r="U812" s="3"/>
      <c r="V812" s="3"/>
      <c r="W812" s="3"/>
      <c r="X812" s="3"/>
      <c r="Y812" s="3"/>
      <c r="Z812" s="3"/>
    </row>
    <row r="813" spans="1:26" ht="22.5" customHeight="1" x14ac:dyDescent="0.85">
      <c r="A813" s="166"/>
      <c r="B813" s="167"/>
      <c r="C813" s="167"/>
      <c r="D813" s="147"/>
      <c r="E813" s="147"/>
      <c r="F813" s="147"/>
      <c r="G813" s="147"/>
      <c r="H813" s="147"/>
      <c r="I813" s="147"/>
      <c r="J813" s="147"/>
      <c r="K813" s="3"/>
      <c r="L813" s="3"/>
      <c r="M813" s="3"/>
      <c r="N813" s="3"/>
      <c r="O813" s="3"/>
      <c r="P813" s="3"/>
      <c r="Q813" s="3"/>
      <c r="R813" s="3"/>
      <c r="S813" s="3"/>
      <c r="T813" s="3"/>
      <c r="U813" s="3"/>
      <c r="V813" s="3"/>
      <c r="W813" s="3"/>
      <c r="X813" s="3"/>
      <c r="Y813" s="3"/>
      <c r="Z813" s="3"/>
    </row>
    <row r="814" spans="1:26" ht="22.5" customHeight="1" x14ac:dyDescent="0.85">
      <c r="A814" s="166"/>
      <c r="B814" s="167"/>
      <c r="C814" s="167"/>
      <c r="D814" s="147"/>
      <c r="E814" s="147"/>
      <c r="F814" s="147"/>
      <c r="G814" s="147"/>
      <c r="H814" s="147"/>
      <c r="I814" s="147"/>
      <c r="J814" s="147"/>
      <c r="K814" s="3"/>
      <c r="L814" s="3"/>
      <c r="M814" s="3"/>
      <c r="N814" s="3"/>
      <c r="O814" s="3"/>
      <c r="P814" s="3"/>
      <c r="Q814" s="3"/>
      <c r="R814" s="3"/>
      <c r="S814" s="3"/>
      <c r="T814" s="3"/>
      <c r="U814" s="3"/>
      <c r="V814" s="3"/>
      <c r="W814" s="3"/>
      <c r="X814" s="3"/>
      <c r="Y814" s="3"/>
      <c r="Z814" s="3"/>
    </row>
    <row r="815" spans="1:26" ht="22.5" customHeight="1" x14ac:dyDescent="0.85">
      <c r="A815" s="166"/>
      <c r="B815" s="167"/>
      <c r="C815" s="167"/>
      <c r="D815" s="147"/>
      <c r="E815" s="147"/>
      <c r="F815" s="147"/>
      <c r="G815" s="147"/>
      <c r="H815" s="147"/>
      <c r="I815" s="147"/>
      <c r="J815" s="147"/>
      <c r="K815" s="3"/>
      <c r="L815" s="3"/>
      <c r="M815" s="3"/>
      <c r="N815" s="3"/>
      <c r="O815" s="3"/>
      <c r="P815" s="3"/>
      <c r="Q815" s="3"/>
      <c r="R815" s="3"/>
      <c r="S815" s="3"/>
      <c r="T815" s="3"/>
      <c r="U815" s="3"/>
      <c r="V815" s="3"/>
      <c r="W815" s="3"/>
      <c r="X815" s="3"/>
      <c r="Y815" s="3"/>
      <c r="Z815" s="3"/>
    </row>
    <row r="816" spans="1:26" ht="22.5" customHeight="1" x14ac:dyDescent="0.85">
      <c r="A816" s="166"/>
      <c r="B816" s="167"/>
      <c r="C816" s="167"/>
      <c r="D816" s="147"/>
      <c r="E816" s="147"/>
      <c r="F816" s="147"/>
      <c r="G816" s="147"/>
      <c r="H816" s="147"/>
      <c r="I816" s="147"/>
      <c r="J816" s="147"/>
      <c r="K816" s="3"/>
      <c r="L816" s="3"/>
      <c r="M816" s="3"/>
      <c r="N816" s="3"/>
      <c r="O816" s="3"/>
      <c r="P816" s="3"/>
      <c r="Q816" s="3"/>
      <c r="R816" s="3"/>
      <c r="S816" s="3"/>
      <c r="T816" s="3"/>
      <c r="U816" s="3"/>
      <c r="V816" s="3"/>
      <c r="W816" s="3"/>
      <c r="X816" s="3"/>
      <c r="Y816" s="3"/>
      <c r="Z816" s="3"/>
    </row>
    <row r="817" spans="1:26" ht="22.5" customHeight="1" x14ac:dyDescent="0.85">
      <c r="A817" s="166"/>
      <c r="B817" s="167"/>
      <c r="C817" s="167"/>
      <c r="D817" s="147"/>
      <c r="E817" s="147"/>
      <c r="F817" s="147"/>
      <c r="G817" s="147"/>
      <c r="H817" s="147"/>
      <c r="I817" s="147"/>
      <c r="J817" s="147"/>
      <c r="K817" s="3"/>
      <c r="L817" s="3"/>
      <c r="M817" s="3"/>
      <c r="N817" s="3"/>
      <c r="O817" s="3"/>
      <c r="P817" s="3"/>
      <c r="Q817" s="3"/>
      <c r="R817" s="3"/>
      <c r="S817" s="3"/>
      <c r="T817" s="3"/>
      <c r="U817" s="3"/>
      <c r="V817" s="3"/>
      <c r="W817" s="3"/>
      <c r="X817" s="3"/>
      <c r="Y817" s="3"/>
      <c r="Z817" s="3"/>
    </row>
    <row r="818" spans="1:26" ht="22.5" customHeight="1" x14ac:dyDescent="0.85">
      <c r="A818" s="166"/>
      <c r="B818" s="167"/>
      <c r="C818" s="167"/>
      <c r="D818" s="147"/>
      <c r="E818" s="147"/>
      <c r="F818" s="147"/>
      <c r="G818" s="147"/>
      <c r="H818" s="147"/>
      <c r="I818" s="147"/>
      <c r="J818" s="147"/>
      <c r="K818" s="3"/>
      <c r="L818" s="3"/>
      <c r="M818" s="3"/>
      <c r="N818" s="3"/>
      <c r="O818" s="3"/>
      <c r="P818" s="3"/>
      <c r="Q818" s="3"/>
      <c r="R818" s="3"/>
      <c r="S818" s="3"/>
      <c r="T818" s="3"/>
      <c r="U818" s="3"/>
      <c r="V818" s="3"/>
      <c r="W818" s="3"/>
      <c r="X818" s="3"/>
      <c r="Y818" s="3"/>
      <c r="Z818" s="3"/>
    </row>
    <row r="819" spans="1:26" ht="22.5" customHeight="1" x14ac:dyDescent="0.85">
      <c r="A819" s="166"/>
      <c r="B819" s="167"/>
      <c r="C819" s="167"/>
      <c r="D819" s="147"/>
      <c r="E819" s="147"/>
      <c r="F819" s="147"/>
      <c r="G819" s="147"/>
      <c r="H819" s="147"/>
      <c r="I819" s="147"/>
      <c r="J819" s="147"/>
      <c r="K819" s="3"/>
      <c r="L819" s="3"/>
      <c r="M819" s="3"/>
      <c r="N819" s="3"/>
      <c r="O819" s="3"/>
      <c r="P819" s="3"/>
      <c r="Q819" s="3"/>
      <c r="R819" s="3"/>
      <c r="S819" s="3"/>
      <c r="T819" s="3"/>
      <c r="U819" s="3"/>
      <c r="V819" s="3"/>
      <c r="W819" s="3"/>
      <c r="X819" s="3"/>
      <c r="Y819" s="3"/>
      <c r="Z819" s="3"/>
    </row>
    <row r="820" spans="1:26" ht="22.5" customHeight="1" x14ac:dyDescent="0.85">
      <c r="A820" s="166"/>
      <c r="B820" s="167"/>
      <c r="C820" s="167"/>
      <c r="D820" s="147"/>
      <c r="E820" s="147"/>
      <c r="F820" s="147"/>
      <c r="G820" s="147"/>
      <c r="H820" s="147"/>
      <c r="I820" s="147"/>
      <c r="J820" s="147"/>
      <c r="K820" s="3"/>
      <c r="L820" s="3"/>
      <c r="M820" s="3"/>
      <c r="N820" s="3"/>
      <c r="O820" s="3"/>
      <c r="P820" s="3"/>
      <c r="Q820" s="3"/>
      <c r="R820" s="3"/>
      <c r="S820" s="3"/>
      <c r="T820" s="3"/>
      <c r="U820" s="3"/>
      <c r="V820" s="3"/>
      <c r="W820" s="3"/>
      <c r="X820" s="3"/>
      <c r="Y820" s="3"/>
      <c r="Z820" s="3"/>
    </row>
    <row r="821" spans="1:26" ht="22.5" customHeight="1" x14ac:dyDescent="0.85">
      <c r="A821" s="166"/>
      <c r="B821" s="167"/>
      <c r="C821" s="167"/>
      <c r="D821" s="147"/>
      <c r="E821" s="147"/>
      <c r="F821" s="147"/>
      <c r="G821" s="147"/>
      <c r="H821" s="147"/>
      <c r="I821" s="147"/>
      <c r="J821" s="147"/>
      <c r="K821" s="3"/>
      <c r="L821" s="3"/>
      <c r="M821" s="3"/>
      <c r="N821" s="3"/>
      <c r="O821" s="3"/>
      <c r="P821" s="3"/>
      <c r="Q821" s="3"/>
      <c r="R821" s="3"/>
      <c r="S821" s="3"/>
      <c r="T821" s="3"/>
      <c r="U821" s="3"/>
      <c r="V821" s="3"/>
      <c r="W821" s="3"/>
      <c r="X821" s="3"/>
      <c r="Y821" s="3"/>
      <c r="Z821" s="3"/>
    </row>
    <row r="822" spans="1:26" ht="22.5" customHeight="1" x14ac:dyDescent="0.85">
      <c r="A822" s="166"/>
      <c r="B822" s="167"/>
      <c r="C822" s="167"/>
      <c r="D822" s="147"/>
      <c r="E822" s="147"/>
      <c r="F822" s="147"/>
      <c r="G822" s="147"/>
      <c r="H822" s="147"/>
      <c r="I822" s="147"/>
      <c r="J822" s="147"/>
      <c r="K822" s="3"/>
      <c r="L822" s="3"/>
      <c r="M822" s="3"/>
      <c r="N822" s="3"/>
      <c r="O822" s="3"/>
      <c r="P822" s="3"/>
      <c r="Q822" s="3"/>
      <c r="R822" s="3"/>
      <c r="S822" s="3"/>
      <c r="T822" s="3"/>
      <c r="U822" s="3"/>
      <c r="V822" s="3"/>
      <c r="W822" s="3"/>
      <c r="X822" s="3"/>
      <c r="Y822" s="3"/>
      <c r="Z822" s="3"/>
    </row>
    <row r="823" spans="1:26" ht="22.5" customHeight="1" x14ac:dyDescent="0.85">
      <c r="A823" s="166"/>
      <c r="B823" s="167"/>
      <c r="C823" s="167"/>
      <c r="D823" s="147"/>
      <c r="E823" s="147"/>
      <c r="F823" s="147"/>
      <c r="G823" s="147"/>
      <c r="H823" s="147"/>
      <c r="I823" s="147"/>
      <c r="J823" s="147"/>
      <c r="K823" s="3"/>
      <c r="L823" s="3"/>
      <c r="M823" s="3"/>
      <c r="N823" s="3"/>
      <c r="O823" s="3"/>
      <c r="P823" s="3"/>
      <c r="Q823" s="3"/>
      <c r="R823" s="3"/>
      <c r="S823" s="3"/>
      <c r="T823" s="3"/>
      <c r="U823" s="3"/>
      <c r="V823" s="3"/>
      <c r="W823" s="3"/>
      <c r="X823" s="3"/>
      <c r="Y823" s="3"/>
      <c r="Z823" s="3"/>
    </row>
    <row r="824" spans="1:26" ht="22.5" customHeight="1" x14ac:dyDescent="0.85">
      <c r="A824" s="166"/>
      <c r="B824" s="167"/>
      <c r="C824" s="167"/>
      <c r="D824" s="147"/>
      <c r="E824" s="147"/>
      <c r="F824" s="147"/>
      <c r="G824" s="147"/>
      <c r="H824" s="147"/>
      <c r="I824" s="147"/>
      <c r="J824" s="147"/>
      <c r="K824" s="3"/>
      <c r="L824" s="3"/>
      <c r="M824" s="3"/>
      <c r="N824" s="3"/>
      <c r="O824" s="3"/>
      <c r="P824" s="3"/>
      <c r="Q824" s="3"/>
      <c r="R824" s="3"/>
      <c r="S824" s="3"/>
      <c r="T824" s="3"/>
      <c r="U824" s="3"/>
      <c r="V824" s="3"/>
      <c r="W824" s="3"/>
      <c r="X824" s="3"/>
      <c r="Y824" s="3"/>
      <c r="Z824" s="3"/>
    </row>
    <row r="825" spans="1:26" ht="22.5" customHeight="1" x14ac:dyDescent="0.85">
      <c r="A825" s="166"/>
      <c r="B825" s="167"/>
      <c r="C825" s="167"/>
      <c r="D825" s="147"/>
      <c r="E825" s="147"/>
      <c r="F825" s="147"/>
      <c r="G825" s="147"/>
      <c r="H825" s="147"/>
      <c r="I825" s="147"/>
      <c r="J825" s="147"/>
      <c r="K825" s="3"/>
      <c r="L825" s="3"/>
      <c r="M825" s="3"/>
      <c r="N825" s="3"/>
      <c r="O825" s="3"/>
      <c r="P825" s="3"/>
      <c r="Q825" s="3"/>
      <c r="R825" s="3"/>
      <c r="S825" s="3"/>
      <c r="T825" s="3"/>
      <c r="U825" s="3"/>
      <c r="V825" s="3"/>
      <c r="W825" s="3"/>
      <c r="X825" s="3"/>
      <c r="Y825" s="3"/>
      <c r="Z825" s="3"/>
    </row>
    <row r="826" spans="1:26" ht="22.5" customHeight="1" x14ac:dyDescent="0.85">
      <c r="A826" s="166"/>
      <c r="B826" s="167"/>
      <c r="C826" s="167"/>
      <c r="D826" s="147"/>
      <c r="E826" s="147"/>
      <c r="F826" s="147"/>
      <c r="G826" s="147"/>
      <c r="H826" s="147"/>
      <c r="I826" s="147"/>
      <c r="J826" s="147"/>
      <c r="K826" s="3"/>
      <c r="L826" s="3"/>
      <c r="M826" s="3"/>
      <c r="N826" s="3"/>
      <c r="O826" s="3"/>
      <c r="P826" s="3"/>
      <c r="Q826" s="3"/>
      <c r="R826" s="3"/>
      <c r="S826" s="3"/>
      <c r="T826" s="3"/>
      <c r="U826" s="3"/>
      <c r="V826" s="3"/>
      <c r="W826" s="3"/>
      <c r="X826" s="3"/>
      <c r="Y826" s="3"/>
      <c r="Z826" s="3"/>
    </row>
    <row r="827" spans="1:26" ht="22.5" customHeight="1" x14ac:dyDescent="0.85">
      <c r="A827" s="166"/>
      <c r="B827" s="167"/>
      <c r="C827" s="167"/>
      <c r="D827" s="147"/>
      <c r="E827" s="147"/>
      <c r="F827" s="147"/>
      <c r="G827" s="147"/>
      <c r="H827" s="147"/>
      <c r="I827" s="147"/>
      <c r="J827" s="147"/>
      <c r="K827" s="3"/>
      <c r="L827" s="3"/>
      <c r="M827" s="3"/>
      <c r="N827" s="3"/>
      <c r="O827" s="3"/>
      <c r="P827" s="3"/>
      <c r="Q827" s="3"/>
      <c r="R827" s="3"/>
      <c r="S827" s="3"/>
      <c r="T827" s="3"/>
      <c r="U827" s="3"/>
      <c r="V827" s="3"/>
      <c r="W827" s="3"/>
      <c r="X827" s="3"/>
      <c r="Y827" s="3"/>
      <c r="Z827" s="3"/>
    </row>
    <row r="828" spans="1:26" ht="22.5" customHeight="1" x14ac:dyDescent="0.85">
      <c r="A828" s="166"/>
      <c r="B828" s="167"/>
      <c r="C828" s="167"/>
      <c r="D828" s="147"/>
      <c r="E828" s="147"/>
      <c r="F828" s="147"/>
      <c r="G828" s="147"/>
      <c r="H828" s="147"/>
      <c r="I828" s="147"/>
      <c r="J828" s="147"/>
      <c r="K828" s="3"/>
      <c r="L828" s="3"/>
      <c r="M828" s="3"/>
      <c r="N828" s="3"/>
      <c r="O828" s="3"/>
      <c r="P828" s="3"/>
      <c r="Q828" s="3"/>
      <c r="R828" s="3"/>
      <c r="S828" s="3"/>
      <c r="T828" s="3"/>
      <c r="U828" s="3"/>
      <c r="V828" s="3"/>
      <c r="W828" s="3"/>
      <c r="X828" s="3"/>
      <c r="Y828" s="3"/>
      <c r="Z828" s="3"/>
    </row>
    <row r="829" spans="1:26" ht="22.5" customHeight="1" x14ac:dyDescent="0.85">
      <c r="A829" s="166"/>
      <c r="B829" s="167"/>
      <c r="C829" s="167"/>
      <c r="D829" s="147"/>
      <c r="E829" s="147"/>
      <c r="F829" s="147"/>
      <c r="G829" s="147"/>
      <c r="H829" s="147"/>
      <c r="I829" s="147"/>
      <c r="J829" s="147"/>
      <c r="K829" s="3"/>
      <c r="L829" s="3"/>
      <c r="M829" s="3"/>
      <c r="N829" s="3"/>
      <c r="O829" s="3"/>
      <c r="P829" s="3"/>
      <c r="Q829" s="3"/>
      <c r="R829" s="3"/>
      <c r="S829" s="3"/>
      <c r="T829" s="3"/>
      <c r="U829" s="3"/>
      <c r="V829" s="3"/>
      <c r="W829" s="3"/>
      <c r="X829" s="3"/>
      <c r="Y829" s="3"/>
      <c r="Z829" s="3"/>
    </row>
    <row r="830" spans="1:26" ht="22.5" customHeight="1" x14ac:dyDescent="0.85">
      <c r="A830" s="166"/>
      <c r="B830" s="167"/>
      <c r="C830" s="167"/>
      <c r="D830" s="147"/>
      <c r="E830" s="147"/>
      <c r="F830" s="147"/>
      <c r="G830" s="147"/>
      <c r="H830" s="147"/>
      <c r="I830" s="147"/>
      <c r="J830" s="147"/>
      <c r="K830" s="3"/>
      <c r="L830" s="3"/>
      <c r="M830" s="3"/>
      <c r="N830" s="3"/>
      <c r="O830" s="3"/>
      <c r="P830" s="3"/>
      <c r="Q830" s="3"/>
      <c r="R830" s="3"/>
      <c r="S830" s="3"/>
      <c r="T830" s="3"/>
      <c r="U830" s="3"/>
      <c r="V830" s="3"/>
      <c r="W830" s="3"/>
      <c r="X830" s="3"/>
      <c r="Y830" s="3"/>
      <c r="Z830" s="3"/>
    </row>
    <row r="831" spans="1:26" ht="22.5" customHeight="1" x14ac:dyDescent="0.85">
      <c r="A831" s="166"/>
      <c r="B831" s="167"/>
      <c r="C831" s="167"/>
      <c r="D831" s="147"/>
      <c r="E831" s="147"/>
      <c r="F831" s="147"/>
      <c r="G831" s="147"/>
      <c r="H831" s="147"/>
      <c r="I831" s="147"/>
      <c r="J831" s="147"/>
      <c r="K831" s="3"/>
      <c r="L831" s="3"/>
      <c r="M831" s="3"/>
      <c r="N831" s="3"/>
      <c r="O831" s="3"/>
      <c r="P831" s="3"/>
      <c r="Q831" s="3"/>
      <c r="R831" s="3"/>
      <c r="S831" s="3"/>
      <c r="T831" s="3"/>
      <c r="U831" s="3"/>
      <c r="V831" s="3"/>
      <c r="W831" s="3"/>
      <c r="X831" s="3"/>
      <c r="Y831" s="3"/>
      <c r="Z831" s="3"/>
    </row>
    <row r="832" spans="1:26" ht="22.5" customHeight="1" x14ac:dyDescent="0.85">
      <c r="A832" s="166"/>
      <c r="B832" s="167"/>
      <c r="C832" s="167"/>
      <c r="D832" s="147"/>
      <c r="E832" s="147"/>
      <c r="F832" s="147"/>
      <c r="G832" s="147"/>
      <c r="H832" s="147"/>
      <c r="I832" s="147"/>
      <c r="J832" s="147"/>
      <c r="K832" s="3"/>
      <c r="L832" s="3"/>
      <c r="M832" s="3"/>
      <c r="N832" s="3"/>
      <c r="O832" s="3"/>
      <c r="P832" s="3"/>
      <c r="Q832" s="3"/>
      <c r="R832" s="3"/>
      <c r="S832" s="3"/>
      <c r="T832" s="3"/>
      <c r="U832" s="3"/>
      <c r="V832" s="3"/>
      <c r="W832" s="3"/>
      <c r="X832" s="3"/>
      <c r="Y832" s="3"/>
      <c r="Z832" s="3"/>
    </row>
    <row r="833" spans="1:26" ht="22.5" customHeight="1" x14ac:dyDescent="0.85">
      <c r="A833" s="166"/>
      <c r="B833" s="167"/>
      <c r="C833" s="167"/>
      <c r="D833" s="147"/>
      <c r="E833" s="147"/>
      <c r="F833" s="147"/>
      <c r="G833" s="147"/>
      <c r="H833" s="147"/>
      <c r="I833" s="147"/>
      <c r="J833" s="147"/>
      <c r="K833" s="3"/>
      <c r="L833" s="3"/>
      <c r="M833" s="3"/>
      <c r="N833" s="3"/>
      <c r="O833" s="3"/>
      <c r="P833" s="3"/>
      <c r="Q833" s="3"/>
      <c r="R833" s="3"/>
      <c r="S833" s="3"/>
      <c r="T833" s="3"/>
      <c r="U833" s="3"/>
      <c r="V833" s="3"/>
      <c r="W833" s="3"/>
      <c r="X833" s="3"/>
      <c r="Y833" s="3"/>
      <c r="Z833" s="3"/>
    </row>
    <row r="834" spans="1:26" ht="22.5" customHeight="1" x14ac:dyDescent="0.85">
      <c r="A834" s="166"/>
      <c r="B834" s="167"/>
      <c r="C834" s="167"/>
      <c r="D834" s="147"/>
      <c r="E834" s="147"/>
      <c r="F834" s="147"/>
      <c r="G834" s="147"/>
      <c r="H834" s="147"/>
      <c r="I834" s="147"/>
      <c r="J834" s="147"/>
      <c r="K834" s="3"/>
      <c r="L834" s="3"/>
      <c r="M834" s="3"/>
      <c r="N834" s="3"/>
      <c r="O834" s="3"/>
      <c r="P834" s="3"/>
      <c r="Q834" s="3"/>
      <c r="R834" s="3"/>
      <c r="S834" s="3"/>
      <c r="T834" s="3"/>
      <c r="U834" s="3"/>
      <c r="V834" s="3"/>
      <c r="W834" s="3"/>
      <c r="X834" s="3"/>
      <c r="Y834" s="3"/>
      <c r="Z834" s="3"/>
    </row>
    <row r="835" spans="1:26" ht="22.5" customHeight="1" x14ac:dyDescent="0.85">
      <c r="A835" s="166"/>
      <c r="B835" s="167"/>
      <c r="C835" s="167"/>
      <c r="D835" s="147"/>
      <c r="E835" s="147"/>
      <c r="F835" s="147"/>
      <c r="G835" s="147"/>
      <c r="H835" s="147"/>
      <c r="I835" s="147"/>
      <c r="J835" s="147"/>
      <c r="K835" s="3"/>
      <c r="L835" s="3"/>
      <c r="M835" s="3"/>
      <c r="N835" s="3"/>
      <c r="O835" s="3"/>
      <c r="P835" s="3"/>
      <c r="Q835" s="3"/>
      <c r="R835" s="3"/>
      <c r="S835" s="3"/>
      <c r="T835" s="3"/>
      <c r="U835" s="3"/>
      <c r="V835" s="3"/>
      <c r="W835" s="3"/>
      <c r="X835" s="3"/>
      <c r="Y835" s="3"/>
      <c r="Z835" s="3"/>
    </row>
    <row r="836" spans="1:26" ht="22.5" customHeight="1" x14ac:dyDescent="0.85">
      <c r="A836" s="166"/>
      <c r="B836" s="167"/>
      <c r="C836" s="167"/>
      <c r="D836" s="147"/>
      <c r="E836" s="147"/>
      <c r="F836" s="147"/>
      <c r="G836" s="147"/>
      <c r="H836" s="147"/>
      <c r="I836" s="147"/>
      <c r="J836" s="147"/>
      <c r="K836" s="3"/>
      <c r="L836" s="3"/>
      <c r="M836" s="3"/>
      <c r="N836" s="3"/>
      <c r="O836" s="3"/>
      <c r="P836" s="3"/>
      <c r="Q836" s="3"/>
      <c r="R836" s="3"/>
      <c r="S836" s="3"/>
      <c r="T836" s="3"/>
      <c r="U836" s="3"/>
      <c r="V836" s="3"/>
      <c r="W836" s="3"/>
      <c r="X836" s="3"/>
      <c r="Y836" s="3"/>
      <c r="Z836" s="3"/>
    </row>
    <row r="837" spans="1:26" ht="22.5" customHeight="1" x14ac:dyDescent="0.85">
      <c r="A837" s="166"/>
      <c r="B837" s="167"/>
      <c r="C837" s="167"/>
      <c r="D837" s="147"/>
      <c r="E837" s="147"/>
      <c r="F837" s="147"/>
      <c r="G837" s="147"/>
      <c r="H837" s="147"/>
      <c r="I837" s="147"/>
      <c r="J837" s="147"/>
      <c r="K837" s="3"/>
      <c r="L837" s="3"/>
      <c r="M837" s="3"/>
      <c r="N837" s="3"/>
      <c r="O837" s="3"/>
      <c r="P837" s="3"/>
      <c r="Q837" s="3"/>
      <c r="R837" s="3"/>
      <c r="S837" s="3"/>
      <c r="T837" s="3"/>
      <c r="U837" s="3"/>
      <c r="V837" s="3"/>
      <c r="W837" s="3"/>
      <c r="X837" s="3"/>
      <c r="Y837" s="3"/>
      <c r="Z837" s="3"/>
    </row>
    <row r="838" spans="1:26" ht="22.5" customHeight="1" x14ac:dyDescent="0.85">
      <c r="A838" s="166"/>
      <c r="B838" s="167"/>
      <c r="C838" s="167"/>
      <c r="D838" s="147"/>
      <c r="E838" s="147"/>
      <c r="F838" s="147"/>
      <c r="G838" s="147"/>
      <c r="H838" s="147"/>
      <c r="I838" s="147"/>
      <c r="J838" s="147"/>
      <c r="K838" s="3"/>
      <c r="L838" s="3"/>
      <c r="M838" s="3"/>
      <c r="N838" s="3"/>
      <c r="O838" s="3"/>
      <c r="P838" s="3"/>
      <c r="Q838" s="3"/>
      <c r="R838" s="3"/>
      <c r="S838" s="3"/>
      <c r="T838" s="3"/>
      <c r="U838" s="3"/>
      <c r="V838" s="3"/>
      <c r="W838" s="3"/>
      <c r="X838" s="3"/>
      <c r="Y838" s="3"/>
      <c r="Z838" s="3"/>
    </row>
    <row r="839" spans="1:26" ht="22.5" customHeight="1" x14ac:dyDescent="0.85">
      <c r="A839" s="166"/>
      <c r="B839" s="167"/>
      <c r="C839" s="167"/>
      <c r="D839" s="147"/>
      <c r="E839" s="147"/>
      <c r="F839" s="147"/>
      <c r="G839" s="147"/>
      <c r="H839" s="147"/>
      <c r="I839" s="147"/>
      <c r="J839" s="147"/>
      <c r="K839" s="3"/>
      <c r="L839" s="3"/>
      <c r="M839" s="3"/>
      <c r="N839" s="3"/>
      <c r="O839" s="3"/>
      <c r="P839" s="3"/>
      <c r="Q839" s="3"/>
      <c r="R839" s="3"/>
      <c r="S839" s="3"/>
      <c r="T839" s="3"/>
      <c r="U839" s="3"/>
      <c r="V839" s="3"/>
      <c r="W839" s="3"/>
      <c r="X839" s="3"/>
      <c r="Y839" s="3"/>
      <c r="Z839" s="3"/>
    </row>
    <row r="840" spans="1:26" ht="22.5" customHeight="1" x14ac:dyDescent="0.85">
      <c r="A840" s="166"/>
      <c r="B840" s="167"/>
      <c r="C840" s="167"/>
      <c r="D840" s="147"/>
      <c r="E840" s="147"/>
      <c r="F840" s="147"/>
      <c r="G840" s="147"/>
      <c r="H840" s="147"/>
      <c r="I840" s="147"/>
      <c r="J840" s="147"/>
      <c r="K840" s="3"/>
      <c r="L840" s="3"/>
      <c r="M840" s="3"/>
      <c r="N840" s="3"/>
      <c r="O840" s="3"/>
      <c r="P840" s="3"/>
      <c r="Q840" s="3"/>
      <c r="R840" s="3"/>
      <c r="S840" s="3"/>
      <c r="T840" s="3"/>
      <c r="U840" s="3"/>
      <c r="V840" s="3"/>
      <c r="W840" s="3"/>
      <c r="X840" s="3"/>
      <c r="Y840" s="3"/>
      <c r="Z840" s="3"/>
    </row>
    <row r="841" spans="1:26" ht="22.5" customHeight="1" x14ac:dyDescent="0.85">
      <c r="A841" s="166"/>
      <c r="B841" s="167"/>
      <c r="C841" s="167"/>
      <c r="D841" s="147"/>
      <c r="E841" s="147"/>
      <c r="F841" s="147"/>
      <c r="G841" s="147"/>
      <c r="H841" s="147"/>
      <c r="I841" s="147"/>
      <c r="J841" s="147"/>
      <c r="K841" s="3"/>
      <c r="L841" s="3"/>
      <c r="M841" s="3"/>
      <c r="N841" s="3"/>
      <c r="O841" s="3"/>
      <c r="P841" s="3"/>
      <c r="Q841" s="3"/>
      <c r="R841" s="3"/>
      <c r="S841" s="3"/>
      <c r="T841" s="3"/>
      <c r="U841" s="3"/>
      <c r="V841" s="3"/>
      <c r="W841" s="3"/>
      <c r="X841" s="3"/>
      <c r="Y841" s="3"/>
      <c r="Z841" s="3"/>
    </row>
    <row r="842" spans="1:26" ht="22.5" customHeight="1" x14ac:dyDescent="0.85">
      <c r="A842" s="166"/>
      <c r="B842" s="167"/>
      <c r="C842" s="167"/>
      <c r="D842" s="147"/>
      <c r="E842" s="147"/>
      <c r="F842" s="147"/>
      <c r="G842" s="147"/>
      <c r="H842" s="147"/>
      <c r="I842" s="147"/>
      <c r="J842" s="147"/>
      <c r="K842" s="3"/>
      <c r="L842" s="3"/>
      <c r="M842" s="3"/>
      <c r="N842" s="3"/>
      <c r="O842" s="3"/>
      <c r="P842" s="3"/>
      <c r="Q842" s="3"/>
      <c r="R842" s="3"/>
      <c r="S842" s="3"/>
      <c r="T842" s="3"/>
      <c r="U842" s="3"/>
      <c r="V842" s="3"/>
      <c r="W842" s="3"/>
      <c r="X842" s="3"/>
      <c r="Y842" s="3"/>
      <c r="Z842" s="3"/>
    </row>
    <row r="843" spans="1:26" ht="22.5" customHeight="1" x14ac:dyDescent="0.85">
      <c r="A843" s="166"/>
      <c r="B843" s="167"/>
      <c r="C843" s="167"/>
      <c r="D843" s="147"/>
      <c r="E843" s="147"/>
      <c r="F843" s="147"/>
      <c r="G843" s="147"/>
      <c r="H843" s="147"/>
      <c r="I843" s="147"/>
      <c r="J843" s="147"/>
      <c r="K843" s="3"/>
      <c r="L843" s="3"/>
      <c r="M843" s="3"/>
      <c r="N843" s="3"/>
      <c r="O843" s="3"/>
      <c r="P843" s="3"/>
      <c r="Q843" s="3"/>
      <c r="R843" s="3"/>
      <c r="S843" s="3"/>
      <c r="T843" s="3"/>
      <c r="U843" s="3"/>
      <c r="V843" s="3"/>
      <c r="W843" s="3"/>
      <c r="X843" s="3"/>
      <c r="Y843" s="3"/>
      <c r="Z843" s="3"/>
    </row>
    <row r="844" spans="1:26" ht="22.5" customHeight="1" x14ac:dyDescent="0.85">
      <c r="A844" s="166"/>
      <c r="B844" s="167"/>
      <c r="C844" s="167"/>
      <c r="D844" s="147"/>
      <c r="E844" s="147"/>
      <c r="F844" s="147"/>
      <c r="G844" s="147"/>
      <c r="H844" s="147"/>
      <c r="I844" s="147"/>
      <c r="J844" s="147"/>
      <c r="K844" s="3"/>
      <c r="L844" s="3"/>
      <c r="M844" s="3"/>
      <c r="N844" s="3"/>
      <c r="O844" s="3"/>
      <c r="P844" s="3"/>
      <c r="Q844" s="3"/>
      <c r="R844" s="3"/>
      <c r="S844" s="3"/>
      <c r="T844" s="3"/>
      <c r="U844" s="3"/>
      <c r="V844" s="3"/>
      <c r="W844" s="3"/>
      <c r="X844" s="3"/>
      <c r="Y844" s="3"/>
      <c r="Z844" s="3"/>
    </row>
    <row r="845" spans="1:26" ht="22.5" customHeight="1" x14ac:dyDescent="0.85">
      <c r="A845" s="166"/>
      <c r="B845" s="167"/>
      <c r="C845" s="167"/>
      <c r="D845" s="147"/>
      <c r="E845" s="147"/>
      <c r="F845" s="147"/>
      <c r="G845" s="147"/>
      <c r="H845" s="147"/>
      <c r="I845" s="147"/>
      <c r="J845" s="147"/>
      <c r="K845" s="3"/>
      <c r="L845" s="3"/>
      <c r="M845" s="3"/>
      <c r="N845" s="3"/>
      <c r="O845" s="3"/>
      <c r="P845" s="3"/>
      <c r="Q845" s="3"/>
      <c r="R845" s="3"/>
      <c r="S845" s="3"/>
      <c r="T845" s="3"/>
      <c r="U845" s="3"/>
      <c r="V845" s="3"/>
      <c r="W845" s="3"/>
      <c r="X845" s="3"/>
      <c r="Y845" s="3"/>
      <c r="Z845" s="3"/>
    </row>
    <row r="846" spans="1:26" ht="22.5" customHeight="1" x14ac:dyDescent="0.85">
      <c r="A846" s="166"/>
      <c r="B846" s="167"/>
      <c r="C846" s="167"/>
      <c r="D846" s="147"/>
      <c r="E846" s="147"/>
      <c r="F846" s="147"/>
      <c r="G846" s="147"/>
      <c r="H846" s="147"/>
      <c r="I846" s="147"/>
      <c r="J846" s="147"/>
      <c r="K846" s="3"/>
      <c r="L846" s="3"/>
      <c r="M846" s="3"/>
      <c r="N846" s="3"/>
      <c r="O846" s="3"/>
      <c r="P846" s="3"/>
      <c r="Q846" s="3"/>
      <c r="R846" s="3"/>
      <c r="S846" s="3"/>
      <c r="T846" s="3"/>
      <c r="U846" s="3"/>
      <c r="V846" s="3"/>
      <c r="W846" s="3"/>
      <c r="X846" s="3"/>
      <c r="Y846" s="3"/>
      <c r="Z846" s="3"/>
    </row>
    <row r="847" spans="1:26" ht="22.5" customHeight="1" x14ac:dyDescent="0.85">
      <c r="A847" s="166"/>
      <c r="B847" s="167"/>
      <c r="C847" s="167"/>
      <c r="D847" s="147"/>
      <c r="E847" s="147"/>
      <c r="F847" s="147"/>
      <c r="G847" s="147"/>
      <c r="H847" s="147"/>
      <c r="I847" s="147"/>
      <c r="J847" s="147"/>
      <c r="K847" s="3"/>
      <c r="L847" s="3"/>
      <c r="M847" s="3"/>
      <c r="N847" s="3"/>
      <c r="O847" s="3"/>
      <c r="P847" s="3"/>
      <c r="Q847" s="3"/>
      <c r="R847" s="3"/>
      <c r="S847" s="3"/>
      <c r="T847" s="3"/>
      <c r="U847" s="3"/>
      <c r="V847" s="3"/>
      <c r="W847" s="3"/>
      <c r="X847" s="3"/>
      <c r="Y847" s="3"/>
      <c r="Z847" s="3"/>
    </row>
    <row r="848" spans="1:26" ht="22.5" customHeight="1" x14ac:dyDescent="0.85">
      <c r="A848" s="166"/>
      <c r="B848" s="167"/>
      <c r="C848" s="167"/>
      <c r="D848" s="147"/>
      <c r="E848" s="147"/>
      <c r="F848" s="147"/>
      <c r="G848" s="147"/>
      <c r="H848" s="147"/>
      <c r="I848" s="147"/>
      <c r="J848" s="147"/>
      <c r="K848" s="3"/>
      <c r="L848" s="3"/>
      <c r="M848" s="3"/>
      <c r="N848" s="3"/>
      <c r="O848" s="3"/>
      <c r="P848" s="3"/>
      <c r="Q848" s="3"/>
      <c r="R848" s="3"/>
      <c r="S848" s="3"/>
      <c r="T848" s="3"/>
      <c r="U848" s="3"/>
      <c r="V848" s="3"/>
      <c r="W848" s="3"/>
      <c r="X848" s="3"/>
      <c r="Y848" s="3"/>
      <c r="Z848" s="3"/>
    </row>
    <row r="849" spans="1:26" ht="22.5" customHeight="1" x14ac:dyDescent="0.85">
      <c r="A849" s="166"/>
      <c r="B849" s="167"/>
      <c r="C849" s="167"/>
      <c r="D849" s="147"/>
      <c r="E849" s="147"/>
      <c r="F849" s="147"/>
      <c r="G849" s="147"/>
      <c r="H849" s="147"/>
      <c r="I849" s="147"/>
      <c r="J849" s="147"/>
      <c r="K849" s="3"/>
      <c r="L849" s="3"/>
      <c r="M849" s="3"/>
      <c r="N849" s="3"/>
      <c r="O849" s="3"/>
      <c r="P849" s="3"/>
      <c r="Q849" s="3"/>
      <c r="R849" s="3"/>
      <c r="S849" s="3"/>
      <c r="T849" s="3"/>
      <c r="U849" s="3"/>
      <c r="V849" s="3"/>
      <c r="W849" s="3"/>
      <c r="X849" s="3"/>
      <c r="Y849" s="3"/>
      <c r="Z849" s="3"/>
    </row>
    <row r="850" spans="1:26" ht="22.5" customHeight="1" x14ac:dyDescent="0.85">
      <c r="A850" s="166"/>
      <c r="B850" s="167"/>
      <c r="C850" s="167"/>
      <c r="D850" s="147"/>
      <c r="E850" s="147"/>
      <c r="F850" s="147"/>
      <c r="G850" s="147"/>
      <c r="H850" s="147"/>
      <c r="I850" s="147"/>
      <c r="J850" s="147"/>
      <c r="K850" s="3"/>
      <c r="L850" s="3"/>
      <c r="M850" s="3"/>
      <c r="N850" s="3"/>
      <c r="O850" s="3"/>
      <c r="P850" s="3"/>
      <c r="Q850" s="3"/>
      <c r="R850" s="3"/>
      <c r="S850" s="3"/>
      <c r="T850" s="3"/>
      <c r="U850" s="3"/>
      <c r="V850" s="3"/>
      <c r="W850" s="3"/>
      <c r="X850" s="3"/>
      <c r="Y850" s="3"/>
      <c r="Z850" s="3"/>
    </row>
    <row r="851" spans="1:26" ht="22.5" customHeight="1" x14ac:dyDescent="0.85">
      <c r="A851" s="166"/>
      <c r="B851" s="167"/>
      <c r="C851" s="167"/>
      <c r="D851" s="147"/>
      <c r="E851" s="147"/>
      <c r="F851" s="147"/>
      <c r="G851" s="147"/>
      <c r="H851" s="147"/>
      <c r="I851" s="147"/>
      <c r="J851" s="147"/>
      <c r="K851" s="3"/>
      <c r="L851" s="3"/>
      <c r="M851" s="3"/>
      <c r="N851" s="3"/>
      <c r="O851" s="3"/>
      <c r="P851" s="3"/>
      <c r="Q851" s="3"/>
      <c r="R851" s="3"/>
      <c r="S851" s="3"/>
      <c r="T851" s="3"/>
      <c r="U851" s="3"/>
      <c r="V851" s="3"/>
      <c r="W851" s="3"/>
      <c r="X851" s="3"/>
      <c r="Y851" s="3"/>
      <c r="Z851" s="3"/>
    </row>
    <row r="852" spans="1:26" ht="22.5" customHeight="1" x14ac:dyDescent="0.85">
      <c r="A852" s="166"/>
      <c r="B852" s="167"/>
      <c r="C852" s="167"/>
      <c r="D852" s="147"/>
      <c r="E852" s="147"/>
      <c r="F852" s="147"/>
      <c r="G852" s="147"/>
      <c r="H852" s="147"/>
      <c r="I852" s="147"/>
      <c r="J852" s="147"/>
      <c r="K852" s="3"/>
      <c r="L852" s="3"/>
      <c r="M852" s="3"/>
      <c r="N852" s="3"/>
      <c r="O852" s="3"/>
      <c r="P852" s="3"/>
      <c r="Q852" s="3"/>
      <c r="R852" s="3"/>
      <c r="S852" s="3"/>
      <c r="T852" s="3"/>
      <c r="U852" s="3"/>
      <c r="V852" s="3"/>
      <c r="W852" s="3"/>
      <c r="X852" s="3"/>
      <c r="Y852" s="3"/>
      <c r="Z852" s="3"/>
    </row>
    <row r="853" spans="1:26" ht="22.5" customHeight="1" x14ac:dyDescent="0.85">
      <c r="A853" s="166"/>
      <c r="B853" s="167"/>
      <c r="C853" s="167"/>
      <c r="D853" s="147"/>
      <c r="E853" s="147"/>
      <c r="F853" s="147"/>
      <c r="G853" s="147"/>
      <c r="H853" s="147"/>
      <c r="I853" s="147"/>
      <c r="J853" s="147"/>
      <c r="K853" s="3"/>
      <c r="L853" s="3"/>
      <c r="M853" s="3"/>
      <c r="N853" s="3"/>
      <c r="O853" s="3"/>
      <c r="P853" s="3"/>
      <c r="Q853" s="3"/>
      <c r="R853" s="3"/>
      <c r="S853" s="3"/>
      <c r="T853" s="3"/>
      <c r="U853" s="3"/>
      <c r="V853" s="3"/>
      <c r="W853" s="3"/>
      <c r="X853" s="3"/>
      <c r="Y853" s="3"/>
      <c r="Z853" s="3"/>
    </row>
    <row r="854" spans="1:26" ht="22.5" customHeight="1" x14ac:dyDescent="0.85">
      <c r="A854" s="166"/>
      <c r="B854" s="167"/>
      <c r="C854" s="167"/>
      <c r="D854" s="147"/>
      <c r="E854" s="147"/>
      <c r="F854" s="147"/>
      <c r="G854" s="147"/>
      <c r="H854" s="147"/>
      <c r="I854" s="147"/>
      <c r="J854" s="147"/>
      <c r="K854" s="3"/>
      <c r="L854" s="3"/>
      <c r="M854" s="3"/>
      <c r="N854" s="3"/>
      <c r="O854" s="3"/>
      <c r="P854" s="3"/>
      <c r="Q854" s="3"/>
      <c r="R854" s="3"/>
      <c r="S854" s="3"/>
      <c r="T854" s="3"/>
      <c r="U854" s="3"/>
      <c r="V854" s="3"/>
      <c r="W854" s="3"/>
      <c r="X854" s="3"/>
      <c r="Y854" s="3"/>
      <c r="Z854" s="3"/>
    </row>
    <row r="855" spans="1:26" ht="22.5" customHeight="1" x14ac:dyDescent="0.85">
      <c r="A855" s="166"/>
      <c r="B855" s="167"/>
      <c r="C855" s="167"/>
      <c r="D855" s="147"/>
      <c r="E855" s="147"/>
      <c r="F855" s="147"/>
      <c r="G855" s="147"/>
      <c r="H855" s="147"/>
      <c r="I855" s="147"/>
      <c r="J855" s="147"/>
      <c r="K855" s="3"/>
      <c r="L855" s="3"/>
      <c r="M855" s="3"/>
      <c r="N855" s="3"/>
      <c r="O855" s="3"/>
      <c r="P855" s="3"/>
      <c r="Q855" s="3"/>
      <c r="R855" s="3"/>
      <c r="S855" s="3"/>
      <c r="T855" s="3"/>
      <c r="U855" s="3"/>
      <c r="V855" s="3"/>
      <c r="W855" s="3"/>
      <c r="X855" s="3"/>
      <c r="Y855" s="3"/>
      <c r="Z855" s="3"/>
    </row>
    <row r="856" spans="1:26" ht="22.5" customHeight="1" x14ac:dyDescent="0.85">
      <c r="A856" s="166"/>
      <c r="B856" s="167"/>
      <c r="C856" s="167"/>
      <c r="D856" s="147"/>
      <c r="E856" s="147"/>
      <c r="F856" s="147"/>
      <c r="G856" s="147"/>
      <c r="H856" s="147"/>
      <c r="I856" s="147"/>
      <c r="J856" s="147"/>
      <c r="K856" s="3"/>
      <c r="L856" s="3"/>
      <c r="M856" s="3"/>
      <c r="N856" s="3"/>
      <c r="O856" s="3"/>
      <c r="P856" s="3"/>
      <c r="Q856" s="3"/>
      <c r="R856" s="3"/>
      <c r="S856" s="3"/>
      <c r="T856" s="3"/>
      <c r="U856" s="3"/>
      <c r="V856" s="3"/>
      <c r="W856" s="3"/>
      <c r="X856" s="3"/>
      <c r="Y856" s="3"/>
      <c r="Z856" s="3"/>
    </row>
    <row r="857" spans="1:26" ht="22.5" customHeight="1" x14ac:dyDescent="0.85">
      <c r="A857" s="166"/>
      <c r="B857" s="167"/>
      <c r="C857" s="167"/>
      <c r="D857" s="147"/>
      <c r="E857" s="147"/>
      <c r="F857" s="147"/>
      <c r="G857" s="147"/>
      <c r="H857" s="147"/>
      <c r="I857" s="147"/>
      <c r="J857" s="147"/>
      <c r="K857" s="3"/>
      <c r="L857" s="3"/>
      <c r="M857" s="3"/>
      <c r="N857" s="3"/>
      <c r="O857" s="3"/>
      <c r="P857" s="3"/>
      <c r="Q857" s="3"/>
      <c r="R857" s="3"/>
      <c r="S857" s="3"/>
      <c r="T857" s="3"/>
      <c r="U857" s="3"/>
      <c r="V857" s="3"/>
      <c r="W857" s="3"/>
      <c r="X857" s="3"/>
      <c r="Y857" s="3"/>
      <c r="Z857" s="3"/>
    </row>
    <row r="858" spans="1:26" ht="22.5" customHeight="1" x14ac:dyDescent="0.85">
      <c r="A858" s="166"/>
      <c r="B858" s="167"/>
      <c r="C858" s="167"/>
      <c r="D858" s="147"/>
      <c r="E858" s="147"/>
      <c r="F858" s="147"/>
      <c r="G858" s="147"/>
      <c r="H858" s="147"/>
      <c r="I858" s="147"/>
      <c r="J858" s="147"/>
      <c r="K858" s="3"/>
      <c r="L858" s="3"/>
      <c r="M858" s="3"/>
      <c r="N858" s="3"/>
      <c r="O858" s="3"/>
      <c r="P858" s="3"/>
      <c r="Q858" s="3"/>
      <c r="R858" s="3"/>
      <c r="S858" s="3"/>
      <c r="T858" s="3"/>
      <c r="U858" s="3"/>
      <c r="V858" s="3"/>
      <c r="W858" s="3"/>
      <c r="X858" s="3"/>
      <c r="Y858" s="3"/>
      <c r="Z858" s="3"/>
    </row>
    <row r="859" spans="1:26" ht="22.5" customHeight="1" x14ac:dyDescent="0.85">
      <c r="A859" s="166"/>
      <c r="B859" s="167"/>
      <c r="C859" s="167"/>
      <c r="D859" s="147"/>
      <c r="E859" s="147"/>
      <c r="F859" s="147"/>
      <c r="G859" s="147"/>
      <c r="H859" s="147"/>
      <c r="I859" s="147"/>
      <c r="J859" s="147"/>
      <c r="K859" s="3"/>
      <c r="L859" s="3"/>
      <c r="M859" s="3"/>
      <c r="N859" s="3"/>
      <c r="O859" s="3"/>
      <c r="P859" s="3"/>
      <c r="Q859" s="3"/>
      <c r="R859" s="3"/>
      <c r="S859" s="3"/>
      <c r="T859" s="3"/>
      <c r="U859" s="3"/>
      <c r="V859" s="3"/>
      <c r="W859" s="3"/>
      <c r="X859" s="3"/>
      <c r="Y859" s="3"/>
      <c r="Z859" s="3"/>
    </row>
    <row r="860" spans="1:26" ht="22.5" customHeight="1" x14ac:dyDescent="0.85">
      <c r="A860" s="166"/>
      <c r="B860" s="167"/>
      <c r="C860" s="167"/>
      <c r="D860" s="147"/>
      <c r="E860" s="147"/>
      <c r="F860" s="147"/>
      <c r="G860" s="147"/>
      <c r="H860" s="147"/>
      <c r="I860" s="147"/>
      <c r="J860" s="147"/>
      <c r="K860" s="3"/>
      <c r="L860" s="3"/>
      <c r="M860" s="3"/>
      <c r="N860" s="3"/>
      <c r="O860" s="3"/>
      <c r="P860" s="3"/>
      <c r="Q860" s="3"/>
      <c r="R860" s="3"/>
      <c r="S860" s="3"/>
      <c r="T860" s="3"/>
      <c r="U860" s="3"/>
      <c r="V860" s="3"/>
      <c r="W860" s="3"/>
      <c r="X860" s="3"/>
      <c r="Y860" s="3"/>
      <c r="Z860" s="3"/>
    </row>
    <row r="861" spans="1:26" ht="22.5" customHeight="1" x14ac:dyDescent="0.85">
      <c r="A861" s="166"/>
      <c r="B861" s="167"/>
      <c r="C861" s="167"/>
      <c r="D861" s="147"/>
      <c r="E861" s="147"/>
      <c r="F861" s="147"/>
      <c r="G861" s="147"/>
      <c r="H861" s="147"/>
      <c r="I861" s="147"/>
      <c r="J861" s="147"/>
      <c r="K861" s="3"/>
      <c r="L861" s="3"/>
      <c r="M861" s="3"/>
      <c r="N861" s="3"/>
      <c r="O861" s="3"/>
      <c r="P861" s="3"/>
      <c r="Q861" s="3"/>
      <c r="R861" s="3"/>
      <c r="S861" s="3"/>
      <c r="T861" s="3"/>
      <c r="U861" s="3"/>
      <c r="V861" s="3"/>
      <c r="W861" s="3"/>
      <c r="X861" s="3"/>
      <c r="Y861" s="3"/>
      <c r="Z861" s="3"/>
    </row>
    <row r="862" spans="1:26" ht="22.5" customHeight="1" x14ac:dyDescent="0.85">
      <c r="A862" s="166"/>
      <c r="B862" s="167"/>
      <c r="C862" s="167"/>
      <c r="D862" s="147"/>
      <c r="E862" s="147"/>
      <c r="F862" s="147"/>
      <c r="G862" s="147"/>
      <c r="H862" s="147"/>
      <c r="I862" s="147"/>
      <c r="J862" s="147"/>
      <c r="K862" s="3"/>
      <c r="L862" s="3"/>
      <c r="M862" s="3"/>
      <c r="N862" s="3"/>
      <c r="O862" s="3"/>
      <c r="P862" s="3"/>
      <c r="Q862" s="3"/>
      <c r="R862" s="3"/>
      <c r="S862" s="3"/>
      <c r="T862" s="3"/>
      <c r="U862" s="3"/>
      <c r="V862" s="3"/>
      <c r="W862" s="3"/>
      <c r="X862" s="3"/>
      <c r="Y862" s="3"/>
      <c r="Z862" s="3"/>
    </row>
    <row r="863" spans="1:26" ht="22.5" customHeight="1" x14ac:dyDescent="0.85">
      <c r="A863" s="166"/>
      <c r="B863" s="167"/>
      <c r="C863" s="167"/>
      <c r="D863" s="147"/>
      <c r="E863" s="147"/>
      <c r="F863" s="147"/>
      <c r="G863" s="147"/>
      <c r="H863" s="147"/>
      <c r="I863" s="147"/>
      <c r="J863" s="147"/>
      <c r="K863" s="3"/>
      <c r="L863" s="3"/>
      <c r="M863" s="3"/>
      <c r="N863" s="3"/>
      <c r="O863" s="3"/>
      <c r="P863" s="3"/>
      <c r="Q863" s="3"/>
      <c r="R863" s="3"/>
      <c r="S863" s="3"/>
      <c r="T863" s="3"/>
      <c r="U863" s="3"/>
      <c r="V863" s="3"/>
      <c r="W863" s="3"/>
      <c r="X863" s="3"/>
      <c r="Y863" s="3"/>
      <c r="Z863" s="3"/>
    </row>
    <row r="864" spans="1:26" ht="22.5" customHeight="1" x14ac:dyDescent="0.85">
      <c r="A864" s="166"/>
      <c r="B864" s="167"/>
      <c r="C864" s="167"/>
      <c r="D864" s="147"/>
      <c r="E864" s="147"/>
      <c r="F864" s="147"/>
      <c r="G864" s="147"/>
      <c r="H864" s="147"/>
      <c r="I864" s="147"/>
      <c r="J864" s="147"/>
      <c r="K864" s="3"/>
      <c r="L864" s="3"/>
      <c r="M864" s="3"/>
      <c r="N864" s="3"/>
      <c r="O864" s="3"/>
      <c r="P864" s="3"/>
      <c r="Q864" s="3"/>
      <c r="R864" s="3"/>
      <c r="S864" s="3"/>
      <c r="T864" s="3"/>
      <c r="U864" s="3"/>
      <c r="V864" s="3"/>
      <c r="W864" s="3"/>
      <c r="X864" s="3"/>
      <c r="Y864" s="3"/>
      <c r="Z864" s="3"/>
    </row>
    <row r="865" spans="1:26" ht="22.5" customHeight="1" x14ac:dyDescent="0.85">
      <c r="A865" s="166"/>
      <c r="B865" s="167"/>
      <c r="C865" s="167"/>
      <c r="D865" s="147"/>
      <c r="E865" s="147"/>
      <c r="F865" s="147"/>
      <c r="G865" s="147"/>
      <c r="H865" s="147"/>
      <c r="I865" s="147"/>
      <c r="J865" s="147"/>
      <c r="K865" s="3"/>
      <c r="L865" s="3"/>
      <c r="M865" s="3"/>
      <c r="N865" s="3"/>
      <c r="O865" s="3"/>
      <c r="P865" s="3"/>
      <c r="Q865" s="3"/>
      <c r="R865" s="3"/>
      <c r="S865" s="3"/>
      <c r="T865" s="3"/>
      <c r="U865" s="3"/>
      <c r="V865" s="3"/>
      <c r="W865" s="3"/>
      <c r="X865" s="3"/>
      <c r="Y865" s="3"/>
      <c r="Z865" s="3"/>
    </row>
    <row r="866" spans="1:26" ht="22.5" customHeight="1" x14ac:dyDescent="0.85">
      <c r="A866" s="166"/>
      <c r="B866" s="167"/>
      <c r="C866" s="167"/>
      <c r="D866" s="147"/>
      <c r="E866" s="147"/>
      <c r="F866" s="147"/>
      <c r="G866" s="147"/>
      <c r="H866" s="147"/>
      <c r="I866" s="147"/>
      <c r="J866" s="147"/>
      <c r="K866" s="3"/>
      <c r="L866" s="3"/>
      <c r="M866" s="3"/>
      <c r="N866" s="3"/>
      <c r="O866" s="3"/>
      <c r="P866" s="3"/>
      <c r="Q866" s="3"/>
      <c r="R866" s="3"/>
      <c r="S866" s="3"/>
      <c r="T866" s="3"/>
      <c r="U866" s="3"/>
      <c r="V866" s="3"/>
      <c r="W866" s="3"/>
      <c r="X866" s="3"/>
      <c r="Y866" s="3"/>
      <c r="Z866" s="3"/>
    </row>
    <row r="867" spans="1:26" ht="22.5" customHeight="1" x14ac:dyDescent="0.85">
      <c r="A867" s="166"/>
      <c r="B867" s="167"/>
      <c r="C867" s="167"/>
      <c r="D867" s="147"/>
      <c r="E867" s="147"/>
      <c r="F867" s="147"/>
      <c r="G867" s="147"/>
      <c r="H867" s="147"/>
      <c r="I867" s="147"/>
      <c r="J867" s="147"/>
      <c r="K867" s="3"/>
      <c r="L867" s="3"/>
      <c r="M867" s="3"/>
      <c r="N867" s="3"/>
      <c r="O867" s="3"/>
      <c r="P867" s="3"/>
      <c r="Q867" s="3"/>
      <c r="R867" s="3"/>
      <c r="S867" s="3"/>
      <c r="T867" s="3"/>
      <c r="U867" s="3"/>
      <c r="V867" s="3"/>
      <c r="W867" s="3"/>
      <c r="X867" s="3"/>
      <c r="Y867" s="3"/>
      <c r="Z867" s="3"/>
    </row>
    <row r="868" spans="1:26" ht="22.5" customHeight="1" x14ac:dyDescent="0.85">
      <c r="A868" s="166"/>
      <c r="B868" s="167"/>
      <c r="C868" s="167"/>
      <c r="D868" s="147"/>
      <c r="E868" s="147"/>
      <c r="F868" s="147"/>
      <c r="G868" s="147"/>
      <c r="H868" s="147"/>
      <c r="I868" s="147"/>
      <c r="J868" s="147"/>
      <c r="K868" s="3"/>
      <c r="L868" s="3"/>
      <c r="M868" s="3"/>
      <c r="N868" s="3"/>
      <c r="O868" s="3"/>
      <c r="P868" s="3"/>
      <c r="Q868" s="3"/>
      <c r="R868" s="3"/>
      <c r="S868" s="3"/>
      <c r="T868" s="3"/>
      <c r="U868" s="3"/>
      <c r="V868" s="3"/>
      <c r="W868" s="3"/>
      <c r="X868" s="3"/>
      <c r="Y868" s="3"/>
      <c r="Z868" s="3"/>
    </row>
    <row r="869" spans="1:26" ht="22.5" customHeight="1" x14ac:dyDescent="0.85">
      <c r="A869" s="166"/>
      <c r="B869" s="167"/>
      <c r="C869" s="167"/>
      <c r="D869" s="147"/>
      <c r="E869" s="147"/>
      <c r="F869" s="147"/>
      <c r="G869" s="147"/>
      <c r="H869" s="147"/>
      <c r="I869" s="147"/>
      <c r="J869" s="147"/>
      <c r="K869" s="3"/>
      <c r="L869" s="3"/>
      <c r="M869" s="3"/>
      <c r="N869" s="3"/>
      <c r="O869" s="3"/>
      <c r="P869" s="3"/>
      <c r="Q869" s="3"/>
      <c r="R869" s="3"/>
      <c r="S869" s="3"/>
      <c r="T869" s="3"/>
      <c r="U869" s="3"/>
      <c r="V869" s="3"/>
      <c r="W869" s="3"/>
      <c r="X869" s="3"/>
      <c r="Y869" s="3"/>
      <c r="Z869" s="3"/>
    </row>
    <row r="870" spans="1:26" ht="22.5" customHeight="1" x14ac:dyDescent="0.85">
      <c r="A870" s="166"/>
      <c r="B870" s="167"/>
      <c r="C870" s="167"/>
      <c r="D870" s="147"/>
      <c r="E870" s="147"/>
      <c r="F870" s="147"/>
      <c r="G870" s="147"/>
      <c r="H870" s="147"/>
      <c r="I870" s="147"/>
      <c r="J870" s="147"/>
      <c r="K870" s="3"/>
      <c r="L870" s="3"/>
      <c r="M870" s="3"/>
      <c r="N870" s="3"/>
      <c r="O870" s="3"/>
      <c r="P870" s="3"/>
      <c r="Q870" s="3"/>
      <c r="R870" s="3"/>
      <c r="S870" s="3"/>
      <c r="T870" s="3"/>
      <c r="U870" s="3"/>
      <c r="V870" s="3"/>
      <c r="W870" s="3"/>
      <c r="X870" s="3"/>
      <c r="Y870" s="3"/>
      <c r="Z870" s="3"/>
    </row>
    <row r="871" spans="1:26" ht="22.5" customHeight="1" x14ac:dyDescent="0.85">
      <c r="A871" s="166"/>
      <c r="B871" s="167"/>
      <c r="C871" s="167"/>
      <c r="D871" s="147"/>
      <c r="E871" s="147"/>
      <c r="F871" s="147"/>
      <c r="G871" s="147"/>
      <c r="H871" s="147"/>
      <c r="I871" s="147"/>
      <c r="J871" s="147"/>
      <c r="K871" s="3"/>
      <c r="L871" s="3"/>
      <c r="M871" s="3"/>
      <c r="N871" s="3"/>
      <c r="O871" s="3"/>
      <c r="P871" s="3"/>
      <c r="Q871" s="3"/>
      <c r="R871" s="3"/>
      <c r="S871" s="3"/>
      <c r="T871" s="3"/>
      <c r="U871" s="3"/>
      <c r="V871" s="3"/>
      <c r="W871" s="3"/>
      <c r="X871" s="3"/>
      <c r="Y871" s="3"/>
      <c r="Z871" s="3"/>
    </row>
    <row r="872" spans="1:26" ht="22.5" customHeight="1" x14ac:dyDescent="0.85">
      <c r="A872" s="166"/>
      <c r="B872" s="167"/>
      <c r="C872" s="167"/>
      <c r="D872" s="147"/>
      <c r="E872" s="147"/>
      <c r="F872" s="147"/>
      <c r="G872" s="147"/>
      <c r="H872" s="147"/>
      <c r="I872" s="147"/>
      <c r="J872" s="147"/>
      <c r="K872" s="3"/>
      <c r="L872" s="3"/>
      <c r="M872" s="3"/>
      <c r="N872" s="3"/>
      <c r="O872" s="3"/>
      <c r="P872" s="3"/>
      <c r="Q872" s="3"/>
      <c r="R872" s="3"/>
      <c r="S872" s="3"/>
      <c r="T872" s="3"/>
      <c r="U872" s="3"/>
      <c r="V872" s="3"/>
      <c r="W872" s="3"/>
      <c r="X872" s="3"/>
      <c r="Y872" s="3"/>
      <c r="Z872" s="3"/>
    </row>
    <row r="873" spans="1:26" ht="22.5" customHeight="1" x14ac:dyDescent="0.85">
      <c r="A873" s="166"/>
      <c r="B873" s="167"/>
      <c r="C873" s="167"/>
      <c r="D873" s="147"/>
      <c r="E873" s="147"/>
      <c r="F873" s="147"/>
      <c r="G873" s="147"/>
      <c r="H873" s="147"/>
      <c r="I873" s="147"/>
      <c r="J873" s="147"/>
      <c r="K873" s="3"/>
      <c r="L873" s="3"/>
      <c r="M873" s="3"/>
      <c r="N873" s="3"/>
      <c r="O873" s="3"/>
      <c r="P873" s="3"/>
      <c r="Q873" s="3"/>
      <c r="R873" s="3"/>
      <c r="S873" s="3"/>
      <c r="T873" s="3"/>
      <c r="U873" s="3"/>
      <c r="V873" s="3"/>
      <c r="W873" s="3"/>
      <c r="X873" s="3"/>
      <c r="Y873" s="3"/>
      <c r="Z873" s="3"/>
    </row>
    <row r="874" spans="1:26" ht="22.5" customHeight="1" x14ac:dyDescent="0.85">
      <c r="A874" s="166"/>
      <c r="B874" s="167"/>
      <c r="C874" s="167"/>
      <c r="D874" s="147"/>
      <c r="E874" s="147"/>
      <c r="F874" s="147"/>
      <c r="G874" s="147"/>
      <c r="H874" s="147"/>
      <c r="I874" s="147"/>
      <c r="J874" s="147"/>
      <c r="K874" s="3"/>
      <c r="L874" s="3"/>
      <c r="M874" s="3"/>
      <c r="N874" s="3"/>
      <c r="O874" s="3"/>
      <c r="P874" s="3"/>
      <c r="Q874" s="3"/>
      <c r="R874" s="3"/>
      <c r="S874" s="3"/>
      <c r="T874" s="3"/>
      <c r="U874" s="3"/>
      <c r="V874" s="3"/>
      <c r="W874" s="3"/>
      <c r="X874" s="3"/>
      <c r="Y874" s="3"/>
      <c r="Z874" s="3"/>
    </row>
    <row r="875" spans="1:26" ht="22.5" customHeight="1" x14ac:dyDescent="0.85">
      <c r="A875" s="166"/>
      <c r="B875" s="167"/>
      <c r="C875" s="167"/>
      <c r="D875" s="147"/>
      <c r="E875" s="147"/>
      <c r="F875" s="147"/>
      <c r="G875" s="147"/>
      <c r="H875" s="147"/>
      <c r="I875" s="147"/>
      <c r="J875" s="147"/>
      <c r="K875" s="3"/>
      <c r="L875" s="3"/>
      <c r="M875" s="3"/>
      <c r="N875" s="3"/>
      <c r="O875" s="3"/>
      <c r="P875" s="3"/>
      <c r="Q875" s="3"/>
      <c r="R875" s="3"/>
      <c r="S875" s="3"/>
      <c r="T875" s="3"/>
      <c r="U875" s="3"/>
      <c r="V875" s="3"/>
      <c r="W875" s="3"/>
      <c r="X875" s="3"/>
      <c r="Y875" s="3"/>
      <c r="Z875" s="3"/>
    </row>
    <row r="876" spans="1:26" ht="22.5" customHeight="1" x14ac:dyDescent="0.85">
      <c r="A876" s="166"/>
      <c r="B876" s="167"/>
      <c r="C876" s="167"/>
      <c r="D876" s="147"/>
      <c r="E876" s="147"/>
      <c r="F876" s="147"/>
      <c r="G876" s="147"/>
      <c r="H876" s="147"/>
      <c r="I876" s="147"/>
      <c r="J876" s="147"/>
      <c r="K876" s="3"/>
      <c r="L876" s="3"/>
      <c r="M876" s="3"/>
      <c r="N876" s="3"/>
      <c r="O876" s="3"/>
      <c r="P876" s="3"/>
      <c r="Q876" s="3"/>
      <c r="R876" s="3"/>
      <c r="S876" s="3"/>
      <c r="T876" s="3"/>
      <c r="U876" s="3"/>
      <c r="V876" s="3"/>
      <c r="W876" s="3"/>
      <c r="X876" s="3"/>
      <c r="Y876" s="3"/>
      <c r="Z876" s="3"/>
    </row>
    <row r="877" spans="1:26" ht="22.5" customHeight="1" x14ac:dyDescent="0.85">
      <c r="A877" s="166"/>
      <c r="B877" s="167"/>
      <c r="C877" s="167"/>
      <c r="D877" s="147"/>
      <c r="E877" s="147"/>
      <c r="F877" s="147"/>
      <c r="G877" s="147"/>
      <c r="H877" s="147"/>
      <c r="I877" s="147"/>
      <c r="J877" s="147"/>
      <c r="K877" s="3"/>
      <c r="L877" s="3"/>
      <c r="M877" s="3"/>
      <c r="N877" s="3"/>
      <c r="O877" s="3"/>
      <c r="P877" s="3"/>
      <c r="Q877" s="3"/>
      <c r="R877" s="3"/>
      <c r="S877" s="3"/>
      <c r="T877" s="3"/>
      <c r="U877" s="3"/>
      <c r="V877" s="3"/>
      <c r="W877" s="3"/>
      <c r="X877" s="3"/>
      <c r="Y877" s="3"/>
      <c r="Z877" s="3"/>
    </row>
    <row r="878" spans="1:26" ht="22.5" customHeight="1" x14ac:dyDescent="0.85">
      <c r="A878" s="166"/>
      <c r="B878" s="167"/>
      <c r="C878" s="167"/>
      <c r="D878" s="147"/>
      <c r="E878" s="147"/>
      <c r="F878" s="147"/>
      <c r="G878" s="147"/>
      <c r="H878" s="147"/>
      <c r="I878" s="147"/>
      <c r="J878" s="147"/>
      <c r="K878" s="3"/>
      <c r="L878" s="3"/>
      <c r="M878" s="3"/>
      <c r="N878" s="3"/>
      <c r="O878" s="3"/>
      <c r="P878" s="3"/>
      <c r="Q878" s="3"/>
      <c r="R878" s="3"/>
      <c r="S878" s="3"/>
      <c r="T878" s="3"/>
      <c r="U878" s="3"/>
      <c r="V878" s="3"/>
      <c r="W878" s="3"/>
      <c r="X878" s="3"/>
      <c r="Y878" s="3"/>
      <c r="Z878" s="3"/>
    </row>
    <row r="879" spans="1:26" ht="22.5" customHeight="1" x14ac:dyDescent="0.85">
      <c r="A879" s="166"/>
      <c r="B879" s="167"/>
      <c r="C879" s="167"/>
      <c r="D879" s="147"/>
      <c r="E879" s="147"/>
      <c r="F879" s="147"/>
      <c r="G879" s="147"/>
      <c r="H879" s="147"/>
      <c r="I879" s="147"/>
      <c r="J879" s="147"/>
      <c r="K879" s="3"/>
      <c r="L879" s="3"/>
      <c r="M879" s="3"/>
      <c r="N879" s="3"/>
      <c r="O879" s="3"/>
      <c r="P879" s="3"/>
      <c r="Q879" s="3"/>
      <c r="R879" s="3"/>
      <c r="S879" s="3"/>
      <c r="T879" s="3"/>
      <c r="U879" s="3"/>
      <c r="V879" s="3"/>
      <c r="W879" s="3"/>
      <c r="X879" s="3"/>
      <c r="Y879" s="3"/>
      <c r="Z879" s="3"/>
    </row>
    <row r="880" spans="1:26" ht="22.5" customHeight="1" x14ac:dyDescent="0.85">
      <c r="A880" s="166"/>
      <c r="B880" s="167"/>
      <c r="C880" s="167"/>
      <c r="D880" s="147"/>
      <c r="E880" s="147"/>
      <c r="F880" s="147"/>
      <c r="G880" s="147"/>
      <c r="H880" s="147"/>
      <c r="I880" s="147"/>
      <c r="J880" s="147"/>
      <c r="K880" s="3"/>
      <c r="L880" s="3"/>
      <c r="M880" s="3"/>
      <c r="N880" s="3"/>
      <c r="O880" s="3"/>
      <c r="P880" s="3"/>
      <c r="Q880" s="3"/>
      <c r="R880" s="3"/>
      <c r="S880" s="3"/>
      <c r="T880" s="3"/>
      <c r="U880" s="3"/>
      <c r="V880" s="3"/>
      <c r="W880" s="3"/>
      <c r="X880" s="3"/>
      <c r="Y880" s="3"/>
      <c r="Z880" s="3"/>
    </row>
    <row r="881" spans="1:26" ht="22.5" customHeight="1" x14ac:dyDescent="0.85">
      <c r="A881" s="166"/>
      <c r="B881" s="167"/>
      <c r="C881" s="167"/>
      <c r="D881" s="147"/>
      <c r="E881" s="147"/>
      <c r="F881" s="147"/>
      <c r="G881" s="147"/>
      <c r="H881" s="147"/>
      <c r="I881" s="147"/>
      <c r="J881" s="147"/>
      <c r="K881" s="3"/>
      <c r="L881" s="3"/>
      <c r="M881" s="3"/>
      <c r="N881" s="3"/>
      <c r="O881" s="3"/>
      <c r="P881" s="3"/>
      <c r="Q881" s="3"/>
      <c r="R881" s="3"/>
      <c r="S881" s="3"/>
      <c r="T881" s="3"/>
      <c r="U881" s="3"/>
      <c r="V881" s="3"/>
      <c r="W881" s="3"/>
      <c r="X881" s="3"/>
      <c r="Y881" s="3"/>
      <c r="Z881" s="3"/>
    </row>
    <row r="882" spans="1:26" ht="22.5" customHeight="1" x14ac:dyDescent="0.85">
      <c r="A882" s="166"/>
      <c r="B882" s="167"/>
      <c r="C882" s="167"/>
      <c r="D882" s="147"/>
      <c r="E882" s="147"/>
      <c r="F882" s="147"/>
      <c r="G882" s="147"/>
      <c r="H882" s="147"/>
      <c r="I882" s="147"/>
      <c r="J882" s="147"/>
      <c r="K882" s="3"/>
      <c r="L882" s="3"/>
      <c r="M882" s="3"/>
      <c r="N882" s="3"/>
      <c r="O882" s="3"/>
      <c r="P882" s="3"/>
      <c r="Q882" s="3"/>
      <c r="R882" s="3"/>
      <c r="S882" s="3"/>
      <c r="T882" s="3"/>
      <c r="U882" s="3"/>
      <c r="V882" s="3"/>
      <c r="W882" s="3"/>
      <c r="X882" s="3"/>
      <c r="Y882" s="3"/>
      <c r="Z882" s="3"/>
    </row>
    <row r="883" spans="1:26" ht="22.5" customHeight="1" x14ac:dyDescent="0.85">
      <c r="A883" s="166"/>
      <c r="B883" s="167"/>
      <c r="C883" s="167"/>
      <c r="D883" s="147"/>
      <c r="E883" s="147"/>
      <c r="F883" s="147"/>
      <c r="G883" s="147"/>
      <c r="H883" s="147"/>
      <c r="I883" s="147"/>
      <c r="J883" s="147"/>
      <c r="K883" s="3"/>
      <c r="L883" s="3"/>
      <c r="M883" s="3"/>
      <c r="N883" s="3"/>
      <c r="O883" s="3"/>
      <c r="P883" s="3"/>
      <c r="Q883" s="3"/>
      <c r="R883" s="3"/>
      <c r="S883" s="3"/>
      <c r="T883" s="3"/>
      <c r="U883" s="3"/>
      <c r="V883" s="3"/>
      <c r="W883" s="3"/>
      <c r="X883" s="3"/>
      <c r="Y883" s="3"/>
      <c r="Z883" s="3"/>
    </row>
    <row r="884" spans="1:26" ht="22.5" customHeight="1" x14ac:dyDescent="0.85">
      <c r="A884" s="166"/>
      <c r="B884" s="167"/>
      <c r="C884" s="167"/>
      <c r="D884" s="147"/>
      <c r="E884" s="147"/>
      <c r="F884" s="147"/>
      <c r="G884" s="147"/>
      <c r="H884" s="147"/>
      <c r="I884" s="147"/>
      <c r="J884" s="147"/>
      <c r="K884" s="3"/>
      <c r="L884" s="3"/>
      <c r="M884" s="3"/>
      <c r="N884" s="3"/>
      <c r="O884" s="3"/>
      <c r="P884" s="3"/>
      <c r="Q884" s="3"/>
      <c r="R884" s="3"/>
      <c r="S884" s="3"/>
      <c r="T884" s="3"/>
      <c r="U884" s="3"/>
      <c r="V884" s="3"/>
      <c r="W884" s="3"/>
      <c r="X884" s="3"/>
      <c r="Y884" s="3"/>
      <c r="Z884" s="3"/>
    </row>
    <row r="885" spans="1:26" ht="22.5" customHeight="1" x14ac:dyDescent="0.85">
      <c r="A885" s="166"/>
      <c r="B885" s="167"/>
      <c r="C885" s="167"/>
      <c r="D885" s="147"/>
      <c r="E885" s="147"/>
      <c r="F885" s="147"/>
      <c r="G885" s="147"/>
      <c r="H885" s="147"/>
      <c r="I885" s="147"/>
      <c r="J885" s="147"/>
      <c r="K885" s="3"/>
      <c r="L885" s="3"/>
      <c r="M885" s="3"/>
      <c r="N885" s="3"/>
      <c r="O885" s="3"/>
      <c r="P885" s="3"/>
      <c r="Q885" s="3"/>
      <c r="R885" s="3"/>
      <c r="S885" s="3"/>
      <c r="T885" s="3"/>
      <c r="U885" s="3"/>
      <c r="V885" s="3"/>
      <c r="W885" s="3"/>
      <c r="X885" s="3"/>
      <c r="Y885" s="3"/>
      <c r="Z885" s="3"/>
    </row>
    <row r="886" spans="1:26" ht="22.5" customHeight="1" x14ac:dyDescent="0.85">
      <c r="A886" s="166"/>
      <c r="B886" s="167"/>
      <c r="C886" s="167"/>
      <c r="D886" s="147"/>
      <c r="E886" s="147"/>
      <c r="F886" s="147"/>
      <c r="G886" s="147"/>
      <c r="H886" s="147"/>
      <c r="I886" s="147"/>
      <c r="J886" s="147"/>
      <c r="K886" s="3"/>
      <c r="L886" s="3"/>
      <c r="M886" s="3"/>
      <c r="N886" s="3"/>
      <c r="O886" s="3"/>
      <c r="P886" s="3"/>
      <c r="Q886" s="3"/>
      <c r="R886" s="3"/>
      <c r="S886" s="3"/>
      <c r="T886" s="3"/>
      <c r="U886" s="3"/>
      <c r="V886" s="3"/>
      <c r="W886" s="3"/>
      <c r="X886" s="3"/>
      <c r="Y886" s="3"/>
      <c r="Z886" s="3"/>
    </row>
    <row r="887" spans="1:26" ht="22.5" customHeight="1" x14ac:dyDescent="0.85">
      <c r="A887" s="166"/>
      <c r="B887" s="167"/>
      <c r="C887" s="167"/>
      <c r="D887" s="147"/>
      <c r="E887" s="147"/>
      <c r="F887" s="147"/>
      <c r="G887" s="147"/>
      <c r="H887" s="147"/>
      <c r="I887" s="147"/>
      <c r="J887" s="147"/>
      <c r="K887" s="3"/>
      <c r="L887" s="3"/>
      <c r="M887" s="3"/>
      <c r="N887" s="3"/>
      <c r="O887" s="3"/>
      <c r="P887" s="3"/>
      <c r="Q887" s="3"/>
      <c r="R887" s="3"/>
      <c r="S887" s="3"/>
      <c r="T887" s="3"/>
      <c r="U887" s="3"/>
      <c r="V887" s="3"/>
      <c r="W887" s="3"/>
      <c r="X887" s="3"/>
      <c r="Y887" s="3"/>
      <c r="Z887" s="3"/>
    </row>
    <row r="888" spans="1:26" ht="22.5" customHeight="1" x14ac:dyDescent="0.85">
      <c r="A888" s="166"/>
      <c r="B888" s="167"/>
      <c r="C888" s="167"/>
      <c r="D888" s="147"/>
      <c r="E888" s="147"/>
      <c r="F888" s="147"/>
      <c r="G888" s="147"/>
      <c r="H888" s="147"/>
      <c r="I888" s="147"/>
      <c r="J888" s="147"/>
      <c r="K888" s="3"/>
      <c r="L888" s="3"/>
      <c r="M888" s="3"/>
      <c r="N888" s="3"/>
      <c r="O888" s="3"/>
      <c r="P888" s="3"/>
      <c r="Q888" s="3"/>
      <c r="R888" s="3"/>
      <c r="S888" s="3"/>
      <c r="T888" s="3"/>
      <c r="U888" s="3"/>
      <c r="V888" s="3"/>
      <c r="W888" s="3"/>
      <c r="X888" s="3"/>
      <c r="Y888" s="3"/>
      <c r="Z888" s="3"/>
    </row>
    <row r="889" spans="1:26" ht="22.5" customHeight="1" x14ac:dyDescent="0.85">
      <c r="A889" s="166"/>
      <c r="B889" s="167"/>
      <c r="C889" s="167"/>
      <c r="D889" s="147"/>
      <c r="E889" s="147"/>
      <c r="F889" s="147"/>
      <c r="G889" s="147"/>
      <c r="H889" s="147"/>
      <c r="I889" s="147"/>
      <c r="J889" s="147"/>
      <c r="K889" s="3"/>
      <c r="L889" s="3"/>
      <c r="M889" s="3"/>
      <c r="N889" s="3"/>
      <c r="O889" s="3"/>
      <c r="P889" s="3"/>
      <c r="Q889" s="3"/>
      <c r="R889" s="3"/>
      <c r="S889" s="3"/>
      <c r="T889" s="3"/>
      <c r="U889" s="3"/>
      <c r="V889" s="3"/>
      <c r="W889" s="3"/>
      <c r="X889" s="3"/>
      <c r="Y889" s="3"/>
      <c r="Z889" s="3"/>
    </row>
    <row r="890" spans="1:26" ht="22.5" customHeight="1" x14ac:dyDescent="0.85">
      <c r="A890" s="166"/>
      <c r="B890" s="167"/>
      <c r="C890" s="167"/>
      <c r="D890" s="147"/>
      <c r="E890" s="147"/>
      <c r="F890" s="147"/>
      <c r="G890" s="147"/>
      <c r="H890" s="147"/>
      <c r="I890" s="147"/>
      <c r="J890" s="147"/>
      <c r="K890" s="3"/>
      <c r="L890" s="3"/>
      <c r="M890" s="3"/>
      <c r="N890" s="3"/>
      <c r="O890" s="3"/>
      <c r="P890" s="3"/>
      <c r="Q890" s="3"/>
      <c r="R890" s="3"/>
      <c r="S890" s="3"/>
      <c r="T890" s="3"/>
      <c r="U890" s="3"/>
      <c r="V890" s="3"/>
      <c r="W890" s="3"/>
      <c r="X890" s="3"/>
      <c r="Y890" s="3"/>
      <c r="Z890" s="3"/>
    </row>
    <row r="891" spans="1:26" ht="22.5" customHeight="1" x14ac:dyDescent="0.85">
      <c r="A891" s="166"/>
      <c r="B891" s="167"/>
      <c r="C891" s="167"/>
      <c r="D891" s="147"/>
      <c r="E891" s="147"/>
      <c r="F891" s="147"/>
      <c r="G891" s="147"/>
      <c r="H891" s="147"/>
      <c r="I891" s="147"/>
      <c r="J891" s="147"/>
      <c r="K891" s="3"/>
      <c r="L891" s="3"/>
      <c r="M891" s="3"/>
      <c r="N891" s="3"/>
      <c r="O891" s="3"/>
      <c r="P891" s="3"/>
      <c r="Q891" s="3"/>
      <c r="R891" s="3"/>
      <c r="S891" s="3"/>
      <c r="T891" s="3"/>
      <c r="U891" s="3"/>
      <c r="V891" s="3"/>
      <c r="W891" s="3"/>
      <c r="X891" s="3"/>
      <c r="Y891" s="3"/>
      <c r="Z891" s="3"/>
    </row>
    <row r="892" spans="1:26" ht="22.5" customHeight="1" x14ac:dyDescent="0.85">
      <c r="A892" s="166"/>
      <c r="B892" s="167"/>
      <c r="C892" s="167"/>
      <c r="D892" s="147"/>
      <c r="E892" s="147"/>
      <c r="F892" s="147"/>
      <c r="G892" s="147"/>
      <c r="H892" s="147"/>
      <c r="I892" s="147"/>
      <c r="J892" s="147"/>
      <c r="K892" s="3"/>
      <c r="L892" s="3"/>
      <c r="M892" s="3"/>
      <c r="N892" s="3"/>
      <c r="O892" s="3"/>
      <c r="P892" s="3"/>
      <c r="Q892" s="3"/>
      <c r="R892" s="3"/>
      <c r="S892" s="3"/>
      <c r="T892" s="3"/>
      <c r="U892" s="3"/>
      <c r="V892" s="3"/>
      <c r="W892" s="3"/>
      <c r="X892" s="3"/>
      <c r="Y892" s="3"/>
      <c r="Z892" s="3"/>
    </row>
    <row r="893" spans="1:26" ht="22.5" customHeight="1" x14ac:dyDescent="0.85">
      <c r="A893" s="166"/>
      <c r="B893" s="167"/>
      <c r="C893" s="167"/>
      <c r="D893" s="147"/>
      <c r="E893" s="147"/>
      <c r="F893" s="147"/>
      <c r="G893" s="147"/>
      <c r="H893" s="147"/>
      <c r="I893" s="147"/>
      <c r="J893" s="147"/>
      <c r="K893" s="3"/>
      <c r="L893" s="3"/>
      <c r="M893" s="3"/>
      <c r="N893" s="3"/>
      <c r="O893" s="3"/>
      <c r="P893" s="3"/>
      <c r="Q893" s="3"/>
      <c r="R893" s="3"/>
      <c r="S893" s="3"/>
      <c r="T893" s="3"/>
      <c r="U893" s="3"/>
      <c r="V893" s="3"/>
      <c r="W893" s="3"/>
      <c r="X893" s="3"/>
      <c r="Y893" s="3"/>
      <c r="Z893" s="3"/>
    </row>
    <row r="894" spans="1:26" ht="22.5" customHeight="1" x14ac:dyDescent="0.85">
      <c r="A894" s="166"/>
      <c r="B894" s="167"/>
      <c r="C894" s="167"/>
      <c r="D894" s="147"/>
      <c r="E894" s="147"/>
      <c r="F894" s="147"/>
      <c r="G894" s="147"/>
      <c r="H894" s="147"/>
      <c r="I894" s="147"/>
      <c r="J894" s="147"/>
      <c r="K894" s="3"/>
      <c r="L894" s="3"/>
      <c r="M894" s="3"/>
      <c r="N894" s="3"/>
      <c r="O894" s="3"/>
      <c r="P894" s="3"/>
      <c r="Q894" s="3"/>
      <c r="R894" s="3"/>
      <c r="S894" s="3"/>
      <c r="T894" s="3"/>
      <c r="U894" s="3"/>
      <c r="V894" s="3"/>
      <c r="W894" s="3"/>
      <c r="X894" s="3"/>
      <c r="Y894" s="3"/>
      <c r="Z894" s="3"/>
    </row>
    <row r="895" spans="1:26" ht="22.5" customHeight="1" x14ac:dyDescent="0.85">
      <c r="A895" s="166"/>
      <c r="B895" s="167"/>
      <c r="C895" s="167"/>
      <c r="D895" s="147"/>
      <c r="E895" s="147"/>
      <c r="F895" s="147"/>
      <c r="G895" s="147"/>
      <c r="H895" s="147"/>
      <c r="I895" s="147"/>
      <c r="J895" s="147"/>
      <c r="K895" s="3"/>
      <c r="L895" s="3"/>
      <c r="M895" s="3"/>
      <c r="N895" s="3"/>
      <c r="O895" s="3"/>
      <c r="P895" s="3"/>
      <c r="Q895" s="3"/>
      <c r="R895" s="3"/>
      <c r="S895" s="3"/>
      <c r="T895" s="3"/>
      <c r="U895" s="3"/>
      <c r="V895" s="3"/>
      <c r="W895" s="3"/>
      <c r="X895" s="3"/>
      <c r="Y895" s="3"/>
      <c r="Z895" s="3"/>
    </row>
    <row r="896" spans="1:26" ht="22.5" customHeight="1" x14ac:dyDescent="0.85">
      <c r="A896" s="166"/>
      <c r="B896" s="167"/>
      <c r="C896" s="167"/>
      <c r="D896" s="147"/>
      <c r="E896" s="147"/>
      <c r="F896" s="147"/>
      <c r="G896" s="147"/>
      <c r="H896" s="147"/>
      <c r="I896" s="147"/>
      <c r="J896" s="147"/>
      <c r="K896" s="3"/>
      <c r="L896" s="3"/>
      <c r="M896" s="3"/>
      <c r="N896" s="3"/>
      <c r="O896" s="3"/>
      <c r="P896" s="3"/>
      <c r="Q896" s="3"/>
      <c r="R896" s="3"/>
      <c r="S896" s="3"/>
      <c r="T896" s="3"/>
      <c r="U896" s="3"/>
      <c r="V896" s="3"/>
      <c r="W896" s="3"/>
      <c r="X896" s="3"/>
      <c r="Y896" s="3"/>
      <c r="Z896" s="3"/>
    </row>
    <row r="897" spans="1:26" ht="22.5" customHeight="1" x14ac:dyDescent="0.85">
      <c r="A897" s="166"/>
      <c r="B897" s="167"/>
      <c r="C897" s="167"/>
      <c r="D897" s="147"/>
      <c r="E897" s="147"/>
      <c r="F897" s="147"/>
      <c r="G897" s="147"/>
      <c r="H897" s="147"/>
      <c r="I897" s="147"/>
      <c r="J897" s="147"/>
      <c r="K897" s="3"/>
      <c r="L897" s="3"/>
      <c r="M897" s="3"/>
      <c r="N897" s="3"/>
      <c r="O897" s="3"/>
      <c r="P897" s="3"/>
      <c r="Q897" s="3"/>
      <c r="R897" s="3"/>
      <c r="S897" s="3"/>
      <c r="T897" s="3"/>
      <c r="U897" s="3"/>
      <c r="V897" s="3"/>
      <c r="W897" s="3"/>
      <c r="X897" s="3"/>
      <c r="Y897" s="3"/>
      <c r="Z897" s="3"/>
    </row>
    <row r="898" spans="1:26" ht="22.5" customHeight="1" x14ac:dyDescent="0.85">
      <c r="A898" s="166"/>
      <c r="B898" s="167"/>
      <c r="C898" s="167"/>
      <c r="D898" s="147"/>
      <c r="E898" s="147"/>
      <c r="F898" s="147"/>
      <c r="G898" s="147"/>
      <c r="H898" s="147"/>
      <c r="I898" s="147"/>
      <c r="J898" s="147"/>
      <c r="K898" s="3"/>
      <c r="L898" s="3"/>
      <c r="M898" s="3"/>
      <c r="N898" s="3"/>
      <c r="O898" s="3"/>
      <c r="P898" s="3"/>
      <c r="Q898" s="3"/>
      <c r="R898" s="3"/>
      <c r="S898" s="3"/>
      <c r="T898" s="3"/>
      <c r="U898" s="3"/>
      <c r="V898" s="3"/>
      <c r="W898" s="3"/>
      <c r="X898" s="3"/>
      <c r="Y898" s="3"/>
      <c r="Z898" s="3"/>
    </row>
    <row r="899" spans="1:26" ht="22.5" customHeight="1" x14ac:dyDescent="0.85">
      <c r="A899" s="166"/>
      <c r="B899" s="167"/>
      <c r="C899" s="167"/>
      <c r="D899" s="147"/>
      <c r="E899" s="147"/>
      <c r="F899" s="147"/>
      <c r="G899" s="147"/>
      <c r="H899" s="147"/>
      <c r="I899" s="147"/>
      <c r="J899" s="147"/>
      <c r="K899" s="3"/>
      <c r="L899" s="3"/>
      <c r="M899" s="3"/>
      <c r="N899" s="3"/>
      <c r="O899" s="3"/>
      <c r="P899" s="3"/>
      <c r="Q899" s="3"/>
      <c r="R899" s="3"/>
      <c r="S899" s="3"/>
      <c r="T899" s="3"/>
      <c r="U899" s="3"/>
      <c r="V899" s="3"/>
      <c r="W899" s="3"/>
      <c r="X899" s="3"/>
      <c r="Y899" s="3"/>
      <c r="Z899" s="3"/>
    </row>
    <row r="900" spans="1:26" ht="22.5" customHeight="1" x14ac:dyDescent="0.85">
      <c r="A900" s="166"/>
      <c r="B900" s="167"/>
      <c r="C900" s="167"/>
      <c r="D900" s="147"/>
      <c r="E900" s="147"/>
      <c r="F900" s="147"/>
      <c r="G900" s="147"/>
      <c r="H900" s="147"/>
      <c r="I900" s="147"/>
      <c r="J900" s="147"/>
      <c r="K900" s="3"/>
      <c r="L900" s="3"/>
      <c r="M900" s="3"/>
      <c r="N900" s="3"/>
      <c r="O900" s="3"/>
      <c r="P900" s="3"/>
      <c r="Q900" s="3"/>
      <c r="R900" s="3"/>
      <c r="S900" s="3"/>
      <c r="T900" s="3"/>
      <c r="U900" s="3"/>
      <c r="V900" s="3"/>
      <c r="W900" s="3"/>
      <c r="X900" s="3"/>
      <c r="Y900" s="3"/>
      <c r="Z900" s="3"/>
    </row>
    <row r="901" spans="1:26" ht="22.5" customHeight="1" x14ac:dyDescent="0.85">
      <c r="A901" s="166"/>
      <c r="B901" s="167"/>
      <c r="C901" s="167"/>
      <c r="D901" s="147"/>
      <c r="E901" s="147"/>
      <c r="F901" s="147"/>
      <c r="G901" s="147"/>
      <c r="H901" s="147"/>
      <c r="I901" s="147"/>
      <c r="J901" s="147"/>
      <c r="K901" s="3"/>
      <c r="L901" s="3"/>
      <c r="M901" s="3"/>
      <c r="N901" s="3"/>
      <c r="O901" s="3"/>
      <c r="P901" s="3"/>
      <c r="Q901" s="3"/>
      <c r="R901" s="3"/>
      <c r="S901" s="3"/>
      <c r="T901" s="3"/>
      <c r="U901" s="3"/>
      <c r="V901" s="3"/>
      <c r="W901" s="3"/>
      <c r="X901" s="3"/>
      <c r="Y901" s="3"/>
      <c r="Z901" s="3"/>
    </row>
    <row r="902" spans="1:26" ht="22.5" customHeight="1" x14ac:dyDescent="0.85">
      <c r="A902" s="166"/>
      <c r="B902" s="167"/>
      <c r="C902" s="167"/>
      <c r="D902" s="147"/>
      <c r="E902" s="147"/>
      <c r="F902" s="147"/>
      <c r="G902" s="147"/>
      <c r="H902" s="147"/>
      <c r="I902" s="147"/>
      <c r="J902" s="147"/>
      <c r="K902" s="3"/>
      <c r="L902" s="3"/>
      <c r="M902" s="3"/>
      <c r="N902" s="3"/>
      <c r="O902" s="3"/>
      <c r="P902" s="3"/>
      <c r="Q902" s="3"/>
      <c r="R902" s="3"/>
      <c r="S902" s="3"/>
      <c r="T902" s="3"/>
      <c r="U902" s="3"/>
      <c r="V902" s="3"/>
      <c r="W902" s="3"/>
      <c r="X902" s="3"/>
      <c r="Y902" s="3"/>
      <c r="Z902" s="3"/>
    </row>
    <row r="903" spans="1:26" ht="22.5" customHeight="1" x14ac:dyDescent="0.85">
      <c r="A903" s="166"/>
      <c r="B903" s="167"/>
      <c r="C903" s="167"/>
      <c r="D903" s="147"/>
      <c r="E903" s="147"/>
      <c r="F903" s="147"/>
      <c r="G903" s="147"/>
      <c r="H903" s="147"/>
      <c r="I903" s="147"/>
      <c r="J903" s="147"/>
      <c r="K903" s="3"/>
      <c r="L903" s="3"/>
      <c r="M903" s="3"/>
      <c r="N903" s="3"/>
      <c r="O903" s="3"/>
      <c r="P903" s="3"/>
      <c r="Q903" s="3"/>
      <c r="R903" s="3"/>
      <c r="S903" s="3"/>
      <c r="T903" s="3"/>
      <c r="U903" s="3"/>
      <c r="V903" s="3"/>
      <c r="W903" s="3"/>
      <c r="X903" s="3"/>
      <c r="Y903" s="3"/>
      <c r="Z903" s="3"/>
    </row>
    <row r="904" spans="1:26" ht="22.5" customHeight="1" x14ac:dyDescent="0.85">
      <c r="A904" s="166"/>
      <c r="B904" s="167"/>
      <c r="C904" s="167"/>
      <c r="D904" s="147"/>
      <c r="E904" s="147"/>
      <c r="F904" s="147"/>
      <c r="G904" s="147"/>
      <c r="H904" s="147"/>
      <c r="I904" s="147"/>
      <c r="J904" s="147"/>
      <c r="K904" s="3"/>
      <c r="L904" s="3"/>
      <c r="M904" s="3"/>
      <c r="N904" s="3"/>
      <c r="O904" s="3"/>
      <c r="P904" s="3"/>
      <c r="Q904" s="3"/>
      <c r="R904" s="3"/>
      <c r="S904" s="3"/>
      <c r="T904" s="3"/>
      <c r="U904" s="3"/>
      <c r="V904" s="3"/>
      <c r="W904" s="3"/>
      <c r="X904" s="3"/>
      <c r="Y904" s="3"/>
      <c r="Z904" s="3"/>
    </row>
    <row r="905" spans="1:26" ht="22.5" customHeight="1" x14ac:dyDescent="0.85">
      <c r="A905" s="166"/>
      <c r="B905" s="167"/>
      <c r="C905" s="167"/>
      <c r="D905" s="147"/>
      <c r="E905" s="147"/>
      <c r="F905" s="147"/>
      <c r="G905" s="147"/>
      <c r="H905" s="147"/>
      <c r="I905" s="147"/>
      <c r="J905" s="147"/>
      <c r="K905" s="3"/>
      <c r="L905" s="3"/>
      <c r="M905" s="3"/>
      <c r="N905" s="3"/>
      <c r="O905" s="3"/>
      <c r="P905" s="3"/>
      <c r="Q905" s="3"/>
      <c r="R905" s="3"/>
      <c r="S905" s="3"/>
      <c r="T905" s="3"/>
      <c r="U905" s="3"/>
      <c r="V905" s="3"/>
      <c r="W905" s="3"/>
      <c r="X905" s="3"/>
      <c r="Y905" s="3"/>
      <c r="Z905" s="3"/>
    </row>
    <row r="906" spans="1:26" ht="22.5" customHeight="1" x14ac:dyDescent="0.85">
      <c r="A906" s="166"/>
      <c r="B906" s="167"/>
      <c r="C906" s="167"/>
      <c r="D906" s="147"/>
      <c r="E906" s="147"/>
      <c r="F906" s="147"/>
      <c r="G906" s="147"/>
      <c r="H906" s="147"/>
      <c r="I906" s="147"/>
      <c r="J906" s="147"/>
      <c r="K906" s="3"/>
      <c r="L906" s="3"/>
      <c r="M906" s="3"/>
      <c r="N906" s="3"/>
      <c r="O906" s="3"/>
      <c r="P906" s="3"/>
      <c r="Q906" s="3"/>
      <c r="R906" s="3"/>
      <c r="S906" s="3"/>
      <c r="T906" s="3"/>
      <c r="U906" s="3"/>
      <c r="V906" s="3"/>
      <c r="W906" s="3"/>
      <c r="X906" s="3"/>
      <c r="Y906" s="3"/>
      <c r="Z906" s="3"/>
    </row>
    <row r="907" spans="1:26" ht="22.5" customHeight="1" x14ac:dyDescent="0.85">
      <c r="A907" s="166"/>
      <c r="B907" s="167"/>
      <c r="C907" s="167"/>
      <c r="D907" s="147"/>
      <c r="E907" s="147"/>
      <c r="F907" s="147"/>
      <c r="G907" s="147"/>
      <c r="H907" s="147"/>
      <c r="I907" s="147"/>
      <c r="J907" s="147"/>
      <c r="K907" s="3"/>
      <c r="L907" s="3"/>
      <c r="M907" s="3"/>
      <c r="N907" s="3"/>
      <c r="O907" s="3"/>
      <c r="P907" s="3"/>
      <c r="Q907" s="3"/>
      <c r="R907" s="3"/>
      <c r="S907" s="3"/>
      <c r="T907" s="3"/>
      <c r="U907" s="3"/>
      <c r="V907" s="3"/>
      <c r="W907" s="3"/>
      <c r="X907" s="3"/>
      <c r="Y907" s="3"/>
      <c r="Z907" s="3"/>
    </row>
    <row r="908" spans="1:26" ht="22.5" customHeight="1" x14ac:dyDescent="0.85">
      <c r="A908" s="166"/>
      <c r="B908" s="167"/>
      <c r="C908" s="167"/>
      <c r="D908" s="147"/>
      <c r="E908" s="147"/>
      <c r="F908" s="147"/>
      <c r="G908" s="147"/>
      <c r="H908" s="147"/>
      <c r="I908" s="147"/>
      <c r="J908" s="147"/>
      <c r="K908" s="3"/>
      <c r="L908" s="3"/>
      <c r="M908" s="3"/>
      <c r="N908" s="3"/>
      <c r="O908" s="3"/>
      <c r="P908" s="3"/>
      <c r="Q908" s="3"/>
      <c r="R908" s="3"/>
      <c r="S908" s="3"/>
      <c r="T908" s="3"/>
      <c r="U908" s="3"/>
      <c r="V908" s="3"/>
      <c r="W908" s="3"/>
      <c r="X908" s="3"/>
      <c r="Y908" s="3"/>
      <c r="Z908" s="3"/>
    </row>
    <row r="909" spans="1:26" ht="22.5" customHeight="1" x14ac:dyDescent="0.85">
      <c r="A909" s="166"/>
      <c r="B909" s="167"/>
      <c r="C909" s="167"/>
      <c r="D909" s="147"/>
      <c r="E909" s="147"/>
      <c r="F909" s="147"/>
      <c r="G909" s="147"/>
      <c r="H909" s="147"/>
      <c r="I909" s="147"/>
      <c r="J909" s="147"/>
      <c r="K909" s="3"/>
      <c r="L909" s="3"/>
      <c r="M909" s="3"/>
      <c r="N909" s="3"/>
      <c r="O909" s="3"/>
      <c r="P909" s="3"/>
      <c r="Q909" s="3"/>
      <c r="R909" s="3"/>
      <c r="S909" s="3"/>
      <c r="T909" s="3"/>
      <c r="U909" s="3"/>
      <c r="V909" s="3"/>
      <c r="W909" s="3"/>
      <c r="X909" s="3"/>
      <c r="Y909" s="3"/>
      <c r="Z909" s="3"/>
    </row>
    <row r="910" spans="1:26" ht="22.5" customHeight="1" x14ac:dyDescent="0.85">
      <c r="A910" s="166"/>
      <c r="B910" s="167"/>
      <c r="C910" s="167"/>
      <c r="D910" s="147"/>
      <c r="E910" s="147"/>
      <c r="F910" s="147"/>
      <c r="G910" s="147"/>
      <c r="H910" s="147"/>
      <c r="I910" s="147"/>
      <c r="J910" s="147"/>
      <c r="K910" s="3"/>
      <c r="L910" s="3"/>
      <c r="M910" s="3"/>
      <c r="N910" s="3"/>
      <c r="O910" s="3"/>
      <c r="P910" s="3"/>
      <c r="Q910" s="3"/>
      <c r="R910" s="3"/>
      <c r="S910" s="3"/>
      <c r="T910" s="3"/>
      <c r="U910" s="3"/>
      <c r="V910" s="3"/>
      <c r="W910" s="3"/>
      <c r="X910" s="3"/>
      <c r="Y910" s="3"/>
      <c r="Z910" s="3"/>
    </row>
    <row r="911" spans="1:26" ht="22.5" customHeight="1" x14ac:dyDescent="0.85">
      <c r="A911" s="166"/>
      <c r="B911" s="167"/>
      <c r="C911" s="167"/>
      <c r="D911" s="147"/>
      <c r="E911" s="147"/>
      <c r="F911" s="147"/>
      <c r="G911" s="147"/>
      <c r="H911" s="147"/>
      <c r="I911" s="147"/>
      <c r="J911" s="147"/>
      <c r="K911" s="3"/>
      <c r="L911" s="3"/>
      <c r="M911" s="3"/>
      <c r="N911" s="3"/>
      <c r="O911" s="3"/>
      <c r="P911" s="3"/>
      <c r="Q911" s="3"/>
      <c r="R911" s="3"/>
      <c r="S911" s="3"/>
      <c r="T911" s="3"/>
      <c r="U911" s="3"/>
      <c r="V911" s="3"/>
      <c r="W911" s="3"/>
      <c r="X911" s="3"/>
      <c r="Y911" s="3"/>
      <c r="Z911" s="3"/>
    </row>
    <row r="912" spans="1:26" ht="22.5" customHeight="1" x14ac:dyDescent="0.85">
      <c r="A912" s="166"/>
      <c r="B912" s="167"/>
      <c r="C912" s="167"/>
      <c r="D912" s="147"/>
      <c r="E912" s="147"/>
      <c r="F912" s="147"/>
      <c r="G912" s="147"/>
      <c r="H912" s="147"/>
      <c r="I912" s="147"/>
      <c r="J912" s="147"/>
      <c r="K912" s="3"/>
      <c r="L912" s="3"/>
      <c r="M912" s="3"/>
      <c r="N912" s="3"/>
      <c r="O912" s="3"/>
      <c r="P912" s="3"/>
      <c r="Q912" s="3"/>
      <c r="R912" s="3"/>
      <c r="S912" s="3"/>
      <c r="T912" s="3"/>
      <c r="U912" s="3"/>
      <c r="V912" s="3"/>
      <c r="W912" s="3"/>
      <c r="X912" s="3"/>
      <c r="Y912" s="3"/>
      <c r="Z912" s="3"/>
    </row>
    <row r="913" spans="1:26" ht="22.5" customHeight="1" x14ac:dyDescent="0.85">
      <c r="A913" s="166"/>
      <c r="B913" s="167"/>
      <c r="C913" s="167"/>
      <c r="D913" s="147"/>
      <c r="E913" s="147"/>
      <c r="F913" s="147"/>
      <c r="G913" s="147"/>
      <c r="H913" s="147"/>
      <c r="I913" s="147"/>
      <c r="J913" s="147"/>
      <c r="K913" s="3"/>
      <c r="L913" s="3"/>
      <c r="M913" s="3"/>
      <c r="N913" s="3"/>
      <c r="O913" s="3"/>
      <c r="P913" s="3"/>
      <c r="Q913" s="3"/>
      <c r="R913" s="3"/>
      <c r="S913" s="3"/>
      <c r="T913" s="3"/>
      <c r="U913" s="3"/>
      <c r="V913" s="3"/>
      <c r="W913" s="3"/>
      <c r="X913" s="3"/>
      <c r="Y913" s="3"/>
      <c r="Z913" s="3"/>
    </row>
    <row r="914" spans="1:26" ht="22.5" customHeight="1" x14ac:dyDescent="0.85">
      <c r="A914" s="166"/>
      <c r="B914" s="167"/>
      <c r="C914" s="167"/>
      <c r="D914" s="147"/>
      <c r="E914" s="147"/>
      <c r="F914" s="147"/>
      <c r="G914" s="147"/>
      <c r="H914" s="147"/>
      <c r="I914" s="147"/>
      <c r="J914" s="147"/>
      <c r="K914" s="3"/>
      <c r="L914" s="3"/>
      <c r="M914" s="3"/>
      <c r="N914" s="3"/>
      <c r="O914" s="3"/>
      <c r="P914" s="3"/>
      <c r="Q914" s="3"/>
      <c r="R914" s="3"/>
      <c r="S914" s="3"/>
      <c r="T914" s="3"/>
      <c r="U914" s="3"/>
      <c r="V914" s="3"/>
      <c r="W914" s="3"/>
      <c r="X914" s="3"/>
      <c r="Y914" s="3"/>
      <c r="Z914" s="3"/>
    </row>
    <row r="915" spans="1:26" ht="22.5" customHeight="1" x14ac:dyDescent="0.85">
      <c r="A915" s="166"/>
      <c r="B915" s="167"/>
      <c r="C915" s="167"/>
      <c r="D915" s="147"/>
      <c r="E915" s="147"/>
      <c r="F915" s="147"/>
      <c r="G915" s="147"/>
      <c r="H915" s="147"/>
      <c r="I915" s="147"/>
      <c r="J915" s="147"/>
      <c r="K915" s="3"/>
      <c r="L915" s="3"/>
      <c r="M915" s="3"/>
      <c r="N915" s="3"/>
      <c r="O915" s="3"/>
      <c r="P915" s="3"/>
      <c r="Q915" s="3"/>
      <c r="R915" s="3"/>
      <c r="S915" s="3"/>
      <c r="T915" s="3"/>
      <c r="U915" s="3"/>
      <c r="V915" s="3"/>
      <c r="W915" s="3"/>
      <c r="X915" s="3"/>
      <c r="Y915" s="3"/>
      <c r="Z915" s="3"/>
    </row>
    <row r="916" spans="1:26" ht="22.5" customHeight="1" x14ac:dyDescent="0.85">
      <c r="A916" s="166"/>
      <c r="B916" s="167"/>
      <c r="C916" s="167"/>
      <c r="D916" s="147"/>
      <c r="E916" s="147"/>
      <c r="F916" s="147"/>
      <c r="G916" s="147"/>
      <c r="H916" s="147"/>
      <c r="I916" s="147"/>
      <c r="J916" s="147"/>
      <c r="K916" s="3"/>
      <c r="L916" s="3"/>
      <c r="M916" s="3"/>
      <c r="N916" s="3"/>
      <c r="O916" s="3"/>
      <c r="P916" s="3"/>
      <c r="Q916" s="3"/>
      <c r="R916" s="3"/>
      <c r="S916" s="3"/>
      <c r="T916" s="3"/>
      <c r="U916" s="3"/>
      <c r="V916" s="3"/>
      <c r="W916" s="3"/>
      <c r="X916" s="3"/>
      <c r="Y916" s="3"/>
      <c r="Z916" s="3"/>
    </row>
    <row r="917" spans="1:26" ht="22.5" customHeight="1" x14ac:dyDescent="0.85">
      <c r="A917" s="166"/>
      <c r="B917" s="167"/>
      <c r="C917" s="167"/>
      <c r="D917" s="147"/>
      <c r="E917" s="147"/>
      <c r="F917" s="147"/>
      <c r="G917" s="147"/>
      <c r="H917" s="147"/>
      <c r="I917" s="147"/>
      <c r="J917" s="147"/>
      <c r="K917" s="3"/>
      <c r="L917" s="3"/>
      <c r="M917" s="3"/>
      <c r="N917" s="3"/>
      <c r="O917" s="3"/>
      <c r="P917" s="3"/>
      <c r="Q917" s="3"/>
      <c r="R917" s="3"/>
      <c r="S917" s="3"/>
      <c r="T917" s="3"/>
      <c r="U917" s="3"/>
      <c r="V917" s="3"/>
      <c r="W917" s="3"/>
      <c r="X917" s="3"/>
      <c r="Y917" s="3"/>
      <c r="Z917" s="3"/>
    </row>
    <row r="918" spans="1:26" ht="22.5" customHeight="1" x14ac:dyDescent="0.85">
      <c r="A918" s="166"/>
      <c r="B918" s="167"/>
      <c r="C918" s="167"/>
      <c r="D918" s="147"/>
      <c r="E918" s="147"/>
      <c r="F918" s="147"/>
      <c r="G918" s="147"/>
      <c r="H918" s="147"/>
      <c r="I918" s="147"/>
      <c r="J918" s="147"/>
      <c r="K918" s="3"/>
      <c r="L918" s="3"/>
      <c r="M918" s="3"/>
      <c r="N918" s="3"/>
      <c r="O918" s="3"/>
      <c r="P918" s="3"/>
      <c r="Q918" s="3"/>
      <c r="R918" s="3"/>
      <c r="S918" s="3"/>
      <c r="T918" s="3"/>
      <c r="U918" s="3"/>
      <c r="V918" s="3"/>
      <c r="W918" s="3"/>
      <c r="X918" s="3"/>
      <c r="Y918" s="3"/>
      <c r="Z918" s="3"/>
    </row>
    <row r="919" spans="1:26" ht="22.5" customHeight="1" x14ac:dyDescent="0.85">
      <c r="A919" s="166"/>
      <c r="B919" s="167"/>
      <c r="C919" s="167"/>
      <c r="D919" s="147"/>
      <c r="E919" s="147"/>
      <c r="F919" s="147"/>
      <c r="G919" s="147"/>
      <c r="H919" s="147"/>
      <c r="I919" s="147"/>
      <c r="J919" s="147"/>
      <c r="K919" s="3"/>
      <c r="L919" s="3"/>
      <c r="M919" s="3"/>
      <c r="N919" s="3"/>
      <c r="O919" s="3"/>
      <c r="P919" s="3"/>
      <c r="Q919" s="3"/>
      <c r="R919" s="3"/>
      <c r="S919" s="3"/>
      <c r="T919" s="3"/>
      <c r="U919" s="3"/>
      <c r="V919" s="3"/>
      <c r="W919" s="3"/>
      <c r="X919" s="3"/>
      <c r="Y919" s="3"/>
      <c r="Z919" s="3"/>
    </row>
    <row r="920" spans="1:26" ht="22.5" customHeight="1" x14ac:dyDescent="0.85">
      <c r="A920" s="166"/>
      <c r="B920" s="167"/>
      <c r="C920" s="167"/>
      <c r="D920" s="147"/>
      <c r="E920" s="147"/>
      <c r="F920" s="147"/>
      <c r="G920" s="147"/>
      <c r="H920" s="147"/>
      <c r="I920" s="147"/>
      <c r="J920" s="147"/>
      <c r="K920" s="3"/>
      <c r="L920" s="3"/>
      <c r="M920" s="3"/>
      <c r="N920" s="3"/>
      <c r="O920" s="3"/>
      <c r="P920" s="3"/>
      <c r="Q920" s="3"/>
      <c r="R920" s="3"/>
      <c r="S920" s="3"/>
      <c r="T920" s="3"/>
      <c r="U920" s="3"/>
      <c r="V920" s="3"/>
      <c r="W920" s="3"/>
      <c r="X920" s="3"/>
      <c r="Y920" s="3"/>
      <c r="Z920" s="3"/>
    </row>
    <row r="921" spans="1:26" ht="22.5" customHeight="1" x14ac:dyDescent="0.85">
      <c r="A921" s="166"/>
      <c r="B921" s="167"/>
      <c r="C921" s="167"/>
      <c r="D921" s="147"/>
      <c r="E921" s="147"/>
      <c r="F921" s="147"/>
      <c r="G921" s="147"/>
      <c r="H921" s="147"/>
      <c r="I921" s="147"/>
      <c r="J921" s="147"/>
      <c r="K921" s="3"/>
      <c r="L921" s="3"/>
      <c r="M921" s="3"/>
      <c r="N921" s="3"/>
      <c r="O921" s="3"/>
      <c r="P921" s="3"/>
      <c r="Q921" s="3"/>
      <c r="R921" s="3"/>
      <c r="S921" s="3"/>
      <c r="T921" s="3"/>
      <c r="U921" s="3"/>
      <c r="V921" s="3"/>
      <c r="W921" s="3"/>
      <c r="X921" s="3"/>
      <c r="Y921" s="3"/>
      <c r="Z921" s="3"/>
    </row>
    <row r="922" spans="1:26" ht="22.5" customHeight="1" x14ac:dyDescent="0.85">
      <c r="A922" s="166"/>
      <c r="B922" s="167"/>
      <c r="C922" s="167"/>
      <c r="D922" s="147"/>
      <c r="E922" s="147"/>
      <c r="F922" s="147"/>
      <c r="G922" s="147"/>
      <c r="H922" s="147"/>
      <c r="I922" s="147"/>
      <c r="J922" s="147"/>
      <c r="K922" s="3"/>
      <c r="L922" s="3"/>
      <c r="M922" s="3"/>
      <c r="N922" s="3"/>
      <c r="O922" s="3"/>
      <c r="P922" s="3"/>
      <c r="Q922" s="3"/>
      <c r="R922" s="3"/>
      <c r="S922" s="3"/>
      <c r="T922" s="3"/>
      <c r="U922" s="3"/>
      <c r="V922" s="3"/>
      <c r="W922" s="3"/>
      <c r="X922" s="3"/>
      <c r="Y922" s="3"/>
      <c r="Z922" s="3"/>
    </row>
    <row r="923" spans="1:26" ht="22.5" customHeight="1" x14ac:dyDescent="0.85">
      <c r="A923" s="166"/>
      <c r="B923" s="167"/>
      <c r="C923" s="167"/>
      <c r="D923" s="147"/>
      <c r="E923" s="147"/>
      <c r="F923" s="147"/>
      <c r="G923" s="147"/>
      <c r="H923" s="147"/>
      <c r="I923" s="147"/>
      <c r="J923" s="147"/>
      <c r="K923" s="3"/>
      <c r="L923" s="3"/>
      <c r="M923" s="3"/>
      <c r="N923" s="3"/>
      <c r="O923" s="3"/>
      <c r="P923" s="3"/>
      <c r="Q923" s="3"/>
      <c r="R923" s="3"/>
      <c r="S923" s="3"/>
      <c r="T923" s="3"/>
      <c r="U923" s="3"/>
      <c r="V923" s="3"/>
      <c r="W923" s="3"/>
      <c r="X923" s="3"/>
      <c r="Y923" s="3"/>
      <c r="Z923" s="3"/>
    </row>
    <row r="924" spans="1:26" ht="22.5" customHeight="1" x14ac:dyDescent="0.85">
      <c r="A924" s="166"/>
      <c r="B924" s="167"/>
      <c r="C924" s="167"/>
      <c r="D924" s="147"/>
      <c r="E924" s="147"/>
      <c r="F924" s="147"/>
      <c r="G924" s="147"/>
      <c r="H924" s="147"/>
      <c r="I924" s="147"/>
      <c r="J924" s="147"/>
      <c r="K924" s="3"/>
      <c r="L924" s="3"/>
      <c r="M924" s="3"/>
      <c r="N924" s="3"/>
      <c r="O924" s="3"/>
      <c r="P924" s="3"/>
      <c r="Q924" s="3"/>
      <c r="R924" s="3"/>
      <c r="S924" s="3"/>
      <c r="T924" s="3"/>
      <c r="U924" s="3"/>
      <c r="V924" s="3"/>
      <c r="W924" s="3"/>
      <c r="X924" s="3"/>
      <c r="Y924" s="3"/>
      <c r="Z924" s="3"/>
    </row>
    <row r="925" spans="1:26" ht="22.5" customHeight="1" x14ac:dyDescent="0.85">
      <c r="A925" s="166"/>
      <c r="B925" s="167"/>
      <c r="C925" s="167"/>
      <c r="D925" s="147"/>
      <c r="E925" s="147"/>
      <c r="F925" s="147"/>
      <c r="G925" s="147"/>
      <c r="H925" s="147"/>
      <c r="I925" s="147"/>
      <c r="J925" s="147"/>
      <c r="K925" s="3"/>
      <c r="L925" s="3"/>
      <c r="M925" s="3"/>
      <c r="N925" s="3"/>
      <c r="O925" s="3"/>
      <c r="P925" s="3"/>
      <c r="Q925" s="3"/>
      <c r="R925" s="3"/>
      <c r="S925" s="3"/>
      <c r="T925" s="3"/>
      <c r="U925" s="3"/>
      <c r="V925" s="3"/>
      <c r="W925" s="3"/>
      <c r="X925" s="3"/>
      <c r="Y925" s="3"/>
      <c r="Z925" s="3"/>
    </row>
    <row r="926" spans="1:26" ht="22.5" customHeight="1" x14ac:dyDescent="0.85">
      <c r="A926" s="166"/>
      <c r="B926" s="167"/>
      <c r="C926" s="167"/>
      <c r="D926" s="147"/>
      <c r="E926" s="147"/>
      <c r="F926" s="147"/>
      <c r="G926" s="147"/>
      <c r="H926" s="147"/>
      <c r="I926" s="147"/>
      <c r="J926" s="147"/>
      <c r="K926" s="3"/>
      <c r="L926" s="3"/>
      <c r="M926" s="3"/>
      <c r="N926" s="3"/>
      <c r="O926" s="3"/>
      <c r="P926" s="3"/>
      <c r="Q926" s="3"/>
      <c r="R926" s="3"/>
      <c r="S926" s="3"/>
      <c r="T926" s="3"/>
      <c r="U926" s="3"/>
      <c r="V926" s="3"/>
      <c r="W926" s="3"/>
      <c r="X926" s="3"/>
      <c r="Y926" s="3"/>
      <c r="Z926" s="3"/>
    </row>
    <row r="927" spans="1:26" ht="22.5" customHeight="1" x14ac:dyDescent="0.85">
      <c r="A927" s="166"/>
      <c r="B927" s="167"/>
      <c r="C927" s="167"/>
      <c r="D927" s="147"/>
      <c r="E927" s="147"/>
      <c r="F927" s="147"/>
      <c r="G927" s="147"/>
      <c r="H927" s="147"/>
      <c r="I927" s="147"/>
      <c r="J927" s="147"/>
      <c r="K927" s="3"/>
      <c r="L927" s="3"/>
      <c r="M927" s="3"/>
      <c r="N927" s="3"/>
      <c r="O927" s="3"/>
      <c r="P927" s="3"/>
      <c r="Q927" s="3"/>
      <c r="R927" s="3"/>
      <c r="S927" s="3"/>
      <c r="T927" s="3"/>
      <c r="U927" s="3"/>
      <c r="V927" s="3"/>
      <c r="W927" s="3"/>
      <c r="X927" s="3"/>
      <c r="Y927" s="3"/>
      <c r="Z927" s="3"/>
    </row>
    <row r="928" spans="1:26" ht="22.5" customHeight="1" x14ac:dyDescent="0.85">
      <c r="A928" s="166"/>
      <c r="B928" s="167"/>
      <c r="C928" s="167"/>
      <c r="D928" s="147"/>
      <c r="E928" s="147"/>
      <c r="F928" s="147"/>
      <c r="G928" s="147"/>
      <c r="H928" s="147"/>
      <c r="I928" s="147"/>
      <c r="J928" s="147"/>
      <c r="K928" s="3"/>
      <c r="L928" s="3"/>
      <c r="M928" s="3"/>
      <c r="N928" s="3"/>
      <c r="O928" s="3"/>
      <c r="P928" s="3"/>
      <c r="Q928" s="3"/>
      <c r="R928" s="3"/>
      <c r="S928" s="3"/>
      <c r="T928" s="3"/>
      <c r="U928" s="3"/>
      <c r="V928" s="3"/>
      <c r="W928" s="3"/>
      <c r="X928" s="3"/>
      <c r="Y928" s="3"/>
      <c r="Z928" s="3"/>
    </row>
    <row r="929" spans="1:26" ht="22.5" customHeight="1" x14ac:dyDescent="0.85">
      <c r="A929" s="166"/>
      <c r="B929" s="167"/>
      <c r="C929" s="167"/>
      <c r="D929" s="147"/>
      <c r="E929" s="147"/>
      <c r="F929" s="147"/>
      <c r="G929" s="147"/>
      <c r="H929" s="147"/>
      <c r="I929" s="147"/>
      <c r="J929" s="147"/>
      <c r="K929" s="3"/>
      <c r="L929" s="3"/>
      <c r="M929" s="3"/>
      <c r="N929" s="3"/>
      <c r="O929" s="3"/>
      <c r="P929" s="3"/>
      <c r="Q929" s="3"/>
      <c r="R929" s="3"/>
      <c r="S929" s="3"/>
      <c r="T929" s="3"/>
      <c r="U929" s="3"/>
      <c r="V929" s="3"/>
      <c r="W929" s="3"/>
      <c r="X929" s="3"/>
      <c r="Y929" s="3"/>
      <c r="Z929" s="3"/>
    </row>
    <row r="930" spans="1:26" ht="22.5" customHeight="1" x14ac:dyDescent="0.85">
      <c r="A930" s="166"/>
      <c r="B930" s="167"/>
      <c r="C930" s="167"/>
      <c r="D930" s="147"/>
      <c r="E930" s="147"/>
      <c r="F930" s="147"/>
      <c r="G930" s="147"/>
      <c r="H930" s="147"/>
      <c r="I930" s="147"/>
      <c r="J930" s="147"/>
      <c r="K930" s="3"/>
      <c r="L930" s="3"/>
      <c r="M930" s="3"/>
      <c r="N930" s="3"/>
      <c r="O930" s="3"/>
      <c r="P930" s="3"/>
      <c r="Q930" s="3"/>
      <c r="R930" s="3"/>
      <c r="S930" s="3"/>
      <c r="T930" s="3"/>
      <c r="U930" s="3"/>
      <c r="V930" s="3"/>
      <c r="W930" s="3"/>
      <c r="X930" s="3"/>
      <c r="Y930" s="3"/>
      <c r="Z930" s="3"/>
    </row>
    <row r="931" spans="1:26" ht="22.5" customHeight="1" x14ac:dyDescent="0.85">
      <c r="A931" s="166"/>
      <c r="B931" s="167"/>
      <c r="C931" s="167"/>
      <c r="D931" s="147"/>
      <c r="E931" s="147"/>
      <c r="F931" s="147"/>
      <c r="G931" s="147"/>
      <c r="H931" s="147"/>
      <c r="I931" s="147"/>
      <c r="J931" s="147"/>
      <c r="K931" s="3"/>
      <c r="L931" s="3"/>
      <c r="M931" s="3"/>
      <c r="N931" s="3"/>
      <c r="O931" s="3"/>
      <c r="P931" s="3"/>
      <c r="Q931" s="3"/>
      <c r="R931" s="3"/>
      <c r="S931" s="3"/>
      <c r="T931" s="3"/>
      <c r="U931" s="3"/>
      <c r="V931" s="3"/>
      <c r="W931" s="3"/>
      <c r="X931" s="3"/>
      <c r="Y931" s="3"/>
      <c r="Z931" s="3"/>
    </row>
    <row r="932" spans="1:26" ht="22.5" customHeight="1" x14ac:dyDescent="0.85">
      <c r="A932" s="166"/>
      <c r="B932" s="167"/>
      <c r="C932" s="167"/>
      <c r="D932" s="147"/>
      <c r="E932" s="147"/>
      <c r="F932" s="147"/>
      <c r="G932" s="147"/>
      <c r="H932" s="147"/>
      <c r="I932" s="147"/>
      <c r="J932" s="147"/>
      <c r="K932" s="3"/>
      <c r="L932" s="3"/>
      <c r="M932" s="3"/>
      <c r="N932" s="3"/>
      <c r="O932" s="3"/>
      <c r="P932" s="3"/>
      <c r="Q932" s="3"/>
      <c r="R932" s="3"/>
      <c r="S932" s="3"/>
      <c r="T932" s="3"/>
      <c r="U932" s="3"/>
      <c r="V932" s="3"/>
      <c r="W932" s="3"/>
      <c r="X932" s="3"/>
      <c r="Y932" s="3"/>
      <c r="Z932" s="3"/>
    </row>
    <row r="933" spans="1:26" ht="22.5" customHeight="1" x14ac:dyDescent="0.85">
      <c r="A933" s="166"/>
      <c r="B933" s="167"/>
      <c r="C933" s="167"/>
      <c r="D933" s="147"/>
      <c r="E933" s="147"/>
      <c r="F933" s="147"/>
      <c r="G933" s="147"/>
      <c r="H933" s="147"/>
      <c r="I933" s="147"/>
      <c r="J933" s="147"/>
      <c r="K933" s="3"/>
      <c r="L933" s="3"/>
      <c r="M933" s="3"/>
      <c r="N933" s="3"/>
      <c r="O933" s="3"/>
      <c r="P933" s="3"/>
      <c r="Q933" s="3"/>
      <c r="R933" s="3"/>
      <c r="S933" s="3"/>
      <c r="T933" s="3"/>
      <c r="U933" s="3"/>
      <c r="V933" s="3"/>
      <c r="W933" s="3"/>
      <c r="X933" s="3"/>
      <c r="Y933" s="3"/>
      <c r="Z933" s="3"/>
    </row>
    <row r="934" spans="1:26" ht="22.5" customHeight="1" x14ac:dyDescent="0.85">
      <c r="A934" s="166"/>
      <c r="B934" s="167"/>
      <c r="C934" s="167"/>
      <c r="D934" s="147"/>
      <c r="E934" s="147"/>
      <c r="F934" s="147"/>
      <c r="G934" s="147"/>
      <c r="H934" s="147"/>
      <c r="I934" s="147"/>
      <c r="J934" s="147"/>
      <c r="K934" s="3"/>
      <c r="L934" s="3"/>
      <c r="M934" s="3"/>
      <c r="N934" s="3"/>
      <c r="O934" s="3"/>
      <c r="P934" s="3"/>
      <c r="Q934" s="3"/>
      <c r="R934" s="3"/>
      <c r="S934" s="3"/>
      <c r="T934" s="3"/>
      <c r="U934" s="3"/>
      <c r="V934" s="3"/>
      <c r="W934" s="3"/>
      <c r="X934" s="3"/>
      <c r="Y934" s="3"/>
      <c r="Z934" s="3"/>
    </row>
    <row r="935" spans="1:26" ht="22.5" customHeight="1" x14ac:dyDescent="0.85">
      <c r="A935" s="166"/>
      <c r="B935" s="167"/>
      <c r="C935" s="167"/>
      <c r="D935" s="147"/>
      <c r="E935" s="147"/>
      <c r="F935" s="147"/>
      <c r="G935" s="147"/>
      <c r="H935" s="147"/>
      <c r="I935" s="147"/>
      <c r="J935" s="147"/>
      <c r="K935" s="3"/>
      <c r="L935" s="3"/>
      <c r="M935" s="3"/>
      <c r="N935" s="3"/>
      <c r="O935" s="3"/>
      <c r="P935" s="3"/>
      <c r="Q935" s="3"/>
      <c r="R935" s="3"/>
      <c r="S935" s="3"/>
      <c r="T935" s="3"/>
      <c r="U935" s="3"/>
      <c r="V935" s="3"/>
      <c r="W935" s="3"/>
      <c r="X935" s="3"/>
      <c r="Y935" s="3"/>
      <c r="Z935" s="3"/>
    </row>
    <row r="936" spans="1:26" ht="22.5" customHeight="1" x14ac:dyDescent="0.85">
      <c r="A936" s="166"/>
      <c r="B936" s="167"/>
      <c r="C936" s="167"/>
      <c r="D936" s="147"/>
      <c r="E936" s="147"/>
      <c r="F936" s="147"/>
      <c r="G936" s="147"/>
      <c r="H936" s="147"/>
      <c r="I936" s="147"/>
      <c r="J936" s="147"/>
      <c r="K936" s="3"/>
      <c r="L936" s="3"/>
      <c r="M936" s="3"/>
      <c r="N936" s="3"/>
      <c r="O936" s="3"/>
      <c r="P936" s="3"/>
      <c r="Q936" s="3"/>
      <c r="R936" s="3"/>
      <c r="S936" s="3"/>
      <c r="T936" s="3"/>
      <c r="U936" s="3"/>
      <c r="V936" s="3"/>
      <c r="W936" s="3"/>
      <c r="X936" s="3"/>
      <c r="Y936" s="3"/>
      <c r="Z936" s="3"/>
    </row>
    <row r="937" spans="1:26" ht="22.5" customHeight="1" x14ac:dyDescent="0.85">
      <c r="A937" s="166"/>
      <c r="B937" s="167"/>
      <c r="C937" s="167"/>
      <c r="D937" s="147"/>
      <c r="E937" s="147"/>
      <c r="F937" s="147"/>
      <c r="G937" s="147"/>
      <c r="H937" s="147"/>
      <c r="I937" s="147"/>
      <c r="J937" s="147"/>
      <c r="K937" s="3"/>
      <c r="L937" s="3"/>
      <c r="M937" s="3"/>
      <c r="N937" s="3"/>
      <c r="O937" s="3"/>
      <c r="P937" s="3"/>
      <c r="Q937" s="3"/>
      <c r="R937" s="3"/>
      <c r="S937" s="3"/>
      <c r="T937" s="3"/>
      <c r="U937" s="3"/>
      <c r="V937" s="3"/>
      <c r="W937" s="3"/>
      <c r="X937" s="3"/>
      <c r="Y937" s="3"/>
      <c r="Z937" s="3"/>
    </row>
    <row r="938" spans="1:26" ht="22.5" customHeight="1" x14ac:dyDescent="0.85">
      <c r="A938" s="166"/>
      <c r="B938" s="167"/>
      <c r="C938" s="167"/>
      <c r="D938" s="147"/>
      <c r="E938" s="147"/>
      <c r="F938" s="147"/>
      <c r="G938" s="147"/>
      <c r="H938" s="147"/>
      <c r="I938" s="147"/>
      <c r="J938" s="147"/>
      <c r="K938" s="3"/>
      <c r="L938" s="3"/>
      <c r="M938" s="3"/>
      <c r="N938" s="3"/>
      <c r="O938" s="3"/>
      <c r="P938" s="3"/>
      <c r="Q938" s="3"/>
      <c r="R938" s="3"/>
      <c r="S938" s="3"/>
      <c r="T938" s="3"/>
      <c r="U938" s="3"/>
      <c r="V938" s="3"/>
      <c r="W938" s="3"/>
      <c r="X938" s="3"/>
      <c r="Y938" s="3"/>
      <c r="Z938" s="3"/>
    </row>
    <row r="939" spans="1:26" ht="22.5" customHeight="1" x14ac:dyDescent="0.85">
      <c r="A939" s="166"/>
      <c r="B939" s="167"/>
      <c r="C939" s="167"/>
      <c r="D939" s="147"/>
      <c r="E939" s="147"/>
      <c r="F939" s="147"/>
      <c r="G939" s="147"/>
      <c r="H939" s="147"/>
      <c r="I939" s="147"/>
      <c r="J939" s="147"/>
      <c r="K939" s="3"/>
      <c r="L939" s="3"/>
      <c r="M939" s="3"/>
      <c r="N939" s="3"/>
      <c r="O939" s="3"/>
      <c r="P939" s="3"/>
      <c r="Q939" s="3"/>
      <c r="R939" s="3"/>
      <c r="S939" s="3"/>
      <c r="T939" s="3"/>
      <c r="U939" s="3"/>
      <c r="V939" s="3"/>
      <c r="W939" s="3"/>
      <c r="X939" s="3"/>
      <c r="Y939" s="3"/>
      <c r="Z939" s="3"/>
    </row>
    <row r="940" spans="1:26" ht="22.5" customHeight="1" x14ac:dyDescent="0.85">
      <c r="A940" s="166"/>
      <c r="B940" s="167"/>
      <c r="C940" s="167"/>
      <c r="D940" s="147"/>
      <c r="E940" s="147"/>
      <c r="F940" s="147"/>
      <c r="G940" s="147"/>
      <c r="H940" s="147"/>
      <c r="I940" s="147"/>
      <c r="J940" s="147"/>
      <c r="K940" s="3"/>
      <c r="L940" s="3"/>
      <c r="M940" s="3"/>
      <c r="N940" s="3"/>
      <c r="O940" s="3"/>
      <c r="P940" s="3"/>
      <c r="Q940" s="3"/>
      <c r="R940" s="3"/>
      <c r="S940" s="3"/>
      <c r="T940" s="3"/>
      <c r="U940" s="3"/>
      <c r="V940" s="3"/>
      <c r="W940" s="3"/>
      <c r="X940" s="3"/>
      <c r="Y940" s="3"/>
      <c r="Z940" s="3"/>
    </row>
    <row r="941" spans="1:26" ht="22.5" customHeight="1" x14ac:dyDescent="0.85">
      <c r="A941" s="166"/>
      <c r="B941" s="167"/>
      <c r="C941" s="167"/>
      <c r="D941" s="147"/>
      <c r="E941" s="147"/>
      <c r="F941" s="147"/>
      <c r="G941" s="147"/>
      <c r="H941" s="147"/>
      <c r="I941" s="147"/>
      <c r="J941" s="147"/>
      <c r="K941" s="3"/>
      <c r="L941" s="3"/>
      <c r="M941" s="3"/>
      <c r="N941" s="3"/>
      <c r="O941" s="3"/>
      <c r="P941" s="3"/>
      <c r="Q941" s="3"/>
      <c r="R941" s="3"/>
      <c r="S941" s="3"/>
      <c r="T941" s="3"/>
      <c r="U941" s="3"/>
      <c r="V941" s="3"/>
      <c r="W941" s="3"/>
      <c r="X941" s="3"/>
      <c r="Y941" s="3"/>
      <c r="Z941" s="3"/>
    </row>
    <row r="942" spans="1:26" ht="22.5" customHeight="1" x14ac:dyDescent="0.85">
      <c r="A942" s="166"/>
      <c r="B942" s="167"/>
      <c r="C942" s="167"/>
      <c r="D942" s="147"/>
      <c r="E942" s="147"/>
      <c r="F942" s="147"/>
      <c r="G942" s="147"/>
      <c r="H942" s="147"/>
      <c r="I942" s="147"/>
      <c r="J942" s="147"/>
      <c r="K942" s="3"/>
      <c r="L942" s="3"/>
      <c r="M942" s="3"/>
      <c r="N942" s="3"/>
      <c r="O942" s="3"/>
      <c r="P942" s="3"/>
      <c r="Q942" s="3"/>
      <c r="R942" s="3"/>
      <c r="S942" s="3"/>
      <c r="T942" s="3"/>
      <c r="U942" s="3"/>
      <c r="V942" s="3"/>
      <c r="W942" s="3"/>
      <c r="X942" s="3"/>
      <c r="Y942" s="3"/>
      <c r="Z942" s="3"/>
    </row>
    <row r="943" spans="1:26" ht="22.5" customHeight="1" x14ac:dyDescent="0.85">
      <c r="A943" s="166"/>
      <c r="B943" s="167"/>
      <c r="C943" s="167"/>
      <c r="D943" s="147"/>
      <c r="E943" s="147"/>
      <c r="F943" s="147"/>
      <c r="G943" s="147"/>
      <c r="H943" s="147"/>
      <c r="I943" s="147"/>
      <c r="J943" s="147"/>
      <c r="K943" s="3"/>
      <c r="L943" s="3"/>
      <c r="M943" s="3"/>
      <c r="N943" s="3"/>
      <c r="O943" s="3"/>
      <c r="P943" s="3"/>
      <c r="Q943" s="3"/>
      <c r="R943" s="3"/>
      <c r="S943" s="3"/>
      <c r="T943" s="3"/>
      <c r="U943" s="3"/>
      <c r="V943" s="3"/>
      <c r="W943" s="3"/>
      <c r="X943" s="3"/>
      <c r="Y943" s="3"/>
      <c r="Z943" s="3"/>
    </row>
    <row r="944" spans="1:26" ht="22.5" customHeight="1" x14ac:dyDescent="0.85">
      <c r="A944" s="166"/>
      <c r="B944" s="167"/>
      <c r="C944" s="167"/>
      <c r="D944" s="147"/>
      <c r="E944" s="147"/>
      <c r="F944" s="147"/>
      <c r="G944" s="147"/>
      <c r="H944" s="147"/>
      <c r="I944" s="147"/>
      <c r="J944" s="147"/>
      <c r="K944" s="3"/>
      <c r="L944" s="3"/>
      <c r="M944" s="3"/>
      <c r="N944" s="3"/>
      <c r="O944" s="3"/>
      <c r="P944" s="3"/>
      <c r="Q944" s="3"/>
      <c r="R944" s="3"/>
      <c r="S944" s="3"/>
      <c r="T944" s="3"/>
      <c r="U944" s="3"/>
      <c r="V944" s="3"/>
      <c r="W944" s="3"/>
      <c r="X944" s="3"/>
      <c r="Y944" s="3"/>
      <c r="Z944" s="3"/>
    </row>
    <row r="945" spans="1:26" ht="22.5" customHeight="1" x14ac:dyDescent="0.85">
      <c r="A945" s="166"/>
      <c r="B945" s="167"/>
      <c r="C945" s="167"/>
      <c r="D945" s="147"/>
      <c r="E945" s="147"/>
      <c r="F945" s="147"/>
      <c r="G945" s="147"/>
      <c r="H945" s="147"/>
      <c r="I945" s="147"/>
      <c r="J945" s="147"/>
      <c r="K945" s="3"/>
      <c r="L945" s="3"/>
      <c r="M945" s="3"/>
      <c r="N945" s="3"/>
      <c r="O945" s="3"/>
      <c r="P945" s="3"/>
      <c r="Q945" s="3"/>
      <c r="R945" s="3"/>
      <c r="S945" s="3"/>
      <c r="T945" s="3"/>
      <c r="U945" s="3"/>
      <c r="V945" s="3"/>
      <c r="W945" s="3"/>
      <c r="X945" s="3"/>
      <c r="Y945" s="3"/>
      <c r="Z945" s="3"/>
    </row>
    <row r="946" spans="1:26" ht="22.5" customHeight="1" x14ac:dyDescent="0.85">
      <c r="A946" s="166"/>
      <c r="B946" s="167"/>
      <c r="C946" s="167"/>
      <c r="D946" s="147"/>
      <c r="E946" s="147"/>
      <c r="F946" s="147"/>
      <c r="G946" s="147"/>
      <c r="H946" s="147"/>
      <c r="I946" s="147"/>
      <c r="J946" s="147"/>
      <c r="K946" s="3"/>
      <c r="L946" s="3"/>
      <c r="M946" s="3"/>
      <c r="N946" s="3"/>
      <c r="O946" s="3"/>
      <c r="P946" s="3"/>
      <c r="Q946" s="3"/>
      <c r="R946" s="3"/>
      <c r="S946" s="3"/>
      <c r="T946" s="3"/>
      <c r="U946" s="3"/>
      <c r="V946" s="3"/>
      <c r="W946" s="3"/>
      <c r="X946" s="3"/>
      <c r="Y946" s="3"/>
      <c r="Z946" s="3"/>
    </row>
    <row r="947" spans="1:26" ht="22.5" customHeight="1" x14ac:dyDescent="0.85">
      <c r="A947" s="166"/>
      <c r="B947" s="167"/>
      <c r="C947" s="167"/>
      <c r="D947" s="147"/>
      <c r="E947" s="147"/>
      <c r="F947" s="147"/>
      <c r="G947" s="147"/>
      <c r="H947" s="147"/>
      <c r="I947" s="147"/>
      <c r="J947" s="147"/>
      <c r="K947" s="3"/>
      <c r="L947" s="3"/>
      <c r="M947" s="3"/>
      <c r="N947" s="3"/>
      <c r="O947" s="3"/>
      <c r="P947" s="3"/>
      <c r="Q947" s="3"/>
      <c r="R947" s="3"/>
      <c r="S947" s="3"/>
      <c r="T947" s="3"/>
      <c r="U947" s="3"/>
      <c r="V947" s="3"/>
      <c r="W947" s="3"/>
      <c r="X947" s="3"/>
      <c r="Y947" s="3"/>
      <c r="Z947" s="3"/>
    </row>
    <row r="948" spans="1:26" ht="22.5" customHeight="1" x14ac:dyDescent="0.85">
      <c r="A948" s="166"/>
      <c r="B948" s="167"/>
      <c r="C948" s="167"/>
      <c r="D948" s="147"/>
      <c r="E948" s="147"/>
      <c r="F948" s="147"/>
      <c r="G948" s="147"/>
      <c r="H948" s="147"/>
      <c r="I948" s="147"/>
      <c r="J948" s="147"/>
      <c r="K948" s="3"/>
      <c r="L948" s="3"/>
      <c r="M948" s="3"/>
      <c r="N948" s="3"/>
      <c r="O948" s="3"/>
      <c r="P948" s="3"/>
      <c r="Q948" s="3"/>
      <c r="R948" s="3"/>
      <c r="S948" s="3"/>
      <c r="T948" s="3"/>
      <c r="U948" s="3"/>
      <c r="V948" s="3"/>
      <c r="W948" s="3"/>
      <c r="X948" s="3"/>
      <c r="Y948" s="3"/>
      <c r="Z948" s="3"/>
    </row>
    <row r="949" spans="1:26" ht="22.5" customHeight="1" x14ac:dyDescent="0.85">
      <c r="A949" s="166"/>
      <c r="B949" s="167"/>
      <c r="C949" s="167"/>
      <c r="D949" s="147"/>
      <c r="E949" s="147"/>
      <c r="F949" s="147"/>
      <c r="G949" s="147"/>
      <c r="H949" s="147"/>
      <c r="I949" s="147"/>
      <c r="J949" s="147"/>
      <c r="K949" s="3"/>
      <c r="L949" s="3"/>
      <c r="M949" s="3"/>
      <c r="N949" s="3"/>
      <c r="O949" s="3"/>
      <c r="P949" s="3"/>
      <c r="Q949" s="3"/>
      <c r="R949" s="3"/>
      <c r="S949" s="3"/>
      <c r="T949" s="3"/>
      <c r="U949" s="3"/>
      <c r="V949" s="3"/>
      <c r="W949" s="3"/>
      <c r="X949" s="3"/>
      <c r="Y949" s="3"/>
      <c r="Z949" s="3"/>
    </row>
    <row r="950" spans="1:26" ht="22.5" customHeight="1" x14ac:dyDescent="0.85">
      <c r="A950" s="166"/>
      <c r="B950" s="167"/>
      <c r="C950" s="167"/>
      <c r="D950" s="147"/>
      <c r="E950" s="147"/>
      <c r="F950" s="147"/>
      <c r="G950" s="147"/>
      <c r="H950" s="147"/>
      <c r="I950" s="147"/>
      <c r="J950" s="147"/>
      <c r="K950" s="3"/>
      <c r="L950" s="3"/>
      <c r="M950" s="3"/>
      <c r="N950" s="3"/>
      <c r="O950" s="3"/>
      <c r="P950" s="3"/>
      <c r="Q950" s="3"/>
      <c r="R950" s="3"/>
      <c r="S950" s="3"/>
      <c r="T950" s="3"/>
      <c r="U950" s="3"/>
      <c r="V950" s="3"/>
      <c r="W950" s="3"/>
      <c r="X950" s="3"/>
      <c r="Y950" s="3"/>
      <c r="Z950" s="3"/>
    </row>
    <row r="951" spans="1:26" ht="22.5" customHeight="1" x14ac:dyDescent="0.85">
      <c r="A951" s="166"/>
      <c r="B951" s="167"/>
      <c r="C951" s="167"/>
      <c r="D951" s="147"/>
      <c r="E951" s="147"/>
      <c r="F951" s="147"/>
      <c r="G951" s="147"/>
      <c r="H951" s="147"/>
      <c r="I951" s="147"/>
      <c r="J951" s="147"/>
      <c r="K951" s="3"/>
      <c r="L951" s="3"/>
      <c r="M951" s="3"/>
      <c r="N951" s="3"/>
      <c r="O951" s="3"/>
      <c r="P951" s="3"/>
      <c r="Q951" s="3"/>
      <c r="R951" s="3"/>
      <c r="S951" s="3"/>
      <c r="T951" s="3"/>
      <c r="U951" s="3"/>
      <c r="V951" s="3"/>
      <c r="W951" s="3"/>
      <c r="X951" s="3"/>
      <c r="Y951" s="3"/>
      <c r="Z951" s="3"/>
    </row>
    <row r="952" spans="1:26" ht="22.5" customHeight="1" x14ac:dyDescent="0.85">
      <c r="A952" s="166"/>
      <c r="B952" s="167"/>
      <c r="C952" s="167"/>
      <c r="D952" s="147"/>
      <c r="E952" s="147"/>
      <c r="F952" s="147"/>
      <c r="G952" s="147"/>
      <c r="H952" s="147"/>
      <c r="I952" s="147"/>
      <c r="J952" s="147"/>
      <c r="K952" s="3"/>
      <c r="L952" s="3"/>
      <c r="M952" s="3"/>
      <c r="N952" s="3"/>
      <c r="O952" s="3"/>
      <c r="P952" s="3"/>
      <c r="Q952" s="3"/>
      <c r="R952" s="3"/>
      <c r="S952" s="3"/>
      <c r="T952" s="3"/>
      <c r="U952" s="3"/>
      <c r="V952" s="3"/>
      <c r="W952" s="3"/>
      <c r="X952" s="3"/>
      <c r="Y952" s="3"/>
      <c r="Z952" s="3"/>
    </row>
    <row r="953" spans="1:26" ht="22.5" customHeight="1" x14ac:dyDescent="0.85">
      <c r="A953" s="166"/>
      <c r="B953" s="167"/>
      <c r="C953" s="167"/>
      <c r="D953" s="147"/>
      <c r="E953" s="147"/>
      <c r="F953" s="147"/>
      <c r="G953" s="147"/>
      <c r="H953" s="147"/>
      <c r="I953" s="147"/>
      <c r="J953" s="147"/>
      <c r="K953" s="3"/>
      <c r="L953" s="3"/>
      <c r="M953" s="3"/>
      <c r="N953" s="3"/>
      <c r="O953" s="3"/>
      <c r="P953" s="3"/>
      <c r="Q953" s="3"/>
      <c r="R953" s="3"/>
      <c r="S953" s="3"/>
      <c r="T953" s="3"/>
      <c r="U953" s="3"/>
      <c r="V953" s="3"/>
      <c r="W953" s="3"/>
      <c r="X953" s="3"/>
      <c r="Y953" s="3"/>
      <c r="Z953" s="3"/>
    </row>
    <row r="954" spans="1:26" ht="22.5" customHeight="1" x14ac:dyDescent="0.85">
      <c r="A954" s="166"/>
      <c r="B954" s="167"/>
      <c r="C954" s="167"/>
      <c r="D954" s="147"/>
      <c r="E954" s="147"/>
      <c r="F954" s="147"/>
      <c r="G954" s="147"/>
      <c r="H954" s="147"/>
      <c r="I954" s="147"/>
      <c r="J954" s="147"/>
      <c r="K954" s="3"/>
      <c r="L954" s="3"/>
      <c r="M954" s="3"/>
      <c r="N954" s="3"/>
      <c r="O954" s="3"/>
      <c r="P954" s="3"/>
      <c r="Q954" s="3"/>
      <c r="R954" s="3"/>
      <c r="S954" s="3"/>
      <c r="T954" s="3"/>
      <c r="U954" s="3"/>
      <c r="V954" s="3"/>
      <c r="W954" s="3"/>
      <c r="X954" s="3"/>
      <c r="Y954" s="3"/>
      <c r="Z954" s="3"/>
    </row>
    <row r="955" spans="1:26" ht="22.5" customHeight="1" x14ac:dyDescent="0.85">
      <c r="A955" s="166"/>
      <c r="B955" s="167"/>
      <c r="C955" s="167"/>
      <c r="D955" s="147"/>
      <c r="E955" s="147"/>
      <c r="F955" s="147"/>
      <c r="G955" s="147"/>
      <c r="H955" s="147"/>
      <c r="I955" s="147"/>
      <c r="J955" s="147"/>
      <c r="K955" s="3"/>
      <c r="L955" s="3"/>
      <c r="M955" s="3"/>
      <c r="N955" s="3"/>
      <c r="O955" s="3"/>
      <c r="P955" s="3"/>
      <c r="Q955" s="3"/>
      <c r="R955" s="3"/>
      <c r="S955" s="3"/>
      <c r="T955" s="3"/>
      <c r="U955" s="3"/>
      <c r="V955" s="3"/>
      <c r="W955" s="3"/>
      <c r="X955" s="3"/>
      <c r="Y955" s="3"/>
      <c r="Z955" s="3"/>
    </row>
    <row r="956" spans="1:26" ht="22.5" customHeight="1" x14ac:dyDescent="0.85">
      <c r="A956" s="166"/>
      <c r="B956" s="167"/>
      <c r="C956" s="167"/>
      <c r="D956" s="147"/>
      <c r="E956" s="147"/>
      <c r="F956" s="147"/>
      <c r="G956" s="147"/>
      <c r="H956" s="147"/>
      <c r="I956" s="147"/>
      <c r="J956" s="147"/>
      <c r="K956" s="3"/>
      <c r="L956" s="3"/>
      <c r="M956" s="3"/>
      <c r="N956" s="3"/>
      <c r="O956" s="3"/>
      <c r="P956" s="3"/>
      <c r="Q956" s="3"/>
      <c r="R956" s="3"/>
      <c r="S956" s="3"/>
      <c r="T956" s="3"/>
      <c r="U956" s="3"/>
      <c r="V956" s="3"/>
      <c r="W956" s="3"/>
      <c r="X956" s="3"/>
      <c r="Y956" s="3"/>
      <c r="Z956" s="3"/>
    </row>
    <row r="957" spans="1:26" ht="22.5" customHeight="1" x14ac:dyDescent="0.85">
      <c r="A957" s="166"/>
      <c r="B957" s="167"/>
      <c r="C957" s="167"/>
      <c r="D957" s="147"/>
      <c r="E957" s="147"/>
      <c r="F957" s="147"/>
      <c r="G957" s="147"/>
      <c r="H957" s="147"/>
      <c r="I957" s="147"/>
      <c r="J957" s="147"/>
      <c r="K957" s="3"/>
      <c r="L957" s="3"/>
      <c r="M957" s="3"/>
      <c r="N957" s="3"/>
      <c r="O957" s="3"/>
      <c r="P957" s="3"/>
      <c r="Q957" s="3"/>
      <c r="R957" s="3"/>
      <c r="S957" s="3"/>
      <c r="T957" s="3"/>
      <c r="U957" s="3"/>
      <c r="V957" s="3"/>
      <c r="W957" s="3"/>
      <c r="X957" s="3"/>
      <c r="Y957" s="3"/>
      <c r="Z957" s="3"/>
    </row>
    <row r="958" spans="1:26" ht="22.5" customHeight="1" x14ac:dyDescent="0.85">
      <c r="A958" s="166"/>
      <c r="B958" s="167"/>
      <c r="C958" s="167"/>
      <c r="D958" s="147"/>
      <c r="E958" s="147"/>
      <c r="F958" s="147"/>
      <c r="G958" s="147"/>
      <c r="H958" s="147"/>
      <c r="I958" s="147"/>
      <c r="J958" s="147"/>
      <c r="K958" s="3"/>
      <c r="L958" s="3"/>
      <c r="M958" s="3"/>
      <c r="N958" s="3"/>
      <c r="O958" s="3"/>
      <c r="P958" s="3"/>
      <c r="Q958" s="3"/>
      <c r="R958" s="3"/>
      <c r="S958" s="3"/>
      <c r="T958" s="3"/>
      <c r="U958" s="3"/>
      <c r="V958" s="3"/>
      <c r="W958" s="3"/>
      <c r="X958" s="3"/>
      <c r="Y958" s="3"/>
      <c r="Z958" s="3"/>
    </row>
    <row r="959" spans="1:26" ht="22.5" customHeight="1" x14ac:dyDescent="0.85">
      <c r="A959" s="166"/>
      <c r="B959" s="167"/>
      <c r="C959" s="167"/>
      <c r="D959" s="147"/>
      <c r="E959" s="147"/>
      <c r="F959" s="147"/>
      <c r="G959" s="147"/>
      <c r="H959" s="147"/>
      <c r="I959" s="147"/>
      <c r="J959" s="147"/>
      <c r="K959" s="3"/>
      <c r="L959" s="3"/>
      <c r="M959" s="3"/>
      <c r="N959" s="3"/>
      <c r="O959" s="3"/>
      <c r="P959" s="3"/>
      <c r="Q959" s="3"/>
      <c r="R959" s="3"/>
      <c r="S959" s="3"/>
      <c r="T959" s="3"/>
      <c r="U959" s="3"/>
      <c r="V959" s="3"/>
      <c r="W959" s="3"/>
      <c r="X959" s="3"/>
      <c r="Y959" s="3"/>
      <c r="Z959" s="3"/>
    </row>
    <row r="960" spans="1:26" ht="22.5" customHeight="1" x14ac:dyDescent="0.85">
      <c r="A960" s="166"/>
      <c r="B960" s="167"/>
      <c r="C960" s="167"/>
      <c r="D960" s="147"/>
      <c r="E960" s="147"/>
      <c r="F960" s="147"/>
      <c r="G960" s="147"/>
      <c r="H960" s="147"/>
      <c r="I960" s="147"/>
      <c r="J960" s="147"/>
      <c r="K960" s="3"/>
      <c r="L960" s="3"/>
      <c r="M960" s="3"/>
      <c r="N960" s="3"/>
      <c r="O960" s="3"/>
      <c r="P960" s="3"/>
      <c r="Q960" s="3"/>
      <c r="R960" s="3"/>
      <c r="S960" s="3"/>
      <c r="T960" s="3"/>
      <c r="U960" s="3"/>
      <c r="V960" s="3"/>
      <c r="W960" s="3"/>
      <c r="X960" s="3"/>
      <c r="Y960" s="3"/>
      <c r="Z960" s="3"/>
    </row>
    <row r="961" spans="1:26" ht="22.5" customHeight="1" x14ac:dyDescent="0.85">
      <c r="A961" s="166"/>
      <c r="B961" s="167"/>
      <c r="C961" s="167"/>
      <c r="D961" s="147"/>
      <c r="E961" s="147"/>
      <c r="F961" s="147"/>
      <c r="G961" s="147"/>
      <c r="H961" s="147"/>
      <c r="I961" s="147"/>
      <c r="J961" s="147"/>
      <c r="K961" s="3"/>
      <c r="L961" s="3"/>
      <c r="M961" s="3"/>
      <c r="N961" s="3"/>
      <c r="O961" s="3"/>
      <c r="P961" s="3"/>
      <c r="Q961" s="3"/>
      <c r="R961" s="3"/>
      <c r="S961" s="3"/>
      <c r="T961" s="3"/>
      <c r="U961" s="3"/>
      <c r="V961" s="3"/>
      <c r="W961" s="3"/>
      <c r="X961" s="3"/>
      <c r="Y961" s="3"/>
      <c r="Z961" s="3"/>
    </row>
    <row r="962" spans="1:26" ht="22.5" customHeight="1" x14ac:dyDescent="0.85">
      <c r="A962" s="166"/>
      <c r="B962" s="167"/>
      <c r="C962" s="167"/>
      <c r="D962" s="147"/>
      <c r="E962" s="147"/>
      <c r="F962" s="147"/>
      <c r="G962" s="147"/>
      <c r="H962" s="147"/>
      <c r="I962" s="147"/>
      <c r="J962" s="147"/>
      <c r="K962" s="3"/>
      <c r="L962" s="3"/>
      <c r="M962" s="3"/>
      <c r="N962" s="3"/>
      <c r="O962" s="3"/>
      <c r="P962" s="3"/>
      <c r="Q962" s="3"/>
      <c r="R962" s="3"/>
      <c r="S962" s="3"/>
      <c r="T962" s="3"/>
      <c r="U962" s="3"/>
      <c r="V962" s="3"/>
      <c r="W962" s="3"/>
      <c r="X962" s="3"/>
      <c r="Y962" s="3"/>
      <c r="Z962" s="3"/>
    </row>
    <row r="963" spans="1:26" ht="22.5" customHeight="1" x14ac:dyDescent="0.85">
      <c r="A963" s="166"/>
      <c r="B963" s="167"/>
      <c r="C963" s="167"/>
      <c r="D963" s="147"/>
      <c r="E963" s="147"/>
      <c r="F963" s="147"/>
      <c r="G963" s="147"/>
      <c r="H963" s="147"/>
      <c r="I963" s="147"/>
      <c r="J963" s="147"/>
      <c r="K963" s="3"/>
      <c r="L963" s="3"/>
      <c r="M963" s="3"/>
      <c r="N963" s="3"/>
      <c r="O963" s="3"/>
      <c r="P963" s="3"/>
      <c r="Q963" s="3"/>
      <c r="R963" s="3"/>
      <c r="S963" s="3"/>
      <c r="T963" s="3"/>
      <c r="U963" s="3"/>
      <c r="V963" s="3"/>
      <c r="W963" s="3"/>
      <c r="X963" s="3"/>
      <c r="Y963" s="3"/>
      <c r="Z963" s="3"/>
    </row>
    <row r="964" spans="1:26" ht="22.5" customHeight="1" x14ac:dyDescent="0.85">
      <c r="A964" s="166"/>
      <c r="B964" s="167"/>
      <c r="C964" s="167"/>
      <c r="D964" s="147"/>
      <c r="E964" s="147"/>
      <c r="F964" s="147"/>
      <c r="G964" s="147"/>
      <c r="H964" s="147"/>
      <c r="I964" s="147"/>
      <c r="J964" s="147"/>
      <c r="K964" s="3"/>
      <c r="L964" s="3"/>
      <c r="M964" s="3"/>
      <c r="N964" s="3"/>
      <c r="O964" s="3"/>
      <c r="P964" s="3"/>
      <c r="Q964" s="3"/>
      <c r="R964" s="3"/>
      <c r="S964" s="3"/>
      <c r="T964" s="3"/>
      <c r="U964" s="3"/>
      <c r="V964" s="3"/>
      <c r="W964" s="3"/>
      <c r="X964" s="3"/>
      <c r="Y964" s="3"/>
      <c r="Z964" s="3"/>
    </row>
    <row r="965" spans="1:26" ht="22.5" customHeight="1" x14ac:dyDescent="0.85">
      <c r="A965" s="166"/>
      <c r="B965" s="167"/>
      <c r="C965" s="167"/>
      <c r="D965" s="147"/>
      <c r="E965" s="147"/>
      <c r="F965" s="147"/>
      <c r="G965" s="147"/>
      <c r="H965" s="147"/>
      <c r="I965" s="147"/>
      <c r="J965" s="147"/>
      <c r="K965" s="3"/>
      <c r="L965" s="3"/>
      <c r="M965" s="3"/>
      <c r="N965" s="3"/>
      <c r="O965" s="3"/>
      <c r="P965" s="3"/>
      <c r="Q965" s="3"/>
      <c r="R965" s="3"/>
      <c r="S965" s="3"/>
      <c r="T965" s="3"/>
      <c r="U965" s="3"/>
      <c r="V965" s="3"/>
      <c r="W965" s="3"/>
      <c r="X965" s="3"/>
      <c r="Y965" s="3"/>
      <c r="Z965" s="3"/>
    </row>
    <row r="966" spans="1:26" ht="22.5" customHeight="1" x14ac:dyDescent="0.85">
      <c r="A966" s="166"/>
      <c r="B966" s="167"/>
      <c r="C966" s="167"/>
      <c r="D966" s="147"/>
      <c r="E966" s="147"/>
      <c r="F966" s="147"/>
      <c r="G966" s="147"/>
      <c r="H966" s="147"/>
      <c r="I966" s="147"/>
      <c r="J966" s="147"/>
      <c r="K966" s="3"/>
      <c r="L966" s="3"/>
      <c r="M966" s="3"/>
      <c r="N966" s="3"/>
      <c r="O966" s="3"/>
      <c r="P966" s="3"/>
      <c r="Q966" s="3"/>
      <c r="R966" s="3"/>
      <c r="S966" s="3"/>
      <c r="T966" s="3"/>
      <c r="U966" s="3"/>
      <c r="V966" s="3"/>
      <c r="W966" s="3"/>
      <c r="X966" s="3"/>
      <c r="Y966" s="3"/>
      <c r="Z966" s="3"/>
    </row>
    <row r="967" spans="1:26" ht="22.5" customHeight="1" x14ac:dyDescent="0.85">
      <c r="A967" s="166"/>
      <c r="B967" s="167"/>
      <c r="C967" s="167"/>
      <c r="D967" s="147"/>
      <c r="E967" s="147"/>
      <c r="F967" s="147"/>
      <c r="G967" s="147"/>
      <c r="H967" s="147"/>
      <c r="I967" s="147"/>
      <c r="J967" s="147"/>
      <c r="K967" s="3"/>
      <c r="L967" s="3"/>
      <c r="M967" s="3"/>
      <c r="N967" s="3"/>
      <c r="O967" s="3"/>
      <c r="P967" s="3"/>
      <c r="Q967" s="3"/>
      <c r="R967" s="3"/>
      <c r="S967" s="3"/>
      <c r="T967" s="3"/>
      <c r="U967" s="3"/>
      <c r="V967" s="3"/>
      <c r="W967" s="3"/>
      <c r="X967" s="3"/>
      <c r="Y967" s="3"/>
      <c r="Z967" s="3"/>
    </row>
    <row r="968" spans="1:26" ht="22.5" customHeight="1" x14ac:dyDescent="0.85">
      <c r="A968" s="166"/>
      <c r="B968" s="167"/>
      <c r="C968" s="167"/>
      <c r="D968" s="147"/>
      <c r="E968" s="147"/>
      <c r="F968" s="147"/>
      <c r="G968" s="147"/>
      <c r="H968" s="147"/>
      <c r="I968" s="147"/>
      <c r="J968" s="147"/>
      <c r="K968" s="3"/>
      <c r="L968" s="3"/>
      <c r="M968" s="3"/>
      <c r="N968" s="3"/>
      <c r="O968" s="3"/>
      <c r="P968" s="3"/>
      <c r="Q968" s="3"/>
      <c r="R968" s="3"/>
      <c r="S968" s="3"/>
      <c r="T968" s="3"/>
      <c r="U968" s="3"/>
      <c r="V968" s="3"/>
      <c r="W968" s="3"/>
      <c r="X968" s="3"/>
      <c r="Y968" s="3"/>
      <c r="Z968" s="3"/>
    </row>
    <row r="969" spans="1:26" ht="22.5" customHeight="1" x14ac:dyDescent="0.85">
      <c r="A969" s="166"/>
      <c r="B969" s="167"/>
      <c r="C969" s="167"/>
      <c r="D969" s="147"/>
      <c r="E969" s="147"/>
      <c r="F969" s="147"/>
      <c r="G969" s="147"/>
      <c r="H969" s="147"/>
      <c r="I969" s="147"/>
      <c r="J969" s="147"/>
      <c r="K969" s="3"/>
      <c r="L969" s="3"/>
      <c r="M969" s="3"/>
      <c r="N969" s="3"/>
      <c r="O969" s="3"/>
      <c r="P969" s="3"/>
      <c r="Q969" s="3"/>
      <c r="R969" s="3"/>
      <c r="S969" s="3"/>
      <c r="T969" s="3"/>
      <c r="U969" s="3"/>
      <c r="V969" s="3"/>
      <c r="W969" s="3"/>
      <c r="X969" s="3"/>
      <c r="Y969" s="3"/>
      <c r="Z969" s="3"/>
    </row>
    <row r="970" spans="1:26" ht="22.5" customHeight="1" x14ac:dyDescent="0.85">
      <c r="A970" s="166"/>
      <c r="B970" s="167"/>
      <c r="C970" s="167"/>
      <c r="D970" s="147"/>
      <c r="E970" s="147"/>
      <c r="F970" s="147"/>
      <c r="G970" s="147"/>
      <c r="H970" s="147"/>
      <c r="I970" s="147"/>
      <c r="J970" s="147"/>
      <c r="K970" s="3"/>
      <c r="L970" s="3"/>
      <c r="M970" s="3"/>
      <c r="N970" s="3"/>
      <c r="O970" s="3"/>
      <c r="P970" s="3"/>
      <c r="Q970" s="3"/>
      <c r="R970" s="3"/>
      <c r="S970" s="3"/>
      <c r="T970" s="3"/>
      <c r="U970" s="3"/>
      <c r="V970" s="3"/>
      <c r="W970" s="3"/>
      <c r="X970" s="3"/>
      <c r="Y970" s="3"/>
      <c r="Z970" s="3"/>
    </row>
    <row r="971" spans="1:26" ht="22.5" customHeight="1" x14ac:dyDescent="0.85">
      <c r="A971" s="166"/>
      <c r="B971" s="167"/>
      <c r="C971" s="167"/>
      <c r="D971" s="147"/>
      <c r="E971" s="147"/>
      <c r="F971" s="147"/>
      <c r="G971" s="147"/>
      <c r="H971" s="147"/>
      <c r="I971" s="147"/>
      <c r="J971" s="147"/>
      <c r="K971" s="3"/>
      <c r="L971" s="3"/>
      <c r="M971" s="3"/>
      <c r="N971" s="3"/>
      <c r="O971" s="3"/>
      <c r="P971" s="3"/>
      <c r="Q971" s="3"/>
      <c r="R971" s="3"/>
      <c r="S971" s="3"/>
      <c r="T971" s="3"/>
      <c r="U971" s="3"/>
      <c r="V971" s="3"/>
      <c r="W971" s="3"/>
      <c r="X971" s="3"/>
      <c r="Y971" s="3"/>
      <c r="Z971" s="3"/>
    </row>
    <row r="972" spans="1:26" ht="22.5" customHeight="1" x14ac:dyDescent="0.85">
      <c r="A972" s="166"/>
      <c r="B972" s="167"/>
      <c r="C972" s="167"/>
      <c r="D972" s="147"/>
      <c r="E972" s="147"/>
      <c r="F972" s="147"/>
      <c r="G972" s="147"/>
      <c r="H972" s="147"/>
      <c r="I972" s="147"/>
      <c r="J972" s="147"/>
      <c r="K972" s="3"/>
      <c r="L972" s="3"/>
      <c r="M972" s="3"/>
      <c r="N972" s="3"/>
      <c r="O972" s="3"/>
      <c r="P972" s="3"/>
      <c r="Q972" s="3"/>
      <c r="R972" s="3"/>
      <c r="S972" s="3"/>
      <c r="T972" s="3"/>
      <c r="U972" s="3"/>
      <c r="V972" s="3"/>
      <c r="W972" s="3"/>
      <c r="X972" s="3"/>
      <c r="Y972" s="3"/>
      <c r="Z972" s="3"/>
    </row>
    <row r="973" spans="1:26" ht="22.5" customHeight="1" x14ac:dyDescent="0.85">
      <c r="A973" s="166"/>
      <c r="B973" s="167"/>
      <c r="C973" s="167"/>
      <c r="D973" s="147"/>
      <c r="E973" s="147"/>
      <c r="F973" s="147"/>
      <c r="G973" s="147"/>
      <c r="H973" s="147"/>
      <c r="I973" s="147"/>
      <c r="J973" s="147"/>
      <c r="K973" s="3"/>
      <c r="L973" s="3"/>
      <c r="M973" s="3"/>
      <c r="N973" s="3"/>
      <c r="O973" s="3"/>
      <c r="P973" s="3"/>
      <c r="Q973" s="3"/>
      <c r="R973" s="3"/>
      <c r="S973" s="3"/>
      <c r="T973" s="3"/>
      <c r="U973" s="3"/>
      <c r="V973" s="3"/>
      <c r="W973" s="3"/>
      <c r="X973" s="3"/>
      <c r="Y973" s="3"/>
      <c r="Z973" s="3"/>
    </row>
    <row r="974" spans="1:26" ht="22.5" customHeight="1" x14ac:dyDescent="0.85">
      <c r="A974" s="166"/>
      <c r="B974" s="167"/>
      <c r="C974" s="167"/>
      <c r="D974" s="147"/>
      <c r="E974" s="147"/>
      <c r="F974" s="147"/>
      <c r="G974" s="147"/>
      <c r="H974" s="147"/>
      <c r="I974" s="147"/>
      <c r="J974" s="147"/>
      <c r="K974" s="3"/>
      <c r="L974" s="3"/>
      <c r="M974" s="3"/>
      <c r="N974" s="3"/>
      <c r="O974" s="3"/>
      <c r="P974" s="3"/>
      <c r="Q974" s="3"/>
      <c r="R974" s="3"/>
      <c r="S974" s="3"/>
      <c r="T974" s="3"/>
      <c r="U974" s="3"/>
      <c r="V974" s="3"/>
      <c r="W974" s="3"/>
      <c r="X974" s="3"/>
      <c r="Y974" s="3"/>
      <c r="Z974" s="3"/>
    </row>
    <row r="975" spans="1:26" ht="22.5" customHeight="1" x14ac:dyDescent="0.85">
      <c r="A975" s="166"/>
      <c r="B975" s="167"/>
      <c r="C975" s="167"/>
      <c r="D975" s="147"/>
      <c r="E975" s="147"/>
      <c r="F975" s="147"/>
      <c r="G975" s="147"/>
      <c r="H975" s="147"/>
      <c r="I975" s="147"/>
      <c r="J975" s="147"/>
      <c r="K975" s="3"/>
      <c r="L975" s="3"/>
      <c r="M975" s="3"/>
      <c r="N975" s="3"/>
      <c r="O975" s="3"/>
      <c r="P975" s="3"/>
      <c r="Q975" s="3"/>
      <c r="R975" s="3"/>
      <c r="S975" s="3"/>
      <c r="T975" s="3"/>
      <c r="U975" s="3"/>
      <c r="V975" s="3"/>
      <c r="W975" s="3"/>
      <c r="X975" s="3"/>
      <c r="Y975" s="3"/>
      <c r="Z975" s="3"/>
    </row>
    <row r="976" spans="1:26" ht="22.5" customHeight="1" x14ac:dyDescent="0.85">
      <c r="A976" s="166"/>
      <c r="B976" s="167"/>
      <c r="C976" s="167"/>
      <c r="D976" s="147"/>
      <c r="E976" s="147"/>
      <c r="F976" s="147"/>
      <c r="G976" s="147"/>
      <c r="H976" s="147"/>
      <c r="I976" s="147"/>
      <c r="J976" s="147"/>
      <c r="K976" s="3"/>
      <c r="L976" s="3"/>
      <c r="M976" s="3"/>
      <c r="N976" s="3"/>
      <c r="O976" s="3"/>
      <c r="P976" s="3"/>
      <c r="Q976" s="3"/>
      <c r="R976" s="3"/>
      <c r="S976" s="3"/>
      <c r="T976" s="3"/>
      <c r="U976" s="3"/>
      <c r="V976" s="3"/>
      <c r="W976" s="3"/>
      <c r="X976" s="3"/>
      <c r="Y976" s="3"/>
      <c r="Z976" s="3"/>
    </row>
    <row r="977" spans="1:26" ht="22.5" customHeight="1" x14ac:dyDescent="0.85">
      <c r="A977" s="166"/>
      <c r="B977" s="167"/>
      <c r="C977" s="167"/>
      <c r="D977" s="147"/>
      <c r="E977" s="147"/>
      <c r="F977" s="147"/>
      <c r="G977" s="147"/>
      <c r="H977" s="147"/>
      <c r="I977" s="147"/>
      <c r="J977" s="147"/>
      <c r="K977" s="3"/>
      <c r="L977" s="3"/>
      <c r="M977" s="3"/>
      <c r="N977" s="3"/>
      <c r="O977" s="3"/>
      <c r="P977" s="3"/>
      <c r="Q977" s="3"/>
      <c r="R977" s="3"/>
      <c r="S977" s="3"/>
      <c r="T977" s="3"/>
      <c r="U977" s="3"/>
      <c r="V977" s="3"/>
      <c r="W977" s="3"/>
      <c r="X977" s="3"/>
      <c r="Y977" s="3"/>
      <c r="Z977" s="3"/>
    </row>
    <row r="978" spans="1:26" ht="22.5" customHeight="1" x14ac:dyDescent="0.85">
      <c r="A978" s="166"/>
      <c r="B978" s="167"/>
      <c r="C978" s="167"/>
      <c r="D978" s="147"/>
      <c r="E978" s="147"/>
      <c r="F978" s="147"/>
      <c r="G978" s="147"/>
      <c r="H978" s="147"/>
      <c r="I978" s="147"/>
      <c r="J978" s="147"/>
      <c r="K978" s="3"/>
      <c r="L978" s="3"/>
      <c r="M978" s="3"/>
      <c r="N978" s="3"/>
      <c r="O978" s="3"/>
      <c r="P978" s="3"/>
      <c r="Q978" s="3"/>
      <c r="R978" s="3"/>
      <c r="S978" s="3"/>
      <c r="T978" s="3"/>
      <c r="U978" s="3"/>
      <c r="V978" s="3"/>
      <c r="W978" s="3"/>
      <c r="X978" s="3"/>
      <c r="Y978" s="3"/>
      <c r="Z978" s="3"/>
    </row>
    <row r="979" spans="1:26" ht="22.5" customHeight="1" x14ac:dyDescent="0.85">
      <c r="A979" s="166"/>
      <c r="B979" s="167"/>
      <c r="C979" s="167"/>
      <c r="D979" s="147"/>
      <c r="E979" s="147"/>
      <c r="F979" s="147"/>
      <c r="G979" s="147"/>
      <c r="H979" s="147"/>
      <c r="I979" s="147"/>
      <c r="J979" s="147"/>
      <c r="K979" s="3"/>
      <c r="L979" s="3"/>
      <c r="M979" s="3"/>
      <c r="N979" s="3"/>
      <c r="O979" s="3"/>
      <c r="P979" s="3"/>
      <c r="Q979" s="3"/>
      <c r="R979" s="3"/>
      <c r="S979" s="3"/>
      <c r="T979" s="3"/>
      <c r="U979" s="3"/>
      <c r="V979" s="3"/>
      <c r="W979" s="3"/>
      <c r="X979" s="3"/>
      <c r="Y979" s="3"/>
      <c r="Z979" s="3"/>
    </row>
    <row r="980" spans="1:26" ht="22.5" customHeight="1" x14ac:dyDescent="0.85">
      <c r="A980" s="166"/>
      <c r="B980" s="167"/>
      <c r="C980" s="167"/>
      <c r="D980" s="147"/>
      <c r="E980" s="147"/>
      <c r="F980" s="147"/>
      <c r="G980" s="147"/>
      <c r="H980" s="147"/>
      <c r="I980" s="147"/>
      <c r="J980" s="147"/>
      <c r="K980" s="3"/>
      <c r="L980" s="3"/>
      <c r="M980" s="3"/>
      <c r="N980" s="3"/>
      <c r="O980" s="3"/>
      <c r="P980" s="3"/>
      <c r="Q980" s="3"/>
      <c r="R980" s="3"/>
      <c r="S980" s="3"/>
      <c r="T980" s="3"/>
      <c r="U980" s="3"/>
      <c r="V980" s="3"/>
      <c r="W980" s="3"/>
      <c r="X980" s="3"/>
      <c r="Y980" s="3"/>
      <c r="Z980" s="3"/>
    </row>
    <row r="981" spans="1:26" ht="22.5" customHeight="1" x14ac:dyDescent="0.85">
      <c r="A981" s="166"/>
      <c r="B981" s="167"/>
      <c r="C981" s="167"/>
      <c r="D981" s="147"/>
      <c r="E981" s="147"/>
      <c r="F981" s="147"/>
      <c r="G981" s="147"/>
      <c r="H981" s="147"/>
      <c r="I981" s="147"/>
      <c r="J981" s="147"/>
      <c r="K981" s="3"/>
      <c r="L981" s="3"/>
      <c r="M981" s="3"/>
      <c r="N981" s="3"/>
      <c r="O981" s="3"/>
      <c r="P981" s="3"/>
      <c r="Q981" s="3"/>
      <c r="R981" s="3"/>
      <c r="S981" s="3"/>
      <c r="T981" s="3"/>
      <c r="U981" s="3"/>
      <c r="V981" s="3"/>
      <c r="W981" s="3"/>
      <c r="X981" s="3"/>
      <c r="Y981" s="3"/>
      <c r="Z981" s="3"/>
    </row>
    <row r="982" spans="1:26" ht="22.5" customHeight="1" x14ac:dyDescent="0.85">
      <c r="A982" s="166"/>
      <c r="B982" s="167"/>
      <c r="C982" s="167"/>
      <c r="D982" s="147"/>
      <c r="E982" s="147"/>
      <c r="F982" s="147"/>
      <c r="G982" s="147"/>
      <c r="H982" s="147"/>
      <c r="I982" s="147"/>
      <c r="J982" s="147"/>
      <c r="K982" s="3"/>
      <c r="L982" s="3"/>
      <c r="M982" s="3"/>
      <c r="N982" s="3"/>
      <c r="O982" s="3"/>
      <c r="P982" s="3"/>
      <c r="Q982" s="3"/>
      <c r="R982" s="3"/>
      <c r="S982" s="3"/>
      <c r="T982" s="3"/>
      <c r="U982" s="3"/>
      <c r="V982" s="3"/>
      <c r="W982" s="3"/>
      <c r="X982" s="3"/>
      <c r="Y982" s="3"/>
      <c r="Z982" s="3"/>
    </row>
    <row r="983" spans="1:26" ht="22.5" customHeight="1" x14ac:dyDescent="0.85">
      <c r="A983" s="166"/>
      <c r="B983" s="167"/>
      <c r="C983" s="167"/>
      <c r="D983" s="147"/>
      <c r="E983" s="147"/>
      <c r="F983" s="147"/>
      <c r="G983" s="147"/>
      <c r="H983" s="147"/>
      <c r="I983" s="147"/>
      <c r="J983" s="147"/>
      <c r="K983" s="3"/>
      <c r="L983" s="3"/>
      <c r="M983" s="3"/>
      <c r="N983" s="3"/>
      <c r="O983" s="3"/>
      <c r="P983" s="3"/>
      <c r="Q983" s="3"/>
      <c r="R983" s="3"/>
      <c r="S983" s="3"/>
      <c r="T983" s="3"/>
      <c r="U983" s="3"/>
      <c r="V983" s="3"/>
      <c r="W983" s="3"/>
      <c r="X983" s="3"/>
      <c r="Y983" s="3"/>
      <c r="Z983" s="3"/>
    </row>
    <row r="984" spans="1:26" ht="22.5" customHeight="1" x14ac:dyDescent="0.85">
      <c r="A984" s="166"/>
      <c r="B984" s="167"/>
      <c r="C984" s="167"/>
      <c r="D984" s="147"/>
      <c r="E984" s="147"/>
      <c r="F984" s="147"/>
      <c r="G984" s="147"/>
      <c r="H984" s="147"/>
      <c r="I984" s="147"/>
      <c r="J984" s="147"/>
      <c r="K984" s="3"/>
      <c r="L984" s="3"/>
      <c r="M984" s="3"/>
      <c r="N984" s="3"/>
      <c r="O984" s="3"/>
      <c r="P984" s="3"/>
      <c r="Q984" s="3"/>
      <c r="R984" s="3"/>
      <c r="S984" s="3"/>
      <c r="T984" s="3"/>
      <c r="U984" s="3"/>
      <c r="V984" s="3"/>
      <c r="W984" s="3"/>
      <c r="X984" s="3"/>
      <c r="Y984" s="3"/>
      <c r="Z984" s="3"/>
    </row>
    <row r="985" spans="1:26" ht="22.5" customHeight="1" x14ac:dyDescent="0.85">
      <c r="A985" s="166"/>
      <c r="B985" s="167"/>
      <c r="C985" s="167"/>
      <c r="D985" s="147"/>
      <c r="E985" s="147"/>
      <c r="F985" s="147"/>
      <c r="G985" s="147"/>
      <c r="H985" s="147"/>
      <c r="I985" s="147"/>
      <c r="J985" s="147"/>
      <c r="K985" s="3"/>
      <c r="L985" s="3"/>
      <c r="M985" s="3"/>
      <c r="N985" s="3"/>
      <c r="O985" s="3"/>
      <c r="P985" s="3"/>
      <c r="Q985" s="3"/>
      <c r="R985" s="3"/>
      <c r="S985" s="3"/>
      <c r="T985" s="3"/>
      <c r="U985" s="3"/>
      <c r="V985" s="3"/>
      <c r="W985" s="3"/>
      <c r="X985" s="3"/>
      <c r="Y985" s="3"/>
      <c r="Z985" s="3"/>
    </row>
    <row r="986" spans="1:26" ht="22.5" customHeight="1" x14ac:dyDescent="0.85">
      <c r="A986" s="166"/>
      <c r="B986" s="167"/>
      <c r="C986" s="167"/>
      <c r="D986" s="147"/>
      <c r="E986" s="147"/>
      <c r="F986" s="147"/>
      <c r="G986" s="147"/>
      <c r="H986" s="147"/>
      <c r="I986" s="147"/>
      <c r="J986" s="147"/>
      <c r="K986" s="3"/>
      <c r="L986" s="3"/>
      <c r="M986" s="3"/>
      <c r="N986" s="3"/>
      <c r="O986" s="3"/>
      <c r="P986" s="3"/>
      <c r="Q986" s="3"/>
      <c r="R986" s="3"/>
      <c r="S986" s="3"/>
      <c r="T986" s="3"/>
      <c r="U986" s="3"/>
      <c r="V986" s="3"/>
      <c r="W986" s="3"/>
      <c r="X986" s="3"/>
      <c r="Y986" s="3"/>
      <c r="Z986" s="3"/>
    </row>
    <row r="987" spans="1:26" ht="22.5" customHeight="1" x14ac:dyDescent="0.85">
      <c r="A987" s="166"/>
      <c r="B987" s="167"/>
      <c r="C987" s="167"/>
      <c r="D987" s="147"/>
      <c r="E987" s="147"/>
      <c r="F987" s="147"/>
      <c r="G987" s="147"/>
      <c r="H987" s="147"/>
      <c r="I987" s="147"/>
      <c r="J987" s="147"/>
      <c r="K987" s="3"/>
      <c r="L987" s="3"/>
      <c r="M987" s="3"/>
      <c r="N987" s="3"/>
      <c r="O987" s="3"/>
      <c r="P987" s="3"/>
      <c r="Q987" s="3"/>
      <c r="R987" s="3"/>
      <c r="S987" s="3"/>
      <c r="T987" s="3"/>
      <c r="U987" s="3"/>
      <c r="V987" s="3"/>
      <c r="W987" s="3"/>
      <c r="X987" s="3"/>
      <c r="Y987" s="3"/>
      <c r="Z987" s="3"/>
    </row>
    <row r="988" spans="1:26" ht="22.5" customHeight="1" x14ac:dyDescent="0.85">
      <c r="A988" s="166"/>
      <c r="B988" s="167"/>
      <c r="C988" s="167"/>
      <c r="D988" s="147"/>
      <c r="E988" s="147"/>
      <c r="F988" s="147"/>
      <c r="G988" s="147"/>
      <c r="H988" s="147"/>
      <c r="I988" s="147"/>
      <c r="J988" s="147"/>
      <c r="K988" s="3"/>
      <c r="L988" s="3"/>
      <c r="M988" s="3"/>
      <c r="N988" s="3"/>
      <c r="O988" s="3"/>
      <c r="P988" s="3"/>
      <c r="Q988" s="3"/>
      <c r="R988" s="3"/>
      <c r="S988" s="3"/>
      <c r="T988" s="3"/>
      <c r="U988" s="3"/>
      <c r="V988" s="3"/>
      <c r="W988" s="3"/>
      <c r="X988" s="3"/>
      <c r="Y988" s="3"/>
      <c r="Z988" s="3"/>
    </row>
    <row r="989" spans="1:26" ht="22.5" customHeight="1" x14ac:dyDescent="0.85">
      <c r="A989" s="166"/>
      <c r="B989" s="167"/>
      <c r="C989" s="167"/>
      <c r="D989" s="147"/>
      <c r="E989" s="147"/>
      <c r="F989" s="147"/>
      <c r="G989" s="147"/>
      <c r="H989" s="147"/>
      <c r="I989" s="147"/>
      <c r="J989" s="147"/>
      <c r="K989" s="3"/>
      <c r="L989" s="3"/>
      <c r="M989" s="3"/>
      <c r="N989" s="3"/>
      <c r="O989" s="3"/>
      <c r="P989" s="3"/>
      <c r="Q989" s="3"/>
      <c r="R989" s="3"/>
      <c r="S989" s="3"/>
      <c r="T989" s="3"/>
      <c r="U989" s="3"/>
      <c r="V989" s="3"/>
      <c r="W989" s="3"/>
      <c r="X989" s="3"/>
      <c r="Y989" s="3"/>
      <c r="Z989" s="3"/>
    </row>
    <row r="990" spans="1:26" ht="22.5" customHeight="1" x14ac:dyDescent="0.85">
      <c r="A990" s="166"/>
      <c r="B990" s="167"/>
      <c r="C990" s="167"/>
      <c r="D990" s="147"/>
      <c r="E990" s="147"/>
      <c r="F990" s="147"/>
      <c r="G990" s="147"/>
      <c r="H990" s="147"/>
      <c r="I990" s="147"/>
      <c r="J990" s="147"/>
      <c r="K990" s="3"/>
      <c r="L990" s="3"/>
      <c r="M990" s="3"/>
      <c r="N990" s="3"/>
      <c r="O990" s="3"/>
      <c r="P990" s="3"/>
      <c r="Q990" s="3"/>
      <c r="R990" s="3"/>
      <c r="S990" s="3"/>
      <c r="T990" s="3"/>
      <c r="U990" s="3"/>
      <c r="V990" s="3"/>
      <c r="W990" s="3"/>
      <c r="X990" s="3"/>
      <c r="Y990" s="3"/>
      <c r="Z990" s="3"/>
    </row>
    <row r="991" spans="1:26" ht="22.5" customHeight="1" x14ac:dyDescent="0.85">
      <c r="A991" s="166"/>
      <c r="B991" s="167"/>
      <c r="C991" s="167"/>
      <c r="D991" s="147"/>
      <c r="E991" s="147"/>
      <c r="F991" s="147"/>
      <c r="G991" s="147"/>
      <c r="H991" s="147"/>
      <c r="I991" s="147"/>
      <c r="J991" s="147"/>
      <c r="K991" s="3"/>
      <c r="L991" s="3"/>
      <c r="M991" s="3"/>
      <c r="N991" s="3"/>
      <c r="O991" s="3"/>
      <c r="P991" s="3"/>
      <c r="Q991" s="3"/>
      <c r="R991" s="3"/>
      <c r="S991" s="3"/>
      <c r="T991" s="3"/>
      <c r="U991" s="3"/>
      <c r="V991" s="3"/>
      <c r="W991" s="3"/>
      <c r="X991" s="3"/>
      <c r="Y991" s="3"/>
      <c r="Z991" s="3"/>
    </row>
    <row r="992" spans="1:26" ht="22.5" customHeight="1" x14ac:dyDescent="0.85">
      <c r="A992" s="166"/>
      <c r="B992" s="167"/>
      <c r="C992" s="167"/>
      <c r="D992" s="147"/>
      <c r="E992" s="147"/>
      <c r="F992" s="147"/>
      <c r="G992" s="147"/>
      <c r="H992" s="147"/>
      <c r="I992" s="147"/>
      <c r="J992" s="147"/>
      <c r="K992" s="3"/>
      <c r="L992" s="3"/>
      <c r="M992" s="3"/>
      <c r="N992" s="3"/>
      <c r="O992" s="3"/>
      <c r="P992" s="3"/>
      <c r="Q992" s="3"/>
      <c r="R992" s="3"/>
      <c r="S992" s="3"/>
      <c r="T992" s="3"/>
      <c r="U992" s="3"/>
      <c r="V992" s="3"/>
      <c r="W992" s="3"/>
      <c r="X992" s="3"/>
      <c r="Y992" s="3"/>
      <c r="Z992" s="3"/>
    </row>
    <row r="993" spans="1:26" ht="22.5" customHeight="1" x14ac:dyDescent="0.85">
      <c r="A993" s="166"/>
      <c r="B993" s="167"/>
      <c r="C993" s="167"/>
      <c r="D993" s="147"/>
      <c r="E993" s="147"/>
      <c r="F993" s="147"/>
      <c r="G993" s="147"/>
      <c r="H993" s="147"/>
      <c r="I993" s="147"/>
      <c r="J993" s="147"/>
      <c r="K993" s="3"/>
      <c r="L993" s="3"/>
      <c r="M993" s="3"/>
      <c r="N993" s="3"/>
      <c r="O993" s="3"/>
      <c r="P993" s="3"/>
      <c r="Q993" s="3"/>
      <c r="R993" s="3"/>
      <c r="S993" s="3"/>
      <c r="T993" s="3"/>
      <c r="U993" s="3"/>
      <c r="V993" s="3"/>
      <c r="W993" s="3"/>
      <c r="X993" s="3"/>
      <c r="Y993" s="3"/>
      <c r="Z993" s="3"/>
    </row>
    <row r="994" spans="1:26" ht="22.5" customHeight="1" x14ac:dyDescent="0.85">
      <c r="A994" s="166"/>
      <c r="B994" s="167"/>
      <c r="C994" s="167"/>
      <c r="D994" s="147"/>
      <c r="E994" s="147"/>
      <c r="F994" s="147"/>
      <c r="G994" s="147"/>
      <c r="H994" s="147"/>
      <c r="I994" s="147"/>
      <c r="J994" s="147"/>
      <c r="K994" s="3"/>
      <c r="L994" s="3"/>
      <c r="M994" s="3"/>
      <c r="N994" s="3"/>
      <c r="O994" s="3"/>
      <c r="P994" s="3"/>
      <c r="Q994" s="3"/>
      <c r="R994" s="3"/>
      <c r="S994" s="3"/>
      <c r="T994" s="3"/>
      <c r="U994" s="3"/>
      <c r="V994" s="3"/>
      <c r="W994" s="3"/>
      <c r="X994" s="3"/>
      <c r="Y994" s="3"/>
      <c r="Z994" s="3"/>
    </row>
    <row r="995" spans="1:26" ht="22.5" customHeight="1" x14ac:dyDescent="0.85">
      <c r="A995" s="166"/>
      <c r="B995" s="167"/>
      <c r="C995" s="167"/>
      <c r="D995" s="147"/>
      <c r="E995" s="147"/>
      <c r="F995" s="147"/>
      <c r="G995" s="147"/>
      <c r="H995" s="147"/>
      <c r="I995" s="147"/>
      <c r="J995" s="147"/>
      <c r="K995" s="3"/>
      <c r="L995" s="3"/>
      <c r="M995" s="3"/>
      <c r="N995" s="3"/>
      <c r="O995" s="3"/>
      <c r="P995" s="3"/>
      <c r="Q995" s="3"/>
      <c r="R995" s="3"/>
      <c r="S995" s="3"/>
      <c r="T995" s="3"/>
      <c r="U995" s="3"/>
      <c r="V995" s="3"/>
      <c r="W995" s="3"/>
      <c r="X995" s="3"/>
      <c r="Y995" s="3"/>
      <c r="Z995" s="3"/>
    </row>
    <row r="996" spans="1:26" ht="22.5" customHeight="1" x14ac:dyDescent="0.85">
      <c r="A996" s="166"/>
      <c r="B996" s="167"/>
      <c r="C996" s="167"/>
      <c r="D996" s="147"/>
      <c r="E996" s="147"/>
      <c r="F996" s="147"/>
      <c r="G996" s="147"/>
      <c r="H996" s="147"/>
      <c r="I996" s="147"/>
      <c r="J996" s="147"/>
      <c r="K996" s="3"/>
      <c r="L996" s="3"/>
      <c r="M996" s="3"/>
      <c r="N996" s="3"/>
      <c r="O996" s="3"/>
      <c r="P996" s="3"/>
      <c r="Q996" s="3"/>
      <c r="R996" s="3"/>
      <c r="S996" s="3"/>
      <c r="T996" s="3"/>
      <c r="U996" s="3"/>
      <c r="V996" s="3"/>
      <c r="W996" s="3"/>
      <c r="X996" s="3"/>
      <c r="Y996" s="3"/>
      <c r="Z996" s="3"/>
    </row>
    <row r="997" spans="1:26" ht="22.5" customHeight="1" x14ac:dyDescent="0.85">
      <c r="A997" s="166"/>
      <c r="B997" s="167"/>
      <c r="C997" s="167"/>
      <c r="D997" s="147"/>
      <c r="E997" s="147"/>
      <c r="F997" s="147"/>
      <c r="G997" s="147"/>
      <c r="H997" s="147"/>
      <c r="I997" s="147"/>
      <c r="J997" s="147"/>
      <c r="K997" s="3"/>
      <c r="L997" s="3"/>
      <c r="M997" s="3"/>
      <c r="N997" s="3"/>
      <c r="O997" s="3"/>
      <c r="P997" s="3"/>
      <c r="Q997" s="3"/>
      <c r="R997" s="3"/>
      <c r="S997" s="3"/>
      <c r="T997" s="3"/>
      <c r="U997" s="3"/>
      <c r="V997" s="3"/>
      <c r="W997" s="3"/>
      <c r="X997" s="3"/>
      <c r="Y997" s="3"/>
      <c r="Z997" s="3"/>
    </row>
    <row r="998" spans="1:26" ht="22.5" customHeight="1" x14ac:dyDescent="0.85">
      <c r="A998" s="166"/>
      <c r="B998" s="167"/>
      <c r="C998" s="167"/>
      <c r="D998" s="147"/>
      <c r="E998" s="147"/>
      <c r="F998" s="147"/>
      <c r="G998" s="147"/>
      <c r="H998" s="147"/>
      <c r="I998" s="147"/>
      <c r="J998" s="147"/>
      <c r="K998" s="3"/>
      <c r="L998" s="3"/>
      <c r="M998" s="3"/>
      <c r="N998" s="3"/>
      <c r="O998" s="3"/>
      <c r="P998" s="3"/>
      <c r="Q998" s="3"/>
      <c r="R998" s="3"/>
      <c r="S998" s="3"/>
      <c r="T998" s="3"/>
      <c r="U998" s="3"/>
      <c r="V998" s="3"/>
      <c r="W998" s="3"/>
      <c r="X998" s="3"/>
      <c r="Y998" s="3"/>
      <c r="Z998" s="3"/>
    </row>
    <row r="999" spans="1:26" ht="22.5" customHeight="1" x14ac:dyDescent="0.85">
      <c r="A999" s="166"/>
      <c r="B999" s="167"/>
      <c r="C999" s="167"/>
      <c r="D999" s="147"/>
      <c r="E999" s="147"/>
      <c r="F999" s="147"/>
      <c r="G999" s="147"/>
      <c r="H999" s="147"/>
      <c r="I999" s="147"/>
      <c r="J999" s="147"/>
      <c r="K999" s="3"/>
      <c r="L999" s="3"/>
      <c r="M999" s="3"/>
      <c r="N999" s="3"/>
      <c r="O999" s="3"/>
      <c r="P999" s="3"/>
      <c r="Q999" s="3"/>
      <c r="R999" s="3"/>
      <c r="S999" s="3"/>
      <c r="T999" s="3"/>
      <c r="U999" s="3"/>
      <c r="V999" s="3"/>
      <c r="W999" s="3"/>
      <c r="X999" s="3"/>
      <c r="Y999" s="3"/>
      <c r="Z999" s="3"/>
    </row>
    <row r="1000" spans="1:26" ht="22.5" customHeight="1" x14ac:dyDescent="0.85">
      <c r="A1000" s="166"/>
      <c r="B1000" s="167"/>
      <c r="C1000" s="167"/>
      <c r="D1000" s="147"/>
      <c r="E1000" s="147"/>
      <c r="F1000" s="147"/>
      <c r="G1000" s="147"/>
      <c r="H1000" s="147"/>
      <c r="I1000" s="147"/>
      <c r="J1000" s="147"/>
      <c r="K1000" s="3"/>
      <c r="L1000" s="3"/>
      <c r="M1000" s="3"/>
      <c r="N1000" s="3"/>
      <c r="O1000" s="3"/>
      <c r="P1000" s="3"/>
      <c r="Q1000" s="3"/>
      <c r="R1000" s="3"/>
      <c r="S1000" s="3"/>
      <c r="T1000" s="3"/>
      <c r="U1000" s="3"/>
      <c r="V1000" s="3"/>
      <c r="W1000" s="3"/>
      <c r="X1000" s="3"/>
      <c r="Y1000" s="3"/>
      <c r="Z1000" s="3"/>
    </row>
  </sheetData>
  <mergeCells count="17">
    <mergeCell ref="A1:M1"/>
    <mergeCell ref="A2:M2"/>
    <mergeCell ref="D3:M3"/>
    <mergeCell ref="D4:M4"/>
    <mergeCell ref="D5:M5"/>
    <mergeCell ref="D6:M6"/>
    <mergeCell ref="D7:M7"/>
    <mergeCell ref="G16:I16"/>
    <mergeCell ref="J16:L16"/>
    <mergeCell ref="A128:A129"/>
    <mergeCell ref="D8:M8"/>
    <mergeCell ref="D9:M9"/>
    <mergeCell ref="D10:M10"/>
    <mergeCell ref="D11:M11"/>
    <mergeCell ref="D12:M13"/>
    <mergeCell ref="A16:C16"/>
    <mergeCell ref="D16:F16"/>
  </mergeCells>
  <pageMargins left="0.7" right="0.7" top="0.75" bottom="0.75" header="0" footer="0"/>
  <pageSetup orientation="portrait"/>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171616"/>
  </sheetPr>
  <dimension ref="A1:Z1000"/>
  <sheetViews>
    <sheetView workbookViewId="0"/>
  </sheetViews>
  <sheetFormatPr defaultColWidth="11.23046875" defaultRowHeight="15" customHeight="1" outlineLevelRow="1" x14ac:dyDescent="0.85"/>
  <cols>
    <col min="1" max="1" width="29.61328125" customWidth="1"/>
    <col min="2" max="2" width="26.23046875" customWidth="1"/>
    <col min="3" max="3" width="29.3828125" customWidth="1"/>
    <col min="4" max="4" width="38.23046875" customWidth="1"/>
    <col min="5" max="5" width="26.3828125" customWidth="1"/>
    <col min="6" max="6" width="55.23046875" customWidth="1"/>
    <col min="7" max="26" width="11" customWidth="1"/>
  </cols>
  <sheetData>
    <row r="1" spans="1:26" ht="19.5" customHeight="1" x14ac:dyDescent="0.85">
      <c r="A1" s="232" t="s">
        <v>513</v>
      </c>
      <c r="B1" s="233"/>
      <c r="C1" s="233"/>
      <c r="D1" s="234"/>
      <c r="E1" s="26"/>
      <c r="F1" s="26"/>
      <c r="G1" s="26"/>
      <c r="H1" s="26"/>
      <c r="I1" s="26"/>
      <c r="J1" s="26"/>
      <c r="K1" s="26"/>
      <c r="L1" s="26"/>
      <c r="M1" s="26"/>
      <c r="N1" s="26"/>
      <c r="O1" s="26"/>
      <c r="P1" s="26"/>
      <c r="Q1" s="26"/>
      <c r="R1" s="26"/>
      <c r="S1" s="26"/>
      <c r="T1" s="26"/>
      <c r="U1" s="26"/>
      <c r="V1" s="26"/>
      <c r="W1" s="26"/>
      <c r="X1" s="26"/>
      <c r="Y1" s="26"/>
      <c r="Z1" s="26"/>
    </row>
    <row r="2" spans="1:26" ht="19.5" customHeight="1" x14ac:dyDescent="1.1000000000000001">
      <c r="A2" s="852" t="s">
        <v>514</v>
      </c>
      <c r="B2" s="813"/>
      <c r="C2" s="813"/>
      <c r="D2" s="814"/>
      <c r="E2" s="26"/>
      <c r="F2" s="26"/>
      <c r="G2" s="26"/>
      <c r="H2" s="26"/>
      <c r="I2" s="26"/>
      <c r="J2" s="26"/>
      <c r="K2" s="26"/>
      <c r="L2" s="26"/>
      <c r="M2" s="26"/>
      <c r="N2" s="26"/>
      <c r="O2" s="26"/>
      <c r="P2" s="26"/>
      <c r="Q2" s="26"/>
      <c r="R2" s="26"/>
      <c r="S2" s="26"/>
      <c r="T2" s="26"/>
      <c r="U2" s="26"/>
      <c r="V2" s="26"/>
      <c r="W2" s="26"/>
      <c r="X2" s="26"/>
      <c r="Y2" s="26"/>
      <c r="Z2" s="26"/>
    </row>
    <row r="3" spans="1:26" ht="19.5" hidden="1" customHeight="1" outlineLevel="1" x14ac:dyDescent="0.85">
      <c r="A3" s="235">
        <v>2204.62</v>
      </c>
      <c r="B3" s="236" t="s">
        <v>515</v>
      </c>
      <c r="C3" s="236">
        <v>1</v>
      </c>
      <c r="D3" s="236" t="s">
        <v>516</v>
      </c>
      <c r="E3" s="26"/>
      <c r="F3" s="26"/>
      <c r="G3" s="26"/>
      <c r="H3" s="26"/>
      <c r="I3" s="26"/>
      <c r="J3" s="26"/>
      <c r="K3" s="26"/>
      <c r="L3" s="26"/>
      <c r="M3" s="26"/>
      <c r="N3" s="26"/>
      <c r="O3" s="26"/>
      <c r="P3" s="26"/>
      <c r="Q3" s="26"/>
      <c r="R3" s="26"/>
      <c r="S3" s="26"/>
      <c r="T3" s="26"/>
      <c r="U3" s="26"/>
      <c r="V3" s="26"/>
      <c r="W3" s="26"/>
      <c r="X3" s="26"/>
      <c r="Y3" s="26"/>
      <c r="Z3" s="26"/>
    </row>
    <row r="4" spans="1:26" ht="19.5" hidden="1" customHeight="1" outlineLevel="1" x14ac:dyDescent="0.85">
      <c r="A4" s="237">
        <v>2000</v>
      </c>
      <c r="B4" s="238" t="s">
        <v>515</v>
      </c>
      <c r="C4" s="238">
        <v>1</v>
      </c>
      <c r="D4" s="238" t="s">
        <v>517</v>
      </c>
      <c r="E4" s="26"/>
      <c r="F4" s="26"/>
      <c r="G4" s="26"/>
      <c r="H4" s="26"/>
      <c r="I4" s="26"/>
      <c r="J4" s="26"/>
      <c r="K4" s="26"/>
      <c r="L4" s="26"/>
      <c r="M4" s="26"/>
      <c r="N4" s="26"/>
      <c r="O4" s="26"/>
      <c r="P4" s="26"/>
      <c r="Q4" s="26"/>
      <c r="R4" s="26"/>
      <c r="S4" s="26"/>
      <c r="T4" s="26"/>
      <c r="U4" s="26"/>
      <c r="V4" s="26"/>
      <c r="W4" s="26"/>
      <c r="X4" s="26"/>
      <c r="Y4" s="26"/>
      <c r="Z4" s="26"/>
    </row>
    <row r="5" spans="1:26" ht="19.5" hidden="1" customHeight="1" outlineLevel="1" x14ac:dyDescent="0.85">
      <c r="A5" s="237">
        <v>1000</v>
      </c>
      <c r="B5" s="238" t="s">
        <v>421</v>
      </c>
      <c r="C5" s="238">
        <v>1</v>
      </c>
      <c r="D5" s="238" t="s">
        <v>476</v>
      </c>
      <c r="E5" s="26"/>
      <c r="F5" s="26"/>
      <c r="G5" s="26"/>
      <c r="H5" s="26"/>
      <c r="I5" s="26"/>
      <c r="J5" s="26"/>
      <c r="K5" s="26"/>
      <c r="L5" s="26"/>
      <c r="M5" s="26"/>
      <c r="N5" s="26"/>
      <c r="O5" s="26"/>
      <c r="P5" s="26"/>
      <c r="Q5" s="26"/>
      <c r="R5" s="26"/>
      <c r="S5" s="26"/>
      <c r="T5" s="26"/>
      <c r="U5" s="26"/>
      <c r="V5" s="26"/>
      <c r="W5" s="26"/>
      <c r="X5" s="26"/>
      <c r="Y5" s="26"/>
      <c r="Z5" s="26"/>
    </row>
    <row r="6" spans="1:26" ht="19.5" hidden="1" customHeight="1" outlineLevel="1" x14ac:dyDescent="0.85">
      <c r="A6" s="237">
        <v>1000</v>
      </c>
      <c r="B6" s="238" t="s">
        <v>476</v>
      </c>
      <c r="C6" s="238">
        <v>2</v>
      </c>
      <c r="D6" s="238" t="s">
        <v>518</v>
      </c>
      <c r="E6" s="26"/>
      <c r="F6" s="26"/>
      <c r="G6" s="26"/>
      <c r="H6" s="26"/>
      <c r="I6" s="26"/>
      <c r="J6" s="26"/>
      <c r="K6" s="26"/>
      <c r="L6" s="26"/>
      <c r="M6" s="26"/>
      <c r="N6" s="26"/>
      <c r="O6" s="26"/>
      <c r="P6" s="26"/>
      <c r="Q6" s="26"/>
      <c r="R6" s="26"/>
      <c r="S6" s="26"/>
      <c r="T6" s="26"/>
      <c r="U6" s="26"/>
      <c r="V6" s="26"/>
      <c r="W6" s="26"/>
      <c r="X6" s="26"/>
      <c r="Y6" s="26"/>
      <c r="Z6" s="26"/>
    </row>
    <row r="7" spans="1:26" ht="19.5" hidden="1" customHeight="1" outlineLevel="1" x14ac:dyDescent="0.85">
      <c r="A7" s="237">
        <v>1000</v>
      </c>
      <c r="B7" s="238" t="s">
        <v>519</v>
      </c>
      <c r="C7" s="238">
        <v>1</v>
      </c>
      <c r="D7" s="238" t="s">
        <v>516</v>
      </c>
      <c r="E7" s="26"/>
      <c r="F7" s="26"/>
      <c r="G7" s="26"/>
      <c r="H7" s="26"/>
      <c r="I7" s="26"/>
      <c r="J7" s="26"/>
      <c r="K7" s="26"/>
      <c r="L7" s="26"/>
      <c r="M7" s="26"/>
      <c r="N7" s="26"/>
      <c r="O7" s="26"/>
      <c r="P7" s="26"/>
      <c r="Q7" s="26"/>
      <c r="R7" s="26"/>
      <c r="S7" s="26"/>
      <c r="T7" s="26"/>
      <c r="U7" s="26"/>
      <c r="V7" s="26"/>
      <c r="W7" s="26"/>
      <c r="X7" s="26"/>
      <c r="Y7" s="26"/>
      <c r="Z7" s="26"/>
    </row>
    <row r="8" spans="1:26" ht="19.5" hidden="1" customHeight="1" outlineLevel="1" x14ac:dyDescent="0.85">
      <c r="A8" s="237">
        <v>1000000</v>
      </c>
      <c r="B8" s="238" t="s">
        <v>520</v>
      </c>
      <c r="C8" s="238">
        <v>1</v>
      </c>
      <c r="D8" s="238" t="s">
        <v>516</v>
      </c>
      <c r="E8" s="26"/>
      <c r="F8" s="26"/>
      <c r="G8" s="26"/>
      <c r="H8" s="26"/>
      <c r="I8" s="26"/>
      <c r="J8" s="26"/>
      <c r="K8" s="26"/>
      <c r="L8" s="26"/>
      <c r="M8" s="26"/>
      <c r="N8" s="26"/>
      <c r="O8" s="26"/>
      <c r="P8" s="26"/>
      <c r="Q8" s="26"/>
      <c r="R8" s="26"/>
      <c r="S8" s="26"/>
      <c r="T8" s="26"/>
      <c r="U8" s="26"/>
      <c r="V8" s="26"/>
      <c r="W8" s="26"/>
      <c r="X8" s="26"/>
      <c r="Y8" s="26"/>
      <c r="Z8" s="26"/>
    </row>
    <row r="9" spans="1:26" ht="19.5" hidden="1" customHeight="1" outlineLevel="1" x14ac:dyDescent="0.85">
      <c r="A9" s="237">
        <v>1</v>
      </c>
      <c r="B9" s="238" t="s">
        <v>519</v>
      </c>
      <c r="C9" s="238">
        <v>2.2050000000000001</v>
      </c>
      <c r="D9" s="238" t="s">
        <v>515</v>
      </c>
      <c r="E9" s="26"/>
      <c r="F9" s="26"/>
      <c r="G9" s="26"/>
      <c r="H9" s="26"/>
      <c r="I9" s="26"/>
      <c r="J9" s="26"/>
      <c r="K9" s="26"/>
      <c r="L9" s="26"/>
      <c r="M9" s="26"/>
      <c r="N9" s="26"/>
      <c r="O9" s="26"/>
      <c r="P9" s="26"/>
      <c r="Q9" s="26"/>
      <c r="R9" s="26"/>
      <c r="S9" s="26"/>
      <c r="T9" s="26"/>
      <c r="U9" s="26"/>
      <c r="V9" s="26"/>
      <c r="W9" s="26"/>
      <c r="X9" s="26"/>
      <c r="Y9" s="26"/>
      <c r="Z9" s="26"/>
    </row>
    <row r="10" spans="1:26" ht="19.5" hidden="1" customHeight="1" outlineLevel="1" x14ac:dyDescent="0.85">
      <c r="A10" s="239">
        <v>1</v>
      </c>
      <c r="B10" s="238" t="s">
        <v>521</v>
      </c>
      <c r="C10" s="238">
        <v>1.038</v>
      </c>
      <c r="D10" s="238" t="s">
        <v>522</v>
      </c>
      <c r="E10" s="26"/>
      <c r="F10" s="26"/>
      <c r="G10" s="26"/>
      <c r="H10" s="26"/>
      <c r="I10" s="26"/>
      <c r="J10" s="26"/>
      <c r="K10" s="26"/>
      <c r="L10" s="26"/>
      <c r="M10" s="26"/>
      <c r="N10" s="26"/>
      <c r="O10" s="26"/>
      <c r="P10" s="26"/>
      <c r="Q10" s="26"/>
      <c r="R10" s="26"/>
      <c r="S10" s="26"/>
      <c r="T10" s="26"/>
      <c r="U10" s="26"/>
      <c r="V10" s="26"/>
      <c r="W10" s="26"/>
      <c r="X10" s="26"/>
      <c r="Y10" s="26"/>
      <c r="Z10" s="26"/>
    </row>
    <row r="11" spans="1:26" ht="19.5" hidden="1" customHeight="1" outlineLevel="1" x14ac:dyDescent="0.85">
      <c r="A11" s="239">
        <v>1</v>
      </c>
      <c r="B11" s="238" t="s">
        <v>523</v>
      </c>
      <c r="C11" s="238">
        <v>1.0280000000000001E-3</v>
      </c>
      <c r="D11" s="238" t="s">
        <v>417</v>
      </c>
      <c r="E11" s="26"/>
      <c r="F11" s="26"/>
      <c r="G11" s="26"/>
      <c r="H11" s="26"/>
      <c r="I11" s="26"/>
      <c r="J11" s="26"/>
      <c r="K11" s="26"/>
      <c r="L11" s="26"/>
      <c r="M11" s="26"/>
      <c r="N11" s="26"/>
      <c r="O11" s="26"/>
      <c r="P11" s="26"/>
      <c r="Q11" s="26"/>
      <c r="R11" s="26"/>
      <c r="S11" s="26"/>
      <c r="T11" s="26"/>
      <c r="U11" s="26"/>
      <c r="V11" s="26"/>
      <c r="W11" s="26"/>
      <c r="X11" s="26"/>
      <c r="Y11" s="26"/>
      <c r="Z11" s="26"/>
    </row>
    <row r="12" spans="1:26" ht="19.5" hidden="1" customHeight="1" outlineLevel="1" x14ac:dyDescent="0.85">
      <c r="A12" s="237">
        <v>99.98</v>
      </c>
      <c r="B12" s="238" t="s">
        <v>524</v>
      </c>
      <c r="C12" s="238">
        <v>1</v>
      </c>
      <c r="D12" s="238" t="s">
        <v>522</v>
      </c>
      <c r="E12" s="26"/>
      <c r="F12" s="26"/>
      <c r="G12" s="26"/>
      <c r="H12" s="26"/>
      <c r="I12" s="26"/>
      <c r="J12" s="26"/>
      <c r="K12" s="26"/>
      <c r="L12" s="26"/>
      <c r="M12" s="26"/>
      <c r="N12" s="26"/>
      <c r="O12" s="26"/>
      <c r="P12" s="26"/>
      <c r="Q12" s="26"/>
      <c r="R12" s="26"/>
      <c r="S12" s="26"/>
      <c r="T12" s="26"/>
      <c r="U12" s="26"/>
      <c r="V12" s="26"/>
      <c r="W12" s="26"/>
      <c r="X12" s="26"/>
      <c r="Y12" s="26"/>
      <c r="Z12" s="26"/>
    </row>
    <row r="13" spans="1:26" ht="19.5" hidden="1" customHeight="1" outlineLevel="1" x14ac:dyDescent="0.85">
      <c r="A13" s="240">
        <v>0.1</v>
      </c>
      <c r="B13" s="238" t="s">
        <v>525</v>
      </c>
      <c r="C13" s="238">
        <v>1</v>
      </c>
      <c r="D13" s="238" t="s">
        <v>522</v>
      </c>
      <c r="E13" s="26"/>
      <c r="F13" s="26"/>
      <c r="G13" s="26"/>
      <c r="H13" s="26"/>
      <c r="I13" s="26"/>
      <c r="J13" s="26"/>
      <c r="K13" s="26"/>
      <c r="L13" s="26"/>
      <c r="M13" s="26"/>
      <c r="N13" s="26"/>
      <c r="O13" s="26"/>
      <c r="P13" s="26"/>
      <c r="Q13" s="26"/>
      <c r="R13" s="26"/>
      <c r="S13" s="26"/>
      <c r="T13" s="26"/>
      <c r="U13" s="26"/>
      <c r="V13" s="26"/>
      <c r="W13" s="26"/>
      <c r="X13" s="26"/>
      <c r="Y13" s="26"/>
      <c r="Z13" s="26"/>
    </row>
    <row r="14" spans="1:26" ht="19.5" hidden="1" customHeight="1" outlineLevel="1" x14ac:dyDescent="0.85">
      <c r="A14" s="240">
        <v>0.13850000000000001</v>
      </c>
      <c r="B14" s="238" t="s">
        <v>526</v>
      </c>
      <c r="C14" s="238">
        <v>1</v>
      </c>
      <c r="D14" s="238" t="s">
        <v>527</v>
      </c>
      <c r="E14" s="26"/>
      <c r="F14" s="26"/>
      <c r="G14" s="26"/>
      <c r="H14" s="26"/>
      <c r="I14" s="26"/>
      <c r="J14" s="26"/>
      <c r="K14" s="26"/>
      <c r="L14" s="26"/>
      <c r="M14" s="26"/>
      <c r="N14" s="26"/>
      <c r="O14" s="26"/>
      <c r="P14" s="26"/>
      <c r="Q14" s="26"/>
      <c r="R14" s="26"/>
      <c r="S14" s="26"/>
      <c r="T14" s="26"/>
      <c r="U14" s="26"/>
      <c r="V14" s="26"/>
      <c r="W14" s="26"/>
      <c r="X14" s="26"/>
      <c r="Y14" s="26"/>
      <c r="Z14" s="26"/>
    </row>
    <row r="15" spans="1:26" ht="19.5" hidden="1" customHeight="1" outlineLevel="1" x14ac:dyDescent="0.85">
      <c r="A15" s="240">
        <v>9.1499999999999998E-2</v>
      </c>
      <c r="B15" s="238" t="s">
        <v>528</v>
      </c>
      <c r="C15" s="238">
        <v>1</v>
      </c>
      <c r="D15" s="238" t="s">
        <v>529</v>
      </c>
      <c r="E15" s="26"/>
      <c r="F15" s="26"/>
      <c r="G15" s="26"/>
      <c r="H15" s="26"/>
      <c r="I15" s="26"/>
      <c r="J15" s="26"/>
      <c r="K15" s="26"/>
      <c r="L15" s="26"/>
      <c r="M15" s="26"/>
      <c r="N15" s="26"/>
      <c r="O15" s="26"/>
      <c r="P15" s="26"/>
      <c r="Q15" s="26"/>
      <c r="R15" s="26"/>
      <c r="S15" s="26"/>
      <c r="T15" s="26"/>
      <c r="U15" s="26"/>
      <c r="V15" s="26"/>
      <c r="W15" s="26"/>
      <c r="X15" s="26"/>
      <c r="Y15" s="26"/>
      <c r="Z15" s="26"/>
    </row>
    <row r="16" spans="1:26" ht="19.5" hidden="1" customHeight="1" outlineLevel="1" x14ac:dyDescent="0.85">
      <c r="A16" s="237">
        <v>1</v>
      </c>
      <c r="B16" s="238" t="s">
        <v>530</v>
      </c>
      <c r="C16" s="238">
        <v>0.40468599999999999</v>
      </c>
      <c r="D16" s="238" t="s">
        <v>531</v>
      </c>
      <c r="E16" s="26"/>
      <c r="F16" s="26"/>
      <c r="G16" s="26"/>
      <c r="H16" s="26"/>
      <c r="I16" s="26"/>
      <c r="J16" s="26"/>
      <c r="K16" s="26"/>
      <c r="L16" s="26"/>
      <c r="M16" s="26"/>
      <c r="N16" s="26"/>
      <c r="O16" s="26"/>
      <c r="P16" s="26"/>
      <c r="Q16" s="26"/>
      <c r="R16" s="26"/>
      <c r="S16" s="26"/>
      <c r="T16" s="26"/>
      <c r="U16" s="26"/>
      <c r="V16" s="26"/>
      <c r="W16" s="26"/>
      <c r="X16" s="26"/>
      <c r="Y16" s="26"/>
      <c r="Z16" s="26"/>
    </row>
    <row r="17" spans="1:26" ht="19.5" hidden="1" customHeight="1" outlineLevel="1" x14ac:dyDescent="0.85">
      <c r="A17" s="237">
        <v>1</v>
      </c>
      <c r="B17" s="238" t="s">
        <v>532</v>
      </c>
      <c r="C17" s="238">
        <v>0.55000000000000004</v>
      </c>
      <c r="D17" s="238" t="s">
        <v>533</v>
      </c>
      <c r="E17" s="26"/>
      <c r="F17" s="26"/>
      <c r="G17" s="26"/>
      <c r="H17" s="26"/>
      <c r="I17" s="26"/>
      <c r="J17" s="26"/>
      <c r="K17" s="26"/>
      <c r="L17" s="26"/>
      <c r="M17" s="26"/>
      <c r="N17" s="26"/>
      <c r="O17" s="26"/>
      <c r="P17" s="26"/>
      <c r="Q17" s="26"/>
      <c r="R17" s="26"/>
      <c r="S17" s="26"/>
      <c r="T17" s="26"/>
      <c r="U17" s="26"/>
      <c r="V17" s="26"/>
      <c r="W17" s="26"/>
      <c r="X17" s="26"/>
      <c r="Y17" s="26"/>
      <c r="Z17" s="26"/>
    </row>
    <row r="18" spans="1:26" ht="19.5" hidden="1" customHeight="1" outlineLevel="1" x14ac:dyDescent="0.85">
      <c r="A18" s="237">
        <v>1000000</v>
      </c>
      <c r="B18" s="238" t="s">
        <v>534</v>
      </c>
      <c r="C18" s="238">
        <v>1</v>
      </c>
      <c r="D18" s="238" t="s">
        <v>417</v>
      </c>
      <c r="E18" s="26"/>
      <c r="F18" s="26"/>
      <c r="G18" s="26"/>
      <c r="H18" s="26"/>
      <c r="I18" s="26"/>
      <c r="J18" s="26"/>
      <c r="K18" s="26"/>
      <c r="L18" s="26"/>
      <c r="M18" s="26"/>
      <c r="N18" s="26"/>
      <c r="O18" s="26"/>
      <c r="P18" s="26"/>
      <c r="Q18" s="26"/>
      <c r="R18" s="26"/>
      <c r="S18" s="26"/>
      <c r="T18" s="26"/>
      <c r="U18" s="26"/>
      <c r="V18" s="26"/>
      <c r="W18" s="26"/>
      <c r="X18" s="26"/>
      <c r="Y18" s="26"/>
      <c r="Z18" s="26"/>
    </row>
    <row r="19" spans="1:26" ht="19.5" hidden="1" customHeight="1" outlineLevel="1" x14ac:dyDescent="0.85">
      <c r="A19" s="237">
        <v>6.01</v>
      </c>
      <c r="B19" s="238" t="s">
        <v>515</v>
      </c>
      <c r="C19" s="238">
        <v>1</v>
      </c>
      <c r="D19" s="238" t="s">
        <v>535</v>
      </c>
      <c r="E19" s="26"/>
      <c r="F19" s="26"/>
      <c r="G19" s="26"/>
      <c r="H19" s="26"/>
      <c r="I19" s="26"/>
      <c r="J19" s="26"/>
      <c r="K19" s="26"/>
      <c r="L19" s="26"/>
      <c r="M19" s="26"/>
      <c r="N19" s="26"/>
      <c r="O19" s="26"/>
      <c r="P19" s="26"/>
      <c r="Q19" s="26"/>
      <c r="R19" s="26"/>
      <c r="S19" s="26"/>
      <c r="T19" s="26"/>
      <c r="U19" s="26"/>
      <c r="V19" s="26"/>
      <c r="W19" s="26"/>
      <c r="X19" s="26"/>
      <c r="Y19" s="26"/>
      <c r="Z19" s="26"/>
    </row>
    <row r="20" spans="1:26" ht="19.5" hidden="1" customHeight="1" outlineLevel="1" x14ac:dyDescent="0.85">
      <c r="A20" s="237">
        <v>6.8</v>
      </c>
      <c r="B20" s="238" t="s">
        <v>515</v>
      </c>
      <c r="C20" s="238">
        <v>1</v>
      </c>
      <c r="D20" s="238" t="s">
        <v>536</v>
      </c>
      <c r="E20" s="26"/>
      <c r="F20" s="26"/>
      <c r="G20" s="26"/>
      <c r="H20" s="26"/>
      <c r="I20" s="26"/>
      <c r="J20" s="26"/>
      <c r="K20" s="26"/>
      <c r="L20" s="26"/>
      <c r="M20" s="26"/>
      <c r="N20" s="26"/>
      <c r="O20" s="26"/>
      <c r="P20" s="26"/>
      <c r="Q20" s="26"/>
      <c r="R20" s="26"/>
      <c r="S20" s="26"/>
      <c r="T20" s="26"/>
      <c r="U20" s="26"/>
      <c r="V20" s="26"/>
      <c r="W20" s="26"/>
      <c r="X20" s="26"/>
      <c r="Y20" s="26"/>
      <c r="Z20" s="26"/>
    </row>
    <row r="21" spans="1:26" ht="19.5" hidden="1" customHeight="1" outlineLevel="1" x14ac:dyDescent="0.85">
      <c r="A21" s="237">
        <v>139.30000000000001</v>
      </c>
      <c r="B21" s="238" t="s">
        <v>537</v>
      </c>
      <c r="C21" s="238">
        <v>1</v>
      </c>
      <c r="D21" s="238" t="s">
        <v>538</v>
      </c>
      <c r="E21" s="26"/>
      <c r="F21" s="26"/>
      <c r="G21" s="26"/>
      <c r="H21" s="26"/>
      <c r="I21" s="26"/>
      <c r="J21" s="26"/>
      <c r="K21" s="26"/>
      <c r="L21" s="26"/>
      <c r="M21" s="26"/>
      <c r="N21" s="26"/>
      <c r="O21" s="26"/>
      <c r="P21" s="26"/>
      <c r="Q21" s="26"/>
      <c r="R21" s="26"/>
      <c r="S21" s="26"/>
      <c r="T21" s="26"/>
      <c r="U21" s="26"/>
      <c r="V21" s="26"/>
      <c r="W21" s="26"/>
      <c r="X21" s="26"/>
      <c r="Y21" s="26"/>
      <c r="Z21" s="26"/>
    </row>
    <row r="22" spans="1:26" ht="19.5" hidden="1" customHeight="1" outlineLevel="1" x14ac:dyDescent="0.85">
      <c r="A22" s="237">
        <v>2.9346999999999999</v>
      </c>
      <c r="B22" s="238" t="s">
        <v>519</v>
      </c>
      <c r="C22" s="238">
        <v>1</v>
      </c>
      <c r="D22" s="238" t="s">
        <v>536</v>
      </c>
      <c r="E22" s="26"/>
      <c r="F22" s="26"/>
      <c r="G22" s="26"/>
      <c r="H22" s="26"/>
      <c r="I22" s="26"/>
      <c r="J22" s="26"/>
      <c r="K22" s="26"/>
      <c r="L22" s="26"/>
      <c r="M22" s="26"/>
      <c r="N22" s="26"/>
      <c r="O22" s="26"/>
      <c r="P22" s="26"/>
      <c r="Q22" s="26"/>
      <c r="R22" s="26"/>
      <c r="S22" s="26"/>
      <c r="T22" s="26"/>
      <c r="U22" s="26"/>
      <c r="V22" s="26"/>
      <c r="W22" s="26"/>
      <c r="X22" s="26"/>
      <c r="Y22" s="26"/>
      <c r="Z22" s="26"/>
    </row>
    <row r="23" spans="1:26" ht="19.5" hidden="1" customHeight="1" outlineLevel="1" x14ac:dyDescent="0.85">
      <c r="A23" s="237">
        <v>1</v>
      </c>
      <c r="B23" s="238" t="s">
        <v>539</v>
      </c>
      <c r="C23" s="238">
        <v>0.88</v>
      </c>
      <c r="D23" s="238" t="s">
        <v>538</v>
      </c>
      <c r="E23" s="26"/>
      <c r="F23" s="26"/>
      <c r="G23" s="26"/>
      <c r="H23" s="26"/>
      <c r="I23" s="26"/>
      <c r="J23" s="26"/>
      <c r="K23" s="26"/>
      <c r="L23" s="26"/>
      <c r="M23" s="26"/>
      <c r="N23" s="26"/>
      <c r="O23" s="26"/>
      <c r="P23" s="26"/>
      <c r="Q23" s="26"/>
      <c r="R23" s="26"/>
      <c r="S23" s="26"/>
      <c r="T23" s="26"/>
      <c r="U23" s="26"/>
      <c r="V23" s="26"/>
      <c r="W23" s="26"/>
      <c r="X23" s="26"/>
      <c r="Y23" s="26"/>
      <c r="Z23" s="26"/>
    </row>
    <row r="24" spans="1:26" ht="19.5" hidden="1" customHeight="1" outlineLevel="1" x14ac:dyDescent="0.85">
      <c r="A24" s="240">
        <v>1</v>
      </c>
      <c r="B24" s="238" t="s">
        <v>540</v>
      </c>
      <c r="C24" s="238">
        <v>350</v>
      </c>
      <c r="D24" s="238" t="s">
        <v>515</v>
      </c>
      <c r="E24" s="26"/>
      <c r="F24" s="26"/>
      <c r="G24" s="26"/>
      <c r="H24" s="26"/>
      <c r="I24" s="26"/>
      <c r="J24" s="26"/>
      <c r="K24" s="26"/>
      <c r="L24" s="26"/>
      <c r="M24" s="26"/>
      <c r="N24" s="26"/>
      <c r="O24" s="26"/>
      <c r="P24" s="26"/>
      <c r="Q24" s="26"/>
      <c r="R24" s="26"/>
      <c r="S24" s="26"/>
      <c r="T24" s="26"/>
      <c r="U24" s="26"/>
      <c r="V24" s="26"/>
      <c r="W24" s="26"/>
      <c r="X24" s="26"/>
      <c r="Y24" s="26"/>
      <c r="Z24" s="26"/>
    </row>
    <row r="25" spans="1:26" ht="19.5" hidden="1" customHeight="1" outlineLevel="1" x14ac:dyDescent="0.85">
      <c r="A25" s="241">
        <v>2.9346999999999999</v>
      </c>
      <c r="B25" s="241" t="s">
        <v>519</v>
      </c>
      <c r="C25" s="241">
        <v>1</v>
      </c>
      <c r="D25" s="238" t="s">
        <v>536</v>
      </c>
      <c r="E25" s="26"/>
      <c r="F25" s="26"/>
      <c r="G25" s="26"/>
      <c r="H25" s="26"/>
      <c r="I25" s="26"/>
      <c r="J25" s="26"/>
      <c r="K25" s="26"/>
      <c r="L25" s="26"/>
      <c r="M25" s="26"/>
      <c r="N25" s="26"/>
      <c r="O25" s="26"/>
      <c r="P25" s="26"/>
      <c r="Q25" s="26"/>
      <c r="R25" s="26"/>
      <c r="S25" s="26"/>
      <c r="T25" s="26"/>
      <c r="U25" s="26"/>
      <c r="V25" s="26"/>
      <c r="W25" s="26"/>
      <c r="X25" s="26"/>
      <c r="Y25" s="26"/>
      <c r="Z25" s="26"/>
    </row>
    <row r="26" spans="1:26" ht="19.5" hidden="1" customHeight="1" outlineLevel="1" x14ac:dyDescent="0.85">
      <c r="A26" s="240">
        <v>0.90718500000000002</v>
      </c>
      <c r="B26" s="238" t="s">
        <v>516</v>
      </c>
      <c r="C26" s="242">
        <v>1</v>
      </c>
      <c r="D26" s="238" t="s">
        <v>517</v>
      </c>
      <c r="E26" s="26"/>
      <c r="F26" s="26"/>
      <c r="G26" s="26"/>
      <c r="H26" s="26"/>
      <c r="I26" s="26"/>
      <c r="J26" s="26"/>
      <c r="K26" s="26"/>
      <c r="L26" s="26"/>
      <c r="M26" s="26"/>
      <c r="N26" s="26"/>
      <c r="O26" s="26"/>
      <c r="P26" s="26"/>
      <c r="Q26" s="26"/>
      <c r="R26" s="26"/>
      <c r="S26" s="26"/>
      <c r="T26" s="26"/>
      <c r="U26" s="26"/>
      <c r="V26" s="26"/>
      <c r="W26" s="26"/>
      <c r="X26" s="26"/>
      <c r="Y26" s="26"/>
      <c r="Z26" s="26"/>
    </row>
    <row r="27" spans="1:26" ht="19.5" hidden="1" customHeight="1" outlineLevel="1" x14ac:dyDescent="0.85">
      <c r="A27" s="240">
        <v>10.7639</v>
      </c>
      <c r="B27" s="238" t="s">
        <v>541</v>
      </c>
      <c r="C27" s="238">
        <v>1</v>
      </c>
      <c r="D27" s="238" t="s">
        <v>542</v>
      </c>
      <c r="E27" s="26"/>
      <c r="F27" s="26"/>
      <c r="G27" s="26"/>
      <c r="H27" s="26"/>
      <c r="I27" s="26"/>
      <c r="J27" s="26"/>
      <c r="K27" s="26"/>
      <c r="L27" s="26"/>
      <c r="M27" s="26"/>
      <c r="N27" s="26"/>
      <c r="O27" s="26"/>
      <c r="P27" s="26"/>
      <c r="Q27" s="26"/>
      <c r="R27" s="26"/>
      <c r="S27" s="26"/>
      <c r="T27" s="26"/>
      <c r="U27" s="26"/>
      <c r="V27" s="26"/>
      <c r="W27" s="26"/>
      <c r="X27" s="26"/>
      <c r="Y27" s="26"/>
      <c r="Z27" s="26"/>
    </row>
    <row r="28" spans="1:26" ht="19.5" customHeight="1" collapsed="1" x14ac:dyDescent="1.1000000000000001">
      <c r="A28" s="853" t="s">
        <v>543</v>
      </c>
      <c r="B28" s="765"/>
      <c r="C28" s="765"/>
      <c r="D28" s="762"/>
      <c r="E28" s="26"/>
      <c r="F28" s="26"/>
      <c r="G28" s="26"/>
      <c r="H28" s="26"/>
      <c r="I28" s="26"/>
      <c r="J28" s="26"/>
      <c r="K28" s="26"/>
      <c r="L28" s="26"/>
      <c r="M28" s="26"/>
      <c r="N28" s="26"/>
      <c r="O28" s="26"/>
      <c r="P28" s="26"/>
      <c r="Q28" s="26"/>
      <c r="R28" s="26"/>
      <c r="S28" s="26"/>
      <c r="T28" s="26"/>
      <c r="U28" s="26"/>
      <c r="V28" s="26"/>
      <c r="W28" s="26"/>
      <c r="X28" s="26"/>
      <c r="Y28" s="26"/>
      <c r="Z28" s="26"/>
    </row>
    <row r="29" spans="1:26" ht="19.5" hidden="1" customHeight="1" outlineLevel="1" x14ac:dyDescent="0.85">
      <c r="A29" s="243" t="s">
        <v>544</v>
      </c>
      <c r="B29" s="243" t="s">
        <v>545</v>
      </c>
      <c r="C29" s="20" t="s">
        <v>546</v>
      </c>
      <c r="D29" s="244" t="s">
        <v>138</v>
      </c>
      <c r="E29" s="26"/>
      <c r="F29" s="26"/>
      <c r="G29" s="26"/>
      <c r="H29" s="26"/>
      <c r="I29" s="26"/>
      <c r="J29" s="26"/>
      <c r="K29" s="26"/>
      <c r="L29" s="26"/>
      <c r="M29" s="26"/>
      <c r="N29" s="26"/>
      <c r="O29" s="26"/>
      <c r="P29" s="26"/>
      <c r="Q29" s="26"/>
      <c r="R29" s="26"/>
      <c r="S29" s="26"/>
      <c r="T29" s="26"/>
      <c r="U29" s="26"/>
      <c r="V29" s="26"/>
      <c r="W29" s="26"/>
      <c r="X29" s="26"/>
      <c r="Y29" s="26"/>
      <c r="Z29" s="26"/>
    </row>
    <row r="30" spans="1:26" ht="20.25" hidden="1" customHeight="1" outlineLevel="1" x14ac:dyDescent="0.85">
      <c r="A30" s="238" t="s">
        <v>547</v>
      </c>
      <c r="B30" s="238" t="s">
        <v>548</v>
      </c>
      <c r="C30" s="238">
        <v>1</v>
      </c>
      <c r="D30" s="854" t="s">
        <v>549</v>
      </c>
      <c r="E30" s="76"/>
      <c r="F30" s="76"/>
      <c r="G30" s="76"/>
      <c r="H30" s="76"/>
      <c r="I30" s="76"/>
      <c r="J30" s="76"/>
      <c r="K30" s="76"/>
      <c r="L30" s="76"/>
      <c r="M30" s="76"/>
      <c r="N30" s="76"/>
      <c r="O30" s="76"/>
      <c r="P30" s="76"/>
      <c r="Q30" s="76"/>
      <c r="R30" s="76"/>
      <c r="S30" s="76"/>
      <c r="T30" s="76"/>
      <c r="U30" s="76"/>
      <c r="V30" s="76"/>
      <c r="W30" s="76"/>
      <c r="X30" s="76"/>
      <c r="Y30" s="76"/>
      <c r="Z30" s="76"/>
    </row>
    <row r="31" spans="1:26" ht="19.5" hidden="1" customHeight="1" outlineLevel="1" x14ac:dyDescent="0.85">
      <c r="A31" s="238" t="s">
        <v>550</v>
      </c>
      <c r="B31" s="238" t="s">
        <v>551</v>
      </c>
      <c r="C31" s="245">
        <v>28</v>
      </c>
      <c r="D31" s="855"/>
      <c r="E31" s="76"/>
      <c r="F31" s="76"/>
      <c r="G31" s="76"/>
      <c r="H31" s="76"/>
      <c r="I31" s="76"/>
      <c r="J31" s="76"/>
      <c r="K31" s="76"/>
      <c r="L31" s="76"/>
      <c r="M31" s="76"/>
      <c r="N31" s="76"/>
      <c r="O31" s="76"/>
      <c r="P31" s="76"/>
      <c r="Q31" s="76"/>
      <c r="R31" s="76"/>
      <c r="S31" s="76"/>
      <c r="T31" s="76"/>
      <c r="U31" s="76"/>
      <c r="V31" s="76"/>
      <c r="W31" s="76"/>
      <c r="X31" s="76"/>
      <c r="Y31" s="76"/>
      <c r="Z31" s="76"/>
    </row>
    <row r="32" spans="1:26" ht="19.5" hidden="1" customHeight="1" outlineLevel="1" x14ac:dyDescent="0.85">
      <c r="A32" s="238" t="s">
        <v>552</v>
      </c>
      <c r="B32" s="246" t="s">
        <v>553</v>
      </c>
      <c r="C32" s="245">
        <v>265</v>
      </c>
      <c r="D32" s="855"/>
      <c r="E32" s="76"/>
      <c r="F32" s="76"/>
      <c r="G32" s="76"/>
      <c r="H32" s="76"/>
      <c r="I32" s="76"/>
      <c r="J32" s="76"/>
      <c r="K32" s="76"/>
      <c r="L32" s="76"/>
      <c r="M32" s="76"/>
      <c r="N32" s="76"/>
      <c r="O32" s="76"/>
      <c r="P32" s="76"/>
      <c r="Q32" s="76"/>
      <c r="R32" s="76"/>
      <c r="S32" s="76"/>
      <c r="T32" s="76"/>
      <c r="U32" s="76"/>
      <c r="V32" s="76"/>
      <c r="W32" s="76"/>
      <c r="X32" s="76"/>
      <c r="Y32" s="76"/>
      <c r="Z32" s="76"/>
    </row>
    <row r="33" spans="1:26" ht="19.5" hidden="1" customHeight="1" outlineLevel="1" x14ac:dyDescent="0.85">
      <c r="A33" s="247" t="s">
        <v>554</v>
      </c>
      <c r="B33" s="247" t="s">
        <v>555</v>
      </c>
      <c r="C33" s="248">
        <v>1300</v>
      </c>
      <c r="D33" s="855"/>
      <c r="E33" s="76"/>
      <c r="F33" s="76"/>
      <c r="G33" s="76"/>
      <c r="H33" s="76"/>
      <c r="I33" s="76"/>
      <c r="J33" s="76"/>
      <c r="K33" s="76"/>
      <c r="L33" s="76"/>
      <c r="M33" s="76"/>
      <c r="N33" s="76"/>
      <c r="O33" s="76"/>
      <c r="P33" s="76"/>
      <c r="Q33" s="76"/>
      <c r="R33" s="76"/>
      <c r="S33" s="76"/>
      <c r="T33" s="76"/>
      <c r="U33" s="76"/>
      <c r="V33" s="76"/>
      <c r="W33" s="76"/>
      <c r="X33" s="76"/>
      <c r="Y33" s="76"/>
      <c r="Z33" s="76"/>
    </row>
    <row r="34" spans="1:26" ht="19.5" hidden="1" customHeight="1" outlineLevel="1" x14ac:dyDescent="0.85">
      <c r="A34" s="247" t="s">
        <v>556</v>
      </c>
      <c r="B34" s="247" t="s">
        <v>557</v>
      </c>
      <c r="C34" s="248">
        <v>6630</v>
      </c>
      <c r="D34" s="855"/>
      <c r="E34" s="76"/>
      <c r="F34" s="76"/>
      <c r="G34" s="76"/>
      <c r="H34" s="76"/>
      <c r="I34" s="76"/>
      <c r="J34" s="76"/>
      <c r="K34" s="76"/>
      <c r="L34" s="76"/>
      <c r="M34" s="76"/>
      <c r="N34" s="76"/>
      <c r="O34" s="76"/>
      <c r="P34" s="76"/>
      <c r="Q34" s="76"/>
      <c r="R34" s="76"/>
      <c r="S34" s="76"/>
      <c r="T34" s="76"/>
      <c r="U34" s="76"/>
      <c r="V34" s="76"/>
      <c r="W34" s="76"/>
      <c r="X34" s="76"/>
      <c r="Y34" s="76"/>
      <c r="Z34" s="76"/>
    </row>
    <row r="35" spans="1:26" ht="19.5" hidden="1" customHeight="1" outlineLevel="1" x14ac:dyDescent="0.85">
      <c r="A35" s="247" t="s">
        <v>558</v>
      </c>
      <c r="B35" s="247" t="s">
        <v>559</v>
      </c>
      <c r="C35" s="248">
        <v>12400</v>
      </c>
      <c r="D35" s="855"/>
      <c r="E35" s="76"/>
      <c r="F35" s="76"/>
      <c r="G35" s="76"/>
      <c r="H35" s="76"/>
      <c r="I35" s="76"/>
      <c r="J35" s="76"/>
      <c r="K35" s="76"/>
      <c r="L35" s="76"/>
      <c r="M35" s="76"/>
      <c r="N35" s="76"/>
      <c r="O35" s="76"/>
      <c r="P35" s="76"/>
      <c r="Q35" s="76"/>
      <c r="R35" s="76"/>
      <c r="S35" s="76"/>
      <c r="T35" s="76"/>
      <c r="U35" s="76"/>
      <c r="V35" s="76"/>
      <c r="W35" s="76"/>
      <c r="X35" s="76"/>
      <c r="Y35" s="76"/>
      <c r="Z35" s="76"/>
    </row>
    <row r="36" spans="1:26" ht="19.5" hidden="1" customHeight="1" outlineLevel="1" x14ac:dyDescent="0.85">
      <c r="A36" s="247" t="s">
        <v>560</v>
      </c>
      <c r="B36" s="247" t="s">
        <v>561</v>
      </c>
      <c r="C36" s="248">
        <v>677</v>
      </c>
      <c r="D36" s="855"/>
      <c r="E36" s="76"/>
      <c r="F36" s="76"/>
      <c r="G36" s="76"/>
      <c r="H36" s="76"/>
      <c r="I36" s="76"/>
      <c r="J36" s="76"/>
      <c r="K36" s="76"/>
      <c r="L36" s="76"/>
      <c r="M36" s="76"/>
      <c r="N36" s="76"/>
      <c r="O36" s="76"/>
      <c r="P36" s="76"/>
      <c r="Q36" s="76"/>
      <c r="R36" s="76"/>
      <c r="S36" s="76"/>
      <c r="T36" s="76"/>
      <c r="U36" s="76"/>
      <c r="V36" s="76"/>
      <c r="W36" s="76"/>
      <c r="X36" s="76"/>
      <c r="Y36" s="76"/>
      <c r="Z36" s="76"/>
    </row>
    <row r="37" spans="1:26" ht="19.5" hidden="1" customHeight="1" outlineLevel="1" x14ac:dyDescent="0.85">
      <c r="A37" s="247" t="s">
        <v>562</v>
      </c>
      <c r="B37" s="247" t="s">
        <v>563</v>
      </c>
      <c r="C37" s="248">
        <v>116</v>
      </c>
      <c r="D37" s="855"/>
      <c r="E37" s="76"/>
      <c r="F37" s="76"/>
      <c r="G37" s="76"/>
      <c r="H37" s="76"/>
      <c r="I37" s="76"/>
      <c r="J37" s="76"/>
      <c r="K37" s="76"/>
      <c r="L37" s="76"/>
      <c r="M37" s="76"/>
      <c r="N37" s="76"/>
      <c r="O37" s="76"/>
      <c r="P37" s="76"/>
      <c r="Q37" s="76"/>
      <c r="R37" s="76"/>
      <c r="S37" s="76"/>
      <c r="T37" s="76"/>
      <c r="U37" s="76"/>
      <c r="V37" s="76"/>
      <c r="W37" s="76"/>
      <c r="X37" s="76"/>
      <c r="Y37" s="76"/>
      <c r="Z37" s="76"/>
    </row>
    <row r="38" spans="1:26" ht="19.5" hidden="1" customHeight="1" outlineLevel="1" x14ac:dyDescent="0.85">
      <c r="A38" s="247" t="s">
        <v>564</v>
      </c>
      <c r="B38" s="247" t="s">
        <v>565</v>
      </c>
      <c r="C38" s="248">
        <v>16100</v>
      </c>
      <c r="D38" s="855"/>
      <c r="E38" s="76"/>
      <c r="F38" s="76"/>
      <c r="G38" s="76"/>
      <c r="H38" s="76"/>
      <c r="I38" s="76"/>
      <c r="J38" s="76"/>
      <c r="K38" s="76"/>
      <c r="L38" s="76"/>
      <c r="M38" s="76"/>
      <c r="N38" s="76"/>
      <c r="O38" s="76"/>
      <c r="P38" s="76"/>
      <c r="Q38" s="76"/>
      <c r="R38" s="76"/>
      <c r="S38" s="76"/>
      <c r="T38" s="76"/>
      <c r="U38" s="76"/>
      <c r="V38" s="76"/>
      <c r="W38" s="76"/>
      <c r="X38" s="76"/>
      <c r="Y38" s="76"/>
      <c r="Z38" s="76"/>
    </row>
    <row r="39" spans="1:26" ht="19.5" hidden="1" customHeight="1" outlineLevel="1" x14ac:dyDescent="0.85">
      <c r="A39" s="247" t="s">
        <v>566</v>
      </c>
      <c r="B39" s="247" t="s">
        <v>567</v>
      </c>
      <c r="C39" s="248">
        <v>23500</v>
      </c>
      <c r="D39" s="855"/>
      <c r="E39" s="76"/>
      <c r="F39" s="76"/>
      <c r="G39" s="76"/>
      <c r="H39" s="76"/>
      <c r="I39" s="76"/>
      <c r="J39" s="76"/>
      <c r="K39" s="76"/>
      <c r="L39" s="76"/>
      <c r="M39" s="76"/>
      <c r="N39" s="76"/>
      <c r="O39" s="76"/>
      <c r="P39" s="76"/>
      <c r="Q39" s="76"/>
      <c r="R39" s="76"/>
      <c r="S39" s="76"/>
      <c r="T39" s="76"/>
      <c r="U39" s="76"/>
      <c r="V39" s="76"/>
      <c r="W39" s="76"/>
      <c r="X39" s="76"/>
      <c r="Y39" s="76"/>
      <c r="Z39" s="76"/>
    </row>
    <row r="40" spans="1:26" ht="19.5" hidden="1" customHeight="1" outlineLevel="1" x14ac:dyDescent="0.85">
      <c r="A40" s="247" t="s">
        <v>568</v>
      </c>
      <c r="B40" s="247" t="s">
        <v>569</v>
      </c>
      <c r="C40" s="248">
        <v>11100</v>
      </c>
      <c r="D40" s="797"/>
      <c r="E40" s="76"/>
      <c r="F40" s="76"/>
      <c r="G40" s="76"/>
      <c r="H40" s="76"/>
      <c r="I40" s="76"/>
      <c r="J40" s="76"/>
      <c r="K40" s="76"/>
      <c r="L40" s="76"/>
      <c r="M40" s="76"/>
      <c r="N40" s="76"/>
      <c r="O40" s="76"/>
      <c r="P40" s="76"/>
      <c r="Q40" s="76"/>
      <c r="R40" s="76"/>
      <c r="S40" s="76"/>
      <c r="T40" s="76"/>
      <c r="U40" s="76"/>
      <c r="V40" s="76"/>
      <c r="W40" s="76"/>
      <c r="X40" s="76"/>
      <c r="Y40" s="76"/>
      <c r="Z40" s="76"/>
    </row>
    <row r="41" spans="1:26" ht="19.5" hidden="1" customHeight="1" outlineLevel="1" x14ac:dyDescent="0.85">
      <c r="A41" s="247" t="s">
        <v>570</v>
      </c>
      <c r="B41" s="247" t="s">
        <v>571</v>
      </c>
      <c r="C41" s="248">
        <v>100</v>
      </c>
      <c r="D41" s="249" t="s">
        <v>572</v>
      </c>
      <c r="E41" s="76"/>
      <c r="F41" s="76"/>
      <c r="G41" s="76"/>
      <c r="H41" s="76"/>
      <c r="I41" s="76"/>
      <c r="J41" s="76"/>
      <c r="K41" s="76"/>
      <c r="L41" s="76"/>
      <c r="M41" s="76"/>
      <c r="N41" s="76"/>
      <c r="O41" s="76"/>
      <c r="P41" s="76"/>
      <c r="Q41" s="76"/>
      <c r="R41" s="76"/>
      <c r="S41" s="76"/>
      <c r="T41" s="76"/>
      <c r="U41" s="76"/>
      <c r="V41" s="76"/>
      <c r="W41" s="76"/>
      <c r="X41" s="76"/>
      <c r="Y41" s="76"/>
      <c r="Z41" s="76"/>
    </row>
    <row r="42" spans="1:26" ht="19.5" hidden="1" customHeight="1" outlineLevel="1" x14ac:dyDescent="0.85">
      <c r="A42" s="247" t="s">
        <v>573</v>
      </c>
      <c r="B42" s="247" t="s">
        <v>574</v>
      </c>
      <c r="C42" s="248">
        <v>6000</v>
      </c>
      <c r="D42" s="249" t="s">
        <v>575</v>
      </c>
      <c r="E42" s="76"/>
      <c r="F42" s="76"/>
      <c r="G42" s="76"/>
      <c r="H42" s="76"/>
      <c r="I42" s="76"/>
      <c r="J42" s="76"/>
      <c r="K42" s="76"/>
      <c r="L42" s="76"/>
      <c r="M42" s="76"/>
      <c r="N42" s="76"/>
      <c r="O42" s="76"/>
      <c r="P42" s="76"/>
      <c r="Q42" s="76"/>
      <c r="R42" s="76"/>
      <c r="S42" s="76"/>
      <c r="T42" s="76"/>
      <c r="U42" s="76"/>
      <c r="V42" s="76"/>
      <c r="W42" s="76"/>
      <c r="X42" s="76"/>
      <c r="Y42" s="76"/>
      <c r="Z42" s="76"/>
    </row>
    <row r="43" spans="1:26" ht="19.5" hidden="1" customHeight="1" outlineLevel="1" x14ac:dyDescent="0.85">
      <c r="A43" s="247" t="s">
        <v>576</v>
      </c>
      <c r="B43" s="247" t="s">
        <v>576</v>
      </c>
      <c r="C43" s="248">
        <v>3</v>
      </c>
      <c r="D43" s="249" t="s">
        <v>577</v>
      </c>
      <c r="E43" s="76"/>
      <c r="F43" s="76"/>
      <c r="G43" s="76"/>
      <c r="H43" s="76"/>
      <c r="I43" s="76"/>
      <c r="J43" s="76"/>
      <c r="K43" s="76"/>
      <c r="L43" s="76"/>
      <c r="M43" s="76"/>
      <c r="N43" s="76"/>
      <c r="O43" s="76"/>
      <c r="P43" s="76"/>
      <c r="Q43" s="76"/>
      <c r="R43" s="76"/>
      <c r="S43" s="76"/>
      <c r="T43" s="76"/>
      <c r="U43" s="76"/>
      <c r="V43" s="76"/>
      <c r="W43" s="76"/>
      <c r="X43" s="76"/>
      <c r="Y43" s="76"/>
      <c r="Z43" s="76"/>
    </row>
    <row r="44" spans="1:26" ht="19.5" hidden="1" customHeight="1" outlineLevel="1" x14ac:dyDescent="0.85">
      <c r="A44" s="247" t="s">
        <v>578</v>
      </c>
      <c r="B44" s="247" t="s">
        <v>579</v>
      </c>
      <c r="C44" s="248">
        <v>1923.5</v>
      </c>
      <c r="D44" s="250" t="s">
        <v>580</v>
      </c>
      <c r="E44" s="251"/>
      <c r="F44" s="26"/>
      <c r="G44" s="26"/>
      <c r="H44" s="26"/>
      <c r="I44" s="26"/>
      <c r="J44" s="26"/>
      <c r="K44" s="26"/>
      <c r="L44" s="26"/>
      <c r="M44" s="26"/>
      <c r="N44" s="26"/>
      <c r="O44" s="26"/>
      <c r="P44" s="26"/>
      <c r="Q44" s="26"/>
      <c r="R44" s="26"/>
      <c r="S44" s="26"/>
      <c r="T44" s="26"/>
      <c r="U44" s="26"/>
      <c r="V44" s="26"/>
      <c r="W44" s="26"/>
      <c r="X44" s="26"/>
      <c r="Y44" s="26"/>
      <c r="Z44" s="26"/>
    </row>
    <row r="45" spans="1:26" ht="19.5" hidden="1" customHeight="1" outlineLevel="1" x14ac:dyDescent="0.85">
      <c r="A45" s="26"/>
      <c r="B45" s="26"/>
      <c r="C45" s="26"/>
      <c r="D45" s="26"/>
      <c r="E45" s="26"/>
      <c r="F45" s="26"/>
      <c r="G45" s="26"/>
      <c r="H45" s="26"/>
      <c r="I45" s="26"/>
      <c r="J45" s="26"/>
      <c r="K45" s="26"/>
      <c r="L45" s="26"/>
      <c r="M45" s="26"/>
      <c r="N45" s="26"/>
      <c r="O45" s="26"/>
      <c r="P45" s="26"/>
      <c r="Q45" s="26"/>
      <c r="R45" s="26"/>
      <c r="S45" s="26"/>
      <c r="T45" s="26"/>
      <c r="U45" s="26"/>
      <c r="V45" s="26"/>
      <c r="W45" s="26"/>
      <c r="X45" s="26"/>
      <c r="Y45" s="26"/>
      <c r="Z45" s="26"/>
    </row>
    <row r="46" spans="1:26" ht="19.5" customHeight="1" collapsed="1" x14ac:dyDescent="0.85">
      <c r="A46" s="26"/>
      <c r="B46" s="26"/>
      <c r="C46" s="26"/>
      <c r="D46" s="26"/>
      <c r="E46" s="26"/>
      <c r="F46" s="26"/>
      <c r="G46" s="26"/>
      <c r="H46" s="26"/>
      <c r="I46" s="26"/>
      <c r="J46" s="26"/>
      <c r="K46" s="26"/>
      <c r="L46" s="26"/>
      <c r="M46" s="26"/>
      <c r="N46" s="26"/>
      <c r="O46" s="26"/>
      <c r="P46" s="26"/>
      <c r="Q46" s="26"/>
      <c r="R46" s="26"/>
      <c r="S46" s="26"/>
      <c r="T46" s="26"/>
      <c r="U46" s="26"/>
      <c r="V46" s="26"/>
      <c r="W46" s="26"/>
      <c r="X46" s="26"/>
      <c r="Y46" s="26"/>
      <c r="Z46" s="26"/>
    </row>
    <row r="47" spans="1:26" ht="19.5" customHeight="1" x14ac:dyDescent="0.85">
      <c r="A47" s="26"/>
      <c r="B47" s="26"/>
      <c r="C47" s="26"/>
      <c r="D47" s="26"/>
      <c r="E47" s="26"/>
      <c r="F47" s="26"/>
      <c r="G47" s="26"/>
      <c r="H47" s="26"/>
      <c r="I47" s="26"/>
      <c r="J47" s="26"/>
      <c r="K47" s="26"/>
      <c r="L47" s="26"/>
      <c r="M47" s="26"/>
      <c r="N47" s="26"/>
      <c r="O47" s="26"/>
      <c r="P47" s="26"/>
      <c r="Q47" s="26"/>
      <c r="R47" s="26"/>
      <c r="S47" s="26"/>
      <c r="T47" s="26"/>
      <c r="U47" s="26"/>
      <c r="V47" s="26"/>
      <c r="W47" s="26"/>
      <c r="X47" s="26"/>
      <c r="Y47" s="26"/>
      <c r="Z47" s="26"/>
    </row>
    <row r="48" spans="1:26" ht="19.5" customHeight="1" x14ac:dyDescent="0.85">
      <c r="A48" s="26"/>
      <c r="B48" s="26"/>
      <c r="C48" s="26"/>
      <c r="D48" s="26"/>
      <c r="E48" s="26"/>
      <c r="F48" s="26"/>
      <c r="G48" s="26"/>
      <c r="H48" s="26"/>
      <c r="I48" s="26"/>
      <c r="J48" s="26"/>
      <c r="K48" s="26"/>
      <c r="L48" s="26"/>
      <c r="M48" s="26"/>
      <c r="N48" s="26"/>
      <c r="O48" s="26"/>
      <c r="P48" s="26"/>
      <c r="Q48" s="26"/>
      <c r="R48" s="26"/>
      <c r="S48" s="26"/>
      <c r="T48" s="26"/>
      <c r="U48" s="26"/>
      <c r="V48" s="26"/>
      <c r="W48" s="26"/>
      <c r="X48" s="26"/>
      <c r="Y48" s="26"/>
      <c r="Z48" s="26"/>
    </row>
    <row r="49" spans="1:26" ht="19.5" customHeight="1" x14ac:dyDescent="0.85">
      <c r="A49" s="26"/>
      <c r="B49" s="26"/>
      <c r="C49" s="26"/>
      <c r="D49" s="26"/>
      <c r="E49" s="26"/>
      <c r="F49" s="26"/>
      <c r="G49" s="26"/>
      <c r="H49" s="26"/>
      <c r="I49" s="26"/>
      <c r="J49" s="26"/>
      <c r="K49" s="26"/>
      <c r="L49" s="26"/>
      <c r="M49" s="26"/>
      <c r="N49" s="26"/>
      <c r="O49" s="26"/>
      <c r="P49" s="26"/>
      <c r="Q49" s="26"/>
      <c r="R49" s="26"/>
      <c r="S49" s="26"/>
      <c r="T49" s="26"/>
      <c r="U49" s="26"/>
      <c r="V49" s="26"/>
      <c r="W49" s="26"/>
      <c r="X49" s="26"/>
      <c r="Y49" s="26"/>
      <c r="Z49" s="26"/>
    </row>
    <row r="50" spans="1:26" ht="19.5" customHeight="1" x14ac:dyDescent="0.85">
      <c r="A50" s="26"/>
      <c r="B50" s="26"/>
      <c r="C50" s="26"/>
      <c r="D50" s="26"/>
      <c r="E50" s="26"/>
      <c r="F50" s="26"/>
      <c r="G50" s="26"/>
      <c r="H50" s="26"/>
      <c r="I50" s="26"/>
      <c r="J50" s="26"/>
      <c r="K50" s="26"/>
      <c r="L50" s="26"/>
      <c r="M50" s="26"/>
      <c r="N50" s="26"/>
      <c r="O50" s="26"/>
      <c r="P50" s="26"/>
      <c r="Q50" s="26"/>
      <c r="R50" s="26"/>
      <c r="S50" s="26"/>
      <c r="T50" s="26"/>
      <c r="U50" s="26"/>
      <c r="V50" s="26"/>
      <c r="W50" s="26"/>
      <c r="X50" s="26"/>
      <c r="Y50" s="26"/>
      <c r="Z50" s="26"/>
    </row>
    <row r="51" spans="1:26" ht="19.5" customHeight="1" x14ac:dyDescent="0.85">
      <c r="A51" s="26"/>
      <c r="B51" s="26"/>
      <c r="C51" s="26"/>
      <c r="D51" s="26"/>
      <c r="E51" s="26"/>
      <c r="F51" s="26"/>
      <c r="G51" s="26"/>
      <c r="H51" s="26"/>
      <c r="I51" s="26"/>
      <c r="J51" s="26"/>
      <c r="K51" s="26"/>
      <c r="L51" s="26"/>
      <c r="M51" s="26"/>
      <c r="N51" s="26"/>
      <c r="O51" s="26"/>
      <c r="P51" s="26"/>
      <c r="Q51" s="26"/>
      <c r="R51" s="26"/>
      <c r="S51" s="26"/>
      <c r="T51" s="26"/>
      <c r="U51" s="26"/>
      <c r="V51" s="26"/>
      <c r="W51" s="26"/>
      <c r="X51" s="26"/>
      <c r="Y51" s="26"/>
      <c r="Z51" s="26"/>
    </row>
    <row r="52" spans="1:26" ht="19.5" customHeight="1" x14ac:dyDescent="0.85">
      <c r="A52" s="26"/>
      <c r="B52" s="26"/>
      <c r="C52" s="26"/>
      <c r="D52" s="26"/>
      <c r="E52" s="26"/>
      <c r="F52" s="26"/>
      <c r="G52" s="26"/>
      <c r="H52" s="26"/>
      <c r="I52" s="26"/>
      <c r="J52" s="26"/>
      <c r="K52" s="26"/>
      <c r="L52" s="26"/>
      <c r="M52" s="26"/>
      <c r="N52" s="26"/>
      <c r="O52" s="26"/>
      <c r="P52" s="26"/>
      <c r="Q52" s="26"/>
      <c r="R52" s="26"/>
      <c r="S52" s="26"/>
      <c r="T52" s="26"/>
      <c r="U52" s="26"/>
      <c r="V52" s="26"/>
      <c r="W52" s="26"/>
      <c r="X52" s="26"/>
      <c r="Y52" s="26"/>
      <c r="Z52" s="26"/>
    </row>
    <row r="53" spans="1:26" ht="19.5" customHeight="1" x14ac:dyDescent="0.85">
      <c r="A53" s="26"/>
      <c r="B53" s="26"/>
      <c r="C53" s="26"/>
      <c r="D53" s="26"/>
      <c r="E53" s="26"/>
      <c r="F53" s="26"/>
      <c r="G53" s="26"/>
      <c r="H53" s="26"/>
      <c r="I53" s="26"/>
      <c r="J53" s="26"/>
      <c r="K53" s="26"/>
      <c r="L53" s="26"/>
      <c r="M53" s="26"/>
      <c r="N53" s="26"/>
      <c r="O53" s="26"/>
      <c r="P53" s="26"/>
      <c r="Q53" s="26"/>
      <c r="R53" s="26"/>
      <c r="S53" s="26"/>
      <c r="T53" s="26"/>
      <c r="U53" s="26"/>
      <c r="V53" s="26"/>
      <c r="W53" s="26"/>
      <c r="X53" s="26"/>
      <c r="Y53" s="26"/>
      <c r="Z53" s="26"/>
    </row>
    <row r="54" spans="1:26" ht="19.5" customHeight="1" x14ac:dyDescent="0.85">
      <c r="A54" s="26"/>
      <c r="B54" s="26"/>
      <c r="C54" s="26"/>
      <c r="D54" s="26"/>
      <c r="E54" s="26"/>
      <c r="F54" s="26"/>
      <c r="G54" s="26"/>
      <c r="H54" s="26"/>
      <c r="I54" s="26"/>
      <c r="J54" s="26"/>
      <c r="K54" s="26"/>
      <c r="L54" s="26"/>
      <c r="M54" s="26"/>
      <c r="N54" s="26"/>
      <c r="O54" s="26"/>
      <c r="P54" s="26"/>
      <c r="Q54" s="26"/>
      <c r="R54" s="26"/>
      <c r="S54" s="26"/>
      <c r="T54" s="26"/>
      <c r="U54" s="26"/>
      <c r="V54" s="26"/>
      <c r="W54" s="26"/>
      <c r="X54" s="26"/>
      <c r="Y54" s="26"/>
      <c r="Z54" s="26"/>
    </row>
    <row r="55" spans="1:26" ht="19.5" customHeight="1" x14ac:dyDescent="0.85">
      <c r="A55" s="26"/>
      <c r="B55" s="26"/>
      <c r="C55" s="26"/>
      <c r="D55" s="26"/>
      <c r="E55" s="26"/>
      <c r="F55" s="26"/>
      <c r="G55" s="26"/>
      <c r="H55" s="26"/>
      <c r="I55" s="26"/>
      <c r="J55" s="26"/>
      <c r="K55" s="26"/>
      <c r="L55" s="26"/>
      <c r="M55" s="26"/>
      <c r="N55" s="26"/>
      <c r="O55" s="26"/>
      <c r="P55" s="26"/>
      <c r="Q55" s="26"/>
      <c r="R55" s="26"/>
      <c r="S55" s="26"/>
      <c r="T55" s="26"/>
      <c r="U55" s="26"/>
      <c r="V55" s="26"/>
      <c r="W55" s="26"/>
      <c r="X55" s="26"/>
      <c r="Y55" s="26"/>
      <c r="Z55" s="26"/>
    </row>
    <row r="56" spans="1:26" ht="19.5" customHeight="1" x14ac:dyDescent="0.85">
      <c r="A56" s="26"/>
      <c r="B56" s="26"/>
      <c r="C56" s="26"/>
      <c r="D56" s="26"/>
      <c r="E56" s="26"/>
      <c r="F56" s="26"/>
      <c r="G56" s="26"/>
      <c r="H56" s="26"/>
      <c r="I56" s="26"/>
      <c r="J56" s="26"/>
      <c r="K56" s="26"/>
      <c r="L56" s="26"/>
      <c r="M56" s="26"/>
      <c r="N56" s="26"/>
      <c r="O56" s="26"/>
      <c r="P56" s="26"/>
      <c r="Q56" s="26"/>
      <c r="R56" s="26"/>
      <c r="S56" s="26"/>
      <c r="T56" s="26"/>
      <c r="U56" s="26"/>
      <c r="V56" s="26"/>
      <c r="W56" s="26"/>
      <c r="X56" s="26"/>
      <c r="Y56" s="26"/>
      <c r="Z56" s="26"/>
    </row>
    <row r="57" spans="1:26" ht="19.5" customHeight="1" x14ac:dyDescent="0.85">
      <c r="A57" s="26"/>
      <c r="B57" s="26"/>
      <c r="C57" s="26"/>
      <c r="D57" s="26"/>
      <c r="E57" s="26"/>
      <c r="F57" s="26"/>
      <c r="G57" s="26"/>
      <c r="H57" s="26"/>
      <c r="I57" s="26"/>
      <c r="J57" s="26"/>
      <c r="K57" s="26"/>
      <c r="L57" s="26"/>
      <c r="M57" s="26"/>
      <c r="N57" s="26"/>
      <c r="O57" s="26"/>
      <c r="P57" s="26"/>
      <c r="Q57" s="26"/>
      <c r="R57" s="26"/>
      <c r="S57" s="26"/>
      <c r="T57" s="26"/>
      <c r="U57" s="26"/>
      <c r="V57" s="26"/>
      <c r="W57" s="26"/>
      <c r="X57" s="26"/>
      <c r="Y57" s="26"/>
      <c r="Z57" s="26"/>
    </row>
    <row r="58" spans="1:26" ht="19.5" customHeight="1" x14ac:dyDescent="0.85">
      <c r="A58" s="26"/>
      <c r="B58" s="26"/>
      <c r="C58" s="26"/>
      <c r="D58" s="26"/>
      <c r="E58" s="26"/>
      <c r="F58" s="26"/>
      <c r="G58" s="26"/>
      <c r="H58" s="26"/>
      <c r="I58" s="26"/>
      <c r="J58" s="26"/>
      <c r="K58" s="26"/>
      <c r="L58" s="26"/>
      <c r="M58" s="26"/>
      <c r="N58" s="26"/>
      <c r="O58" s="26"/>
      <c r="P58" s="26"/>
      <c r="Q58" s="26"/>
      <c r="R58" s="26"/>
      <c r="S58" s="26"/>
      <c r="T58" s="26"/>
      <c r="U58" s="26"/>
      <c r="V58" s="26"/>
      <c r="W58" s="26"/>
      <c r="X58" s="26"/>
      <c r="Y58" s="26"/>
      <c r="Z58" s="26"/>
    </row>
    <row r="59" spans="1:26" ht="19.5" customHeight="1" x14ac:dyDescent="0.85">
      <c r="A59" s="26"/>
      <c r="B59" s="26"/>
      <c r="C59" s="26"/>
      <c r="D59" s="26"/>
      <c r="E59" s="26"/>
      <c r="F59" s="26"/>
      <c r="G59" s="26"/>
      <c r="H59" s="26"/>
      <c r="I59" s="26"/>
      <c r="J59" s="26"/>
      <c r="K59" s="26"/>
      <c r="L59" s="26"/>
      <c r="M59" s="26"/>
      <c r="N59" s="26"/>
      <c r="O59" s="26"/>
      <c r="P59" s="26"/>
      <c r="Q59" s="26"/>
      <c r="R59" s="26"/>
      <c r="S59" s="26"/>
      <c r="T59" s="26"/>
      <c r="U59" s="26"/>
      <c r="V59" s="26"/>
      <c r="W59" s="26"/>
      <c r="X59" s="26"/>
      <c r="Y59" s="26"/>
      <c r="Z59" s="26"/>
    </row>
    <row r="60" spans="1:26" ht="19.5" customHeight="1" x14ac:dyDescent="0.85">
      <c r="A60" s="26"/>
      <c r="B60" s="26"/>
      <c r="C60" s="26"/>
      <c r="D60" s="26"/>
      <c r="E60" s="26"/>
      <c r="F60" s="26"/>
      <c r="G60" s="26"/>
      <c r="H60" s="26"/>
      <c r="I60" s="26"/>
      <c r="J60" s="26"/>
      <c r="K60" s="26"/>
      <c r="L60" s="26"/>
      <c r="M60" s="26"/>
      <c r="N60" s="26"/>
      <c r="O60" s="26"/>
      <c r="P60" s="26"/>
      <c r="Q60" s="26"/>
      <c r="R60" s="26"/>
      <c r="S60" s="26"/>
      <c r="T60" s="26"/>
      <c r="U60" s="26"/>
      <c r="V60" s="26"/>
      <c r="W60" s="26"/>
      <c r="X60" s="26"/>
      <c r="Y60" s="26"/>
      <c r="Z60" s="26"/>
    </row>
    <row r="61" spans="1:26" ht="19.5" customHeight="1" x14ac:dyDescent="0.85">
      <c r="A61" s="26"/>
      <c r="B61" s="26"/>
      <c r="C61" s="26"/>
      <c r="D61" s="26"/>
      <c r="E61" s="26"/>
      <c r="F61" s="26"/>
      <c r="G61" s="26"/>
      <c r="H61" s="26"/>
      <c r="I61" s="26"/>
      <c r="J61" s="26"/>
      <c r="K61" s="26"/>
      <c r="L61" s="26"/>
      <c r="M61" s="26"/>
      <c r="N61" s="26"/>
      <c r="O61" s="26"/>
      <c r="P61" s="26"/>
      <c r="Q61" s="26"/>
      <c r="R61" s="26"/>
      <c r="S61" s="26"/>
      <c r="T61" s="26"/>
      <c r="U61" s="26"/>
      <c r="V61" s="26"/>
      <c r="W61" s="26"/>
      <c r="X61" s="26"/>
      <c r="Y61" s="26"/>
      <c r="Z61" s="26"/>
    </row>
    <row r="62" spans="1:26" ht="19.5" customHeight="1" x14ac:dyDescent="0.85">
      <c r="A62" s="26"/>
      <c r="B62" s="26"/>
      <c r="C62" s="26"/>
      <c r="D62" s="26"/>
      <c r="E62" s="26"/>
      <c r="F62" s="26"/>
      <c r="G62" s="26"/>
      <c r="H62" s="26"/>
      <c r="I62" s="26"/>
      <c r="J62" s="26"/>
      <c r="K62" s="26"/>
      <c r="L62" s="26"/>
      <c r="M62" s="26"/>
      <c r="N62" s="26"/>
      <c r="O62" s="26"/>
      <c r="P62" s="26"/>
      <c r="Q62" s="26"/>
      <c r="R62" s="26"/>
      <c r="S62" s="26"/>
      <c r="T62" s="26"/>
      <c r="U62" s="26"/>
      <c r="V62" s="26"/>
      <c r="W62" s="26"/>
      <c r="X62" s="26"/>
      <c r="Y62" s="26"/>
      <c r="Z62" s="26"/>
    </row>
    <row r="63" spans="1:26" ht="19.5" customHeight="1" x14ac:dyDescent="0.85">
      <c r="A63" s="26"/>
      <c r="B63" s="26"/>
      <c r="C63" s="26"/>
      <c r="D63" s="26"/>
      <c r="E63" s="26"/>
      <c r="F63" s="26"/>
      <c r="G63" s="26"/>
      <c r="H63" s="26"/>
      <c r="I63" s="26"/>
      <c r="J63" s="26"/>
      <c r="K63" s="26"/>
      <c r="L63" s="26"/>
      <c r="M63" s="26"/>
      <c r="N63" s="26"/>
      <c r="O63" s="26"/>
      <c r="P63" s="26"/>
      <c r="Q63" s="26"/>
      <c r="R63" s="26"/>
      <c r="S63" s="26"/>
      <c r="T63" s="26"/>
      <c r="U63" s="26"/>
      <c r="V63" s="26"/>
      <c r="W63" s="26"/>
      <c r="X63" s="26"/>
      <c r="Y63" s="26"/>
      <c r="Z63" s="26"/>
    </row>
    <row r="64" spans="1:26" ht="19.5" customHeight="1" x14ac:dyDescent="0.85">
      <c r="A64" s="26"/>
      <c r="B64" s="26"/>
      <c r="C64" s="26"/>
      <c r="D64" s="26"/>
      <c r="E64" s="26"/>
      <c r="F64" s="26"/>
      <c r="G64" s="26"/>
      <c r="H64" s="26"/>
      <c r="I64" s="26"/>
      <c r="J64" s="26"/>
      <c r="K64" s="26"/>
      <c r="L64" s="26"/>
      <c r="M64" s="26"/>
      <c r="N64" s="26"/>
      <c r="O64" s="26"/>
      <c r="P64" s="26"/>
      <c r="Q64" s="26"/>
      <c r="R64" s="26"/>
      <c r="S64" s="26"/>
      <c r="T64" s="26"/>
      <c r="U64" s="26"/>
      <c r="V64" s="26"/>
      <c r="W64" s="26"/>
      <c r="X64" s="26"/>
      <c r="Y64" s="26"/>
      <c r="Z64" s="26"/>
    </row>
    <row r="65" spans="1:26" ht="19.5" customHeight="1" x14ac:dyDescent="0.85">
      <c r="A65" s="26"/>
      <c r="B65" s="26"/>
      <c r="C65" s="26"/>
      <c r="D65" s="26"/>
      <c r="E65" s="26"/>
      <c r="F65" s="26"/>
      <c r="G65" s="26"/>
      <c r="H65" s="26"/>
      <c r="I65" s="26"/>
      <c r="J65" s="26"/>
      <c r="K65" s="26"/>
      <c r="L65" s="26"/>
      <c r="M65" s="26"/>
      <c r="N65" s="26"/>
      <c r="O65" s="26"/>
      <c r="P65" s="26"/>
      <c r="Q65" s="26"/>
      <c r="R65" s="26"/>
      <c r="S65" s="26"/>
      <c r="T65" s="26"/>
      <c r="U65" s="26"/>
      <c r="V65" s="26"/>
      <c r="W65" s="26"/>
      <c r="X65" s="26"/>
      <c r="Y65" s="26"/>
      <c r="Z65" s="26"/>
    </row>
    <row r="66" spans="1:26" ht="19.5" customHeight="1" x14ac:dyDescent="0.85">
      <c r="A66" s="26"/>
      <c r="B66" s="26"/>
      <c r="C66" s="26"/>
      <c r="D66" s="26"/>
      <c r="E66" s="26"/>
      <c r="F66" s="26"/>
      <c r="G66" s="26"/>
      <c r="H66" s="26"/>
      <c r="I66" s="26"/>
      <c r="J66" s="26"/>
      <c r="K66" s="26"/>
      <c r="L66" s="26"/>
      <c r="M66" s="26"/>
      <c r="N66" s="26"/>
      <c r="O66" s="26"/>
      <c r="P66" s="26"/>
      <c r="Q66" s="26"/>
      <c r="R66" s="26"/>
      <c r="S66" s="26"/>
      <c r="T66" s="26"/>
      <c r="U66" s="26"/>
      <c r="V66" s="26"/>
      <c r="W66" s="26"/>
      <c r="X66" s="26"/>
      <c r="Y66" s="26"/>
      <c r="Z66" s="26"/>
    </row>
    <row r="67" spans="1:26" ht="19.5" customHeight="1" x14ac:dyDescent="0.85">
      <c r="A67" s="26"/>
      <c r="B67" s="26"/>
      <c r="C67" s="26"/>
      <c r="D67" s="26"/>
      <c r="E67" s="26"/>
      <c r="F67" s="26"/>
      <c r="G67" s="26"/>
      <c r="H67" s="26"/>
      <c r="I67" s="26"/>
      <c r="J67" s="26"/>
      <c r="K67" s="26"/>
      <c r="L67" s="26"/>
      <c r="M67" s="26"/>
      <c r="N67" s="26"/>
      <c r="O67" s="26"/>
      <c r="P67" s="26"/>
      <c r="Q67" s="26"/>
      <c r="R67" s="26"/>
      <c r="S67" s="26"/>
      <c r="T67" s="26"/>
      <c r="U67" s="26"/>
      <c r="V67" s="26"/>
      <c r="W67" s="26"/>
      <c r="X67" s="26"/>
      <c r="Y67" s="26"/>
      <c r="Z67" s="26"/>
    </row>
    <row r="68" spans="1:26" ht="19.5" customHeight="1" x14ac:dyDescent="0.85">
      <c r="A68" s="26"/>
      <c r="B68" s="26"/>
      <c r="C68" s="26"/>
      <c r="D68" s="26"/>
      <c r="E68" s="26"/>
      <c r="F68" s="26"/>
      <c r="G68" s="26"/>
      <c r="H68" s="26"/>
      <c r="I68" s="26"/>
      <c r="J68" s="26"/>
      <c r="K68" s="26"/>
      <c r="L68" s="26"/>
      <c r="M68" s="26"/>
      <c r="N68" s="26"/>
      <c r="O68" s="26"/>
      <c r="P68" s="26"/>
      <c r="Q68" s="26"/>
      <c r="R68" s="26"/>
      <c r="S68" s="26"/>
      <c r="T68" s="26"/>
      <c r="U68" s="26"/>
      <c r="V68" s="26"/>
      <c r="W68" s="26"/>
      <c r="X68" s="26"/>
      <c r="Y68" s="26"/>
      <c r="Z68" s="26"/>
    </row>
    <row r="69" spans="1:26" ht="19.5" customHeight="1" x14ac:dyDescent="0.85">
      <c r="A69" s="26"/>
      <c r="B69" s="26"/>
      <c r="C69" s="26"/>
      <c r="D69" s="26"/>
      <c r="E69" s="26"/>
      <c r="F69" s="26"/>
      <c r="G69" s="26"/>
      <c r="H69" s="26"/>
      <c r="I69" s="26"/>
      <c r="J69" s="26"/>
      <c r="K69" s="26"/>
      <c r="L69" s="26"/>
      <c r="M69" s="26"/>
      <c r="N69" s="26"/>
      <c r="O69" s="26"/>
      <c r="P69" s="26"/>
      <c r="Q69" s="26"/>
      <c r="R69" s="26"/>
      <c r="S69" s="26"/>
      <c r="T69" s="26"/>
      <c r="U69" s="26"/>
      <c r="V69" s="26"/>
      <c r="W69" s="26"/>
      <c r="X69" s="26"/>
      <c r="Y69" s="26"/>
      <c r="Z69" s="26"/>
    </row>
    <row r="70" spans="1:26" ht="19.5" customHeight="1" x14ac:dyDescent="0.85">
      <c r="A70" s="26"/>
      <c r="B70" s="26"/>
      <c r="C70" s="26"/>
      <c r="D70" s="26"/>
      <c r="E70" s="26"/>
      <c r="F70" s="26"/>
      <c r="G70" s="26"/>
      <c r="H70" s="26"/>
      <c r="I70" s="26"/>
      <c r="J70" s="26"/>
      <c r="K70" s="26"/>
      <c r="L70" s="26"/>
      <c r="M70" s="26"/>
      <c r="N70" s="26"/>
      <c r="O70" s="26"/>
      <c r="P70" s="26"/>
      <c r="Q70" s="26"/>
      <c r="R70" s="26"/>
      <c r="S70" s="26"/>
      <c r="T70" s="26"/>
      <c r="U70" s="26"/>
      <c r="V70" s="26"/>
      <c r="W70" s="26"/>
      <c r="X70" s="26"/>
      <c r="Y70" s="26"/>
      <c r="Z70" s="26"/>
    </row>
    <row r="71" spans="1:26" ht="19.5" customHeight="1" x14ac:dyDescent="0.85">
      <c r="A71" s="26"/>
      <c r="B71" s="26"/>
      <c r="C71" s="26"/>
      <c r="D71" s="26"/>
      <c r="E71" s="26"/>
      <c r="F71" s="26"/>
      <c r="G71" s="26"/>
      <c r="H71" s="26"/>
      <c r="I71" s="26"/>
      <c r="J71" s="26"/>
      <c r="K71" s="26"/>
      <c r="L71" s="26"/>
      <c r="M71" s="26"/>
      <c r="N71" s="26"/>
      <c r="O71" s="26"/>
      <c r="P71" s="26"/>
      <c r="Q71" s="26"/>
      <c r="R71" s="26"/>
      <c r="S71" s="26"/>
      <c r="T71" s="26"/>
      <c r="U71" s="26"/>
      <c r="V71" s="26"/>
      <c r="W71" s="26"/>
      <c r="X71" s="26"/>
      <c r="Y71" s="26"/>
      <c r="Z71" s="26"/>
    </row>
    <row r="72" spans="1:26" ht="19.5" customHeight="1" x14ac:dyDescent="0.85">
      <c r="A72" s="26"/>
      <c r="B72" s="26"/>
      <c r="C72" s="26"/>
      <c r="D72" s="26"/>
      <c r="E72" s="26"/>
      <c r="F72" s="26"/>
      <c r="G72" s="26"/>
      <c r="H72" s="26"/>
      <c r="I72" s="26"/>
      <c r="J72" s="26"/>
      <c r="K72" s="26"/>
      <c r="L72" s="26"/>
      <c r="M72" s="26"/>
      <c r="N72" s="26"/>
      <c r="O72" s="26"/>
      <c r="P72" s="26"/>
      <c r="Q72" s="26"/>
      <c r="R72" s="26"/>
      <c r="S72" s="26"/>
      <c r="T72" s="26"/>
      <c r="U72" s="26"/>
      <c r="V72" s="26"/>
      <c r="W72" s="26"/>
      <c r="X72" s="26"/>
      <c r="Y72" s="26"/>
      <c r="Z72" s="26"/>
    </row>
    <row r="73" spans="1:26" ht="19.5" customHeight="1" x14ac:dyDescent="0.85">
      <c r="A73" s="26"/>
      <c r="B73" s="26"/>
      <c r="C73" s="26"/>
      <c r="D73" s="26"/>
      <c r="E73" s="26"/>
      <c r="F73" s="26"/>
      <c r="G73" s="26"/>
      <c r="H73" s="26"/>
      <c r="I73" s="26"/>
      <c r="J73" s="26"/>
      <c r="K73" s="26"/>
      <c r="L73" s="26"/>
      <c r="M73" s="26"/>
      <c r="N73" s="26"/>
      <c r="O73" s="26"/>
      <c r="P73" s="26"/>
      <c r="Q73" s="26"/>
      <c r="R73" s="26"/>
      <c r="S73" s="26"/>
      <c r="T73" s="26"/>
      <c r="U73" s="26"/>
      <c r="V73" s="26"/>
      <c r="W73" s="26"/>
      <c r="X73" s="26"/>
      <c r="Y73" s="26"/>
      <c r="Z73" s="26"/>
    </row>
    <row r="74" spans="1:26" ht="19.5" customHeight="1" x14ac:dyDescent="0.85">
      <c r="A74" s="26"/>
      <c r="B74" s="26"/>
      <c r="C74" s="26"/>
      <c r="D74" s="26"/>
      <c r="E74" s="26"/>
      <c r="F74" s="26"/>
      <c r="G74" s="26"/>
      <c r="H74" s="26"/>
      <c r="I74" s="26"/>
      <c r="J74" s="26"/>
      <c r="K74" s="26"/>
      <c r="L74" s="26"/>
      <c r="M74" s="26"/>
      <c r="N74" s="26"/>
      <c r="O74" s="26"/>
      <c r="P74" s="26"/>
      <c r="Q74" s="26"/>
      <c r="R74" s="26"/>
      <c r="S74" s="26"/>
      <c r="T74" s="26"/>
      <c r="U74" s="26"/>
      <c r="V74" s="26"/>
      <c r="W74" s="26"/>
      <c r="X74" s="26"/>
      <c r="Y74" s="26"/>
      <c r="Z74" s="26"/>
    </row>
    <row r="75" spans="1:26" ht="19.5" customHeight="1" x14ac:dyDescent="0.85">
      <c r="A75" s="26"/>
      <c r="B75" s="26"/>
      <c r="C75" s="26"/>
      <c r="D75" s="26"/>
      <c r="E75" s="26"/>
      <c r="F75" s="26"/>
      <c r="G75" s="26"/>
      <c r="H75" s="26"/>
      <c r="I75" s="26"/>
      <c r="J75" s="26"/>
      <c r="K75" s="26"/>
      <c r="L75" s="26"/>
      <c r="M75" s="26"/>
      <c r="N75" s="26"/>
      <c r="O75" s="26"/>
      <c r="P75" s="26"/>
      <c r="Q75" s="26"/>
      <c r="R75" s="26"/>
      <c r="S75" s="26"/>
      <c r="T75" s="26"/>
      <c r="U75" s="26"/>
      <c r="V75" s="26"/>
      <c r="W75" s="26"/>
      <c r="X75" s="26"/>
      <c r="Y75" s="26"/>
      <c r="Z75" s="26"/>
    </row>
    <row r="76" spans="1:26" ht="19.5" customHeight="1" x14ac:dyDescent="0.85">
      <c r="A76" s="26"/>
      <c r="B76" s="26"/>
      <c r="C76" s="26"/>
      <c r="D76" s="26"/>
      <c r="E76" s="26"/>
      <c r="F76" s="26"/>
      <c r="G76" s="26"/>
      <c r="H76" s="26"/>
      <c r="I76" s="26"/>
      <c r="J76" s="26"/>
      <c r="K76" s="26"/>
      <c r="L76" s="26"/>
      <c r="M76" s="26"/>
      <c r="N76" s="26"/>
      <c r="O76" s="26"/>
      <c r="P76" s="26"/>
      <c r="Q76" s="26"/>
      <c r="R76" s="26"/>
      <c r="S76" s="26"/>
      <c r="T76" s="26"/>
      <c r="U76" s="26"/>
      <c r="V76" s="26"/>
      <c r="W76" s="26"/>
      <c r="X76" s="26"/>
      <c r="Y76" s="26"/>
      <c r="Z76" s="26"/>
    </row>
    <row r="77" spans="1:26" ht="19.5" customHeight="1" x14ac:dyDescent="0.85">
      <c r="A77" s="26"/>
      <c r="B77" s="26"/>
      <c r="C77" s="26"/>
      <c r="D77" s="26"/>
      <c r="E77" s="26"/>
      <c r="F77" s="26"/>
      <c r="G77" s="26"/>
      <c r="H77" s="26"/>
      <c r="I77" s="26"/>
      <c r="J77" s="26"/>
      <c r="K77" s="26"/>
      <c r="L77" s="26"/>
      <c r="M77" s="26"/>
      <c r="N77" s="26"/>
      <c r="O77" s="26"/>
      <c r="P77" s="26"/>
      <c r="Q77" s="26"/>
      <c r="R77" s="26"/>
      <c r="S77" s="26"/>
      <c r="T77" s="26"/>
      <c r="U77" s="26"/>
      <c r="V77" s="26"/>
      <c r="W77" s="26"/>
      <c r="X77" s="26"/>
      <c r="Y77" s="26"/>
      <c r="Z77" s="26"/>
    </row>
    <row r="78" spans="1:26" ht="19.5" customHeight="1" x14ac:dyDescent="0.85">
      <c r="A78" s="26"/>
      <c r="B78" s="26"/>
      <c r="C78" s="26"/>
      <c r="D78" s="26"/>
      <c r="E78" s="26"/>
      <c r="F78" s="26"/>
      <c r="G78" s="26"/>
      <c r="H78" s="26"/>
      <c r="I78" s="26"/>
      <c r="J78" s="26"/>
      <c r="K78" s="26"/>
      <c r="L78" s="26"/>
      <c r="M78" s="26"/>
      <c r="N78" s="26"/>
      <c r="O78" s="26"/>
      <c r="P78" s="26"/>
      <c r="Q78" s="26"/>
      <c r="R78" s="26"/>
      <c r="S78" s="26"/>
      <c r="T78" s="26"/>
      <c r="U78" s="26"/>
      <c r="V78" s="26"/>
      <c r="W78" s="26"/>
      <c r="X78" s="26"/>
      <c r="Y78" s="26"/>
      <c r="Z78" s="26"/>
    </row>
    <row r="79" spans="1:26" ht="19.5" customHeight="1" x14ac:dyDescent="0.85">
      <c r="A79" s="26"/>
      <c r="B79" s="26"/>
      <c r="C79" s="26"/>
      <c r="D79" s="26"/>
      <c r="E79" s="26"/>
      <c r="F79" s="26"/>
      <c r="G79" s="26"/>
      <c r="H79" s="26"/>
      <c r="I79" s="26"/>
      <c r="J79" s="26"/>
      <c r="K79" s="26"/>
      <c r="L79" s="26"/>
      <c r="M79" s="26"/>
      <c r="N79" s="26"/>
      <c r="O79" s="26"/>
      <c r="P79" s="26"/>
      <c r="Q79" s="26"/>
      <c r="R79" s="26"/>
      <c r="S79" s="26"/>
      <c r="T79" s="26"/>
      <c r="U79" s="26"/>
      <c r="V79" s="26"/>
      <c r="W79" s="26"/>
      <c r="X79" s="26"/>
      <c r="Y79" s="26"/>
      <c r="Z79" s="26"/>
    </row>
    <row r="80" spans="1:26" ht="19.5" customHeight="1" x14ac:dyDescent="0.85">
      <c r="A80" s="26"/>
      <c r="B80" s="26"/>
      <c r="C80" s="26"/>
      <c r="D80" s="26"/>
      <c r="E80" s="26"/>
      <c r="F80" s="26"/>
      <c r="G80" s="26"/>
      <c r="H80" s="26"/>
      <c r="I80" s="26"/>
      <c r="J80" s="26"/>
      <c r="K80" s="26"/>
      <c r="L80" s="26"/>
      <c r="M80" s="26"/>
      <c r="N80" s="26"/>
      <c r="O80" s="26"/>
      <c r="P80" s="26"/>
      <c r="Q80" s="26"/>
      <c r="R80" s="26"/>
      <c r="S80" s="26"/>
      <c r="T80" s="26"/>
      <c r="U80" s="26"/>
      <c r="V80" s="26"/>
      <c r="W80" s="26"/>
      <c r="X80" s="26"/>
      <c r="Y80" s="26"/>
      <c r="Z80" s="26"/>
    </row>
    <row r="81" spans="1:26" ht="19.5" customHeight="1" x14ac:dyDescent="0.85">
      <c r="A81" s="26"/>
      <c r="B81" s="26"/>
      <c r="C81" s="26"/>
      <c r="D81" s="26"/>
      <c r="E81" s="26"/>
      <c r="F81" s="26"/>
      <c r="G81" s="26"/>
      <c r="H81" s="26"/>
      <c r="I81" s="26"/>
      <c r="J81" s="26"/>
      <c r="K81" s="26"/>
      <c r="L81" s="26"/>
      <c r="M81" s="26"/>
      <c r="N81" s="26"/>
      <c r="O81" s="26"/>
      <c r="P81" s="26"/>
      <c r="Q81" s="26"/>
      <c r="R81" s="26"/>
      <c r="S81" s="26"/>
      <c r="T81" s="26"/>
      <c r="U81" s="26"/>
      <c r="V81" s="26"/>
      <c r="W81" s="26"/>
      <c r="X81" s="26"/>
      <c r="Y81" s="26"/>
      <c r="Z81" s="26"/>
    </row>
    <row r="82" spans="1:26" ht="19.5" customHeight="1" x14ac:dyDescent="0.85">
      <c r="A82" s="26"/>
      <c r="B82" s="26"/>
      <c r="C82" s="26"/>
      <c r="D82" s="26"/>
      <c r="E82" s="26"/>
      <c r="F82" s="26"/>
      <c r="G82" s="26"/>
      <c r="H82" s="26"/>
      <c r="I82" s="26"/>
      <c r="J82" s="26"/>
      <c r="K82" s="26"/>
      <c r="L82" s="26"/>
      <c r="M82" s="26"/>
      <c r="N82" s="26"/>
      <c r="O82" s="26"/>
      <c r="P82" s="26"/>
      <c r="Q82" s="26"/>
      <c r="R82" s="26"/>
      <c r="S82" s="26"/>
      <c r="T82" s="26"/>
      <c r="U82" s="26"/>
      <c r="V82" s="26"/>
      <c r="W82" s="26"/>
      <c r="X82" s="26"/>
      <c r="Y82" s="26"/>
      <c r="Z82" s="26"/>
    </row>
    <row r="83" spans="1:26" ht="19.5" customHeight="1" x14ac:dyDescent="0.85">
      <c r="A83" s="26"/>
      <c r="B83" s="26"/>
      <c r="C83" s="26"/>
      <c r="D83" s="26"/>
      <c r="E83" s="26"/>
      <c r="F83" s="26"/>
      <c r="G83" s="26"/>
      <c r="H83" s="26"/>
      <c r="I83" s="26"/>
      <c r="J83" s="26"/>
      <c r="K83" s="26"/>
      <c r="L83" s="26"/>
      <c r="M83" s="26"/>
      <c r="N83" s="26"/>
      <c r="O83" s="26"/>
      <c r="P83" s="26"/>
      <c r="Q83" s="26"/>
      <c r="R83" s="26"/>
      <c r="S83" s="26"/>
      <c r="T83" s="26"/>
      <c r="U83" s="26"/>
      <c r="V83" s="26"/>
      <c r="W83" s="26"/>
      <c r="X83" s="26"/>
      <c r="Y83" s="26"/>
      <c r="Z83" s="26"/>
    </row>
    <row r="84" spans="1:26" ht="19.5" customHeight="1" x14ac:dyDescent="0.85">
      <c r="A84" s="26"/>
      <c r="B84" s="26"/>
      <c r="C84" s="26"/>
      <c r="D84" s="26"/>
      <c r="E84" s="26"/>
      <c r="F84" s="26"/>
      <c r="G84" s="26"/>
      <c r="H84" s="26"/>
      <c r="I84" s="26"/>
      <c r="J84" s="26"/>
      <c r="K84" s="26"/>
      <c r="L84" s="26"/>
      <c r="M84" s="26"/>
      <c r="N84" s="26"/>
      <c r="O84" s="26"/>
      <c r="P84" s="26"/>
      <c r="Q84" s="26"/>
      <c r="R84" s="26"/>
      <c r="S84" s="26"/>
      <c r="T84" s="26"/>
      <c r="U84" s="26"/>
      <c r="V84" s="26"/>
      <c r="W84" s="26"/>
      <c r="X84" s="26"/>
      <c r="Y84" s="26"/>
      <c r="Z84" s="26"/>
    </row>
    <row r="85" spans="1:26" ht="19.5" customHeight="1" x14ac:dyDescent="0.85">
      <c r="A85" s="26"/>
      <c r="B85" s="26"/>
      <c r="C85" s="26"/>
      <c r="D85" s="26"/>
      <c r="E85" s="26"/>
      <c r="F85" s="26"/>
      <c r="G85" s="26"/>
      <c r="H85" s="26"/>
      <c r="I85" s="26"/>
      <c r="J85" s="26"/>
      <c r="K85" s="26"/>
      <c r="L85" s="26"/>
      <c r="M85" s="26"/>
      <c r="N85" s="26"/>
      <c r="O85" s="26"/>
      <c r="P85" s="26"/>
      <c r="Q85" s="26"/>
      <c r="R85" s="26"/>
      <c r="S85" s="26"/>
      <c r="T85" s="26"/>
      <c r="U85" s="26"/>
      <c r="V85" s="26"/>
      <c r="W85" s="26"/>
      <c r="X85" s="26"/>
      <c r="Y85" s="26"/>
      <c r="Z85" s="26"/>
    </row>
    <row r="86" spans="1:26" ht="19.5" customHeight="1" x14ac:dyDescent="0.85">
      <c r="A86" s="26"/>
      <c r="B86" s="26"/>
      <c r="C86" s="26"/>
      <c r="D86" s="26"/>
      <c r="E86" s="26"/>
      <c r="F86" s="26"/>
      <c r="G86" s="26"/>
      <c r="H86" s="26"/>
      <c r="I86" s="26"/>
      <c r="J86" s="26"/>
      <c r="K86" s="26"/>
      <c r="L86" s="26"/>
      <c r="M86" s="26"/>
      <c r="N86" s="26"/>
      <c r="O86" s="26"/>
      <c r="P86" s="26"/>
      <c r="Q86" s="26"/>
      <c r="R86" s="26"/>
      <c r="S86" s="26"/>
      <c r="T86" s="26"/>
      <c r="U86" s="26"/>
      <c r="V86" s="26"/>
      <c r="W86" s="26"/>
      <c r="X86" s="26"/>
      <c r="Y86" s="26"/>
      <c r="Z86" s="26"/>
    </row>
    <row r="87" spans="1:26" ht="19.5" customHeight="1" x14ac:dyDescent="0.85">
      <c r="A87" s="26"/>
      <c r="B87" s="26"/>
      <c r="C87" s="26"/>
      <c r="D87" s="26"/>
      <c r="E87" s="26"/>
      <c r="F87" s="26"/>
      <c r="G87" s="26"/>
      <c r="H87" s="26"/>
      <c r="I87" s="26"/>
      <c r="J87" s="26"/>
      <c r="K87" s="26"/>
      <c r="L87" s="26"/>
      <c r="M87" s="26"/>
      <c r="N87" s="26"/>
      <c r="O87" s="26"/>
      <c r="P87" s="26"/>
      <c r="Q87" s="26"/>
      <c r="R87" s="26"/>
      <c r="S87" s="26"/>
      <c r="T87" s="26"/>
      <c r="U87" s="26"/>
      <c r="V87" s="26"/>
      <c r="W87" s="26"/>
      <c r="X87" s="26"/>
      <c r="Y87" s="26"/>
      <c r="Z87" s="26"/>
    </row>
    <row r="88" spans="1:26" ht="19.5" customHeight="1" x14ac:dyDescent="0.85">
      <c r="A88" s="26"/>
      <c r="B88" s="26"/>
      <c r="C88" s="26"/>
      <c r="D88" s="26"/>
      <c r="E88" s="26"/>
      <c r="F88" s="26"/>
      <c r="G88" s="26"/>
      <c r="H88" s="26"/>
      <c r="I88" s="26"/>
      <c r="J88" s="26"/>
      <c r="K88" s="26"/>
      <c r="L88" s="26"/>
      <c r="M88" s="26"/>
      <c r="N88" s="26"/>
      <c r="O88" s="26"/>
      <c r="P88" s="26"/>
      <c r="Q88" s="26"/>
      <c r="R88" s="26"/>
      <c r="S88" s="26"/>
      <c r="T88" s="26"/>
      <c r="U88" s="26"/>
      <c r="V88" s="26"/>
      <c r="W88" s="26"/>
      <c r="X88" s="26"/>
      <c r="Y88" s="26"/>
      <c r="Z88" s="26"/>
    </row>
    <row r="89" spans="1:26" ht="19.5" customHeight="1" x14ac:dyDescent="0.85">
      <c r="A89" s="26"/>
      <c r="B89" s="26"/>
      <c r="C89" s="26"/>
      <c r="D89" s="26"/>
      <c r="E89" s="26"/>
      <c r="F89" s="26"/>
      <c r="G89" s="26"/>
      <c r="H89" s="26"/>
      <c r="I89" s="26"/>
      <c r="J89" s="26"/>
      <c r="K89" s="26"/>
      <c r="L89" s="26"/>
      <c r="M89" s="26"/>
      <c r="N89" s="26"/>
      <c r="O89" s="26"/>
      <c r="P89" s="26"/>
      <c r="Q89" s="26"/>
      <c r="R89" s="26"/>
      <c r="S89" s="26"/>
      <c r="T89" s="26"/>
      <c r="U89" s="26"/>
      <c r="V89" s="26"/>
      <c r="W89" s="26"/>
      <c r="X89" s="26"/>
      <c r="Y89" s="26"/>
      <c r="Z89" s="26"/>
    </row>
    <row r="90" spans="1:26" ht="19.5" customHeight="1" x14ac:dyDescent="0.85">
      <c r="A90" s="26"/>
      <c r="B90" s="26"/>
      <c r="C90" s="26"/>
      <c r="D90" s="26"/>
      <c r="E90" s="26"/>
      <c r="F90" s="26"/>
      <c r="G90" s="26"/>
      <c r="H90" s="26"/>
      <c r="I90" s="26"/>
      <c r="J90" s="26"/>
      <c r="K90" s="26"/>
      <c r="L90" s="26"/>
      <c r="M90" s="26"/>
      <c r="N90" s="26"/>
      <c r="O90" s="26"/>
      <c r="P90" s="26"/>
      <c r="Q90" s="26"/>
      <c r="R90" s="26"/>
      <c r="S90" s="26"/>
      <c r="T90" s="26"/>
      <c r="U90" s="26"/>
      <c r="V90" s="26"/>
      <c r="W90" s="26"/>
      <c r="X90" s="26"/>
      <c r="Y90" s="26"/>
      <c r="Z90" s="26"/>
    </row>
    <row r="91" spans="1:26" ht="19.5" customHeight="1" x14ac:dyDescent="0.85">
      <c r="A91" s="26"/>
      <c r="B91" s="26"/>
      <c r="C91" s="26"/>
      <c r="D91" s="26"/>
      <c r="E91" s="26"/>
      <c r="F91" s="26"/>
      <c r="G91" s="26"/>
      <c r="H91" s="26"/>
      <c r="I91" s="26"/>
      <c r="J91" s="26"/>
      <c r="K91" s="26"/>
      <c r="L91" s="26"/>
      <c r="M91" s="26"/>
      <c r="N91" s="26"/>
      <c r="O91" s="26"/>
      <c r="P91" s="26"/>
      <c r="Q91" s="26"/>
      <c r="R91" s="26"/>
      <c r="S91" s="26"/>
      <c r="T91" s="26"/>
      <c r="U91" s="26"/>
      <c r="V91" s="26"/>
      <c r="W91" s="26"/>
      <c r="X91" s="26"/>
      <c r="Y91" s="26"/>
      <c r="Z91" s="26"/>
    </row>
    <row r="92" spans="1:26" ht="19.5" customHeight="1" x14ac:dyDescent="0.85">
      <c r="A92" s="26"/>
      <c r="B92" s="26"/>
      <c r="C92" s="26"/>
      <c r="D92" s="26"/>
      <c r="E92" s="26"/>
      <c r="F92" s="26"/>
      <c r="G92" s="26"/>
      <c r="H92" s="26"/>
      <c r="I92" s="26"/>
      <c r="J92" s="26"/>
      <c r="K92" s="26"/>
      <c r="L92" s="26"/>
      <c r="M92" s="26"/>
      <c r="N92" s="26"/>
      <c r="O92" s="26"/>
      <c r="P92" s="26"/>
      <c r="Q92" s="26"/>
      <c r="R92" s="26"/>
      <c r="S92" s="26"/>
      <c r="T92" s="26"/>
      <c r="U92" s="26"/>
      <c r="V92" s="26"/>
      <c r="W92" s="26"/>
      <c r="X92" s="26"/>
      <c r="Y92" s="26"/>
      <c r="Z92" s="26"/>
    </row>
    <row r="93" spans="1:26" ht="19.5" customHeight="1" x14ac:dyDescent="0.85">
      <c r="A93" s="26"/>
      <c r="B93" s="26"/>
      <c r="C93" s="26"/>
      <c r="D93" s="26"/>
      <c r="E93" s="26"/>
      <c r="F93" s="26"/>
      <c r="G93" s="26"/>
      <c r="H93" s="26"/>
      <c r="I93" s="26"/>
      <c r="J93" s="26"/>
      <c r="K93" s="26"/>
      <c r="L93" s="26"/>
      <c r="M93" s="26"/>
      <c r="N93" s="26"/>
      <c r="O93" s="26"/>
      <c r="P93" s="26"/>
      <c r="Q93" s="26"/>
      <c r="R93" s="26"/>
      <c r="S93" s="26"/>
      <c r="T93" s="26"/>
      <c r="U93" s="26"/>
      <c r="V93" s="26"/>
      <c r="W93" s="26"/>
      <c r="X93" s="26"/>
      <c r="Y93" s="26"/>
      <c r="Z93" s="26"/>
    </row>
    <row r="94" spans="1:26" ht="19.5" customHeight="1" x14ac:dyDescent="0.85">
      <c r="A94" s="26"/>
      <c r="B94" s="26"/>
      <c r="C94" s="26"/>
      <c r="D94" s="26"/>
      <c r="E94" s="26"/>
      <c r="F94" s="26"/>
      <c r="G94" s="26"/>
      <c r="H94" s="26"/>
      <c r="I94" s="26"/>
      <c r="J94" s="26"/>
      <c r="K94" s="26"/>
      <c r="L94" s="26"/>
      <c r="M94" s="26"/>
      <c r="N94" s="26"/>
      <c r="O94" s="26"/>
      <c r="P94" s="26"/>
      <c r="Q94" s="26"/>
      <c r="R94" s="26"/>
      <c r="S94" s="26"/>
      <c r="T94" s="26"/>
      <c r="U94" s="26"/>
      <c r="V94" s="26"/>
      <c r="W94" s="26"/>
      <c r="X94" s="26"/>
      <c r="Y94" s="26"/>
      <c r="Z94" s="26"/>
    </row>
    <row r="95" spans="1:26" ht="19.5" customHeight="1" x14ac:dyDescent="0.85">
      <c r="A95" s="26"/>
      <c r="B95" s="26"/>
      <c r="C95" s="26"/>
      <c r="D95" s="26"/>
      <c r="E95" s="26"/>
      <c r="F95" s="26"/>
      <c r="G95" s="26"/>
      <c r="H95" s="26"/>
      <c r="I95" s="26"/>
      <c r="J95" s="26"/>
      <c r="K95" s="26"/>
      <c r="L95" s="26"/>
      <c r="M95" s="26"/>
      <c r="N95" s="26"/>
      <c r="O95" s="26"/>
      <c r="P95" s="26"/>
      <c r="Q95" s="26"/>
      <c r="R95" s="26"/>
      <c r="S95" s="26"/>
      <c r="T95" s="26"/>
      <c r="U95" s="26"/>
      <c r="V95" s="26"/>
      <c r="W95" s="26"/>
      <c r="X95" s="26"/>
      <c r="Y95" s="26"/>
      <c r="Z95" s="26"/>
    </row>
    <row r="96" spans="1:26" ht="19.5" customHeight="1" x14ac:dyDescent="0.85">
      <c r="A96" s="26"/>
      <c r="B96" s="26"/>
      <c r="C96" s="26"/>
      <c r="D96" s="26"/>
      <c r="E96" s="26"/>
      <c r="F96" s="26"/>
      <c r="G96" s="26"/>
      <c r="H96" s="26"/>
      <c r="I96" s="26"/>
      <c r="J96" s="26"/>
      <c r="K96" s="26"/>
      <c r="L96" s="26"/>
      <c r="M96" s="26"/>
      <c r="N96" s="26"/>
      <c r="O96" s="26"/>
      <c r="P96" s="26"/>
      <c r="Q96" s="26"/>
      <c r="R96" s="26"/>
      <c r="S96" s="26"/>
      <c r="T96" s="26"/>
      <c r="U96" s="26"/>
      <c r="V96" s="26"/>
      <c r="W96" s="26"/>
      <c r="X96" s="26"/>
      <c r="Y96" s="26"/>
      <c r="Z96" s="26"/>
    </row>
    <row r="97" spans="1:26" ht="19.5" customHeight="1" x14ac:dyDescent="0.85">
      <c r="A97" s="26"/>
      <c r="B97" s="26"/>
      <c r="C97" s="26"/>
      <c r="D97" s="26"/>
      <c r="E97" s="26"/>
      <c r="F97" s="26"/>
      <c r="G97" s="26"/>
      <c r="H97" s="26"/>
      <c r="I97" s="26"/>
      <c r="J97" s="26"/>
      <c r="K97" s="26"/>
      <c r="L97" s="26"/>
      <c r="M97" s="26"/>
      <c r="N97" s="26"/>
      <c r="O97" s="26"/>
      <c r="P97" s="26"/>
      <c r="Q97" s="26"/>
      <c r="R97" s="26"/>
      <c r="S97" s="26"/>
      <c r="T97" s="26"/>
      <c r="U97" s="26"/>
      <c r="V97" s="26"/>
      <c r="W97" s="26"/>
      <c r="X97" s="26"/>
      <c r="Y97" s="26"/>
      <c r="Z97" s="26"/>
    </row>
    <row r="98" spans="1:26" ht="19.5" customHeight="1" x14ac:dyDescent="0.85">
      <c r="A98" s="26"/>
      <c r="B98" s="26"/>
      <c r="C98" s="26"/>
      <c r="D98" s="26"/>
      <c r="E98" s="26"/>
      <c r="F98" s="26"/>
      <c r="G98" s="26"/>
      <c r="H98" s="26"/>
      <c r="I98" s="26"/>
      <c r="J98" s="26"/>
      <c r="K98" s="26"/>
      <c r="L98" s="26"/>
      <c r="M98" s="26"/>
      <c r="N98" s="26"/>
      <c r="O98" s="26"/>
      <c r="P98" s="26"/>
      <c r="Q98" s="26"/>
      <c r="R98" s="26"/>
      <c r="S98" s="26"/>
      <c r="T98" s="26"/>
      <c r="U98" s="26"/>
      <c r="V98" s="26"/>
      <c r="W98" s="26"/>
      <c r="X98" s="26"/>
      <c r="Y98" s="26"/>
      <c r="Z98" s="26"/>
    </row>
    <row r="99" spans="1:26" ht="19.5" customHeight="1" x14ac:dyDescent="0.85">
      <c r="A99" s="26"/>
      <c r="B99" s="26"/>
      <c r="C99" s="26"/>
      <c r="D99" s="26"/>
      <c r="E99" s="26"/>
      <c r="F99" s="26"/>
      <c r="G99" s="26"/>
      <c r="H99" s="26"/>
      <c r="I99" s="26"/>
      <c r="J99" s="26"/>
      <c r="K99" s="26"/>
      <c r="L99" s="26"/>
      <c r="M99" s="26"/>
      <c r="N99" s="26"/>
      <c r="O99" s="26"/>
      <c r="P99" s="26"/>
      <c r="Q99" s="26"/>
      <c r="R99" s="26"/>
      <c r="S99" s="26"/>
      <c r="T99" s="26"/>
      <c r="U99" s="26"/>
      <c r="V99" s="26"/>
      <c r="W99" s="26"/>
      <c r="X99" s="26"/>
      <c r="Y99" s="26"/>
      <c r="Z99" s="26"/>
    </row>
    <row r="100" spans="1:26" ht="19.5" customHeight="1" x14ac:dyDescent="0.85">
      <c r="A100" s="26"/>
      <c r="B100" s="26"/>
      <c r="C100" s="26"/>
      <c r="D100" s="26"/>
      <c r="E100" s="26"/>
      <c r="F100" s="26"/>
      <c r="G100" s="26"/>
      <c r="H100" s="26"/>
      <c r="I100" s="26"/>
      <c r="J100" s="26"/>
      <c r="K100" s="26"/>
      <c r="L100" s="26"/>
      <c r="M100" s="26"/>
      <c r="N100" s="26"/>
      <c r="O100" s="26"/>
      <c r="P100" s="26"/>
      <c r="Q100" s="26"/>
      <c r="R100" s="26"/>
      <c r="S100" s="26"/>
      <c r="T100" s="26"/>
      <c r="U100" s="26"/>
      <c r="V100" s="26"/>
      <c r="W100" s="26"/>
      <c r="X100" s="26"/>
      <c r="Y100" s="26"/>
      <c r="Z100" s="26"/>
    </row>
    <row r="101" spans="1:26" ht="19.5" customHeight="1" x14ac:dyDescent="0.85">
      <c r="A101" s="26"/>
      <c r="B101" s="26"/>
      <c r="C101" s="26"/>
      <c r="D101" s="26"/>
      <c r="E101" s="26"/>
      <c r="F101" s="26"/>
      <c r="G101" s="26"/>
      <c r="H101" s="26"/>
      <c r="I101" s="26"/>
      <c r="J101" s="26"/>
      <c r="K101" s="26"/>
      <c r="L101" s="26"/>
      <c r="M101" s="26"/>
      <c r="N101" s="26"/>
      <c r="O101" s="26"/>
      <c r="P101" s="26"/>
      <c r="Q101" s="26"/>
      <c r="R101" s="26"/>
      <c r="S101" s="26"/>
      <c r="T101" s="26"/>
      <c r="U101" s="26"/>
      <c r="V101" s="26"/>
      <c r="W101" s="26"/>
      <c r="X101" s="26"/>
      <c r="Y101" s="26"/>
      <c r="Z101" s="26"/>
    </row>
    <row r="102" spans="1:26" ht="19.5" customHeight="1" x14ac:dyDescent="0.85">
      <c r="A102" s="26"/>
      <c r="B102" s="26"/>
      <c r="C102" s="26"/>
      <c r="D102" s="26"/>
      <c r="E102" s="26"/>
      <c r="F102" s="26"/>
      <c r="G102" s="26"/>
      <c r="H102" s="26"/>
      <c r="I102" s="26"/>
      <c r="J102" s="26"/>
      <c r="K102" s="26"/>
      <c r="L102" s="26"/>
      <c r="M102" s="26"/>
      <c r="N102" s="26"/>
      <c r="O102" s="26"/>
      <c r="P102" s="26"/>
      <c r="Q102" s="26"/>
      <c r="R102" s="26"/>
      <c r="S102" s="26"/>
      <c r="T102" s="26"/>
      <c r="U102" s="26"/>
      <c r="V102" s="26"/>
      <c r="W102" s="26"/>
      <c r="X102" s="26"/>
      <c r="Y102" s="26"/>
      <c r="Z102" s="26"/>
    </row>
    <row r="103" spans="1:26" ht="19.5" customHeight="1" x14ac:dyDescent="0.85">
      <c r="A103" s="26"/>
      <c r="B103" s="26"/>
      <c r="C103" s="26"/>
      <c r="D103" s="26"/>
      <c r="E103" s="26"/>
      <c r="F103" s="26"/>
      <c r="G103" s="26"/>
      <c r="H103" s="26"/>
      <c r="I103" s="26"/>
      <c r="J103" s="26"/>
      <c r="K103" s="26"/>
      <c r="L103" s="26"/>
      <c r="M103" s="26"/>
      <c r="N103" s="26"/>
      <c r="O103" s="26"/>
      <c r="P103" s="26"/>
      <c r="Q103" s="26"/>
      <c r="R103" s="26"/>
      <c r="S103" s="26"/>
      <c r="T103" s="26"/>
      <c r="U103" s="26"/>
      <c r="V103" s="26"/>
      <c r="W103" s="26"/>
      <c r="X103" s="26"/>
      <c r="Y103" s="26"/>
      <c r="Z103" s="26"/>
    </row>
    <row r="104" spans="1:26" ht="19.5" customHeight="1" x14ac:dyDescent="0.85">
      <c r="A104" s="26"/>
      <c r="B104" s="26"/>
      <c r="C104" s="26"/>
      <c r="D104" s="26"/>
      <c r="E104" s="26"/>
      <c r="F104" s="26"/>
      <c r="G104" s="26"/>
      <c r="H104" s="26"/>
      <c r="I104" s="26"/>
      <c r="J104" s="26"/>
      <c r="K104" s="26"/>
      <c r="L104" s="26"/>
      <c r="M104" s="26"/>
      <c r="N104" s="26"/>
      <c r="O104" s="26"/>
      <c r="P104" s="26"/>
      <c r="Q104" s="26"/>
      <c r="R104" s="26"/>
      <c r="S104" s="26"/>
      <c r="T104" s="26"/>
      <c r="U104" s="26"/>
      <c r="V104" s="26"/>
      <c r="W104" s="26"/>
      <c r="X104" s="26"/>
      <c r="Y104" s="26"/>
      <c r="Z104" s="26"/>
    </row>
    <row r="105" spans="1:26" ht="19.5" customHeight="1" x14ac:dyDescent="0.85">
      <c r="A105" s="26"/>
      <c r="B105" s="26"/>
      <c r="C105" s="26"/>
      <c r="D105" s="26"/>
      <c r="E105" s="26"/>
      <c r="F105" s="26"/>
      <c r="G105" s="26"/>
      <c r="H105" s="26"/>
      <c r="I105" s="26"/>
      <c r="J105" s="26"/>
      <c r="K105" s="26"/>
      <c r="L105" s="26"/>
      <c r="M105" s="26"/>
      <c r="N105" s="26"/>
      <c r="O105" s="26"/>
      <c r="P105" s="26"/>
      <c r="Q105" s="26"/>
      <c r="R105" s="26"/>
      <c r="S105" s="26"/>
      <c r="T105" s="26"/>
      <c r="U105" s="26"/>
      <c r="V105" s="26"/>
      <c r="W105" s="26"/>
      <c r="X105" s="26"/>
      <c r="Y105" s="26"/>
      <c r="Z105" s="26"/>
    </row>
    <row r="106" spans="1:26" ht="19.5" customHeight="1" x14ac:dyDescent="0.85">
      <c r="A106" s="26"/>
      <c r="B106" s="26"/>
      <c r="C106" s="26"/>
      <c r="D106" s="26"/>
      <c r="E106" s="26"/>
      <c r="F106" s="26"/>
      <c r="G106" s="26"/>
      <c r="H106" s="26"/>
      <c r="I106" s="26"/>
      <c r="J106" s="26"/>
      <c r="K106" s="26"/>
      <c r="L106" s="26"/>
      <c r="M106" s="26"/>
      <c r="N106" s="26"/>
      <c r="O106" s="26"/>
      <c r="P106" s="26"/>
      <c r="Q106" s="26"/>
      <c r="R106" s="26"/>
      <c r="S106" s="26"/>
      <c r="T106" s="26"/>
      <c r="U106" s="26"/>
      <c r="V106" s="26"/>
      <c r="W106" s="26"/>
      <c r="X106" s="26"/>
      <c r="Y106" s="26"/>
      <c r="Z106" s="26"/>
    </row>
    <row r="107" spans="1:26" ht="19.5" customHeight="1" x14ac:dyDescent="0.85">
      <c r="A107" s="26"/>
      <c r="B107" s="26"/>
      <c r="C107" s="26"/>
      <c r="D107" s="26"/>
      <c r="E107" s="26"/>
      <c r="F107" s="26"/>
      <c r="G107" s="26"/>
      <c r="H107" s="26"/>
      <c r="I107" s="26"/>
      <c r="J107" s="26"/>
      <c r="K107" s="26"/>
      <c r="L107" s="26"/>
      <c r="M107" s="26"/>
      <c r="N107" s="26"/>
      <c r="O107" s="26"/>
      <c r="P107" s="26"/>
      <c r="Q107" s="26"/>
      <c r="R107" s="26"/>
      <c r="S107" s="26"/>
      <c r="T107" s="26"/>
      <c r="U107" s="26"/>
      <c r="V107" s="26"/>
      <c r="W107" s="26"/>
      <c r="X107" s="26"/>
      <c r="Y107" s="26"/>
      <c r="Z107" s="26"/>
    </row>
    <row r="108" spans="1:26" ht="19.5" customHeight="1" x14ac:dyDescent="0.85">
      <c r="A108" s="26"/>
      <c r="B108" s="26"/>
      <c r="C108" s="26"/>
      <c r="D108" s="26"/>
      <c r="E108" s="26"/>
      <c r="F108" s="26"/>
      <c r="G108" s="26"/>
      <c r="H108" s="26"/>
      <c r="I108" s="26"/>
      <c r="J108" s="26"/>
      <c r="K108" s="26"/>
      <c r="L108" s="26"/>
      <c r="M108" s="26"/>
      <c r="N108" s="26"/>
      <c r="O108" s="26"/>
      <c r="P108" s="26"/>
      <c r="Q108" s="26"/>
      <c r="R108" s="26"/>
      <c r="S108" s="26"/>
      <c r="T108" s="26"/>
      <c r="U108" s="26"/>
      <c r="V108" s="26"/>
      <c r="W108" s="26"/>
      <c r="X108" s="26"/>
      <c r="Y108" s="26"/>
      <c r="Z108" s="26"/>
    </row>
    <row r="109" spans="1:26" ht="19.5" customHeight="1" x14ac:dyDescent="0.85">
      <c r="A109" s="26"/>
      <c r="B109" s="26"/>
      <c r="C109" s="26"/>
      <c r="D109" s="26"/>
      <c r="E109" s="26"/>
      <c r="F109" s="26"/>
      <c r="G109" s="26"/>
      <c r="H109" s="26"/>
      <c r="I109" s="26"/>
      <c r="J109" s="26"/>
      <c r="K109" s="26"/>
      <c r="L109" s="26"/>
      <c r="M109" s="26"/>
      <c r="N109" s="26"/>
      <c r="O109" s="26"/>
      <c r="P109" s="26"/>
      <c r="Q109" s="26"/>
      <c r="R109" s="26"/>
      <c r="S109" s="26"/>
      <c r="T109" s="26"/>
      <c r="U109" s="26"/>
      <c r="V109" s="26"/>
      <c r="W109" s="26"/>
      <c r="X109" s="26"/>
      <c r="Y109" s="26"/>
      <c r="Z109" s="26"/>
    </row>
    <row r="110" spans="1:26" ht="19.5" customHeight="1" x14ac:dyDescent="0.85">
      <c r="A110" s="26"/>
      <c r="B110" s="26"/>
      <c r="C110" s="26"/>
      <c r="D110" s="26"/>
      <c r="E110" s="26"/>
      <c r="F110" s="26"/>
      <c r="G110" s="26"/>
      <c r="H110" s="26"/>
      <c r="I110" s="26"/>
      <c r="J110" s="26"/>
      <c r="K110" s="26"/>
      <c r="L110" s="26"/>
      <c r="M110" s="26"/>
      <c r="N110" s="26"/>
      <c r="O110" s="26"/>
      <c r="P110" s="26"/>
      <c r="Q110" s="26"/>
      <c r="R110" s="26"/>
      <c r="S110" s="26"/>
      <c r="T110" s="26"/>
      <c r="U110" s="26"/>
      <c r="V110" s="26"/>
      <c r="W110" s="26"/>
      <c r="X110" s="26"/>
      <c r="Y110" s="26"/>
      <c r="Z110" s="26"/>
    </row>
    <row r="111" spans="1:26" ht="19.5" customHeight="1" x14ac:dyDescent="0.85">
      <c r="A111" s="26"/>
      <c r="B111" s="26"/>
      <c r="C111" s="26"/>
      <c r="D111" s="26"/>
      <c r="E111" s="26"/>
      <c r="F111" s="26"/>
      <c r="G111" s="26"/>
      <c r="H111" s="26"/>
      <c r="I111" s="26"/>
      <c r="J111" s="26"/>
      <c r="K111" s="26"/>
      <c r="L111" s="26"/>
      <c r="M111" s="26"/>
      <c r="N111" s="26"/>
      <c r="O111" s="26"/>
      <c r="P111" s="26"/>
      <c r="Q111" s="26"/>
      <c r="R111" s="26"/>
      <c r="S111" s="26"/>
      <c r="T111" s="26"/>
      <c r="U111" s="26"/>
      <c r="V111" s="26"/>
      <c r="W111" s="26"/>
      <c r="X111" s="26"/>
      <c r="Y111" s="26"/>
      <c r="Z111" s="26"/>
    </row>
    <row r="112" spans="1:26" ht="19.5" customHeight="1" x14ac:dyDescent="0.85">
      <c r="A112" s="26"/>
      <c r="B112" s="26"/>
      <c r="C112" s="26"/>
      <c r="D112" s="26"/>
      <c r="E112" s="26"/>
      <c r="F112" s="26"/>
      <c r="G112" s="26"/>
      <c r="H112" s="26"/>
      <c r="I112" s="26"/>
      <c r="J112" s="26"/>
      <c r="K112" s="26"/>
      <c r="L112" s="26"/>
      <c r="M112" s="26"/>
      <c r="N112" s="26"/>
      <c r="O112" s="26"/>
      <c r="P112" s="26"/>
      <c r="Q112" s="26"/>
      <c r="R112" s="26"/>
      <c r="S112" s="26"/>
      <c r="T112" s="26"/>
      <c r="U112" s="26"/>
      <c r="V112" s="26"/>
      <c r="W112" s="26"/>
      <c r="X112" s="26"/>
      <c r="Y112" s="26"/>
      <c r="Z112" s="26"/>
    </row>
    <row r="113" spans="1:26" ht="19.5" customHeight="1" x14ac:dyDescent="0.85">
      <c r="A113" s="26"/>
      <c r="B113" s="26"/>
      <c r="C113" s="26"/>
      <c r="D113" s="26"/>
      <c r="E113" s="26"/>
      <c r="F113" s="26"/>
      <c r="G113" s="26"/>
      <c r="H113" s="26"/>
      <c r="I113" s="26"/>
      <c r="J113" s="26"/>
      <c r="K113" s="26"/>
      <c r="L113" s="26"/>
      <c r="M113" s="26"/>
      <c r="N113" s="26"/>
      <c r="O113" s="26"/>
      <c r="P113" s="26"/>
      <c r="Q113" s="26"/>
      <c r="R113" s="26"/>
      <c r="S113" s="26"/>
      <c r="T113" s="26"/>
      <c r="U113" s="26"/>
      <c r="V113" s="26"/>
      <c r="W113" s="26"/>
      <c r="X113" s="26"/>
      <c r="Y113" s="26"/>
      <c r="Z113" s="26"/>
    </row>
    <row r="114" spans="1:26" ht="19.5" customHeight="1" x14ac:dyDescent="0.85">
      <c r="A114" s="26"/>
      <c r="B114" s="26"/>
      <c r="C114" s="26"/>
      <c r="D114" s="26"/>
      <c r="E114" s="26"/>
      <c r="F114" s="26"/>
      <c r="G114" s="26"/>
      <c r="H114" s="26"/>
      <c r="I114" s="26"/>
      <c r="J114" s="26"/>
      <c r="K114" s="26"/>
      <c r="L114" s="26"/>
      <c r="M114" s="26"/>
      <c r="N114" s="26"/>
      <c r="O114" s="26"/>
      <c r="P114" s="26"/>
      <c r="Q114" s="26"/>
      <c r="R114" s="26"/>
      <c r="S114" s="26"/>
      <c r="T114" s="26"/>
      <c r="U114" s="26"/>
      <c r="V114" s="26"/>
      <c r="W114" s="26"/>
      <c r="X114" s="26"/>
      <c r="Y114" s="26"/>
      <c r="Z114" s="26"/>
    </row>
    <row r="115" spans="1:26" ht="19.5" customHeight="1" x14ac:dyDescent="0.85">
      <c r="A115" s="26"/>
      <c r="B115" s="26"/>
      <c r="C115" s="26"/>
      <c r="D115" s="26"/>
      <c r="E115" s="26"/>
      <c r="F115" s="26"/>
      <c r="G115" s="26"/>
      <c r="H115" s="26"/>
      <c r="I115" s="26"/>
      <c r="J115" s="26"/>
      <c r="K115" s="26"/>
      <c r="L115" s="26"/>
      <c r="M115" s="26"/>
      <c r="N115" s="26"/>
      <c r="O115" s="26"/>
      <c r="P115" s="26"/>
      <c r="Q115" s="26"/>
      <c r="R115" s="26"/>
      <c r="S115" s="26"/>
      <c r="T115" s="26"/>
      <c r="U115" s="26"/>
      <c r="V115" s="26"/>
      <c r="W115" s="26"/>
      <c r="X115" s="26"/>
      <c r="Y115" s="26"/>
      <c r="Z115" s="26"/>
    </row>
    <row r="116" spans="1:26" ht="19.5" customHeight="1" x14ac:dyDescent="0.85">
      <c r="A116" s="26"/>
      <c r="B116" s="26"/>
      <c r="C116" s="26"/>
      <c r="D116" s="26"/>
      <c r="E116" s="26"/>
      <c r="F116" s="26"/>
      <c r="G116" s="26"/>
      <c r="H116" s="26"/>
      <c r="I116" s="26"/>
      <c r="J116" s="26"/>
      <c r="K116" s="26"/>
      <c r="L116" s="26"/>
      <c r="M116" s="26"/>
      <c r="N116" s="26"/>
      <c r="O116" s="26"/>
      <c r="P116" s="26"/>
      <c r="Q116" s="26"/>
      <c r="R116" s="26"/>
      <c r="S116" s="26"/>
      <c r="T116" s="26"/>
      <c r="U116" s="26"/>
      <c r="V116" s="26"/>
      <c r="W116" s="26"/>
      <c r="X116" s="26"/>
      <c r="Y116" s="26"/>
      <c r="Z116" s="26"/>
    </row>
    <row r="117" spans="1:26" ht="19.5" customHeight="1" x14ac:dyDescent="0.85">
      <c r="A117" s="26"/>
      <c r="B117" s="26"/>
      <c r="C117" s="26"/>
      <c r="D117" s="26"/>
      <c r="E117" s="26"/>
      <c r="F117" s="26"/>
      <c r="G117" s="26"/>
      <c r="H117" s="26"/>
      <c r="I117" s="26"/>
      <c r="J117" s="26"/>
      <c r="K117" s="26"/>
      <c r="L117" s="26"/>
      <c r="M117" s="26"/>
      <c r="N117" s="26"/>
      <c r="O117" s="26"/>
      <c r="P117" s="26"/>
      <c r="Q117" s="26"/>
      <c r="R117" s="26"/>
      <c r="S117" s="26"/>
      <c r="T117" s="26"/>
      <c r="U117" s="26"/>
      <c r="V117" s="26"/>
      <c r="W117" s="26"/>
      <c r="X117" s="26"/>
      <c r="Y117" s="26"/>
      <c r="Z117" s="26"/>
    </row>
    <row r="118" spans="1:26" ht="19.5" customHeight="1" x14ac:dyDescent="0.85">
      <c r="A118" s="26"/>
      <c r="B118" s="26"/>
      <c r="C118" s="26"/>
      <c r="D118" s="26"/>
      <c r="E118" s="26"/>
      <c r="F118" s="26"/>
      <c r="G118" s="26"/>
      <c r="H118" s="26"/>
      <c r="I118" s="26"/>
      <c r="J118" s="26"/>
      <c r="K118" s="26"/>
      <c r="L118" s="26"/>
      <c r="M118" s="26"/>
      <c r="N118" s="26"/>
      <c r="O118" s="26"/>
      <c r="P118" s="26"/>
      <c r="Q118" s="26"/>
      <c r="R118" s="26"/>
      <c r="S118" s="26"/>
      <c r="T118" s="26"/>
      <c r="U118" s="26"/>
      <c r="V118" s="26"/>
      <c r="W118" s="26"/>
      <c r="X118" s="26"/>
      <c r="Y118" s="26"/>
      <c r="Z118" s="26"/>
    </row>
    <row r="119" spans="1:26" ht="19.5" customHeight="1" x14ac:dyDescent="0.85">
      <c r="A119" s="26"/>
      <c r="B119" s="26"/>
      <c r="C119" s="26"/>
      <c r="D119" s="26"/>
      <c r="E119" s="26"/>
      <c r="F119" s="26"/>
      <c r="G119" s="26"/>
      <c r="H119" s="26"/>
      <c r="I119" s="26"/>
      <c r="J119" s="26"/>
      <c r="K119" s="26"/>
      <c r="L119" s="26"/>
      <c r="M119" s="26"/>
      <c r="N119" s="26"/>
      <c r="O119" s="26"/>
      <c r="P119" s="26"/>
      <c r="Q119" s="26"/>
      <c r="R119" s="26"/>
      <c r="S119" s="26"/>
      <c r="T119" s="26"/>
      <c r="U119" s="26"/>
      <c r="V119" s="26"/>
      <c r="W119" s="26"/>
      <c r="X119" s="26"/>
      <c r="Y119" s="26"/>
      <c r="Z119" s="26"/>
    </row>
    <row r="120" spans="1:26" ht="19.5" customHeight="1" x14ac:dyDescent="0.85">
      <c r="A120" s="26"/>
      <c r="B120" s="26"/>
      <c r="C120" s="26"/>
      <c r="D120" s="26"/>
      <c r="E120" s="26"/>
      <c r="F120" s="26"/>
      <c r="G120" s="26"/>
      <c r="H120" s="26"/>
      <c r="I120" s="26"/>
      <c r="J120" s="26"/>
      <c r="K120" s="26"/>
      <c r="L120" s="26"/>
      <c r="M120" s="26"/>
      <c r="N120" s="26"/>
      <c r="O120" s="26"/>
      <c r="P120" s="26"/>
      <c r="Q120" s="26"/>
      <c r="R120" s="26"/>
      <c r="S120" s="26"/>
      <c r="T120" s="26"/>
      <c r="U120" s="26"/>
      <c r="V120" s="26"/>
      <c r="W120" s="26"/>
      <c r="X120" s="26"/>
      <c r="Y120" s="26"/>
      <c r="Z120" s="26"/>
    </row>
    <row r="121" spans="1:26" ht="19.5" customHeight="1" x14ac:dyDescent="0.85">
      <c r="A121" s="26"/>
      <c r="B121" s="26"/>
      <c r="C121" s="26"/>
      <c r="D121" s="26"/>
      <c r="E121" s="26"/>
      <c r="F121" s="26"/>
      <c r="G121" s="26"/>
      <c r="H121" s="26"/>
      <c r="I121" s="26"/>
      <c r="J121" s="26"/>
      <c r="K121" s="26"/>
      <c r="L121" s="26"/>
      <c r="M121" s="26"/>
      <c r="N121" s="26"/>
      <c r="O121" s="26"/>
      <c r="P121" s="26"/>
      <c r="Q121" s="26"/>
      <c r="R121" s="26"/>
      <c r="S121" s="26"/>
      <c r="T121" s="26"/>
      <c r="U121" s="26"/>
      <c r="V121" s="26"/>
      <c r="W121" s="26"/>
      <c r="X121" s="26"/>
      <c r="Y121" s="26"/>
      <c r="Z121" s="26"/>
    </row>
    <row r="122" spans="1:26" ht="19.5" customHeight="1" x14ac:dyDescent="0.85">
      <c r="A122" s="26"/>
      <c r="B122" s="26"/>
      <c r="C122" s="26"/>
      <c r="D122" s="26"/>
      <c r="E122" s="26"/>
      <c r="F122" s="26"/>
      <c r="G122" s="26"/>
      <c r="H122" s="26"/>
      <c r="I122" s="26"/>
      <c r="J122" s="26"/>
      <c r="K122" s="26"/>
      <c r="L122" s="26"/>
      <c r="M122" s="26"/>
      <c r="N122" s="26"/>
      <c r="O122" s="26"/>
      <c r="P122" s="26"/>
      <c r="Q122" s="26"/>
      <c r="R122" s="26"/>
      <c r="S122" s="26"/>
      <c r="T122" s="26"/>
      <c r="U122" s="26"/>
      <c r="V122" s="26"/>
      <c r="W122" s="26"/>
      <c r="X122" s="26"/>
      <c r="Y122" s="26"/>
      <c r="Z122" s="26"/>
    </row>
    <row r="123" spans="1:26" ht="19.5" customHeight="1" x14ac:dyDescent="0.85">
      <c r="A123" s="26"/>
      <c r="B123" s="26"/>
      <c r="C123" s="26"/>
      <c r="D123" s="26"/>
      <c r="E123" s="26"/>
      <c r="F123" s="26"/>
      <c r="G123" s="26"/>
      <c r="H123" s="26"/>
      <c r="I123" s="26"/>
      <c r="J123" s="26"/>
      <c r="K123" s="26"/>
      <c r="L123" s="26"/>
      <c r="M123" s="26"/>
      <c r="N123" s="26"/>
      <c r="O123" s="26"/>
      <c r="P123" s="26"/>
      <c r="Q123" s="26"/>
      <c r="R123" s="26"/>
      <c r="S123" s="26"/>
      <c r="T123" s="26"/>
      <c r="U123" s="26"/>
      <c r="V123" s="26"/>
      <c r="W123" s="26"/>
      <c r="X123" s="26"/>
      <c r="Y123" s="26"/>
      <c r="Z123" s="26"/>
    </row>
    <row r="124" spans="1:26" ht="19.5" customHeight="1" x14ac:dyDescent="0.85">
      <c r="A124" s="26"/>
      <c r="B124" s="26"/>
      <c r="C124" s="26"/>
      <c r="D124" s="26"/>
      <c r="E124" s="26"/>
      <c r="F124" s="26"/>
      <c r="G124" s="26"/>
      <c r="H124" s="26"/>
      <c r="I124" s="26"/>
      <c r="J124" s="26"/>
      <c r="K124" s="26"/>
      <c r="L124" s="26"/>
      <c r="M124" s="26"/>
      <c r="N124" s="26"/>
      <c r="O124" s="26"/>
      <c r="P124" s="26"/>
      <c r="Q124" s="26"/>
      <c r="R124" s="26"/>
      <c r="S124" s="26"/>
      <c r="T124" s="26"/>
      <c r="U124" s="26"/>
      <c r="V124" s="26"/>
      <c r="W124" s="26"/>
      <c r="X124" s="26"/>
      <c r="Y124" s="26"/>
      <c r="Z124" s="26"/>
    </row>
    <row r="125" spans="1:26" ht="19.5" customHeight="1" x14ac:dyDescent="0.85">
      <c r="A125" s="26"/>
      <c r="B125" s="26"/>
      <c r="C125" s="26"/>
      <c r="D125" s="26"/>
      <c r="E125" s="26"/>
      <c r="F125" s="26"/>
      <c r="G125" s="26"/>
      <c r="H125" s="26"/>
      <c r="I125" s="26"/>
      <c r="J125" s="26"/>
      <c r="K125" s="26"/>
      <c r="L125" s="26"/>
      <c r="M125" s="26"/>
      <c r="N125" s="26"/>
      <c r="O125" s="26"/>
      <c r="P125" s="26"/>
      <c r="Q125" s="26"/>
      <c r="R125" s="26"/>
      <c r="S125" s="26"/>
      <c r="T125" s="26"/>
      <c r="U125" s="26"/>
      <c r="V125" s="26"/>
      <c r="W125" s="26"/>
      <c r="X125" s="26"/>
      <c r="Y125" s="26"/>
      <c r="Z125" s="26"/>
    </row>
    <row r="126" spans="1:26" ht="19.5" customHeight="1" x14ac:dyDescent="0.85">
      <c r="A126" s="26"/>
      <c r="B126" s="26"/>
      <c r="C126" s="26"/>
      <c r="D126" s="26"/>
      <c r="E126" s="26"/>
      <c r="F126" s="26"/>
      <c r="G126" s="26"/>
      <c r="H126" s="26"/>
      <c r="I126" s="26"/>
      <c r="J126" s="26"/>
      <c r="K126" s="26"/>
      <c r="L126" s="26"/>
      <c r="M126" s="26"/>
      <c r="N126" s="26"/>
      <c r="O126" s="26"/>
      <c r="P126" s="26"/>
      <c r="Q126" s="26"/>
      <c r="R126" s="26"/>
      <c r="S126" s="26"/>
      <c r="T126" s="26"/>
      <c r="U126" s="26"/>
      <c r="V126" s="26"/>
      <c r="W126" s="26"/>
      <c r="X126" s="26"/>
      <c r="Y126" s="26"/>
      <c r="Z126" s="26"/>
    </row>
    <row r="127" spans="1:26" ht="19.5" customHeight="1" x14ac:dyDescent="0.85">
      <c r="A127" s="26"/>
      <c r="B127" s="26"/>
      <c r="C127" s="26"/>
      <c r="D127" s="26"/>
      <c r="E127" s="26"/>
      <c r="F127" s="26"/>
      <c r="G127" s="26"/>
      <c r="H127" s="26"/>
      <c r="I127" s="26"/>
      <c r="J127" s="26"/>
      <c r="K127" s="26"/>
      <c r="L127" s="26"/>
      <c r="M127" s="26"/>
      <c r="N127" s="26"/>
      <c r="O127" s="26"/>
      <c r="P127" s="26"/>
      <c r="Q127" s="26"/>
      <c r="R127" s="26"/>
      <c r="S127" s="26"/>
      <c r="T127" s="26"/>
      <c r="U127" s="26"/>
      <c r="V127" s="26"/>
      <c r="W127" s="26"/>
      <c r="X127" s="26"/>
      <c r="Y127" s="26"/>
      <c r="Z127" s="26"/>
    </row>
    <row r="128" spans="1:26" ht="19.5" customHeight="1" x14ac:dyDescent="0.85">
      <c r="A128" s="26"/>
      <c r="B128" s="26"/>
      <c r="C128" s="26"/>
      <c r="D128" s="26"/>
      <c r="E128" s="26"/>
      <c r="F128" s="26"/>
      <c r="G128" s="26"/>
      <c r="H128" s="26"/>
      <c r="I128" s="26"/>
      <c r="J128" s="26"/>
      <c r="K128" s="26"/>
      <c r="L128" s="26"/>
      <c r="M128" s="26"/>
      <c r="N128" s="26"/>
      <c r="O128" s="26"/>
      <c r="P128" s="26"/>
      <c r="Q128" s="26"/>
      <c r="R128" s="26"/>
      <c r="S128" s="26"/>
      <c r="T128" s="26"/>
      <c r="U128" s="26"/>
      <c r="V128" s="26"/>
      <c r="W128" s="26"/>
      <c r="X128" s="26"/>
      <c r="Y128" s="26"/>
      <c r="Z128" s="26"/>
    </row>
    <row r="129" spans="1:26" ht="19.5" customHeight="1" x14ac:dyDescent="0.85">
      <c r="A129" s="26"/>
      <c r="B129" s="26"/>
      <c r="C129" s="26"/>
      <c r="D129" s="26"/>
      <c r="E129" s="26"/>
      <c r="F129" s="26"/>
      <c r="G129" s="26"/>
      <c r="H129" s="26"/>
      <c r="I129" s="26"/>
      <c r="J129" s="26"/>
      <c r="K129" s="26"/>
      <c r="L129" s="26"/>
      <c r="M129" s="26"/>
      <c r="N129" s="26"/>
      <c r="O129" s="26"/>
      <c r="P129" s="26"/>
      <c r="Q129" s="26"/>
      <c r="R129" s="26"/>
      <c r="S129" s="26"/>
      <c r="T129" s="26"/>
      <c r="U129" s="26"/>
      <c r="V129" s="26"/>
      <c r="W129" s="26"/>
      <c r="X129" s="26"/>
      <c r="Y129" s="26"/>
      <c r="Z129" s="26"/>
    </row>
    <row r="130" spans="1:26" ht="19.5" customHeight="1" x14ac:dyDescent="0.85">
      <c r="A130" s="26"/>
      <c r="B130" s="26"/>
      <c r="C130" s="26"/>
      <c r="D130" s="26"/>
      <c r="E130" s="26"/>
      <c r="F130" s="26"/>
      <c r="G130" s="26"/>
      <c r="H130" s="26"/>
      <c r="I130" s="26"/>
      <c r="J130" s="26"/>
      <c r="K130" s="26"/>
      <c r="L130" s="26"/>
      <c r="M130" s="26"/>
      <c r="N130" s="26"/>
      <c r="O130" s="26"/>
      <c r="P130" s="26"/>
      <c r="Q130" s="26"/>
      <c r="R130" s="26"/>
      <c r="S130" s="26"/>
      <c r="T130" s="26"/>
      <c r="U130" s="26"/>
      <c r="V130" s="26"/>
      <c r="W130" s="26"/>
      <c r="X130" s="26"/>
      <c r="Y130" s="26"/>
      <c r="Z130" s="26"/>
    </row>
    <row r="131" spans="1:26" ht="19.5" customHeight="1" x14ac:dyDescent="0.85">
      <c r="A131" s="26"/>
      <c r="B131" s="26"/>
      <c r="C131" s="26"/>
      <c r="D131" s="26"/>
      <c r="E131" s="26"/>
      <c r="F131" s="26"/>
      <c r="G131" s="26"/>
      <c r="H131" s="26"/>
      <c r="I131" s="26"/>
      <c r="J131" s="26"/>
      <c r="K131" s="26"/>
      <c r="L131" s="26"/>
      <c r="M131" s="26"/>
      <c r="N131" s="26"/>
      <c r="O131" s="26"/>
      <c r="P131" s="26"/>
      <c r="Q131" s="26"/>
      <c r="R131" s="26"/>
      <c r="S131" s="26"/>
      <c r="T131" s="26"/>
      <c r="U131" s="26"/>
      <c r="V131" s="26"/>
      <c r="W131" s="26"/>
      <c r="X131" s="26"/>
      <c r="Y131" s="26"/>
      <c r="Z131" s="26"/>
    </row>
    <row r="132" spans="1:26" ht="19.5" customHeight="1" x14ac:dyDescent="0.85">
      <c r="A132" s="26"/>
      <c r="B132" s="26"/>
      <c r="C132" s="26"/>
      <c r="D132" s="26"/>
      <c r="E132" s="26"/>
      <c r="F132" s="26"/>
      <c r="G132" s="26"/>
      <c r="H132" s="26"/>
      <c r="I132" s="26"/>
      <c r="J132" s="26"/>
      <c r="K132" s="26"/>
      <c r="L132" s="26"/>
      <c r="M132" s="26"/>
      <c r="N132" s="26"/>
      <c r="O132" s="26"/>
      <c r="P132" s="26"/>
      <c r="Q132" s="26"/>
      <c r="R132" s="26"/>
      <c r="S132" s="26"/>
      <c r="T132" s="26"/>
      <c r="U132" s="26"/>
      <c r="V132" s="26"/>
      <c r="W132" s="26"/>
      <c r="X132" s="26"/>
      <c r="Y132" s="26"/>
      <c r="Z132" s="26"/>
    </row>
    <row r="133" spans="1:26" ht="19.5" customHeight="1" x14ac:dyDescent="0.85">
      <c r="A133" s="26"/>
      <c r="B133" s="26"/>
      <c r="C133" s="26"/>
      <c r="D133" s="26"/>
      <c r="E133" s="26"/>
      <c r="F133" s="26"/>
      <c r="G133" s="26"/>
      <c r="H133" s="26"/>
      <c r="I133" s="26"/>
      <c r="J133" s="26"/>
      <c r="K133" s="26"/>
      <c r="L133" s="26"/>
      <c r="M133" s="26"/>
      <c r="N133" s="26"/>
      <c r="O133" s="26"/>
      <c r="P133" s="26"/>
      <c r="Q133" s="26"/>
      <c r="R133" s="26"/>
      <c r="S133" s="26"/>
      <c r="T133" s="26"/>
      <c r="U133" s="26"/>
      <c r="V133" s="26"/>
      <c r="W133" s="26"/>
      <c r="X133" s="26"/>
      <c r="Y133" s="26"/>
      <c r="Z133" s="26"/>
    </row>
    <row r="134" spans="1:26" ht="19.5" customHeight="1" x14ac:dyDescent="0.85">
      <c r="A134" s="26"/>
      <c r="B134" s="26"/>
      <c r="C134" s="26"/>
      <c r="D134" s="26"/>
      <c r="E134" s="26"/>
      <c r="F134" s="26"/>
      <c r="G134" s="26"/>
      <c r="H134" s="26"/>
      <c r="I134" s="26"/>
      <c r="J134" s="26"/>
      <c r="K134" s="26"/>
      <c r="L134" s="26"/>
      <c r="M134" s="26"/>
      <c r="N134" s="26"/>
      <c r="O134" s="26"/>
      <c r="P134" s="26"/>
      <c r="Q134" s="26"/>
      <c r="R134" s="26"/>
      <c r="S134" s="26"/>
      <c r="T134" s="26"/>
      <c r="U134" s="26"/>
      <c r="V134" s="26"/>
      <c r="W134" s="26"/>
      <c r="X134" s="26"/>
      <c r="Y134" s="26"/>
      <c r="Z134" s="26"/>
    </row>
    <row r="135" spans="1:26" ht="19.5" customHeight="1" x14ac:dyDescent="0.85">
      <c r="A135" s="26"/>
      <c r="B135" s="26"/>
      <c r="C135" s="26"/>
      <c r="D135" s="26"/>
      <c r="E135" s="26"/>
      <c r="F135" s="26"/>
      <c r="G135" s="26"/>
      <c r="H135" s="26"/>
      <c r="I135" s="26"/>
      <c r="J135" s="26"/>
      <c r="K135" s="26"/>
      <c r="L135" s="26"/>
      <c r="M135" s="26"/>
      <c r="N135" s="26"/>
      <c r="O135" s="26"/>
      <c r="P135" s="26"/>
      <c r="Q135" s="26"/>
      <c r="R135" s="26"/>
      <c r="S135" s="26"/>
      <c r="T135" s="26"/>
      <c r="U135" s="26"/>
      <c r="V135" s="26"/>
      <c r="W135" s="26"/>
      <c r="X135" s="26"/>
      <c r="Y135" s="26"/>
      <c r="Z135" s="26"/>
    </row>
    <row r="136" spans="1:26" ht="19.5" customHeight="1" x14ac:dyDescent="0.85">
      <c r="A136" s="26"/>
      <c r="B136" s="26"/>
      <c r="C136" s="26"/>
      <c r="D136" s="26"/>
      <c r="E136" s="26"/>
      <c r="F136" s="26"/>
      <c r="G136" s="26"/>
      <c r="H136" s="26"/>
      <c r="I136" s="26"/>
      <c r="J136" s="26"/>
      <c r="K136" s="26"/>
      <c r="L136" s="26"/>
      <c r="M136" s="26"/>
      <c r="N136" s="26"/>
      <c r="O136" s="26"/>
      <c r="P136" s="26"/>
      <c r="Q136" s="26"/>
      <c r="R136" s="26"/>
      <c r="S136" s="26"/>
      <c r="T136" s="26"/>
      <c r="U136" s="26"/>
      <c r="V136" s="26"/>
      <c r="W136" s="26"/>
      <c r="X136" s="26"/>
      <c r="Y136" s="26"/>
      <c r="Z136" s="26"/>
    </row>
    <row r="137" spans="1:26" ht="19.5" customHeight="1" x14ac:dyDescent="0.85">
      <c r="A137" s="26"/>
      <c r="B137" s="26"/>
      <c r="C137" s="26"/>
      <c r="D137" s="26"/>
      <c r="E137" s="26"/>
      <c r="F137" s="26"/>
      <c r="G137" s="26"/>
      <c r="H137" s="26"/>
      <c r="I137" s="26"/>
      <c r="J137" s="26"/>
      <c r="K137" s="26"/>
      <c r="L137" s="26"/>
      <c r="M137" s="26"/>
      <c r="N137" s="26"/>
      <c r="O137" s="26"/>
      <c r="P137" s="26"/>
      <c r="Q137" s="26"/>
      <c r="R137" s="26"/>
      <c r="S137" s="26"/>
      <c r="T137" s="26"/>
      <c r="U137" s="26"/>
      <c r="V137" s="26"/>
      <c r="W137" s="26"/>
      <c r="X137" s="26"/>
      <c r="Y137" s="26"/>
      <c r="Z137" s="26"/>
    </row>
    <row r="138" spans="1:26" ht="19.5" customHeight="1" x14ac:dyDescent="0.85">
      <c r="A138" s="26"/>
      <c r="B138" s="26"/>
      <c r="C138" s="26"/>
      <c r="D138" s="26"/>
      <c r="E138" s="26"/>
      <c r="F138" s="26"/>
      <c r="G138" s="26"/>
      <c r="H138" s="26"/>
      <c r="I138" s="26"/>
      <c r="J138" s="26"/>
      <c r="K138" s="26"/>
      <c r="L138" s="26"/>
      <c r="M138" s="26"/>
      <c r="N138" s="26"/>
      <c r="O138" s="26"/>
      <c r="P138" s="26"/>
      <c r="Q138" s="26"/>
      <c r="R138" s="26"/>
      <c r="S138" s="26"/>
      <c r="T138" s="26"/>
      <c r="U138" s="26"/>
      <c r="V138" s="26"/>
      <c r="W138" s="26"/>
      <c r="X138" s="26"/>
      <c r="Y138" s="26"/>
      <c r="Z138" s="26"/>
    </row>
    <row r="139" spans="1:26" ht="19.5" customHeight="1" x14ac:dyDescent="0.85">
      <c r="A139" s="26"/>
      <c r="B139" s="26"/>
      <c r="C139" s="26"/>
      <c r="D139" s="26"/>
      <c r="E139" s="26"/>
      <c r="F139" s="26"/>
      <c r="G139" s="26"/>
      <c r="H139" s="26"/>
      <c r="I139" s="26"/>
      <c r="J139" s="26"/>
      <c r="K139" s="26"/>
      <c r="L139" s="26"/>
      <c r="M139" s="26"/>
      <c r="N139" s="26"/>
      <c r="O139" s="26"/>
      <c r="P139" s="26"/>
      <c r="Q139" s="26"/>
      <c r="R139" s="26"/>
      <c r="S139" s="26"/>
      <c r="T139" s="26"/>
      <c r="U139" s="26"/>
      <c r="V139" s="26"/>
      <c r="W139" s="26"/>
      <c r="X139" s="26"/>
      <c r="Y139" s="26"/>
      <c r="Z139" s="26"/>
    </row>
    <row r="140" spans="1:26" ht="19.5" customHeight="1" x14ac:dyDescent="0.85">
      <c r="A140" s="26"/>
      <c r="B140" s="26"/>
      <c r="C140" s="26"/>
      <c r="D140" s="26"/>
      <c r="E140" s="26"/>
      <c r="F140" s="26"/>
      <c r="G140" s="26"/>
      <c r="H140" s="26"/>
      <c r="I140" s="26"/>
      <c r="J140" s="26"/>
      <c r="K140" s="26"/>
      <c r="L140" s="26"/>
      <c r="M140" s="26"/>
      <c r="N140" s="26"/>
      <c r="O140" s="26"/>
      <c r="P140" s="26"/>
      <c r="Q140" s="26"/>
      <c r="R140" s="26"/>
      <c r="S140" s="26"/>
      <c r="T140" s="26"/>
      <c r="U140" s="26"/>
      <c r="V140" s="26"/>
      <c r="W140" s="26"/>
      <c r="X140" s="26"/>
      <c r="Y140" s="26"/>
      <c r="Z140" s="26"/>
    </row>
    <row r="141" spans="1:26" ht="19.5" customHeight="1" x14ac:dyDescent="0.85">
      <c r="A141" s="26"/>
      <c r="B141" s="26"/>
      <c r="C141" s="26"/>
      <c r="D141" s="26"/>
      <c r="E141" s="26"/>
      <c r="F141" s="26"/>
      <c r="G141" s="26"/>
      <c r="H141" s="26"/>
      <c r="I141" s="26"/>
      <c r="J141" s="26"/>
      <c r="K141" s="26"/>
      <c r="L141" s="26"/>
      <c r="M141" s="26"/>
      <c r="N141" s="26"/>
      <c r="O141" s="26"/>
      <c r="P141" s="26"/>
      <c r="Q141" s="26"/>
      <c r="R141" s="26"/>
      <c r="S141" s="26"/>
      <c r="T141" s="26"/>
      <c r="U141" s="26"/>
      <c r="V141" s="26"/>
      <c r="W141" s="26"/>
      <c r="X141" s="26"/>
      <c r="Y141" s="26"/>
      <c r="Z141" s="26"/>
    </row>
    <row r="142" spans="1:26" ht="19.5" customHeight="1" x14ac:dyDescent="0.85">
      <c r="A142" s="26"/>
      <c r="B142" s="26"/>
      <c r="C142" s="26"/>
      <c r="D142" s="26"/>
      <c r="E142" s="26"/>
      <c r="F142" s="26"/>
      <c r="G142" s="26"/>
      <c r="H142" s="26"/>
      <c r="I142" s="26"/>
      <c r="J142" s="26"/>
      <c r="K142" s="26"/>
      <c r="L142" s="26"/>
      <c r="M142" s="26"/>
      <c r="N142" s="26"/>
      <c r="O142" s="26"/>
      <c r="P142" s="26"/>
      <c r="Q142" s="26"/>
      <c r="R142" s="26"/>
      <c r="S142" s="26"/>
      <c r="T142" s="26"/>
      <c r="U142" s="26"/>
      <c r="V142" s="26"/>
      <c r="W142" s="26"/>
      <c r="X142" s="26"/>
      <c r="Y142" s="26"/>
      <c r="Z142" s="26"/>
    </row>
    <row r="143" spans="1:26" ht="19.5" customHeight="1" x14ac:dyDescent="0.85">
      <c r="A143" s="26"/>
      <c r="B143" s="26"/>
      <c r="C143" s="26"/>
      <c r="D143" s="26"/>
      <c r="E143" s="26"/>
      <c r="F143" s="26"/>
      <c r="G143" s="26"/>
      <c r="H143" s="26"/>
      <c r="I143" s="26"/>
      <c r="J143" s="26"/>
      <c r="K143" s="26"/>
      <c r="L143" s="26"/>
      <c r="M143" s="26"/>
      <c r="N143" s="26"/>
      <c r="O143" s="26"/>
      <c r="P143" s="26"/>
      <c r="Q143" s="26"/>
      <c r="R143" s="26"/>
      <c r="S143" s="26"/>
      <c r="T143" s="26"/>
      <c r="U143" s="26"/>
      <c r="V143" s="26"/>
      <c r="W143" s="26"/>
      <c r="X143" s="26"/>
      <c r="Y143" s="26"/>
      <c r="Z143" s="26"/>
    </row>
    <row r="144" spans="1:26" ht="19.5" customHeight="1" x14ac:dyDescent="0.85">
      <c r="A144" s="26"/>
      <c r="B144" s="26"/>
      <c r="C144" s="26"/>
      <c r="D144" s="26"/>
      <c r="E144" s="26"/>
      <c r="F144" s="26"/>
      <c r="G144" s="26"/>
      <c r="H144" s="26"/>
      <c r="I144" s="26"/>
      <c r="J144" s="26"/>
      <c r="K144" s="26"/>
      <c r="L144" s="26"/>
      <c r="M144" s="26"/>
      <c r="N144" s="26"/>
      <c r="O144" s="26"/>
      <c r="P144" s="26"/>
      <c r="Q144" s="26"/>
      <c r="R144" s="26"/>
      <c r="S144" s="26"/>
      <c r="T144" s="26"/>
      <c r="U144" s="26"/>
      <c r="V144" s="26"/>
      <c r="W144" s="26"/>
      <c r="X144" s="26"/>
      <c r="Y144" s="26"/>
      <c r="Z144" s="26"/>
    </row>
    <row r="145" spans="1:26" ht="19.5" customHeight="1" x14ac:dyDescent="0.85">
      <c r="A145" s="26"/>
      <c r="B145" s="26"/>
      <c r="C145" s="26"/>
      <c r="D145" s="26"/>
      <c r="E145" s="26"/>
      <c r="F145" s="26"/>
      <c r="G145" s="26"/>
      <c r="H145" s="26"/>
      <c r="I145" s="26"/>
      <c r="J145" s="26"/>
      <c r="K145" s="26"/>
      <c r="L145" s="26"/>
      <c r="M145" s="26"/>
      <c r="N145" s="26"/>
      <c r="O145" s="26"/>
      <c r="P145" s="26"/>
      <c r="Q145" s="26"/>
      <c r="R145" s="26"/>
      <c r="S145" s="26"/>
      <c r="T145" s="26"/>
      <c r="U145" s="26"/>
      <c r="V145" s="26"/>
      <c r="W145" s="26"/>
      <c r="X145" s="26"/>
      <c r="Y145" s="26"/>
      <c r="Z145" s="26"/>
    </row>
    <row r="146" spans="1:26" ht="19.5" customHeight="1" x14ac:dyDescent="0.85">
      <c r="A146" s="26"/>
      <c r="B146" s="26"/>
      <c r="C146" s="26"/>
      <c r="D146" s="26"/>
      <c r="E146" s="26"/>
      <c r="F146" s="26"/>
      <c r="G146" s="26"/>
      <c r="H146" s="26"/>
      <c r="I146" s="26"/>
      <c r="J146" s="26"/>
      <c r="K146" s="26"/>
      <c r="L146" s="26"/>
      <c r="M146" s="26"/>
      <c r="N146" s="26"/>
      <c r="O146" s="26"/>
      <c r="P146" s="26"/>
      <c r="Q146" s="26"/>
      <c r="R146" s="26"/>
      <c r="S146" s="26"/>
      <c r="T146" s="26"/>
      <c r="U146" s="26"/>
      <c r="V146" s="26"/>
      <c r="W146" s="26"/>
      <c r="X146" s="26"/>
      <c r="Y146" s="26"/>
      <c r="Z146" s="26"/>
    </row>
    <row r="147" spans="1:26" ht="19.5" customHeight="1" x14ac:dyDescent="0.85">
      <c r="A147" s="26"/>
      <c r="B147" s="26"/>
      <c r="C147" s="26"/>
      <c r="D147" s="26"/>
      <c r="E147" s="26"/>
      <c r="F147" s="26"/>
      <c r="G147" s="26"/>
      <c r="H147" s="26"/>
      <c r="I147" s="26"/>
      <c r="J147" s="26"/>
      <c r="K147" s="26"/>
      <c r="L147" s="26"/>
      <c r="M147" s="26"/>
      <c r="N147" s="26"/>
      <c r="O147" s="26"/>
      <c r="P147" s="26"/>
      <c r="Q147" s="26"/>
      <c r="R147" s="26"/>
      <c r="S147" s="26"/>
      <c r="T147" s="26"/>
      <c r="U147" s="26"/>
      <c r="V147" s="26"/>
      <c r="W147" s="26"/>
      <c r="X147" s="26"/>
      <c r="Y147" s="26"/>
      <c r="Z147" s="26"/>
    </row>
    <row r="148" spans="1:26" ht="19.5" customHeight="1" x14ac:dyDescent="0.85">
      <c r="A148" s="26"/>
      <c r="B148" s="26"/>
      <c r="C148" s="26"/>
      <c r="D148" s="26"/>
      <c r="E148" s="26"/>
      <c r="F148" s="26"/>
      <c r="G148" s="26"/>
      <c r="H148" s="26"/>
      <c r="I148" s="26"/>
      <c r="J148" s="26"/>
      <c r="K148" s="26"/>
      <c r="L148" s="26"/>
      <c r="M148" s="26"/>
      <c r="N148" s="26"/>
      <c r="O148" s="26"/>
      <c r="P148" s="26"/>
      <c r="Q148" s="26"/>
      <c r="R148" s="26"/>
      <c r="S148" s="26"/>
      <c r="T148" s="26"/>
      <c r="U148" s="26"/>
      <c r="V148" s="26"/>
      <c r="W148" s="26"/>
      <c r="X148" s="26"/>
      <c r="Y148" s="26"/>
      <c r="Z148" s="26"/>
    </row>
    <row r="149" spans="1:26" ht="19.5" customHeight="1" x14ac:dyDescent="0.85">
      <c r="A149" s="26"/>
      <c r="B149" s="26"/>
      <c r="C149" s="26"/>
      <c r="D149" s="26"/>
      <c r="E149" s="26"/>
      <c r="F149" s="26"/>
      <c r="G149" s="26"/>
      <c r="H149" s="26"/>
      <c r="I149" s="26"/>
      <c r="J149" s="26"/>
      <c r="K149" s="26"/>
      <c r="L149" s="26"/>
      <c r="M149" s="26"/>
      <c r="N149" s="26"/>
      <c r="O149" s="26"/>
      <c r="P149" s="26"/>
      <c r="Q149" s="26"/>
      <c r="R149" s="26"/>
      <c r="S149" s="26"/>
      <c r="T149" s="26"/>
      <c r="U149" s="26"/>
      <c r="V149" s="26"/>
      <c r="W149" s="26"/>
      <c r="X149" s="26"/>
      <c r="Y149" s="26"/>
      <c r="Z149" s="26"/>
    </row>
    <row r="150" spans="1:26" ht="19.5" customHeight="1" x14ac:dyDescent="0.85">
      <c r="A150" s="26"/>
      <c r="B150" s="26"/>
      <c r="C150" s="26"/>
      <c r="D150" s="26"/>
      <c r="E150" s="26"/>
      <c r="F150" s="26"/>
      <c r="G150" s="26"/>
      <c r="H150" s="26"/>
      <c r="I150" s="26"/>
      <c r="J150" s="26"/>
      <c r="K150" s="26"/>
      <c r="L150" s="26"/>
      <c r="M150" s="26"/>
      <c r="N150" s="26"/>
      <c r="O150" s="26"/>
      <c r="P150" s="26"/>
      <c r="Q150" s="26"/>
      <c r="R150" s="26"/>
      <c r="S150" s="26"/>
      <c r="T150" s="26"/>
      <c r="U150" s="26"/>
      <c r="V150" s="26"/>
      <c r="W150" s="26"/>
      <c r="X150" s="26"/>
      <c r="Y150" s="26"/>
      <c r="Z150" s="26"/>
    </row>
    <row r="151" spans="1:26" ht="19.5" customHeight="1" x14ac:dyDescent="0.85">
      <c r="A151" s="26"/>
      <c r="B151" s="26"/>
      <c r="C151" s="26"/>
      <c r="D151" s="26"/>
      <c r="E151" s="26"/>
      <c r="F151" s="26"/>
      <c r="G151" s="26"/>
      <c r="H151" s="26"/>
      <c r="I151" s="26"/>
      <c r="J151" s="26"/>
      <c r="K151" s="26"/>
      <c r="L151" s="26"/>
      <c r="M151" s="26"/>
      <c r="N151" s="26"/>
      <c r="O151" s="26"/>
      <c r="P151" s="26"/>
      <c r="Q151" s="26"/>
      <c r="R151" s="26"/>
      <c r="S151" s="26"/>
      <c r="T151" s="26"/>
      <c r="U151" s="26"/>
      <c r="V151" s="26"/>
      <c r="W151" s="26"/>
      <c r="X151" s="26"/>
      <c r="Y151" s="26"/>
      <c r="Z151" s="26"/>
    </row>
    <row r="152" spans="1:26" ht="19.5" customHeight="1" x14ac:dyDescent="0.85">
      <c r="A152" s="26"/>
      <c r="B152" s="26"/>
      <c r="C152" s="26"/>
      <c r="D152" s="26"/>
      <c r="E152" s="26"/>
      <c r="F152" s="26"/>
      <c r="G152" s="26"/>
      <c r="H152" s="26"/>
      <c r="I152" s="26"/>
      <c r="J152" s="26"/>
      <c r="K152" s="26"/>
      <c r="L152" s="26"/>
      <c r="M152" s="26"/>
      <c r="N152" s="26"/>
      <c r="O152" s="26"/>
      <c r="P152" s="26"/>
      <c r="Q152" s="26"/>
      <c r="R152" s="26"/>
      <c r="S152" s="26"/>
      <c r="T152" s="26"/>
      <c r="U152" s="26"/>
      <c r="V152" s="26"/>
      <c r="W152" s="26"/>
      <c r="X152" s="26"/>
      <c r="Y152" s="26"/>
      <c r="Z152" s="26"/>
    </row>
    <row r="153" spans="1:26" ht="19.5" customHeight="1" x14ac:dyDescent="0.85">
      <c r="A153" s="26"/>
      <c r="B153" s="26"/>
      <c r="C153" s="26"/>
      <c r="D153" s="26"/>
      <c r="E153" s="26"/>
      <c r="F153" s="26"/>
      <c r="G153" s="26"/>
      <c r="H153" s="26"/>
      <c r="I153" s="26"/>
      <c r="J153" s="26"/>
      <c r="K153" s="26"/>
      <c r="L153" s="26"/>
      <c r="M153" s="26"/>
      <c r="N153" s="26"/>
      <c r="O153" s="26"/>
      <c r="P153" s="26"/>
      <c r="Q153" s="26"/>
      <c r="R153" s="26"/>
      <c r="S153" s="26"/>
      <c r="T153" s="26"/>
      <c r="U153" s="26"/>
      <c r="V153" s="26"/>
      <c r="W153" s="26"/>
      <c r="X153" s="26"/>
      <c r="Y153" s="26"/>
      <c r="Z153" s="26"/>
    </row>
    <row r="154" spans="1:26" ht="19.5" customHeight="1" x14ac:dyDescent="0.85">
      <c r="A154" s="26"/>
      <c r="B154" s="26"/>
      <c r="C154" s="26"/>
      <c r="D154" s="26"/>
      <c r="E154" s="26"/>
      <c r="F154" s="26"/>
      <c r="G154" s="26"/>
      <c r="H154" s="26"/>
      <c r="I154" s="26"/>
      <c r="J154" s="26"/>
      <c r="K154" s="26"/>
      <c r="L154" s="26"/>
      <c r="M154" s="26"/>
      <c r="N154" s="26"/>
      <c r="O154" s="26"/>
      <c r="P154" s="26"/>
      <c r="Q154" s="26"/>
      <c r="R154" s="26"/>
      <c r="S154" s="26"/>
      <c r="T154" s="26"/>
      <c r="U154" s="26"/>
      <c r="V154" s="26"/>
      <c r="W154" s="26"/>
      <c r="X154" s="26"/>
      <c r="Y154" s="26"/>
      <c r="Z154" s="26"/>
    </row>
    <row r="155" spans="1:26" ht="19.5" customHeight="1" x14ac:dyDescent="0.85">
      <c r="A155" s="26"/>
      <c r="B155" s="26"/>
      <c r="C155" s="26"/>
      <c r="D155" s="26"/>
      <c r="E155" s="26"/>
      <c r="F155" s="26"/>
      <c r="G155" s="26"/>
      <c r="H155" s="26"/>
      <c r="I155" s="26"/>
      <c r="J155" s="26"/>
      <c r="K155" s="26"/>
      <c r="L155" s="26"/>
      <c r="M155" s="26"/>
      <c r="N155" s="26"/>
      <c r="O155" s="26"/>
      <c r="P155" s="26"/>
      <c r="Q155" s="26"/>
      <c r="R155" s="26"/>
      <c r="S155" s="26"/>
      <c r="T155" s="26"/>
      <c r="U155" s="26"/>
      <c r="V155" s="26"/>
      <c r="W155" s="26"/>
      <c r="X155" s="26"/>
      <c r="Y155" s="26"/>
      <c r="Z155" s="26"/>
    </row>
    <row r="156" spans="1:26" ht="19.5" customHeight="1" x14ac:dyDescent="0.85">
      <c r="A156" s="26"/>
      <c r="B156" s="26"/>
      <c r="C156" s="26"/>
      <c r="D156" s="26"/>
      <c r="E156" s="26"/>
      <c r="F156" s="26"/>
      <c r="G156" s="26"/>
      <c r="H156" s="26"/>
      <c r="I156" s="26"/>
      <c r="J156" s="26"/>
      <c r="K156" s="26"/>
      <c r="L156" s="26"/>
      <c r="M156" s="26"/>
      <c r="N156" s="26"/>
      <c r="O156" s="26"/>
      <c r="P156" s="26"/>
      <c r="Q156" s="26"/>
      <c r="R156" s="26"/>
      <c r="S156" s="26"/>
      <c r="T156" s="26"/>
      <c r="U156" s="26"/>
      <c r="V156" s="26"/>
      <c r="W156" s="26"/>
      <c r="X156" s="26"/>
      <c r="Y156" s="26"/>
      <c r="Z156" s="26"/>
    </row>
    <row r="157" spans="1:26" ht="19.5" customHeight="1" x14ac:dyDescent="0.85">
      <c r="A157" s="26"/>
      <c r="B157" s="26"/>
      <c r="C157" s="26"/>
      <c r="D157" s="26"/>
      <c r="E157" s="26"/>
      <c r="F157" s="26"/>
      <c r="G157" s="26"/>
      <c r="H157" s="26"/>
      <c r="I157" s="26"/>
      <c r="J157" s="26"/>
      <c r="K157" s="26"/>
      <c r="L157" s="26"/>
      <c r="M157" s="26"/>
      <c r="N157" s="26"/>
      <c r="O157" s="26"/>
      <c r="P157" s="26"/>
      <c r="Q157" s="26"/>
      <c r="R157" s="26"/>
      <c r="S157" s="26"/>
      <c r="T157" s="26"/>
      <c r="U157" s="26"/>
      <c r="V157" s="26"/>
      <c r="W157" s="26"/>
      <c r="X157" s="26"/>
      <c r="Y157" s="26"/>
      <c r="Z157" s="26"/>
    </row>
    <row r="158" spans="1:26" ht="19.5" customHeight="1" x14ac:dyDescent="0.85">
      <c r="A158" s="26"/>
      <c r="B158" s="26"/>
      <c r="C158" s="26"/>
      <c r="D158" s="26"/>
      <c r="E158" s="26"/>
      <c r="F158" s="26"/>
      <c r="G158" s="26"/>
      <c r="H158" s="26"/>
      <c r="I158" s="26"/>
      <c r="J158" s="26"/>
      <c r="K158" s="26"/>
      <c r="L158" s="26"/>
      <c r="M158" s="26"/>
      <c r="N158" s="26"/>
      <c r="O158" s="26"/>
      <c r="P158" s="26"/>
      <c r="Q158" s="26"/>
      <c r="R158" s="26"/>
      <c r="S158" s="26"/>
      <c r="T158" s="26"/>
      <c r="U158" s="26"/>
      <c r="V158" s="26"/>
      <c r="W158" s="26"/>
      <c r="X158" s="26"/>
      <c r="Y158" s="26"/>
      <c r="Z158" s="26"/>
    </row>
    <row r="159" spans="1:26" ht="19.5" customHeight="1" x14ac:dyDescent="0.85">
      <c r="A159" s="26"/>
      <c r="B159" s="26"/>
      <c r="C159" s="26"/>
      <c r="D159" s="26"/>
      <c r="E159" s="26"/>
      <c r="F159" s="26"/>
      <c r="G159" s="26"/>
      <c r="H159" s="26"/>
      <c r="I159" s="26"/>
      <c r="J159" s="26"/>
      <c r="K159" s="26"/>
      <c r="L159" s="26"/>
      <c r="M159" s="26"/>
      <c r="N159" s="26"/>
      <c r="O159" s="26"/>
      <c r="P159" s="26"/>
      <c r="Q159" s="26"/>
      <c r="R159" s="26"/>
      <c r="S159" s="26"/>
      <c r="T159" s="26"/>
      <c r="U159" s="26"/>
      <c r="V159" s="26"/>
      <c r="W159" s="26"/>
      <c r="X159" s="26"/>
      <c r="Y159" s="26"/>
      <c r="Z159" s="26"/>
    </row>
    <row r="160" spans="1:26" ht="19.5" customHeight="1" x14ac:dyDescent="0.85">
      <c r="A160" s="26"/>
      <c r="B160" s="26"/>
      <c r="C160" s="26"/>
      <c r="D160" s="26"/>
      <c r="E160" s="26"/>
      <c r="F160" s="26"/>
      <c r="G160" s="26"/>
      <c r="H160" s="26"/>
      <c r="I160" s="26"/>
      <c r="J160" s="26"/>
      <c r="K160" s="26"/>
      <c r="L160" s="26"/>
      <c r="M160" s="26"/>
      <c r="N160" s="26"/>
      <c r="O160" s="26"/>
      <c r="P160" s="26"/>
      <c r="Q160" s="26"/>
      <c r="R160" s="26"/>
      <c r="S160" s="26"/>
      <c r="T160" s="26"/>
      <c r="U160" s="26"/>
      <c r="V160" s="26"/>
      <c r="W160" s="26"/>
      <c r="X160" s="26"/>
      <c r="Y160" s="26"/>
      <c r="Z160" s="26"/>
    </row>
    <row r="161" spans="1:26" ht="19.5" customHeight="1" x14ac:dyDescent="0.85">
      <c r="A161" s="26"/>
      <c r="B161" s="26"/>
      <c r="C161" s="26"/>
      <c r="D161" s="26"/>
      <c r="E161" s="26"/>
      <c r="F161" s="26"/>
      <c r="G161" s="26"/>
      <c r="H161" s="26"/>
      <c r="I161" s="26"/>
      <c r="J161" s="26"/>
      <c r="K161" s="26"/>
      <c r="L161" s="26"/>
      <c r="M161" s="26"/>
      <c r="N161" s="26"/>
      <c r="O161" s="26"/>
      <c r="P161" s="26"/>
      <c r="Q161" s="26"/>
      <c r="R161" s="26"/>
      <c r="S161" s="26"/>
      <c r="T161" s="26"/>
      <c r="U161" s="26"/>
      <c r="V161" s="26"/>
      <c r="W161" s="26"/>
      <c r="X161" s="26"/>
      <c r="Y161" s="26"/>
      <c r="Z161" s="26"/>
    </row>
    <row r="162" spans="1:26" ht="19.5" customHeight="1" x14ac:dyDescent="0.85">
      <c r="A162" s="26"/>
      <c r="B162" s="26"/>
      <c r="C162" s="26"/>
      <c r="D162" s="26"/>
      <c r="E162" s="26"/>
      <c r="F162" s="26"/>
      <c r="G162" s="26"/>
      <c r="H162" s="26"/>
      <c r="I162" s="26"/>
      <c r="J162" s="26"/>
      <c r="K162" s="26"/>
      <c r="L162" s="26"/>
      <c r="M162" s="26"/>
      <c r="N162" s="26"/>
      <c r="O162" s="26"/>
      <c r="P162" s="26"/>
      <c r="Q162" s="26"/>
      <c r="R162" s="26"/>
      <c r="S162" s="26"/>
      <c r="T162" s="26"/>
      <c r="U162" s="26"/>
      <c r="V162" s="26"/>
      <c r="W162" s="26"/>
      <c r="X162" s="26"/>
      <c r="Y162" s="26"/>
      <c r="Z162" s="26"/>
    </row>
    <row r="163" spans="1:26" ht="19.5" customHeight="1" x14ac:dyDescent="0.85">
      <c r="A163" s="26"/>
      <c r="B163" s="26"/>
      <c r="C163" s="26"/>
      <c r="D163" s="26"/>
      <c r="E163" s="26"/>
      <c r="F163" s="26"/>
      <c r="G163" s="26"/>
      <c r="H163" s="26"/>
      <c r="I163" s="26"/>
      <c r="J163" s="26"/>
      <c r="K163" s="26"/>
      <c r="L163" s="26"/>
      <c r="M163" s="26"/>
      <c r="N163" s="26"/>
      <c r="O163" s="26"/>
      <c r="P163" s="26"/>
      <c r="Q163" s="26"/>
      <c r="R163" s="26"/>
      <c r="S163" s="26"/>
      <c r="T163" s="26"/>
      <c r="U163" s="26"/>
      <c r="V163" s="26"/>
      <c r="W163" s="26"/>
      <c r="X163" s="26"/>
      <c r="Y163" s="26"/>
      <c r="Z163" s="26"/>
    </row>
    <row r="164" spans="1:26" ht="19.5" customHeight="1" x14ac:dyDescent="0.85">
      <c r="A164" s="26"/>
      <c r="B164" s="26"/>
      <c r="C164" s="26"/>
      <c r="D164" s="26"/>
      <c r="E164" s="26"/>
      <c r="F164" s="26"/>
      <c r="G164" s="26"/>
      <c r="H164" s="26"/>
      <c r="I164" s="26"/>
      <c r="J164" s="26"/>
      <c r="K164" s="26"/>
      <c r="L164" s="26"/>
      <c r="M164" s="26"/>
      <c r="N164" s="26"/>
      <c r="O164" s="26"/>
      <c r="P164" s="26"/>
      <c r="Q164" s="26"/>
      <c r="R164" s="26"/>
      <c r="S164" s="26"/>
      <c r="T164" s="26"/>
      <c r="U164" s="26"/>
      <c r="V164" s="26"/>
      <c r="W164" s="26"/>
      <c r="X164" s="26"/>
      <c r="Y164" s="26"/>
      <c r="Z164" s="26"/>
    </row>
    <row r="165" spans="1:26" ht="19.5" customHeight="1" x14ac:dyDescent="0.85">
      <c r="A165" s="26"/>
      <c r="B165" s="26"/>
      <c r="C165" s="26"/>
      <c r="D165" s="26"/>
      <c r="E165" s="26"/>
      <c r="F165" s="26"/>
      <c r="G165" s="26"/>
      <c r="H165" s="26"/>
      <c r="I165" s="26"/>
      <c r="J165" s="26"/>
      <c r="K165" s="26"/>
      <c r="L165" s="26"/>
      <c r="M165" s="26"/>
      <c r="N165" s="26"/>
      <c r="O165" s="26"/>
      <c r="P165" s="26"/>
      <c r="Q165" s="26"/>
      <c r="R165" s="26"/>
      <c r="S165" s="26"/>
      <c r="T165" s="26"/>
      <c r="U165" s="26"/>
      <c r="V165" s="26"/>
      <c r="W165" s="26"/>
      <c r="X165" s="26"/>
      <c r="Y165" s="26"/>
      <c r="Z165" s="26"/>
    </row>
    <row r="166" spans="1:26" ht="19.5" customHeight="1" x14ac:dyDescent="0.85">
      <c r="A166" s="26"/>
      <c r="B166" s="26"/>
      <c r="C166" s="26"/>
      <c r="D166" s="26"/>
      <c r="E166" s="26"/>
      <c r="F166" s="26"/>
      <c r="G166" s="26"/>
      <c r="H166" s="26"/>
      <c r="I166" s="26"/>
      <c r="J166" s="26"/>
      <c r="K166" s="26"/>
      <c r="L166" s="26"/>
      <c r="M166" s="26"/>
      <c r="N166" s="26"/>
      <c r="O166" s="26"/>
      <c r="P166" s="26"/>
      <c r="Q166" s="26"/>
      <c r="R166" s="26"/>
      <c r="S166" s="26"/>
      <c r="T166" s="26"/>
      <c r="U166" s="26"/>
      <c r="V166" s="26"/>
      <c r="W166" s="26"/>
      <c r="X166" s="26"/>
      <c r="Y166" s="26"/>
      <c r="Z166" s="26"/>
    </row>
    <row r="167" spans="1:26" ht="19.5" customHeight="1" x14ac:dyDescent="0.85">
      <c r="A167" s="26"/>
      <c r="B167" s="26"/>
      <c r="C167" s="26"/>
      <c r="D167" s="26"/>
      <c r="E167" s="26"/>
      <c r="F167" s="26"/>
      <c r="G167" s="26"/>
      <c r="H167" s="26"/>
      <c r="I167" s="26"/>
      <c r="J167" s="26"/>
      <c r="K167" s="26"/>
      <c r="L167" s="26"/>
      <c r="M167" s="26"/>
      <c r="N167" s="26"/>
      <c r="O167" s="26"/>
      <c r="P167" s="26"/>
      <c r="Q167" s="26"/>
      <c r="R167" s="26"/>
      <c r="S167" s="26"/>
      <c r="T167" s="26"/>
      <c r="U167" s="26"/>
      <c r="V167" s="26"/>
      <c r="W167" s="26"/>
      <c r="X167" s="26"/>
      <c r="Y167" s="26"/>
      <c r="Z167" s="26"/>
    </row>
    <row r="168" spans="1:26" ht="19.5" customHeight="1" x14ac:dyDescent="0.85">
      <c r="A168" s="26"/>
      <c r="B168" s="26"/>
      <c r="C168" s="26"/>
      <c r="D168" s="26"/>
      <c r="E168" s="26"/>
      <c r="F168" s="26"/>
      <c r="G168" s="26"/>
      <c r="H168" s="26"/>
      <c r="I168" s="26"/>
      <c r="J168" s="26"/>
      <c r="K168" s="26"/>
      <c r="L168" s="26"/>
      <c r="M168" s="26"/>
      <c r="N168" s="26"/>
      <c r="O168" s="26"/>
      <c r="P168" s="26"/>
      <c r="Q168" s="26"/>
      <c r="R168" s="26"/>
      <c r="S168" s="26"/>
      <c r="T168" s="26"/>
      <c r="U168" s="26"/>
      <c r="V168" s="26"/>
      <c r="W168" s="26"/>
      <c r="X168" s="26"/>
      <c r="Y168" s="26"/>
      <c r="Z168" s="26"/>
    </row>
    <row r="169" spans="1:26" ht="19.5" customHeight="1" x14ac:dyDescent="0.85">
      <c r="A169" s="26"/>
      <c r="B169" s="26"/>
      <c r="C169" s="26"/>
      <c r="D169" s="26"/>
      <c r="E169" s="26"/>
      <c r="F169" s="26"/>
      <c r="G169" s="26"/>
      <c r="H169" s="26"/>
      <c r="I169" s="26"/>
      <c r="J169" s="26"/>
      <c r="K169" s="26"/>
      <c r="L169" s="26"/>
      <c r="M169" s="26"/>
      <c r="N169" s="26"/>
      <c r="O169" s="26"/>
      <c r="P169" s="26"/>
      <c r="Q169" s="26"/>
      <c r="R169" s="26"/>
      <c r="S169" s="26"/>
      <c r="T169" s="26"/>
      <c r="U169" s="26"/>
      <c r="V169" s="26"/>
      <c r="W169" s="26"/>
      <c r="X169" s="26"/>
      <c r="Y169" s="26"/>
      <c r="Z169" s="26"/>
    </row>
    <row r="170" spans="1:26" ht="19.5" customHeight="1" x14ac:dyDescent="0.85">
      <c r="A170" s="26"/>
      <c r="B170" s="26"/>
      <c r="C170" s="26"/>
      <c r="D170" s="26"/>
      <c r="E170" s="26"/>
      <c r="F170" s="26"/>
      <c r="G170" s="26"/>
      <c r="H170" s="26"/>
      <c r="I170" s="26"/>
      <c r="J170" s="26"/>
      <c r="K170" s="26"/>
      <c r="L170" s="26"/>
      <c r="M170" s="26"/>
      <c r="N170" s="26"/>
      <c r="O170" s="26"/>
      <c r="P170" s="26"/>
      <c r="Q170" s="26"/>
      <c r="R170" s="26"/>
      <c r="S170" s="26"/>
      <c r="T170" s="26"/>
      <c r="U170" s="26"/>
      <c r="V170" s="26"/>
      <c r="W170" s="26"/>
      <c r="X170" s="26"/>
      <c r="Y170" s="26"/>
      <c r="Z170" s="26"/>
    </row>
    <row r="171" spans="1:26" ht="19.5" customHeight="1" x14ac:dyDescent="0.85">
      <c r="A171" s="26"/>
      <c r="B171" s="26"/>
      <c r="C171" s="26"/>
      <c r="D171" s="26"/>
      <c r="E171" s="26"/>
      <c r="F171" s="26"/>
      <c r="G171" s="26"/>
      <c r="H171" s="26"/>
      <c r="I171" s="26"/>
      <c r="J171" s="26"/>
      <c r="K171" s="26"/>
      <c r="L171" s="26"/>
      <c r="M171" s="26"/>
      <c r="N171" s="26"/>
      <c r="O171" s="26"/>
      <c r="P171" s="26"/>
      <c r="Q171" s="26"/>
      <c r="R171" s="26"/>
      <c r="S171" s="26"/>
      <c r="T171" s="26"/>
      <c r="U171" s="26"/>
      <c r="V171" s="26"/>
      <c r="W171" s="26"/>
      <c r="X171" s="26"/>
      <c r="Y171" s="26"/>
      <c r="Z171" s="26"/>
    </row>
    <row r="172" spans="1:26" ht="19.5" customHeight="1" x14ac:dyDescent="0.85">
      <c r="A172" s="26"/>
      <c r="B172" s="26"/>
      <c r="C172" s="26"/>
      <c r="D172" s="26"/>
      <c r="E172" s="26"/>
      <c r="F172" s="26"/>
      <c r="G172" s="26"/>
      <c r="H172" s="26"/>
      <c r="I172" s="26"/>
      <c r="J172" s="26"/>
      <c r="K172" s="26"/>
      <c r="L172" s="26"/>
      <c r="M172" s="26"/>
      <c r="N172" s="26"/>
      <c r="O172" s="26"/>
      <c r="P172" s="26"/>
      <c r="Q172" s="26"/>
      <c r="R172" s="26"/>
      <c r="S172" s="26"/>
      <c r="T172" s="26"/>
      <c r="U172" s="26"/>
      <c r="V172" s="26"/>
      <c r="W172" s="26"/>
      <c r="X172" s="26"/>
      <c r="Y172" s="26"/>
      <c r="Z172" s="26"/>
    </row>
    <row r="173" spans="1:26" ht="19.5" customHeight="1" x14ac:dyDescent="0.85">
      <c r="A173" s="26"/>
      <c r="B173" s="26"/>
      <c r="C173" s="26"/>
      <c r="D173" s="26"/>
      <c r="E173" s="26"/>
      <c r="F173" s="26"/>
      <c r="G173" s="26"/>
      <c r="H173" s="26"/>
      <c r="I173" s="26"/>
      <c r="J173" s="26"/>
      <c r="K173" s="26"/>
      <c r="L173" s="26"/>
      <c r="M173" s="26"/>
      <c r="N173" s="26"/>
      <c r="O173" s="26"/>
      <c r="P173" s="26"/>
      <c r="Q173" s="26"/>
      <c r="R173" s="26"/>
      <c r="S173" s="26"/>
      <c r="T173" s="26"/>
      <c r="U173" s="26"/>
      <c r="V173" s="26"/>
      <c r="W173" s="26"/>
      <c r="X173" s="26"/>
      <c r="Y173" s="26"/>
      <c r="Z173" s="26"/>
    </row>
    <row r="174" spans="1:26" ht="19.5" customHeight="1" x14ac:dyDescent="0.85">
      <c r="A174" s="26"/>
      <c r="B174" s="26"/>
      <c r="C174" s="26"/>
      <c r="D174" s="26"/>
      <c r="E174" s="26"/>
      <c r="F174" s="26"/>
      <c r="G174" s="26"/>
      <c r="H174" s="26"/>
      <c r="I174" s="26"/>
      <c r="J174" s="26"/>
      <c r="K174" s="26"/>
      <c r="L174" s="26"/>
      <c r="M174" s="26"/>
      <c r="N174" s="26"/>
      <c r="O174" s="26"/>
      <c r="P174" s="26"/>
      <c r="Q174" s="26"/>
      <c r="R174" s="26"/>
      <c r="S174" s="26"/>
      <c r="T174" s="26"/>
      <c r="U174" s="26"/>
      <c r="V174" s="26"/>
      <c r="W174" s="26"/>
      <c r="X174" s="26"/>
      <c r="Y174" s="26"/>
      <c r="Z174" s="26"/>
    </row>
    <row r="175" spans="1:26" ht="19.5" customHeight="1" x14ac:dyDescent="0.85">
      <c r="A175" s="26"/>
      <c r="B175" s="26"/>
      <c r="C175" s="26"/>
      <c r="D175" s="26"/>
      <c r="E175" s="26"/>
      <c r="F175" s="26"/>
      <c r="G175" s="26"/>
      <c r="H175" s="26"/>
      <c r="I175" s="26"/>
      <c r="J175" s="26"/>
      <c r="K175" s="26"/>
      <c r="L175" s="26"/>
      <c r="M175" s="26"/>
      <c r="N175" s="26"/>
      <c r="O175" s="26"/>
      <c r="P175" s="26"/>
      <c r="Q175" s="26"/>
      <c r="R175" s="26"/>
      <c r="S175" s="26"/>
      <c r="T175" s="26"/>
      <c r="U175" s="26"/>
      <c r="V175" s="26"/>
      <c r="W175" s="26"/>
      <c r="X175" s="26"/>
      <c r="Y175" s="26"/>
      <c r="Z175" s="26"/>
    </row>
    <row r="176" spans="1:26" ht="19.5" customHeight="1" x14ac:dyDescent="0.85">
      <c r="A176" s="26"/>
      <c r="B176" s="26"/>
      <c r="C176" s="26"/>
      <c r="D176" s="26"/>
      <c r="E176" s="26"/>
      <c r="F176" s="26"/>
      <c r="G176" s="26"/>
      <c r="H176" s="26"/>
      <c r="I176" s="26"/>
      <c r="J176" s="26"/>
      <c r="K176" s="26"/>
      <c r="L176" s="26"/>
      <c r="M176" s="26"/>
      <c r="N176" s="26"/>
      <c r="O176" s="26"/>
      <c r="P176" s="26"/>
      <c r="Q176" s="26"/>
      <c r="R176" s="26"/>
      <c r="S176" s="26"/>
      <c r="T176" s="26"/>
      <c r="U176" s="26"/>
      <c r="V176" s="26"/>
      <c r="W176" s="26"/>
      <c r="X176" s="26"/>
      <c r="Y176" s="26"/>
      <c r="Z176" s="26"/>
    </row>
    <row r="177" spans="1:26" ht="19.5" customHeight="1" x14ac:dyDescent="0.85">
      <c r="A177" s="26"/>
      <c r="B177" s="26"/>
      <c r="C177" s="26"/>
      <c r="D177" s="26"/>
      <c r="E177" s="26"/>
      <c r="F177" s="26"/>
      <c r="G177" s="26"/>
      <c r="H177" s="26"/>
      <c r="I177" s="26"/>
      <c r="J177" s="26"/>
      <c r="K177" s="26"/>
      <c r="L177" s="26"/>
      <c r="M177" s="26"/>
      <c r="N177" s="26"/>
      <c r="O177" s="26"/>
      <c r="P177" s="26"/>
      <c r="Q177" s="26"/>
      <c r="R177" s="26"/>
      <c r="S177" s="26"/>
      <c r="T177" s="26"/>
      <c r="U177" s="26"/>
      <c r="V177" s="26"/>
      <c r="W177" s="26"/>
      <c r="X177" s="26"/>
      <c r="Y177" s="26"/>
      <c r="Z177" s="26"/>
    </row>
    <row r="178" spans="1:26" ht="19.5" customHeight="1" x14ac:dyDescent="0.85">
      <c r="A178" s="26"/>
      <c r="B178" s="26"/>
      <c r="C178" s="26"/>
      <c r="D178" s="26"/>
      <c r="E178" s="26"/>
      <c r="F178" s="26"/>
      <c r="G178" s="26"/>
      <c r="H178" s="26"/>
      <c r="I178" s="26"/>
      <c r="J178" s="26"/>
      <c r="K178" s="26"/>
      <c r="L178" s="26"/>
      <c r="M178" s="26"/>
      <c r="N178" s="26"/>
      <c r="O178" s="26"/>
      <c r="P178" s="26"/>
      <c r="Q178" s="26"/>
      <c r="R178" s="26"/>
      <c r="S178" s="26"/>
      <c r="T178" s="26"/>
      <c r="U178" s="26"/>
      <c r="V178" s="26"/>
      <c r="W178" s="26"/>
      <c r="X178" s="26"/>
      <c r="Y178" s="26"/>
      <c r="Z178" s="26"/>
    </row>
    <row r="179" spans="1:26" ht="19.5" customHeight="1" x14ac:dyDescent="0.85">
      <c r="A179" s="26"/>
      <c r="B179" s="26"/>
      <c r="C179" s="26"/>
      <c r="D179" s="26"/>
      <c r="E179" s="26"/>
      <c r="F179" s="26"/>
      <c r="G179" s="26"/>
      <c r="H179" s="26"/>
      <c r="I179" s="26"/>
      <c r="J179" s="26"/>
      <c r="K179" s="26"/>
      <c r="L179" s="26"/>
      <c r="M179" s="26"/>
      <c r="N179" s="26"/>
      <c r="O179" s="26"/>
      <c r="P179" s="26"/>
      <c r="Q179" s="26"/>
      <c r="R179" s="26"/>
      <c r="S179" s="26"/>
      <c r="T179" s="26"/>
      <c r="U179" s="26"/>
      <c r="V179" s="26"/>
      <c r="W179" s="26"/>
      <c r="X179" s="26"/>
      <c r="Y179" s="26"/>
      <c r="Z179" s="26"/>
    </row>
    <row r="180" spans="1:26" ht="19.5" customHeight="1" x14ac:dyDescent="0.85">
      <c r="A180" s="26"/>
      <c r="B180" s="26"/>
      <c r="C180" s="26"/>
      <c r="D180" s="26"/>
      <c r="E180" s="26"/>
      <c r="F180" s="26"/>
      <c r="G180" s="26"/>
      <c r="H180" s="26"/>
      <c r="I180" s="26"/>
      <c r="J180" s="26"/>
      <c r="K180" s="26"/>
      <c r="L180" s="26"/>
      <c r="M180" s="26"/>
      <c r="N180" s="26"/>
      <c r="O180" s="26"/>
      <c r="P180" s="26"/>
      <c r="Q180" s="26"/>
      <c r="R180" s="26"/>
      <c r="S180" s="26"/>
      <c r="T180" s="26"/>
      <c r="U180" s="26"/>
      <c r="V180" s="26"/>
      <c r="W180" s="26"/>
      <c r="X180" s="26"/>
      <c r="Y180" s="26"/>
      <c r="Z180" s="26"/>
    </row>
    <row r="181" spans="1:26" ht="19.5" customHeight="1" x14ac:dyDescent="0.85">
      <c r="A181" s="26"/>
      <c r="B181" s="26"/>
      <c r="C181" s="26"/>
      <c r="D181" s="26"/>
      <c r="E181" s="26"/>
      <c r="F181" s="26"/>
      <c r="G181" s="26"/>
      <c r="H181" s="26"/>
      <c r="I181" s="26"/>
      <c r="J181" s="26"/>
      <c r="K181" s="26"/>
      <c r="L181" s="26"/>
      <c r="M181" s="26"/>
      <c r="N181" s="26"/>
      <c r="O181" s="26"/>
      <c r="P181" s="26"/>
      <c r="Q181" s="26"/>
      <c r="R181" s="26"/>
      <c r="S181" s="26"/>
      <c r="T181" s="26"/>
      <c r="U181" s="26"/>
      <c r="V181" s="26"/>
      <c r="W181" s="26"/>
      <c r="X181" s="26"/>
      <c r="Y181" s="26"/>
      <c r="Z181" s="26"/>
    </row>
    <row r="182" spans="1:26" ht="19.5" customHeight="1" x14ac:dyDescent="0.85">
      <c r="A182" s="26"/>
      <c r="B182" s="26"/>
      <c r="C182" s="26"/>
      <c r="D182" s="26"/>
      <c r="E182" s="26"/>
      <c r="F182" s="26"/>
      <c r="G182" s="26"/>
      <c r="H182" s="26"/>
      <c r="I182" s="26"/>
      <c r="J182" s="26"/>
      <c r="K182" s="26"/>
      <c r="L182" s="26"/>
      <c r="M182" s="26"/>
      <c r="N182" s="26"/>
      <c r="O182" s="26"/>
      <c r="P182" s="26"/>
      <c r="Q182" s="26"/>
      <c r="R182" s="26"/>
      <c r="S182" s="26"/>
      <c r="T182" s="26"/>
      <c r="U182" s="26"/>
      <c r="V182" s="26"/>
      <c r="W182" s="26"/>
      <c r="X182" s="26"/>
      <c r="Y182" s="26"/>
      <c r="Z182" s="26"/>
    </row>
    <row r="183" spans="1:26" ht="19.5" customHeight="1" x14ac:dyDescent="0.85">
      <c r="A183" s="26"/>
      <c r="B183" s="26"/>
      <c r="C183" s="26"/>
      <c r="D183" s="26"/>
      <c r="E183" s="26"/>
      <c r="F183" s="26"/>
      <c r="G183" s="26"/>
      <c r="H183" s="26"/>
      <c r="I183" s="26"/>
      <c r="J183" s="26"/>
      <c r="K183" s="26"/>
      <c r="L183" s="26"/>
      <c r="M183" s="26"/>
      <c r="N183" s="26"/>
      <c r="O183" s="26"/>
      <c r="P183" s="26"/>
      <c r="Q183" s="26"/>
      <c r="R183" s="26"/>
      <c r="S183" s="26"/>
      <c r="T183" s="26"/>
      <c r="U183" s="26"/>
      <c r="V183" s="26"/>
      <c r="W183" s="26"/>
      <c r="X183" s="26"/>
      <c r="Y183" s="26"/>
      <c r="Z183" s="26"/>
    </row>
    <row r="184" spans="1:26" ht="19.5" customHeight="1" x14ac:dyDescent="0.85">
      <c r="A184" s="26"/>
      <c r="B184" s="26"/>
      <c r="C184" s="26"/>
      <c r="D184" s="26"/>
      <c r="E184" s="26"/>
      <c r="F184" s="26"/>
      <c r="G184" s="26"/>
      <c r="H184" s="26"/>
      <c r="I184" s="26"/>
      <c r="J184" s="26"/>
      <c r="K184" s="26"/>
      <c r="L184" s="26"/>
      <c r="M184" s="26"/>
      <c r="N184" s="26"/>
      <c r="O184" s="26"/>
      <c r="P184" s="26"/>
      <c r="Q184" s="26"/>
      <c r="R184" s="26"/>
      <c r="S184" s="26"/>
      <c r="T184" s="26"/>
      <c r="U184" s="26"/>
      <c r="V184" s="26"/>
      <c r="W184" s="26"/>
      <c r="X184" s="26"/>
      <c r="Y184" s="26"/>
      <c r="Z184" s="26"/>
    </row>
    <row r="185" spans="1:26" ht="19.5" customHeight="1" x14ac:dyDescent="0.85">
      <c r="A185" s="26"/>
      <c r="B185" s="26"/>
      <c r="C185" s="26"/>
      <c r="D185" s="26"/>
      <c r="E185" s="26"/>
      <c r="F185" s="26"/>
      <c r="G185" s="26"/>
      <c r="H185" s="26"/>
      <c r="I185" s="26"/>
      <c r="J185" s="26"/>
      <c r="K185" s="26"/>
      <c r="L185" s="26"/>
      <c r="M185" s="26"/>
      <c r="N185" s="26"/>
      <c r="O185" s="26"/>
      <c r="P185" s="26"/>
      <c r="Q185" s="26"/>
      <c r="R185" s="26"/>
      <c r="S185" s="26"/>
      <c r="T185" s="26"/>
      <c r="U185" s="26"/>
      <c r="V185" s="26"/>
      <c r="W185" s="26"/>
      <c r="X185" s="26"/>
      <c r="Y185" s="26"/>
      <c r="Z185" s="26"/>
    </row>
    <row r="186" spans="1:26" ht="19.5" customHeight="1" x14ac:dyDescent="0.85">
      <c r="A186" s="26"/>
      <c r="B186" s="26"/>
      <c r="C186" s="26"/>
      <c r="D186" s="26"/>
      <c r="E186" s="26"/>
      <c r="F186" s="26"/>
      <c r="G186" s="26"/>
      <c r="H186" s="26"/>
      <c r="I186" s="26"/>
      <c r="J186" s="26"/>
      <c r="K186" s="26"/>
      <c r="L186" s="26"/>
      <c r="M186" s="26"/>
      <c r="N186" s="26"/>
      <c r="O186" s="26"/>
      <c r="P186" s="26"/>
      <c r="Q186" s="26"/>
      <c r="R186" s="26"/>
      <c r="S186" s="26"/>
      <c r="T186" s="26"/>
      <c r="U186" s="26"/>
      <c r="V186" s="26"/>
      <c r="W186" s="26"/>
      <c r="X186" s="26"/>
      <c r="Y186" s="26"/>
      <c r="Z186" s="26"/>
    </row>
    <row r="187" spans="1:26" ht="19.5" customHeight="1" x14ac:dyDescent="0.85">
      <c r="A187" s="26"/>
      <c r="B187" s="26"/>
      <c r="C187" s="26"/>
      <c r="D187" s="26"/>
      <c r="E187" s="26"/>
      <c r="F187" s="26"/>
      <c r="G187" s="26"/>
      <c r="H187" s="26"/>
      <c r="I187" s="26"/>
      <c r="J187" s="26"/>
      <c r="K187" s="26"/>
      <c r="L187" s="26"/>
      <c r="M187" s="26"/>
      <c r="N187" s="26"/>
      <c r="O187" s="26"/>
      <c r="P187" s="26"/>
      <c r="Q187" s="26"/>
      <c r="R187" s="26"/>
      <c r="S187" s="26"/>
      <c r="T187" s="26"/>
      <c r="U187" s="26"/>
      <c r="V187" s="26"/>
      <c r="W187" s="26"/>
      <c r="X187" s="26"/>
      <c r="Y187" s="26"/>
      <c r="Z187" s="26"/>
    </row>
    <row r="188" spans="1:26" ht="19.5" customHeight="1" x14ac:dyDescent="0.85">
      <c r="A188" s="26"/>
      <c r="B188" s="26"/>
      <c r="C188" s="26"/>
      <c r="D188" s="26"/>
      <c r="E188" s="26"/>
      <c r="F188" s="26"/>
      <c r="G188" s="26"/>
      <c r="H188" s="26"/>
      <c r="I188" s="26"/>
      <c r="J188" s="26"/>
      <c r="K188" s="26"/>
      <c r="L188" s="26"/>
      <c r="M188" s="26"/>
      <c r="N188" s="26"/>
      <c r="O188" s="26"/>
      <c r="P188" s="26"/>
      <c r="Q188" s="26"/>
      <c r="R188" s="26"/>
      <c r="S188" s="26"/>
      <c r="T188" s="26"/>
      <c r="U188" s="26"/>
      <c r="V188" s="26"/>
      <c r="W188" s="26"/>
      <c r="X188" s="26"/>
      <c r="Y188" s="26"/>
      <c r="Z188" s="26"/>
    </row>
    <row r="189" spans="1:26" ht="19.5" customHeight="1" x14ac:dyDescent="0.85">
      <c r="A189" s="26"/>
      <c r="B189" s="26"/>
      <c r="C189" s="26"/>
      <c r="D189" s="26"/>
      <c r="E189" s="26"/>
      <c r="F189" s="26"/>
      <c r="G189" s="26"/>
      <c r="H189" s="26"/>
      <c r="I189" s="26"/>
      <c r="J189" s="26"/>
      <c r="K189" s="26"/>
      <c r="L189" s="26"/>
      <c r="M189" s="26"/>
      <c r="N189" s="26"/>
      <c r="O189" s="26"/>
      <c r="P189" s="26"/>
      <c r="Q189" s="26"/>
      <c r="R189" s="26"/>
      <c r="S189" s="26"/>
      <c r="T189" s="26"/>
      <c r="U189" s="26"/>
      <c r="V189" s="26"/>
      <c r="W189" s="26"/>
      <c r="X189" s="26"/>
      <c r="Y189" s="26"/>
      <c r="Z189" s="26"/>
    </row>
    <row r="190" spans="1:26" ht="19.5" customHeight="1" x14ac:dyDescent="0.85">
      <c r="A190" s="26"/>
      <c r="B190" s="26"/>
      <c r="C190" s="26"/>
      <c r="D190" s="26"/>
      <c r="E190" s="26"/>
      <c r="F190" s="26"/>
      <c r="G190" s="26"/>
      <c r="H190" s="26"/>
      <c r="I190" s="26"/>
      <c r="J190" s="26"/>
      <c r="K190" s="26"/>
      <c r="L190" s="26"/>
      <c r="M190" s="26"/>
      <c r="N190" s="26"/>
      <c r="O190" s="26"/>
      <c r="P190" s="26"/>
      <c r="Q190" s="26"/>
      <c r="R190" s="26"/>
      <c r="S190" s="26"/>
      <c r="T190" s="26"/>
      <c r="U190" s="26"/>
      <c r="V190" s="26"/>
      <c r="W190" s="26"/>
      <c r="X190" s="26"/>
      <c r="Y190" s="26"/>
      <c r="Z190" s="26"/>
    </row>
    <row r="191" spans="1:26" ht="19.5" customHeight="1" x14ac:dyDescent="0.85">
      <c r="A191" s="26"/>
      <c r="B191" s="26"/>
      <c r="C191" s="26"/>
      <c r="D191" s="26"/>
      <c r="E191" s="26"/>
      <c r="F191" s="26"/>
      <c r="G191" s="26"/>
      <c r="H191" s="26"/>
      <c r="I191" s="26"/>
      <c r="J191" s="26"/>
      <c r="K191" s="26"/>
      <c r="L191" s="26"/>
      <c r="M191" s="26"/>
      <c r="N191" s="26"/>
      <c r="O191" s="26"/>
      <c r="P191" s="26"/>
      <c r="Q191" s="26"/>
      <c r="R191" s="26"/>
      <c r="S191" s="26"/>
      <c r="T191" s="26"/>
      <c r="U191" s="26"/>
      <c r="V191" s="26"/>
      <c r="W191" s="26"/>
      <c r="X191" s="26"/>
      <c r="Y191" s="26"/>
      <c r="Z191" s="26"/>
    </row>
    <row r="192" spans="1:26" ht="19.5" customHeight="1" x14ac:dyDescent="0.85">
      <c r="A192" s="26"/>
      <c r="B192" s="26"/>
      <c r="C192" s="26"/>
      <c r="D192" s="26"/>
      <c r="E192" s="26"/>
      <c r="F192" s="26"/>
      <c r="G192" s="26"/>
      <c r="H192" s="26"/>
      <c r="I192" s="26"/>
      <c r="J192" s="26"/>
      <c r="K192" s="26"/>
      <c r="L192" s="26"/>
      <c r="M192" s="26"/>
      <c r="N192" s="26"/>
      <c r="O192" s="26"/>
      <c r="P192" s="26"/>
      <c r="Q192" s="26"/>
      <c r="R192" s="26"/>
      <c r="S192" s="26"/>
      <c r="T192" s="26"/>
      <c r="U192" s="26"/>
      <c r="V192" s="26"/>
      <c r="W192" s="26"/>
      <c r="X192" s="26"/>
      <c r="Y192" s="26"/>
      <c r="Z192" s="26"/>
    </row>
    <row r="193" spans="1:26" ht="19.5" customHeight="1" x14ac:dyDescent="0.85">
      <c r="A193" s="26"/>
      <c r="B193" s="26"/>
      <c r="C193" s="26"/>
      <c r="D193" s="26"/>
      <c r="E193" s="26"/>
      <c r="F193" s="26"/>
      <c r="G193" s="26"/>
      <c r="H193" s="26"/>
      <c r="I193" s="26"/>
      <c r="J193" s="26"/>
      <c r="K193" s="26"/>
      <c r="L193" s="26"/>
      <c r="M193" s="26"/>
      <c r="N193" s="26"/>
      <c r="O193" s="26"/>
      <c r="P193" s="26"/>
      <c r="Q193" s="26"/>
      <c r="R193" s="26"/>
      <c r="S193" s="26"/>
      <c r="T193" s="26"/>
      <c r="U193" s="26"/>
      <c r="V193" s="26"/>
      <c r="W193" s="26"/>
      <c r="X193" s="26"/>
      <c r="Y193" s="26"/>
      <c r="Z193" s="26"/>
    </row>
    <row r="194" spans="1:26" ht="19.5" customHeight="1" x14ac:dyDescent="0.85">
      <c r="A194" s="26"/>
      <c r="B194" s="26"/>
      <c r="C194" s="26"/>
      <c r="D194" s="26"/>
      <c r="E194" s="26"/>
      <c r="F194" s="26"/>
      <c r="G194" s="26"/>
      <c r="H194" s="26"/>
      <c r="I194" s="26"/>
      <c r="J194" s="26"/>
      <c r="K194" s="26"/>
      <c r="L194" s="26"/>
      <c r="M194" s="26"/>
      <c r="N194" s="26"/>
      <c r="O194" s="26"/>
      <c r="P194" s="26"/>
      <c r="Q194" s="26"/>
      <c r="R194" s="26"/>
      <c r="S194" s="26"/>
      <c r="T194" s="26"/>
      <c r="U194" s="26"/>
      <c r="V194" s="26"/>
      <c r="W194" s="26"/>
      <c r="X194" s="26"/>
      <c r="Y194" s="26"/>
      <c r="Z194" s="26"/>
    </row>
    <row r="195" spans="1:26" ht="19.5" customHeight="1" x14ac:dyDescent="0.85">
      <c r="A195" s="26"/>
      <c r="B195" s="26"/>
      <c r="C195" s="26"/>
      <c r="D195" s="26"/>
      <c r="E195" s="26"/>
      <c r="F195" s="26"/>
      <c r="G195" s="26"/>
      <c r="H195" s="26"/>
      <c r="I195" s="26"/>
      <c r="J195" s="26"/>
      <c r="K195" s="26"/>
      <c r="L195" s="26"/>
      <c r="M195" s="26"/>
      <c r="N195" s="26"/>
      <c r="O195" s="26"/>
      <c r="P195" s="26"/>
      <c r="Q195" s="26"/>
      <c r="R195" s="26"/>
      <c r="S195" s="26"/>
      <c r="T195" s="26"/>
      <c r="U195" s="26"/>
      <c r="V195" s="26"/>
      <c r="W195" s="26"/>
      <c r="X195" s="26"/>
      <c r="Y195" s="26"/>
      <c r="Z195" s="26"/>
    </row>
    <row r="196" spans="1:26" ht="19.5" customHeight="1" x14ac:dyDescent="0.85">
      <c r="A196" s="26"/>
      <c r="B196" s="26"/>
      <c r="C196" s="26"/>
      <c r="D196" s="26"/>
      <c r="E196" s="26"/>
      <c r="F196" s="26"/>
      <c r="G196" s="26"/>
      <c r="H196" s="26"/>
      <c r="I196" s="26"/>
      <c r="J196" s="26"/>
      <c r="K196" s="26"/>
      <c r="L196" s="26"/>
      <c r="M196" s="26"/>
      <c r="N196" s="26"/>
      <c r="O196" s="26"/>
      <c r="P196" s="26"/>
      <c r="Q196" s="26"/>
      <c r="R196" s="26"/>
      <c r="S196" s="26"/>
      <c r="T196" s="26"/>
      <c r="U196" s="26"/>
      <c r="V196" s="26"/>
      <c r="W196" s="26"/>
      <c r="X196" s="26"/>
      <c r="Y196" s="26"/>
      <c r="Z196" s="26"/>
    </row>
    <row r="197" spans="1:26" ht="19.5" customHeight="1" x14ac:dyDescent="0.85">
      <c r="A197" s="26"/>
      <c r="B197" s="26"/>
      <c r="C197" s="26"/>
      <c r="D197" s="26"/>
      <c r="E197" s="26"/>
      <c r="F197" s="26"/>
      <c r="G197" s="26"/>
      <c r="H197" s="26"/>
      <c r="I197" s="26"/>
      <c r="J197" s="26"/>
      <c r="K197" s="26"/>
      <c r="L197" s="26"/>
      <c r="M197" s="26"/>
      <c r="N197" s="26"/>
      <c r="O197" s="26"/>
      <c r="P197" s="26"/>
      <c r="Q197" s="26"/>
      <c r="R197" s="26"/>
      <c r="S197" s="26"/>
      <c r="T197" s="26"/>
      <c r="U197" s="26"/>
      <c r="V197" s="26"/>
      <c r="W197" s="26"/>
      <c r="X197" s="26"/>
      <c r="Y197" s="26"/>
      <c r="Z197" s="26"/>
    </row>
    <row r="198" spans="1:26" ht="19.5" customHeight="1" x14ac:dyDescent="0.85">
      <c r="A198" s="26"/>
      <c r="B198" s="26"/>
      <c r="C198" s="26"/>
      <c r="D198" s="26"/>
      <c r="E198" s="26"/>
      <c r="F198" s="26"/>
      <c r="G198" s="26"/>
      <c r="H198" s="26"/>
      <c r="I198" s="26"/>
      <c r="J198" s="26"/>
      <c r="K198" s="26"/>
      <c r="L198" s="26"/>
      <c r="M198" s="26"/>
      <c r="N198" s="26"/>
      <c r="O198" s="26"/>
      <c r="P198" s="26"/>
      <c r="Q198" s="26"/>
      <c r="R198" s="26"/>
      <c r="S198" s="26"/>
      <c r="T198" s="26"/>
      <c r="U198" s="26"/>
      <c r="V198" s="26"/>
      <c r="W198" s="26"/>
      <c r="X198" s="26"/>
      <c r="Y198" s="26"/>
      <c r="Z198" s="26"/>
    </row>
    <row r="199" spans="1:26" ht="19.5" customHeight="1" x14ac:dyDescent="0.85">
      <c r="A199" s="26"/>
      <c r="B199" s="26"/>
      <c r="C199" s="26"/>
      <c r="D199" s="26"/>
      <c r="E199" s="26"/>
      <c r="F199" s="26"/>
      <c r="G199" s="26"/>
      <c r="H199" s="26"/>
      <c r="I199" s="26"/>
      <c r="J199" s="26"/>
      <c r="K199" s="26"/>
      <c r="L199" s="26"/>
      <c r="M199" s="26"/>
      <c r="N199" s="26"/>
      <c r="O199" s="26"/>
      <c r="P199" s="26"/>
      <c r="Q199" s="26"/>
      <c r="R199" s="26"/>
      <c r="S199" s="26"/>
      <c r="T199" s="26"/>
      <c r="U199" s="26"/>
      <c r="V199" s="26"/>
      <c r="W199" s="26"/>
      <c r="X199" s="26"/>
      <c r="Y199" s="26"/>
      <c r="Z199" s="26"/>
    </row>
    <row r="200" spans="1:26" ht="19.5" customHeight="1" x14ac:dyDescent="0.85">
      <c r="A200" s="26"/>
      <c r="B200" s="26"/>
      <c r="C200" s="26"/>
      <c r="D200" s="26"/>
      <c r="E200" s="26"/>
      <c r="F200" s="26"/>
      <c r="G200" s="26"/>
      <c r="H200" s="26"/>
      <c r="I200" s="26"/>
      <c r="J200" s="26"/>
      <c r="K200" s="26"/>
      <c r="L200" s="26"/>
      <c r="M200" s="26"/>
      <c r="N200" s="26"/>
      <c r="O200" s="26"/>
      <c r="P200" s="26"/>
      <c r="Q200" s="26"/>
      <c r="R200" s="26"/>
      <c r="S200" s="26"/>
      <c r="T200" s="26"/>
      <c r="U200" s="26"/>
      <c r="V200" s="26"/>
      <c r="W200" s="26"/>
      <c r="X200" s="26"/>
      <c r="Y200" s="26"/>
      <c r="Z200" s="26"/>
    </row>
    <row r="201" spans="1:26" ht="19.5" customHeight="1" x14ac:dyDescent="0.85">
      <c r="A201" s="26"/>
      <c r="B201" s="26"/>
      <c r="C201" s="26"/>
      <c r="D201" s="26"/>
      <c r="E201" s="26"/>
      <c r="F201" s="26"/>
      <c r="G201" s="26"/>
      <c r="H201" s="26"/>
      <c r="I201" s="26"/>
      <c r="J201" s="26"/>
      <c r="K201" s="26"/>
      <c r="L201" s="26"/>
      <c r="M201" s="26"/>
      <c r="N201" s="26"/>
      <c r="O201" s="26"/>
      <c r="P201" s="26"/>
      <c r="Q201" s="26"/>
      <c r="R201" s="26"/>
      <c r="S201" s="26"/>
      <c r="T201" s="26"/>
      <c r="U201" s="26"/>
      <c r="V201" s="26"/>
      <c r="W201" s="26"/>
      <c r="X201" s="26"/>
      <c r="Y201" s="26"/>
      <c r="Z201" s="26"/>
    </row>
    <row r="202" spans="1:26" ht="19.5" customHeight="1" x14ac:dyDescent="0.85">
      <c r="A202" s="26"/>
      <c r="B202" s="26"/>
      <c r="C202" s="26"/>
      <c r="D202" s="26"/>
      <c r="E202" s="26"/>
      <c r="F202" s="26"/>
      <c r="G202" s="26"/>
      <c r="H202" s="26"/>
      <c r="I202" s="26"/>
      <c r="J202" s="26"/>
      <c r="K202" s="26"/>
      <c r="L202" s="26"/>
      <c r="M202" s="26"/>
      <c r="N202" s="26"/>
      <c r="O202" s="26"/>
      <c r="P202" s="26"/>
      <c r="Q202" s="26"/>
      <c r="R202" s="26"/>
      <c r="S202" s="26"/>
      <c r="T202" s="26"/>
      <c r="U202" s="26"/>
      <c r="V202" s="26"/>
      <c r="W202" s="26"/>
      <c r="X202" s="26"/>
      <c r="Y202" s="26"/>
      <c r="Z202" s="26"/>
    </row>
    <row r="203" spans="1:26" ht="19.5" customHeight="1" x14ac:dyDescent="0.85">
      <c r="A203" s="26"/>
      <c r="B203" s="26"/>
      <c r="C203" s="26"/>
      <c r="D203" s="26"/>
      <c r="E203" s="26"/>
      <c r="F203" s="26"/>
      <c r="G203" s="26"/>
      <c r="H203" s="26"/>
      <c r="I203" s="26"/>
      <c r="J203" s="26"/>
      <c r="K203" s="26"/>
      <c r="L203" s="26"/>
      <c r="M203" s="26"/>
      <c r="N203" s="26"/>
      <c r="O203" s="26"/>
      <c r="P203" s="26"/>
      <c r="Q203" s="26"/>
      <c r="R203" s="26"/>
      <c r="S203" s="26"/>
      <c r="T203" s="26"/>
      <c r="U203" s="26"/>
      <c r="V203" s="26"/>
      <c r="W203" s="26"/>
      <c r="X203" s="26"/>
      <c r="Y203" s="26"/>
      <c r="Z203" s="26"/>
    </row>
    <row r="204" spans="1:26" ht="19.5" customHeight="1" x14ac:dyDescent="0.85">
      <c r="A204" s="26"/>
      <c r="B204" s="26"/>
      <c r="C204" s="26"/>
      <c r="D204" s="26"/>
      <c r="E204" s="26"/>
      <c r="F204" s="26"/>
      <c r="G204" s="26"/>
      <c r="H204" s="26"/>
      <c r="I204" s="26"/>
      <c r="J204" s="26"/>
      <c r="K204" s="26"/>
      <c r="L204" s="26"/>
      <c r="M204" s="26"/>
      <c r="N204" s="26"/>
      <c r="O204" s="26"/>
      <c r="P204" s="26"/>
      <c r="Q204" s="26"/>
      <c r="R204" s="26"/>
      <c r="S204" s="26"/>
      <c r="T204" s="26"/>
      <c r="U204" s="26"/>
      <c r="V204" s="26"/>
      <c r="W204" s="26"/>
      <c r="X204" s="26"/>
      <c r="Y204" s="26"/>
      <c r="Z204" s="26"/>
    </row>
    <row r="205" spans="1:26" ht="19.5" customHeight="1" x14ac:dyDescent="0.85">
      <c r="A205" s="26"/>
      <c r="B205" s="26"/>
      <c r="C205" s="26"/>
      <c r="D205" s="26"/>
      <c r="E205" s="26"/>
      <c r="F205" s="26"/>
      <c r="G205" s="26"/>
      <c r="H205" s="26"/>
      <c r="I205" s="26"/>
      <c r="J205" s="26"/>
      <c r="K205" s="26"/>
      <c r="L205" s="26"/>
      <c r="M205" s="26"/>
      <c r="N205" s="26"/>
      <c r="O205" s="26"/>
      <c r="P205" s="26"/>
      <c r="Q205" s="26"/>
      <c r="R205" s="26"/>
      <c r="S205" s="26"/>
      <c r="T205" s="26"/>
      <c r="U205" s="26"/>
      <c r="V205" s="26"/>
      <c r="W205" s="26"/>
      <c r="X205" s="26"/>
      <c r="Y205" s="26"/>
      <c r="Z205" s="26"/>
    </row>
    <row r="206" spans="1:26" ht="19.5" customHeight="1" x14ac:dyDescent="0.85">
      <c r="A206" s="26"/>
      <c r="B206" s="26"/>
      <c r="C206" s="26"/>
      <c r="D206" s="26"/>
      <c r="E206" s="26"/>
      <c r="F206" s="26"/>
      <c r="G206" s="26"/>
      <c r="H206" s="26"/>
      <c r="I206" s="26"/>
      <c r="J206" s="26"/>
      <c r="K206" s="26"/>
      <c r="L206" s="26"/>
      <c r="M206" s="26"/>
      <c r="N206" s="26"/>
      <c r="O206" s="26"/>
      <c r="P206" s="26"/>
      <c r="Q206" s="26"/>
      <c r="R206" s="26"/>
      <c r="S206" s="26"/>
      <c r="T206" s="26"/>
      <c r="U206" s="26"/>
      <c r="V206" s="26"/>
      <c r="W206" s="26"/>
      <c r="X206" s="26"/>
      <c r="Y206" s="26"/>
      <c r="Z206" s="26"/>
    </row>
    <row r="207" spans="1:26" ht="19.5" customHeight="1" x14ac:dyDescent="0.85">
      <c r="A207" s="26"/>
      <c r="B207" s="26"/>
      <c r="C207" s="26"/>
      <c r="D207" s="26"/>
      <c r="E207" s="26"/>
      <c r="F207" s="26"/>
      <c r="G207" s="26"/>
      <c r="H207" s="26"/>
      <c r="I207" s="26"/>
      <c r="J207" s="26"/>
      <c r="K207" s="26"/>
      <c r="L207" s="26"/>
      <c r="M207" s="26"/>
      <c r="N207" s="26"/>
      <c r="O207" s="26"/>
      <c r="P207" s="26"/>
      <c r="Q207" s="26"/>
      <c r="R207" s="26"/>
      <c r="S207" s="26"/>
      <c r="T207" s="26"/>
      <c r="U207" s="26"/>
      <c r="V207" s="26"/>
      <c r="W207" s="26"/>
      <c r="X207" s="26"/>
      <c r="Y207" s="26"/>
      <c r="Z207" s="26"/>
    </row>
    <row r="208" spans="1:26" ht="19.5" customHeight="1" x14ac:dyDescent="0.85">
      <c r="A208" s="26"/>
      <c r="B208" s="26"/>
      <c r="C208" s="26"/>
      <c r="D208" s="26"/>
      <c r="E208" s="26"/>
      <c r="F208" s="26"/>
      <c r="G208" s="26"/>
      <c r="H208" s="26"/>
      <c r="I208" s="26"/>
      <c r="J208" s="26"/>
      <c r="K208" s="26"/>
      <c r="L208" s="26"/>
      <c r="M208" s="26"/>
      <c r="N208" s="26"/>
      <c r="O208" s="26"/>
      <c r="P208" s="26"/>
      <c r="Q208" s="26"/>
      <c r="R208" s="26"/>
      <c r="S208" s="26"/>
      <c r="T208" s="26"/>
      <c r="U208" s="26"/>
      <c r="V208" s="26"/>
      <c r="W208" s="26"/>
      <c r="X208" s="26"/>
      <c r="Y208" s="26"/>
      <c r="Z208" s="26"/>
    </row>
    <row r="209" spans="1:26" ht="19.5" customHeight="1" x14ac:dyDescent="0.85">
      <c r="A209" s="26"/>
      <c r="B209" s="26"/>
      <c r="C209" s="26"/>
      <c r="D209" s="26"/>
      <c r="E209" s="26"/>
      <c r="F209" s="26"/>
      <c r="G209" s="26"/>
      <c r="H209" s="26"/>
      <c r="I209" s="26"/>
      <c r="J209" s="26"/>
      <c r="K209" s="26"/>
      <c r="L209" s="26"/>
      <c r="M209" s="26"/>
      <c r="N209" s="26"/>
      <c r="O209" s="26"/>
      <c r="P209" s="26"/>
      <c r="Q209" s="26"/>
      <c r="R209" s="26"/>
      <c r="S209" s="26"/>
      <c r="T209" s="26"/>
      <c r="U209" s="26"/>
      <c r="V209" s="26"/>
      <c r="W209" s="26"/>
      <c r="X209" s="26"/>
      <c r="Y209" s="26"/>
      <c r="Z209" s="26"/>
    </row>
    <row r="210" spans="1:26" ht="19.5" customHeight="1" x14ac:dyDescent="0.85">
      <c r="A210" s="26"/>
      <c r="B210" s="26"/>
      <c r="C210" s="26"/>
      <c r="D210" s="26"/>
      <c r="E210" s="26"/>
      <c r="F210" s="26"/>
      <c r="G210" s="26"/>
      <c r="H210" s="26"/>
      <c r="I210" s="26"/>
      <c r="J210" s="26"/>
      <c r="K210" s="26"/>
      <c r="L210" s="26"/>
      <c r="M210" s="26"/>
      <c r="N210" s="26"/>
      <c r="O210" s="26"/>
      <c r="P210" s="26"/>
      <c r="Q210" s="26"/>
      <c r="R210" s="26"/>
      <c r="S210" s="26"/>
      <c r="T210" s="26"/>
      <c r="U210" s="26"/>
      <c r="V210" s="26"/>
      <c r="W210" s="26"/>
      <c r="X210" s="26"/>
      <c r="Y210" s="26"/>
      <c r="Z210" s="26"/>
    </row>
    <row r="211" spans="1:26" ht="19.5" customHeight="1" x14ac:dyDescent="0.85">
      <c r="A211" s="26"/>
      <c r="B211" s="26"/>
      <c r="C211" s="26"/>
      <c r="D211" s="26"/>
      <c r="E211" s="26"/>
      <c r="F211" s="26"/>
      <c r="G211" s="26"/>
      <c r="H211" s="26"/>
      <c r="I211" s="26"/>
      <c r="J211" s="26"/>
      <c r="K211" s="26"/>
      <c r="L211" s="26"/>
      <c r="M211" s="26"/>
      <c r="N211" s="26"/>
      <c r="O211" s="26"/>
      <c r="P211" s="26"/>
      <c r="Q211" s="26"/>
      <c r="R211" s="26"/>
      <c r="S211" s="26"/>
      <c r="T211" s="26"/>
      <c r="U211" s="26"/>
      <c r="V211" s="26"/>
      <c r="W211" s="26"/>
      <c r="X211" s="26"/>
      <c r="Y211" s="26"/>
      <c r="Z211" s="26"/>
    </row>
    <row r="212" spans="1:26" ht="19.5" customHeight="1" x14ac:dyDescent="0.85">
      <c r="A212" s="26"/>
      <c r="B212" s="26"/>
      <c r="C212" s="26"/>
      <c r="D212" s="26"/>
      <c r="E212" s="26"/>
      <c r="F212" s="26"/>
      <c r="G212" s="26"/>
      <c r="H212" s="26"/>
      <c r="I212" s="26"/>
      <c r="J212" s="26"/>
      <c r="K212" s="26"/>
      <c r="L212" s="26"/>
      <c r="M212" s="26"/>
      <c r="N212" s="26"/>
      <c r="O212" s="26"/>
      <c r="P212" s="26"/>
      <c r="Q212" s="26"/>
      <c r="R212" s="26"/>
      <c r="S212" s="26"/>
      <c r="T212" s="26"/>
      <c r="U212" s="26"/>
      <c r="V212" s="26"/>
      <c r="W212" s="26"/>
      <c r="X212" s="26"/>
      <c r="Y212" s="26"/>
      <c r="Z212" s="26"/>
    </row>
    <row r="213" spans="1:26" ht="19.5" customHeight="1" x14ac:dyDescent="0.85">
      <c r="A213" s="26"/>
      <c r="B213" s="26"/>
      <c r="C213" s="26"/>
      <c r="D213" s="26"/>
      <c r="E213" s="26"/>
      <c r="F213" s="26"/>
      <c r="G213" s="26"/>
      <c r="H213" s="26"/>
      <c r="I213" s="26"/>
      <c r="J213" s="26"/>
      <c r="K213" s="26"/>
      <c r="L213" s="26"/>
      <c r="M213" s="26"/>
      <c r="N213" s="26"/>
      <c r="O213" s="26"/>
      <c r="P213" s="26"/>
      <c r="Q213" s="26"/>
      <c r="R213" s="26"/>
      <c r="S213" s="26"/>
      <c r="T213" s="26"/>
      <c r="U213" s="26"/>
      <c r="V213" s="26"/>
      <c r="W213" s="26"/>
      <c r="X213" s="26"/>
      <c r="Y213" s="26"/>
      <c r="Z213" s="26"/>
    </row>
    <row r="214" spans="1:26" ht="19.5" customHeight="1" x14ac:dyDescent="0.85">
      <c r="A214" s="26"/>
      <c r="B214" s="26"/>
      <c r="C214" s="26"/>
      <c r="D214" s="26"/>
      <c r="E214" s="26"/>
      <c r="F214" s="26"/>
      <c r="G214" s="26"/>
      <c r="H214" s="26"/>
      <c r="I214" s="26"/>
      <c r="J214" s="26"/>
      <c r="K214" s="26"/>
      <c r="L214" s="26"/>
      <c r="M214" s="26"/>
      <c r="N214" s="26"/>
      <c r="O214" s="26"/>
      <c r="P214" s="26"/>
      <c r="Q214" s="26"/>
      <c r="R214" s="26"/>
      <c r="S214" s="26"/>
      <c r="T214" s="26"/>
      <c r="U214" s="26"/>
      <c r="V214" s="26"/>
      <c r="W214" s="26"/>
      <c r="X214" s="26"/>
      <c r="Y214" s="26"/>
      <c r="Z214" s="26"/>
    </row>
    <row r="215" spans="1:26" ht="19.5" customHeight="1" x14ac:dyDescent="0.85">
      <c r="A215" s="26"/>
      <c r="B215" s="26"/>
      <c r="C215" s="26"/>
      <c r="D215" s="26"/>
      <c r="E215" s="26"/>
      <c r="F215" s="26"/>
      <c r="G215" s="26"/>
      <c r="H215" s="26"/>
      <c r="I215" s="26"/>
      <c r="J215" s="26"/>
      <c r="K215" s="26"/>
      <c r="L215" s="26"/>
      <c r="M215" s="26"/>
      <c r="N215" s="26"/>
      <c r="O215" s="26"/>
      <c r="P215" s="26"/>
      <c r="Q215" s="26"/>
      <c r="R215" s="26"/>
      <c r="S215" s="26"/>
      <c r="T215" s="26"/>
      <c r="U215" s="26"/>
      <c r="V215" s="26"/>
      <c r="W215" s="26"/>
      <c r="X215" s="26"/>
      <c r="Y215" s="26"/>
      <c r="Z215" s="26"/>
    </row>
    <row r="216" spans="1:26" ht="19.5" customHeight="1" x14ac:dyDescent="0.85">
      <c r="A216" s="26"/>
      <c r="B216" s="26"/>
      <c r="C216" s="26"/>
      <c r="D216" s="26"/>
      <c r="E216" s="26"/>
      <c r="F216" s="26"/>
      <c r="G216" s="26"/>
      <c r="H216" s="26"/>
      <c r="I216" s="26"/>
      <c r="J216" s="26"/>
      <c r="K216" s="26"/>
      <c r="L216" s="26"/>
      <c r="M216" s="26"/>
      <c r="N216" s="26"/>
      <c r="O216" s="26"/>
      <c r="P216" s="26"/>
      <c r="Q216" s="26"/>
      <c r="R216" s="26"/>
      <c r="S216" s="26"/>
      <c r="T216" s="26"/>
      <c r="U216" s="26"/>
      <c r="V216" s="26"/>
      <c r="W216" s="26"/>
      <c r="X216" s="26"/>
      <c r="Y216" s="26"/>
      <c r="Z216" s="26"/>
    </row>
    <row r="217" spans="1:26" ht="19.5" customHeight="1" x14ac:dyDescent="0.85">
      <c r="A217" s="26"/>
      <c r="B217" s="26"/>
      <c r="C217" s="26"/>
      <c r="D217" s="26"/>
      <c r="E217" s="26"/>
      <c r="F217" s="26"/>
      <c r="G217" s="26"/>
      <c r="H217" s="26"/>
      <c r="I217" s="26"/>
      <c r="J217" s="26"/>
      <c r="K217" s="26"/>
      <c r="L217" s="26"/>
      <c r="M217" s="26"/>
      <c r="N217" s="26"/>
      <c r="O217" s="26"/>
      <c r="P217" s="26"/>
      <c r="Q217" s="26"/>
      <c r="R217" s="26"/>
      <c r="S217" s="26"/>
      <c r="T217" s="26"/>
      <c r="U217" s="26"/>
      <c r="V217" s="26"/>
      <c r="W217" s="26"/>
      <c r="X217" s="26"/>
      <c r="Y217" s="26"/>
      <c r="Z217" s="26"/>
    </row>
    <row r="218" spans="1:26" ht="19.5" customHeight="1" x14ac:dyDescent="0.85">
      <c r="A218" s="26"/>
      <c r="B218" s="26"/>
      <c r="C218" s="26"/>
      <c r="D218" s="26"/>
      <c r="E218" s="26"/>
      <c r="F218" s="26"/>
      <c r="G218" s="26"/>
      <c r="H218" s="26"/>
      <c r="I218" s="26"/>
      <c r="J218" s="26"/>
      <c r="K218" s="26"/>
      <c r="L218" s="26"/>
      <c r="M218" s="26"/>
      <c r="N218" s="26"/>
      <c r="O218" s="26"/>
      <c r="P218" s="26"/>
      <c r="Q218" s="26"/>
      <c r="R218" s="26"/>
      <c r="S218" s="26"/>
      <c r="T218" s="26"/>
      <c r="U218" s="26"/>
      <c r="V218" s="26"/>
      <c r="W218" s="26"/>
      <c r="X218" s="26"/>
      <c r="Y218" s="26"/>
      <c r="Z218" s="26"/>
    </row>
    <row r="219" spans="1:26" ht="19.5" customHeight="1" x14ac:dyDescent="0.85">
      <c r="A219" s="26"/>
      <c r="B219" s="26"/>
      <c r="C219" s="26"/>
      <c r="D219" s="26"/>
      <c r="E219" s="26"/>
      <c r="F219" s="26"/>
      <c r="G219" s="26"/>
      <c r="H219" s="26"/>
      <c r="I219" s="26"/>
      <c r="J219" s="26"/>
      <c r="K219" s="26"/>
      <c r="L219" s="26"/>
      <c r="M219" s="26"/>
      <c r="N219" s="26"/>
      <c r="O219" s="26"/>
      <c r="P219" s="26"/>
      <c r="Q219" s="26"/>
      <c r="R219" s="26"/>
      <c r="S219" s="26"/>
      <c r="T219" s="26"/>
      <c r="U219" s="26"/>
      <c r="V219" s="26"/>
      <c r="W219" s="26"/>
      <c r="X219" s="26"/>
      <c r="Y219" s="26"/>
      <c r="Z219" s="26"/>
    </row>
    <row r="220" spans="1:26" ht="19.5" customHeight="1" x14ac:dyDescent="0.85">
      <c r="A220" s="26"/>
      <c r="B220" s="26"/>
      <c r="C220" s="26"/>
      <c r="D220" s="26"/>
      <c r="E220" s="26"/>
      <c r="F220" s="26"/>
      <c r="G220" s="26"/>
      <c r="H220" s="26"/>
      <c r="I220" s="26"/>
      <c r="J220" s="26"/>
      <c r="K220" s="26"/>
      <c r="L220" s="26"/>
      <c r="M220" s="26"/>
      <c r="N220" s="26"/>
      <c r="O220" s="26"/>
      <c r="P220" s="26"/>
      <c r="Q220" s="26"/>
      <c r="R220" s="26"/>
      <c r="S220" s="26"/>
      <c r="T220" s="26"/>
      <c r="U220" s="26"/>
      <c r="V220" s="26"/>
      <c r="W220" s="26"/>
      <c r="X220" s="26"/>
      <c r="Y220" s="26"/>
      <c r="Z220" s="26"/>
    </row>
    <row r="221" spans="1:26" ht="19.5" customHeight="1" x14ac:dyDescent="0.85">
      <c r="A221" s="26"/>
      <c r="B221" s="26"/>
      <c r="C221" s="26"/>
      <c r="D221" s="26"/>
      <c r="E221" s="26"/>
      <c r="F221" s="26"/>
      <c r="G221" s="26"/>
      <c r="H221" s="26"/>
      <c r="I221" s="26"/>
      <c r="J221" s="26"/>
      <c r="K221" s="26"/>
      <c r="L221" s="26"/>
      <c r="M221" s="26"/>
      <c r="N221" s="26"/>
      <c r="O221" s="26"/>
      <c r="P221" s="26"/>
      <c r="Q221" s="26"/>
      <c r="R221" s="26"/>
      <c r="S221" s="26"/>
      <c r="T221" s="26"/>
      <c r="U221" s="26"/>
      <c r="V221" s="26"/>
      <c r="W221" s="26"/>
      <c r="X221" s="26"/>
      <c r="Y221" s="26"/>
      <c r="Z221" s="26"/>
    </row>
    <row r="222" spans="1:26" ht="19.5" customHeight="1" x14ac:dyDescent="0.85">
      <c r="A222" s="26"/>
      <c r="B222" s="26"/>
      <c r="C222" s="26"/>
      <c r="D222" s="26"/>
      <c r="E222" s="26"/>
      <c r="F222" s="26"/>
      <c r="G222" s="26"/>
      <c r="H222" s="26"/>
      <c r="I222" s="26"/>
      <c r="J222" s="26"/>
      <c r="K222" s="26"/>
      <c r="L222" s="26"/>
      <c r="M222" s="26"/>
      <c r="N222" s="26"/>
      <c r="O222" s="26"/>
      <c r="P222" s="26"/>
      <c r="Q222" s="26"/>
      <c r="R222" s="26"/>
      <c r="S222" s="26"/>
      <c r="T222" s="26"/>
      <c r="U222" s="26"/>
      <c r="V222" s="26"/>
      <c r="W222" s="26"/>
      <c r="X222" s="26"/>
      <c r="Y222" s="26"/>
      <c r="Z222" s="26"/>
    </row>
    <row r="223" spans="1:26" ht="19.5" customHeight="1" x14ac:dyDescent="0.85">
      <c r="A223" s="26"/>
      <c r="B223" s="26"/>
      <c r="C223" s="26"/>
      <c r="D223" s="26"/>
      <c r="E223" s="26"/>
      <c r="F223" s="26"/>
      <c r="G223" s="26"/>
      <c r="H223" s="26"/>
      <c r="I223" s="26"/>
      <c r="J223" s="26"/>
      <c r="K223" s="26"/>
      <c r="L223" s="26"/>
      <c r="M223" s="26"/>
      <c r="N223" s="26"/>
      <c r="O223" s="26"/>
      <c r="P223" s="26"/>
      <c r="Q223" s="26"/>
      <c r="R223" s="26"/>
      <c r="S223" s="26"/>
      <c r="T223" s="26"/>
      <c r="U223" s="26"/>
      <c r="V223" s="26"/>
      <c r="W223" s="26"/>
      <c r="X223" s="26"/>
      <c r="Y223" s="26"/>
      <c r="Z223" s="26"/>
    </row>
    <row r="224" spans="1:26" ht="19.5" customHeight="1" x14ac:dyDescent="0.85">
      <c r="A224" s="26"/>
      <c r="B224" s="26"/>
      <c r="C224" s="26"/>
      <c r="D224" s="26"/>
      <c r="E224" s="26"/>
      <c r="F224" s="26"/>
      <c r="G224" s="26"/>
      <c r="H224" s="26"/>
      <c r="I224" s="26"/>
      <c r="J224" s="26"/>
      <c r="K224" s="26"/>
      <c r="L224" s="26"/>
      <c r="M224" s="26"/>
      <c r="N224" s="26"/>
      <c r="O224" s="26"/>
      <c r="P224" s="26"/>
      <c r="Q224" s="26"/>
      <c r="R224" s="26"/>
      <c r="S224" s="26"/>
      <c r="T224" s="26"/>
      <c r="U224" s="26"/>
      <c r="V224" s="26"/>
      <c r="W224" s="26"/>
      <c r="X224" s="26"/>
      <c r="Y224" s="26"/>
      <c r="Z224" s="26"/>
    </row>
    <row r="225" spans="1:26" ht="19.5" customHeight="1" x14ac:dyDescent="0.85">
      <c r="A225" s="26"/>
      <c r="B225" s="26"/>
      <c r="C225" s="26"/>
      <c r="D225" s="26"/>
      <c r="E225" s="26"/>
      <c r="F225" s="26"/>
      <c r="G225" s="26"/>
      <c r="H225" s="26"/>
      <c r="I225" s="26"/>
      <c r="J225" s="26"/>
      <c r="K225" s="26"/>
      <c r="L225" s="26"/>
      <c r="M225" s="26"/>
      <c r="N225" s="26"/>
      <c r="O225" s="26"/>
      <c r="P225" s="26"/>
      <c r="Q225" s="26"/>
      <c r="R225" s="26"/>
      <c r="S225" s="26"/>
      <c r="T225" s="26"/>
      <c r="U225" s="26"/>
      <c r="V225" s="26"/>
      <c r="W225" s="26"/>
      <c r="X225" s="26"/>
      <c r="Y225" s="26"/>
      <c r="Z225" s="26"/>
    </row>
    <row r="226" spans="1:26" ht="19.5" customHeight="1" x14ac:dyDescent="0.85">
      <c r="A226" s="26"/>
      <c r="B226" s="26"/>
      <c r="C226" s="26"/>
      <c r="D226" s="26"/>
      <c r="E226" s="26"/>
      <c r="F226" s="26"/>
      <c r="G226" s="26"/>
      <c r="H226" s="26"/>
      <c r="I226" s="26"/>
      <c r="J226" s="26"/>
      <c r="K226" s="26"/>
      <c r="L226" s="26"/>
      <c r="M226" s="26"/>
      <c r="N226" s="26"/>
      <c r="O226" s="26"/>
      <c r="P226" s="26"/>
      <c r="Q226" s="26"/>
      <c r="R226" s="26"/>
      <c r="S226" s="26"/>
      <c r="T226" s="26"/>
      <c r="U226" s="26"/>
      <c r="V226" s="26"/>
      <c r="W226" s="26"/>
      <c r="X226" s="26"/>
      <c r="Y226" s="26"/>
      <c r="Z226" s="26"/>
    </row>
    <row r="227" spans="1:26" ht="19.5" customHeight="1" x14ac:dyDescent="0.85">
      <c r="A227" s="26"/>
      <c r="B227" s="26"/>
      <c r="C227" s="26"/>
      <c r="D227" s="26"/>
      <c r="E227" s="26"/>
      <c r="F227" s="26"/>
      <c r="G227" s="26"/>
      <c r="H227" s="26"/>
      <c r="I227" s="26"/>
      <c r="J227" s="26"/>
      <c r="K227" s="26"/>
      <c r="L227" s="26"/>
      <c r="M227" s="26"/>
      <c r="N227" s="26"/>
      <c r="O227" s="26"/>
      <c r="P227" s="26"/>
      <c r="Q227" s="26"/>
      <c r="R227" s="26"/>
      <c r="S227" s="26"/>
      <c r="T227" s="26"/>
      <c r="U227" s="26"/>
      <c r="V227" s="26"/>
      <c r="W227" s="26"/>
      <c r="X227" s="26"/>
      <c r="Y227" s="26"/>
      <c r="Z227" s="26"/>
    </row>
    <row r="228" spans="1:26" ht="19.5" customHeight="1" x14ac:dyDescent="0.85">
      <c r="A228" s="26"/>
      <c r="B228" s="26"/>
      <c r="C228" s="26"/>
      <c r="D228" s="26"/>
      <c r="E228" s="26"/>
      <c r="F228" s="26"/>
      <c r="G228" s="26"/>
      <c r="H228" s="26"/>
      <c r="I228" s="26"/>
      <c r="J228" s="26"/>
      <c r="K228" s="26"/>
      <c r="L228" s="26"/>
      <c r="M228" s="26"/>
      <c r="N228" s="26"/>
      <c r="O228" s="26"/>
      <c r="P228" s="26"/>
      <c r="Q228" s="26"/>
      <c r="R228" s="26"/>
      <c r="S228" s="26"/>
      <c r="T228" s="26"/>
      <c r="U228" s="26"/>
      <c r="V228" s="26"/>
      <c r="W228" s="26"/>
      <c r="X228" s="26"/>
      <c r="Y228" s="26"/>
      <c r="Z228" s="26"/>
    </row>
    <row r="229" spans="1:26" ht="19.5" customHeight="1" x14ac:dyDescent="0.85">
      <c r="A229" s="26"/>
      <c r="B229" s="26"/>
      <c r="C229" s="26"/>
      <c r="D229" s="26"/>
      <c r="E229" s="26"/>
      <c r="F229" s="26"/>
      <c r="G229" s="26"/>
      <c r="H229" s="26"/>
      <c r="I229" s="26"/>
      <c r="J229" s="26"/>
      <c r="K229" s="26"/>
      <c r="L229" s="26"/>
      <c r="M229" s="26"/>
      <c r="N229" s="26"/>
      <c r="O229" s="26"/>
      <c r="P229" s="26"/>
      <c r="Q229" s="26"/>
      <c r="R229" s="26"/>
      <c r="S229" s="26"/>
      <c r="T229" s="26"/>
      <c r="U229" s="26"/>
      <c r="V229" s="26"/>
      <c r="W229" s="26"/>
      <c r="X229" s="26"/>
      <c r="Y229" s="26"/>
      <c r="Z229" s="26"/>
    </row>
    <row r="230" spans="1:26" ht="19.5" customHeight="1" x14ac:dyDescent="0.85">
      <c r="A230" s="26"/>
      <c r="B230" s="26"/>
      <c r="C230" s="26"/>
      <c r="D230" s="26"/>
      <c r="E230" s="26"/>
      <c r="F230" s="26"/>
      <c r="G230" s="26"/>
      <c r="H230" s="26"/>
      <c r="I230" s="26"/>
      <c r="J230" s="26"/>
      <c r="K230" s="26"/>
      <c r="L230" s="26"/>
      <c r="M230" s="26"/>
      <c r="N230" s="26"/>
      <c r="O230" s="26"/>
      <c r="P230" s="26"/>
      <c r="Q230" s="26"/>
      <c r="R230" s="26"/>
      <c r="S230" s="26"/>
      <c r="T230" s="26"/>
      <c r="U230" s="26"/>
      <c r="V230" s="26"/>
      <c r="W230" s="26"/>
      <c r="X230" s="26"/>
      <c r="Y230" s="26"/>
      <c r="Z230" s="26"/>
    </row>
    <row r="231" spans="1:26" ht="19.5" customHeight="1" x14ac:dyDescent="0.85">
      <c r="A231" s="26"/>
      <c r="B231" s="26"/>
      <c r="C231" s="26"/>
      <c r="D231" s="26"/>
      <c r="E231" s="26"/>
      <c r="F231" s="26"/>
      <c r="G231" s="26"/>
      <c r="H231" s="26"/>
      <c r="I231" s="26"/>
      <c r="J231" s="26"/>
      <c r="K231" s="26"/>
      <c r="L231" s="26"/>
      <c r="M231" s="26"/>
      <c r="N231" s="26"/>
      <c r="O231" s="26"/>
      <c r="P231" s="26"/>
      <c r="Q231" s="26"/>
      <c r="R231" s="26"/>
      <c r="S231" s="26"/>
      <c r="T231" s="26"/>
      <c r="U231" s="26"/>
      <c r="V231" s="26"/>
      <c r="W231" s="26"/>
      <c r="X231" s="26"/>
      <c r="Y231" s="26"/>
      <c r="Z231" s="26"/>
    </row>
    <row r="232" spans="1:26" ht="19.5" customHeight="1" x14ac:dyDescent="0.85">
      <c r="A232" s="26"/>
      <c r="B232" s="26"/>
      <c r="C232" s="26"/>
      <c r="D232" s="26"/>
      <c r="E232" s="26"/>
      <c r="F232" s="26"/>
      <c r="G232" s="26"/>
      <c r="H232" s="26"/>
      <c r="I232" s="26"/>
      <c r="J232" s="26"/>
      <c r="K232" s="26"/>
      <c r="L232" s="26"/>
      <c r="M232" s="26"/>
      <c r="N232" s="26"/>
      <c r="O232" s="26"/>
      <c r="P232" s="26"/>
      <c r="Q232" s="26"/>
      <c r="R232" s="26"/>
      <c r="S232" s="26"/>
      <c r="T232" s="26"/>
      <c r="U232" s="26"/>
      <c r="V232" s="26"/>
      <c r="W232" s="26"/>
      <c r="X232" s="26"/>
      <c r="Y232" s="26"/>
      <c r="Z232" s="26"/>
    </row>
    <row r="233" spans="1:26" ht="19.5" customHeight="1" x14ac:dyDescent="0.85">
      <c r="A233" s="26"/>
      <c r="B233" s="26"/>
      <c r="C233" s="26"/>
      <c r="D233" s="26"/>
      <c r="E233" s="26"/>
      <c r="F233" s="26"/>
      <c r="G233" s="26"/>
      <c r="H233" s="26"/>
      <c r="I233" s="26"/>
      <c r="J233" s="26"/>
      <c r="K233" s="26"/>
      <c r="L233" s="26"/>
      <c r="M233" s="26"/>
      <c r="N233" s="26"/>
      <c r="O233" s="26"/>
      <c r="P233" s="26"/>
      <c r="Q233" s="26"/>
      <c r="R233" s="26"/>
      <c r="S233" s="26"/>
      <c r="T233" s="26"/>
      <c r="U233" s="26"/>
      <c r="V233" s="26"/>
      <c r="W233" s="26"/>
      <c r="X233" s="26"/>
      <c r="Y233" s="26"/>
      <c r="Z233" s="26"/>
    </row>
    <row r="234" spans="1:26" ht="19.5" customHeight="1" x14ac:dyDescent="0.85">
      <c r="A234" s="26"/>
      <c r="B234" s="26"/>
      <c r="C234" s="26"/>
      <c r="D234" s="26"/>
      <c r="E234" s="26"/>
      <c r="F234" s="26"/>
      <c r="G234" s="26"/>
      <c r="H234" s="26"/>
      <c r="I234" s="26"/>
      <c r="J234" s="26"/>
      <c r="K234" s="26"/>
      <c r="L234" s="26"/>
      <c r="M234" s="26"/>
      <c r="N234" s="26"/>
      <c r="O234" s="26"/>
      <c r="P234" s="26"/>
      <c r="Q234" s="26"/>
      <c r="R234" s="26"/>
      <c r="S234" s="26"/>
      <c r="T234" s="26"/>
      <c r="U234" s="26"/>
      <c r="V234" s="26"/>
      <c r="W234" s="26"/>
      <c r="X234" s="26"/>
      <c r="Y234" s="26"/>
      <c r="Z234" s="26"/>
    </row>
    <row r="235" spans="1:26" ht="19.5" customHeight="1" x14ac:dyDescent="0.85">
      <c r="A235" s="26"/>
      <c r="B235" s="26"/>
      <c r="C235" s="26"/>
      <c r="D235" s="26"/>
      <c r="E235" s="26"/>
      <c r="F235" s="26"/>
      <c r="G235" s="26"/>
      <c r="H235" s="26"/>
      <c r="I235" s="26"/>
      <c r="J235" s="26"/>
      <c r="K235" s="26"/>
      <c r="L235" s="26"/>
      <c r="M235" s="26"/>
      <c r="N235" s="26"/>
      <c r="O235" s="26"/>
      <c r="P235" s="26"/>
      <c r="Q235" s="26"/>
      <c r="R235" s="26"/>
      <c r="S235" s="26"/>
      <c r="T235" s="26"/>
      <c r="U235" s="26"/>
      <c r="V235" s="26"/>
      <c r="W235" s="26"/>
      <c r="X235" s="26"/>
      <c r="Y235" s="26"/>
      <c r="Z235" s="26"/>
    </row>
    <row r="236" spans="1:26" ht="19.5" customHeight="1" x14ac:dyDescent="0.85">
      <c r="A236" s="26"/>
      <c r="B236" s="26"/>
      <c r="C236" s="26"/>
      <c r="D236" s="26"/>
      <c r="E236" s="26"/>
      <c r="F236" s="26"/>
      <c r="G236" s="26"/>
      <c r="H236" s="26"/>
      <c r="I236" s="26"/>
      <c r="J236" s="26"/>
      <c r="K236" s="26"/>
      <c r="L236" s="26"/>
      <c r="M236" s="26"/>
      <c r="N236" s="26"/>
      <c r="O236" s="26"/>
      <c r="P236" s="26"/>
      <c r="Q236" s="26"/>
      <c r="R236" s="26"/>
      <c r="S236" s="26"/>
      <c r="T236" s="26"/>
      <c r="U236" s="26"/>
      <c r="V236" s="26"/>
      <c r="W236" s="26"/>
      <c r="X236" s="26"/>
      <c r="Y236" s="26"/>
      <c r="Z236" s="26"/>
    </row>
    <row r="237" spans="1:26" ht="19.5" customHeight="1" x14ac:dyDescent="0.85">
      <c r="A237" s="26"/>
      <c r="B237" s="26"/>
      <c r="C237" s="26"/>
      <c r="D237" s="26"/>
      <c r="E237" s="26"/>
      <c r="F237" s="26"/>
      <c r="G237" s="26"/>
      <c r="H237" s="26"/>
      <c r="I237" s="26"/>
      <c r="J237" s="26"/>
      <c r="K237" s="26"/>
      <c r="L237" s="26"/>
      <c r="M237" s="26"/>
      <c r="N237" s="26"/>
      <c r="O237" s="26"/>
      <c r="P237" s="26"/>
      <c r="Q237" s="26"/>
      <c r="R237" s="26"/>
      <c r="S237" s="26"/>
      <c r="T237" s="26"/>
      <c r="U237" s="26"/>
      <c r="V237" s="26"/>
      <c r="W237" s="26"/>
      <c r="X237" s="26"/>
      <c r="Y237" s="26"/>
      <c r="Z237" s="26"/>
    </row>
    <row r="238" spans="1:26" ht="19.5" customHeight="1" x14ac:dyDescent="0.85">
      <c r="A238" s="26"/>
      <c r="B238" s="26"/>
      <c r="C238" s="26"/>
      <c r="D238" s="26"/>
      <c r="E238" s="26"/>
      <c r="F238" s="26"/>
      <c r="G238" s="26"/>
      <c r="H238" s="26"/>
      <c r="I238" s="26"/>
      <c r="J238" s="26"/>
      <c r="K238" s="26"/>
      <c r="L238" s="26"/>
      <c r="M238" s="26"/>
      <c r="N238" s="26"/>
      <c r="O238" s="26"/>
      <c r="P238" s="26"/>
      <c r="Q238" s="26"/>
      <c r="R238" s="26"/>
      <c r="S238" s="26"/>
      <c r="T238" s="26"/>
      <c r="U238" s="26"/>
      <c r="V238" s="26"/>
      <c r="W238" s="26"/>
      <c r="X238" s="26"/>
      <c r="Y238" s="26"/>
      <c r="Z238" s="26"/>
    </row>
    <row r="239" spans="1:26" ht="19.5" customHeight="1" x14ac:dyDescent="0.85">
      <c r="A239" s="26"/>
      <c r="B239" s="26"/>
      <c r="C239" s="26"/>
      <c r="D239" s="26"/>
      <c r="E239" s="26"/>
      <c r="F239" s="26"/>
      <c r="G239" s="26"/>
      <c r="H239" s="26"/>
      <c r="I239" s="26"/>
      <c r="J239" s="26"/>
      <c r="K239" s="26"/>
      <c r="L239" s="26"/>
      <c r="M239" s="26"/>
      <c r="N239" s="26"/>
      <c r="O239" s="26"/>
      <c r="P239" s="26"/>
      <c r="Q239" s="26"/>
      <c r="R239" s="26"/>
      <c r="S239" s="26"/>
      <c r="T239" s="26"/>
      <c r="U239" s="26"/>
      <c r="V239" s="26"/>
      <c r="W239" s="26"/>
      <c r="X239" s="26"/>
      <c r="Y239" s="26"/>
      <c r="Z239" s="26"/>
    </row>
    <row r="240" spans="1:26" ht="19.5" customHeight="1" x14ac:dyDescent="0.85">
      <c r="A240" s="26"/>
      <c r="B240" s="26"/>
      <c r="C240" s="26"/>
      <c r="D240" s="26"/>
      <c r="E240" s="26"/>
      <c r="F240" s="26"/>
      <c r="G240" s="26"/>
      <c r="H240" s="26"/>
      <c r="I240" s="26"/>
      <c r="J240" s="26"/>
      <c r="K240" s="26"/>
      <c r="L240" s="26"/>
      <c r="M240" s="26"/>
      <c r="N240" s="26"/>
      <c r="O240" s="26"/>
      <c r="P240" s="26"/>
      <c r="Q240" s="26"/>
      <c r="R240" s="26"/>
      <c r="S240" s="26"/>
      <c r="T240" s="26"/>
      <c r="U240" s="26"/>
      <c r="V240" s="26"/>
      <c r="W240" s="26"/>
      <c r="X240" s="26"/>
      <c r="Y240" s="26"/>
      <c r="Z240" s="26"/>
    </row>
    <row r="241" spans="1:26" ht="19.5" customHeight="1" x14ac:dyDescent="0.85">
      <c r="A241" s="26"/>
      <c r="B241" s="26"/>
      <c r="C241" s="26"/>
      <c r="D241" s="26"/>
      <c r="E241" s="26"/>
      <c r="F241" s="26"/>
      <c r="G241" s="26"/>
      <c r="H241" s="26"/>
      <c r="I241" s="26"/>
      <c r="J241" s="26"/>
      <c r="K241" s="26"/>
      <c r="L241" s="26"/>
      <c r="M241" s="26"/>
      <c r="N241" s="26"/>
      <c r="O241" s="26"/>
      <c r="P241" s="26"/>
      <c r="Q241" s="26"/>
      <c r="R241" s="26"/>
      <c r="S241" s="26"/>
      <c r="T241" s="26"/>
      <c r="U241" s="26"/>
      <c r="V241" s="26"/>
      <c r="W241" s="26"/>
      <c r="X241" s="26"/>
      <c r="Y241" s="26"/>
      <c r="Z241" s="26"/>
    </row>
    <row r="242" spans="1:26" ht="19.5" customHeight="1" x14ac:dyDescent="0.85">
      <c r="A242" s="26"/>
      <c r="B242" s="26"/>
      <c r="C242" s="26"/>
      <c r="D242" s="26"/>
      <c r="E242" s="26"/>
      <c r="F242" s="26"/>
      <c r="G242" s="26"/>
      <c r="H242" s="26"/>
      <c r="I242" s="26"/>
      <c r="J242" s="26"/>
      <c r="K242" s="26"/>
      <c r="L242" s="26"/>
      <c r="M242" s="26"/>
      <c r="N242" s="26"/>
      <c r="O242" s="26"/>
      <c r="P242" s="26"/>
      <c r="Q242" s="26"/>
      <c r="R242" s="26"/>
      <c r="S242" s="26"/>
      <c r="T242" s="26"/>
      <c r="U242" s="26"/>
      <c r="V242" s="26"/>
      <c r="W242" s="26"/>
      <c r="X242" s="26"/>
      <c r="Y242" s="26"/>
      <c r="Z242" s="26"/>
    </row>
    <row r="243" spans="1:26" ht="19.5" customHeight="1" x14ac:dyDescent="0.85">
      <c r="A243" s="26"/>
      <c r="B243" s="26"/>
      <c r="C243" s="26"/>
      <c r="D243" s="26"/>
      <c r="E243" s="26"/>
      <c r="F243" s="26"/>
      <c r="G243" s="26"/>
      <c r="H243" s="26"/>
      <c r="I243" s="26"/>
      <c r="J243" s="26"/>
      <c r="K243" s="26"/>
      <c r="L243" s="26"/>
      <c r="M243" s="26"/>
      <c r="N243" s="26"/>
      <c r="O243" s="26"/>
      <c r="P243" s="26"/>
      <c r="Q243" s="26"/>
      <c r="R243" s="26"/>
      <c r="S243" s="26"/>
      <c r="T243" s="26"/>
      <c r="U243" s="26"/>
      <c r="V243" s="26"/>
      <c r="W243" s="26"/>
      <c r="X243" s="26"/>
      <c r="Y243" s="26"/>
      <c r="Z243" s="26"/>
    </row>
    <row r="244" spans="1:26" ht="19.5" customHeight="1" x14ac:dyDescent="0.85">
      <c r="A244" s="26"/>
      <c r="B244" s="26"/>
      <c r="C244" s="26"/>
      <c r="D244" s="26"/>
      <c r="E244" s="26"/>
      <c r="F244" s="26"/>
      <c r="G244" s="26"/>
      <c r="H244" s="26"/>
      <c r="I244" s="26"/>
      <c r="J244" s="26"/>
      <c r="K244" s="26"/>
      <c r="L244" s="26"/>
      <c r="M244" s="26"/>
      <c r="N244" s="26"/>
      <c r="O244" s="26"/>
      <c r="P244" s="26"/>
      <c r="Q244" s="26"/>
      <c r="R244" s="26"/>
      <c r="S244" s="26"/>
      <c r="T244" s="26"/>
      <c r="U244" s="26"/>
      <c r="V244" s="26"/>
      <c r="W244" s="26"/>
      <c r="X244" s="26"/>
      <c r="Y244" s="26"/>
      <c r="Z244" s="26"/>
    </row>
    <row r="245" spans="1:26" ht="19.5" customHeight="1" x14ac:dyDescent="0.85">
      <c r="A245" s="26"/>
      <c r="B245" s="26"/>
      <c r="C245" s="26"/>
      <c r="D245" s="26"/>
      <c r="E245" s="26"/>
      <c r="F245" s="26"/>
      <c r="G245" s="26"/>
      <c r="H245" s="26"/>
      <c r="I245" s="26"/>
      <c r="J245" s="26"/>
      <c r="K245" s="26"/>
      <c r="L245" s="26"/>
      <c r="M245" s="26"/>
      <c r="N245" s="26"/>
      <c r="O245" s="26"/>
      <c r="P245" s="26"/>
      <c r="Q245" s="26"/>
      <c r="R245" s="26"/>
      <c r="S245" s="26"/>
      <c r="T245" s="26"/>
      <c r="U245" s="26"/>
      <c r="V245" s="26"/>
      <c r="W245" s="26"/>
      <c r="X245" s="26"/>
      <c r="Y245" s="26"/>
      <c r="Z245" s="26"/>
    </row>
    <row r="246" spans="1:26" ht="19.5" customHeight="1" x14ac:dyDescent="0.85">
      <c r="A246" s="26"/>
      <c r="B246" s="26"/>
      <c r="C246" s="26"/>
      <c r="D246" s="26"/>
      <c r="E246" s="26"/>
      <c r="F246" s="26"/>
      <c r="G246" s="26"/>
      <c r="H246" s="26"/>
      <c r="I246" s="26"/>
      <c r="J246" s="26"/>
      <c r="K246" s="26"/>
      <c r="L246" s="26"/>
      <c r="M246" s="26"/>
      <c r="N246" s="26"/>
      <c r="O246" s="26"/>
      <c r="P246" s="26"/>
      <c r="Q246" s="26"/>
      <c r="R246" s="26"/>
      <c r="S246" s="26"/>
      <c r="T246" s="26"/>
      <c r="U246" s="26"/>
      <c r="V246" s="26"/>
      <c r="W246" s="26"/>
      <c r="X246" s="26"/>
      <c r="Y246" s="26"/>
      <c r="Z246" s="26"/>
    </row>
    <row r="247" spans="1:26" ht="19.5" customHeight="1" x14ac:dyDescent="0.85">
      <c r="A247" s="26"/>
      <c r="B247" s="26"/>
      <c r="C247" s="26"/>
      <c r="D247" s="26"/>
      <c r="E247" s="26"/>
      <c r="F247" s="26"/>
      <c r="G247" s="26"/>
      <c r="H247" s="26"/>
      <c r="I247" s="26"/>
      <c r="J247" s="26"/>
      <c r="K247" s="26"/>
      <c r="L247" s="26"/>
      <c r="M247" s="26"/>
      <c r="N247" s="26"/>
      <c r="O247" s="26"/>
      <c r="P247" s="26"/>
      <c r="Q247" s="26"/>
      <c r="R247" s="26"/>
      <c r="S247" s="26"/>
      <c r="T247" s="26"/>
      <c r="U247" s="26"/>
      <c r="V247" s="26"/>
      <c r="W247" s="26"/>
      <c r="X247" s="26"/>
      <c r="Y247" s="26"/>
      <c r="Z247" s="26"/>
    </row>
    <row r="248" spans="1:26" ht="19.5" customHeight="1" x14ac:dyDescent="0.85">
      <c r="A248" s="26"/>
      <c r="B248" s="26"/>
      <c r="C248" s="26"/>
      <c r="D248" s="26"/>
      <c r="E248" s="26"/>
      <c r="F248" s="26"/>
      <c r="G248" s="26"/>
      <c r="H248" s="26"/>
      <c r="I248" s="26"/>
      <c r="J248" s="26"/>
      <c r="K248" s="26"/>
      <c r="L248" s="26"/>
      <c r="M248" s="26"/>
      <c r="N248" s="26"/>
      <c r="O248" s="26"/>
      <c r="P248" s="26"/>
      <c r="Q248" s="26"/>
      <c r="R248" s="26"/>
      <c r="S248" s="26"/>
      <c r="T248" s="26"/>
      <c r="U248" s="26"/>
      <c r="V248" s="26"/>
      <c r="W248" s="26"/>
      <c r="X248" s="26"/>
      <c r="Y248" s="26"/>
      <c r="Z248" s="26"/>
    </row>
    <row r="249" spans="1:26" ht="19.5" customHeight="1" x14ac:dyDescent="0.85">
      <c r="A249" s="26"/>
      <c r="B249" s="26"/>
      <c r="C249" s="26"/>
      <c r="D249" s="26"/>
      <c r="E249" s="26"/>
      <c r="F249" s="26"/>
      <c r="G249" s="26"/>
      <c r="H249" s="26"/>
      <c r="I249" s="26"/>
      <c r="J249" s="26"/>
      <c r="K249" s="26"/>
      <c r="L249" s="26"/>
      <c r="M249" s="26"/>
      <c r="N249" s="26"/>
      <c r="O249" s="26"/>
      <c r="P249" s="26"/>
      <c r="Q249" s="26"/>
      <c r="R249" s="26"/>
      <c r="S249" s="26"/>
      <c r="T249" s="26"/>
      <c r="U249" s="26"/>
      <c r="V249" s="26"/>
      <c r="W249" s="26"/>
      <c r="X249" s="26"/>
      <c r="Y249" s="26"/>
      <c r="Z249" s="26"/>
    </row>
    <row r="250" spans="1:26" ht="19.5" customHeight="1" x14ac:dyDescent="0.85">
      <c r="A250" s="26"/>
      <c r="B250" s="26"/>
      <c r="C250" s="26"/>
      <c r="D250" s="26"/>
      <c r="E250" s="26"/>
      <c r="F250" s="26"/>
      <c r="G250" s="26"/>
      <c r="H250" s="26"/>
      <c r="I250" s="26"/>
      <c r="J250" s="26"/>
      <c r="K250" s="26"/>
      <c r="L250" s="26"/>
      <c r="M250" s="26"/>
      <c r="N250" s="26"/>
      <c r="O250" s="26"/>
      <c r="P250" s="26"/>
      <c r="Q250" s="26"/>
      <c r="R250" s="26"/>
      <c r="S250" s="26"/>
      <c r="T250" s="26"/>
      <c r="U250" s="26"/>
      <c r="V250" s="26"/>
      <c r="W250" s="26"/>
      <c r="X250" s="26"/>
      <c r="Y250" s="26"/>
      <c r="Z250" s="26"/>
    </row>
    <row r="251" spans="1:26" ht="19.5" customHeight="1" x14ac:dyDescent="0.85">
      <c r="A251" s="26"/>
      <c r="B251" s="26"/>
      <c r="C251" s="26"/>
      <c r="D251" s="26"/>
      <c r="E251" s="26"/>
      <c r="F251" s="26"/>
      <c r="G251" s="26"/>
      <c r="H251" s="26"/>
      <c r="I251" s="26"/>
      <c r="J251" s="26"/>
      <c r="K251" s="26"/>
      <c r="L251" s="26"/>
      <c r="M251" s="26"/>
      <c r="N251" s="26"/>
      <c r="O251" s="26"/>
      <c r="P251" s="26"/>
      <c r="Q251" s="26"/>
      <c r="R251" s="26"/>
      <c r="S251" s="26"/>
      <c r="T251" s="26"/>
      <c r="U251" s="26"/>
      <c r="V251" s="26"/>
      <c r="W251" s="26"/>
      <c r="X251" s="26"/>
      <c r="Y251" s="26"/>
      <c r="Z251" s="26"/>
    </row>
    <row r="252" spans="1:26" ht="19.5" customHeight="1" x14ac:dyDescent="0.85">
      <c r="A252" s="26"/>
      <c r="B252" s="26"/>
      <c r="C252" s="26"/>
      <c r="D252" s="26"/>
      <c r="E252" s="26"/>
      <c r="F252" s="26"/>
      <c r="G252" s="26"/>
      <c r="H252" s="26"/>
      <c r="I252" s="26"/>
      <c r="J252" s="26"/>
      <c r="K252" s="26"/>
      <c r="L252" s="26"/>
      <c r="M252" s="26"/>
      <c r="N252" s="26"/>
      <c r="O252" s="26"/>
      <c r="P252" s="26"/>
      <c r="Q252" s="26"/>
      <c r="R252" s="26"/>
      <c r="S252" s="26"/>
      <c r="T252" s="26"/>
      <c r="U252" s="26"/>
      <c r="V252" s="26"/>
      <c r="W252" s="26"/>
      <c r="X252" s="26"/>
      <c r="Y252" s="26"/>
      <c r="Z252" s="26"/>
    </row>
    <row r="253" spans="1:26" ht="19.5" customHeight="1" x14ac:dyDescent="0.85">
      <c r="A253" s="26"/>
      <c r="B253" s="26"/>
      <c r="C253" s="26"/>
      <c r="D253" s="26"/>
      <c r="E253" s="26"/>
      <c r="F253" s="26"/>
      <c r="G253" s="26"/>
      <c r="H253" s="26"/>
      <c r="I253" s="26"/>
      <c r="J253" s="26"/>
      <c r="K253" s="26"/>
      <c r="L253" s="26"/>
      <c r="M253" s="26"/>
      <c r="N253" s="26"/>
      <c r="O253" s="26"/>
      <c r="P253" s="26"/>
      <c r="Q253" s="26"/>
      <c r="R253" s="26"/>
      <c r="S253" s="26"/>
      <c r="T253" s="26"/>
      <c r="U253" s="26"/>
      <c r="V253" s="26"/>
      <c r="W253" s="26"/>
      <c r="X253" s="26"/>
      <c r="Y253" s="26"/>
      <c r="Z253" s="26"/>
    </row>
    <row r="254" spans="1:26" ht="19.5" customHeight="1" x14ac:dyDescent="0.85">
      <c r="A254" s="26"/>
      <c r="B254" s="26"/>
      <c r="C254" s="26"/>
      <c r="D254" s="26"/>
      <c r="E254" s="26"/>
      <c r="F254" s="26"/>
      <c r="G254" s="26"/>
      <c r="H254" s="26"/>
      <c r="I254" s="26"/>
      <c r="J254" s="26"/>
      <c r="K254" s="26"/>
      <c r="L254" s="26"/>
      <c r="M254" s="26"/>
      <c r="N254" s="26"/>
      <c r="O254" s="26"/>
      <c r="P254" s="26"/>
      <c r="Q254" s="26"/>
      <c r="R254" s="26"/>
      <c r="S254" s="26"/>
      <c r="T254" s="26"/>
      <c r="U254" s="26"/>
      <c r="V254" s="26"/>
      <c r="W254" s="26"/>
      <c r="X254" s="26"/>
      <c r="Y254" s="26"/>
      <c r="Z254" s="26"/>
    </row>
    <row r="255" spans="1:26" ht="19.5" customHeight="1" x14ac:dyDescent="0.85">
      <c r="A255" s="26"/>
      <c r="B255" s="26"/>
      <c r="C255" s="26"/>
      <c r="D255" s="26"/>
      <c r="E255" s="26"/>
      <c r="F255" s="26"/>
      <c r="G255" s="26"/>
      <c r="H255" s="26"/>
      <c r="I255" s="26"/>
      <c r="J255" s="26"/>
      <c r="K255" s="26"/>
      <c r="L255" s="26"/>
      <c r="M255" s="26"/>
      <c r="N255" s="26"/>
      <c r="O255" s="26"/>
      <c r="P255" s="26"/>
      <c r="Q255" s="26"/>
      <c r="R255" s="26"/>
      <c r="S255" s="26"/>
      <c r="T255" s="26"/>
      <c r="U255" s="26"/>
      <c r="V255" s="26"/>
      <c r="W255" s="26"/>
      <c r="X255" s="26"/>
      <c r="Y255" s="26"/>
      <c r="Z255" s="26"/>
    </row>
    <row r="256" spans="1:26" ht="19.5" customHeight="1" x14ac:dyDescent="0.85">
      <c r="A256" s="26"/>
      <c r="B256" s="26"/>
      <c r="C256" s="26"/>
      <c r="D256" s="26"/>
      <c r="E256" s="26"/>
      <c r="F256" s="26"/>
      <c r="G256" s="26"/>
      <c r="H256" s="26"/>
      <c r="I256" s="26"/>
      <c r="J256" s="26"/>
      <c r="K256" s="26"/>
      <c r="L256" s="26"/>
      <c r="M256" s="26"/>
      <c r="N256" s="26"/>
      <c r="O256" s="26"/>
      <c r="P256" s="26"/>
      <c r="Q256" s="26"/>
      <c r="R256" s="26"/>
      <c r="S256" s="26"/>
      <c r="T256" s="26"/>
      <c r="U256" s="26"/>
      <c r="V256" s="26"/>
      <c r="W256" s="26"/>
      <c r="X256" s="26"/>
      <c r="Y256" s="26"/>
      <c r="Z256" s="26"/>
    </row>
    <row r="257" spans="1:26" ht="19.5" customHeight="1" x14ac:dyDescent="0.85">
      <c r="A257" s="26"/>
      <c r="B257" s="26"/>
      <c r="C257" s="26"/>
      <c r="D257" s="26"/>
      <c r="E257" s="26"/>
      <c r="F257" s="26"/>
      <c r="G257" s="26"/>
      <c r="H257" s="26"/>
      <c r="I257" s="26"/>
      <c r="J257" s="26"/>
      <c r="K257" s="26"/>
      <c r="L257" s="26"/>
      <c r="M257" s="26"/>
      <c r="N257" s="26"/>
      <c r="O257" s="26"/>
      <c r="P257" s="26"/>
      <c r="Q257" s="26"/>
      <c r="R257" s="26"/>
      <c r="S257" s="26"/>
      <c r="T257" s="26"/>
      <c r="U257" s="26"/>
      <c r="V257" s="26"/>
      <c r="W257" s="26"/>
      <c r="X257" s="26"/>
      <c r="Y257" s="26"/>
      <c r="Z257" s="26"/>
    </row>
    <row r="258" spans="1:26" ht="19.5" customHeight="1" x14ac:dyDescent="0.85">
      <c r="A258" s="26"/>
      <c r="B258" s="26"/>
      <c r="C258" s="26"/>
      <c r="D258" s="26"/>
      <c r="E258" s="26"/>
      <c r="F258" s="26"/>
      <c r="G258" s="26"/>
      <c r="H258" s="26"/>
      <c r="I258" s="26"/>
      <c r="J258" s="26"/>
      <c r="K258" s="26"/>
      <c r="L258" s="26"/>
      <c r="M258" s="26"/>
      <c r="N258" s="26"/>
      <c r="O258" s="26"/>
      <c r="P258" s="26"/>
      <c r="Q258" s="26"/>
      <c r="R258" s="26"/>
      <c r="S258" s="26"/>
      <c r="T258" s="26"/>
      <c r="U258" s="26"/>
      <c r="V258" s="26"/>
      <c r="W258" s="26"/>
      <c r="X258" s="26"/>
      <c r="Y258" s="26"/>
      <c r="Z258" s="26"/>
    </row>
    <row r="259" spans="1:26" ht="19.5" customHeight="1" x14ac:dyDescent="0.85">
      <c r="A259" s="26"/>
      <c r="B259" s="26"/>
      <c r="C259" s="26"/>
      <c r="D259" s="26"/>
      <c r="E259" s="26"/>
      <c r="F259" s="26"/>
      <c r="G259" s="26"/>
      <c r="H259" s="26"/>
      <c r="I259" s="26"/>
      <c r="J259" s="26"/>
      <c r="K259" s="26"/>
      <c r="L259" s="26"/>
      <c r="M259" s="26"/>
      <c r="N259" s="26"/>
      <c r="O259" s="26"/>
      <c r="P259" s="26"/>
      <c r="Q259" s="26"/>
      <c r="R259" s="26"/>
      <c r="S259" s="26"/>
      <c r="T259" s="26"/>
      <c r="U259" s="26"/>
      <c r="V259" s="26"/>
      <c r="W259" s="26"/>
      <c r="X259" s="26"/>
      <c r="Y259" s="26"/>
      <c r="Z259" s="26"/>
    </row>
    <row r="260" spans="1:26" ht="19.5" customHeight="1" x14ac:dyDescent="0.85">
      <c r="A260" s="26"/>
      <c r="B260" s="26"/>
      <c r="C260" s="26"/>
      <c r="D260" s="26"/>
      <c r="E260" s="26"/>
      <c r="F260" s="26"/>
      <c r="G260" s="26"/>
      <c r="H260" s="26"/>
      <c r="I260" s="26"/>
      <c r="J260" s="26"/>
      <c r="K260" s="26"/>
      <c r="L260" s="26"/>
      <c r="M260" s="26"/>
      <c r="N260" s="26"/>
      <c r="O260" s="26"/>
      <c r="P260" s="26"/>
      <c r="Q260" s="26"/>
      <c r="R260" s="26"/>
      <c r="S260" s="26"/>
      <c r="T260" s="26"/>
      <c r="U260" s="26"/>
      <c r="V260" s="26"/>
      <c r="W260" s="26"/>
      <c r="X260" s="26"/>
      <c r="Y260" s="26"/>
      <c r="Z260" s="26"/>
    </row>
    <row r="261" spans="1:26" ht="19.5" customHeight="1" x14ac:dyDescent="0.85">
      <c r="A261" s="26"/>
      <c r="B261" s="26"/>
      <c r="C261" s="26"/>
      <c r="D261" s="26"/>
      <c r="E261" s="26"/>
      <c r="F261" s="26"/>
      <c r="G261" s="26"/>
      <c r="H261" s="26"/>
      <c r="I261" s="26"/>
      <c r="J261" s="26"/>
      <c r="K261" s="26"/>
      <c r="L261" s="26"/>
      <c r="M261" s="26"/>
      <c r="N261" s="26"/>
      <c r="O261" s="26"/>
      <c r="P261" s="26"/>
      <c r="Q261" s="26"/>
      <c r="R261" s="26"/>
      <c r="S261" s="26"/>
      <c r="T261" s="26"/>
      <c r="U261" s="26"/>
      <c r="V261" s="26"/>
      <c r="W261" s="26"/>
      <c r="X261" s="26"/>
      <c r="Y261" s="26"/>
      <c r="Z261" s="26"/>
    </row>
    <row r="262" spans="1:26" ht="19.5" customHeight="1" x14ac:dyDescent="0.85">
      <c r="A262" s="26"/>
      <c r="B262" s="26"/>
      <c r="C262" s="26"/>
      <c r="D262" s="26"/>
      <c r="E262" s="26"/>
      <c r="F262" s="26"/>
      <c r="G262" s="26"/>
      <c r="H262" s="26"/>
      <c r="I262" s="26"/>
      <c r="J262" s="26"/>
      <c r="K262" s="26"/>
      <c r="L262" s="26"/>
      <c r="M262" s="26"/>
      <c r="N262" s="26"/>
      <c r="O262" s="26"/>
      <c r="P262" s="26"/>
      <c r="Q262" s="26"/>
      <c r="R262" s="26"/>
      <c r="S262" s="26"/>
      <c r="T262" s="26"/>
      <c r="U262" s="26"/>
      <c r="V262" s="26"/>
      <c r="W262" s="26"/>
      <c r="X262" s="26"/>
      <c r="Y262" s="26"/>
      <c r="Z262" s="26"/>
    </row>
    <row r="263" spans="1:26" ht="19.5" customHeight="1" x14ac:dyDescent="0.85">
      <c r="A263" s="26"/>
      <c r="B263" s="26"/>
      <c r="C263" s="26"/>
      <c r="D263" s="26"/>
      <c r="E263" s="26"/>
      <c r="F263" s="26"/>
      <c r="G263" s="26"/>
      <c r="H263" s="26"/>
      <c r="I263" s="26"/>
      <c r="J263" s="26"/>
      <c r="K263" s="26"/>
      <c r="L263" s="26"/>
      <c r="M263" s="26"/>
      <c r="N263" s="26"/>
      <c r="O263" s="26"/>
      <c r="P263" s="26"/>
      <c r="Q263" s="26"/>
      <c r="R263" s="26"/>
      <c r="S263" s="26"/>
      <c r="T263" s="26"/>
      <c r="U263" s="26"/>
      <c r="V263" s="26"/>
      <c r="W263" s="26"/>
      <c r="X263" s="26"/>
      <c r="Y263" s="26"/>
      <c r="Z263" s="26"/>
    </row>
    <row r="264" spans="1:26" ht="19.5" customHeight="1" x14ac:dyDescent="0.85">
      <c r="A264" s="26"/>
      <c r="B264" s="26"/>
      <c r="C264" s="26"/>
      <c r="D264" s="26"/>
      <c r="E264" s="26"/>
      <c r="F264" s="26"/>
      <c r="G264" s="26"/>
      <c r="H264" s="26"/>
      <c r="I264" s="26"/>
      <c r="J264" s="26"/>
      <c r="K264" s="26"/>
      <c r="L264" s="26"/>
      <c r="M264" s="26"/>
      <c r="N264" s="26"/>
      <c r="O264" s="26"/>
      <c r="P264" s="26"/>
      <c r="Q264" s="26"/>
      <c r="R264" s="26"/>
      <c r="S264" s="26"/>
      <c r="T264" s="26"/>
      <c r="U264" s="26"/>
      <c r="V264" s="26"/>
      <c r="W264" s="26"/>
      <c r="X264" s="26"/>
      <c r="Y264" s="26"/>
      <c r="Z264" s="26"/>
    </row>
    <row r="265" spans="1:26" ht="19.5" customHeight="1" x14ac:dyDescent="0.85">
      <c r="A265" s="26"/>
      <c r="B265" s="26"/>
      <c r="C265" s="26"/>
      <c r="D265" s="26"/>
      <c r="E265" s="26"/>
      <c r="F265" s="26"/>
      <c r="G265" s="26"/>
      <c r="H265" s="26"/>
      <c r="I265" s="26"/>
      <c r="J265" s="26"/>
      <c r="K265" s="26"/>
      <c r="L265" s="26"/>
      <c r="M265" s="26"/>
      <c r="N265" s="26"/>
      <c r="O265" s="26"/>
      <c r="P265" s="26"/>
      <c r="Q265" s="26"/>
      <c r="R265" s="26"/>
      <c r="S265" s="26"/>
      <c r="T265" s="26"/>
      <c r="U265" s="26"/>
      <c r="V265" s="26"/>
      <c r="W265" s="26"/>
      <c r="X265" s="26"/>
      <c r="Y265" s="26"/>
      <c r="Z265" s="26"/>
    </row>
    <row r="266" spans="1:26" ht="19.5" customHeight="1" x14ac:dyDescent="0.85">
      <c r="A266" s="26"/>
      <c r="B266" s="26"/>
      <c r="C266" s="26"/>
      <c r="D266" s="26"/>
      <c r="E266" s="26"/>
      <c r="F266" s="26"/>
      <c r="G266" s="26"/>
      <c r="H266" s="26"/>
      <c r="I266" s="26"/>
      <c r="J266" s="26"/>
      <c r="K266" s="26"/>
      <c r="L266" s="26"/>
      <c r="M266" s="26"/>
      <c r="N266" s="26"/>
      <c r="O266" s="26"/>
      <c r="P266" s="26"/>
      <c r="Q266" s="26"/>
      <c r="R266" s="26"/>
      <c r="S266" s="26"/>
      <c r="T266" s="26"/>
      <c r="U266" s="26"/>
      <c r="V266" s="26"/>
      <c r="W266" s="26"/>
      <c r="X266" s="26"/>
      <c r="Y266" s="26"/>
      <c r="Z266" s="26"/>
    </row>
    <row r="267" spans="1:26" ht="19.5" customHeight="1" x14ac:dyDescent="0.85">
      <c r="A267" s="26"/>
      <c r="B267" s="26"/>
      <c r="C267" s="26"/>
      <c r="D267" s="26"/>
      <c r="E267" s="26"/>
      <c r="F267" s="26"/>
      <c r="G267" s="26"/>
      <c r="H267" s="26"/>
      <c r="I267" s="26"/>
      <c r="J267" s="26"/>
      <c r="K267" s="26"/>
      <c r="L267" s="26"/>
      <c r="M267" s="26"/>
      <c r="N267" s="26"/>
      <c r="O267" s="26"/>
      <c r="P267" s="26"/>
      <c r="Q267" s="26"/>
      <c r="R267" s="26"/>
      <c r="S267" s="26"/>
      <c r="T267" s="26"/>
      <c r="U267" s="26"/>
      <c r="V267" s="26"/>
      <c r="W267" s="26"/>
      <c r="X267" s="26"/>
      <c r="Y267" s="26"/>
      <c r="Z267" s="26"/>
    </row>
    <row r="268" spans="1:26" ht="19.5" customHeight="1" x14ac:dyDescent="0.85">
      <c r="A268" s="26"/>
      <c r="B268" s="26"/>
      <c r="C268" s="26"/>
      <c r="D268" s="26"/>
      <c r="E268" s="26"/>
      <c r="F268" s="26"/>
      <c r="G268" s="26"/>
      <c r="H268" s="26"/>
      <c r="I268" s="26"/>
      <c r="J268" s="26"/>
      <c r="K268" s="26"/>
      <c r="L268" s="26"/>
      <c r="M268" s="26"/>
      <c r="N268" s="26"/>
      <c r="O268" s="26"/>
      <c r="P268" s="26"/>
      <c r="Q268" s="26"/>
      <c r="R268" s="26"/>
      <c r="S268" s="26"/>
      <c r="T268" s="26"/>
      <c r="U268" s="26"/>
      <c r="V268" s="26"/>
      <c r="W268" s="26"/>
      <c r="X268" s="26"/>
      <c r="Y268" s="26"/>
      <c r="Z268" s="26"/>
    </row>
    <row r="269" spans="1:26" ht="19.5" customHeight="1" x14ac:dyDescent="0.85">
      <c r="A269" s="26"/>
      <c r="B269" s="26"/>
      <c r="C269" s="26"/>
      <c r="D269" s="26"/>
      <c r="E269" s="26"/>
      <c r="F269" s="26"/>
      <c r="G269" s="26"/>
      <c r="H269" s="26"/>
      <c r="I269" s="26"/>
      <c r="J269" s="26"/>
      <c r="K269" s="26"/>
      <c r="L269" s="26"/>
      <c r="M269" s="26"/>
      <c r="N269" s="26"/>
      <c r="O269" s="26"/>
      <c r="P269" s="26"/>
      <c r="Q269" s="26"/>
      <c r="R269" s="26"/>
      <c r="S269" s="26"/>
      <c r="T269" s="26"/>
      <c r="U269" s="26"/>
      <c r="V269" s="26"/>
      <c r="W269" s="26"/>
      <c r="X269" s="26"/>
      <c r="Y269" s="26"/>
      <c r="Z269" s="26"/>
    </row>
    <row r="270" spans="1:26" ht="19.5" customHeight="1" x14ac:dyDescent="0.85">
      <c r="A270" s="26"/>
      <c r="B270" s="26"/>
      <c r="C270" s="26"/>
      <c r="D270" s="26"/>
      <c r="E270" s="26"/>
      <c r="F270" s="26"/>
      <c r="G270" s="26"/>
      <c r="H270" s="26"/>
      <c r="I270" s="26"/>
      <c r="J270" s="26"/>
      <c r="K270" s="26"/>
      <c r="L270" s="26"/>
      <c r="M270" s="26"/>
      <c r="N270" s="26"/>
      <c r="O270" s="26"/>
      <c r="P270" s="26"/>
      <c r="Q270" s="26"/>
      <c r="R270" s="26"/>
      <c r="S270" s="26"/>
      <c r="T270" s="26"/>
      <c r="U270" s="26"/>
      <c r="V270" s="26"/>
      <c r="W270" s="26"/>
      <c r="X270" s="26"/>
      <c r="Y270" s="26"/>
      <c r="Z270" s="26"/>
    </row>
    <row r="271" spans="1:26" ht="19.5" customHeight="1" x14ac:dyDescent="0.85">
      <c r="A271" s="26"/>
      <c r="B271" s="26"/>
      <c r="C271" s="26"/>
      <c r="D271" s="26"/>
      <c r="E271" s="26"/>
      <c r="F271" s="26"/>
      <c r="G271" s="26"/>
      <c r="H271" s="26"/>
      <c r="I271" s="26"/>
      <c r="J271" s="26"/>
      <c r="K271" s="26"/>
      <c r="L271" s="26"/>
      <c r="M271" s="26"/>
      <c r="N271" s="26"/>
      <c r="O271" s="26"/>
      <c r="P271" s="26"/>
      <c r="Q271" s="26"/>
      <c r="R271" s="26"/>
      <c r="S271" s="26"/>
      <c r="T271" s="26"/>
      <c r="U271" s="26"/>
      <c r="V271" s="26"/>
      <c r="W271" s="26"/>
      <c r="X271" s="26"/>
      <c r="Y271" s="26"/>
      <c r="Z271" s="26"/>
    </row>
    <row r="272" spans="1:26" ht="19.5" customHeight="1" x14ac:dyDescent="0.85">
      <c r="A272" s="26"/>
      <c r="B272" s="26"/>
      <c r="C272" s="26"/>
      <c r="D272" s="26"/>
      <c r="E272" s="26"/>
      <c r="F272" s="26"/>
      <c r="G272" s="26"/>
      <c r="H272" s="26"/>
      <c r="I272" s="26"/>
      <c r="J272" s="26"/>
      <c r="K272" s="26"/>
      <c r="L272" s="26"/>
      <c r="M272" s="26"/>
      <c r="N272" s="26"/>
      <c r="O272" s="26"/>
      <c r="P272" s="26"/>
      <c r="Q272" s="26"/>
      <c r="R272" s="26"/>
      <c r="S272" s="26"/>
      <c r="T272" s="26"/>
      <c r="U272" s="26"/>
      <c r="V272" s="26"/>
      <c r="W272" s="26"/>
      <c r="X272" s="26"/>
      <c r="Y272" s="26"/>
      <c r="Z272" s="26"/>
    </row>
    <row r="273" spans="1:26" ht="19.5" customHeight="1" x14ac:dyDescent="0.85">
      <c r="A273" s="26"/>
      <c r="B273" s="26"/>
      <c r="C273" s="26"/>
      <c r="D273" s="26"/>
      <c r="E273" s="26"/>
      <c r="F273" s="26"/>
      <c r="G273" s="26"/>
      <c r="H273" s="26"/>
      <c r="I273" s="26"/>
      <c r="J273" s="26"/>
      <c r="K273" s="26"/>
      <c r="L273" s="26"/>
      <c r="M273" s="26"/>
      <c r="N273" s="26"/>
      <c r="O273" s="26"/>
      <c r="P273" s="26"/>
      <c r="Q273" s="26"/>
      <c r="R273" s="26"/>
      <c r="S273" s="26"/>
      <c r="T273" s="26"/>
      <c r="U273" s="26"/>
      <c r="V273" s="26"/>
      <c r="W273" s="26"/>
      <c r="X273" s="26"/>
      <c r="Y273" s="26"/>
      <c r="Z273" s="26"/>
    </row>
    <row r="274" spans="1:26" ht="19.5" customHeight="1" x14ac:dyDescent="0.85">
      <c r="A274" s="26"/>
      <c r="B274" s="26"/>
      <c r="C274" s="26"/>
      <c r="D274" s="26"/>
      <c r="E274" s="26"/>
      <c r="F274" s="26"/>
      <c r="G274" s="26"/>
      <c r="H274" s="26"/>
      <c r="I274" s="26"/>
      <c r="J274" s="26"/>
      <c r="K274" s="26"/>
      <c r="L274" s="26"/>
      <c r="M274" s="26"/>
      <c r="N274" s="26"/>
      <c r="O274" s="26"/>
      <c r="P274" s="26"/>
      <c r="Q274" s="26"/>
      <c r="R274" s="26"/>
      <c r="S274" s="26"/>
      <c r="T274" s="26"/>
      <c r="U274" s="26"/>
      <c r="V274" s="26"/>
      <c r="W274" s="26"/>
      <c r="X274" s="26"/>
      <c r="Y274" s="26"/>
      <c r="Z274" s="26"/>
    </row>
    <row r="275" spans="1:26" ht="19.5" customHeight="1" x14ac:dyDescent="0.85">
      <c r="A275" s="26"/>
      <c r="B275" s="26"/>
      <c r="C275" s="26"/>
      <c r="D275" s="26"/>
      <c r="E275" s="26"/>
      <c r="F275" s="26"/>
      <c r="G275" s="26"/>
      <c r="H275" s="26"/>
      <c r="I275" s="26"/>
      <c r="J275" s="26"/>
      <c r="K275" s="26"/>
      <c r="L275" s="26"/>
      <c r="M275" s="26"/>
      <c r="N275" s="26"/>
      <c r="O275" s="26"/>
      <c r="P275" s="26"/>
      <c r="Q275" s="26"/>
      <c r="R275" s="26"/>
      <c r="S275" s="26"/>
      <c r="T275" s="26"/>
      <c r="U275" s="26"/>
      <c r="V275" s="26"/>
      <c r="W275" s="26"/>
      <c r="X275" s="26"/>
      <c r="Y275" s="26"/>
      <c r="Z275" s="26"/>
    </row>
    <row r="276" spans="1:26" ht="19.5" customHeight="1" x14ac:dyDescent="0.85">
      <c r="A276" s="26"/>
      <c r="B276" s="26"/>
      <c r="C276" s="26"/>
      <c r="D276" s="26"/>
      <c r="E276" s="26"/>
      <c r="F276" s="26"/>
      <c r="G276" s="26"/>
      <c r="H276" s="26"/>
      <c r="I276" s="26"/>
      <c r="J276" s="26"/>
      <c r="K276" s="26"/>
      <c r="L276" s="26"/>
      <c r="M276" s="26"/>
      <c r="N276" s="26"/>
      <c r="O276" s="26"/>
      <c r="P276" s="26"/>
      <c r="Q276" s="26"/>
      <c r="R276" s="26"/>
      <c r="S276" s="26"/>
      <c r="T276" s="26"/>
      <c r="U276" s="26"/>
      <c r="V276" s="26"/>
      <c r="W276" s="26"/>
      <c r="X276" s="26"/>
      <c r="Y276" s="26"/>
      <c r="Z276" s="26"/>
    </row>
    <row r="277" spans="1:26" ht="19.5" customHeight="1" x14ac:dyDescent="0.85">
      <c r="A277" s="26"/>
      <c r="B277" s="26"/>
      <c r="C277" s="26"/>
      <c r="D277" s="26"/>
      <c r="E277" s="26"/>
      <c r="F277" s="26"/>
      <c r="G277" s="26"/>
      <c r="H277" s="26"/>
      <c r="I277" s="26"/>
      <c r="J277" s="26"/>
      <c r="K277" s="26"/>
      <c r="L277" s="26"/>
      <c r="M277" s="26"/>
      <c r="N277" s="26"/>
      <c r="O277" s="26"/>
      <c r="P277" s="26"/>
      <c r="Q277" s="26"/>
      <c r="R277" s="26"/>
      <c r="S277" s="26"/>
      <c r="T277" s="26"/>
      <c r="U277" s="26"/>
      <c r="V277" s="26"/>
      <c r="W277" s="26"/>
      <c r="X277" s="26"/>
      <c r="Y277" s="26"/>
      <c r="Z277" s="26"/>
    </row>
    <row r="278" spans="1:26" ht="19.5" customHeight="1" x14ac:dyDescent="0.85">
      <c r="A278" s="26"/>
      <c r="B278" s="26"/>
      <c r="C278" s="26"/>
      <c r="D278" s="26"/>
      <c r="E278" s="26"/>
      <c r="F278" s="26"/>
      <c r="G278" s="26"/>
      <c r="H278" s="26"/>
      <c r="I278" s="26"/>
      <c r="J278" s="26"/>
      <c r="K278" s="26"/>
      <c r="L278" s="26"/>
      <c r="M278" s="26"/>
      <c r="N278" s="26"/>
      <c r="O278" s="26"/>
      <c r="P278" s="26"/>
      <c r="Q278" s="26"/>
      <c r="R278" s="26"/>
      <c r="S278" s="26"/>
      <c r="T278" s="26"/>
      <c r="U278" s="26"/>
      <c r="V278" s="26"/>
      <c r="W278" s="26"/>
      <c r="X278" s="26"/>
      <c r="Y278" s="26"/>
      <c r="Z278" s="26"/>
    </row>
    <row r="279" spans="1:26" ht="19.5" customHeight="1" x14ac:dyDescent="0.85">
      <c r="A279" s="26"/>
      <c r="B279" s="26"/>
      <c r="C279" s="26"/>
      <c r="D279" s="26"/>
      <c r="E279" s="26"/>
      <c r="F279" s="26"/>
      <c r="G279" s="26"/>
      <c r="H279" s="26"/>
      <c r="I279" s="26"/>
      <c r="J279" s="26"/>
      <c r="K279" s="26"/>
      <c r="L279" s="26"/>
      <c r="M279" s="26"/>
      <c r="N279" s="26"/>
      <c r="O279" s="26"/>
      <c r="P279" s="26"/>
      <c r="Q279" s="26"/>
      <c r="R279" s="26"/>
      <c r="S279" s="26"/>
      <c r="T279" s="26"/>
      <c r="U279" s="26"/>
      <c r="V279" s="26"/>
      <c r="W279" s="26"/>
      <c r="X279" s="26"/>
      <c r="Y279" s="26"/>
      <c r="Z279" s="26"/>
    </row>
    <row r="280" spans="1:26" ht="19.5" customHeight="1" x14ac:dyDescent="0.85">
      <c r="A280" s="26"/>
      <c r="B280" s="26"/>
      <c r="C280" s="26"/>
      <c r="D280" s="26"/>
      <c r="E280" s="26"/>
      <c r="F280" s="26"/>
      <c r="G280" s="26"/>
      <c r="H280" s="26"/>
      <c r="I280" s="26"/>
      <c r="J280" s="26"/>
      <c r="K280" s="26"/>
      <c r="L280" s="26"/>
      <c r="M280" s="26"/>
      <c r="N280" s="26"/>
      <c r="O280" s="26"/>
      <c r="P280" s="26"/>
      <c r="Q280" s="26"/>
      <c r="R280" s="26"/>
      <c r="S280" s="26"/>
      <c r="T280" s="26"/>
      <c r="U280" s="26"/>
      <c r="V280" s="26"/>
      <c r="W280" s="26"/>
      <c r="X280" s="26"/>
      <c r="Y280" s="26"/>
      <c r="Z280" s="26"/>
    </row>
    <row r="281" spans="1:26" ht="19.5" customHeight="1" x14ac:dyDescent="0.85">
      <c r="A281" s="26"/>
      <c r="B281" s="26"/>
      <c r="C281" s="26"/>
      <c r="D281" s="26"/>
      <c r="E281" s="26"/>
      <c r="F281" s="26"/>
      <c r="G281" s="26"/>
      <c r="H281" s="26"/>
      <c r="I281" s="26"/>
      <c r="J281" s="26"/>
      <c r="K281" s="26"/>
      <c r="L281" s="26"/>
      <c r="M281" s="26"/>
      <c r="N281" s="26"/>
      <c r="O281" s="26"/>
      <c r="P281" s="26"/>
      <c r="Q281" s="26"/>
      <c r="R281" s="26"/>
      <c r="S281" s="26"/>
      <c r="T281" s="26"/>
      <c r="U281" s="26"/>
      <c r="V281" s="26"/>
      <c r="W281" s="26"/>
      <c r="X281" s="26"/>
      <c r="Y281" s="26"/>
      <c r="Z281" s="26"/>
    </row>
    <row r="282" spans="1:26" ht="19.5" customHeight="1" x14ac:dyDescent="0.85">
      <c r="A282" s="26"/>
      <c r="B282" s="26"/>
      <c r="C282" s="26"/>
      <c r="D282" s="26"/>
      <c r="E282" s="26"/>
      <c r="F282" s="26"/>
      <c r="G282" s="26"/>
      <c r="H282" s="26"/>
      <c r="I282" s="26"/>
      <c r="J282" s="26"/>
      <c r="K282" s="26"/>
      <c r="L282" s="26"/>
      <c r="M282" s="26"/>
      <c r="N282" s="26"/>
      <c r="O282" s="26"/>
      <c r="P282" s="26"/>
      <c r="Q282" s="26"/>
      <c r="R282" s="26"/>
      <c r="S282" s="26"/>
      <c r="T282" s="26"/>
      <c r="U282" s="26"/>
      <c r="V282" s="26"/>
      <c r="W282" s="26"/>
      <c r="X282" s="26"/>
      <c r="Y282" s="26"/>
      <c r="Z282" s="26"/>
    </row>
    <row r="283" spans="1:26" ht="19.5" customHeight="1" x14ac:dyDescent="0.85">
      <c r="A283" s="26"/>
      <c r="B283" s="26"/>
      <c r="C283" s="26"/>
      <c r="D283" s="26"/>
      <c r="E283" s="26"/>
      <c r="F283" s="26"/>
      <c r="G283" s="26"/>
      <c r="H283" s="26"/>
      <c r="I283" s="26"/>
      <c r="J283" s="26"/>
      <c r="K283" s="26"/>
      <c r="L283" s="26"/>
      <c r="M283" s="26"/>
      <c r="N283" s="26"/>
      <c r="O283" s="26"/>
      <c r="P283" s="26"/>
      <c r="Q283" s="26"/>
      <c r="R283" s="26"/>
      <c r="S283" s="26"/>
      <c r="T283" s="26"/>
      <c r="U283" s="26"/>
      <c r="V283" s="26"/>
      <c r="W283" s="26"/>
      <c r="X283" s="26"/>
      <c r="Y283" s="26"/>
      <c r="Z283" s="26"/>
    </row>
    <row r="284" spans="1:26" ht="19.5" customHeight="1" x14ac:dyDescent="0.85">
      <c r="A284" s="26"/>
      <c r="B284" s="26"/>
      <c r="C284" s="26"/>
      <c r="D284" s="26"/>
      <c r="E284" s="26"/>
      <c r="F284" s="26"/>
      <c r="G284" s="26"/>
      <c r="H284" s="26"/>
      <c r="I284" s="26"/>
      <c r="J284" s="26"/>
      <c r="K284" s="26"/>
      <c r="L284" s="26"/>
      <c r="M284" s="26"/>
      <c r="N284" s="26"/>
      <c r="O284" s="26"/>
      <c r="P284" s="26"/>
      <c r="Q284" s="26"/>
      <c r="R284" s="26"/>
      <c r="S284" s="26"/>
      <c r="T284" s="26"/>
      <c r="U284" s="26"/>
      <c r="V284" s="26"/>
      <c r="W284" s="26"/>
      <c r="X284" s="26"/>
      <c r="Y284" s="26"/>
      <c r="Z284" s="26"/>
    </row>
    <row r="285" spans="1:26" ht="19.5" customHeight="1" x14ac:dyDescent="0.85">
      <c r="A285" s="26"/>
      <c r="B285" s="26"/>
      <c r="C285" s="26"/>
      <c r="D285" s="26"/>
      <c r="E285" s="26"/>
      <c r="F285" s="26"/>
      <c r="G285" s="26"/>
      <c r="H285" s="26"/>
      <c r="I285" s="26"/>
      <c r="J285" s="26"/>
      <c r="K285" s="26"/>
      <c r="L285" s="26"/>
      <c r="M285" s="26"/>
      <c r="N285" s="26"/>
      <c r="O285" s="26"/>
      <c r="P285" s="26"/>
      <c r="Q285" s="26"/>
      <c r="R285" s="26"/>
      <c r="S285" s="26"/>
      <c r="T285" s="26"/>
      <c r="U285" s="26"/>
      <c r="V285" s="26"/>
      <c r="W285" s="26"/>
      <c r="X285" s="26"/>
      <c r="Y285" s="26"/>
      <c r="Z285" s="26"/>
    </row>
    <row r="286" spans="1:26" ht="19.5" customHeight="1" x14ac:dyDescent="0.85">
      <c r="A286" s="26"/>
      <c r="B286" s="26"/>
      <c r="C286" s="26"/>
      <c r="D286" s="26"/>
      <c r="E286" s="26"/>
      <c r="F286" s="26"/>
      <c r="G286" s="26"/>
      <c r="H286" s="26"/>
      <c r="I286" s="26"/>
      <c r="J286" s="26"/>
      <c r="K286" s="26"/>
      <c r="L286" s="26"/>
      <c r="M286" s="26"/>
      <c r="N286" s="26"/>
      <c r="O286" s="26"/>
      <c r="P286" s="26"/>
      <c r="Q286" s="26"/>
      <c r="R286" s="26"/>
      <c r="S286" s="26"/>
      <c r="T286" s="26"/>
      <c r="U286" s="26"/>
      <c r="V286" s="26"/>
      <c r="W286" s="26"/>
      <c r="X286" s="26"/>
      <c r="Y286" s="26"/>
      <c r="Z286" s="26"/>
    </row>
    <row r="287" spans="1:26" ht="19.5" customHeight="1" x14ac:dyDescent="0.85">
      <c r="A287" s="26"/>
      <c r="B287" s="26"/>
      <c r="C287" s="26"/>
      <c r="D287" s="26"/>
      <c r="E287" s="26"/>
      <c r="F287" s="26"/>
      <c r="G287" s="26"/>
      <c r="H287" s="26"/>
      <c r="I287" s="26"/>
      <c r="J287" s="26"/>
      <c r="K287" s="26"/>
      <c r="L287" s="26"/>
      <c r="M287" s="26"/>
      <c r="N287" s="26"/>
      <c r="O287" s="26"/>
      <c r="P287" s="26"/>
      <c r="Q287" s="26"/>
      <c r="R287" s="26"/>
      <c r="S287" s="26"/>
      <c r="T287" s="26"/>
      <c r="U287" s="26"/>
      <c r="V287" s="26"/>
      <c r="W287" s="26"/>
      <c r="X287" s="26"/>
      <c r="Y287" s="26"/>
      <c r="Z287" s="26"/>
    </row>
    <row r="288" spans="1:26" ht="19.5" customHeight="1" x14ac:dyDescent="0.85">
      <c r="A288" s="26"/>
      <c r="B288" s="26"/>
      <c r="C288" s="26"/>
      <c r="D288" s="26"/>
      <c r="E288" s="26"/>
      <c r="F288" s="26"/>
      <c r="G288" s="26"/>
      <c r="H288" s="26"/>
      <c r="I288" s="26"/>
      <c r="J288" s="26"/>
      <c r="K288" s="26"/>
      <c r="L288" s="26"/>
      <c r="M288" s="26"/>
      <c r="N288" s="26"/>
      <c r="O288" s="26"/>
      <c r="P288" s="26"/>
      <c r="Q288" s="26"/>
      <c r="R288" s="26"/>
      <c r="S288" s="26"/>
      <c r="T288" s="26"/>
      <c r="U288" s="26"/>
      <c r="V288" s="26"/>
      <c r="W288" s="26"/>
      <c r="X288" s="26"/>
      <c r="Y288" s="26"/>
      <c r="Z288" s="26"/>
    </row>
    <row r="289" spans="1:26" ht="19.5" customHeight="1" x14ac:dyDescent="0.85">
      <c r="A289" s="26"/>
      <c r="B289" s="26"/>
      <c r="C289" s="26"/>
      <c r="D289" s="26"/>
      <c r="E289" s="26"/>
      <c r="F289" s="26"/>
      <c r="G289" s="26"/>
      <c r="H289" s="26"/>
      <c r="I289" s="26"/>
      <c r="J289" s="26"/>
      <c r="K289" s="26"/>
      <c r="L289" s="26"/>
      <c r="M289" s="26"/>
      <c r="N289" s="26"/>
      <c r="O289" s="26"/>
      <c r="P289" s="26"/>
      <c r="Q289" s="26"/>
      <c r="R289" s="26"/>
      <c r="S289" s="26"/>
      <c r="T289" s="26"/>
      <c r="U289" s="26"/>
      <c r="V289" s="26"/>
      <c r="W289" s="26"/>
      <c r="X289" s="26"/>
      <c r="Y289" s="26"/>
      <c r="Z289" s="26"/>
    </row>
    <row r="290" spans="1:26" ht="19.5" customHeight="1" x14ac:dyDescent="0.85">
      <c r="A290" s="26"/>
      <c r="B290" s="26"/>
      <c r="C290" s="26"/>
      <c r="D290" s="26"/>
      <c r="E290" s="26"/>
      <c r="F290" s="26"/>
      <c r="G290" s="26"/>
      <c r="H290" s="26"/>
      <c r="I290" s="26"/>
      <c r="J290" s="26"/>
      <c r="K290" s="26"/>
      <c r="L290" s="26"/>
      <c r="M290" s="26"/>
      <c r="N290" s="26"/>
      <c r="O290" s="26"/>
      <c r="P290" s="26"/>
      <c r="Q290" s="26"/>
      <c r="R290" s="26"/>
      <c r="S290" s="26"/>
      <c r="T290" s="26"/>
      <c r="U290" s="26"/>
      <c r="V290" s="26"/>
      <c r="W290" s="26"/>
      <c r="X290" s="26"/>
      <c r="Y290" s="26"/>
      <c r="Z290" s="26"/>
    </row>
    <row r="291" spans="1:26" ht="19.5" customHeight="1" x14ac:dyDescent="0.85">
      <c r="A291" s="26"/>
      <c r="B291" s="26"/>
      <c r="C291" s="26"/>
      <c r="D291" s="26"/>
      <c r="E291" s="26"/>
      <c r="F291" s="26"/>
      <c r="G291" s="26"/>
      <c r="H291" s="26"/>
      <c r="I291" s="26"/>
      <c r="J291" s="26"/>
      <c r="K291" s="26"/>
      <c r="L291" s="26"/>
      <c r="M291" s="26"/>
      <c r="N291" s="26"/>
      <c r="O291" s="26"/>
      <c r="P291" s="26"/>
      <c r="Q291" s="26"/>
      <c r="R291" s="26"/>
      <c r="S291" s="26"/>
      <c r="T291" s="26"/>
      <c r="U291" s="26"/>
      <c r="V291" s="26"/>
      <c r="W291" s="26"/>
      <c r="X291" s="26"/>
      <c r="Y291" s="26"/>
      <c r="Z291" s="26"/>
    </row>
    <row r="292" spans="1:26" ht="19.5" customHeight="1" x14ac:dyDescent="0.85">
      <c r="A292" s="26"/>
      <c r="B292" s="26"/>
      <c r="C292" s="26"/>
      <c r="D292" s="26"/>
      <c r="E292" s="26"/>
      <c r="F292" s="26"/>
      <c r="G292" s="26"/>
      <c r="H292" s="26"/>
      <c r="I292" s="26"/>
      <c r="J292" s="26"/>
      <c r="K292" s="26"/>
      <c r="L292" s="26"/>
      <c r="M292" s="26"/>
      <c r="N292" s="26"/>
      <c r="O292" s="26"/>
      <c r="P292" s="26"/>
      <c r="Q292" s="26"/>
      <c r="R292" s="26"/>
      <c r="S292" s="26"/>
      <c r="T292" s="26"/>
      <c r="U292" s="26"/>
      <c r="V292" s="26"/>
      <c r="W292" s="26"/>
      <c r="X292" s="26"/>
      <c r="Y292" s="26"/>
      <c r="Z292" s="26"/>
    </row>
    <row r="293" spans="1:26" ht="19.5" customHeight="1" x14ac:dyDescent="0.85">
      <c r="A293" s="26"/>
      <c r="B293" s="26"/>
      <c r="C293" s="26"/>
      <c r="D293" s="26"/>
      <c r="E293" s="26"/>
      <c r="F293" s="26"/>
      <c r="G293" s="26"/>
      <c r="H293" s="26"/>
      <c r="I293" s="26"/>
      <c r="J293" s="26"/>
      <c r="K293" s="26"/>
      <c r="L293" s="26"/>
      <c r="M293" s="26"/>
      <c r="N293" s="26"/>
      <c r="O293" s="26"/>
      <c r="P293" s="26"/>
      <c r="Q293" s="26"/>
      <c r="R293" s="26"/>
      <c r="S293" s="26"/>
      <c r="T293" s="26"/>
      <c r="U293" s="26"/>
      <c r="V293" s="26"/>
      <c r="W293" s="26"/>
      <c r="X293" s="26"/>
      <c r="Y293" s="26"/>
      <c r="Z293" s="26"/>
    </row>
    <row r="294" spans="1:26" ht="19.5" customHeight="1" x14ac:dyDescent="0.85">
      <c r="A294" s="26"/>
      <c r="B294" s="26"/>
      <c r="C294" s="26"/>
      <c r="D294" s="26"/>
      <c r="E294" s="26"/>
      <c r="F294" s="26"/>
      <c r="G294" s="26"/>
      <c r="H294" s="26"/>
      <c r="I294" s="26"/>
      <c r="J294" s="26"/>
      <c r="K294" s="26"/>
      <c r="L294" s="26"/>
      <c r="M294" s="26"/>
      <c r="N294" s="26"/>
      <c r="O294" s="26"/>
      <c r="P294" s="26"/>
      <c r="Q294" s="26"/>
      <c r="R294" s="26"/>
      <c r="S294" s="26"/>
      <c r="T294" s="26"/>
      <c r="U294" s="26"/>
      <c r="V294" s="26"/>
      <c r="W294" s="26"/>
      <c r="X294" s="26"/>
      <c r="Y294" s="26"/>
      <c r="Z294" s="26"/>
    </row>
    <row r="295" spans="1:26" ht="19.5" customHeight="1" x14ac:dyDescent="0.85">
      <c r="A295" s="26"/>
      <c r="B295" s="26"/>
      <c r="C295" s="26"/>
      <c r="D295" s="26"/>
      <c r="E295" s="26"/>
      <c r="F295" s="26"/>
      <c r="G295" s="26"/>
      <c r="H295" s="26"/>
      <c r="I295" s="26"/>
      <c r="J295" s="26"/>
      <c r="K295" s="26"/>
      <c r="L295" s="26"/>
      <c r="M295" s="26"/>
      <c r="N295" s="26"/>
      <c r="O295" s="26"/>
      <c r="P295" s="26"/>
      <c r="Q295" s="26"/>
      <c r="R295" s="26"/>
      <c r="S295" s="26"/>
      <c r="T295" s="26"/>
      <c r="U295" s="26"/>
      <c r="V295" s="26"/>
      <c r="W295" s="26"/>
      <c r="X295" s="26"/>
      <c r="Y295" s="26"/>
      <c r="Z295" s="26"/>
    </row>
    <row r="296" spans="1:26" ht="19.5" customHeight="1" x14ac:dyDescent="0.85">
      <c r="A296" s="26"/>
      <c r="B296" s="26"/>
      <c r="C296" s="26"/>
      <c r="D296" s="26"/>
      <c r="E296" s="26"/>
      <c r="F296" s="26"/>
      <c r="G296" s="26"/>
      <c r="H296" s="26"/>
      <c r="I296" s="26"/>
      <c r="J296" s="26"/>
      <c r="K296" s="26"/>
      <c r="L296" s="26"/>
      <c r="M296" s="26"/>
      <c r="N296" s="26"/>
      <c r="O296" s="26"/>
      <c r="P296" s="26"/>
      <c r="Q296" s="26"/>
      <c r="R296" s="26"/>
      <c r="S296" s="26"/>
      <c r="T296" s="26"/>
      <c r="U296" s="26"/>
      <c r="V296" s="26"/>
      <c r="W296" s="26"/>
      <c r="X296" s="26"/>
      <c r="Y296" s="26"/>
      <c r="Z296" s="26"/>
    </row>
    <row r="297" spans="1:26" ht="19.5" customHeight="1" x14ac:dyDescent="0.85">
      <c r="A297" s="26"/>
      <c r="B297" s="26"/>
      <c r="C297" s="26"/>
      <c r="D297" s="26"/>
      <c r="E297" s="26"/>
      <c r="F297" s="26"/>
      <c r="G297" s="26"/>
      <c r="H297" s="26"/>
      <c r="I297" s="26"/>
      <c r="J297" s="26"/>
      <c r="K297" s="26"/>
      <c r="L297" s="26"/>
      <c r="M297" s="26"/>
      <c r="N297" s="26"/>
      <c r="O297" s="26"/>
      <c r="P297" s="26"/>
      <c r="Q297" s="26"/>
      <c r="R297" s="26"/>
      <c r="S297" s="26"/>
      <c r="T297" s="26"/>
      <c r="U297" s="26"/>
      <c r="V297" s="26"/>
      <c r="W297" s="26"/>
      <c r="X297" s="26"/>
      <c r="Y297" s="26"/>
      <c r="Z297" s="26"/>
    </row>
    <row r="298" spans="1:26" ht="19.5" customHeight="1" x14ac:dyDescent="0.85">
      <c r="A298" s="26"/>
      <c r="B298" s="26"/>
      <c r="C298" s="26"/>
      <c r="D298" s="26"/>
      <c r="E298" s="26"/>
      <c r="F298" s="26"/>
      <c r="G298" s="26"/>
      <c r="H298" s="26"/>
      <c r="I298" s="26"/>
      <c r="J298" s="26"/>
      <c r="K298" s="26"/>
      <c r="L298" s="26"/>
      <c r="M298" s="26"/>
      <c r="N298" s="26"/>
      <c r="O298" s="26"/>
      <c r="P298" s="26"/>
      <c r="Q298" s="26"/>
      <c r="R298" s="26"/>
      <c r="S298" s="26"/>
      <c r="T298" s="26"/>
      <c r="U298" s="26"/>
      <c r="V298" s="26"/>
      <c r="W298" s="26"/>
      <c r="X298" s="26"/>
      <c r="Y298" s="26"/>
      <c r="Z298" s="26"/>
    </row>
    <row r="299" spans="1:26" ht="19.5" customHeight="1" x14ac:dyDescent="0.85">
      <c r="A299" s="26"/>
      <c r="B299" s="26"/>
      <c r="C299" s="26"/>
      <c r="D299" s="26"/>
      <c r="E299" s="26"/>
      <c r="F299" s="26"/>
      <c r="G299" s="26"/>
      <c r="H299" s="26"/>
      <c r="I299" s="26"/>
      <c r="J299" s="26"/>
      <c r="K299" s="26"/>
      <c r="L299" s="26"/>
      <c r="M299" s="26"/>
      <c r="N299" s="26"/>
      <c r="O299" s="26"/>
      <c r="P299" s="26"/>
      <c r="Q299" s="26"/>
      <c r="R299" s="26"/>
      <c r="S299" s="26"/>
      <c r="T299" s="26"/>
      <c r="U299" s="26"/>
      <c r="V299" s="26"/>
      <c r="W299" s="26"/>
      <c r="X299" s="26"/>
      <c r="Y299" s="26"/>
      <c r="Z299" s="26"/>
    </row>
    <row r="300" spans="1:26" ht="19.5" customHeight="1" x14ac:dyDescent="0.85">
      <c r="A300" s="26"/>
      <c r="B300" s="26"/>
      <c r="C300" s="26"/>
      <c r="D300" s="26"/>
      <c r="E300" s="26"/>
      <c r="F300" s="26"/>
      <c r="G300" s="26"/>
      <c r="H300" s="26"/>
      <c r="I300" s="26"/>
      <c r="J300" s="26"/>
      <c r="K300" s="26"/>
      <c r="L300" s="26"/>
      <c r="M300" s="26"/>
      <c r="N300" s="26"/>
      <c r="O300" s="26"/>
      <c r="P300" s="26"/>
      <c r="Q300" s="26"/>
      <c r="R300" s="26"/>
      <c r="S300" s="26"/>
      <c r="T300" s="26"/>
      <c r="U300" s="26"/>
      <c r="V300" s="26"/>
      <c r="W300" s="26"/>
      <c r="X300" s="26"/>
      <c r="Y300" s="26"/>
      <c r="Z300" s="26"/>
    </row>
    <row r="301" spans="1:26" ht="19.5" customHeight="1" x14ac:dyDescent="0.85">
      <c r="A301" s="26"/>
      <c r="B301" s="26"/>
      <c r="C301" s="26"/>
      <c r="D301" s="26"/>
      <c r="E301" s="26"/>
      <c r="F301" s="26"/>
      <c r="G301" s="26"/>
      <c r="H301" s="26"/>
      <c r="I301" s="26"/>
      <c r="J301" s="26"/>
      <c r="K301" s="26"/>
      <c r="L301" s="26"/>
      <c r="M301" s="26"/>
      <c r="N301" s="26"/>
      <c r="O301" s="26"/>
      <c r="P301" s="26"/>
      <c r="Q301" s="26"/>
      <c r="R301" s="26"/>
      <c r="S301" s="26"/>
      <c r="T301" s="26"/>
      <c r="U301" s="26"/>
      <c r="V301" s="26"/>
      <c r="W301" s="26"/>
      <c r="X301" s="26"/>
      <c r="Y301" s="26"/>
      <c r="Z301" s="26"/>
    </row>
    <row r="302" spans="1:26" ht="19.5" customHeight="1" x14ac:dyDescent="0.85">
      <c r="A302" s="26"/>
      <c r="B302" s="26"/>
      <c r="C302" s="26"/>
      <c r="D302" s="26"/>
      <c r="E302" s="26"/>
      <c r="F302" s="26"/>
      <c r="G302" s="26"/>
      <c r="H302" s="26"/>
      <c r="I302" s="26"/>
      <c r="J302" s="26"/>
      <c r="K302" s="26"/>
      <c r="L302" s="26"/>
      <c r="M302" s="26"/>
      <c r="N302" s="26"/>
      <c r="O302" s="26"/>
      <c r="P302" s="26"/>
      <c r="Q302" s="26"/>
      <c r="R302" s="26"/>
      <c r="S302" s="26"/>
      <c r="T302" s="26"/>
      <c r="U302" s="26"/>
      <c r="V302" s="26"/>
      <c r="W302" s="26"/>
      <c r="X302" s="26"/>
      <c r="Y302" s="26"/>
      <c r="Z302" s="26"/>
    </row>
    <row r="303" spans="1:26" ht="19.5" customHeight="1" x14ac:dyDescent="0.85">
      <c r="A303" s="26"/>
      <c r="B303" s="26"/>
      <c r="C303" s="26"/>
      <c r="D303" s="26"/>
      <c r="E303" s="26"/>
      <c r="F303" s="26"/>
      <c r="G303" s="26"/>
      <c r="H303" s="26"/>
      <c r="I303" s="26"/>
      <c r="J303" s="26"/>
      <c r="K303" s="26"/>
      <c r="L303" s="26"/>
      <c r="M303" s="26"/>
      <c r="N303" s="26"/>
      <c r="O303" s="26"/>
      <c r="P303" s="26"/>
      <c r="Q303" s="26"/>
      <c r="R303" s="26"/>
      <c r="S303" s="26"/>
      <c r="T303" s="26"/>
      <c r="U303" s="26"/>
      <c r="V303" s="26"/>
      <c r="W303" s="26"/>
      <c r="X303" s="26"/>
      <c r="Y303" s="26"/>
      <c r="Z303" s="26"/>
    </row>
    <row r="304" spans="1:26" ht="19.5" customHeight="1" x14ac:dyDescent="0.85">
      <c r="A304" s="26"/>
      <c r="B304" s="26"/>
      <c r="C304" s="26"/>
      <c r="D304" s="26"/>
      <c r="E304" s="26"/>
      <c r="F304" s="26"/>
      <c r="G304" s="26"/>
      <c r="H304" s="26"/>
      <c r="I304" s="26"/>
      <c r="J304" s="26"/>
      <c r="K304" s="26"/>
      <c r="L304" s="26"/>
      <c r="M304" s="26"/>
      <c r="N304" s="26"/>
      <c r="O304" s="26"/>
      <c r="P304" s="26"/>
      <c r="Q304" s="26"/>
      <c r="R304" s="26"/>
      <c r="S304" s="26"/>
      <c r="T304" s="26"/>
      <c r="U304" s="26"/>
      <c r="V304" s="26"/>
      <c r="W304" s="26"/>
      <c r="X304" s="26"/>
      <c r="Y304" s="26"/>
      <c r="Z304" s="26"/>
    </row>
    <row r="305" spans="1:26" ht="19.5" customHeight="1" x14ac:dyDescent="0.85">
      <c r="A305" s="26"/>
      <c r="B305" s="26"/>
      <c r="C305" s="26"/>
      <c r="D305" s="26"/>
      <c r="E305" s="26"/>
      <c r="F305" s="26"/>
      <c r="G305" s="26"/>
      <c r="H305" s="26"/>
      <c r="I305" s="26"/>
      <c r="J305" s="26"/>
      <c r="K305" s="26"/>
      <c r="L305" s="26"/>
      <c r="M305" s="26"/>
      <c r="N305" s="26"/>
      <c r="O305" s="26"/>
      <c r="P305" s="26"/>
      <c r="Q305" s="26"/>
      <c r="R305" s="26"/>
      <c r="S305" s="26"/>
      <c r="T305" s="26"/>
      <c r="U305" s="26"/>
      <c r="V305" s="26"/>
      <c r="W305" s="26"/>
      <c r="X305" s="26"/>
      <c r="Y305" s="26"/>
      <c r="Z305" s="26"/>
    </row>
    <row r="306" spans="1:26" ht="19.5" customHeight="1" x14ac:dyDescent="0.85">
      <c r="A306" s="26"/>
      <c r="B306" s="26"/>
      <c r="C306" s="26"/>
      <c r="D306" s="26"/>
      <c r="E306" s="26"/>
      <c r="F306" s="26"/>
      <c r="G306" s="26"/>
      <c r="H306" s="26"/>
      <c r="I306" s="26"/>
      <c r="J306" s="26"/>
      <c r="K306" s="26"/>
      <c r="L306" s="26"/>
      <c r="M306" s="26"/>
      <c r="N306" s="26"/>
      <c r="O306" s="26"/>
      <c r="P306" s="26"/>
      <c r="Q306" s="26"/>
      <c r="R306" s="26"/>
      <c r="S306" s="26"/>
      <c r="T306" s="26"/>
      <c r="U306" s="26"/>
      <c r="V306" s="26"/>
      <c r="W306" s="26"/>
      <c r="X306" s="26"/>
      <c r="Y306" s="26"/>
      <c r="Z306" s="26"/>
    </row>
    <row r="307" spans="1:26" ht="19.5" customHeight="1" x14ac:dyDescent="0.85">
      <c r="A307" s="26"/>
      <c r="B307" s="26"/>
      <c r="C307" s="26"/>
      <c r="D307" s="26"/>
      <c r="E307" s="26"/>
      <c r="F307" s="26"/>
      <c r="G307" s="26"/>
      <c r="H307" s="26"/>
      <c r="I307" s="26"/>
      <c r="J307" s="26"/>
      <c r="K307" s="26"/>
      <c r="L307" s="26"/>
      <c r="M307" s="26"/>
      <c r="N307" s="26"/>
      <c r="O307" s="26"/>
      <c r="P307" s="26"/>
      <c r="Q307" s="26"/>
      <c r="R307" s="26"/>
      <c r="S307" s="26"/>
      <c r="T307" s="26"/>
      <c r="U307" s="26"/>
      <c r="V307" s="26"/>
      <c r="W307" s="26"/>
      <c r="X307" s="26"/>
      <c r="Y307" s="26"/>
      <c r="Z307" s="26"/>
    </row>
    <row r="308" spans="1:26" ht="19.5" customHeight="1" x14ac:dyDescent="0.85">
      <c r="A308" s="26"/>
      <c r="B308" s="26"/>
      <c r="C308" s="26"/>
      <c r="D308" s="26"/>
      <c r="E308" s="26"/>
      <c r="F308" s="26"/>
      <c r="G308" s="26"/>
      <c r="H308" s="26"/>
      <c r="I308" s="26"/>
      <c r="J308" s="26"/>
      <c r="K308" s="26"/>
      <c r="L308" s="26"/>
      <c r="M308" s="26"/>
      <c r="N308" s="26"/>
      <c r="O308" s="26"/>
      <c r="P308" s="26"/>
      <c r="Q308" s="26"/>
      <c r="R308" s="26"/>
      <c r="S308" s="26"/>
      <c r="T308" s="26"/>
      <c r="U308" s="26"/>
      <c r="V308" s="26"/>
      <c r="W308" s="26"/>
      <c r="X308" s="26"/>
      <c r="Y308" s="26"/>
      <c r="Z308" s="26"/>
    </row>
    <row r="309" spans="1:26" ht="19.5" customHeight="1" x14ac:dyDescent="0.85">
      <c r="A309" s="26"/>
      <c r="B309" s="26"/>
      <c r="C309" s="26"/>
      <c r="D309" s="26"/>
      <c r="E309" s="26"/>
      <c r="F309" s="26"/>
      <c r="G309" s="26"/>
      <c r="H309" s="26"/>
      <c r="I309" s="26"/>
      <c r="J309" s="26"/>
      <c r="K309" s="26"/>
      <c r="L309" s="26"/>
      <c r="M309" s="26"/>
      <c r="N309" s="26"/>
      <c r="O309" s="26"/>
      <c r="P309" s="26"/>
      <c r="Q309" s="26"/>
      <c r="R309" s="26"/>
      <c r="S309" s="26"/>
      <c r="T309" s="26"/>
      <c r="U309" s="26"/>
      <c r="V309" s="26"/>
      <c r="W309" s="26"/>
      <c r="X309" s="26"/>
      <c r="Y309" s="26"/>
      <c r="Z309" s="26"/>
    </row>
    <row r="310" spans="1:26" ht="19.5" customHeight="1" x14ac:dyDescent="0.85">
      <c r="A310" s="26"/>
      <c r="B310" s="26"/>
      <c r="C310" s="26"/>
      <c r="D310" s="26"/>
      <c r="E310" s="26"/>
      <c r="F310" s="26"/>
      <c r="G310" s="26"/>
      <c r="H310" s="26"/>
      <c r="I310" s="26"/>
      <c r="J310" s="26"/>
      <c r="K310" s="26"/>
      <c r="L310" s="26"/>
      <c r="M310" s="26"/>
      <c r="N310" s="26"/>
      <c r="O310" s="26"/>
      <c r="P310" s="26"/>
      <c r="Q310" s="26"/>
      <c r="R310" s="26"/>
      <c r="S310" s="26"/>
      <c r="T310" s="26"/>
      <c r="U310" s="26"/>
      <c r="V310" s="26"/>
      <c r="W310" s="26"/>
      <c r="X310" s="26"/>
      <c r="Y310" s="26"/>
      <c r="Z310" s="26"/>
    </row>
    <row r="311" spans="1:26" ht="19.5" customHeight="1" x14ac:dyDescent="0.85">
      <c r="A311" s="26"/>
      <c r="B311" s="26"/>
      <c r="C311" s="26"/>
      <c r="D311" s="26"/>
      <c r="E311" s="26"/>
      <c r="F311" s="26"/>
      <c r="G311" s="26"/>
      <c r="H311" s="26"/>
      <c r="I311" s="26"/>
      <c r="J311" s="26"/>
      <c r="K311" s="26"/>
      <c r="L311" s="26"/>
      <c r="M311" s="26"/>
      <c r="N311" s="26"/>
      <c r="O311" s="26"/>
      <c r="P311" s="26"/>
      <c r="Q311" s="26"/>
      <c r="R311" s="26"/>
      <c r="S311" s="26"/>
      <c r="T311" s="26"/>
      <c r="U311" s="26"/>
      <c r="V311" s="26"/>
      <c r="W311" s="26"/>
      <c r="X311" s="26"/>
      <c r="Y311" s="26"/>
      <c r="Z311" s="26"/>
    </row>
    <row r="312" spans="1:26" ht="19.5" customHeight="1" x14ac:dyDescent="0.85">
      <c r="A312" s="26"/>
      <c r="B312" s="26"/>
      <c r="C312" s="26"/>
      <c r="D312" s="26"/>
      <c r="E312" s="26"/>
      <c r="F312" s="26"/>
      <c r="G312" s="26"/>
      <c r="H312" s="26"/>
      <c r="I312" s="26"/>
      <c r="J312" s="26"/>
      <c r="K312" s="26"/>
      <c r="L312" s="26"/>
      <c r="M312" s="26"/>
      <c r="N312" s="26"/>
      <c r="O312" s="26"/>
      <c r="P312" s="26"/>
      <c r="Q312" s="26"/>
      <c r="R312" s="26"/>
      <c r="S312" s="26"/>
      <c r="T312" s="26"/>
      <c r="U312" s="26"/>
      <c r="V312" s="26"/>
      <c r="W312" s="26"/>
      <c r="X312" s="26"/>
      <c r="Y312" s="26"/>
      <c r="Z312" s="26"/>
    </row>
    <row r="313" spans="1:26" ht="19.5" customHeight="1" x14ac:dyDescent="0.85">
      <c r="A313" s="26"/>
      <c r="B313" s="26"/>
      <c r="C313" s="26"/>
      <c r="D313" s="26"/>
      <c r="E313" s="26"/>
      <c r="F313" s="26"/>
      <c r="G313" s="26"/>
      <c r="H313" s="26"/>
      <c r="I313" s="26"/>
      <c r="J313" s="26"/>
      <c r="K313" s="26"/>
      <c r="L313" s="26"/>
      <c r="M313" s="26"/>
      <c r="N313" s="26"/>
      <c r="O313" s="26"/>
      <c r="P313" s="26"/>
      <c r="Q313" s="26"/>
      <c r="R313" s="26"/>
      <c r="S313" s="26"/>
      <c r="T313" s="26"/>
      <c r="U313" s="26"/>
      <c r="V313" s="26"/>
      <c r="W313" s="26"/>
      <c r="X313" s="26"/>
      <c r="Y313" s="26"/>
      <c r="Z313" s="26"/>
    </row>
    <row r="314" spans="1:26" ht="19.5" customHeight="1" x14ac:dyDescent="0.85">
      <c r="A314" s="26"/>
      <c r="B314" s="26"/>
      <c r="C314" s="26"/>
      <c r="D314" s="26"/>
      <c r="E314" s="26"/>
      <c r="F314" s="26"/>
      <c r="G314" s="26"/>
      <c r="H314" s="26"/>
      <c r="I314" s="26"/>
      <c r="J314" s="26"/>
      <c r="K314" s="26"/>
      <c r="L314" s="26"/>
      <c r="M314" s="26"/>
      <c r="N314" s="26"/>
      <c r="O314" s="26"/>
      <c r="P314" s="26"/>
      <c r="Q314" s="26"/>
      <c r="R314" s="26"/>
      <c r="S314" s="26"/>
      <c r="T314" s="26"/>
      <c r="U314" s="26"/>
      <c r="V314" s="26"/>
      <c r="W314" s="26"/>
      <c r="X314" s="26"/>
      <c r="Y314" s="26"/>
      <c r="Z314" s="26"/>
    </row>
    <row r="315" spans="1:26" ht="19.5" customHeight="1" x14ac:dyDescent="0.85">
      <c r="A315" s="26"/>
      <c r="B315" s="26"/>
      <c r="C315" s="26"/>
      <c r="D315" s="26"/>
      <c r="E315" s="26"/>
      <c r="F315" s="26"/>
      <c r="G315" s="26"/>
      <c r="H315" s="26"/>
      <c r="I315" s="26"/>
      <c r="J315" s="26"/>
      <c r="K315" s="26"/>
      <c r="L315" s="26"/>
      <c r="M315" s="26"/>
      <c r="N315" s="26"/>
      <c r="O315" s="26"/>
      <c r="P315" s="26"/>
      <c r="Q315" s="26"/>
      <c r="R315" s="26"/>
      <c r="S315" s="26"/>
      <c r="T315" s="26"/>
      <c r="U315" s="26"/>
      <c r="V315" s="26"/>
      <c r="W315" s="26"/>
      <c r="X315" s="26"/>
      <c r="Y315" s="26"/>
      <c r="Z315" s="26"/>
    </row>
    <row r="316" spans="1:26" ht="19.5" customHeight="1" x14ac:dyDescent="0.85">
      <c r="A316" s="26"/>
      <c r="B316" s="26"/>
      <c r="C316" s="26"/>
      <c r="D316" s="26"/>
      <c r="E316" s="26"/>
      <c r="F316" s="26"/>
      <c r="G316" s="26"/>
      <c r="H316" s="26"/>
      <c r="I316" s="26"/>
      <c r="J316" s="26"/>
      <c r="K316" s="26"/>
      <c r="L316" s="26"/>
      <c r="M316" s="26"/>
      <c r="N316" s="26"/>
      <c r="O316" s="26"/>
      <c r="P316" s="26"/>
      <c r="Q316" s="26"/>
      <c r="R316" s="26"/>
      <c r="S316" s="26"/>
      <c r="T316" s="26"/>
      <c r="U316" s="26"/>
      <c r="V316" s="26"/>
      <c r="W316" s="26"/>
      <c r="X316" s="26"/>
      <c r="Y316" s="26"/>
      <c r="Z316" s="26"/>
    </row>
    <row r="317" spans="1:26" ht="19.5" customHeight="1" x14ac:dyDescent="0.85">
      <c r="A317" s="26"/>
      <c r="B317" s="26"/>
      <c r="C317" s="26"/>
      <c r="D317" s="26"/>
      <c r="E317" s="26"/>
      <c r="F317" s="26"/>
      <c r="G317" s="26"/>
      <c r="H317" s="26"/>
      <c r="I317" s="26"/>
      <c r="J317" s="26"/>
      <c r="K317" s="26"/>
      <c r="L317" s="26"/>
      <c r="M317" s="26"/>
      <c r="N317" s="26"/>
      <c r="O317" s="26"/>
      <c r="P317" s="26"/>
      <c r="Q317" s="26"/>
      <c r="R317" s="26"/>
      <c r="S317" s="26"/>
      <c r="T317" s="26"/>
      <c r="U317" s="26"/>
      <c r="V317" s="26"/>
      <c r="W317" s="26"/>
      <c r="X317" s="26"/>
      <c r="Y317" s="26"/>
      <c r="Z317" s="26"/>
    </row>
    <row r="318" spans="1:26" ht="19.5" customHeight="1" x14ac:dyDescent="0.85">
      <c r="A318" s="26"/>
      <c r="B318" s="26"/>
      <c r="C318" s="26"/>
      <c r="D318" s="26"/>
      <c r="E318" s="26"/>
      <c r="F318" s="26"/>
      <c r="G318" s="26"/>
      <c r="H318" s="26"/>
      <c r="I318" s="26"/>
      <c r="J318" s="26"/>
      <c r="K318" s="26"/>
      <c r="L318" s="26"/>
      <c r="M318" s="26"/>
      <c r="N318" s="26"/>
      <c r="O318" s="26"/>
      <c r="P318" s="26"/>
      <c r="Q318" s="26"/>
      <c r="R318" s="26"/>
      <c r="S318" s="26"/>
      <c r="T318" s="26"/>
      <c r="U318" s="26"/>
      <c r="V318" s="26"/>
      <c r="W318" s="26"/>
      <c r="X318" s="26"/>
      <c r="Y318" s="26"/>
      <c r="Z318" s="26"/>
    </row>
    <row r="319" spans="1:26" ht="19.5" customHeight="1" x14ac:dyDescent="0.85">
      <c r="A319" s="26"/>
      <c r="B319" s="26"/>
      <c r="C319" s="26"/>
      <c r="D319" s="26"/>
      <c r="E319" s="26"/>
      <c r="F319" s="26"/>
      <c r="G319" s="26"/>
      <c r="H319" s="26"/>
      <c r="I319" s="26"/>
      <c r="J319" s="26"/>
      <c r="K319" s="26"/>
      <c r="L319" s="26"/>
      <c r="M319" s="26"/>
      <c r="N319" s="26"/>
      <c r="O319" s="26"/>
      <c r="P319" s="26"/>
      <c r="Q319" s="26"/>
      <c r="R319" s="26"/>
      <c r="S319" s="26"/>
      <c r="T319" s="26"/>
      <c r="U319" s="26"/>
      <c r="V319" s="26"/>
      <c r="W319" s="26"/>
      <c r="X319" s="26"/>
      <c r="Y319" s="26"/>
      <c r="Z319" s="26"/>
    </row>
    <row r="320" spans="1:26" ht="19.5" customHeight="1" x14ac:dyDescent="0.85">
      <c r="A320" s="26"/>
      <c r="B320" s="26"/>
      <c r="C320" s="26"/>
      <c r="D320" s="26"/>
      <c r="E320" s="26"/>
      <c r="F320" s="26"/>
      <c r="G320" s="26"/>
      <c r="H320" s="26"/>
      <c r="I320" s="26"/>
      <c r="J320" s="26"/>
      <c r="K320" s="26"/>
      <c r="L320" s="26"/>
      <c r="M320" s="26"/>
      <c r="N320" s="26"/>
      <c r="O320" s="26"/>
      <c r="P320" s="26"/>
      <c r="Q320" s="26"/>
      <c r="R320" s="26"/>
      <c r="S320" s="26"/>
      <c r="T320" s="26"/>
      <c r="U320" s="26"/>
      <c r="V320" s="26"/>
      <c r="W320" s="26"/>
      <c r="X320" s="26"/>
      <c r="Y320" s="26"/>
      <c r="Z320" s="26"/>
    </row>
    <row r="321" spans="1:26" ht="19.5" customHeight="1" x14ac:dyDescent="0.85">
      <c r="A321" s="26"/>
      <c r="B321" s="26"/>
      <c r="C321" s="26"/>
      <c r="D321" s="26"/>
      <c r="E321" s="26"/>
      <c r="F321" s="26"/>
      <c r="G321" s="26"/>
      <c r="H321" s="26"/>
      <c r="I321" s="26"/>
      <c r="J321" s="26"/>
      <c r="K321" s="26"/>
      <c r="L321" s="26"/>
      <c r="M321" s="26"/>
      <c r="N321" s="26"/>
      <c r="O321" s="26"/>
      <c r="P321" s="26"/>
      <c r="Q321" s="26"/>
      <c r="R321" s="26"/>
      <c r="S321" s="26"/>
      <c r="T321" s="26"/>
      <c r="U321" s="26"/>
      <c r="V321" s="26"/>
      <c r="W321" s="26"/>
      <c r="X321" s="26"/>
      <c r="Y321" s="26"/>
      <c r="Z321" s="26"/>
    </row>
    <row r="322" spans="1:26" ht="19.5" customHeight="1" x14ac:dyDescent="0.85">
      <c r="A322" s="26"/>
      <c r="B322" s="26"/>
      <c r="C322" s="26"/>
      <c r="D322" s="26"/>
      <c r="E322" s="26"/>
      <c r="F322" s="26"/>
      <c r="G322" s="26"/>
      <c r="H322" s="26"/>
      <c r="I322" s="26"/>
      <c r="J322" s="26"/>
      <c r="K322" s="26"/>
      <c r="L322" s="26"/>
      <c r="M322" s="26"/>
      <c r="N322" s="26"/>
      <c r="O322" s="26"/>
      <c r="P322" s="26"/>
      <c r="Q322" s="26"/>
      <c r="R322" s="26"/>
      <c r="S322" s="26"/>
      <c r="T322" s="26"/>
      <c r="U322" s="26"/>
      <c r="V322" s="26"/>
      <c r="W322" s="26"/>
      <c r="X322" s="26"/>
      <c r="Y322" s="26"/>
      <c r="Z322" s="26"/>
    </row>
    <row r="323" spans="1:26" ht="19.5" customHeight="1" x14ac:dyDescent="0.85">
      <c r="A323" s="26"/>
      <c r="B323" s="26"/>
      <c r="C323" s="26"/>
      <c r="D323" s="26"/>
      <c r="E323" s="26"/>
      <c r="F323" s="26"/>
      <c r="G323" s="26"/>
      <c r="H323" s="26"/>
      <c r="I323" s="26"/>
      <c r="J323" s="26"/>
      <c r="K323" s="26"/>
      <c r="L323" s="26"/>
      <c r="M323" s="26"/>
      <c r="N323" s="26"/>
      <c r="O323" s="26"/>
      <c r="P323" s="26"/>
      <c r="Q323" s="26"/>
      <c r="R323" s="26"/>
      <c r="S323" s="26"/>
      <c r="T323" s="26"/>
      <c r="U323" s="26"/>
      <c r="V323" s="26"/>
      <c r="W323" s="26"/>
      <c r="X323" s="26"/>
      <c r="Y323" s="26"/>
      <c r="Z323" s="26"/>
    </row>
    <row r="324" spans="1:26" ht="19.5" customHeight="1" x14ac:dyDescent="0.85">
      <c r="A324" s="26"/>
      <c r="B324" s="26"/>
      <c r="C324" s="26"/>
      <c r="D324" s="26"/>
      <c r="E324" s="26"/>
      <c r="F324" s="26"/>
      <c r="G324" s="26"/>
      <c r="H324" s="26"/>
      <c r="I324" s="26"/>
      <c r="J324" s="26"/>
      <c r="K324" s="26"/>
      <c r="L324" s="26"/>
      <c r="M324" s="26"/>
      <c r="N324" s="26"/>
      <c r="O324" s="26"/>
      <c r="P324" s="26"/>
      <c r="Q324" s="26"/>
      <c r="R324" s="26"/>
      <c r="S324" s="26"/>
      <c r="T324" s="26"/>
      <c r="U324" s="26"/>
      <c r="V324" s="26"/>
      <c r="W324" s="26"/>
      <c r="X324" s="26"/>
      <c r="Y324" s="26"/>
      <c r="Z324" s="26"/>
    </row>
    <row r="325" spans="1:26" ht="19.5" customHeight="1" x14ac:dyDescent="0.85">
      <c r="A325" s="26"/>
      <c r="B325" s="26"/>
      <c r="C325" s="26"/>
      <c r="D325" s="26"/>
      <c r="E325" s="26"/>
      <c r="F325" s="26"/>
      <c r="G325" s="26"/>
      <c r="H325" s="26"/>
      <c r="I325" s="26"/>
      <c r="J325" s="26"/>
      <c r="K325" s="26"/>
      <c r="L325" s="26"/>
      <c r="M325" s="26"/>
      <c r="N325" s="26"/>
      <c r="O325" s="26"/>
      <c r="P325" s="26"/>
      <c r="Q325" s="26"/>
      <c r="R325" s="26"/>
      <c r="S325" s="26"/>
      <c r="T325" s="26"/>
      <c r="U325" s="26"/>
      <c r="V325" s="26"/>
      <c r="W325" s="26"/>
      <c r="X325" s="26"/>
      <c r="Y325" s="26"/>
      <c r="Z325" s="26"/>
    </row>
    <row r="326" spans="1:26" ht="19.5" customHeight="1" x14ac:dyDescent="0.85">
      <c r="A326" s="26"/>
      <c r="B326" s="26"/>
      <c r="C326" s="26"/>
      <c r="D326" s="26"/>
      <c r="E326" s="26"/>
      <c r="F326" s="26"/>
      <c r="G326" s="26"/>
      <c r="H326" s="26"/>
      <c r="I326" s="26"/>
      <c r="J326" s="26"/>
      <c r="K326" s="26"/>
      <c r="L326" s="26"/>
      <c r="M326" s="26"/>
      <c r="N326" s="26"/>
      <c r="O326" s="26"/>
      <c r="P326" s="26"/>
      <c r="Q326" s="26"/>
      <c r="R326" s="26"/>
      <c r="S326" s="26"/>
      <c r="T326" s="26"/>
      <c r="U326" s="26"/>
      <c r="V326" s="26"/>
      <c r="W326" s="26"/>
      <c r="X326" s="26"/>
      <c r="Y326" s="26"/>
      <c r="Z326" s="26"/>
    </row>
    <row r="327" spans="1:26" ht="19.5" customHeight="1" x14ac:dyDescent="0.85">
      <c r="A327" s="26"/>
      <c r="B327" s="26"/>
      <c r="C327" s="26"/>
      <c r="D327" s="26"/>
      <c r="E327" s="26"/>
      <c r="F327" s="26"/>
      <c r="G327" s="26"/>
      <c r="H327" s="26"/>
      <c r="I327" s="26"/>
      <c r="J327" s="26"/>
      <c r="K327" s="26"/>
      <c r="L327" s="26"/>
      <c r="M327" s="26"/>
      <c r="N327" s="26"/>
      <c r="O327" s="26"/>
      <c r="P327" s="26"/>
      <c r="Q327" s="26"/>
      <c r="R327" s="26"/>
      <c r="S327" s="26"/>
      <c r="T327" s="26"/>
      <c r="U327" s="26"/>
      <c r="V327" s="26"/>
      <c r="W327" s="26"/>
      <c r="X327" s="26"/>
      <c r="Y327" s="26"/>
      <c r="Z327" s="26"/>
    </row>
    <row r="328" spans="1:26" ht="19.5" customHeight="1" x14ac:dyDescent="0.85">
      <c r="A328" s="26"/>
      <c r="B328" s="26"/>
      <c r="C328" s="26"/>
      <c r="D328" s="26"/>
      <c r="E328" s="26"/>
      <c r="F328" s="26"/>
      <c r="G328" s="26"/>
      <c r="H328" s="26"/>
      <c r="I328" s="26"/>
      <c r="J328" s="26"/>
      <c r="K328" s="26"/>
      <c r="L328" s="26"/>
      <c r="M328" s="26"/>
      <c r="N328" s="26"/>
      <c r="O328" s="26"/>
      <c r="P328" s="26"/>
      <c r="Q328" s="26"/>
      <c r="R328" s="26"/>
      <c r="S328" s="26"/>
      <c r="T328" s="26"/>
      <c r="U328" s="26"/>
      <c r="V328" s="26"/>
      <c r="W328" s="26"/>
      <c r="X328" s="26"/>
      <c r="Y328" s="26"/>
      <c r="Z328" s="26"/>
    </row>
    <row r="329" spans="1:26" ht="19.5" customHeight="1" x14ac:dyDescent="0.85">
      <c r="A329" s="26"/>
      <c r="B329" s="26"/>
      <c r="C329" s="26"/>
      <c r="D329" s="26"/>
      <c r="E329" s="26"/>
      <c r="F329" s="26"/>
      <c r="G329" s="26"/>
      <c r="H329" s="26"/>
      <c r="I329" s="26"/>
      <c r="J329" s="26"/>
      <c r="K329" s="26"/>
      <c r="L329" s="26"/>
      <c r="M329" s="26"/>
      <c r="N329" s="26"/>
      <c r="O329" s="26"/>
      <c r="P329" s="26"/>
      <c r="Q329" s="26"/>
      <c r="R329" s="26"/>
      <c r="S329" s="26"/>
      <c r="T329" s="26"/>
      <c r="U329" s="26"/>
      <c r="V329" s="26"/>
      <c r="W329" s="26"/>
      <c r="X329" s="26"/>
      <c r="Y329" s="26"/>
      <c r="Z329" s="26"/>
    </row>
    <row r="330" spans="1:26" ht="19.5" customHeight="1" x14ac:dyDescent="0.85">
      <c r="A330" s="26"/>
      <c r="B330" s="26"/>
      <c r="C330" s="26"/>
      <c r="D330" s="26"/>
      <c r="E330" s="26"/>
      <c r="F330" s="26"/>
      <c r="G330" s="26"/>
      <c r="H330" s="26"/>
      <c r="I330" s="26"/>
      <c r="J330" s="26"/>
      <c r="K330" s="26"/>
      <c r="L330" s="26"/>
      <c r="M330" s="26"/>
      <c r="N330" s="26"/>
      <c r="O330" s="26"/>
      <c r="P330" s="26"/>
      <c r="Q330" s="26"/>
      <c r="R330" s="26"/>
      <c r="S330" s="26"/>
      <c r="T330" s="26"/>
      <c r="U330" s="26"/>
      <c r="V330" s="26"/>
      <c r="W330" s="26"/>
      <c r="X330" s="26"/>
      <c r="Y330" s="26"/>
      <c r="Z330" s="26"/>
    </row>
    <row r="331" spans="1:26" ht="19.5" customHeight="1" x14ac:dyDescent="0.85">
      <c r="A331" s="26"/>
      <c r="B331" s="26"/>
      <c r="C331" s="26"/>
      <c r="D331" s="26"/>
      <c r="E331" s="26"/>
      <c r="F331" s="26"/>
      <c r="G331" s="26"/>
      <c r="H331" s="26"/>
      <c r="I331" s="26"/>
      <c r="J331" s="26"/>
      <c r="K331" s="26"/>
      <c r="L331" s="26"/>
      <c r="M331" s="26"/>
      <c r="N331" s="26"/>
      <c r="O331" s="26"/>
      <c r="P331" s="26"/>
      <c r="Q331" s="26"/>
      <c r="R331" s="26"/>
      <c r="S331" s="26"/>
      <c r="T331" s="26"/>
      <c r="U331" s="26"/>
      <c r="V331" s="26"/>
      <c r="W331" s="26"/>
      <c r="X331" s="26"/>
      <c r="Y331" s="26"/>
      <c r="Z331" s="26"/>
    </row>
    <row r="332" spans="1:26" ht="19.5" customHeight="1" x14ac:dyDescent="0.85">
      <c r="A332" s="26"/>
      <c r="B332" s="26"/>
      <c r="C332" s="26"/>
      <c r="D332" s="26"/>
      <c r="E332" s="26"/>
      <c r="F332" s="26"/>
      <c r="G332" s="26"/>
      <c r="H332" s="26"/>
      <c r="I332" s="26"/>
      <c r="J332" s="26"/>
      <c r="K332" s="26"/>
      <c r="L332" s="26"/>
      <c r="M332" s="26"/>
      <c r="N332" s="26"/>
      <c r="O332" s="26"/>
      <c r="P332" s="26"/>
      <c r="Q332" s="26"/>
      <c r="R332" s="26"/>
      <c r="S332" s="26"/>
      <c r="T332" s="26"/>
      <c r="U332" s="26"/>
      <c r="V332" s="26"/>
      <c r="W332" s="26"/>
      <c r="X332" s="26"/>
      <c r="Y332" s="26"/>
      <c r="Z332" s="26"/>
    </row>
    <row r="333" spans="1:26" ht="19.5" customHeight="1" x14ac:dyDescent="0.85">
      <c r="A333" s="26"/>
      <c r="B333" s="26"/>
      <c r="C333" s="26"/>
      <c r="D333" s="26"/>
      <c r="E333" s="26"/>
      <c r="F333" s="26"/>
      <c r="G333" s="26"/>
      <c r="H333" s="26"/>
      <c r="I333" s="26"/>
      <c r="J333" s="26"/>
      <c r="K333" s="26"/>
      <c r="L333" s="26"/>
      <c r="M333" s="26"/>
      <c r="N333" s="26"/>
      <c r="O333" s="26"/>
      <c r="P333" s="26"/>
      <c r="Q333" s="26"/>
      <c r="R333" s="26"/>
      <c r="S333" s="26"/>
      <c r="T333" s="26"/>
      <c r="U333" s="26"/>
      <c r="V333" s="26"/>
      <c r="W333" s="26"/>
      <c r="X333" s="26"/>
      <c r="Y333" s="26"/>
      <c r="Z333" s="26"/>
    </row>
    <row r="334" spans="1:26" ht="19.5" customHeight="1" x14ac:dyDescent="0.85">
      <c r="A334" s="26"/>
      <c r="B334" s="26"/>
      <c r="C334" s="26"/>
      <c r="D334" s="26"/>
      <c r="E334" s="26"/>
      <c r="F334" s="26"/>
      <c r="G334" s="26"/>
      <c r="H334" s="26"/>
      <c r="I334" s="26"/>
      <c r="J334" s="26"/>
      <c r="K334" s="26"/>
      <c r="L334" s="26"/>
      <c r="M334" s="26"/>
      <c r="N334" s="26"/>
      <c r="O334" s="26"/>
      <c r="P334" s="26"/>
      <c r="Q334" s="26"/>
      <c r="R334" s="26"/>
      <c r="S334" s="26"/>
      <c r="T334" s="26"/>
      <c r="U334" s="26"/>
      <c r="V334" s="26"/>
      <c r="W334" s="26"/>
      <c r="X334" s="26"/>
      <c r="Y334" s="26"/>
      <c r="Z334" s="26"/>
    </row>
    <row r="335" spans="1:26" ht="19.5" customHeight="1" x14ac:dyDescent="0.85">
      <c r="A335" s="26"/>
      <c r="B335" s="26"/>
      <c r="C335" s="26"/>
      <c r="D335" s="26"/>
      <c r="E335" s="26"/>
      <c r="F335" s="26"/>
      <c r="G335" s="26"/>
      <c r="H335" s="26"/>
      <c r="I335" s="26"/>
      <c r="J335" s="26"/>
      <c r="K335" s="26"/>
      <c r="L335" s="26"/>
      <c r="M335" s="26"/>
      <c r="N335" s="26"/>
      <c r="O335" s="26"/>
      <c r="P335" s="26"/>
      <c r="Q335" s="26"/>
      <c r="R335" s="26"/>
      <c r="S335" s="26"/>
      <c r="T335" s="26"/>
      <c r="U335" s="26"/>
      <c r="V335" s="26"/>
      <c r="W335" s="26"/>
      <c r="X335" s="26"/>
      <c r="Y335" s="26"/>
      <c r="Z335" s="26"/>
    </row>
    <row r="336" spans="1:26" ht="19.5" customHeight="1" x14ac:dyDescent="0.85">
      <c r="A336" s="26"/>
      <c r="B336" s="26"/>
      <c r="C336" s="26"/>
      <c r="D336" s="26"/>
      <c r="E336" s="26"/>
      <c r="F336" s="26"/>
      <c r="G336" s="26"/>
      <c r="H336" s="26"/>
      <c r="I336" s="26"/>
      <c r="J336" s="26"/>
      <c r="K336" s="26"/>
      <c r="L336" s="26"/>
      <c r="M336" s="26"/>
      <c r="N336" s="26"/>
      <c r="O336" s="26"/>
      <c r="P336" s="26"/>
      <c r="Q336" s="26"/>
      <c r="R336" s="26"/>
      <c r="S336" s="26"/>
      <c r="T336" s="26"/>
      <c r="U336" s="26"/>
      <c r="V336" s="26"/>
      <c r="W336" s="26"/>
      <c r="X336" s="26"/>
      <c r="Y336" s="26"/>
      <c r="Z336" s="26"/>
    </row>
    <row r="337" spans="1:26" ht="19.5" customHeight="1" x14ac:dyDescent="0.85">
      <c r="A337" s="26"/>
      <c r="B337" s="26"/>
      <c r="C337" s="26"/>
      <c r="D337" s="26"/>
      <c r="E337" s="26"/>
      <c r="F337" s="26"/>
      <c r="G337" s="26"/>
      <c r="H337" s="26"/>
      <c r="I337" s="26"/>
      <c r="J337" s="26"/>
      <c r="K337" s="26"/>
      <c r="L337" s="26"/>
      <c r="M337" s="26"/>
      <c r="N337" s="26"/>
      <c r="O337" s="26"/>
      <c r="P337" s="26"/>
      <c r="Q337" s="26"/>
      <c r="R337" s="26"/>
      <c r="S337" s="26"/>
      <c r="T337" s="26"/>
      <c r="U337" s="26"/>
      <c r="V337" s="26"/>
      <c r="W337" s="26"/>
      <c r="X337" s="26"/>
      <c r="Y337" s="26"/>
      <c r="Z337" s="26"/>
    </row>
    <row r="338" spans="1:26" ht="19.5" customHeight="1" x14ac:dyDescent="0.85">
      <c r="A338" s="26"/>
      <c r="B338" s="26"/>
      <c r="C338" s="26"/>
      <c r="D338" s="26"/>
      <c r="E338" s="26"/>
      <c r="F338" s="26"/>
      <c r="G338" s="26"/>
      <c r="H338" s="26"/>
      <c r="I338" s="26"/>
      <c r="J338" s="26"/>
      <c r="K338" s="26"/>
      <c r="L338" s="26"/>
      <c r="M338" s="26"/>
      <c r="N338" s="26"/>
      <c r="O338" s="26"/>
      <c r="P338" s="26"/>
      <c r="Q338" s="26"/>
      <c r="R338" s="26"/>
      <c r="S338" s="26"/>
      <c r="T338" s="26"/>
      <c r="U338" s="26"/>
      <c r="V338" s="26"/>
      <c r="W338" s="26"/>
      <c r="X338" s="26"/>
      <c r="Y338" s="26"/>
      <c r="Z338" s="26"/>
    </row>
    <row r="339" spans="1:26" ht="19.5" customHeight="1" x14ac:dyDescent="0.85">
      <c r="A339" s="26"/>
      <c r="B339" s="26"/>
      <c r="C339" s="26"/>
      <c r="D339" s="26"/>
      <c r="E339" s="26"/>
      <c r="F339" s="26"/>
      <c r="G339" s="26"/>
      <c r="H339" s="26"/>
      <c r="I339" s="26"/>
      <c r="J339" s="26"/>
      <c r="K339" s="26"/>
      <c r="L339" s="26"/>
      <c r="M339" s="26"/>
      <c r="N339" s="26"/>
      <c r="O339" s="26"/>
      <c r="P339" s="26"/>
      <c r="Q339" s="26"/>
      <c r="R339" s="26"/>
      <c r="S339" s="26"/>
      <c r="T339" s="26"/>
      <c r="U339" s="26"/>
      <c r="V339" s="26"/>
      <c r="W339" s="26"/>
      <c r="X339" s="26"/>
      <c r="Y339" s="26"/>
      <c r="Z339" s="26"/>
    </row>
    <row r="340" spans="1:26" ht="19.5" customHeight="1" x14ac:dyDescent="0.85">
      <c r="A340" s="26"/>
      <c r="B340" s="26"/>
      <c r="C340" s="26"/>
      <c r="D340" s="26"/>
      <c r="E340" s="26"/>
      <c r="F340" s="26"/>
      <c r="G340" s="26"/>
      <c r="H340" s="26"/>
      <c r="I340" s="26"/>
      <c r="J340" s="26"/>
      <c r="K340" s="26"/>
      <c r="L340" s="26"/>
      <c r="M340" s="26"/>
      <c r="N340" s="26"/>
      <c r="O340" s="26"/>
      <c r="P340" s="26"/>
      <c r="Q340" s="26"/>
      <c r="R340" s="26"/>
      <c r="S340" s="26"/>
      <c r="T340" s="26"/>
      <c r="U340" s="26"/>
      <c r="V340" s="26"/>
      <c r="W340" s="26"/>
      <c r="X340" s="26"/>
      <c r="Y340" s="26"/>
      <c r="Z340" s="26"/>
    </row>
    <row r="341" spans="1:26" ht="19.5" customHeight="1" x14ac:dyDescent="0.85">
      <c r="A341" s="26"/>
      <c r="B341" s="26"/>
      <c r="C341" s="26"/>
      <c r="D341" s="26"/>
      <c r="E341" s="26"/>
      <c r="F341" s="26"/>
      <c r="G341" s="26"/>
      <c r="H341" s="26"/>
      <c r="I341" s="26"/>
      <c r="J341" s="26"/>
      <c r="K341" s="26"/>
      <c r="L341" s="26"/>
      <c r="M341" s="26"/>
      <c r="N341" s="26"/>
      <c r="O341" s="26"/>
      <c r="P341" s="26"/>
      <c r="Q341" s="26"/>
      <c r="R341" s="26"/>
      <c r="S341" s="26"/>
      <c r="T341" s="26"/>
      <c r="U341" s="26"/>
      <c r="V341" s="26"/>
      <c r="W341" s="26"/>
      <c r="X341" s="26"/>
      <c r="Y341" s="26"/>
      <c r="Z341" s="26"/>
    </row>
    <row r="342" spans="1:26" ht="19.5" customHeight="1" x14ac:dyDescent="0.85">
      <c r="A342" s="26"/>
      <c r="B342" s="26"/>
      <c r="C342" s="26"/>
      <c r="D342" s="26"/>
      <c r="E342" s="26"/>
      <c r="F342" s="26"/>
      <c r="G342" s="26"/>
      <c r="H342" s="26"/>
      <c r="I342" s="26"/>
      <c r="J342" s="26"/>
      <c r="K342" s="26"/>
      <c r="L342" s="26"/>
      <c r="M342" s="26"/>
      <c r="N342" s="26"/>
      <c r="O342" s="26"/>
      <c r="P342" s="26"/>
      <c r="Q342" s="26"/>
      <c r="R342" s="26"/>
      <c r="S342" s="26"/>
      <c r="T342" s="26"/>
      <c r="U342" s="26"/>
      <c r="V342" s="26"/>
      <c r="W342" s="26"/>
      <c r="X342" s="26"/>
      <c r="Y342" s="26"/>
      <c r="Z342" s="26"/>
    </row>
    <row r="343" spans="1:26" ht="19.5" customHeight="1" x14ac:dyDescent="0.85">
      <c r="A343" s="26"/>
      <c r="B343" s="26"/>
      <c r="C343" s="26"/>
      <c r="D343" s="26"/>
      <c r="E343" s="26"/>
      <c r="F343" s="26"/>
      <c r="G343" s="26"/>
      <c r="H343" s="26"/>
      <c r="I343" s="26"/>
      <c r="J343" s="26"/>
      <c r="K343" s="26"/>
      <c r="L343" s="26"/>
      <c r="M343" s="26"/>
      <c r="N343" s="26"/>
      <c r="O343" s="26"/>
      <c r="P343" s="26"/>
      <c r="Q343" s="26"/>
      <c r="R343" s="26"/>
      <c r="S343" s="26"/>
      <c r="T343" s="26"/>
      <c r="U343" s="26"/>
      <c r="V343" s="26"/>
      <c r="W343" s="26"/>
      <c r="X343" s="26"/>
      <c r="Y343" s="26"/>
      <c r="Z343" s="26"/>
    </row>
    <row r="344" spans="1:26" ht="19.5" customHeight="1" x14ac:dyDescent="0.85">
      <c r="A344" s="26"/>
      <c r="B344" s="26"/>
      <c r="C344" s="26"/>
      <c r="D344" s="26"/>
      <c r="E344" s="26"/>
      <c r="F344" s="26"/>
      <c r="G344" s="26"/>
      <c r="H344" s="26"/>
      <c r="I344" s="26"/>
      <c r="J344" s="26"/>
      <c r="K344" s="26"/>
      <c r="L344" s="26"/>
      <c r="M344" s="26"/>
      <c r="N344" s="26"/>
      <c r="O344" s="26"/>
      <c r="P344" s="26"/>
      <c r="Q344" s="26"/>
      <c r="R344" s="26"/>
      <c r="S344" s="26"/>
      <c r="T344" s="26"/>
      <c r="U344" s="26"/>
      <c r="V344" s="26"/>
      <c r="W344" s="26"/>
      <c r="X344" s="26"/>
      <c r="Y344" s="26"/>
      <c r="Z344" s="26"/>
    </row>
    <row r="345" spans="1:26" ht="19.5" customHeight="1" x14ac:dyDescent="0.85">
      <c r="A345" s="26"/>
      <c r="B345" s="26"/>
      <c r="C345" s="26"/>
      <c r="D345" s="26"/>
      <c r="E345" s="26"/>
      <c r="F345" s="26"/>
      <c r="G345" s="26"/>
      <c r="H345" s="26"/>
      <c r="I345" s="26"/>
      <c r="J345" s="26"/>
      <c r="K345" s="26"/>
      <c r="L345" s="26"/>
      <c r="M345" s="26"/>
      <c r="N345" s="26"/>
      <c r="O345" s="26"/>
      <c r="P345" s="26"/>
      <c r="Q345" s="26"/>
      <c r="R345" s="26"/>
      <c r="S345" s="26"/>
      <c r="T345" s="26"/>
      <c r="U345" s="26"/>
      <c r="V345" s="26"/>
      <c r="W345" s="26"/>
      <c r="X345" s="26"/>
      <c r="Y345" s="26"/>
      <c r="Z345" s="26"/>
    </row>
    <row r="346" spans="1:26" ht="19.5" customHeight="1" x14ac:dyDescent="0.85">
      <c r="A346" s="26"/>
      <c r="B346" s="26"/>
      <c r="C346" s="26"/>
      <c r="D346" s="26"/>
      <c r="E346" s="26"/>
      <c r="F346" s="26"/>
      <c r="G346" s="26"/>
      <c r="H346" s="26"/>
      <c r="I346" s="26"/>
      <c r="J346" s="26"/>
      <c r="K346" s="26"/>
      <c r="L346" s="26"/>
      <c r="M346" s="26"/>
      <c r="N346" s="26"/>
      <c r="O346" s="26"/>
      <c r="P346" s="26"/>
      <c r="Q346" s="26"/>
      <c r="R346" s="26"/>
      <c r="S346" s="26"/>
      <c r="T346" s="26"/>
      <c r="U346" s="26"/>
      <c r="V346" s="26"/>
      <c r="W346" s="26"/>
      <c r="X346" s="26"/>
      <c r="Y346" s="26"/>
      <c r="Z346" s="26"/>
    </row>
    <row r="347" spans="1:26" ht="19.5" customHeight="1" x14ac:dyDescent="0.85">
      <c r="A347" s="26"/>
      <c r="B347" s="26"/>
      <c r="C347" s="26"/>
      <c r="D347" s="26"/>
      <c r="E347" s="26"/>
      <c r="F347" s="26"/>
      <c r="G347" s="26"/>
      <c r="H347" s="26"/>
      <c r="I347" s="26"/>
      <c r="J347" s="26"/>
      <c r="K347" s="26"/>
      <c r="L347" s="26"/>
      <c r="M347" s="26"/>
      <c r="N347" s="26"/>
      <c r="O347" s="26"/>
      <c r="P347" s="26"/>
      <c r="Q347" s="26"/>
      <c r="R347" s="26"/>
      <c r="S347" s="26"/>
      <c r="T347" s="26"/>
      <c r="U347" s="26"/>
      <c r="V347" s="26"/>
      <c r="W347" s="26"/>
      <c r="X347" s="26"/>
      <c r="Y347" s="26"/>
      <c r="Z347" s="26"/>
    </row>
    <row r="348" spans="1:26" ht="19.5" customHeight="1" x14ac:dyDescent="0.85">
      <c r="A348" s="26"/>
      <c r="B348" s="26"/>
      <c r="C348" s="26"/>
      <c r="D348" s="26"/>
      <c r="E348" s="26"/>
      <c r="F348" s="26"/>
      <c r="G348" s="26"/>
      <c r="H348" s="26"/>
      <c r="I348" s="26"/>
      <c r="J348" s="26"/>
      <c r="K348" s="26"/>
      <c r="L348" s="26"/>
      <c r="M348" s="26"/>
      <c r="N348" s="26"/>
      <c r="O348" s="26"/>
      <c r="P348" s="26"/>
      <c r="Q348" s="26"/>
      <c r="R348" s="26"/>
      <c r="S348" s="26"/>
      <c r="T348" s="26"/>
      <c r="U348" s="26"/>
      <c r="V348" s="26"/>
      <c r="W348" s="26"/>
      <c r="X348" s="26"/>
      <c r="Y348" s="26"/>
      <c r="Z348" s="26"/>
    </row>
    <row r="349" spans="1:26" ht="19.5" customHeight="1" x14ac:dyDescent="0.85">
      <c r="A349" s="26"/>
      <c r="B349" s="26"/>
      <c r="C349" s="26"/>
      <c r="D349" s="26"/>
      <c r="E349" s="26"/>
      <c r="F349" s="26"/>
      <c r="G349" s="26"/>
      <c r="H349" s="26"/>
      <c r="I349" s="26"/>
      <c r="J349" s="26"/>
      <c r="K349" s="26"/>
      <c r="L349" s="26"/>
      <c r="M349" s="26"/>
      <c r="N349" s="26"/>
      <c r="O349" s="26"/>
      <c r="P349" s="26"/>
      <c r="Q349" s="26"/>
      <c r="R349" s="26"/>
      <c r="S349" s="26"/>
      <c r="T349" s="26"/>
      <c r="U349" s="26"/>
      <c r="V349" s="26"/>
      <c r="W349" s="26"/>
      <c r="X349" s="26"/>
      <c r="Y349" s="26"/>
      <c r="Z349" s="26"/>
    </row>
    <row r="350" spans="1:26" ht="19.5" customHeight="1" x14ac:dyDescent="0.85">
      <c r="A350" s="26"/>
      <c r="B350" s="26"/>
      <c r="C350" s="26"/>
      <c r="D350" s="26"/>
      <c r="E350" s="26"/>
      <c r="F350" s="26"/>
      <c r="G350" s="26"/>
      <c r="H350" s="26"/>
      <c r="I350" s="26"/>
      <c r="J350" s="26"/>
      <c r="K350" s="26"/>
      <c r="L350" s="26"/>
      <c r="M350" s="26"/>
      <c r="N350" s="26"/>
      <c r="O350" s="26"/>
      <c r="P350" s="26"/>
      <c r="Q350" s="26"/>
      <c r="R350" s="26"/>
      <c r="S350" s="26"/>
      <c r="T350" s="26"/>
      <c r="U350" s="26"/>
      <c r="V350" s="26"/>
      <c r="W350" s="26"/>
      <c r="X350" s="26"/>
      <c r="Y350" s="26"/>
      <c r="Z350" s="26"/>
    </row>
    <row r="351" spans="1:26" ht="19.5" customHeight="1" x14ac:dyDescent="0.85">
      <c r="A351" s="26"/>
      <c r="B351" s="26"/>
      <c r="C351" s="26"/>
      <c r="D351" s="26"/>
      <c r="E351" s="26"/>
      <c r="F351" s="26"/>
      <c r="G351" s="26"/>
      <c r="H351" s="26"/>
      <c r="I351" s="26"/>
      <c r="J351" s="26"/>
      <c r="K351" s="26"/>
      <c r="L351" s="26"/>
      <c r="M351" s="26"/>
      <c r="N351" s="26"/>
      <c r="O351" s="26"/>
      <c r="P351" s="26"/>
      <c r="Q351" s="26"/>
      <c r="R351" s="26"/>
      <c r="S351" s="26"/>
      <c r="T351" s="26"/>
      <c r="U351" s="26"/>
      <c r="V351" s="26"/>
      <c r="W351" s="26"/>
      <c r="X351" s="26"/>
      <c r="Y351" s="26"/>
      <c r="Z351" s="26"/>
    </row>
    <row r="352" spans="1:26" ht="19.5" customHeight="1" x14ac:dyDescent="0.85">
      <c r="A352" s="26"/>
      <c r="B352" s="26"/>
      <c r="C352" s="26"/>
      <c r="D352" s="26"/>
      <c r="E352" s="26"/>
      <c r="F352" s="26"/>
      <c r="G352" s="26"/>
      <c r="H352" s="26"/>
      <c r="I352" s="26"/>
      <c r="J352" s="26"/>
      <c r="K352" s="26"/>
      <c r="L352" s="26"/>
      <c r="M352" s="26"/>
      <c r="N352" s="26"/>
      <c r="O352" s="26"/>
      <c r="P352" s="26"/>
      <c r="Q352" s="26"/>
      <c r="R352" s="26"/>
      <c r="S352" s="26"/>
      <c r="T352" s="26"/>
      <c r="U352" s="26"/>
      <c r="V352" s="26"/>
      <c r="W352" s="26"/>
      <c r="X352" s="26"/>
      <c r="Y352" s="26"/>
      <c r="Z352" s="26"/>
    </row>
    <row r="353" spans="1:26" ht="19.5" customHeight="1" x14ac:dyDescent="0.85">
      <c r="A353" s="26"/>
      <c r="B353" s="26"/>
      <c r="C353" s="26"/>
      <c r="D353" s="26"/>
      <c r="E353" s="26"/>
      <c r="F353" s="26"/>
      <c r="G353" s="26"/>
      <c r="H353" s="26"/>
      <c r="I353" s="26"/>
      <c r="J353" s="26"/>
      <c r="K353" s="26"/>
      <c r="L353" s="26"/>
      <c r="M353" s="26"/>
      <c r="N353" s="26"/>
      <c r="O353" s="26"/>
      <c r="P353" s="26"/>
      <c r="Q353" s="26"/>
      <c r="R353" s="26"/>
      <c r="S353" s="26"/>
      <c r="T353" s="26"/>
      <c r="U353" s="26"/>
      <c r="V353" s="26"/>
      <c r="W353" s="26"/>
      <c r="X353" s="26"/>
      <c r="Y353" s="26"/>
      <c r="Z353" s="26"/>
    </row>
    <row r="354" spans="1:26" ht="19.5" customHeight="1" x14ac:dyDescent="0.85">
      <c r="A354" s="26"/>
      <c r="B354" s="26"/>
      <c r="C354" s="26"/>
      <c r="D354" s="26"/>
      <c r="E354" s="26"/>
      <c r="F354" s="26"/>
      <c r="G354" s="26"/>
      <c r="H354" s="26"/>
      <c r="I354" s="26"/>
      <c r="J354" s="26"/>
      <c r="K354" s="26"/>
      <c r="L354" s="26"/>
      <c r="M354" s="26"/>
      <c r="N354" s="26"/>
      <c r="O354" s="26"/>
      <c r="P354" s="26"/>
      <c r="Q354" s="26"/>
      <c r="R354" s="26"/>
      <c r="S354" s="26"/>
      <c r="T354" s="26"/>
      <c r="U354" s="26"/>
      <c r="V354" s="26"/>
      <c r="W354" s="26"/>
      <c r="X354" s="26"/>
      <c r="Y354" s="26"/>
      <c r="Z354" s="26"/>
    </row>
    <row r="355" spans="1:26" ht="19.5" customHeight="1" x14ac:dyDescent="0.85">
      <c r="A355" s="26"/>
      <c r="B355" s="26"/>
      <c r="C355" s="26"/>
      <c r="D355" s="26"/>
      <c r="E355" s="26"/>
      <c r="F355" s="26"/>
      <c r="G355" s="26"/>
      <c r="H355" s="26"/>
      <c r="I355" s="26"/>
      <c r="J355" s="26"/>
      <c r="K355" s="26"/>
      <c r="L355" s="26"/>
      <c r="M355" s="26"/>
      <c r="N355" s="26"/>
      <c r="O355" s="26"/>
      <c r="P355" s="26"/>
      <c r="Q355" s="26"/>
      <c r="R355" s="26"/>
      <c r="S355" s="26"/>
      <c r="T355" s="26"/>
      <c r="U355" s="26"/>
      <c r="V355" s="26"/>
      <c r="W355" s="26"/>
      <c r="X355" s="26"/>
      <c r="Y355" s="26"/>
      <c r="Z355" s="26"/>
    </row>
    <row r="356" spans="1:26" ht="19.5" customHeight="1" x14ac:dyDescent="0.85">
      <c r="A356" s="26"/>
      <c r="B356" s="26"/>
      <c r="C356" s="26"/>
      <c r="D356" s="26"/>
      <c r="E356" s="26"/>
      <c r="F356" s="26"/>
      <c r="G356" s="26"/>
      <c r="H356" s="26"/>
      <c r="I356" s="26"/>
      <c r="J356" s="26"/>
      <c r="K356" s="26"/>
      <c r="L356" s="26"/>
      <c r="M356" s="26"/>
      <c r="N356" s="26"/>
      <c r="O356" s="26"/>
      <c r="P356" s="26"/>
      <c r="Q356" s="26"/>
      <c r="R356" s="26"/>
      <c r="S356" s="26"/>
      <c r="T356" s="26"/>
      <c r="U356" s="26"/>
      <c r="V356" s="26"/>
      <c r="W356" s="26"/>
      <c r="X356" s="26"/>
      <c r="Y356" s="26"/>
      <c r="Z356" s="26"/>
    </row>
    <row r="357" spans="1:26" ht="19.5" customHeight="1" x14ac:dyDescent="0.85">
      <c r="A357" s="26"/>
      <c r="B357" s="26"/>
      <c r="C357" s="26"/>
      <c r="D357" s="26"/>
      <c r="E357" s="26"/>
      <c r="F357" s="26"/>
      <c r="G357" s="26"/>
      <c r="H357" s="26"/>
      <c r="I357" s="26"/>
      <c r="J357" s="26"/>
      <c r="K357" s="26"/>
      <c r="L357" s="26"/>
      <c r="M357" s="26"/>
      <c r="N357" s="26"/>
      <c r="O357" s="26"/>
      <c r="P357" s="26"/>
      <c r="Q357" s="26"/>
      <c r="R357" s="26"/>
      <c r="S357" s="26"/>
      <c r="T357" s="26"/>
      <c r="U357" s="26"/>
      <c r="V357" s="26"/>
      <c r="W357" s="26"/>
      <c r="X357" s="26"/>
      <c r="Y357" s="26"/>
      <c r="Z357" s="26"/>
    </row>
    <row r="358" spans="1:26" ht="19.5" customHeight="1" x14ac:dyDescent="0.85">
      <c r="A358" s="26"/>
      <c r="B358" s="26"/>
      <c r="C358" s="26"/>
      <c r="D358" s="26"/>
      <c r="E358" s="26"/>
      <c r="F358" s="26"/>
      <c r="G358" s="26"/>
      <c r="H358" s="26"/>
      <c r="I358" s="26"/>
      <c r="J358" s="26"/>
      <c r="K358" s="26"/>
      <c r="L358" s="26"/>
      <c r="M358" s="26"/>
      <c r="N358" s="26"/>
      <c r="O358" s="26"/>
      <c r="P358" s="26"/>
      <c r="Q358" s="26"/>
      <c r="R358" s="26"/>
      <c r="S358" s="26"/>
      <c r="T358" s="26"/>
      <c r="U358" s="26"/>
      <c r="V358" s="26"/>
      <c r="W358" s="26"/>
      <c r="X358" s="26"/>
      <c r="Y358" s="26"/>
      <c r="Z358" s="26"/>
    </row>
    <row r="359" spans="1:26" ht="19.5" customHeight="1" x14ac:dyDescent="0.85">
      <c r="A359" s="26"/>
      <c r="B359" s="26"/>
      <c r="C359" s="26"/>
      <c r="D359" s="26"/>
      <c r="E359" s="26"/>
      <c r="F359" s="26"/>
      <c r="G359" s="26"/>
      <c r="H359" s="26"/>
      <c r="I359" s="26"/>
      <c r="J359" s="26"/>
      <c r="K359" s="26"/>
      <c r="L359" s="26"/>
      <c r="M359" s="26"/>
      <c r="N359" s="26"/>
      <c r="O359" s="26"/>
      <c r="P359" s="26"/>
      <c r="Q359" s="26"/>
      <c r="R359" s="26"/>
      <c r="S359" s="26"/>
      <c r="T359" s="26"/>
      <c r="U359" s="26"/>
      <c r="V359" s="26"/>
      <c r="W359" s="26"/>
      <c r="X359" s="26"/>
      <c r="Y359" s="26"/>
      <c r="Z359" s="26"/>
    </row>
    <row r="360" spans="1:26" ht="19.5" customHeight="1" x14ac:dyDescent="0.85">
      <c r="A360" s="26"/>
      <c r="B360" s="26"/>
      <c r="C360" s="26"/>
      <c r="D360" s="26"/>
      <c r="E360" s="26"/>
      <c r="F360" s="26"/>
      <c r="G360" s="26"/>
      <c r="H360" s="26"/>
      <c r="I360" s="26"/>
      <c r="J360" s="26"/>
      <c r="K360" s="26"/>
      <c r="L360" s="26"/>
      <c r="M360" s="26"/>
      <c r="N360" s="26"/>
      <c r="O360" s="26"/>
      <c r="P360" s="26"/>
      <c r="Q360" s="26"/>
      <c r="R360" s="26"/>
      <c r="S360" s="26"/>
      <c r="T360" s="26"/>
      <c r="U360" s="26"/>
      <c r="V360" s="26"/>
      <c r="W360" s="26"/>
      <c r="X360" s="26"/>
      <c r="Y360" s="26"/>
      <c r="Z360" s="26"/>
    </row>
    <row r="361" spans="1:26" ht="19.5" customHeight="1" x14ac:dyDescent="0.85">
      <c r="A361" s="26"/>
      <c r="B361" s="26"/>
      <c r="C361" s="26"/>
      <c r="D361" s="26"/>
      <c r="E361" s="26"/>
      <c r="F361" s="26"/>
      <c r="G361" s="26"/>
      <c r="H361" s="26"/>
      <c r="I361" s="26"/>
      <c r="J361" s="26"/>
      <c r="K361" s="26"/>
      <c r="L361" s="26"/>
      <c r="M361" s="26"/>
      <c r="N361" s="26"/>
      <c r="O361" s="26"/>
      <c r="P361" s="26"/>
      <c r="Q361" s="26"/>
      <c r="R361" s="26"/>
      <c r="S361" s="26"/>
      <c r="T361" s="26"/>
      <c r="U361" s="26"/>
      <c r="V361" s="26"/>
      <c r="W361" s="26"/>
      <c r="X361" s="26"/>
      <c r="Y361" s="26"/>
      <c r="Z361" s="26"/>
    </row>
    <row r="362" spans="1:26" ht="19.5" customHeight="1" x14ac:dyDescent="0.85">
      <c r="A362" s="26"/>
      <c r="B362" s="26"/>
      <c r="C362" s="26"/>
      <c r="D362" s="26"/>
      <c r="E362" s="26"/>
      <c r="F362" s="26"/>
      <c r="G362" s="26"/>
      <c r="H362" s="26"/>
      <c r="I362" s="26"/>
      <c r="J362" s="26"/>
      <c r="K362" s="26"/>
      <c r="L362" s="26"/>
      <c r="M362" s="26"/>
      <c r="N362" s="26"/>
      <c r="O362" s="26"/>
      <c r="P362" s="26"/>
      <c r="Q362" s="26"/>
      <c r="R362" s="26"/>
      <c r="S362" s="26"/>
      <c r="T362" s="26"/>
      <c r="U362" s="26"/>
      <c r="V362" s="26"/>
      <c r="W362" s="26"/>
      <c r="X362" s="26"/>
      <c r="Y362" s="26"/>
      <c r="Z362" s="26"/>
    </row>
    <row r="363" spans="1:26" ht="19.5" customHeight="1" x14ac:dyDescent="0.85">
      <c r="A363" s="26"/>
      <c r="B363" s="26"/>
      <c r="C363" s="26"/>
      <c r="D363" s="26"/>
      <c r="E363" s="26"/>
      <c r="F363" s="26"/>
      <c r="G363" s="26"/>
      <c r="H363" s="26"/>
      <c r="I363" s="26"/>
      <c r="J363" s="26"/>
      <c r="K363" s="26"/>
      <c r="L363" s="26"/>
      <c r="M363" s="26"/>
      <c r="N363" s="26"/>
      <c r="O363" s="26"/>
      <c r="P363" s="26"/>
      <c r="Q363" s="26"/>
      <c r="R363" s="26"/>
      <c r="S363" s="26"/>
      <c r="T363" s="26"/>
      <c r="U363" s="26"/>
      <c r="V363" s="26"/>
      <c r="W363" s="26"/>
      <c r="X363" s="26"/>
      <c r="Y363" s="26"/>
      <c r="Z363" s="26"/>
    </row>
    <row r="364" spans="1:26" ht="19.5" customHeight="1" x14ac:dyDescent="0.85">
      <c r="A364" s="26"/>
      <c r="B364" s="26"/>
      <c r="C364" s="26"/>
      <c r="D364" s="26"/>
      <c r="E364" s="26"/>
      <c r="F364" s="26"/>
      <c r="G364" s="26"/>
      <c r="H364" s="26"/>
      <c r="I364" s="26"/>
      <c r="J364" s="26"/>
      <c r="K364" s="26"/>
      <c r="L364" s="26"/>
      <c r="M364" s="26"/>
      <c r="N364" s="26"/>
      <c r="O364" s="26"/>
      <c r="P364" s="26"/>
      <c r="Q364" s="26"/>
      <c r="R364" s="26"/>
      <c r="S364" s="26"/>
      <c r="T364" s="26"/>
      <c r="U364" s="26"/>
      <c r="V364" s="26"/>
      <c r="W364" s="26"/>
      <c r="X364" s="26"/>
      <c r="Y364" s="26"/>
      <c r="Z364" s="26"/>
    </row>
    <row r="365" spans="1:26" ht="19.5" customHeight="1" x14ac:dyDescent="0.85">
      <c r="A365" s="26"/>
      <c r="B365" s="26"/>
      <c r="C365" s="26"/>
      <c r="D365" s="26"/>
      <c r="E365" s="26"/>
      <c r="F365" s="26"/>
      <c r="G365" s="26"/>
      <c r="H365" s="26"/>
      <c r="I365" s="26"/>
      <c r="J365" s="26"/>
      <c r="K365" s="26"/>
      <c r="L365" s="26"/>
      <c r="M365" s="26"/>
      <c r="N365" s="26"/>
      <c r="O365" s="26"/>
      <c r="P365" s="26"/>
      <c r="Q365" s="26"/>
      <c r="R365" s="26"/>
      <c r="S365" s="26"/>
      <c r="T365" s="26"/>
      <c r="U365" s="26"/>
      <c r="V365" s="26"/>
      <c r="W365" s="26"/>
      <c r="X365" s="26"/>
      <c r="Y365" s="26"/>
      <c r="Z365" s="26"/>
    </row>
    <row r="366" spans="1:26" ht="19.5" customHeight="1" x14ac:dyDescent="0.85">
      <c r="A366" s="26"/>
      <c r="B366" s="26"/>
      <c r="C366" s="26"/>
      <c r="D366" s="26"/>
      <c r="E366" s="26"/>
      <c r="F366" s="26"/>
      <c r="G366" s="26"/>
      <c r="H366" s="26"/>
      <c r="I366" s="26"/>
      <c r="J366" s="26"/>
      <c r="K366" s="26"/>
      <c r="L366" s="26"/>
      <c r="M366" s="26"/>
      <c r="N366" s="26"/>
      <c r="O366" s="26"/>
      <c r="P366" s="26"/>
      <c r="Q366" s="26"/>
      <c r="R366" s="26"/>
      <c r="S366" s="26"/>
      <c r="T366" s="26"/>
      <c r="U366" s="26"/>
      <c r="V366" s="26"/>
      <c r="W366" s="26"/>
      <c r="X366" s="26"/>
      <c r="Y366" s="26"/>
      <c r="Z366" s="26"/>
    </row>
    <row r="367" spans="1:26" ht="19.5" customHeight="1" x14ac:dyDescent="0.85">
      <c r="A367" s="26"/>
      <c r="B367" s="26"/>
      <c r="C367" s="26"/>
      <c r="D367" s="26"/>
      <c r="E367" s="26"/>
      <c r="F367" s="26"/>
      <c r="G367" s="26"/>
      <c r="H367" s="26"/>
      <c r="I367" s="26"/>
      <c r="J367" s="26"/>
      <c r="K367" s="26"/>
      <c r="L367" s="26"/>
      <c r="M367" s="26"/>
      <c r="N367" s="26"/>
      <c r="O367" s="26"/>
      <c r="P367" s="26"/>
      <c r="Q367" s="26"/>
      <c r="R367" s="26"/>
      <c r="S367" s="26"/>
      <c r="T367" s="26"/>
      <c r="U367" s="26"/>
      <c r="V367" s="26"/>
      <c r="W367" s="26"/>
      <c r="X367" s="26"/>
      <c r="Y367" s="26"/>
      <c r="Z367" s="26"/>
    </row>
    <row r="368" spans="1:26" ht="19.5" customHeight="1" x14ac:dyDescent="0.85">
      <c r="A368" s="26"/>
      <c r="B368" s="26"/>
      <c r="C368" s="26"/>
      <c r="D368" s="26"/>
      <c r="E368" s="26"/>
      <c r="F368" s="26"/>
      <c r="G368" s="26"/>
      <c r="H368" s="26"/>
      <c r="I368" s="26"/>
      <c r="J368" s="26"/>
      <c r="K368" s="26"/>
      <c r="L368" s="26"/>
      <c r="M368" s="26"/>
      <c r="N368" s="26"/>
      <c r="O368" s="26"/>
      <c r="P368" s="26"/>
      <c r="Q368" s="26"/>
      <c r="R368" s="26"/>
      <c r="S368" s="26"/>
      <c r="T368" s="26"/>
      <c r="U368" s="26"/>
      <c r="V368" s="26"/>
      <c r="W368" s="26"/>
      <c r="X368" s="26"/>
      <c r="Y368" s="26"/>
      <c r="Z368" s="26"/>
    </row>
    <row r="369" spans="1:26" ht="19.5" customHeight="1" x14ac:dyDescent="0.85">
      <c r="A369" s="26"/>
      <c r="B369" s="26"/>
      <c r="C369" s="26"/>
      <c r="D369" s="26"/>
      <c r="E369" s="26"/>
      <c r="F369" s="26"/>
      <c r="G369" s="26"/>
      <c r="H369" s="26"/>
      <c r="I369" s="26"/>
      <c r="J369" s="26"/>
      <c r="K369" s="26"/>
      <c r="L369" s="26"/>
      <c r="M369" s="26"/>
      <c r="N369" s="26"/>
      <c r="O369" s="26"/>
      <c r="P369" s="26"/>
      <c r="Q369" s="26"/>
      <c r="R369" s="26"/>
      <c r="S369" s="26"/>
      <c r="T369" s="26"/>
      <c r="U369" s="26"/>
      <c r="V369" s="26"/>
      <c r="W369" s="26"/>
      <c r="X369" s="26"/>
      <c r="Y369" s="26"/>
      <c r="Z369" s="26"/>
    </row>
    <row r="370" spans="1:26" ht="19.5" customHeight="1" x14ac:dyDescent="0.85">
      <c r="A370" s="26"/>
      <c r="B370" s="26"/>
      <c r="C370" s="26"/>
      <c r="D370" s="26"/>
      <c r="E370" s="26"/>
      <c r="F370" s="26"/>
      <c r="G370" s="26"/>
      <c r="H370" s="26"/>
      <c r="I370" s="26"/>
      <c r="J370" s="26"/>
      <c r="K370" s="26"/>
      <c r="L370" s="26"/>
      <c r="M370" s="26"/>
      <c r="N370" s="26"/>
      <c r="O370" s="26"/>
      <c r="P370" s="26"/>
      <c r="Q370" s="26"/>
      <c r="R370" s="26"/>
      <c r="S370" s="26"/>
      <c r="T370" s="26"/>
      <c r="U370" s="26"/>
      <c r="V370" s="26"/>
      <c r="W370" s="26"/>
      <c r="X370" s="26"/>
      <c r="Y370" s="26"/>
      <c r="Z370" s="26"/>
    </row>
    <row r="371" spans="1:26" ht="19.5" customHeight="1" x14ac:dyDescent="0.85">
      <c r="A371" s="26"/>
      <c r="B371" s="26"/>
      <c r="C371" s="26"/>
      <c r="D371" s="26"/>
      <c r="E371" s="26"/>
      <c r="F371" s="26"/>
      <c r="G371" s="26"/>
      <c r="H371" s="26"/>
      <c r="I371" s="26"/>
      <c r="J371" s="26"/>
      <c r="K371" s="26"/>
      <c r="L371" s="26"/>
      <c r="M371" s="26"/>
      <c r="N371" s="26"/>
      <c r="O371" s="26"/>
      <c r="P371" s="26"/>
      <c r="Q371" s="26"/>
      <c r="R371" s="26"/>
      <c r="S371" s="26"/>
      <c r="T371" s="26"/>
      <c r="U371" s="26"/>
      <c r="V371" s="26"/>
      <c r="W371" s="26"/>
      <c r="X371" s="26"/>
      <c r="Y371" s="26"/>
      <c r="Z371" s="26"/>
    </row>
    <row r="372" spans="1:26" ht="19.5" customHeight="1" x14ac:dyDescent="0.85">
      <c r="A372" s="26"/>
      <c r="B372" s="26"/>
      <c r="C372" s="26"/>
      <c r="D372" s="26"/>
      <c r="E372" s="26"/>
      <c r="F372" s="26"/>
      <c r="G372" s="26"/>
      <c r="H372" s="26"/>
      <c r="I372" s="26"/>
      <c r="J372" s="26"/>
      <c r="K372" s="26"/>
      <c r="L372" s="26"/>
      <c r="M372" s="26"/>
      <c r="N372" s="26"/>
      <c r="O372" s="26"/>
      <c r="P372" s="26"/>
      <c r="Q372" s="26"/>
      <c r="R372" s="26"/>
      <c r="S372" s="26"/>
      <c r="T372" s="26"/>
      <c r="U372" s="26"/>
      <c r="V372" s="26"/>
      <c r="W372" s="26"/>
      <c r="X372" s="26"/>
      <c r="Y372" s="26"/>
      <c r="Z372" s="26"/>
    </row>
    <row r="373" spans="1:26" ht="19.5" customHeight="1" x14ac:dyDescent="0.85">
      <c r="A373" s="26"/>
      <c r="B373" s="26"/>
      <c r="C373" s="26"/>
      <c r="D373" s="26"/>
      <c r="E373" s="26"/>
      <c r="F373" s="26"/>
      <c r="G373" s="26"/>
      <c r="H373" s="26"/>
      <c r="I373" s="26"/>
      <c r="J373" s="26"/>
      <c r="K373" s="26"/>
      <c r="L373" s="26"/>
      <c r="M373" s="26"/>
      <c r="N373" s="26"/>
      <c r="O373" s="26"/>
      <c r="P373" s="26"/>
      <c r="Q373" s="26"/>
      <c r="R373" s="26"/>
      <c r="S373" s="26"/>
      <c r="T373" s="26"/>
      <c r="U373" s="26"/>
      <c r="V373" s="26"/>
      <c r="W373" s="26"/>
      <c r="X373" s="26"/>
      <c r="Y373" s="26"/>
      <c r="Z373" s="26"/>
    </row>
    <row r="374" spans="1:26" ht="19.5" customHeight="1" x14ac:dyDescent="0.85">
      <c r="A374" s="26"/>
      <c r="B374" s="26"/>
      <c r="C374" s="26"/>
      <c r="D374" s="26"/>
      <c r="E374" s="26"/>
      <c r="F374" s="26"/>
      <c r="G374" s="26"/>
      <c r="H374" s="26"/>
      <c r="I374" s="26"/>
      <c r="J374" s="26"/>
      <c r="K374" s="26"/>
      <c r="L374" s="26"/>
      <c r="M374" s="26"/>
      <c r="N374" s="26"/>
      <c r="O374" s="26"/>
      <c r="P374" s="26"/>
      <c r="Q374" s="26"/>
      <c r="R374" s="26"/>
      <c r="S374" s="26"/>
      <c r="T374" s="26"/>
      <c r="U374" s="26"/>
      <c r="V374" s="26"/>
      <c r="W374" s="26"/>
      <c r="X374" s="26"/>
      <c r="Y374" s="26"/>
      <c r="Z374" s="26"/>
    </row>
    <row r="375" spans="1:26" ht="19.5" customHeight="1" x14ac:dyDescent="0.85">
      <c r="A375" s="26"/>
      <c r="B375" s="26"/>
      <c r="C375" s="26"/>
      <c r="D375" s="26"/>
      <c r="E375" s="26"/>
      <c r="F375" s="26"/>
      <c r="G375" s="26"/>
      <c r="H375" s="26"/>
      <c r="I375" s="26"/>
      <c r="J375" s="26"/>
      <c r="K375" s="26"/>
      <c r="L375" s="26"/>
      <c r="M375" s="26"/>
      <c r="N375" s="26"/>
      <c r="O375" s="26"/>
      <c r="P375" s="26"/>
      <c r="Q375" s="26"/>
      <c r="R375" s="26"/>
      <c r="S375" s="26"/>
      <c r="T375" s="26"/>
      <c r="U375" s="26"/>
      <c r="V375" s="26"/>
      <c r="W375" s="26"/>
      <c r="X375" s="26"/>
      <c r="Y375" s="26"/>
      <c r="Z375" s="26"/>
    </row>
    <row r="376" spans="1:26" ht="19.5" customHeight="1" x14ac:dyDescent="0.85">
      <c r="A376" s="26"/>
      <c r="B376" s="26"/>
      <c r="C376" s="26"/>
      <c r="D376" s="26"/>
      <c r="E376" s="26"/>
      <c r="F376" s="26"/>
      <c r="G376" s="26"/>
      <c r="H376" s="26"/>
      <c r="I376" s="26"/>
      <c r="J376" s="26"/>
      <c r="K376" s="26"/>
      <c r="L376" s="26"/>
      <c r="M376" s="26"/>
      <c r="N376" s="26"/>
      <c r="O376" s="26"/>
      <c r="P376" s="26"/>
      <c r="Q376" s="26"/>
      <c r="R376" s="26"/>
      <c r="S376" s="26"/>
      <c r="T376" s="26"/>
      <c r="U376" s="26"/>
      <c r="V376" s="26"/>
      <c r="W376" s="26"/>
      <c r="X376" s="26"/>
      <c r="Y376" s="26"/>
      <c r="Z376" s="26"/>
    </row>
    <row r="377" spans="1:26" ht="19.5" customHeight="1" x14ac:dyDescent="0.85">
      <c r="A377" s="26"/>
      <c r="B377" s="26"/>
      <c r="C377" s="26"/>
      <c r="D377" s="26"/>
      <c r="E377" s="26"/>
      <c r="F377" s="26"/>
      <c r="G377" s="26"/>
      <c r="H377" s="26"/>
      <c r="I377" s="26"/>
      <c r="J377" s="26"/>
      <c r="K377" s="26"/>
      <c r="L377" s="26"/>
      <c r="M377" s="26"/>
      <c r="N377" s="26"/>
      <c r="O377" s="26"/>
      <c r="P377" s="26"/>
      <c r="Q377" s="26"/>
      <c r="R377" s="26"/>
      <c r="S377" s="26"/>
      <c r="T377" s="26"/>
      <c r="U377" s="26"/>
      <c r="V377" s="26"/>
      <c r="W377" s="26"/>
      <c r="X377" s="26"/>
      <c r="Y377" s="26"/>
      <c r="Z377" s="26"/>
    </row>
    <row r="378" spans="1:26" ht="19.5" customHeight="1" x14ac:dyDescent="0.85">
      <c r="A378" s="26"/>
      <c r="B378" s="26"/>
      <c r="C378" s="26"/>
      <c r="D378" s="26"/>
      <c r="E378" s="26"/>
      <c r="F378" s="26"/>
      <c r="G378" s="26"/>
      <c r="H378" s="26"/>
      <c r="I378" s="26"/>
      <c r="J378" s="26"/>
      <c r="K378" s="26"/>
      <c r="L378" s="26"/>
      <c r="M378" s="26"/>
      <c r="N378" s="26"/>
      <c r="O378" s="26"/>
      <c r="P378" s="26"/>
      <c r="Q378" s="26"/>
      <c r="R378" s="26"/>
      <c r="S378" s="26"/>
      <c r="T378" s="26"/>
      <c r="U378" s="26"/>
      <c r="V378" s="26"/>
      <c r="W378" s="26"/>
      <c r="X378" s="26"/>
      <c r="Y378" s="26"/>
      <c r="Z378" s="26"/>
    </row>
    <row r="379" spans="1:26" ht="19.5" customHeight="1" x14ac:dyDescent="0.85">
      <c r="A379" s="26"/>
      <c r="B379" s="26"/>
      <c r="C379" s="26"/>
      <c r="D379" s="26"/>
      <c r="E379" s="26"/>
      <c r="F379" s="26"/>
      <c r="G379" s="26"/>
      <c r="H379" s="26"/>
      <c r="I379" s="26"/>
      <c r="J379" s="26"/>
      <c r="K379" s="26"/>
      <c r="L379" s="26"/>
      <c r="M379" s="26"/>
      <c r="N379" s="26"/>
      <c r="O379" s="26"/>
      <c r="P379" s="26"/>
      <c r="Q379" s="26"/>
      <c r="R379" s="26"/>
      <c r="S379" s="26"/>
      <c r="T379" s="26"/>
      <c r="U379" s="26"/>
      <c r="V379" s="26"/>
      <c r="W379" s="26"/>
      <c r="X379" s="26"/>
      <c r="Y379" s="26"/>
      <c r="Z379" s="26"/>
    </row>
    <row r="380" spans="1:26" ht="19.5" customHeight="1" x14ac:dyDescent="0.85">
      <c r="A380" s="26"/>
      <c r="B380" s="26"/>
      <c r="C380" s="26"/>
      <c r="D380" s="26"/>
      <c r="E380" s="26"/>
      <c r="F380" s="26"/>
      <c r="G380" s="26"/>
      <c r="H380" s="26"/>
      <c r="I380" s="26"/>
      <c r="J380" s="26"/>
      <c r="K380" s="26"/>
      <c r="L380" s="26"/>
      <c r="M380" s="26"/>
      <c r="N380" s="26"/>
      <c r="O380" s="26"/>
      <c r="P380" s="26"/>
      <c r="Q380" s="26"/>
      <c r="R380" s="26"/>
      <c r="S380" s="26"/>
      <c r="T380" s="26"/>
      <c r="U380" s="26"/>
      <c r="V380" s="26"/>
      <c r="W380" s="26"/>
      <c r="X380" s="26"/>
      <c r="Y380" s="26"/>
      <c r="Z380" s="26"/>
    </row>
    <row r="381" spans="1:26" ht="19.5" customHeight="1" x14ac:dyDescent="0.85">
      <c r="A381" s="26"/>
      <c r="B381" s="26"/>
      <c r="C381" s="26"/>
      <c r="D381" s="26"/>
      <c r="E381" s="26"/>
      <c r="F381" s="26"/>
      <c r="G381" s="26"/>
      <c r="H381" s="26"/>
      <c r="I381" s="26"/>
      <c r="J381" s="26"/>
      <c r="K381" s="26"/>
      <c r="L381" s="26"/>
      <c r="M381" s="26"/>
      <c r="N381" s="26"/>
      <c r="O381" s="26"/>
      <c r="P381" s="26"/>
      <c r="Q381" s="26"/>
      <c r="R381" s="26"/>
      <c r="S381" s="26"/>
      <c r="T381" s="26"/>
      <c r="U381" s="26"/>
      <c r="V381" s="26"/>
      <c r="W381" s="26"/>
      <c r="X381" s="26"/>
      <c r="Y381" s="26"/>
      <c r="Z381" s="26"/>
    </row>
    <row r="382" spans="1:26" ht="19.5" customHeight="1" x14ac:dyDescent="0.85">
      <c r="A382" s="26"/>
      <c r="B382" s="26"/>
      <c r="C382" s="26"/>
      <c r="D382" s="26"/>
      <c r="E382" s="26"/>
      <c r="F382" s="26"/>
      <c r="G382" s="26"/>
      <c r="H382" s="26"/>
      <c r="I382" s="26"/>
      <c r="J382" s="26"/>
      <c r="K382" s="26"/>
      <c r="L382" s="26"/>
      <c r="M382" s="26"/>
      <c r="N382" s="26"/>
      <c r="O382" s="26"/>
      <c r="P382" s="26"/>
      <c r="Q382" s="26"/>
      <c r="R382" s="26"/>
      <c r="S382" s="26"/>
      <c r="T382" s="26"/>
      <c r="U382" s="26"/>
      <c r="V382" s="26"/>
      <c r="W382" s="26"/>
      <c r="X382" s="26"/>
      <c r="Y382" s="26"/>
      <c r="Z382" s="26"/>
    </row>
    <row r="383" spans="1:26" ht="19.5" customHeight="1" x14ac:dyDescent="0.85">
      <c r="A383" s="26"/>
      <c r="B383" s="26"/>
      <c r="C383" s="26"/>
      <c r="D383" s="26"/>
      <c r="E383" s="26"/>
      <c r="F383" s="26"/>
      <c r="G383" s="26"/>
      <c r="H383" s="26"/>
      <c r="I383" s="26"/>
      <c r="J383" s="26"/>
      <c r="K383" s="26"/>
      <c r="L383" s="26"/>
      <c r="M383" s="26"/>
      <c r="N383" s="26"/>
      <c r="O383" s="26"/>
      <c r="P383" s="26"/>
      <c r="Q383" s="26"/>
      <c r="R383" s="26"/>
      <c r="S383" s="26"/>
      <c r="T383" s="26"/>
      <c r="U383" s="26"/>
      <c r="V383" s="26"/>
      <c r="W383" s="26"/>
      <c r="X383" s="26"/>
      <c r="Y383" s="26"/>
      <c r="Z383" s="26"/>
    </row>
    <row r="384" spans="1:26" ht="19.5" customHeight="1" x14ac:dyDescent="0.85">
      <c r="A384" s="26"/>
      <c r="B384" s="26"/>
      <c r="C384" s="26"/>
      <c r="D384" s="26"/>
      <c r="E384" s="26"/>
      <c r="F384" s="26"/>
      <c r="G384" s="26"/>
      <c r="H384" s="26"/>
      <c r="I384" s="26"/>
      <c r="J384" s="26"/>
      <c r="K384" s="26"/>
      <c r="L384" s="26"/>
      <c r="M384" s="26"/>
      <c r="N384" s="26"/>
      <c r="O384" s="26"/>
      <c r="P384" s="26"/>
      <c r="Q384" s="26"/>
      <c r="R384" s="26"/>
      <c r="S384" s="26"/>
      <c r="T384" s="26"/>
      <c r="U384" s="26"/>
      <c r="V384" s="26"/>
      <c r="W384" s="26"/>
      <c r="X384" s="26"/>
      <c r="Y384" s="26"/>
      <c r="Z384" s="26"/>
    </row>
    <row r="385" spans="1:26" ht="19.5" customHeight="1" x14ac:dyDescent="0.85">
      <c r="A385" s="26"/>
      <c r="B385" s="26"/>
      <c r="C385" s="26"/>
      <c r="D385" s="26"/>
      <c r="E385" s="26"/>
      <c r="F385" s="26"/>
      <c r="G385" s="26"/>
      <c r="H385" s="26"/>
      <c r="I385" s="26"/>
      <c r="J385" s="26"/>
      <c r="K385" s="26"/>
      <c r="L385" s="26"/>
      <c r="M385" s="26"/>
      <c r="N385" s="26"/>
      <c r="O385" s="26"/>
      <c r="P385" s="26"/>
      <c r="Q385" s="26"/>
      <c r="R385" s="26"/>
      <c r="S385" s="26"/>
      <c r="T385" s="26"/>
      <c r="U385" s="26"/>
      <c r="V385" s="26"/>
      <c r="W385" s="26"/>
      <c r="X385" s="26"/>
      <c r="Y385" s="26"/>
      <c r="Z385" s="26"/>
    </row>
    <row r="386" spans="1:26" ht="19.5" customHeight="1" x14ac:dyDescent="0.85">
      <c r="A386" s="26"/>
      <c r="B386" s="26"/>
      <c r="C386" s="26"/>
      <c r="D386" s="26"/>
      <c r="E386" s="26"/>
      <c r="F386" s="26"/>
      <c r="G386" s="26"/>
      <c r="H386" s="26"/>
      <c r="I386" s="26"/>
      <c r="J386" s="26"/>
      <c r="K386" s="26"/>
      <c r="L386" s="26"/>
      <c r="M386" s="26"/>
      <c r="N386" s="26"/>
      <c r="O386" s="26"/>
      <c r="P386" s="26"/>
      <c r="Q386" s="26"/>
      <c r="R386" s="26"/>
      <c r="S386" s="26"/>
      <c r="T386" s="26"/>
      <c r="U386" s="26"/>
      <c r="V386" s="26"/>
      <c r="W386" s="26"/>
      <c r="X386" s="26"/>
      <c r="Y386" s="26"/>
      <c r="Z386" s="26"/>
    </row>
    <row r="387" spans="1:26" ht="19.5" customHeight="1" x14ac:dyDescent="0.85">
      <c r="A387" s="26"/>
      <c r="B387" s="26"/>
      <c r="C387" s="26"/>
      <c r="D387" s="26"/>
      <c r="E387" s="26"/>
      <c r="F387" s="26"/>
      <c r="G387" s="26"/>
      <c r="H387" s="26"/>
      <c r="I387" s="26"/>
      <c r="J387" s="26"/>
      <c r="K387" s="26"/>
      <c r="L387" s="26"/>
      <c r="M387" s="26"/>
      <c r="N387" s="26"/>
      <c r="O387" s="26"/>
      <c r="P387" s="26"/>
      <c r="Q387" s="26"/>
      <c r="R387" s="26"/>
      <c r="S387" s="26"/>
      <c r="T387" s="26"/>
      <c r="U387" s="26"/>
      <c r="V387" s="26"/>
      <c r="W387" s="26"/>
      <c r="X387" s="26"/>
      <c r="Y387" s="26"/>
      <c r="Z387" s="26"/>
    </row>
    <row r="388" spans="1:26" ht="19.5" customHeight="1" x14ac:dyDescent="0.85">
      <c r="A388" s="26"/>
      <c r="B388" s="26"/>
      <c r="C388" s="26"/>
      <c r="D388" s="26"/>
      <c r="E388" s="26"/>
      <c r="F388" s="26"/>
      <c r="G388" s="26"/>
      <c r="H388" s="26"/>
      <c r="I388" s="26"/>
      <c r="J388" s="26"/>
      <c r="K388" s="26"/>
      <c r="L388" s="26"/>
      <c r="M388" s="26"/>
      <c r="N388" s="26"/>
      <c r="O388" s="26"/>
      <c r="P388" s="26"/>
      <c r="Q388" s="26"/>
      <c r="R388" s="26"/>
      <c r="S388" s="26"/>
      <c r="T388" s="26"/>
      <c r="U388" s="26"/>
      <c r="V388" s="26"/>
      <c r="W388" s="26"/>
      <c r="X388" s="26"/>
      <c r="Y388" s="26"/>
      <c r="Z388" s="26"/>
    </row>
    <row r="389" spans="1:26" ht="19.5" customHeight="1" x14ac:dyDescent="0.85">
      <c r="A389" s="26"/>
      <c r="B389" s="26"/>
      <c r="C389" s="26"/>
      <c r="D389" s="26"/>
      <c r="E389" s="26"/>
      <c r="F389" s="26"/>
      <c r="G389" s="26"/>
      <c r="H389" s="26"/>
      <c r="I389" s="26"/>
      <c r="J389" s="26"/>
      <c r="K389" s="26"/>
      <c r="L389" s="26"/>
      <c r="M389" s="26"/>
      <c r="N389" s="26"/>
      <c r="O389" s="26"/>
      <c r="P389" s="26"/>
      <c r="Q389" s="26"/>
      <c r="R389" s="26"/>
      <c r="S389" s="26"/>
      <c r="T389" s="26"/>
      <c r="U389" s="26"/>
      <c r="V389" s="26"/>
      <c r="W389" s="26"/>
      <c r="X389" s="26"/>
      <c r="Y389" s="26"/>
      <c r="Z389" s="26"/>
    </row>
    <row r="390" spans="1:26" ht="19.5" customHeight="1" x14ac:dyDescent="0.85">
      <c r="A390" s="26"/>
      <c r="B390" s="26"/>
      <c r="C390" s="26"/>
      <c r="D390" s="26"/>
      <c r="E390" s="26"/>
      <c r="F390" s="26"/>
      <c r="G390" s="26"/>
      <c r="H390" s="26"/>
      <c r="I390" s="26"/>
      <c r="J390" s="26"/>
      <c r="K390" s="26"/>
      <c r="L390" s="26"/>
      <c r="M390" s="26"/>
      <c r="N390" s="26"/>
      <c r="O390" s="26"/>
      <c r="P390" s="26"/>
      <c r="Q390" s="26"/>
      <c r="R390" s="26"/>
      <c r="S390" s="26"/>
      <c r="T390" s="26"/>
      <c r="U390" s="26"/>
      <c r="V390" s="26"/>
      <c r="W390" s="26"/>
      <c r="X390" s="26"/>
      <c r="Y390" s="26"/>
      <c r="Z390" s="26"/>
    </row>
    <row r="391" spans="1:26" ht="19.5" customHeight="1" x14ac:dyDescent="0.85">
      <c r="A391" s="26"/>
      <c r="B391" s="26"/>
      <c r="C391" s="26"/>
      <c r="D391" s="26"/>
      <c r="E391" s="26"/>
      <c r="F391" s="26"/>
      <c r="G391" s="26"/>
      <c r="H391" s="26"/>
      <c r="I391" s="26"/>
      <c r="J391" s="26"/>
      <c r="K391" s="26"/>
      <c r="L391" s="26"/>
      <c r="M391" s="26"/>
      <c r="N391" s="26"/>
      <c r="O391" s="26"/>
      <c r="P391" s="26"/>
      <c r="Q391" s="26"/>
      <c r="R391" s="26"/>
      <c r="S391" s="26"/>
      <c r="T391" s="26"/>
      <c r="U391" s="26"/>
      <c r="V391" s="26"/>
      <c r="W391" s="26"/>
      <c r="X391" s="26"/>
      <c r="Y391" s="26"/>
      <c r="Z391" s="26"/>
    </row>
    <row r="392" spans="1:26" ht="19.5" customHeight="1" x14ac:dyDescent="0.85">
      <c r="A392" s="26"/>
      <c r="B392" s="26"/>
      <c r="C392" s="26"/>
      <c r="D392" s="26"/>
      <c r="E392" s="26"/>
      <c r="F392" s="26"/>
      <c r="G392" s="26"/>
      <c r="H392" s="26"/>
      <c r="I392" s="26"/>
      <c r="J392" s="26"/>
      <c r="K392" s="26"/>
      <c r="L392" s="26"/>
      <c r="M392" s="26"/>
      <c r="N392" s="26"/>
      <c r="O392" s="26"/>
      <c r="P392" s="26"/>
      <c r="Q392" s="26"/>
      <c r="R392" s="26"/>
      <c r="S392" s="26"/>
      <c r="T392" s="26"/>
      <c r="U392" s="26"/>
      <c r="V392" s="26"/>
      <c r="W392" s="26"/>
      <c r="X392" s="26"/>
      <c r="Y392" s="26"/>
      <c r="Z392" s="26"/>
    </row>
    <row r="393" spans="1:26" ht="19.5" customHeight="1" x14ac:dyDescent="0.85">
      <c r="A393" s="26"/>
      <c r="B393" s="26"/>
      <c r="C393" s="26"/>
      <c r="D393" s="26"/>
      <c r="E393" s="26"/>
      <c r="F393" s="26"/>
      <c r="G393" s="26"/>
      <c r="H393" s="26"/>
      <c r="I393" s="26"/>
      <c r="J393" s="26"/>
      <c r="K393" s="26"/>
      <c r="L393" s="26"/>
      <c r="M393" s="26"/>
      <c r="N393" s="26"/>
      <c r="O393" s="26"/>
      <c r="P393" s="26"/>
      <c r="Q393" s="26"/>
      <c r="R393" s="26"/>
      <c r="S393" s="26"/>
      <c r="T393" s="26"/>
      <c r="U393" s="26"/>
      <c r="V393" s="26"/>
      <c r="W393" s="26"/>
      <c r="X393" s="26"/>
      <c r="Y393" s="26"/>
      <c r="Z393" s="26"/>
    </row>
    <row r="394" spans="1:26" ht="19.5" customHeight="1" x14ac:dyDescent="0.85">
      <c r="A394" s="26"/>
      <c r="B394" s="26"/>
      <c r="C394" s="26"/>
      <c r="D394" s="26"/>
      <c r="E394" s="26"/>
      <c r="F394" s="26"/>
      <c r="G394" s="26"/>
      <c r="H394" s="26"/>
      <c r="I394" s="26"/>
      <c r="J394" s="26"/>
      <c r="K394" s="26"/>
      <c r="L394" s="26"/>
      <c r="M394" s="26"/>
      <c r="N394" s="26"/>
      <c r="O394" s="26"/>
      <c r="P394" s="26"/>
      <c r="Q394" s="26"/>
      <c r="R394" s="26"/>
      <c r="S394" s="26"/>
      <c r="T394" s="26"/>
      <c r="U394" s="26"/>
      <c r="V394" s="26"/>
      <c r="W394" s="26"/>
      <c r="X394" s="26"/>
      <c r="Y394" s="26"/>
      <c r="Z394" s="26"/>
    </row>
    <row r="395" spans="1:26" ht="19.5" customHeight="1" x14ac:dyDescent="0.85">
      <c r="A395" s="26"/>
      <c r="B395" s="26"/>
      <c r="C395" s="26"/>
      <c r="D395" s="26"/>
      <c r="E395" s="26"/>
      <c r="F395" s="26"/>
      <c r="G395" s="26"/>
      <c r="H395" s="26"/>
      <c r="I395" s="26"/>
      <c r="J395" s="26"/>
      <c r="K395" s="26"/>
      <c r="L395" s="26"/>
      <c r="M395" s="26"/>
      <c r="N395" s="26"/>
      <c r="O395" s="26"/>
      <c r="P395" s="26"/>
      <c r="Q395" s="26"/>
      <c r="R395" s="26"/>
      <c r="S395" s="26"/>
      <c r="T395" s="26"/>
      <c r="U395" s="26"/>
      <c r="V395" s="26"/>
      <c r="W395" s="26"/>
      <c r="X395" s="26"/>
      <c r="Y395" s="26"/>
      <c r="Z395" s="26"/>
    </row>
    <row r="396" spans="1:26" ht="19.5" customHeight="1" x14ac:dyDescent="0.85">
      <c r="A396" s="26"/>
      <c r="B396" s="26"/>
      <c r="C396" s="26"/>
      <c r="D396" s="26"/>
      <c r="E396" s="26"/>
      <c r="F396" s="26"/>
      <c r="G396" s="26"/>
      <c r="H396" s="26"/>
      <c r="I396" s="26"/>
      <c r="J396" s="26"/>
      <c r="K396" s="26"/>
      <c r="L396" s="26"/>
      <c r="M396" s="26"/>
      <c r="N396" s="26"/>
      <c r="O396" s="26"/>
      <c r="P396" s="26"/>
      <c r="Q396" s="26"/>
      <c r="R396" s="26"/>
      <c r="S396" s="26"/>
      <c r="T396" s="26"/>
      <c r="U396" s="26"/>
      <c r="V396" s="26"/>
      <c r="W396" s="26"/>
      <c r="X396" s="26"/>
      <c r="Y396" s="26"/>
      <c r="Z396" s="26"/>
    </row>
    <row r="397" spans="1:26" ht="19.5" customHeight="1" x14ac:dyDescent="0.85">
      <c r="A397" s="26"/>
      <c r="B397" s="26"/>
      <c r="C397" s="26"/>
      <c r="D397" s="26"/>
      <c r="E397" s="26"/>
      <c r="F397" s="26"/>
      <c r="G397" s="26"/>
      <c r="H397" s="26"/>
      <c r="I397" s="26"/>
      <c r="J397" s="26"/>
      <c r="K397" s="26"/>
      <c r="L397" s="26"/>
      <c r="M397" s="26"/>
      <c r="N397" s="26"/>
      <c r="O397" s="26"/>
      <c r="P397" s="26"/>
      <c r="Q397" s="26"/>
      <c r="R397" s="26"/>
      <c r="S397" s="26"/>
      <c r="T397" s="26"/>
      <c r="U397" s="26"/>
      <c r="V397" s="26"/>
      <c r="W397" s="26"/>
      <c r="X397" s="26"/>
      <c r="Y397" s="26"/>
      <c r="Z397" s="26"/>
    </row>
    <row r="398" spans="1:26" ht="19.5" customHeight="1" x14ac:dyDescent="0.85">
      <c r="A398" s="26"/>
      <c r="B398" s="26"/>
      <c r="C398" s="26"/>
      <c r="D398" s="26"/>
      <c r="E398" s="26"/>
      <c r="F398" s="26"/>
      <c r="G398" s="26"/>
      <c r="H398" s="26"/>
      <c r="I398" s="26"/>
      <c r="J398" s="26"/>
      <c r="K398" s="26"/>
      <c r="L398" s="26"/>
      <c r="M398" s="26"/>
      <c r="N398" s="26"/>
      <c r="O398" s="26"/>
      <c r="P398" s="26"/>
      <c r="Q398" s="26"/>
      <c r="R398" s="26"/>
      <c r="S398" s="26"/>
      <c r="T398" s="26"/>
      <c r="U398" s="26"/>
      <c r="V398" s="26"/>
      <c r="W398" s="26"/>
      <c r="X398" s="26"/>
      <c r="Y398" s="26"/>
      <c r="Z398" s="26"/>
    </row>
    <row r="399" spans="1:26" ht="19.5" customHeight="1" x14ac:dyDescent="0.85">
      <c r="A399" s="26"/>
      <c r="B399" s="26"/>
      <c r="C399" s="26"/>
      <c r="D399" s="26"/>
      <c r="E399" s="26"/>
      <c r="F399" s="26"/>
      <c r="G399" s="26"/>
      <c r="H399" s="26"/>
      <c r="I399" s="26"/>
      <c r="J399" s="26"/>
      <c r="K399" s="26"/>
      <c r="L399" s="26"/>
      <c r="M399" s="26"/>
      <c r="N399" s="26"/>
      <c r="O399" s="26"/>
      <c r="P399" s="26"/>
      <c r="Q399" s="26"/>
      <c r="R399" s="26"/>
      <c r="S399" s="26"/>
      <c r="T399" s="26"/>
      <c r="U399" s="26"/>
      <c r="V399" s="26"/>
      <c r="W399" s="26"/>
      <c r="X399" s="26"/>
      <c r="Y399" s="26"/>
      <c r="Z399" s="26"/>
    </row>
    <row r="400" spans="1:26" ht="19.5" customHeight="1" x14ac:dyDescent="0.85">
      <c r="A400" s="26"/>
      <c r="B400" s="26"/>
      <c r="C400" s="26"/>
      <c r="D400" s="26"/>
      <c r="E400" s="26"/>
      <c r="F400" s="26"/>
      <c r="G400" s="26"/>
      <c r="H400" s="26"/>
      <c r="I400" s="26"/>
      <c r="J400" s="26"/>
      <c r="K400" s="26"/>
      <c r="L400" s="26"/>
      <c r="M400" s="26"/>
      <c r="N400" s="26"/>
      <c r="O400" s="26"/>
      <c r="P400" s="26"/>
      <c r="Q400" s="26"/>
      <c r="R400" s="26"/>
      <c r="S400" s="26"/>
      <c r="T400" s="26"/>
      <c r="U400" s="26"/>
      <c r="V400" s="26"/>
      <c r="W400" s="26"/>
      <c r="X400" s="26"/>
      <c r="Y400" s="26"/>
      <c r="Z400" s="26"/>
    </row>
    <row r="401" spans="1:26" ht="19.5" customHeight="1" x14ac:dyDescent="0.85">
      <c r="A401" s="26"/>
      <c r="B401" s="26"/>
      <c r="C401" s="26"/>
      <c r="D401" s="26"/>
      <c r="E401" s="26"/>
      <c r="F401" s="26"/>
      <c r="G401" s="26"/>
      <c r="H401" s="26"/>
      <c r="I401" s="26"/>
      <c r="J401" s="26"/>
      <c r="K401" s="26"/>
      <c r="L401" s="26"/>
      <c r="M401" s="26"/>
      <c r="N401" s="26"/>
      <c r="O401" s="26"/>
      <c r="P401" s="26"/>
      <c r="Q401" s="26"/>
      <c r="R401" s="26"/>
      <c r="S401" s="26"/>
      <c r="T401" s="26"/>
      <c r="U401" s="26"/>
      <c r="V401" s="26"/>
      <c r="W401" s="26"/>
      <c r="X401" s="26"/>
      <c r="Y401" s="26"/>
      <c r="Z401" s="26"/>
    </row>
    <row r="402" spans="1:26" ht="19.5" customHeight="1" x14ac:dyDescent="0.85">
      <c r="A402" s="26"/>
      <c r="B402" s="26"/>
      <c r="C402" s="26"/>
      <c r="D402" s="26"/>
      <c r="E402" s="26"/>
      <c r="F402" s="26"/>
      <c r="G402" s="26"/>
      <c r="H402" s="26"/>
      <c r="I402" s="26"/>
      <c r="J402" s="26"/>
      <c r="K402" s="26"/>
      <c r="L402" s="26"/>
      <c r="M402" s="26"/>
      <c r="N402" s="26"/>
      <c r="O402" s="26"/>
      <c r="P402" s="26"/>
      <c r="Q402" s="26"/>
      <c r="R402" s="26"/>
      <c r="S402" s="26"/>
      <c r="T402" s="26"/>
      <c r="U402" s="26"/>
      <c r="V402" s="26"/>
      <c r="W402" s="26"/>
      <c r="X402" s="26"/>
      <c r="Y402" s="26"/>
      <c r="Z402" s="26"/>
    </row>
    <row r="403" spans="1:26" ht="19.5" customHeight="1" x14ac:dyDescent="0.85">
      <c r="A403" s="26"/>
      <c r="B403" s="26"/>
      <c r="C403" s="26"/>
      <c r="D403" s="26"/>
      <c r="E403" s="26"/>
      <c r="F403" s="26"/>
      <c r="G403" s="26"/>
      <c r="H403" s="26"/>
      <c r="I403" s="26"/>
      <c r="J403" s="26"/>
      <c r="K403" s="26"/>
      <c r="L403" s="26"/>
      <c r="M403" s="26"/>
      <c r="N403" s="26"/>
      <c r="O403" s="26"/>
      <c r="P403" s="26"/>
      <c r="Q403" s="26"/>
      <c r="R403" s="26"/>
      <c r="S403" s="26"/>
      <c r="T403" s="26"/>
      <c r="U403" s="26"/>
      <c r="V403" s="26"/>
      <c r="W403" s="26"/>
      <c r="X403" s="26"/>
      <c r="Y403" s="26"/>
      <c r="Z403" s="26"/>
    </row>
    <row r="404" spans="1:26" ht="19.5" customHeight="1" x14ac:dyDescent="0.85">
      <c r="A404" s="26"/>
      <c r="B404" s="26"/>
      <c r="C404" s="26"/>
      <c r="D404" s="26"/>
      <c r="E404" s="26"/>
      <c r="F404" s="26"/>
      <c r="G404" s="26"/>
      <c r="H404" s="26"/>
      <c r="I404" s="26"/>
      <c r="J404" s="26"/>
      <c r="K404" s="26"/>
      <c r="L404" s="26"/>
      <c r="M404" s="26"/>
      <c r="N404" s="26"/>
      <c r="O404" s="26"/>
      <c r="P404" s="26"/>
      <c r="Q404" s="26"/>
      <c r="R404" s="26"/>
      <c r="S404" s="26"/>
      <c r="T404" s="26"/>
      <c r="U404" s="26"/>
      <c r="V404" s="26"/>
      <c r="W404" s="26"/>
      <c r="X404" s="26"/>
      <c r="Y404" s="26"/>
      <c r="Z404" s="26"/>
    </row>
    <row r="405" spans="1:26" ht="19.5" customHeight="1" x14ac:dyDescent="0.85">
      <c r="A405" s="26"/>
      <c r="B405" s="26"/>
      <c r="C405" s="26"/>
      <c r="D405" s="26"/>
      <c r="E405" s="26"/>
      <c r="F405" s="26"/>
      <c r="G405" s="26"/>
      <c r="H405" s="26"/>
      <c r="I405" s="26"/>
      <c r="J405" s="26"/>
      <c r="K405" s="26"/>
      <c r="L405" s="26"/>
      <c r="M405" s="26"/>
      <c r="N405" s="26"/>
      <c r="O405" s="26"/>
      <c r="P405" s="26"/>
      <c r="Q405" s="26"/>
      <c r="R405" s="26"/>
      <c r="S405" s="26"/>
      <c r="T405" s="26"/>
      <c r="U405" s="26"/>
      <c r="V405" s="26"/>
      <c r="W405" s="26"/>
      <c r="X405" s="26"/>
      <c r="Y405" s="26"/>
      <c r="Z405" s="26"/>
    </row>
    <row r="406" spans="1:26" ht="19.5" customHeight="1" x14ac:dyDescent="0.85">
      <c r="A406" s="26"/>
      <c r="B406" s="26"/>
      <c r="C406" s="26"/>
      <c r="D406" s="26"/>
      <c r="E406" s="26"/>
      <c r="F406" s="26"/>
      <c r="G406" s="26"/>
      <c r="H406" s="26"/>
      <c r="I406" s="26"/>
      <c r="J406" s="26"/>
      <c r="K406" s="26"/>
      <c r="L406" s="26"/>
      <c r="M406" s="26"/>
      <c r="N406" s="26"/>
      <c r="O406" s="26"/>
      <c r="P406" s="26"/>
      <c r="Q406" s="26"/>
      <c r="R406" s="26"/>
      <c r="S406" s="26"/>
      <c r="T406" s="26"/>
      <c r="U406" s="26"/>
      <c r="V406" s="26"/>
      <c r="W406" s="26"/>
      <c r="X406" s="26"/>
      <c r="Y406" s="26"/>
      <c r="Z406" s="26"/>
    </row>
    <row r="407" spans="1:26" ht="19.5" customHeight="1" x14ac:dyDescent="0.85">
      <c r="A407" s="26"/>
      <c r="B407" s="26"/>
      <c r="C407" s="26"/>
      <c r="D407" s="26"/>
      <c r="E407" s="26"/>
      <c r="F407" s="26"/>
      <c r="G407" s="26"/>
      <c r="H407" s="26"/>
      <c r="I407" s="26"/>
      <c r="J407" s="26"/>
      <c r="K407" s="26"/>
      <c r="L407" s="26"/>
      <c r="M407" s="26"/>
      <c r="N407" s="26"/>
      <c r="O407" s="26"/>
      <c r="P407" s="26"/>
      <c r="Q407" s="26"/>
      <c r="R407" s="26"/>
      <c r="S407" s="26"/>
      <c r="T407" s="26"/>
      <c r="U407" s="26"/>
      <c r="V407" s="26"/>
      <c r="W407" s="26"/>
      <c r="X407" s="26"/>
      <c r="Y407" s="26"/>
      <c r="Z407" s="26"/>
    </row>
    <row r="408" spans="1:26" ht="19.5" customHeight="1" x14ac:dyDescent="0.85">
      <c r="A408" s="26"/>
      <c r="B408" s="26"/>
      <c r="C408" s="26"/>
      <c r="D408" s="26"/>
      <c r="E408" s="26"/>
      <c r="F408" s="26"/>
      <c r="G408" s="26"/>
      <c r="H408" s="26"/>
      <c r="I408" s="26"/>
      <c r="J408" s="26"/>
      <c r="K408" s="26"/>
      <c r="L408" s="26"/>
      <c r="M408" s="26"/>
      <c r="N408" s="26"/>
      <c r="O408" s="26"/>
      <c r="P408" s="26"/>
      <c r="Q408" s="26"/>
      <c r="R408" s="26"/>
      <c r="S408" s="26"/>
      <c r="T408" s="26"/>
      <c r="U408" s="26"/>
      <c r="V408" s="26"/>
      <c r="W408" s="26"/>
      <c r="X408" s="26"/>
      <c r="Y408" s="26"/>
      <c r="Z408" s="26"/>
    </row>
    <row r="409" spans="1:26" ht="19.5" customHeight="1" x14ac:dyDescent="0.85">
      <c r="A409" s="26"/>
      <c r="B409" s="26"/>
      <c r="C409" s="26"/>
      <c r="D409" s="26"/>
      <c r="E409" s="26"/>
      <c r="F409" s="26"/>
      <c r="G409" s="26"/>
      <c r="H409" s="26"/>
      <c r="I409" s="26"/>
      <c r="J409" s="26"/>
      <c r="K409" s="26"/>
      <c r="L409" s="26"/>
      <c r="M409" s="26"/>
      <c r="N409" s="26"/>
      <c r="O409" s="26"/>
      <c r="P409" s="26"/>
      <c r="Q409" s="26"/>
      <c r="R409" s="26"/>
      <c r="S409" s="26"/>
      <c r="T409" s="26"/>
      <c r="U409" s="26"/>
      <c r="V409" s="26"/>
      <c r="W409" s="26"/>
      <c r="X409" s="26"/>
      <c r="Y409" s="26"/>
      <c r="Z409" s="26"/>
    </row>
    <row r="410" spans="1:26" ht="19.5" customHeight="1" x14ac:dyDescent="0.85">
      <c r="A410" s="26"/>
      <c r="B410" s="26"/>
      <c r="C410" s="26"/>
      <c r="D410" s="26"/>
      <c r="E410" s="26"/>
      <c r="F410" s="26"/>
      <c r="G410" s="26"/>
      <c r="H410" s="26"/>
      <c r="I410" s="26"/>
      <c r="J410" s="26"/>
      <c r="K410" s="26"/>
      <c r="L410" s="26"/>
      <c r="M410" s="26"/>
      <c r="N410" s="26"/>
      <c r="O410" s="26"/>
      <c r="P410" s="26"/>
      <c r="Q410" s="26"/>
      <c r="R410" s="26"/>
      <c r="S410" s="26"/>
      <c r="T410" s="26"/>
      <c r="U410" s="26"/>
      <c r="V410" s="26"/>
      <c r="W410" s="26"/>
      <c r="X410" s="26"/>
      <c r="Y410" s="26"/>
      <c r="Z410" s="26"/>
    </row>
    <row r="411" spans="1:26" ht="19.5" customHeight="1" x14ac:dyDescent="0.85">
      <c r="A411" s="26"/>
      <c r="B411" s="26"/>
      <c r="C411" s="26"/>
      <c r="D411" s="26"/>
      <c r="E411" s="26"/>
      <c r="F411" s="26"/>
      <c r="G411" s="26"/>
      <c r="H411" s="26"/>
      <c r="I411" s="26"/>
      <c r="J411" s="26"/>
      <c r="K411" s="26"/>
      <c r="L411" s="26"/>
      <c r="M411" s="26"/>
      <c r="N411" s="26"/>
      <c r="O411" s="26"/>
      <c r="P411" s="26"/>
      <c r="Q411" s="26"/>
      <c r="R411" s="26"/>
      <c r="S411" s="26"/>
      <c r="T411" s="26"/>
      <c r="U411" s="26"/>
      <c r="V411" s="26"/>
      <c r="W411" s="26"/>
      <c r="X411" s="26"/>
      <c r="Y411" s="26"/>
      <c r="Z411" s="26"/>
    </row>
    <row r="412" spans="1:26" ht="19.5" customHeight="1" x14ac:dyDescent="0.85">
      <c r="A412" s="26"/>
      <c r="B412" s="26"/>
      <c r="C412" s="26"/>
      <c r="D412" s="26"/>
      <c r="E412" s="26"/>
      <c r="F412" s="26"/>
      <c r="G412" s="26"/>
      <c r="H412" s="26"/>
      <c r="I412" s="26"/>
      <c r="J412" s="26"/>
      <c r="K412" s="26"/>
      <c r="L412" s="26"/>
      <c r="M412" s="26"/>
      <c r="N412" s="26"/>
      <c r="O412" s="26"/>
      <c r="P412" s="26"/>
      <c r="Q412" s="26"/>
      <c r="R412" s="26"/>
      <c r="S412" s="26"/>
      <c r="T412" s="26"/>
      <c r="U412" s="26"/>
      <c r="V412" s="26"/>
      <c r="W412" s="26"/>
      <c r="X412" s="26"/>
      <c r="Y412" s="26"/>
      <c r="Z412" s="26"/>
    </row>
    <row r="413" spans="1:26" ht="19.5" customHeight="1" x14ac:dyDescent="0.85">
      <c r="A413" s="26"/>
      <c r="B413" s="26"/>
      <c r="C413" s="26"/>
      <c r="D413" s="26"/>
      <c r="E413" s="26"/>
      <c r="F413" s="26"/>
      <c r="G413" s="26"/>
      <c r="H413" s="26"/>
      <c r="I413" s="26"/>
      <c r="J413" s="26"/>
      <c r="K413" s="26"/>
      <c r="L413" s="26"/>
      <c r="M413" s="26"/>
      <c r="N413" s="26"/>
      <c r="O413" s="26"/>
      <c r="P413" s="26"/>
      <c r="Q413" s="26"/>
      <c r="R413" s="26"/>
      <c r="S413" s="26"/>
      <c r="T413" s="26"/>
      <c r="U413" s="26"/>
      <c r="V413" s="26"/>
      <c r="W413" s="26"/>
      <c r="X413" s="26"/>
      <c r="Y413" s="26"/>
      <c r="Z413" s="26"/>
    </row>
    <row r="414" spans="1:26" ht="19.5" customHeight="1" x14ac:dyDescent="0.85">
      <c r="A414" s="26"/>
      <c r="B414" s="26"/>
      <c r="C414" s="26"/>
      <c r="D414" s="26"/>
      <c r="E414" s="26"/>
      <c r="F414" s="26"/>
      <c r="G414" s="26"/>
      <c r="H414" s="26"/>
      <c r="I414" s="26"/>
      <c r="J414" s="26"/>
      <c r="K414" s="26"/>
      <c r="L414" s="26"/>
      <c r="M414" s="26"/>
      <c r="N414" s="26"/>
      <c r="O414" s="26"/>
      <c r="P414" s="26"/>
      <c r="Q414" s="26"/>
      <c r="R414" s="26"/>
      <c r="S414" s="26"/>
      <c r="T414" s="26"/>
      <c r="U414" s="26"/>
      <c r="V414" s="26"/>
      <c r="W414" s="26"/>
      <c r="X414" s="26"/>
      <c r="Y414" s="26"/>
      <c r="Z414" s="26"/>
    </row>
    <row r="415" spans="1:26" ht="19.5" customHeight="1" x14ac:dyDescent="0.85">
      <c r="A415" s="26"/>
      <c r="B415" s="26"/>
      <c r="C415" s="26"/>
      <c r="D415" s="26"/>
      <c r="E415" s="26"/>
      <c r="F415" s="26"/>
      <c r="G415" s="26"/>
      <c r="H415" s="26"/>
      <c r="I415" s="26"/>
      <c r="J415" s="26"/>
      <c r="K415" s="26"/>
      <c r="L415" s="26"/>
      <c r="M415" s="26"/>
      <c r="N415" s="26"/>
      <c r="O415" s="26"/>
      <c r="P415" s="26"/>
      <c r="Q415" s="26"/>
      <c r="R415" s="26"/>
      <c r="S415" s="26"/>
      <c r="T415" s="26"/>
      <c r="U415" s="26"/>
      <c r="V415" s="26"/>
      <c r="W415" s="26"/>
      <c r="X415" s="26"/>
      <c r="Y415" s="26"/>
      <c r="Z415" s="26"/>
    </row>
    <row r="416" spans="1:26" ht="19.5" customHeight="1" x14ac:dyDescent="0.85">
      <c r="A416" s="26"/>
      <c r="B416" s="26"/>
      <c r="C416" s="26"/>
      <c r="D416" s="26"/>
      <c r="E416" s="26"/>
      <c r="F416" s="26"/>
      <c r="G416" s="26"/>
      <c r="H416" s="26"/>
      <c r="I416" s="26"/>
      <c r="J416" s="26"/>
      <c r="K416" s="26"/>
      <c r="L416" s="26"/>
      <c r="M416" s="26"/>
      <c r="N416" s="26"/>
      <c r="O416" s="26"/>
      <c r="P416" s="26"/>
      <c r="Q416" s="26"/>
      <c r="R416" s="26"/>
      <c r="S416" s="26"/>
      <c r="T416" s="26"/>
      <c r="U416" s="26"/>
      <c r="V416" s="26"/>
      <c r="W416" s="26"/>
      <c r="X416" s="26"/>
      <c r="Y416" s="26"/>
      <c r="Z416" s="26"/>
    </row>
    <row r="417" spans="1:26" ht="19.5" customHeight="1" x14ac:dyDescent="0.85">
      <c r="A417" s="26"/>
      <c r="B417" s="26"/>
      <c r="C417" s="26"/>
      <c r="D417" s="26"/>
      <c r="E417" s="26"/>
      <c r="F417" s="26"/>
      <c r="G417" s="26"/>
      <c r="H417" s="26"/>
      <c r="I417" s="26"/>
      <c r="J417" s="26"/>
      <c r="K417" s="26"/>
      <c r="L417" s="26"/>
      <c r="M417" s="26"/>
      <c r="N417" s="26"/>
      <c r="O417" s="26"/>
      <c r="P417" s="26"/>
      <c r="Q417" s="26"/>
      <c r="R417" s="26"/>
      <c r="S417" s="26"/>
      <c r="T417" s="26"/>
      <c r="U417" s="26"/>
      <c r="V417" s="26"/>
      <c r="W417" s="26"/>
      <c r="X417" s="26"/>
      <c r="Y417" s="26"/>
      <c r="Z417" s="26"/>
    </row>
    <row r="418" spans="1:26" ht="19.5" customHeight="1" x14ac:dyDescent="0.85">
      <c r="A418" s="26"/>
      <c r="B418" s="26"/>
      <c r="C418" s="26"/>
      <c r="D418" s="26"/>
      <c r="E418" s="26"/>
      <c r="F418" s="26"/>
      <c r="G418" s="26"/>
      <c r="H418" s="26"/>
      <c r="I418" s="26"/>
      <c r="J418" s="26"/>
      <c r="K418" s="26"/>
      <c r="L418" s="26"/>
      <c r="M418" s="26"/>
      <c r="N418" s="26"/>
      <c r="O418" s="26"/>
      <c r="P418" s="26"/>
      <c r="Q418" s="26"/>
      <c r="R418" s="26"/>
      <c r="S418" s="26"/>
      <c r="T418" s="26"/>
      <c r="U418" s="26"/>
      <c r="V418" s="26"/>
      <c r="W418" s="26"/>
      <c r="X418" s="26"/>
      <c r="Y418" s="26"/>
      <c r="Z418" s="26"/>
    </row>
    <row r="419" spans="1:26" ht="19.5" customHeight="1" x14ac:dyDescent="0.85">
      <c r="A419" s="26"/>
      <c r="B419" s="26"/>
      <c r="C419" s="26"/>
      <c r="D419" s="26"/>
      <c r="E419" s="26"/>
      <c r="F419" s="26"/>
      <c r="G419" s="26"/>
      <c r="H419" s="26"/>
      <c r="I419" s="26"/>
      <c r="J419" s="26"/>
      <c r="K419" s="26"/>
      <c r="L419" s="26"/>
      <c r="M419" s="26"/>
      <c r="N419" s="26"/>
      <c r="O419" s="26"/>
      <c r="P419" s="26"/>
      <c r="Q419" s="26"/>
      <c r="R419" s="26"/>
      <c r="S419" s="26"/>
      <c r="T419" s="26"/>
      <c r="U419" s="26"/>
      <c r="V419" s="26"/>
      <c r="W419" s="26"/>
      <c r="X419" s="26"/>
      <c r="Y419" s="26"/>
      <c r="Z419" s="26"/>
    </row>
    <row r="420" spans="1:26" ht="19.5" customHeight="1" x14ac:dyDescent="0.85">
      <c r="A420" s="26"/>
      <c r="B420" s="26"/>
      <c r="C420" s="26"/>
      <c r="D420" s="26"/>
      <c r="E420" s="26"/>
      <c r="F420" s="26"/>
      <c r="G420" s="26"/>
      <c r="H420" s="26"/>
      <c r="I420" s="26"/>
      <c r="J420" s="26"/>
      <c r="K420" s="26"/>
      <c r="L420" s="26"/>
      <c r="M420" s="26"/>
      <c r="N420" s="26"/>
      <c r="O420" s="26"/>
      <c r="P420" s="26"/>
      <c r="Q420" s="26"/>
      <c r="R420" s="26"/>
      <c r="S420" s="26"/>
      <c r="T420" s="26"/>
      <c r="U420" s="26"/>
      <c r="V420" s="26"/>
      <c r="W420" s="26"/>
      <c r="X420" s="26"/>
      <c r="Y420" s="26"/>
      <c r="Z420" s="26"/>
    </row>
    <row r="421" spans="1:26" ht="19.5" customHeight="1" x14ac:dyDescent="0.85">
      <c r="A421" s="26"/>
      <c r="B421" s="26"/>
      <c r="C421" s="26"/>
      <c r="D421" s="26"/>
      <c r="E421" s="26"/>
      <c r="F421" s="26"/>
      <c r="G421" s="26"/>
      <c r="H421" s="26"/>
      <c r="I421" s="26"/>
      <c r="J421" s="26"/>
      <c r="K421" s="26"/>
      <c r="L421" s="26"/>
      <c r="M421" s="26"/>
      <c r="N421" s="26"/>
      <c r="O421" s="26"/>
      <c r="P421" s="26"/>
      <c r="Q421" s="26"/>
      <c r="R421" s="26"/>
      <c r="S421" s="26"/>
      <c r="T421" s="26"/>
      <c r="U421" s="26"/>
      <c r="V421" s="26"/>
      <c r="W421" s="26"/>
      <c r="X421" s="26"/>
      <c r="Y421" s="26"/>
      <c r="Z421" s="26"/>
    </row>
    <row r="422" spans="1:26" ht="19.5" customHeight="1" x14ac:dyDescent="0.85">
      <c r="A422" s="26"/>
      <c r="B422" s="26"/>
      <c r="C422" s="26"/>
      <c r="D422" s="26"/>
      <c r="E422" s="26"/>
      <c r="F422" s="26"/>
      <c r="G422" s="26"/>
      <c r="H422" s="26"/>
      <c r="I422" s="26"/>
      <c r="J422" s="26"/>
      <c r="K422" s="26"/>
      <c r="L422" s="26"/>
      <c r="M422" s="26"/>
      <c r="N422" s="26"/>
      <c r="O422" s="26"/>
      <c r="P422" s="26"/>
      <c r="Q422" s="26"/>
      <c r="R422" s="26"/>
      <c r="S422" s="26"/>
      <c r="T422" s="26"/>
      <c r="U422" s="26"/>
      <c r="V422" s="26"/>
      <c r="W422" s="26"/>
      <c r="X422" s="26"/>
      <c r="Y422" s="26"/>
      <c r="Z422" s="26"/>
    </row>
    <row r="423" spans="1:26" ht="19.5" customHeight="1" x14ac:dyDescent="0.85">
      <c r="A423" s="26"/>
      <c r="B423" s="26"/>
      <c r="C423" s="26"/>
      <c r="D423" s="26"/>
      <c r="E423" s="26"/>
      <c r="F423" s="26"/>
      <c r="G423" s="26"/>
      <c r="H423" s="26"/>
      <c r="I423" s="26"/>
      <c r="J423" s="26"/>
      <c r="K423" s="26"/>
      <c r="L423" s="26"/>
      <c r="M423" s="26"/>
      <c r="N423" s="26"/>
      <c r="O423" s="26"/>
      <c r="P423" s="26"/>
      <c r="Q423" s="26"/>
      <c r="R423" s="26"/>
      <c r="S423" s="26"/>
      <c r="T423" s="26"/>
      <c r="U423" s="26"/>
      <c r="V423" s="26"/>
      <c r="W423" s="26"/>
      <c r="X423" s="26"/>
      <c r="Y423" s="26"/>
      <c r="Z423" s="26"/>
    </row>
    <row r="424" spans="1:26" ht="19.5" customHeight="1" x14ac:dyDescent="0.85">
      <c r="A424" s="26"/>
      <c r="B424" s="26"/>
      <c r="C424" s="26"/>
      <c r="D424" s="26"/>
      <c r="E424" s="26"/>
      <c r="F424" s="26"/>
      <c r="G424" s="26"/>
      <c r="H424" s="26"/>
      <c r="I424" s="26"/>
      <c r="J424" s="26"/>
      <c r="K424" s="26"/>
      <c r="L424" s="26"/>
      <c r="M424" s="26"/>
      <c r="N424" s="26"/>
      <c r="O424" s="26"/>
      <c r="P424" s="26"/>
      <c r="Q424" s="26"/>
      <c r="R424" s="26"/>
      <c r="S424" s="26"/>
      <c r="T424" s="26"/>
      <c r="U424" s="26"/>
      <c r="V424" s="26"/>
      <c r="W424" s="26"/>
      <c r="X424" s="26"/>
      <c r="Y424" s="26"/>
      <c r="Z424" s="26"/>
    </row>
    <row r="425" spans="1:26" ht="19.5" customHeight="1" x14ac:dyDescent="0.85">
      <c r="A425" s="26"/>
      <c r="B425" s="26"/>
      <c r="C425" s="26"/>
      <c r="D425" s="26"/>
      <c r="E425" s="26"/>
      <c r="F425" s="26"/>
      <c r="G425" s="26"/>
      <c r="H425" s="26"/>
      <c r="I425" s="26"/>
      <c r="J425" s="26"/>
      <c r="K425" s="26"/>
      <c r="L425" s="26"/>
      <c r="M425" s="26"/>
      <c r="N425" s="26"/>
      <c r="O425" s="26"/>
      <c r="P425" s="26"/>
      <c r="Q425" s="26"/>
      <c r="R425" s="26"/>
      <c r="S425" s="26"/>
      <c r="T425" s="26"/>
      <c r="U425" s="26"/>
      <c r="V425" s="26"/>
      <c r="W425" s="26"/>
      <c r="X425" s="26"/>
      <c r="Y425" s="26"/>
      <c r="Z425" s="26"/>
    </row>
    <row r="426" spans="1:26" ht="19.5" customHeight="1" x14ac:dyDescent="0.85">
      <c r="A426" s="26"/>
      <c r="B426" s="26"/>
      <c r="C426" s="26"/>
      <c r="D426" s="26"/>
      <c r="E426" s="26"/>
      <c r="F426" s="26"/>
      <c r="G426" s="26"/>
      <c r="H426" s="26"/>
      <c r="I426" s="26"/>
      <c r="J426" s="26"/>
      <c r="K426" s="26"/>
      <c r="L426" s="26"/>
      <c r="M426" s="26"/>
      <c r="N426" s="26"/>
      <c r="O426" s="26"/>
      <c r="P426" s="26"/>
      <c r="Q426" s="26"/>
      <c r="R426" s="26"/>
      <c r="S426" s="26"/>
      <c r="T426" s="26"/>
      <c r="U426" s="26"/>
      <c r="V426" s="26"/>
      <c r="W426" s="26"/>
      <c r="X426" s="26"/>
      <c r="Y426" s="26"/>
      <c r="Z426" s="26"/>
    </row>
    <row r="427" spans="1:26" ht="19.5" customHeight="1" x14ac:dyDescent="0.85">
      <c r="A427" s="26"/>
      <c r="B427" s="26"/>
      <c r="C427" s="26"/>
      <c r="D427" s="26"/>
      <c r="E427" s="26"/>
      <c r="F427" s="26"/>
      <c r="G427" s="26"/>
      <c r="H427" s="26"/>
      <c r="I427" s="26"/>
      <c r="J427" s="26"/>
      <c r="K427" s="26"/>
      <c r="L427" s="26"/>
      <c r="M427" s="26"/>
      <c r="N427" s="26"/>
      <c r="O427" s="26"/>
      <c r="P427" s="26"/>
      <c r="Q427" s="26"/>
      <c r="R427" s="26"/>
      <c r="S427" s="26"/>
      <c r="T427" s="26"/>
      <c r="U427" s="26"/>
      <c r="V427" s="26"/>
      <c r="W427" s="26"/>
      <c r="X427" s="26"/>
      <c r="Y427" s="26"/>
      <c r="Z427" s="26"/>
    </row>
    <row r="428" spans="1:26" ht="19.5" customHeight="1" x14ac:dyDescent="0.85">
      <c r="A428" s="26"/>
      <c r="B428" s="26"/>
      <c r="C428" s="26"/>
      <c r="D428" s="26"/>
      <c r="E428" s="26"/>
      <c r="F428" s="26"/>
      <c r="G428" s="26"/>
      <c r="H428" s="26"/>
      <c r="I428" s="26"/>
      <c r="J428" s="26"/>
      <c r="K428" s="26"/>
      <c r="L428" s="26"/>
      <c r="M428" s="26"/>
      <c r="N428" s="26"/>
      <c r="O428" s="26"/>
      <c r="P428" s="26"/>
      <c r="Q428" s="26"/>
      <c r="R428" s="26"/>
      <c r="S428" s="26"/>
      <c r="T428" s="26"/>
      <c r="U428" s="26"/>
      <c r="V428" s="26"/>
      <c r="W428" s="26"/>
      <c r="X428" s="26"/>
      <c r="Y428" s="26"/>
      <c r="Z428" s="26"/>
    </row>
    <row r="429" spans="1:26" ht="19.5" customHeight="1" x14ac:dyDescent="0.85">
      <c r="A429" s="26"/>
      <c r="B429" s="26"/>
      <c r="C429" s="26"/>
      <c r="D429" s="26"/>
      <c r="E429" s="26"/>
      <c r="F429" s="26"/>
      <c r="G429" s="26"/>
      <c r="H429" s="26"/>
      <c r="I429" s="26"/>
      <c r="J429" s="26"/>
      <c r="K429" s="26"/>
      <c r="L429" s="26"/>
      <c r="M429" s="26"/>
      <c r="N429" s="26"/>
      <c r="O429" s="26"/>
      <c r="P429" s="26"/>
      <c r="Q429" s="26"/>
      <c r="R429" s="26"/>
      <c r="S429" s="26"/>
      <c r="T429" s="26"/>
      <c r="U429" s="26"/>
      <c r="V429" s="26"/>
      <c r="W429" s="26"/>
      <c r="X429" s="26"/>
      <c r="Y429" s="26"/>
      <c r="Z429" s="26"/>
    </row>
    <row r="430" spans="1:26" ht="19.5" customHeight="1" x14ac:dyDescent="0.85">
      <c r="A430" s="26"/>
      <c r="B430" s="26"/>
      <c r="C430" s="26"/>
      <c r="D430" s="26"/>
      <c r="E430" s="26"/>
      <c r="F430" s="26"/>
      <c r="G430" s="26"/>
      <c r="H430" s="26"/>
      <c r="I430" s="26"/>
      <c r="J430" s="26"/>
      <c r="K430" s="26"/>
      <c r="L430" s="26"/>
      <c r="M430" s="26"/>
      <c r="N430" s="26"/>
      <c r="O430" s="26"/>
      <c r="P430" s="26"/>
      <c r="Q430" s="26"/>
      <c r="R430" s="26"/>
      <c r="S430" s="26"/>
      <c r="T430" s="26"/>
      <c r="U430" s="26"/>
      <c r="V430" s="26"/>
      <c r="W430" s="26"/>
      <c r="X430" s="26"/>
      <c r="Y430" s="26"/>
      <c r="Z430" s="26"/>
    </row>
    <row r="431" spans="1:26" ht="19.5" customHeight="1" x14ac:dyDescent="0.85">
      <c r="A431" s="26"/>
      <c r="B431" s="26"/>
      <c r="C431" s="26"/>
      <c r="D431" s="26"/>
      <c r="E431" s="26"/>
      <c r="F431" s="26"/>
      <c r="G431" s="26"/>
      <c r="H431" s="26"/>
      <c r="I431" s="26"/>
      <c r="J431" s="26"/>
      <c r="K431" s="26"/>
      <c r="L431" s="26"/>
      <c r="M431" s="26"/>
      <c r="N431" s="26"/>
      <c r="O431" s="26"/>
      <c r="P431" s="26"/>
      <c r="Q431" s="26"/>
      <c r="R431" s="26"/>
      <c r="S431" s="26"/>
      <c r="T431" s="26"/>
      <c r="U431" s="26"/>
      <c r="V431" s="26"/>
      <c r="W431" s="26"/>
      <c r="X431" s="26"/>
      <c r="Y431" s="26"/>
      <c r="Z431" s="26"/>
    </row>
    <row r="432" spans="1:26" ht="19.5" customHeight="1" x14ac:dyDescent="0.85">
      <c r="A432" s="26"/>
      <c r="B432" s="26"/>
      <c r="C432" s="26"/>
      <c r="D432" s="26"/>
      <c r="E432" s="26"/>
      <c r="F432" s="26"/>
      <c r="G432" s="26"/>
      <c r="H432" s="26"/>
      <c r="I432" s="26"/>
      <c r="J432" s="26"/>
      <c r="K432" s="26"/>
      <c r="L432" s="26"/>
      <c r="M432" s="26"/>
      <c r="N432" s="26"/>
      <c r="O432" s="26"/>
      <c r="P432" s="26"/>
      <c r="Q432" s="26"/>
      <c r="R432" s="26"/>
      <c r="S432" s="26"/>
      <c r="T432" s="26"/>
      <c r="U432" s="26"/>
      <c r="V432" s="26"/>
      <c r="W432" s="26"/>
      <c r="X432" s="26"/>
      <c r="Y432" s="26"/>
      <c r="Z432" s="26"/>
    </row>
    <row r="433" spans="1:26" ht="19.5" customHeight="1" x14ac:dyDescent="0.85">
      <c r="A433" s="26"/>
      <c r="B433" s="26"/>
      <c r="C433" s="26"/>
      <c r="D433" s="26"/>
      <c r="E433" s="26"/>
      <c r="F433" s="26"/>
      <c r="G433" s="26"/>
      <c r="H433" s="26"/>
      <c r="I433" s="26"/>
      <c r="J433" s="26"/>
      <c r="K433" s="26"/>
      <c r="L433" s="26"/>
      <c r="M433" s="26"/>
      <c r="N433" s="26"/>
      <c r="O433" s="26"/>
      <c r="P433" s="26"/>
      <c r="Q433" s="26"/>
      <c r="R433" s="26"/>
      <c r="S433" s="26"/>
      <c r="T433" s="26"/>
      <c r="U433" s="26"/>
      <c r="V433" s="26"/>
      <c r="W433" s="26"/>
      <c r="X433" s="26"/>
      <c r="Y433" s="26"/>
      <c r="Z433" s="26"/>
    </row>
    <row r="434" spans="1:26" ht="19.5" customHeight="1" x14ac:dyDescent="0.85">
      <c r="A434" s="26"/>
      <c r="B434" s="26"/>
      <c r="C434" s="26"/>
      <c r="D434" s="26"/>
      <c r="E434" s="26"/>
      <c r="F434" s="26"/>
      <c r="G434" s="26"/>
      <c r="H434" s="26"/>
      <c r="I434" s="26"/>
      <c r="J434" s="26"/>
      <c r="K434" s="26"/>
      <c r="L434" s="26"/>
      <c r="M434" s="26"/>
      <c r="N434" s="26"/>
      <c r="O434" s="26"/>
      <c r="P434" s="26"/>
      <c r="Q434" s="26"/>
      <c r="R434" s="26"/>
      <c r="S434" s="26"/>
      <c r="T434" s="26"/>
      <c r="U434" s="26"/>
      <c r="V434" s="26"/>
      <c r="W434" s="26"/>
      <c r="X434" s="26"/>
      <c r="Y434" s="26"/>
      <c r="Z434" s="26"/>
    </row>
    <row r="435" spans="1:26" ht="19.5" customHeight="1" x14ac:dyDescent="0.85">
      <c r="A435" s="26"/>
      <c r="B435" s="26"/>
      <c r="C435" s="26"/>
      <c r="D435" s="26"/>
      <c r="E435" s="26"/>
      <c r="F435" s="26"/>
      <c r="G435" s="26"/>
      <c r="H435" s="26"/>
      <c r="I435" s="26"/>
      <c r="J435" s="26"/>
      <c r="K435" s="26"/>
      <c r="L435" s="26"/>
      <c r="M435" s="26"/>
      <c r="N435" s="26"/>
      <c r="O435" s="26"/>
      <c r="P435" s="26"/>
      <c r="Q435" s="26"/>
      <c r="R435" s="26"/>
      <c r="S435" s="26"/>
      <c r="T435" s="26"/>
      <c r="U435" s="26"/>
      <c r="V435" s="26"/>
      <c r="W435" s="26"/>
      <c r="X435" s="26"/>
      <c r="Y435" s="26"/>
      <c r="Z435" s="26"/>
    </row>
    <row r="436" spans="1:26" ht="19.5" customHeight="1" x14ac:dyDescent="0.85">
      <c r="A436" s="26"/>
      <c r="B436" s="26"/>
      <c r="C436" s="26"/>
      <c r="D436" s="26"/>
      <c r="E436" s="26"/>
      <c r="F436" s="26"/>
      <c r="G436" s="26"/>
      <c r="H436" s="26"/>
      <c r="I436" s="26"/>
      <c r="J436" s="26"/>
      <c r="K436" s="26"/>
      <c r="L436" s="26"/>
      <c r="M436" s="26"/>
      <c r="N436" s="26"/>
      <c r="O436" s="26"/>
      <c r="P436" s="26"/>
      <c r="Q436" s="26"/>
      <c r="R436" s="26"/>
      <c r="S436" s="26"/>
      <c r="T436" s="26"/>
      <c r="U436" s="26"/>
      <c r="V436" s="26"/>
      <c r="W436" s="26"/>
      <c r="X436" s="26"/>
      <c r="Y436" s="26"/>
      <c r="Z436" s="26"/>
    </row>
    <row r="437" spans="1:26" ht="19.5" customHeight="1" x14ac:dyDescent="0.85">
      <c r="A437" s="26"/>
      <c r="B437" s="26"/>
      <c r="C437" s="26"/>
      <c r="D437" s="26"/>
      <c r="E437" s="26"/>
      <c r="F437" s="26"/>
      <c r="G437" s="26"/>
      <c r="H437" s="26"/>
      <c r="I437" s="26"/>
      <c r="J437" s="26"/>
      <c r="K437" s="26"/>
      <c r="L437" s="26"/>
      <c r="M437" s="26"/>
      <c r="N437" s="26"/>
      <c r="O437" s="26"/>
      <c r="P437" s="26"/>
      <c r="Q437" s="26"/>
      <c r="R437" s="26"/>
      <c r="S437" s="26"/>
      <c r="T437" s="26"/>
      <c r="U437" s="26"/>
      <c r="V437" s="26"/>
      <c r="W437" s="26"/>
      <c r="X437" s="26"/>
      <c r="Y437" s="26"/>
      <c r="Z437" s="26"/>
    </row>
    <row r="438" spans="1:26" ht="19.5" customHeight="1" x14ac:dyDescent="0.85">
      <c r="A438" s="26"/>
      <c r="B438" s="26"/>
      <c r="C438" s="26"/>
      <c r="D438" s="26"/>
      <c r="E438" s="26"/>
      <c r="F438" s="26"/>
      <c r="G438" s="26"/>
      <c r="H438" s="26"/>
      <c r="I438" s="26"/>
      <c r="J438" s="26"/>
      <c r="K438" s="26"/>
      <c r="L438" s="26"/>
      <c r="M438" s="26"/>
      <c r="N438" s="26"/>
      <c r="O438" s="26"/>
      <c r="P438" s="26"/>
      <c r="Q438" s="26"/>
      <c r="R438" s="26"/>
      <c r="S438" s="26"/>
      <c r="T438" s="26"/>
      <c r="U438" s="26"/>
      <c r="V438" s="26"/>
      <c r="W438" s="26"/>
      <c r="X438" s="26"/>
      <c r="Y438" s="26"/>
      <c r="Z438" s="26"/>
    </row>
    <row r="439" spans="1:26" ht="19.5" customHeight="1" x14ac:dyDescent="0.85">
      <c r="A439" s="26"/>
      <c r="B439" s="26"/>
      <c r="C439" s="26"/>
      <c r="D439" s="26"/>
      <c r="E439" s="26"/>
      <c r="F439" s="26"/>
      <c r="G439" s="26"/>
      <c r="H439" s="26"/>
      <c r="I439" s="26"/>
      <c r="J439" s="26"/>
      <c r="K439" s="26"/>
      <c r="L439" s="26"/>
      <c r="M439" s="26"/>
      <c r="N439" s="26"/>
      <c r="O439" s="26"/>
      <c r="P439" s="26"/>
      <c r="Q439" s="26"/>
      <c r="R439" s="26"/>
      <c r="S439" s="26"/>
      <c r="T439" s="26"/>
      <c r="U439" s="26"/>
      <c r="V439" s="26"/>
      <c r="W439" s="26"/>
      <c r="X439" s="26"/>
      <c r="Y439" s="26"/>
      <c r="Z439" s="26"/>
    </row>
    <row r="440" spans="1:26" ht="19.5" customHeight="1" x14ac:dyDescent="0.85">
      <c r="A440" s="26"/>
      <c r="B440" s="26"/>
      <c r="C440" s="26"/>
      <c r="D440" s="26"/>
      <c r="E440" s="26"/>
      <c r="F440" s="26"/>
      <c r="G440" s="26"/>
      <c r="H440" s="26"/>
      <c r="I440" s="26"/>
      <c r="J440" s="26"/>
      <c r="K440" s="26"/>
      <c r="L440" s="26"/>
      <c r="M440" s="26"/>
      <c r="N440" s="26"/>
      <c r="O440" s="26"/>
      <c r="P440" s="26"/>
      <c r="Q440" s="26"/>
      <c r="R440" s="26"/>
      <c r="S440" s="26"/>
      <c r="T440" s="26"/>
      <c r="U440" s="26"/>
      <c r="V440" s="26"/>
      <c r="W440" s="26"/>
      <c r="X440" s="26"/>
      <c r="Y440" s="26"/>
      <c r="Z440" s="26"/>
    </row>
    <row r="441" spans="1:26" ht="19.5" customHeight="1" x14ac:dyDescent="0.85">
      <c r="A441" s="26"/>
      <c r="B441" s="26"/>
      <c r="C441" s="26"/>
      <c r="D441" s="26"/>
      <c r="E441" s="26"/>
      <c r="F441" s="26"/>
      <c r="G441" s="26"/>
      <c r="H441" s="26"/>
      <c r="I441" s="26"/>
      <c r="J441" s="26"/>
      <c r="K441" s="26"/>
      <c r="L441" s="26"/>
      <c r="M441" s="26"/>
      <c r="N441" s="26"/>
      <c r="O441" s="26"/>
      <c r="P441" s="26"/>
      <c r="Q441" s="26"/>
      <c r="R441" s="26"/>
      <c r="S441" s="26"/>
      <c r="T441" s="26"/>
      <c r="U441" s="26"/>
      <c r="V441" s="26"/>
      <c r="W441" s="26"/>
      <c r="X441" s="26"/>
      <c r="Y441" s="26"/>
      <c r="Z441" s="26"/>
    </row>
    <row r="442" spans="1:26" ht="19.5" customHeight="1" x14ac:dyDescent="0.85">
      <c r="A442" s="26"/>
      <c r="B442" s="26"/>
      <c r="C442" s="26"/>
      <c r="D442" s="26"/>
      <c r="E442" s="26"/>
      <c r="F442" s="26"/>
      <c r="G442" s="26"/>
      <c r="H442" s="26"/>
      <c r="I442" s="26"/>
      <c r="J442" s="26"/>
      <c r="K442" s="26"/>
      <c r="L442" s="26"/>
      <c r="M442" s="26"/>
      <c r="N442" s="26"/>
      <c r="O442" s="26"/>
      <c r="P442" s="26"/>
      <c r="Q442" s="26"/>
      <c r="R442" s="26"/>
      <c r="S442" s="26"/>
      <c r="T442" s="26"/>
      <c r="U442" s="26"/>
      <c r="V442" s="26"/>
      <c r="W442" s="26"/>
      <c r="X442" s="26"/>
      <c r="Y442" s="26"/>
      <c r="Z442" s="26"/>
    </row>
    <row r="443" spans="1:26" ht="19.5" customHeight="1" x14ac:dyDescent="0.85">
      <c r="A443" s="26"/>
      <c r="B443" s="26"/>
      <c r="C443" s="26"/>
      <c r="D443" s="26"/>
      <c r="E443" s="26"/>
      <c r="F443" s="26"/>
      <c r="G443" s="26"/>
      <c r="H443" s="26"/>
      <c r="I443" s="26"/>
      <c r="J443" s="26"/>
      <c r="K443" s="26"/>
      <c r="L443" s="26"/>
      <c r="M443" s="26"/>
      <c r="N443" s="26"/>
      <c r="O443" s="26"/>
      <c r="P443" s="26"/>
      <c r="Q443" s="26"/>
      <c r="R443" s="26"/>
      <c r="S443" s="26"/>
      <c r="T443" s="26"/>
      <c r="U443" s="26"/>
      <c r="V443" s="26"/>
      <c r="W443" s="26"/>
      <c r="X443" s="26"/>
      <c r="Y443" s="26"/>
      <c r="Z443" s="26"/>
    </row>
    <row r="444" spans="1:26" ht="19.5" customHeight="1" x14ac:dyDescent="0.85">
      <c r="A444" s="26"/>
      <c r="B444" s="26"/>
      <c r="C444" s="26"/>
      <c r="D444" s="26"/>
      <c r="E444" s="26"/>
      <c r="F444" s="26"/>
      <c r="G444" s="26"/>
      <c r="H444" s="26"/>
      <c r="I444" s="26"/>
      <c r="J444" s="26"/>
      <c r="K444" s="26"/>
      <c r="L444" s="26"/>
      <c r="M444" s="26"/>
      <c r="N444" s="26"/>
      <c r="O444" s="26"/>
      <c r="P444" s="26"/>
      <c r="Q444" s="26"/>
      <c r="R444" s="26"/>
      <c r="S444" s="26"/>
      <c r="T444" s="26"/>
      <c r="U444" s="26"/>
      <c r="V444" s="26"/>
      <c r="W444" s="26"/>
      <c r="X444" s="26"/>
      <c r="Y444" s="26"/>
      <c r="Z444" s="26"/>
    </row>
    <row r="445" spans="1:26" ht="19.5" customHeight="1" x14ac:dyDescent="0.85">
      <c r="A445" s="26"/>
      <c r="B445" s="26"/>
      <c r="C445" s="26"/>
      <c r="D445" s="26"/>
      <c r="E445" s="26"/>
      <c r="F445" s="26"/>
      <c r="G445" s="26"/>
      <c r="H445" s="26"/>
      <c r="I445" s="26"/>
      <c r="J445" s="26"/>
      <c r="K445" s="26"/>
      <c r="L445" s="26"/>
      <c r="M445" s="26"/>
      <c r="N445" s="26"/>
      <c r="O445" s="26"/>
      <c r="P445" s="26"/>
      <c r="Q445" s="26"/>
      <c r="R445" s="26"/>
      <c r="S445" s="26"/>
      <c r="T445" s="26"/>
      <c r="U445" s="26"/>
      <c r="V445" s="26"/>
      <c r="W445" s="26"/>
      <c r="X445" s="26"/>
      <c r="Y445" s="26"/>
      <c r="Z445" s="26"/>
    </row>
    <row r="446" spans="1:26" ht="19.5" customHeight="1" x14ac:dyDescent="0.85">
      <c r="A446" s="26"/>
      <c r="B446" s="26"/>
      <c r="C446" s="26"/>
      <c r="D446" s="26"/>
      <c r="E446" s="26"/>
      <c r="F446" s="26"/>
      <c r="G446" s="26"/>
      <c r="H446" s="26"/>
      <c r="I446" s="26"/>
      <c r="J446" s="26"/>
      <c r="K446" s="26"/>
      <c r="L446" s="26"/>
      <c r="M446" s="26"/>
      <c r="N446" s="26"/>
      <c r="O446" s="26"/>
      <c r="P446" s="26"/>
      <c r="Q446" s="26"/>
      <c r="R446" s="26"/>
      <c r="S446" s="26"/>
      <c r="T446" s="26"/>
      <c r="U446" s="26"/>
      <c r="V446" s="26"/>
      <c r="W446" s="26"/>
      <c r="X446" s="26"/>
      <c r="Y446" s="26"/>
      <c r="Z446" s="26"/>
    </row>
    <row r="447" spans="1:26" ht="19.5" customHeight="1" x14ac:dyDescent="0.85">
      <c r="A447" s="26"/>
      <c r="B447" s="26"/>
      <c r="C447" s="26"/>
      <c r="D447" s="26"/>
      <c r="E447" s="26"/>
      <c r="F447" s="26"/>
      <c r="G447" s="26"/>
      <c r="H447" s="26"/>
      <c r="I447" s="26"/>
      <c r="J447" s="26"/>
      <c r="K447" s="26"/>
      <c r="L447" s="26"/>
      <c r="M447" s="26"/>
      <c r="N447" s="26"/>
      <c r="O447" s="26"/>
      <c r="P447" s="26"/>
      <c r="Q447" s="26"/>
      <c r="R447" s="26"/>
      <c r="S447" s="26"/>
      <c r="T447" s="26"/>
      <c r="U447" s="26"/>
      <c r="V447" s="26"/>
      <c r="W447" s="26"/>
      <c r="X447" s="26"/>
      <c r="Y447" s="26"/>
      <c r="Z447" s="26"/>
    </row>
    <row r="448" spans="1:26" ht="19.5" customHeight="1" x14ac:dyDescent="0.85">
      <c r="A448" s="26"/>
      <c r="B448" s="26"/>
      <c r="C448" s="26"/>
      <c r="D448" s="26"/>
      <c r="E448" s="26"/>
      <c r="F448" s="26"/>
      <c r="G448" s="26"/>
      <c r="H448" s="26"/>
      <c r="I448" s="26"/>
      <c r="J448" s="26"/>
      <c r="K448" s="26"/>
      <c r="L448" s="26"/>
      <c r="M448" s="26"/>
      <c r="N448" s="26"/>
      <c r="O448" s="26"/>
      <c r="P448" s="26"/>
      <c r="Q448" s="26"/>
      <c r="R448" s="26"/>
      <c r="S448" s="26"/>
      <c r="T448" s="26"/>
      <c r="U448" s="26"/>
      <c r="V448" s="26"/>
      <c r="W448" s="26"/>
      <c r="X448" s="26"/>
      <c r="Y448" s="26"/>
      <c r="Z448" s="26"/>
    </row>
    <row r="449" spans="1:26" ht="19.5" customHeight="1" x14ac:dyDescent="0.85">
      <c r="A449" s="26"/>
      <c r="B449" s="26"/>
      <c r="C449" s="26"/>
      <c r="D449" s="26"/>
      <c r="E449" s="26"/>
      <c r="F449" s="26"/>
      <c r="G449" s="26"/>
      <c r="H449" s="26"/>
      <c r="I449" s="26"/>
      <c r="J449" s="26"/>
      <c r="K449" s="26"/>
      <c r="L449" s="26"/>
      <c r="M449" s="26"/>
      <c r="N449" s="26"/>
      <c r="O449" s="26"/>
      <c r="P449" s="26"/>
      <c r="Q449" s="26"/>
      <c r="R449" s="26"/>
      <c r="S449" s="26"/>
      <c r="T449" s="26"/>
      <c r="U449" s="26"/>
      <c r="V449" s="26"/>
      <c r="W449" s="26"/>
      <c r="X449" s="26"/>
      <c r="Y449" s="26"/>
      <c r="Z449" s="26"/>
    </row>
    <row r="450" spans="1:26" ht="19.5" customHeight="1" x14ac:dyDescent="0.85">
      <c r="A450" s="26"/>
      <c r="B450" s="26"/>
      <c r="C450" s="26"/>
      <c r="D450" s="26"/>
      <c r="E450" s="26"/>
      <c r="F450" s="26"/>
      <c r="G450" s="26"/>
      <c r="H450" s="26"/>
      <c r="I450" s="26"/>
      <c r="J450" s="26"/>
      <c r="K450" s="26"/>
      <c r="L450" s="26"/>
      <c r="M450" s="26"/>
      <c r="N450" s="26"/>
      <c r="O450" s="26"/>
      <c r="P450" s="26"/>
      <c r="Q450" s="26"/>
      <c r="R450" s="26"/>
      <c r="S450" s="26"/>
      <c r="T450" s="26"/>
      <c r="U450" s="26"/>
      <c r="V450" s="26"/>
      <c r="W450" s="26"/>
      <c r="X450" s="26"/>
      <c r="Y450" s="26"/>
      <c r="Z450" s="26"/>
    </row>
    <row r="451" spans="1:26" ht="19.5" customHeight="1" x14ac:dyDescent="0.85">
      <c r="A451" s="26"/>
      <c r="B451" s="26"/>
      <c r="C451" s="26"/>
      <c r="D451" s="26"/>
      <c r="E451" s="26"/>
      <c r="F451" s="26"/>
      <c r="G451" s="26"/>
      <c r="H451" s="26"/>
      <c r="I451" s="26"/>
      <c r="J451" s="26"/>
      <c r="K451" s="26"/>
      <c r="L451" s="26"/>
      <c r="M451" s="26"/>
      <c r="N451" s="26"/>
      <c r="O451" s="26"/>
      <c r="P451" s="26"/>
      <c r="Q451" s="26"/>
      <c r="R451" s="26"/>
      <c r="S451" s="26"/>
      <c r="T451" s="26"/>
      <c r="U451" s="26"/>
      <c r="V451" s="26"/>
      <c r="W451" s="26"/>
      <c r="X451" s="26"/>
      <c r="Y451" s="26"/>
      <c r="Z451" s="26"/>
    </row>
    <row r="452" spans="1:26" ht="19.5" customHeight="1" x14ac:dyDescent="0.85">
      <c r="A452" s="26"/>
      <c r="B452" s="26"/>
      <c r="C452" s="26"/>
      <c r="D452" s="26"/>
      <c r="E452" s="26"/>
      <c r="F452" s="26"/>
      <c r="G452" s="26"/>
      <c r="H452" s="26"/>
      <c r="I452" s="26"/>
      <c r="J452" s="26"/>
      <c r="K452" s="26"/>
      <c r="L452" s="26"/>
      <c r="M452" s="26"/>
      <c r="N452" s="26"/>
      <c r="O452" s="26"/>
      <c r="P452" s="26"/>
      <c r="Q452" s="26"/>
      <c r="R452" s="26"/>
      <c r="S452" s="26"/>
      <c r="T452" s="26"/>
      <c r="U452" s="26"/>
      <c r="V452" s="26"/>
      <c r="W452" s="26"/>
      <c r="X452" s="26"/>
      <c r="Y452" s="26"/>
      <c r="Z452" s="26"/>
    </row>
    <row r="453" spans="1:26" ht="19.5" customHeight="1" x14ac:dyDescent="0.85">
      <c r="A453" s="26"/>
      <c r="B453" s="26"/>
      <c r="C453" s="26"/>
      <c r="D453" s="26"/>
      <c r="E453" s="26"/>
      <c r="F453" s="26"/>
      <c r="G453" s="26"/>
      <c r="H453" s="26"/>
      <c r="I453" s="26"/>
      <c r="J453" s="26"/>
      <c r="K453" s="26"/>
      <c r="L453" s="26"/>
      <c r="M453" s="26"/>
      <c r="N453" s="26"/>
      <c r="O453" s="26"/>
      <c r="P453" s="26"/>
      <c r="Q453" s="26"/>
      <c r="R453" s="26"/>
      <c r="S453" s="26"/>
      <c r="T453" s="26"/>
      <c r="U453" s="26"/>
      <c r="V453" s="26"/>
      <c r="W453" s="26"/>
      <c r="X453" s="26"/>
      <c r="Y453" s="26"/>
      <c r="Z453" s="26"/>
    </row>
    <row r="454" spans="1:26" ht="19.5" customHeight="1" x14ac:dyDescent="0.85">
      <c r="A454" s="26"/>
      <c r="B454" s="26"/>
      <c r="C454" s="26"/>
      <c r="D454" s="26"/>
      <c r="E454" s="26"/>
      <c r="F454" s="26"/>
      <c r="G454" s="26"/>
      <c r="H454" s="26"/>
      <c r="I454" s="26"/>
      <c r="J454" s="26"/>
      <c r="K454" s="26"/>
      <c r="L454" s="26"/>
      <c r="M454" s="26"/>
      <c r="N454" s="26"/>
      <c r="O454" s="26"/>
      <c r="P454" s="26"/>
      <c r="Q454" s="26"/>
      <c r="R454" s="26"/>
      <c r="S454" s="26"/>
      <c r="T454" s="26"/>
      <c r="U454" s="26"/>
      <c r="V454" s="26"/>
      <c r="W454" s="26"/>
      <c r="X454" s="26"/>
      <c r="Y454" s="26"/>
      <c r="Z454" s="26"/>
    </row>
    <row r="455" spans="1:26" ht="19.5" customHeight="1" x14ac:dyDescent="0.85">
      <c r="A455" s="26"/>
      <c r="B455" s="26"/>
      <c r="C455" s="26"/>
      <c r="D455" s="26"/>
      <c r="E455" s="26"/>
      <c r="F455" s="26"/>
      <c r="G455" s="26"/>
      <c r="H455" s="26"/>
      <c r="I455" s="26"/>
      <c r="J455" s="26"/>
      <c r="K455" s="26"/>
      <c r="L455" s="26"/>
      <c r="M455" s="26"/>
      <c r="N455" s="26"/>
      <c r="O455" s="26"/>
      <c r="P455" s="26"/>
      <c r="Q455" s="26"/>
      <c r="R455" s="26"/>
      <c r="S455" s="26"/>
      <c r="T455" s="26"/>
      <c r="U455" s="26"/>
      <c r="V455" s="26"/>
      <c r="W455" s="26"/>
      <c r="X455" s="26"/>
      <c r="Y455" s="26"/>
      <c r="Z455" s="26"/>
    </row>
    <row r="456" spans="1:26" ht="19.5" customHeight="1" x14ac:dyDescent="0.85">
      <c r="A456" s="26"/>
      <c r="B456" s="26"/>
      <c r="C456" s="26"/>
      <c r="D456" s="26"/>
      <c r="E456" s="26"/>
      <c r="F456" s="26"/>
      <c r="G456" s="26"/>
      <c r="H456" s="26"/>
      <c r="I456" s="26"/>
      <c r="J456" s="26"/>
      <c r="K456" s="26"/>
      <c r="L456" s="26"/>
      <c r="M456" s="26"/>
      <c r="N456" s="26"/>
      <c r="O456" s="26"/>
      <c r="P456" s="26"/>
      <c r="Q456" s="26"/>
      <c r="R456" s="26"/>
      <c r="S456" s="26"/>
      <c r="T456" s="26"/>
      <c r="U456" s="26"/>
      <c r="V456" s="26"/>
      <c r="W456" s="26"/>
      <c r="X456" s="26"/>
      <c r="Y456" s="26"/>
      <c r="Z456" s="26"/>
    </row>
    <row r="457" spans="1:26" ht="19.5" customHeight="1" x14ac:dyDescent="0.85">
      <c r="A457" s="26"/>
      <c r="B457" s="26"/>
      <c r="C457" s="26"/>
      <c r="D457" s="26"/>
      <c r="E457" s="26"/>
      <c r="F457" s="26"/>
      <c r="G457" s="26"/>
      <c r="H457" s="26"/>
      <c r="I457" s="26"/>
      <c r="J457" s="26"/>
      <c r="K457" s="26"/>
      <c r="L457" s="26"/>
      <c r="M457" s="26"/>
      <c r="N457" s="26"/>
      <c r="O457" s="26"/>
      <c r="P457" s="26"/>
      <c r="Q457" s="26"/>
      <c r="R457" s="26"/>
      <c r="S457" s="26"/>
      <c r="T457" s="26"/>
      <c r="U457" s="26"/>
      <c r="V457" s="26"/>
      <c r="W457" s="26"/>
      <c r="X457" s="26"/>
      <c r="Y457" s="26"/>
      <c r="Z457" s="26"/>
    </row>
    <row r="458" spans="1:26" ht="19.5" customHeight="1" x14ac:dyDescent="0.85">
      <c r="A458" s="26"/>
      <c r="B458" s="26"/>
      <c r="C458" s="26"/>
      <c r="D458" s="26"/>
      <c r="E458" s="26"/>
      <c r="F458" s="26"/>
      <c r="G458" s="26"/>
      <c r="H458" s="26"/>
      <c r="I458" s="26"/>
      <c r="J458" s="26"/>
      <c r="K458" s="26"/>
      <c r="L458" s="26"/>
      <c r="M458" s="26"/>
      <c r="N458" s="26"/>
      <c r="O458" s="26"/>
      <c r="P458" s="26"/>
      <c r="Q458" s="26"/>
      <c r="R458" s="26"/>
      <c r="S458" s="26"/>
      <c r="T458" s="26"/>
      <c r="U458" s="26"/>
      <c r="V458" s="26"/>
      <c r="W458" s="26"/>
      <c r="X458" s="26"/>
      <c r="Y458" s="26"/>
      <c r="Z458" s="26"/>
    </row>
    <row r="459" spans="1:26" ht="19.5" customHeight="1" x14ac:dyDescent="0.85">
      <c r="A459" s="26"/>
      <c r="B459" s="26"/>
      <c r="C459" s="26"/>
      <c r="D459" s="26"/>
      <c r="E459" s="26"/>
      <c r="F459" s="26"/>
      <c r="G459" s="26"/>
      <c r="H459" s="26"/>
      <c r="I459" s="26"/>
      <c r="J459" s="26"/>
      <c r="K459" s="26"/>
      <c r="L459" s="26"/>
      <c r="M459" s="26"/>
      <c r="N459" s="26"/>
      <c r="O459" s="26"/>
      <c r="P459" s="26"/>
      <c r="Q459" s="26"/>
      <c r="R459" s="26"/>
      <c r="S459" s="26"/>
      <c r="T459" s="26"/>
      <c r="U459" s="26"/>
      <c r="V459" s="26"/>
      <c r="W459" s="26"/>
      <c r="X459" s="26"/>
      <c r="Y459" s="26"/>
      <c r="Z459" s="26"/>
    </row>
    <row r="460" spans="1:26" ht="19.5" customHeight="1" x14ac:dyDescent="0.85">
      <c r="A460" s="26"/>
      <c r="B460" s="26"/>
      <c r="C460" s="26"/>
      <c r="D460" s="26"/>
      <c r="E460" s="26"/>
      <c r="F460" s="26"/>
      <c r="G460" s="26"/>
      <c r="H460" s="26"/>
      <c r="I460" s="26"/>
      <c r="J460" s="26"/>
      <c r="K460" s="26"/>
      <c r="L460" s="26"/>
      <c r="M460" s="26"/>
      <c r="N460" s="26"/>
      <c r="O460" s="26"/>
      <c r="P460" s="26"/>
      <c r="Q460" s="26"/>
      <c r="R460" s="26"/>
      <c r="S460" s="26"/>
      <c r="T460" s="26"/>
      <c r="U460" s="26"/>
      <c r="V460" s="26"/>
      <c r="W460" s="26"/>
      <c r="X460" s="26"/>
      <c r="Y460" s="26"/>
      <c r="Z460" s="26"/>
    </row>
    <row r="461" spans="1:26" ht="19.5" customHeight="1" x14ac:dyDescent="0.85">
      <c r="A461" s="26"/>
      <c r="B461" s="26"/>
      <c r="C461" s="26"/>
      <c r="D461" s="26"/>
      <c r="E461" s="26"/>
      <c r="F461" s="26"/>
      <c r="G461" s="26"/>
      <c r="H461" s="26"/>
      <c r="I461" s="26"/>
      <c r="J461" s="26"/>
      <c r="K461" s="26"/>
      <c r="L461" s="26"/>
      <c r="M461" s="26"/>
      <c r="N461" s="26"/>
      <c r="O461" s="26"/>
      <c r="P461" s="26"/>
      <c r="Q461" s="26"/>
      <c r="R461" s="26"/>
      <c r="S461" s="26"/>
      <c r="T461" s="26"/>
      <c r="U461" s="26"/>
      <c r="V461" s="26"/>
      <c r="W461" s="26"/>
      <c r="X461" s="26"/>
      <c r="Y461" s="26"/>
      <c r="Z461" s="26"/>
    </row>
    <row r="462" spans="1:26" ht="19.5" customHeight="1" x14ac:dyDescent="0.85">
      <c r="A462" s="26"/>
      <c r="B462" s="26"/>
      <c r="C462" s="26"/>
      <c r="D462" s="26"/>
      <c r="E462" s="26"/>
      <c r="F462" s="26"/>
      <c r="G462" s="26"/>
      <c r="H462" s="26"/>
      <c r="I462" s="26"/>
      <c r="J462" s="26"/>
      <c r="K462" s="26"/>
      <c r="L462" s="26"/>
      <c r="M462" s="26"/>
      <c r="N462" s="26"/>
      <c r="O462" s="26"/>
      <c r="P462" s="26"/>
      <c r="Q462" s="26"/>
      <c r="R462" s="26"/>
      <c r="S462" s="26"/>
      <c r="T462" s="26"/>
      <c r="U462" s="26"/>
      <c r="V462" s="26"/>
      <c r="W462" s="26"/>
      <c r="X462" s="26"/>
      <c r="Y462" s="26"/>
      <c r="Z462" s="26"/>
    </row>
    <row r="463" spans="1:26" ht="19.5" customHeight="1" x14ac:dyDescent="0.85">
      <c r="A463" s="26"/>
      <c r="B463" s="26"/>
      <c r="C463" s="26"/>
      <c r="D463" s="26"/>
      <c r="E463" s="26"/>
      <c r="F463" s="26"/>
      <c r="G463" s="26"/>
      <c r="H463" s="26"/>
      <c r="I463" s="26"/>
      <c r="J463" s="26"/>
      <c r="K463" s="26"/>
      <c r="L463" s="26"/>
      <c r="M463" s="26"/>
      <c r="N463" s="26"/>
      <c r="O463" s="26"/>
      <c r="P463" s="26"/>
      <c r="Q463" s="26"/>
      <c r="R463" s="26"/>
      <c r="S463" s="26"/>
      <c r="T463" s="26"/>
      <c r="U463" s="26"/>
      <c r="V463" s="26"/>
      <c r="W463" s="26"/>
      <c r="X463" s="26"/>
      <c r="Y463" s="26"/>
      <c r="Z463" s="26"/>
    </row>
    <row r="464" spans="1:26" ht="19.5" customHeight="1" x14ac:dyDescent="0.85">
      <c r="A464" s="26"/>
      <c r="B464" s="26"/>
      <c r="C464" s="26"/>
      <c r="D464" s="26"/>
      <c r="E464" s="26"/>
      <c r="F464" s="26"/>
      <c r="G464" s="26"/>
      <c r="H464" s="26"/>
      <c r="I464" s="26"/>
      <c r="J464" s="26"/>
      <c r="K464" s="26"/>
      <c r="L464" s="26"/>
      <c r="M464" s="26"/>
      <c r="N464" s="26"/>
      <c r="O464" s="26"/>
      <c r="P464" s="26"/>
      <c r="Q464" s="26"/>
      <c r="R464" s="26"/>
      <c r="S464" s="26"/>
      <c r="T464" s="26"/>
      <c r="U464" s="26"/>
      <c r="V464" s="26"/>
      <c r="W464" s="26"/>
      <c r="X464" s="26"/>
      <c r="Y464" s="26"/>
      <c r="Z464" s="26"/>
    </row>
    <row r="465" spans="1:26" ht="19.5" customHeight="1" x14ac:dyDescent="0.85">
      <c r="A465" s="26"/>
      <c r="B465" s="26"/>
      <c r="C465" s="26"/>
      <c r="D465" s="26"/>
      <c r="E465" s="26"/>
      <c r="F465" s="26"/>
      <c r="G465" s="26"/>
      <c r="H465" s="26"/>
      <c r="I465" s="26"/>
      <c r="J465" s="26"/>
      <c r="K465" s="26"/>
      <c r="L465" s="26"/>
      <c r="M465" s="26"/>
      <c r="N465" s="26"/>
      <c r="O465" s="26"/>
      <c r="P465" s="26"/>
      <c r="Q465" s="26"/>
      <c r="R465" s="26"/>
      <c r="S465" s="26"/>
      <c r="T465" s="26"/>
      <c r="U465" s="26"/>
      <c r="V465" s="26"/>
      <c r="W465" s="26"/>
      <c r="X465" s="26"/>
      <c r="Y465" s="26"/>
      <c r="Z465" s="26"/>
    </row>
    <row r="466" spans="1:26" ht="19.5" customHeight="1" x14ac:dyDescent="0.85">
      <c r="A466" s="26"/>
      <c r="B466" s="26"/>
      <c r="C466" s="26"/>
      <c r="D466" s="26"/>
      <c r="E466" s="26"/>
      <c r="F466" s="26"/>
      <c r="G466" s="26"/>
      <c r="H466" s="26"/>
      <c r="I466" s="26"/>
      <c r="J466" s="26"/>
      <c r="K466" s="26"/>
      <c r="L466" s="26"/>
      <c r="M466" s="26"/>
      <c r="N466" s="26"/>
      <c r="O466" s="26"/>
      <c r="P466" s="26"/>
      <c r="Q466" s="26"/>
      <c r="R466" s="26"/>
      <c r="S466" s="26"/>
      <c r="T466" s="26"/>
      <c r="U466" s="26"/>
      <c r="V466" s="26"/>
      <c r="W466" s="26"/>
      <c r="X466" s="26"/>
      <c r="Y466" s="26"/>
      <c r="Z466" s="26"/>
    </row>
    <row r="467" spans="1:26" ht="19.5" customHeight="1" x14ac:dyDescent="0.85">
      <c r="A467" s="26"/>
      <c r="B467" s="26"/>
      <c r="C467" s="26"/>
      <c r="D467" s="26"/>
      <c r="E467" s="26"/>
      <c r="F467" s="26"/>
      <c r="G467" s="26"/>
      <c r="H467" s="26"/>
      <c r="I467" s="26"/>
      <c r="J467" s="26"/>
      <c r="K467" s="26"/>
      <c r="L467" s="26"/>
      <c r="M467" s="26"/>
      <c r="N467" s="26"/>
      <c r="O467" s="26"/>
      <c r="P467" s="26"/>
      <c r="Q467" s="26"/>
      <c r="R467" s="26"/>
      <c r="S467" s="26"/>
      <c r="T467" s="26"/>
      <c r="U467" s="26"/>
      <c r="V467" s="26"/>
      <c r="W467" s="26"/>
      <c r="X467" s="26"/>
      <c r="Y467" s="26"/>
      <c r="Z467" s="26"/>
    </row>
    <row r="468" spans="1:26" ht="19.5" customHeight="1" x14ac:dyDescent="0.85">
      <c r="A468" s="26"/>
      <c r="B468" s="26"/>
      <c r="C468" s="26"/>
      <c r="D468" s="26"/>
      <c r="E468" s="26"/>
      <c r="F468" s="26"/>
      <c r="G468" s="26"/>
      <c r="H468" s="26"/>
      <c r="I468" s="26"/>
      <c r="J468" s="26"/>
      <c r="K468" s="26"/>
      <c r="L468" s="26"/>
      <c r="M468" s="26"/>
      <c r="N468" s="26"/>
      <c r="O468" s="26"/>
      <c r="P468" s="26"/>
      <c r="Q468" s="26"/>
      <c r="R468" s="26"/>
      <c r="S468" s="26"/>
      <c r="T468" s="26"/>
      <c r="U468" s="26"/>
      <c r="V468" s="26"/>
      <c r="W468" s="26"/>
      <c r="X468" s="26"/>
      <c r="Y468" s="26"/>
      <c r="Z468" s="26"/>
    </row>
    <row r="469" spans="1:26" ht="19.5" customHeight="1" x14ac:dyDescent="0.85">
      <c r="A469" s="26"/>
      <c r="B469" s="26"/>
      <c r="C469" s="26"/>
      <c r="D469" s="26"/>
      <c r="E469" s="26"/>
      <c r="F469" s="26"/>
      <c r="G469" s="26"/>
      <c r="H469" s="26"/>
      <c r="I469" s="26"/>
      <c r="J469" s="26"/>
      <c r="K469" s="26"/>
      <c r="L469" s="26"/>
      <c r="M469" s="26"/>
      <c r="N469" s="26"/>
      <c r="O469" s="26"/>
      <c r="P469" s="26"/>
      <c r="Q469" s="26"/>
      <c r="R469" s="26"/>
      <c r="S469" s="26"/>
      <c r="T469" s="26"/>
      <c r="U469" s="26"/>
      <c r="V469" s="26"/>
      <c r="W469" s="26"/>
      <c r="X469" s="26"/>
      <c r="Y469" s="26"/>
      <c r="Z469" s="26"/>
    </row>
    <row r="470" spans="1:26" ht="19.5" customHeight="1" x14ac:dyDescent="0.85">
      <c r="A470" s="26"/>
      <c r="B470" s="26"/>
      <c r="C470" s="26"/>
      <c r="D470" s="26"/>
      <c r="E470" s="26"/>
      <c r="F470" s="26"/>
      <c r="G470" s="26"/>
      <c r="H470" s="26"/>
      <c r="I470" s="26"/>
      <c r="J470" s="26"/>
      <c r="K470" s="26"/>
      <c r="L470" s="26"/>
      <c r="M470" s="26"/>
      <c r="N470" s="26"/>
      <c r="O470" s="26"/>
      <c r="P470" s="26"/>
      <c r="Q470" s="26"/>
      <c r="R470" s="26"/>
      <c r="S470" s="26"/>
      <c r="T470" s="26"/>
      <c r="U470" s="26"/>
      <c r="V470" s="26"/>
      <c r="W470" s="26"/>
      <c r="X470" s="26"/>
      <c r="Y470" s="26"/>
      <c r="Z470" s="26"/>
    </row>
    <row r="471" spans="1:26" ht="19.5" customHeight="1" x14ac:dyDescent="0.85">
      <c r="A471" s="26"/>
      <c r="B471" s="26"/>
      <c r="C471" s="26"/>
      <c r="D471" s="26"/>
      <c r="E471" s="26"/>
      <c r="F471" s="26"/>
      <c r="G471" s="26"/>
      <c r="H471" s="26"/>
      <c r="I471" s="26"/>
      <c r="J471" s="26"/>
      <c r="K471" s="26"/>
      <c r="L471" s="26"/>
      <c r="M471" s="26"/>
      <c r="N471" s="26"/>
      <c r="O471" s="26"/>
      <c r="P471" s="26"/>
      <c r="Q471" s="26"/>
      <c r="R471" s="26"/>
      <c r="S471" s="26"/>
      <c r="T471" s="26"/>
      <c r="U471" s="26"/>
      <c r="V471" s="26"/>
      <c r="W471" s="26"/>
      <c r="X471" s="26"/>
      <c r="Y471" s="26"/>
      <c r="Z471" s="26"/>
    </row>
    <row r="472" spans="1:26" ht="19.5" customHeight="1" x14ac:dyDescent="0.85">
      <c r="A472" s="26"/>
      <c r="B472" s="26"/>
      <c r="C472" s="26"/>
      <c r="D472" s="26"/>
      <c r="E472" s="26"/>
      <c r="F472" s="26"/>
      <c r="G472" s="26"/>
      <c r="H472" s="26"/>
      <c r="I472" s="26"/>
      <c r="J472" s="26"/>
      <c r="K472" s="26"/>
      <c r="L472" s="26"/>
      <c r="M472" s="26"/>
      <c r="N472" s="26"/>
      <c r="O472" s="26"/>
      <c r="P472" s="26"/>
      <c r="Q472" s="26"/>
      <c r="R472" s="26"/>
      <c r="S472" s="26"/>
      <c r="T472" s="26"/>
      <c r="U472" s="26"/>
      <c r="V472" s="26"/>
      <c r="W472" s="26"/>
      <c r="X472" s="26"/>
      <c r="Y472" s="26"/>
      <c r="Z472" s="26"/>
    </row>
    <row r="473" spans="1:26" ht="19.5" customHeight="1" x14ac:dyDescent="0.85">
      <c r="A473" s="26"/>
      <c r="B473" s="26"/>
      <c r="C473" s="26"/>
      <c r="D473" s="26"/>
      <c r="E473" s="26"/>
      <c r="F473" s="26"/>
      <c r="G473" s="26"/>
      <c r="H473" s="26"/>
      <c r="I473" s="26"/>
      <c r="J473" s="26"/>
      <c r="K473" s="26"/>
      <c r="L473" s="26"/>
      <c r="M473" s="26"/>
      <c r="N473" s="26"/>
      <c r="O473" s="26"/>
      <c r="P473" s="26"/>
      <c r="Q473" s="26"/>
      <c r="R473" s="26"/>
      <c r="S473" s="26"/>
      <c r="T473" s="26"/>
      <c r="U473" s="26"/>
      <c r="V473" s="26"/>
      <c r="W473" s="26"/>
      <c r="X473" s="26"/>
      <c r="Y473" s="26"/>
      <c r="Z473" s="26"/>
    </row>
    <row r="474" spans="1:26" ht="19.5" customHeight="1" x14ac:dyDescent="0.85">
      <c r="A474" s="26"/>
      <c r="B474" s="26"/>
      <c r="C474" s="26"/>
      <c r="D474" s="26"/>
      <c r="E474" s="26"/>
      <c r="F474" s="26"/>
      <c r="G474" s="26"/>
      <c r="H474" s="26"/>
      <c r="I474" s="26"/>
      <c r="J474" s="26"/>
      <c r="K474" s="26"/>
      <c r="L474" s="26"/>
      <c r="M474" s="26"/>
      <c r="N474" s="26"/>
      <c r="O474" s="26"/>
      <c r="P474" s="26"/>
      <c r="Q474" s="26"/>
      <c r="R474" s="26"/>
      <c r="S474" s="26"/>
      <c r="T474" s="26"/>
      <c r="U474" s="26"/>
      <c r="V474" s="26"/>
      <c r="W474" s="26"/>
      <c r="X474" s="26"/>
      <c r="Y474" s="26"/>
      <c r="Z474" s="26"/>
    </row>
    <row r="475" spans="1:26" ht="19.5" customHeight="1" x14ac:dyDescent="0.85">
      <c r="A475" s="26"/>
      <c r="B475" s="26"/>
      <c r="C475" s="26"/>
      <c r="D475" s="26"/>
      <c r="E475" s="26"/>
      <c r="F475" s="26"/>
      <c r="G475" s="26"/>
      <c r="H475" s="26"/>
      <c r="I475" s="26"/>
      <c r="J475" s="26"/>
      <c r="K475" s="26"/>
      <c r="L475" s="26"/>
      <c r="M475" s="26"/>
      <c r="N475" s="26"/>
      <c r="O475" s="26"/>
      <c r="P475" s="26"/>
      <c r="Q475" s="26"/>
      <c r="R475" s="26"/>
      <c r="S475" s="26"/>
      <c r="T475" s="26"/>
      <c r="U475" s="26"/>
      <c r="V475" s="26"/>
      <c r="W475" s="26"/>
      <c r="X475" s="26"/>
      <c r="Y475" s="26"/>
      <c r="Z475" s="26"/>
    </row>
    <row r="476" spans="1:26" ht="19.5" customHeight="1" x14ac:dyDescent="0.85">
      <c r="A476" s="26"/>
      <c r="B476" s="26"/>
      <c r="C476" s="26"/>
      <c r="D476" s="26"/>
      <c r="E476" s="26"/>
      <c r="F476" s="26"/>
      <c r="G476" s="26"/>
      <c r="H476" s="26"/>
      <c r="I476" s="26"/>
      <c r="J476" s="26"/>
      <c r="K476" s="26"/>
      <c r="L476" s="26"/>
      <c r="M476" s="26"/>
      <c r="N476" s="26"/>
      <c r="O476" s="26"/>
      <c r="P476" s="26"/>
      <c r="Q476" s="26"/>
      <c r="R476" s="26"/>
      <c r="S476" s="26"/>
      <c r="T476" s="26"/>
      <c r="U476" s="26"/>
      <c r="V476" s="26"/>
      <c r="W476" s="26"/>
      <c r="X476" s="26"/>
      <c r="Y476" s="26"/>
      <c r="Z476" s="26"/>
    </row>
    <row r="477" spans="1:26" ht="19.5" customHeight="1" x14ac:dyDescent="0.85">
      <c r="A477" s="26"/>
      <c r="B477" s="26"/>
      <c r="C477" s="26"/>
      <c r="D477" s="26"/>
      <c r="E477" s="26"/>
      <c r="F477" s="26"/>
      <c r="G477" s="26"/>
      <c r="H477" s="26"/>
      <c r="I477" s="26"/>
      <c r="J477" s="26"/>
      <c r="K477" s="26"/>
      <c r="L477" s="26"/>
      <c r="M477" s="26"/>
      <c r="N477" s="26"/>
      <c r="O477" s="26"/>
      <c r="P477" s="26"/>
      <c r="Q477" s="26"/>
      <c r="R477" s="26"/>
      <c r="S477" s="26"/>
      <c r="T477" s="26"/>
      <c r="U477" s="26"/>
      <c r="V477" s="26"/>
      <c r="W477" s="26"/>
      <c r="X477" s="26"/>
      <c r="Y477" s="26"/>
      <c r="Z477" s="26"/>
    </row>
    <row r="478" spans="1:26" ht="19.5" customHeight="1" x14ac:dyDescent="0.85">
      <c r="A478" s="26"/>
      <c r="B478" s="26"/>
      <c r="C478" s="26"/>
      <c r="D478" s="26"/>
      <c r="E478" s="26"/>
      <c r="F478" s="26"/>
      <c r="G478" s="26"/>
      <c r="H478" s="26"/>
      <c r="I478" s="26"/>
      <c r="J478" s="26"/>
      <c r="K478" s="26"/>
      <c r="L478" s="26"/>
      <c r="M478" s="26"/>
      <c r="N478" s="26"/>
      <c r="O478" s="26"/>
      <c r="P478" s="26"/>
      <c r="Q478" s="26"/>
      <c r="R478" s="26"/>
      <c r="S478" s="26"/>
      <c r="T478" s="26"/>
      <c r="U478" s="26"/>
      <c r="V478" s="26"/>
      <c r="W478" s="26"/>
      <c r="X478" s="26"/>
      <c r="Y478" s="26"/>
      <c r="Z478" s="26"/>
    </row>
    <row r="479" spans="1:26" ht="19.5" customHeight="1" x14ac:dyDescent="0.85">
      <c r="A479" s="26"/>
      <c r="B479" s="26"/>
      <c r="C479" s="26"/>
      <c r="D479" s="26"/>
      <c r="E479" s="26"/>
      <c r="F479" s="26"/>
      <c r="G479" s="26"/>
      <c r="H479" s="26"/>
      <c r="I479" s="26"/>
      <c r="J479" s="26"/>
      <c r="K479" s="26"/>
      <c r="L479" s="26"/>
      <c r="M479" s="26"/>
      <c r="N479" s="26"/>
      <c r="O479" s="26"/>
      <c r="P479" s="26"/>
      <c r="Q479" s="26"/>
      <c r="R479" s="26"/>
      <c r="S479" s="26"/>
      <c r="T479" s="26"/>
      <c r="U479" s="26"/>
      <c r="V479" s="26"/>
      <c r="W479" s="26"/>
      <c r="X479" s="26"/>
      <c r="Y479" s="26"/>
      <c r="Z479" s="26"/>
    </row>
    <row r="480" spans="1:26" ht="19.5" customHeight="1" x14ac:dyDescent="0.85">
      <c r="A480" s="26"/>
      <c r="B480" s="26"/>
      <c r="C480" s="26"/>
      <c r="D480" s="26"/>
      <c r="E480" s="26"/>
      <c r="F480" s="26"/>
      <c r="G480" s="26"/>
      <c r="H480" s="26"/>
      <c r="I480" s="26"/>
      <c r="J480" s="26"/>
      <c r="K480" s="26"/>
      <c r="L480" s="26"/>
      <c r="M480" s="26"/>
      <c r="N480" s="26"/>
      <c r="O480" s="26"/>
      <c r="P480" s="26"/>
      <c r="Q480" s="26"/>
      <c r="R480" s="26"/>
      <c r="S480" s="26"/>
      <c r="T480" s="26"/>
      <c r="U480" s="26"/>
      <c r="V480" s="26"/>
      <c r="W480" s="26"/>
      <c r="X480" s="26"/>
      <c r="Y480" s="26"/>
      <c r="Z480" s="26"/>
    </row>
    <row r="481" spans="1:26" ht="19.5" customHeight="1" x14ac:dyDescent="0.85">
      <c r="A481" s="26"/>
      <c r="B481" s="26"/>
      <c r="C481" s="26"/>
      <c r="D481" s="26"/>
      <c r="E481" s="26"/>
      <c r="F481" s="26"/>
      <c r="G481" s="26"/>
      <c r="H481" s="26"/>
      <c r="I481" s="26"/>
      <c r="J481" s="26"/>
      <c r="K481" s="26"/>
      <c r="L481" s="26"/>
      <c r="M481" s="26"/>
      <c r="N481" s="26"/>
      <c r="O481" s="26"/>
      <c r="P481" s="26"/>
      <c r="Q481" s="26"/>
      <c r="R481" s="26"/>
      <c r="S481" s="26"/>
      <c r="T481" s="26"/>
      <c r="U481" s="26"/>
      <c r="V481" s="26"/>
      <c r="W481" s="26"/>
      <c r="X481" s="26"/>
      <c r="Y481" s="26"/>
      <c r="Z481" s="26"/>
    </row>
    <row r="482" spans="1:26" ht="19.5" customHeight="1" x14ac:dyDescent="0.85">
      <c r="A482" s="26"/>
      <c r="B482" s="26"/>
      <c r="C482" s="26"/>
      <c r="D482" s="26"/>
      <c r="E482" s="26"/>
      <c r="F482" s="26"/>
      <c r="G482" s="26"/>
      <c r="H482" s="26"/>
      <c r="I482" s="26"/>
      <c r="J482" s="26"/>
      <c r="K482" s="26"/>
      <c r="L482" s="26"/>
      <c r="M482" s="26"/>
      <c r="N482" s="26"/>
      <c r="O482" s="26"/>
      <c r="P482" s="26"/>
      <c r="Q482" s="26"/>
      <c r="R482" s="26"/>
      <c r="S482" s="26"/>
      <c r="T482" s="26"/>
      <c r="U482" s="26"/>
      <c r="V482" s="26"/>
      <c r="W482" s="26"/>
      <c r="X482" s="26"/>
      <c r="Y482" s="26"/>
      <c r="Z482" s="26"/>
    </row>
    <row r="483" spans="1:26" ht="19.5" customHeight="1" x14ac:dyDescent="0.85">
      <c r="A483" s="26"/>
      <c r="B483" s="26"/>
      <c r="C483" s="26"/>
      <c r="D483" s="26"/>
      <c r="E483" s="26"/>
      <c r="F483" s="26"/>
      <c r="G483" s="26"/>
      <c r="H483" s="26"/>
      <c r="I483" s="26"/>
      <c r="J483" s="26"/>
      <c r="K483" s="26"/>
      <c r="L483" s="26"/>
      <c r="M483" s="26"/>
      <c r="N483" s="26"/>
      <c r="O483" s="26"/>
      <c r="P483" s="26"/>
      <c r="Q483" s="26"/>
      <c r="R483" s="26"/>
      <c r="S483" s="26"/>
      <c r="T483" s="26"/>
      <c r="U483" s="26"/>
      <c r="V483" s="26"/>
      <c r="W483" s="26"/>
      <c r="X483" s="26"/>
      <c r="Y483" s="26"/>
      <c r="Z483" s="26"/>
    </row>
    <row r="484" spans="1:26" ht="19.5" customHeight="1" x14ac:dyDescent="0.85">
      <c r="A484" s="26"/>
      <c r="B484" s="26"/>
      <c r="C484" s="26"/>
      <c r="D484" s="26"/>
      <c r="E484" s="26"/>
      <c r="F484" s="26"/>
      <c r="G484" s="26"/>
      <c r="H484" s="26"/>
      <c r="I484" s="26"/>
      <c r="J484" s="26"/>
      <c r="K484" s="26"/>
      <c r="L484" s="26"/>
      <c r="M484" s="26"/>
      <c r="N484" s="26"/>
      <c r="O484" s="26"/>
      <c r="P484" s="26"/>
      <c r="Q484" s="26"/>
      <c r="R484" s="26"/>
      <c r="S484" s="26"/>
      <c r="T484" s="26"/>
      <c r="U484" s="26"/>
      <c r="V484" s="26"/>
      <c r="W484" s="26"/>
      <c r="X484" s="26"/>
      <c r="Y484" s="26"/>
      <c r="Z484" s="26"/>
    </row>
    <row r="485" spans="1:26" ht="19.5" customHeight="1" x14ac:dyDescent="0.85">
      <c r="A485" s="26"/>
      <c r="B485" s="26"/>
      <c r="C485" s="26"/>
      <c r="D485" s="26"/>
      <c r="E485" s="26"/>
      <c r="F485" s="26"/>
      <c r="G485" s="26"/>
      <c r="H485" s="26"/>
      <c r="I485" s="26"/>
      <c r="J485" s="26"/>
      <c r="K485" s="26"/>
      <c r="L485" s="26"/>
      <c r="M485" s="26"/>
      <c r="N485" s="26"/>
      <c r="O485" s="26"/>
      <c r="P485" s="26"/>
      <c r="Q485" s="26"/>
      <c r="R485" s="26"/>
      <c r="S485" s="26"/>
      <c r="T485" s="26"/>
      <c r="U485" s="26"/>
      <c r="V485" s="26"/>
      <c r="W485" s="26"/>
      <c r="X485" s="26"/>
      <c r="Y485" s="26"/>
      <c r="Z485" s="26"/>
    </row>
    <row r="486" spans="1:26" ht="19.5" customHeight="1" x14ac:dyDescent="0.85">
      <c r="A486" s="26"/>
      <c r="B486" s="26"/>
      <c r="C486" s="26"/>
      <c r="D486" s="26"/>
      <c r="E486" s="26"/>
      <c r="F486" s="26"/>
      <c r="G486" s="26"/>
      <c r="H486" s="26"/>
      <c r="I486" s="26"/>
      <c r="J486" s="26"/>
      <c r="K486" s="26"/>
      <c r="L486" s="26"/>
      <c r="M486" s="26"/>
      <c r="N486" s="26"/>
      <c r="O486" s="26"/>
      <c r="P486" s="26"/>
      <c r="Q486" s="26"/>
      <c r="R486" s="26"/>
      <c r="S486" s="26"/>
      <c r="T486" s="26"/>
      <c r="U486" s="26"/>
      <c r="V486" s="26"/>
      <c r="W486" s="26"/>
      <c r="X486" s="26"/>
      <c r="Y486" s="26"/>
      <c r="Z486" s="26"/>
    </row>
    <row r="487" spans="1:26" ht="19.5" customHeight="1" x14ac:dyDescent="0.85">
      <c r="A487" s="26"/>
      <c r="B487" s="26"/>
      <c r="C487" s="26"/>
      <c r="D487" s="26"/>
      <c r="E487" s="26"/>
      <c r="F487" s="26"/>
      <c r="G487" s="26"/>
      <c r="H487" s="26"/>
      <c r="I487" s="26"/>
      <c r="J487" s="26"/>
      <c r="K487" s="26"/>
      <c r="L487" s="26"/>
      <c r="M487" s="26"/>
      <c r="N487" s="26"/>
      <c r="O487" s="26"/>
      <c r="P487" s="26"/>
      <c r="Q487" s="26"/>
      <c r="R487" s="26"/>
      <c r="S487" s="26"/>
      <c r="T487" s="26"/>
      <c r="U487" s="26"/>
      <c r="V487" s="26"/>
      <c r="W487" s="26"/>
      <c r="X487" s="26"/>
      <c r="Y487" s="26"/>
      <c r="Z487" s="26"/>
    </row>
    <row r="488" spans="1:26" ht="19.5" customHeight="1" x14ac:dyDescent="0.85">
      <c r="A488" s="26"/>
      <c r="B488" s="26"/>
      <c r="C488" s="26"/>
      <c r="D488" s="26"/>
      <c r="E488" s="26"/>
      <c r="F488" s="26"/>
      <c r="G488" s="26"/>
      <c r="H488" s="26"/>
      <c r="I488" s="26"/>
      <c r="J488" s="26"/>
      <c r="K488" s="26"/>
      <c r="L488" s="26"/>
      <c r="M488" s="26"/>
      <c r="N488" s="26"/>
      <c r="O488" s="26"/>
      <c r="P488" s="26"/>
      <c r="Q488" s="26"/>
      <c r="R488" s="26"/>
      <c r="S488" s="26"/>
      <c r="T488" s="26"/>
      <c r="U488" s="26"/>
      <c r="V488" s="26"/>
      <c r="W488" s="26"/>
      <c r="X488" s="26"/>
      <c r="Y488" s="26"/>
      <c r="Z488" s="26"/>
    </row>
    <row r="489" spans="1:26" ht="19.5" customHeight="1" x14ac:dyDescent="0.85">
      <c r="A489" s="26"/>
      <c r="B489" s="26"/>
      <c r="C489" s="26"/>
      <c r="D489" s="26"/>
      <c r="E489" s="26"/>
      <c r="F489" s="26"/>
      <c r="G489" s="26"/>
      <c r="H489" s="26"/>
      <c r="I489" s="26"/>
      <c r="J489" s="26"/>
      <c r="K489" s="26"/>
      <c r="L489" s="26"/>
      <c r="M489" s="26"/>
      <c r="N489" s="26"/>
      <c r="O489" s="26"/>
      <c r="P489" s="26"/>
      <c r="Q489" s="26"/>
      <c r="R489" s="26"/>
      <c r="S489" s="26"/>
      <c r="T489" s="26"/>
      <c r="U489" s="26"/>
      <c r="V489" s="26"/>
      <c r="W489" s="26"/>
      <c r="X489" s="26"/>
      <c r="Y489" s="26"/>
      <c r="Z489" s="26"/>
    </row>
    <row r="490" spans="1:26" ht="19.5" customHeight="1" x14ac:dyDescent="0.85">
      <c r="A490" s="26"/>
      <c r="B490" s="26"/>
      <c r="C490" s="26"/>
      <c r="D490" s="26"/>
      <c r="E490" s="26"/>
      <c r="F490" s="26"/>
      <c r="G490" s="26"/>
      <c r="H490" s="26"/>
      <c r="I490" s="26"/>
      <c r="J490" s="26"/>
      <c r="K490" s="26"/>
      <c r="L490" s="26"/>
      <c r="M490" s="26"/>
      <c r="N490" s="26"/>
      <c r="O490" s="26"/>
      <c r="P490" s="26"/>
      <c r="Q490" s="26"/>
      <c r="R490" s="26"/>
      <c r="S490" s="26"/>
      <c r="T490" s="26"/>
      <c r="U490" s="26"/>
      <c r="V490" s="26"/>
      <c r="W490" s="26"/>
      <c r="X490" s="26"/>
      <c r="Y490" s="26"/>
      <c r="Z490" s="26"/>
    </row>
    <row r="491" spans="1:26" ht="19.5" customHeight="1" x14ac:dyDescent="0.85">
      <c r="A491" s="26"/>
      <c r="B491" s="26"/>
      <c r="C491" s="26"/>
      <c r="D491" s="26"/>
      <c r="E491" s="26"/>
      <c r="F491" s="26"/>
      <c r="G491" s="26"/>
      <c r="H491" s="26"/>
      <c r="I491" s="26"/>
      <c r="J491" s="26"/>
      <c r="K491" s="26"/>
      <c r="L491" s="26"/>
      <c r="M491" s="26"/>
      <c r="N491" s="26"/>
      <c r="O491" s="26"/>
      <c r="P491" s="26"/>
      <c r="Q491" s="26"/>
      <c r="R491" s="26"/>
      <c r="S491" s="26"/>
      <c r="T491" s="26"/>
      <c r="U491" s="26"/>
      <c r="V491" s="26"/>
      <c r="W491" s="26"/>
      <c r="X491" s="26"/>
      <c r="Y491" s="26"/>
      <c r="Z491" s="26"/>
    </row>
    <row r="492" spans="1:26" ht="19.5" customHeight="1" x14ac:dyDescent="0.85">
      <c r="A492" s="26"/>
      <c r="B492" s="26"/>
      <c r="C492" s="26"/>
      <c r="D492" s="26"/>
      <c r="E492" s="26"/>
      <c r="F492" s="26"/>
      <c r="G492" s="26"/>
      <c r="H492" s="26"/>
      <c r="I492" s="26"/>
      <c r="J492" s="26"/>
      <c r="K492" s="26"/>
      <c r="L492" s="26"/>
      <c r="M492" s="26"/>
      <c r="N492" s="26"/>
      <c r="O492" s="26"/>
      <c r="P492" s="26"/>
      <c r="Q492" s="26"/>
      <c r="R492" s="26"/>
      <c r="S492" s="26"/>
      <c r="T492" s="26"/>
      <c r="U492" s="26"/>
      <c r="V492" s="26"/>
      <c r="W492" s="26"/>
      <c r="X492" s="26"/>
      <c r="Y492" s="26"/>
      <c r="Z492" s="26"/>
    </row>
    <row r="493" spans="1:26" ht="19.5" customHeight="1" x14ac:dyDescent="0.85">
      <c r="A493" s="26"/>
      <c r="B493" s="26"/>
      <c r="C493" s="26"/>
      <c r="D493" s="26"/>
      <c r="E493" s="26"/>
      <c r="F493" s="26"/>
      <c r="G493" s="26"/>
      <c r="H493" s="26"/>
      <c r="I493" s="26"/>
      <c r="J493" s="26"/>
      <c r="K493" s="26"/>
      <c r="L493" s="26"/>
      <c r="M493" s="26"/>
      <c r="N493" s="26"/>
      <c r="O493" s="26"/>
      <c r="P493" s="26"/>
      <c r="Q493" s="26"/>
      <c r="R493" s="26"/>
      <c r="S493" s="26"/>
      <c r="T493" s="26"/>
      <c r="U493" s="26"/>
      <c r="V493" s="26"/>
      <c r="W493" s="26"/>
      <c r="X493" s="26"/>
      <c r="Y493" s="26"/>
      <c r="Z493" s="26"/>
    </row>
    <row r="494" spans="1:26" ht="19.5" customHeight="1" x14ac:dyDescent="0.85">
      <c r="A494" s="26"/>
      <c r="B494" s="26"/>
      <c r="C494" s="26"/>
      <c r="D494" s="26"/>
      <c r="E494" s="26"/>
      <c r="F494" s="26"/>
      <c r="G494" s="26"/>
      <c r="H494" s="26"/>
      <c r="I494" s="26"/>
      <c r="J494" s="26"/>
      <c r="K494" s="26"/>
      <c r="L494" s="26"/>
      <c r="M494" s="26"/>
      <c r="N494" s="26"/>
      <c r="O494" s="26"/>
      <c r="P494" s="26"/>
      <c r="Q494" s="26"/>
      <c r="R494" s="26"/>
      <c r="S494" s="26"/>
      <c r="T494" s="26"/>
      <c r="U494" s="26"/>
      <c r="V494" s="26"/>
      <c r="W494" s="26"/>
      <c r="X494" s="26"/>
      <c r="Y494" s="26"/>
      <c r="Z494" s="26"/>
    </row>
    <row r="495" spans="1:26" ht="19.5" customHeight="1" x14ac:dyDescent="0.85">
      <c r="A495" s="26"/>
      <c r="B495" s="26"/>
      <c r="C495" s="26"/>
      <c r="D495" s="26"/>
      <c r="E495" s="26"/>
      <c r="F495" s="26"/>
      <c r="G495" s="26"/>
      <c r="H495" s="26"/>
      <c r="I495" s="26"/>
      <c r="J495" s="26"/>
      <c r="K495" s="26"/>
      <c r="L495" s="26"/>
      <c r="M495" s="26"/>
      <c r="N495" s="26"/>
      <c r="O495" s="26"/>
      <c r="P495" s="26"/>
      <c r="Q495" s="26"/>
      <c r="R495" s="26"/>
      <c r="S495" s="26"/>
      <c r="T495" s="26"/>
      <c r="U495" s="26"/>
      <c r="V495" s="26"/>
      <c r="W495" s="26"/>
      <c r="X495" s="26"/>
      <c r="Y495" s="26"/>
      <c r="Z495" s="26"/>
    </row>
    <row r="496" spans="1:26" ht="19.5" customHeight="1" x14ac:dyDescent="0.85">
      <c r="A496" s="26"/>
      <c r="B496" s="26"/>
      <c r="C496" s="26"/>
      <c r="D496" s="26"/>
      <c r="E496" s="26"/>
      <c r="F496" s="26"/>
      <c r="G496" s="26"/>
      <c r="H496" s="26"/>
      <c r="I496" s="26"/>
      <c r="J496" s="26"/>
      <c r="K496" s="26"/>
      <c r="L496" s="26"/>
      <c r="M496" s="26"/>
      <c r="N496" s="26"/>
      <c r="O496" s="26"/>
      <c r="P496" s="26"/>
      <c r="Q496" s="26"/>
      <c r="R496" s="26"/>
      <c r="S496" s="26"/>
      <c r="T496" s="26"/>
      <c r="U496" s="26"/>
      <c r="V496" s="26"/>
      <c r="W496" s="26"/>
      <c r="X496" s="26"/>
      <c r="Y496" s="26"/>
      <c r="Z496" s="26"/>
    </row>
    <row r="497" spans="1:26" ht="19.5" customHeight="1" x14ac:dyDescent="0.85">
      <c r="A497" s="26"/>
      <c r="B497" s="26"/>
      <c r="C497" s="26"/>
      <c r="D497" s="26"/>
      <c r="E497" s="26"/>
      <c r="F497" s="26"/>
      <c r="G497" s="26"/>
      <c r="H497" s="26"/>
      <c r="I497" s="26"/>
      <c r="J497" s="26"/>
      <c r="K497" s="26"/>
      <c r="L497" s="26"/>
      <c r="M497" s="26"/>
      <c r="N497" s="26"/>
      <c r="O497" s="26"/>
      <c r="P497" s="26"/>
      <c r="Q497" s="26"/>
      <c r="R497" s="26"/>
      <c r="S497" s="26"/>
      <c r="T497" s="26"/>
      <c r="U497" s="26"/>
      <c r="V497" s="26"/>
      <c r="W497" s="26"/>
      <c r="X497" s="26"/>
      <c r="Y497" s="26"/>
      <c r="Z497" s="26"/>
    </row>
    <row r="498" spans="1:26" ht="19.5" customHeight="1" x14ac:dyDescent="0.85">
      <c r="A498" s="26"/>
      <c r="B498" s="26"/>
      <c r="C498" s="26"/>
      <c r="D498" s="26"/>
      <c r="E498" s="26"/>
      <c r="F498" s="26"/>
      <c r="G498" s="26"/>
      <c r="H498" s="26"/>
      <c r="I498" s="26"/>
      <c r="J498" s="26"/>
      <c r="K498" s="26"/>
      <c r="L498" s="26"/>
      <c r="M498" s="26"/>
      <c r="N498" s="26"/>
      <c r="O498" s="26"/>
      <c r="P498" s="26"/>
      <c r="Q498" s="26"/>
      <c r="R498" s="26"/>
      <c r="S498" s="26"/>
      <c r="T498" s="26"/>
      <c r="U498" s="26"/>
      <c r="V498" s="26"/>
      <c r="W498" s="26"/>
      <c r="X498" s="26"/>
      <c r="Y498" s="26"/>
      <c r="Z498" s="26"/>
    </row>
    <row r="499" spans="1:26" ht="19.5" customHeight="1" x14ac:dyDescent="0.85">
      <c r="A499" s="26"/>
      <c r="B499" s="26"/>
      <c r="C499" s="26"/>
      <c r="D499" s="26"/>
      <c r="E499" s="26"/>
      <c r="F499" s="26"/>
      <c r="G499" s="26"/>
      <c r="H499" s="26"/>
      <c r="I499" s="26"/>
      <c r="J499" s="26"/>
      <c r="K499" s="26"/>
      <c r="L499" s="26"/>
      <c r="M499" s="26"/>
      <c r="N499" s="26"/>
      <c r="O499" s="26"/>
      <c r="P499" s="26"/>
      <c r="Q499" s="26"/>
      <c r="R499" s="26"/>
      <c r="S499" s="26"/>
      <c r="T499" s="26"/>
      <c r="U499" s="26"/>
      <c r="V499" s="26"/>
      <c r="W499" s="26"/>
      <c r="X499" s="26"/>
      <c r="Y499" s="26"/>
      <c r="Z499" s="26"/>
    </row>
    <row r="500" spans="1:26" ht="19.5" customHeight="1" x14ac:dyDescent="0.85">
      <c r="A500" s="26"/>
      <c r="B500" s="26"/>
      <c r="C500" s="26"/>
      <c r="D500" s="26"/>
      <c r="E500" s="26"/>
      <c r="F500" s="26"/>
      <c r="G500" s="26"/>
      <c r="H500" s="26"/>
      <c r="I500" s="26"/>
      <c r="J500" s="26"/>
      <c r="K500" s="26"/>
      <c r="L500" s="26"/>
      <c r="M500" s="26"/>
      <c r="N500" s="26"/>
      <c r="O500" s="26"/>
      <c r="P500" s="26"/>
      <c r="Q500" s="26"/>
      <c r="R500" s="26"/>
      <c r="S500" s="26"/>
      <c r="T500" s="26"/>
      <c r="U500" s="26"/>
      <c r="V500" s="26"/>
      <c r="W500" s="26"/>
      <c r="X500" s="26"/>
      <c r="Y500" s="26"/>
      <c r="Z500" s="26"/>
    </row>
    <row r="501" spans="1:26" ht="19.5" customHeight="1" x14ac:dyDescent="0.85">
      <c r="A501" s="26"/>
      <c r="B501" s="26"/>
      <c r="C501" s="26"/>
      <c r="D501" s="26"/>
      <c r="E501" s="26"/>
      <c r="F501" s="26"/>
      <c r="G501" s="26"/>
      <c r="H501" s="26"/>
      <c r="I501" s="26"/>
      <c r="J501" s="26"/>
      <c r="K501" s="26"/>
      <c r="L501" s="26"/>
      <c r="M501" s="26"/>
      <c r="N501" s="26"/>
      <c r="O501" s="26"/>
      <c r="P501" s="26"/>
      <c r="Q501" s="26"/>
      <c r="R501" s="26"/>
      <c r="S501" s="26"/>
      <c r="T501" s="26"/>
      <c r="U501" s="26"/>
      <c r="V501" s="26"/>
      <c r="W501" s="26"/>
      <c r="X501" s="26"/>
      <c r="Y501" s="26"/>
      <c r="Z501" s="26"/>
    </row>
    <row r="502" spans="1:26" ht="19.5" customHeight="1" x14ac:dyDescent="0.85">
      <c r="A502" s="26"/>
      <c r="B502" s="26"/>
      <c r="C502" s="26"/>
      <c r="D502" s="26"/>
      <c r="E502" s="26"/>
      <c r="F502" s="26"/>
      <c r="G502" s="26"/>
      <c r="H502" s="26"/>
      <c r="I502" s="26"/>
      <c r="J502" s="26"/>
      <c r="K502" s="26"/>
      <c r="L502" s="26"/>
      <c r="M502" s="26"/>
      <c r="N502" s="26"/>
      <c r="O502" s="26"/>
      <c r="P502" s="26"/>
      <c r="Q502" s="26"/>
      <c r="R502" s="26"/>
      <c r="S502" s="26"/>
      <c r="T502" s="26"/>
      <c r="U502" s="26"/>
      <c r="V502" s="26"/>
      <c r="W502" s="26"/>
      <c r="X502" s="26"/>
      <c r="Y502" s="26"/>
      <c r="Z502" s="26"/>
    </row>
    <row r="503" spans="1:26" ht="19.5" customHeight="1" x14ac:dyDescent="0.85">
      <c r="A503" s="26"/>
      <c r="B503" s="26"/>
      <c r="C503" s="26"/>
      <c r="D503" s="26"/>
      <c r="E503" s="26"/>
      <c r="F503" s="26"/>
      <c r="G503" s="26"/>
      <c r="H503" s="26"/>
      <c r="I503" s="26"/>
      <c r="J503" s="26"/>
      <c r="K503" s="26"/>
      <c r="L503" s="26"/>
      <c r="M503" s="26"/>
      <c r="N503" s="26"/>
      <c r="O503" s="26"/>
      <c r="P503" s="26"/>
      <c r="Q503" s="26"/>
      <c r="R503" s="26"/>
      <c r="S503" s="26"/>
      <c r="T503" s="26"/>
      <c r="U503" s="26"/>
      <c r="V503" s="26"/>
      <c r="W503" s="26"/>
      <c r="X503" s="26"/>
      <c r="Y503" s="26"/>
      <c r="Z503" s="26"/>
    </row>
    <row r="504" spans="1:26" ht="19.5" customHeight="1" x14ac:dyDescent="0.85">
      <c r="A504" s="26"/>
      <c r="B504" s="26"/>
      <c r="C504" s="26"/>
      <c r="D504" s="26"/>
      <c r="E504" s="26"/>
      <c r="F504" s="26"/>
      <c r="G504" s="26"/>
      <c r="H504" s="26"/>
      <c r="I504" s="26"/>
      <c r="J504" s="26"/>
      <c r="K504" s="26"/>
      <c r="L504" s="26"/>
      <c r="M504" s="26"/>
      <c r="N504" s="26"/>
      <c r="O504" s="26"/>
      <c r="P504" s="26"/>
      <c r="Q504" s="26"/>
      <c r="R504" s="26"/>
      <c r="S504" s="26"/>
      <c r="T504" s="26"/>
      <c r="U504" s="26"/>
      <c r="V504" s="26"/>
      <c r="W504" s="26"/>
      <c r="X504" s="26"/>
      <c r="Y504" s="26"/>
      <c r="Z504" s="26"/>
    </row>
    <row r="505" spans="1:26" ht="19.5" customHeight="1" x14ac:dyDescent="0.85">
      <c r="A505" s="26"/>
      <c r="B505" s="26"/>
      <c r="C505" s="26"/>
      <c r="D505" s="26"/>
      <c r="E505" s="26"/>
      <c r="F505" s="26"/>
      <c r="G505" s="26"/>
      <c r="H505" s="26"/>
      <c r="I505" s="26"/>
      <c r="J505" s="26"/>
      <c r="K505" s="26"/>
      <c r="L505" s="26"/>
      <c r="M505" s="26"/>
      <c r="N505" s="26"/>
      <c r="O505" s="26"/>
      <c r="P505" s="26"/>
      <c r="Q505" s="26"/>
      <c r="R505" s="26"/>
      <c r="S505" s="26"/>
      <c r="T505" s="26"/>
      <c r="U505" s="26"/>
      <c r="V505" s="26"/>
      <c r="W505" s="26"/>
      <c r="X505" s="26"/>
      <c r="Y505" s="26"/>
      <c r="Z505" s="26"/>
    </row>
    <row r="506" spans="1:26" ht="19.5" customHeight="1" x14ac:dyDescent="0.85">
      <c r="A506" s="26"/>
      <c r="B506" s="26"/>
      <c r="C506" s="26"/>
      <c r="D506" s="26"/>
      <c r="E506" s="26"/>
      <c r="F506" s="26"/>
      <c r="G506" s="26"/>
      <c r="H506" s="26"/>
      <c r="I506" s="26"/>
      <c r="J506" s="26"/>
      <c r="K506" s="26"/>
      <c r="L506" s="26"/>
      <c r="M506" s="26"/>
      <c r="N506" s="26"/>
      <c r="O506" s="26"/>
      <c r="P506" s="26"/>
      <c r="Q506" s="26"/>
      <c r="R506" s="26"/>
      <c r="S506" s="26"/>
      <c r="T506" s="26"/>
      <c r="U506" s="26"/>
      <c r="V506" s="26"/>
      <c r="W506" s="26"/>
      <c r="X506" s="26"/>
      <c r="Y506" s="26"/>
      <c r="Z506" s="26"/>
    </row>
    <row r="507" spans="1:26" ht="19.5" customHeight="1" x14ac:dyDescent="0.85">
      <c r="A507" s="26"/>
      <c r="B507" s="26"/>
      <c r="C507" s="26"/>
      <c r="D507" s="26"/>
      <c r="E507" s="26"/>
      <c r="F507" s="26"/>
      <c r="G507" s="26"/>
      <c r="H507" s="26"/>
      <c r="I507" s="26"/>
      <c r="J507" s="26"/>
      <c r="K507" s="26"/>
      <c r="L507" s="26"/>
      <c r="M507" s="26"/>
      <c r="N507" s="26"/>
      <c r="O507" s="26"/>
      <c r="P507" s="26"/>
      <c r="Q507" s="26"/>
      <c r="R507" s="26"/>
      <c r="S507" s="26"/>
      <c r="T507" s="26"/>
      <c r="U507" s="26"/>
      <c r="V507" s="26"/>
      <c r="W507" s="26"/>
      <c r="X507" s="26"/>
      <c r="Y507" s="26"/>
      <c r="Z507" s="26"/>
    </row>
    <row r="508" spans="1:26" ht="19.5" customHeight="1" x14ac:dyDescent="0.85">
      <c r="A508" s="26"/>
      <c r="B508" s="26"/>
      <c r="C508" s="26"/>
      <c r="D508" s="26"/>
      <c r="E508" s="26"/>
      <c r="F508" s="26"/>
      <c r="G508" s="26"/>
      <c r="H508" s="26"/>
      <c r="I508" s="26"/>
      <c r="J508" s="26"/>
      <c r="K508" s="26"/>
      <c r="L508" s="26"/>
      <c r="M508" s="26"/>
      <c r="N508" s="26"/>
      <c r="O508" s="26"/>
      <c r="P508" s="26"/>
      <c r="Q508" s="26"/>
      <c r="R508" s="26"/>
      <c r="S508" s="26"/>
      <c r="T508" s="26"/>
      <c r="U508" s="26"/>
      <c r="V508" s="26"/>
      <c r="W508" s="26"/>
      <c r="X508" s="26"/>
      <c r="Y508" s="26"/>
      <c r="Z508" s="26"/>
    </row>
    <row r="509" spans="1:26" ht="19.5" customHeight="1" x14ac:dyDescent="0.85">
      <c r="A509" s="26"/>
      <c r="B509" s="26"/>
      <c r="C509" s="26"/>
      <c r="D509" s="26"/>
      <c r="E509" s="26"/>
      <c r="F509" s="26"/>
      <c r="G509" s="26"/>
      <c r="H509" s="26"/>
      <c r="I509" s="26"/>
      <c r="J509" s="26"/>
      <c r="K509" s="26"/>
      <c r="L509" s="26"/>
      <c r="M509" s="26"/>
      <c r="N509" s="26"/>
      <c r="O509" s="26"/>
      <c r="P509" s="26"/>
      <c r="Q509" s="26"/>
      <c r="R509" s="26"/>
      <c r="S509" s="26"/>
      <c r="T509" s="26"/>
      <c r="U509" s="26"/>
      <c r="V509" s="26"/>
      <c r="W509" s="26"/>
      <c r="X509" s="26"/>
      <c r="Y509" s="26"/>
      <c r="Z509" s="26"/>
    </row>
    <row r="510" spans="1:26" ht="19.5" customHeight="1" x14ac:dyDescent="0.85">
      <c r="A510" s="26"/>
      <c r="B510" s="26"/>
      <c r="C510" s="26"/>
      <c r="D510" s="26"/>
      <c r="E510" s="26"/>
      <c r="F510" s="26"/>
      <c r="G510" s="26"/>
      <c r="H510" s="26"/>
      <c r="I510" s="26"/>
      <c r="J510" s="26"/>
      <c r="K510" s="26"/>
      <c r="L510" s="26"/>
      <c r="M510" s="26"/>
      <c r="N510" s="26"/>
      <c r="O510" s="26"/>
      <c r="P510" s="26"/>
      <c r="Q510" s="26"/>
      <c r="R510" s="26"/>
      <c r="S510" s="26"/>
      <c r="T510" s="26"/>
      <c r="U510" s="26"/>
      <c r="V510" s="26"/>
      <c r="W510" s="26"/>
      <c r="X510" s="26"/>
      <c r="Y510" s="26"/>
      <c r="Z510" s="26"/>
    </row>
    <row r="511" spans="1:26" ht="19.5" customHeight="1" x14ac:dyDescent="0.85">
      <c r="A511" s="26"/>
      <c r="B511" s="26"/>
      <c r="C511" s="26"/>
      <c r="D511" s="26"/>
      <c r="E511" s="26"/>
      <c r="F511" s="26"/>
      <c r="G511" s="26"/>
      <c r="H511" s="26"/>
      <c r="I511" s="26"/>
      <c r="J511" s="26"/>
      <c r="K511" s="26"/>
      <c r="L511" s="26"/>
      <c r="M511" s="26"/>
      <c r="N511" s="26"/>
      <c r="O511" s="26"/>
      <c r="P511" s="26"/>
      <c r="Q511" s="26"/>
      <c r="R511" s="26"/>
      <c r="S511" s="26"/>
      <c r="T511" s="26"/>
      <c r="U511" s="26"/>
      <c r="V511" s="26"/>
      <c r="W511" s="26"/>
      <c r="X511" s="26"/>
      <c r="Y511" s="26"/>
      <c r="Z511" s="26"/>
    </row>
    <row r="512" spans="1:26" ht="19.5" customHeight="1" x14ac:dyDescent="0.85">
      <c r="A512" s="26"/>
      <c r="B512" s="26"/>
      <c r="C512" s="26"/>
      <c r="D512" s="26"/>
      <c r="E512" s="26"/>
      <c r="F512" s="26"/>
      <c r="G512" s="26"/>
      <c r="H512" s="26"/>
      <c r="I512" s="26"/>
      <c r="J512" s="26"/>
      <c r="K512" s="26"/>
      <c r="L512" s="26"/>
      <c r="M512" s="26"/>
      <c r="N512" s="26"/>
      <c r="O512" s="26"/>
      <c r="P512" s="26"/>
      <c r="Q512" s="26"/>
      <c r="R512" s="26"/>
      <c r="S512" s="26"/>
      <c r="T512" s="26"/>
      <c r="U512" s="26"/>
      <c r="V512" s="26"/>
      <c r="W512" s="26"/>
      <c r="X512" s="26"/>
      <c r="Y512" s="26"/>
      <c r="Z512" s="26"/>
    </row>
    <row r="513" spans="1:26" ht="19.5" customHeight="1" x14ac:dyDescent="0.85">
      <c r="A513" s="26"/>
      <c r="B513" s="26"/>
      <c r="C513" s="26"/>
      <c r="D513" s="26"/>
      <c r="E513" s="26"/>
      <c r="F513" s="26"/>
      <c r="G513" s="26"/>
      <c r="H513" s="26"/>
      <c r="I513" s="26"/>
      <c r="J513" s="26"/>
      <c r="K513" s="26"/>
      <c r="L513" s="26"/>
      <c r="M513" s="26"/>
      <c r="N513" s="26"/>
      <c r="O513" s="26"/>
      <c r="P513" s="26"/>
      <c r="Q513" s="26"/>
      <c r="R513" s="26"/>
      <c r="S513" s="26"/>
      <c r="T513" s="26"/>
      <c r="U513" s="26"/>
      <c r="V513" s="26"/>
      <c r="W513" s="26"/>
      <c r="X513" s="26"/>
      <c r="Y513" s="26"/>
      <c r="Z513" s="26"/>
    </row>
    <row r="514" spans="1:26" ht="19.5" customHeight="1" x14ac:dyDescent="0.85">
      <c r="A514" s="26"/>
      <c r="B514" s="26"/>
      <c r="C514" s="26"/>
      <c r="D514" s="26"/>
      <c r="E514" s="26"/>
      <c r="F514" s="26"/>
      <c r="G514" s="26"/>
      <c r="H514" s="26"/>
      <c r="I514" s="26"/>
      <c r="J514" s="26"/>
      <c r="K514" s="26"/>
      <c r="L514" s="26"/>
      <c r="M514" s="26"/>
      <c r="N514" s="26"/>
      <c r="O514" s="26"/>
      <c r="P514" s="26"/>
      <c r="Q514" s="26"/>
      <c r="R514" s="26"/>
      <c r="S514" s="26"/>
      <c r="T514" s="26"/>
      <c r="U514" s="26"/>
      <c r="V514" s="26"/>
      <c r="W514" s="26"/>
      <c r="X514" s="26"/>
      <c r="Y514" s="26"/>
      <c r="Z514" s="26"/>
    </row>
    <row r="515" spans="1:26" ht="19.5" customHeight="1" x14ac:dyDescent="0.85">
      <c r="A515" s="26"/>
      <c r="B515" s="26"/>
      <c r="C515" s="26"/>
      <c r="D515" s="26"/>
      <c r="E515" s="26"/>
      <c r="F515" s="26"/>
      <c r="G515" s="26"/>
      <c r="H515" s="26"/>
      <c r="I515" s="26"/>
      <c r="J515" s="26"/>
      <c r="K515" s="26"/>
      <c r="L515" s="26"/>
      <c r="M515" s="26"/>
      <c r="N515" s="26"/>
      <c r="O515" s="26"/>
      <c r="P515" s="26"/>
      <c r="Q515" s="26"/>
      <c r="R515" s="26"/>
      <c r="S515" s="26"/>
      <c r="T515" s="26"/>
      <c r="U515" s="26"/>
      <c r="V515" s="26"/>
      <c r="W515" s="26"/>
      <c r="X515" s="26"/>
      <c r="Y515" s="26"/>
      <c r="Z515" s="26"/>
    </row>
    <row r="516" spans="1:26" ht="19.5" customHeight="1" x14ac:dyDescent="0.85">
      <c r="A516" s="26"/>
      <c r="B516" s="26"/>
      <c r="C516" s="26"/>
      <c r="D516" s="26"/>
      <c r="E516" s="26"/>
      <c r="F516" s="26"/>
      <c r="G516" s="26"/>
      <c r="H516" s="26"/>
      <c r="I516" s="26"/>
      <c r="J516" s="26"/>
      <c r="K516" s="26"/>
      <c r="L516" s="26"/>
      <c r="M516" s="26"/>
      <c r="N516" s="26"/>
      <c r="O516" s="26"/>
      <c r="P516" s="26"/>
      <c r="Q516" s="26"/>
      <c r="R516" s="26"/>
      <c r="S516" s="26"/>
      <c r="T516" s="26"/>
      <c r="U516" s="26"/>
      <c r="V516" s="26"/>
      <c r="W516" s="26"/>
      <c r="X516" s="26"/>
      <c r="Y516" s="26"/>
      <c r="Z516" s="26"/>
    </row>
    <row r="517" spans="1:26" ht="19.5" customHeight="1" x14ac:dyDescent="0.85">
      <c r="A517" s="26"/>
      <c r="B517" s="26"/>
      <c r="C517" s="26"/>
      <c r="D517" s="26"/>
      <c r="E517" s="26"/>
      <c r="F517" s="26"/>
      <c r="G517" s="26"/>
      <c r="H517" s="26"/>
      <c r="I517" s="26"/>
      <c r="J517" s="26"/>
      <c r="K517" s="26"/>
      <c r="L517" s="26"/>
      <c r="M517" s="26"/>
      <c r="N517" s="26"/>
      <c r="O517" s="26"/>
      <c r="P517" s="26"/>
      <c r="Q517" s="26"/>
      <c r="R517" s="26"/>
      <c r="S517" s="26"/>
      <c r="T517" s="26"/>
      <c r="U517" s="26"/>
      <c r="V517" s="26"/>
      <c r="W517" s="26"/>
      <c r="X517" s="26"/>
      <c r="Y517" s="26"/>
      <c r="Z517" s="26"/>
    </row>
    <row r="518" spans="1:26" ht="19.5" customHeight="1" x14ac:dyDescent="0.85">
      <c r="A518" s="26"/>
      <c r="B518" s="26"/>
      <c r="C518" s="26"/>
      <c r="D518" s="26"/>
      <c r="E518" s="26"/>
      <c r="F518" s="26"/>
      <c r="G518" s="26"/>
      <c r="H518" s="26"/>
      <c r="I518" s="26"/>
      <c r="J518" s="26"/>
      <c r="K518" s="26"/>
      <c r="L518" s="26"/>
      <c r="M518" s="26"/>
      <c r="N518" s="26"/>
      <c r="O518" s="26"/>
      <c r="P518" s="26"/>
      <c r="Q518" s="26"/>
      <c r="R518" s="26"/>
      <c r="S518" s="26"/>
      <c r="T518" s="26"/>
      <c r="U518" s="26"/>
      <c r="V518" s="26"/>
      <c r="W518" s="26"/>
      <c r="X518" s="26"/>
      <c r="Y518" s="26"/>
      <c r="Z518" s="26"/>
    </row>
    <row r="519" spans="1:26" ht="19.5" customHeight="1" x14ac:dyDescent="0.85">
      <c r="A519" s="26"/>
      <c r="B519" s="26"/>
      <c r="C519" s="26"/>
      <c r="D519" s="26"/>
      <c r="E519" s="26"/>
      <c r="F519" s="26"/>
      <c r="G519" s="26"/>
      <c r="H519" s="26"/>
      <c r="I519" s="26"/>
      <c r="J519" s="26"/>
      <c r="K519" s="26"/>
      <c r="L519" s="26"/>
      <c r="M519" s="26"/>
      <c r="N519" s="26"/>
      <c r="O519" s="26"/>
      <c r="P519" s="26"/>
      <c r="Q519" s="26"/>
      <c r="R519" s="26"/>
      <c r="S519" s="26"/>
      <c r="T519" s="26"/>
      <c r="U519" s="26"/>
      <c r="V519" s="26"/>
      <c r="W519" s="26"/>
      <c r="X519" s="26"/>
      <c r="Y519" s="26"/>
      <c r="Z519" s="26"/>
    </row>
    <row r="520" spans="1:26" ht="19.5" customHeight="1" x14ac:dyDescent="0.85">
      <c r="A520" s="26"/>
      <c r="B520" s="26"/>
      <c r="C520" s="26"/>
      <c r="D520" s="26"/>
      <c r="E520" s="26"/>
      <c r="F520" s="26"/>
      <c r="G520" s="26"/>
      <c r="H520" s="26"/>
      <c r="I520" s="26"/>
      <c r="J520" s="26"/>
      <c r="K520" s="26"/>
      <c r="L520" s="26"/>
      <c r="M520" s="26"/>
      <c r="N520" s="26"/>
      <c r="O520" s="26"/>
      <c r="P520" s="26"/>
      <c r="Q520" s="26"/>
      <c r="R520" s="26"/>
      <c r="S520" s="26"/>
      <c r="T520" s="26"/>
      <c r="U520" s="26"/>
      <c r="V520" s="26"/>
      <c r="W520" s="26"/>
      <c r="X520" s="26"/>
      <c r="Y520" s="26"/>
      <c r="Z520" s="26"/>
    </row>
    <row r="521" spans="1:26" ht="19.5" customHeight="1" x14ac:dyDescent="0.85">
      <c r="A521" s="26"/>
      <c r="B521" s="26"/>
      <c r="C521" s="26"/>
      <c r="D521" s="26"/>
      <c r="E521" s="26"/>
      <c r="F521" s="26"/>
      <c r="G521" s="26"/>
      <c r="H521" s="26"/>
      <c r="I521" s="26"/>
      <c r="J521" s="26"/>
      <c r="K521" s="26"/>
      <c r="L521" s="26"/>
      <c r="M521" s="26"/>
      <c r="N521" s="26"/>
      <c r="O521" s="26"/>
      <c r="P521" s="26"/>
      <c r="Q521" s="26"/>
      <c r="R521" s="26"/>
      <c r="S521" s="26"/>
      <c r="T521" s="26"/>
      <c r="U521" s="26"/>
      <c r="V521" s="26"/>
      <c r="W521" s="26"/>
      <c r="X521" s="26"/>
      <c r="Y521" s="26"/>
      <c r="Z521" s="26"/>
    </row>
    <row r="522" spans="1:26" ht="19.5" customHeight="1" x14ac:dyDescent="0.85">
      <c r="A522" s="26"/>
      <c r="B522" s="26"/>
      <c r="C522" s="26"/>
      <c r="D522" s="26"/>
      <c r="E522" s="26"/>
      <c r="F522" s="26"/>
      <c r="G522" s="26"/>
      <c r="H522" s="26"/>
      <c r="I522" s="26"/>
      <c r="J522" s="26"/>
      <c r="K522" s="26"/>
      <c r="L522" s="26"/>
      <c r="M522" s="26"/>
      <c r="N522" s="26"/>
      <c r="O522" s="26"/>
      <c r="P522" s="26"/>
      <c r="Q522" s="26"/>
      <c r="R522" s="26"/>
      <c r="S522" s="26"/>
      <c r="T522" s="26"/>
      <c r="U522" s="26"/>
      <c r="V522" s="26"/>
      <c r="W522" s="26"/>
      <c r="X522" s="26"/>
      <c r="Y522" s="26"/>
      <c r="Z522" s="26"/>
    </row>
    <row r="523" spans="1:26" ht="19.5" customHeight="1" x14ac:dyDescent="0.85">
      <c r="A523" s="26"/>
      <c r="B523" s="26"/>
      <c r="C523" s="26"/>
      <c r="D523" s="26"/>
      <c r="E523" s="26"/>
      <c r="F523" s="26"/>
      <c r="G523" s="26"/>
      <c r="H523" s="26"/>
      <c r="I523" s="26"/>
      <c r="J523" s="26"/>
      <c r="K523" s="26"/>
      <c r="L523" s="26"/>
      <c r="M523" s="26"/>
      <c r="N523" s="26"/>
      <c r="O523" s="26"/>
      <c r="P523" s="26"/>
      <c r="Q523" s="26"/>
      <c r="R523" s="26"/>
      <c r="S523" s="26"/>
      <c r="T523" s="26"/>
      <c r="U523" s="26"/>
      <c r="V523" s="26"/>
      <c r="W523" s="26"/>
      <c r="X523" s="26"/>
      <c r="Y523" s="26"/>
      <c r="Z523" s="26"/>
    </row>
    <row r="524" spans="1:26" ht="19.5" customHeight="1" x14ac:dyDescent="0.85">
      <c r="A524" s="26"/>
      <c r="B524" s="26"/>
      <c r="C524" s="26"/>
      <c r="D524" s="26"/>
      <c r="E524" s="26"/>
      <c r="F524" s="26"/>
      <c r="G524" s="26"/>
      <c r="H524" s="26"/>
      <c r="I524" s="26"/>
      <c r="J524" s="26"/>
      <c r="K524" s="26"/>
      <c r="L524" s="26"/>
      <c r="M524" s="26"/>
      <c r="N524" s="26"/>
      <c r="O524" s="26"/>
      <c r="P524" s="26"/>
      <c r="Q524" s="26"/>
      <c r="R524" s="26"/>
      <c r="S524" s="26"/>
      <c r="T524" s="26"/>
      <c r="U524" s="26"/>
      <c r="V524" s="26"/>
      <c r="W524" s="26"/>
      <c r="X524" s="26"/>
      <c r="Y524" s="26"/>
      <c r="Z524" s="26"/>
    </row>
    <row r="525" spans="1:26" ht="19.5" customHeight="1" x14ac:dyDescent="0.85">
      <c r="A525" s="26"/>
      <c r="B525" s="26"/>
      <c r="C525" s="26"/>
      <c r="D525" s="26"/>
      <c r="E525" s="26"/>
      <c r="F525" s="26"/>
      <c r="G525" s="26"/>
      <c r="H525" s="26"/>
      <c r="I525" s="26"/>
      <c r="J525" s="26"/>
      <c r="K525" s="26"/>
      <c r="L525" s="26"/>
      <c r="M525" s="26"/>
      <c r="N525" s="26"/>
      <c r="O525" s="26"/>
      <c r="P525" s="26"/>
      <c r="Q525" s="26"/>
      <c r="R525" s="26"/>
      <c r="S525" s="26"/>
      <c r="T525" s="26"/>
      <c r="U525" s="26"/>
      <c r="V525" s="26"/>
      <c r="W525" s="26"/>
      <c r="X525" s="26"/>
      <c r="Y525" s="26"/>
      <c r="Z525" s="26"/>
    </row>
    <row r="526" spans="1:26" ht="19.5" customHeight="1" x14ac:dyDescent="0.85">
      <c r="A526" s="26"/>
      <c r="B526" s="26"/>
      <c r="C526" s="26"/>
      <c r="D526" s="26"/>
      <c r="E526" s="26"/>
      <c r="F526" s="26"/>
      <c r="G526" s="26"/>
      <c r="H526" s="26"/>
      <c r="I526" s="26"/>
      <c r="J526" s="26"/>
      <c r="K526" s="26"/>
      <c r="L526" s="26"/>
      <c r="M526" s="26"/>
      <c r="N526" s="26"/>
      <c r="O526" s="26"/>
      <c r="P526" s="26"/>
      <c r="Q526" s="26"/>
      <c r="R526" s="26"/>
      <c r="S526" s="26"/>
      <c r="T526" s="26"/>
      <c r="U526" s="26"/>
      <c r="V526" s="26"/>
      <c r="W526" s="26"/>
      <c r="X526" s="26"/>
      <c r="Y526" s="26"/>
      <c r="Z526" s="26"/>
    </row>
    <row r="527" spans="1:26" ht="19.5" customHeight="1" x14ac:dyDescent="0.85">
      <c r="A527" s="26"/>
      <c r="B527" s="26"/>
      <c r="C527" s="26"/>
      <c r="D527" s="26"/>
      <c r="E527" s="26"/>
      <c r="F527" s="26"/>
      <c r="G527" s="26"/>
      <c r="H527" s="26"/>
      <c r="I527" s="26"/>
      <c r="J527" s="26"/>
      <c r="K527" s="26"/>
      <c r="L527" s="26"/>
      <c r="M527" s="26"/>
      <c r="N527" s="26"/>
      <c r="O527" s="26"/>
      <c r="P527" s="26"/>
      <c r="Q527" s="26"/>
      <c r="R527" s="26"/>
      <c r="S527" s="26"/>
      <c r="T527" s="26"/>
      <c r="U527" s="26"/>
      <c r="V527" s="26"/>
      <c r="W527" s="26"/>
      <c r="X527" s="26"/>
      <c r="Y527" s="26"/>
      <c r="Z527" s="26"/>
    </row>
    <row r="528" spans="1:26" ht="19.5" customHeight="1" x14ac:dyDescent="0.85">
      <c r="A528" s="26"/>
      <c r="B528" s="26"/>
      <c r="C528" s="26"/>
      <c r="D528" s="26"/>
      <c r="E528" s="26"/>
      <c r="F528" s="26"/>
      <c r="G528" s="26"/>
      <c r="H528" s="26"/>
      <c r="I528" s="26"/>
      <c r="J528" s="26"/>
      <c r="K528" s="26"/>
      <c r="L528" s="26"/>
      <c r="M528" s="26"/>
      <c r="N528" s="26"/>
      <c r="O528" s="26"/>
      <c r="P528" s="26"/>
      <c r="Q528" s="26"/>
      <c r="R528" s="26"/>
      <c r="S528" s="26"/>
      <c r="T528" s="26"/>
      <c r="U528" s="26"/>
      <c r="V528" s="26"/>
      <c r="W528" s="26"/>
      <c r="X528" s="26"/>
      <c r="Y528" s="26"/>
      <c r="Z528" s="26"/>
    </row>
    <row r="529" spans="1:26" ht="19.5" customHeight="1" x14ac:dyDescent="0.85">
      <c r="A529" s="26"/>
      <c r="B529" s="26"/>
      <c r="C529" s="26"/>
      <c r="D529" s="26"/>
      <c r="E529" s="26"/>
      <c r="F529" s="26"/>
      <c r="G529" s="26"/>
      <c r="H529" s="26"/>
      <c r="I529" s="26"/>
      <c r="J529" s="26"/>
      <c r="K529" s="26"/>
      <c r="L529" s="26"/>
      <c r="M529" s="26"/>
      <c r="N529" s="26"/>
      <c r="O529" s="26"/>
      <c r="P529" s="26"/>
      <c r="Q529" s="26"/>
      <c r="R529" s="26"/>
      <c r="S529" s="26"/>
      <c r="T529" s="26"/>
      <c r="U529" s="26"/>
      <c r="V529" s="26"/>
      <c r="W529" s="26"/>
      <c r="X529" s="26"/>
      <c r="Y529" s="26"/>
      <c r="Z529" s="26"/>
    </row>
    <row r="530" spans="1:26" ht="19.5" customHeight="1" x14ac:dyDescent="0.85">
      <c r="A530" s="26"/>
      <c r="B530" s="26"/>
      <c r="C530" s="26"/>
      <c r="D530" s="26"/>
      <c r="E530" s="26"/>
      <c r="F530" s="26"/>
      <c r="G530" s="26"/>
      <c r="H530" s="26"/>
      <c r="I530" s="26"/>
      <c r="J530" s="26"/>
      <c r="K530" s="26"/>
      <c r="L530" s="26"/>
      <c r="M530" s="26"/>
      <c r="N530" s="26"/>
      <c r="O530" s="26"/>
      <c r="P530" s="26"/>
      <c r="Q530" s="26"/>
      <c r="R530" s="26"/>
      <c r="S530" s="26"/>
      <c r="T530" s="26"/>
      <c r="U530" s="26"/>
      <c r="V530" s="26"/>
      <c r="W530" s="26"/>
      <c r="X530" s="26"/>
      <c r="Y530" s="26"/>
      <c r="Z530" s="26"/>
    </row>
    <row r="531" spans="1:26" ht="19.5" customHeight="1" x14ac:dyDescent="0.85">
      <c r="A531" s="26"/>
      <c r="B531" s="26"/>
      <c r="C531" s="26"/>
      <c r="D531" s="26"/>
      <c r="E531" s="26"/>
      <c r="F531" s="26"/>
      <c r="G531" s="26"/>
      <c r="H531" s="26"/>
      <c r="I531" s="26"/>
      <c r="J531" s="26"/>
      <c r="K531" s="26"/>
      <c r="L531" s="26"/>
      <c r="M531" s="26"/>
      <c r="N531" s="26"/>
      <c r="O531" s="26"/>
      <c r="P531" s="26"/>
      <c r="Q531" s="26"/>
      <c r="R531" s="26"/>
      <c r="S531" s="26"/>
      <c r="T531" s="26"/>
      <c r="U531" s="26"/>
      <c r="V531" s="26"/>
      <c r="W531" s="26"/>
      <c r="X531" s="26"/>
      <c r="Y531" s="26"/>
      <c r="Z531" s="26"/>
    </row>
    <row r="532" spans="1:26" ht="19.5" customHeight="1" x14ac:dyDescent="0.85">
      <c r="A532" s="26"/>
      <c r="B532" s="26"/>
      <c r="C532" s="26"/>
      <c r="D532" s="26"/>
      <c r="E532" s="26"/>
      <c r="F532" s="26"/>
      <c r="G532" s="26"/>
      <c r="H532" s="26"/>
      <c r="I532" s="26"/>
      <c r="J532" s="26"/>
      <c r="K532" s="26"/>
      <c r="L532" s="26"/>
      <c r="M532" s="26"/>
      <c r="N532" s="26"/>
      <c r="O532" s="26"/>
      <c r="P532" s="26"/>
      <c r="Q532" s="26"/>
      <c r="R532" s="26"/>
      <c r="S532" s="26"/>
      <c r="T532" s="26"/>
      <c r="U532" s="26"/>
      <c r="V532" s="26"/>
      <c r="W532" s="26"/>
      <c r="X532" s="26"/>
      <c r="Y532" s="26"/>
      <c r="Z532" s="26"/>
    </row>
    <row r="533" spans="1:26" ht="19.5" customHeight="1" x14ac:dyDescent="0.85">
      <c r="A533" s="26"/>
      <c r="B533" s="26"/>
      <c r="C533" s="26"/>
      <c r="D533" s="26"/>
      <c r="E533" s="26"/>
      <c r="F533" s="26"/>
      <c r="G533" s="26"/>
      <c r="H533" s="26"/>
      <c r="I533" s="26"/>
      <c r="J533" s="26"/>
      <c r="K533" s="26"/>
      <c r="L533" s="26"/>
      <c r="M533" s="26"/>
      <c r="N533" s="26"/>
      <c r="O533" s="26"/>
      <c r="P533" s="26"/>
      <c r="Q533" s="26"/>
      <c r="R533" s="26"/>
      <c r="S533" s="26"/>
      <c r="T533" s="26"/>
      <c r="U533" s="26"/>
      <c r="V533" s="26"/>
      <c r="W533" s="26"/>
      <c r="X533" s="26"/>
      <c r="Y533" s="26"/>
      <c r="Z533" s="26"/>
    </row>
    <row r="534" spans="1:26" ht="19.5" customHeight="1" x14ac:dyDescent="0.85">
      <c r="A534" s="26"/>
      <c r="B534" s="26"/>
      <c r="C534" s="26"/>
      <c r="D534" s="26"/>
      <c r="E534" s="26"/>
      <c r="F534" s="26"/>
      <c r="G534" s="26"/>
      <c r="H534" s="26"/>
      <c r="I534" s="26"/>
      <c r="J534" s="26"/>
      <c r="K534" s="26"/>
      <c r="L534" s="26"/>
      <c r="M534" s="26"/>
      <c r="N534" s="26"/>
      <c r="O534" s="26"/>
      <c r="P534" s="26"/>
      <c r="Q534" s="26"/>
      <c r="R534" s="26"/>
      <c r="S534" s="26"/>
      <c r="T534" s="26"/>
      <c r="U534" s="26"/>
      <c r="V534" s="26"/>
      <c r="W534" s="26"/>
      <c r="X534" s="26"/>
      <c r="Y534" s="26"/>
      <c r="Z534" s="26"/>
    </row>
    <row r="535" spans="1:26" ht="19.5" customHeight="1" x14ac:dyDescent="0.85">
      <c r="A535" s="26"/>
      <c r="B535" s="26"/>
      <c r="C535" s="26"/>
      <c r="D535" s="26"/>
      <c r="E535" s="26"/>
      <c r="F535" s="26"/>
      <c r="G535" s="26"/>
      <c r="H535" s="26"/>
      <c r="I535" s="26"/>
      <c r="J535" s="26"/>
      <c r="K535" s="26"/>
      <c r="L535" s="26"/>
      <c r="M535" s="26"/>
      <c r="N535" s="26"/>
      <c r="O535" s="26"/>
      <c r="P535" s="26"/>
      <c r="Q535" s="26"/>
      <c r="R535" s="26"/>
      <c r="S535" s="26"/>
      <c r="T535" s="26"/>
      <c r="U535" s="26"/>
      <c r="V535" s="26"/>
      <c r="W535" s="26"/>
      <c r="X535" s="26"/>
      <c r="Y535" s="26"/>
      <c r="Z535" s="26"/>
    </row>
    <row r="536" spans="1:26" ht="19.5" customHeight="1" x14ac:dyDescent="0.85">
      <c r="A536" s="26"/>
      <c r="B536" s="26"/>
      <c r="C536" s="26"/>
      <c r="D536" s="26"/>
      <c r="E536" s="26"/>
      <c r="F536" s="26"/>
      <c r="G536" s="26"/>
      <c r="H536" s="26"/>
      <c r="I536" s="26"/>
      <c r="J536" s="26"/>
      <c r="K536" s="26"/>
      <c r="L536" s="26"/>
      <c r="M536" s="26"/>
      <c r="N536" s="26"/>
      <c r="O536" s="26"/>
      <c r="P536" s="26"/>
      <c r="Q536" s="26"/>
      <c r="R536" s="26"/>
      <c r="S536" s="26"/>
      <c r="T536" s="26"/>
      <c r="U536" s="26"/>
      <c r="V536" s="26"/>
      <c r="W536" s="26"/>
      <c r="X536" s="26"/>
      <c r="Y536" s="26"/>
      <c r="Z536" s="26"/>
    </row>
    <row r="537" spans="1:26" ht="19.5" customHeight="1" x14ac:dyDescent="0.85">
      <c r="A537" s="26"/>
      <c r="B537" s="26"/>
      <c r="C537" s="26"/>
      <c r="D537" s="26"/>
      <c r="E537" s="26"/>
      <c r="F537" s="26"/>
      <c r="G537" s="26"/>
      <c r="H537" s="26"/>
      <c r="I537" s="26"/>
      <c r="J537" s="26"/>
      <c r="K537" s="26"/>
      <c r="L537" s="26"/>
      <c r="M537" s="26"/>
      <c r="N537" s="26"/>
      <c r="O537" s="26"/>
      <c r="P537" s="26"/>
      <c r="Q537" s="26"/>
      <c r="R537" s="26"/>
      <c r="S537" s="26"/>
      <c r="T537" s="26"/>
      <c r="U537" s="26"/>
      <c r="V537" s="26"/>
      <c r="W537" s="26"/>
      <c r="X537" s="26"/>
      <c r="Y537" s="26"/>
      <c r="Z537" s="26"/>
    </row>
    <row r="538" spans="1:26" ht="19.5" customHeight="1" x14ac:dyDescent="0.85">
      <c r="A538" s="26"/>
      <c r="B538" s="26"/>
      <c r="C538" s="26"/>
      <c r="D538" s="26"/>
      <c r="E538" s="26"/>
      <c r="F538" s="26"/>
      <c r="G538" s="26"/>
      <c r="H538" s="26"/>
      <c r="I538" s="26"/>
      <c r="J538" s="26"/>
      <c r="K538" s="26"/>
      <c r="L538" s="26"/>
      <c r="M538" s="26"/>
      <c r="N538" s="26"/>
      <c r="O538" s="26"/>
      <c r="P538" s="26"/>
      <c r="Q538" s="26"/>
      <c r="R538" s="26"/>
      <c r="S538" s="26"/>
      <c r="T538" s="26"/>
      <c r="U538" s="26"/>
      <c r="V538" s="26"/>
      <c r="W538" s="26"/>
      <c r="X538" s="26"/>
      <c r="Y538" s="26"/>
      <c r="Z538" s="26"/>
    </row>
    <row r="539" spans="1:26" ht="19.5" customHeight="1" x14ac:dyDescent="0.85">
      <c r="A539" s="26"/>
      <c r="B539" s="26"/>
      <c r="C539" s="26"/>
      <c r="D539" s="26"/>
      <c r="E539" s="26"/>
      <c r="F539" s="26"/>
      <c r="G539" s="26"/>
      <c r="H539" s="26"/>
      <c r="I539" s="26"/>
      <c r="J539" s="26"/>
      <c r="K539" s="26"/>
      <c r="L539" s="26"/>
      <c r="M539" s="26"/>
      <c r="N539" s="26"/>
      <c r="O539" s="26"/>
      <c r="P539" s="26"/>
      <c r="Q539" s="26"/>
      <c r="R539" s="26"/>
      <c r="S539" s="26"/>
      <c r="T539" s="26"/>
      <c r="U539" s="26"/>
      <c r="V539" s="26"/>
      <c r="W539" s="26"/>
      <c r="X539" s="26"/>
      <c r="Y539" s="26"/>
      <c r="Z539" s="26"/>
    </row>
    <row r="540" spans="1:26" ht="19.5" customHeight="1" x14ac:dyDescent="0.85">
      <c r="A540" s="26"/>
      <c r="B540" s="26"/>
      <c r="C540" s="26"/>
      <c r="D540" s="26"/>
      <c r="E540" s="26"/>
      <c r="F540" s="26"/>
      <c r="G540" s="26"/>
      <c r="H540" s="26"/>
      <c r="I540" s="26"/>
      <c r="J540" s="26"/>
      <c r="K540" s="26"/>
      <c r="L540" s="26"/>
      <c r="M540" s="26"/>
      <c r="N540" s="26"/>
      <c r="O540" s="26"/>
      <c r="P540" s="26"/>
      <c r="Q540" s="26"/>
      <c r="R540" s="26"/>
      <c r="S540" s="26"/>
      <c r="T540" s="26"/>
      <c r="U540" s="26"/>
      <c r="V540" s="26"/>
      <c r="W540" s="26"/>
      <c r="X540" s="26"/>
      <c r="Y540" s="26"/>
      <c r="Z540" s="26"/>
    </row>
    <row r="541" spans="1:26" ht="19.5" customHeight="1" x14ac:dyDescent="0.85">
      <c r="A541" s="26"/>
      <c r="B541" s="26"/>
      <c r="C541" s="26"/>
      <c r="D541" s="26"/>
      <c r="E541" s="26"/>
      <c r="F541" s="26"/>
      <c r="G541" s="26"/>
      <c r="H541" s="26"/>
      <c r="I541" s="26"/>
      <c r="J541" s="26"/>
      <c r="K541" s="26"/>
      <c r="L541" s="26"/>
      <c r="M541" s="26"/>
      <c r="N541" s="26"/>
      <c r="O541" s="26"/>
      <c r="P541" s="26"/>
      <c r="Q541" s="26"/>
      <c r="R541" s="26"/>
      <c r="S541" s="26"/>
      <c r="T541" s="26"/>
      <c r="U541" s="26"/>
      <c r="V541" s="26"/>
      <c r="W541" s="26"/>
      <c r="X541" s="26"/>
      <c r="Y541" s="26"/>
      <c r="Z541" s="26"/>
    </row>
    <row r="542" spans="1:26" ht="19.5" customHeight="1" x14ac:dyDescent="0.85">
      <c r="A542" s="26"/>
      <c r="B542" s="26"/>
      <c r="C542" s="26"/>
      <c r="D542" s="26"/>
      <c r="E542" s="26"/>
      <c r="F542" s="26"/>
      <c r="G542" s="26"/>
      <c r="H542" s="26"/>
      <c r="I542" s="26"/>
      <c r="J542" s="26"/>
      <c r="K542" s="26"/>
      <c r="L542" s="26"/>
      <c r="M542" s="26"/>
      <c r="N542" s="26"/>
      <c r="O542" s="26"/>
      <c r="P542" s="26"/>
      <c r="Q542" s="26"/>
      <c r="R542" s="26"/>
      <c r="S542" s="26"/>
      <c r="T542" s="26"/>
      <c r="U542" s="26"/>
      <c r="V542" s="26"/>
      <c r="W542" s="26"/>
      <c r="X542" s="26"/>
      <c r="Y542" s="26"/>
      <c r="Z542" s="26"/>
    </row>
    <row r="543" spans="1:26" ht="19.5" customHeight="1" x14ac:dyDescent="0.85">
      <c r="A543" s="26"/>
      <c r="B543" s="26"/>
      <c r="C543" s="26"/>
      <c r="D543" s="26"/>
      <c r="E543" s="26"/>
      <c r="F543" s="26"/>
      <c r="G543" s="26"/>
      <c r="H543" s="26"/>
      <c r="I543" s="26"/>
      <c r="J543" s="26"/>
      <c r="K543" s="26"/>
      <c r="L543" s="26"/>
      <c r="M543" s="26"/>
      <c r="N543" s="26"/>
      <c r="O543" s="26"/>
      <c r="P543" s="26"/>
      <c r="Q543" s="26"/>
      <c r="R543" s="26"/>
      <c r="S543" s="26"/>
      <c r="T543" s="26"/>
      <c r="U543" s="26"/>
      <c r="V543" s="26"/>
      <c r="W543" s="26"/>
      <c r="X543" s="26"/>
      <c r="Y543" s="26"/>
      <c r="Z543" s="26"/>
    </row>
    <row r="544" spans="1:26" ht="19.5" customHeight="1" x14ac:dyDescent="0.85">
      <c r="A544" s="26"/>
      <c r="B544" s="26"/>
      <c r="C544" s="26"/>
      <c r="D544" s="26"/>
      <c r="E544" s="26"/>
      <c r="F544" s="26"/>
      <c r="G544" s="26"/>
      <c r="H544" s="26"/>
      <c r="I544" s="26"/>
      <c r="J544" s="26"/>
      <c r="K544" s="26"/>
      <c r="L544" s="26"/>
      <c r="M544" s="26"/>
      <c r="N544" s="26"/>
      <c r="O544" s="26"/>
      <c r="P544" s="26"/>
      <c r="Q544" s="26"/>
      <c r="R544" s="26"/>
      <c r="S544" s="26"/>
      <c r="T544" s="26"/>
      <c r="U544" s="26"/>
      <c r="V544" s="26"/>
      <c r="W544" s="26"/>
      <c r="X544" s="26"/>
      <c r="Y544" s="26"/>
      <c r="Z544" s="26"/>
    </row>
    <row r="545" spans="1:26" ht="19.5" customHeight="1" x14ac:dyDescent="0.85">
      <c r="A545" s="26"/>
      <c r="B545" s="26"/>
      <c r="C545" s="26"/>
      <c r="D545" s="26"/>
      <c r="E545" s="26"/>
      <c r="F545" s="26"/>
      <c r="G545" s="26"/>
      <c r="H545" s="26"/>
      <c r="I545" s="26"/>
      <c r="J545" s="26"/>
      <c r="K545" s="26"/>
      <c r="L545" s="26"/>
      <c r="M545" s="26"/>
      <c r="N545" s="26"/>
      <c r="O545" s="26"/>
      <c r="P545" s="26"/>
      <c r="Q545" s="26"/>
      <c r="R545" s="26"/>
      <c r="S545" s="26"/>
      <c r="T545" s="26"/>
      <c r="U545" s="26"/>
      <c r="V545" s="26"/>
      <c r="W545" s="26"/>
      <c r="X545" s="26"/>
      <c r="Y545" s="26"/>
      <c r="Z545" s="26"/>
    </row>
    <row r="546" spans="1:26" ht="19.5" customHeight="1" x14ac:dyDescent="0.85">
      <c r="A546" s="26"/>
      <c r="B546" s="26"/>
      <c r="C546" s="26"/>
      <c r="D546" s="26"/>
      <c r="E546" s="26"/>
      <c r="F546" s="26"/>
      <c r="G546" s="26"/>
      <c r="H546" s="26"/>
      <c r="I546" s="26"/>
      <c r="J546" s="26"/>
      <c r="K546" s="26"/>
      <c r="L546" s="26"/>
      <c r="M546" s="26"/>
      <c r="N546" s="26"/>
      <c r="O546" s="26"/>
      <c r="P546" s="26"/>
      <c r="Q546" s="26"/>
      <c r="R546" s="26"/>
      <c r="S546" s="26"/>
      <c r="T546" s="26"/>
      <c r="U546" s="26"/>
      <c r="V546" s="26"/>
      <c r="W546" s="26"/>
      <c r="X546" s="26"/>
      <c r="Y546" s="26"/>
      <c r="Z546" s="26"/>
    </row>
    <row r="547" spans="1:26" ht="19.5" customHeight="1" x14ac:dyDescent="0.85">
      <c r="A547" s="26"/>
      <c r="B547" s="26"/>
      <c r="C547" s="26"/>
      <c r="D547" s="26"/>
      <c r="E547" s="26"/>
      <c r="F547" s="26"/>
      <c r="G547" s="26"/>
      <c r="H547" s="26"/>
      <c r="I547" s="26"/>
      <c r="J547" s="26"/>
      <c r="K547" s="26"/>
      <c r="L547" s="26"/>
      <c r="M547" s="26"/>
      <c r="N547" s="26"/>
      <c r="O547" s="26"/>
      <c r="P547" s="26"/>
      <c r="Q547" s="26"/>
      <c r="R547" s="26"/>
      <c r="S547" s="26"/>
      <c r="T547" s="26"/>
      <c r="U547" s="26"/>
      <c r="V547" s="26"/>
      <c r="W547" s="26"/>
      <c r="X547" s="26"/>
      <c r="Y547" s="26"/>
      <c r="Z547" s="26"/>
    </row>
    <row r="548" spans="1:26" ht="19.5" customHeight="1" x14ac:dyDescent="0.85">
      <c r="A548" s="26"/>
      <c r="B548" s="26"/>
      <c r="C548" s="26"/>
      <c r="D548" s="26"/>
      <c r="E548" s="26"/>
      <c r="F548" s="26"/>
      <c r="G548" s="26"/>
      <c r="H548" s="26"/>
      <c r="I548" s="26"/>
      <c r="J548" s="26"/>
      <c r="K548" s="26"/>
      <c r="L548" s="26"/>
      <c r="M548" s="26"/>
      <c r="N548" s="26"/>
      <c r="O548" s="26"/>
      <c r="P548" s="26"/>
      <c r="Q548" s="26"/>
      <c r="R548" s="26"/>
      <c r="S548" s="26"/>
      <c r="T548" s="26"/>
      <c r="U548" s="26"/>
      <c r="V548" s="26"/>
      <c r="W548" s="26"/>
      <c r="X548" s="26"/>
      <c r="Y548" s="26"/>
      <c r="Z548" s="26"/>
    </row>
    <row r="549" spans="1:26" ht="19.5" customHeight="1" x14ac:dyDescent="0.85">
      <c r="A549" s="26"/>
      <c r="B549" s="26"/>
      <c r="C549" s="26"/>
      <c r="D549" s="26"/>
      <c r="E549" s="26"/>
      <c r="F549" s="26"/>
      <c r="G549" s="26"/>
      <c r="H549" s="26"/>
      <c r="I549" s="26"/>
      <c r="J549" s="26"/>
      <c r="K549" s="26"/>
      <c r="L549" s="26"/>
      <c r="M549" s="26"/>
      <c r="N549" s="26"/>
      <c r="O549" s="26"/>
      <c r="P549" s="26"/>
      <c r="Q549" s="26"/>
      <c r="R549" s="26"/>
      <c r="S549" s="26"/>
      <c r="T549" s="26"/>
      <c r="U549" s="26"/>
      <c r="V549" s="26"/>
      <c r="W549" s="26"/>
      <c r="X549" s="26"/>
      <c r="Y549" s="26"/>
      <c r="Z549" s="26"/>
    </row>
    <row r="550" spans="1:26" ht="19.5" customHeight="1" x14ac:dyDescent="0.85">
      <c r="A550" s="26"/>
      <c r="B550" s="26"/>
      <c r="C550" s="26"/>
      <c r="D550" s="26"/>
      <c r="E550" s="26"/>
      <c r="F550" s="26"/>
      <c r="G550" s="26"/>
      <c r="H550" s="26"/>
      <c r="I550" s="26"/>
      <c r="J550" s="26"/>
      <c r="K550" s="26"/>
      <c r="L550" s="26"/>
      <c r="M550" s="26"/>
      <c r="N550" s="26"/>
      <c r="O550" s="26"/>
      <c r="P550" s="26"/>
      <c r="Q550" s="26"/>
      <c r="R550" s="26"/>
      <c r="S550" s="26"/>
      <c r="T550" s="26"/>
      <c r="U550" s="26"/>
      <c r="V550" s="26"/>
      <c r="W550" s="26"/>
      <c r="X550" s="26"/>
      <c r="Y550" s="26"/>
      <c r="Z550" s="26"/>
    </row>
    <row r="551" spans="1:26" ht="19.5" customHeight="1" x14ac:dyDescent="0.85">
      <c r="A551" s="26"/>
      <c r="B551" s="26"/>
      <c r="C551" s="26"/>
      <c r="D551" s="26"/>
      <c r="E551" s="26"/>
      <c r="F551" s="26"/>
      <c r="G551" s="26"/>
      <c r="H551" s="26"/>
      <c r="I551" s="26"/>
      <c r="J551" s="26"/>
      <c r="K551" s="26"/>
      <c r="L551" s="26"/>
      <c r="M551" s="26"/>
      <c r="N551" s="26"/>
      <c r="O551" s="26"/>
      <c r="P551" s="26"/>
      <c r="Q551" s="26"/>
      <c r="R551" s="26"/>
      <c r="S551" s="26"/>
      <c r="T551" s="26"/>
      <c r="U551" s="26"/>
      <c r="V551" s="26"/>
      <c r="W551" s="26"/>
      <c r="X551" s="26"/>
      <c r="Y551" s="26"/>
      <c r="Z551" s="26"/>
    </row>
    <row r="552" spans="1:26" ht="19.5" customHeight="1" x14ac:dyDescent="0.85">
      <c r="A552" s="26"/>
      <c r="B552" s="26"/>
      <c r="C552" s="26"/>
      <c r="D552" s="26"/>
      <c r="E552" s="26"/>
      <c r="F552" s="26"/>
      <c r="G552" s="26"/>
      <c r="H552" s="26"/>
      <c r="I552" s="26"/>
      <c r="J552" s="26"/>
      <c r="K552" s="26"/>
      <c r="L552" s="26"/>
      <c r="M552" s="26"/>
      <c r="N552" s="26"/>
      <c r="O552" s="26"/>
      <c r="P552" s="26"/>
      <c r="Q552" s="26"/>
      <c r="R552" s="26"/>
      <c r="S552" s="26"/>
      <c r="T552" s="26"/>
      <c r="U552" s="26"/>
      <c r="V552" s="26"/>
      <c r="W552" s="26"/>
      <c r="X552" s="26"/>
      <c r="Y552" s="26"/>
      <c r="Z552" s="26"/>
    </row>
    <row r="553" spans="1:26" ht="19.5" customHeight="1" x14ac:dyDescent="0.85">
      <c r="A553" s="26"/>
      <c r="B553" s="26"/>
      <c r="C553" s="26"/>
      <c r="D553" s="26"/>
      <c r="E553" s="26"/>
      <c r="F553" s="26"/>
      <c r="G553" s="26"/>
      <c r="H553" s="26"/>
      <c r="I553" s="26"/>
      <c r="J553" s="26"/>
      <c r="K553" s="26"/>
      <c r="L553" s="26"/>
      <c r="M553" s="26"/>
      <c r="N553" s="26"/>
      <c r="O553" s="26"/>
      <c r="P553" s="26"/>
      <c r="Q553" s="26"/>
      <c r="R553" s="26"/>
      <c r="S553" s="26"/>
      <c r="T553" s="26"/>
      <c r="U553" s="26"/>
      <c r="V553" s="26"/>
      <c r="W553" s="26"/>
      <c r="X553" s="26"/>
      <c r="Y553" s="26"/>
      <c r="Z553" s="26"/>
    </row>
    <row r="554" spans="1:26" ht="19.5" customHeight="1" x14ac:dyDescent="0.85">
      <c r="A554" s="26"/>
      <c r="B554" s="26"/>
      <c r="C554" s="26"/>
      <c r="D554" s="26"/>
      <c r="E554" s="26"/>
      <c r="F554" s="26"/>
      <c r="G554" s="26"/>
      <c r="H554" s="26"/>
      <c r="I554" s="26"/>
      <c r="J554" s="26"/>
      <c r="K554" s="26"/>
      <c r="L554" s="26"/>
      <c r="M554" s="26"/>
      <c r="N554" s="26"/>
      <c r="O554" s="26"/>
      <c r="P554" s="26"/>
      <c r="Q554" s="26"/>
      <c r="R554" s="26"/>
      <c r="S554" s="26"/>
      <c r="T554" s="26"/>
      <c r="U554" s="26"/>
      <c r="V554" s="26"/>
      <c r="W554" s="26"/>
      <c r="X554" s="26"/>
      <c r="Y554" s="26"/>
      <c r="Z554" s="26"/>
    </row>
    <row r="555" spans="1:26" ht="19.5" customHeight="1" x14ac:dyDescent="0.85">
      <c r="A555" s="26"/>
      <c r="B555" s="26"/>
      <c r="C555" s="26"/>
      <c r="D555" s="26"/>
      <c r="E555" s="26"/>
      <c r="F555" s="26"/>
      <c r="G555" s="26"/>
      <c r="H555" s="26"/>
      <c r="I555" s="26"/>
      <c r="J555" s="26"/>
      <c r="K555" s="26"/>
      <c r="L555" s="26"/>
      <c r="M555" s="26"/>
      <c r="N555" s="26"/>
      <c r="O555" s="26"/>
      <c r="P555" s="26"/>
      <c r="Q555" s="26"/>
      <c r="R555" s="26"/>
      <c r="S555" s="26"/>
      <c r="T555" s="26"/>
      <c r="U555" s="26"/>
      <c r="V555" s="26"/>
      <c r="W555" s="26"/>
      <c r="X555" s="26"/>
      <c r="Y555" s="26"/>
      <c r="Z555" s="26"/>
    </row>
    <row r="556" spans="1:26" ht="19.5" customHeight="1" x14ac:dyDescent="0.85">
      <c r="A556" s="26"/>
      <c r="B556" s="26"/>
      <c r="C556" s="26"/>
      <c r="D556" s="26"/>
      <c r="E556" s="26"/>
      <c r="F556" s="26"/>
      <c r="G556" s="26"/>
      <c r="H556" s="26"/>
      <c r="I556" s="26"/>
      <c r="J556" s="26"/>
      <c r="K556" s="26"/>
      <c r="L556" s="26"/>
      <c r="M556" s="26"/>
      <c r="N556" s="26"/>
      <c r="O556" s="26"/>
      <c r="P556" s="26"/>
      <c r="Q556" s="26"/>
      <c r="R556" s="26"/>
      <c r="S556" s="26"/>
      <c r="T556" s="26"/>
      <c r="U556" s="26"/>
      <c r="V556" s="26"/>
      <c r="W556" s="26"/>
      <c r="X556" s="26"/>
      <c r="Y556" s="26"/>
      <c r="Z556" s="26"/>
    </row>
    <row r="557" spans="1:26" ht="19.5" customHeight="1" x14ac:dyDescent="0.85">
      <c r="A557" s="26"/>
      <c r="B557" s="26"/>
      <c r="C557" s="26"/>
      <c r="D557" s="26"/>
      <c r="E557" s="26"/>
      <c r="F557" s="26"/>
      <c r="G557" s="26"/>
      <c r="H557" s="26"/>
      <c r="I557" s="26"/>
      <c r="J557" s="26"/>
      <c r="K557" s="26"/>
      <c r="L557" s="26"/>
      <c r="M557" s="26"/>
      <c r="N557" s="26"/>
      <c r="O557" s="26"/>
      <c r="P557" s="26"/>
      <c r="Q557" s="26"/>
      <c r="R557" s="26"/>
      <c r="S557" s="26"/>
      <c r="T557" s="26"/>
      <c r="U557" s="26"/>
      <c r="V557" s="26"/>
      <c r="W557" s="26"/>
      <c r="X557" s="26"/>
      <c r="Y557" s="26"/>
      <c r="Z557" s="26"/>
    </row>
    <row r="558" spans="1:26" ht="19.5" customHeight="1" x14ac:dyDescent="0.85">
      <c r="A558" s="26"/>
      <c r="B558" s="26"/>
      <c r="C558" s="26"/>
      <c r="D558" s="26"/>
      <c r="E558" s="26"/>
      <c r="F558" s="26"/>
      <c r="G558" s="26"/>
      <c r="H558" s="26"/>
      <c r="I558" s="26"/>
      <c r="J558" s="26"/>
      <c r="K558" s="26"/>
      <c r="L558" s="26"/>
      <c r="M558" s="26"/>
      <c r="N558" s="26"/>
      <c r="O558" s="26"/>
      <c r="P558" s="26"/>
      <c r="Q558" s="26"/>
      <c r="R558" s="26"/>
      <c r="S558" s="26"/>
      <c r="T558" s="26"/>
      <c r="U558" s="26"/>
      <c r="V558" s="26"/>
      <c r="W558" s="26"/>
      <c r="X558" s="26"/>
      <c r="Y558" s="26"/>
      <c r="Z558" s="26"/>
    </row>
    <row r="559" spans="1:26" ht="19.5" customHeight="1" x14ac:dyDescent="0.85">
      <c r="A559" s="26"/>
      <c r="B559" s="26"/>
      <c r="C559" s="26"/>
      <c r="D559" s="26"/>
      <c r="E559" s="26"/>
      <c r="F559" s="26"/>
      <c r="G559" s="26"/>
      <c r="H559" s="26"/>
      <c r="I559" s="26"/>
      <c r="J559" s="26"/>
      <c r="K559" s="26"/>
      <c r="L559" s="26"/>
      <c r="M559" s="26"/>
      <c r="N559" s="26"/>
      <c r="O559" s="26"/>
      <c r="P559" s="26"/>
      <c r="Q559" s="26"/>
      <c r="R559" s="26"/>
      <c r="S559" s="26"/>
      <c r="T559" s="26"/>
      <c r="U559" s="26"/>
      <c r="V559" s="26"/>
      <c r="W559" s="26"/>
      <c r="X559" s="26"/>
      <c r="Y559" s="26"/>
      <c r="Z559" s="26"/>
    </row>
    <row r="560" spans="1:26" ht="19.5" customHeight="1" x14ac:dyDescent="0.85">
      <c r="A560" s="26"/>
      <c r="B560" s="26"/>
      <c r="C560" s="26"/>
      <c r="D560" s="26"/>
      <c r="E560" s="26"/>
      <c r="F560" s="26"/>
      <c r="G560" s="26"/>
      <c r="H560" s="26"/>
      <c r="I560" s="26"/>
      <c r="J560" s="26"/>
      <c r="K560" s="26"/>
      <c r="L560" s="26"/>
      <c r="M560" s="26"/>
      <c r="N560" s="26"/>
      <c r="O560" s="26"/>
      <c r="P560" s="26"/>
      <c r="Q560" s="26"/>
      <c r="R560" s="26"/>
      <c r="S560" s="26"/>
      <c r="T560" s="26"/>
      <c r="U560" s="26"/>
      <c r="V560" s="26"/>
      <c r="W560" s="26"/>
      <c r="X560" s="26"/>
      <c r="Y560" s="26"/>
      <c r="Z560" s="26"/>
    </row>
    <row r="561" spans="1:26" ht="19.5" customHeight="1" x14ac:dyDescent="0.85">
      <c r="A561" s="26"/>
      <c r="B561" s="26"/>
      <c r="C561" s="26"/>
      <c r="D561" s="26"/>
      <c r="E561" s="26"/>
      <c r="F561" s="26"/>
      <c r="G561" s="26"/>
      <c r="H561" s="26"/>
      <c r="I561" s="26"/>
      <c r="J561" s="26"/>
      <c r="K561" s="26"/>
      <c r="L561" s="26"/>
      <c r="M561" s="26"/>
      <c r="N561" s="26"/>
      <c r="O561" s="26"/>
      <c r="P561" s="26"/>
      <c r="Q561" s="26"/>
      <c r="R561" s="26"/>
      <c r="S561" s="26"/>
      <c r="T561" s="26"/>
      <c r="U561" s="26"/>
      <c r="V561" s="26"/>
      <c r="W561" s="26"/>
      <c r="X561" s="26"/>
      <c r="Y561" s="26"/>
      <c r="Z561" s="26"/>
    </row>
    <row r="562" spans="1:26" ht="19.5" customHeight="1" x14ac:dyDescent="0.85">
      <c r="A562" s="26"/>
      <c r="B562" s="26"/>
      <c r="C562" s="26"/>
      <c r="D562" s="26"/>
      <c r="E562" s="26"/>
      <c r="F562" s="26"/>
      <c r="G562" s="26"/>
      <c r="H562" s="26"/>
      <c r="I562" s="26"/>
      <c r="J562" s="26"/>
      <c r="K562" s="26"/>
      <c r="L562" s="26"/>
      <c r="M562" s="26"/>
      <c r="N562" s="26"/>
      <c r="O562" s="26"/>
      <c r="P562" s="26"/>
      <c r="Q562" s="26"/>
      <c r="R562" s="26"/>
      <c r="S562" s="26"/>
      <c r="T562" s="26"/>
      <c r="U562" s="26"/>
      <c r="V562" s="26"/>
      <c r="W562" s="26"/>
      <c r="X562" s="26"/>
      <c r="Y562" s="26"/>
      <c r="Z562" s="26"/>
    </row>
    <row r="563" spans="1:26" ht="19.5" customHeight="1" x14ac:dyDescent="0.85">
      <c r="A563" s="26"/>
      <c r="B563" s="26"/>
      <c r="C563" s="26"/>
      <c r="D563" s="26"/>
      <c r="E563" s="26"/>
      <c r="F563" s="26"/>
      <c r="G563" s="26"/>
      <c r="H563" s="26"/>
      <c r="I563" s="26"/>
      <c r="J563" s="26"/>
      <c r="K563" s="26"/>
      <c r="L563" s="26"/>
      <c r="M563" s="26"/>
      <c r="N563" s="26"/>
      <c r="O563" s="26"/>
      <c r="P563" s="26"/>
      <c r="Q563" s="26"/>
      <c r="R563" s="26"/>
      <c r="S563" s="26"/>
      <c r="T563" s="26"/>
      <c r="U563" s="26"/>
      <c r="V563" s="26"/>
      <c r="W563" s="26"/>
      <c r="X563" s="26"/>
      <c r="Y563" s="26"/>
      <c r="Z563" s="26"/>
    </row>
    <row r="564" spans="1:26" ht="19.5" customHeight="1" x14ac:dyDescent="0.85">
      <c r="A564" s="26"/>
      <c r="B564" s="26"/>
      <c r="C564" s="26"/>
      <c r="D564" s="26"/>
      <c r="E564" s="26"/>
      <c r="F564" s="26"/>
      <c r="G564" s="26"/>
      <c r="H564" s="26"/>
      <c r="I564" s="26"/>
      <c r="J564" s="26"/>
      <c r="K564" s="26"/>
      <c r="L564" s="26"/>
      <c r="M564" s="26"/>
      <c r="N564" s="26"/>
      <c r="O564" s="26"/>
      <c r="P564" s="26"/>
      <c r="Q564" s="26"/>
      <c r="R564" s="26"/>
      <c r="S564" s="26"/>
      <c r="T564" s="26"/>
      <c r="U564" s="26"/>
      <c r="V564" s="26"/>
      <c r="W564" s="26"/>
      <c r="X564" s="26"/>
      <c r="Y564" s="26"/>
      <c r="Z564" s="26"/>
    </row>
    <row r="565" spans="1:26" ht="19.5" customHeight="1" x14ac:dyDescent="0.85">
      <c r="A565" s="26"/>
      <c r="B565" s="26"/>
      <c r="C565" s="26"/>
      <c r="D565" s="26"/>
      <c r="E565" s="26"/>
      <c r="F565" s="26"/>
      <c r="G565" s="26"/>
      <c r="H565" s="26"/>
      <c r="I565" s="26"/>
      <c r="J565" s="26"/>
      <c r="K565" s="26"/>
      <c r="L565" s="26"/>
      <c r="M565" s="26"/>
      <c r="N565" s="26"/>
      <c r="O565" s="26"/>
      <c r="P565" s="26"/>
      <c r="Q565" s="26"/>
      <c r="R565" s="26"/>
      <c r="S565" s="26"/>
      <c r="T565" s="26"/>
      <c r="U565" s="26"/>
      <c r="V565" s="26"/>
      <c r="W565" s="26"/>
      <c r="X565" s="26"/>
      <c r="Y565" s="26"/>
      <c r="Z565" s="26"/>
    </row>
    <row r="566" spans="1:26" ht="19.5" customHeight="1" x14ac:dyDescent="0.85">
      <c r="A566" s="26"/>
      <c r="B566" s="26"/>
      <c r="C566" s="26"/>
      <c r="D566" s="26"/>
      <c r="E566" s="26"/>
      <c r="F566" s="26"/>
      <c r="G566" s="26"/>
      <c r="H566" s="26"/>
      <c r="I566" s="26"/>
      <c r="J566" s="26"/>
      <c r="K566" s="26"/>
      <c r="L566" s="26"/>
      <c r="M566" s="26"/>
      <c r="N566" s="26"/>
      <c r="O566" s="26"/>
      <c r="P566" s="26"/>
      <c r="Q566" s="26"/>
      <c r="R566" s="26"/>
      <c r="S566" s="26"/>
      <c r="T566" s="26"/>
      <c r="U566" s="26"/>
      <c r="V566" s="26"/>
      <c r="W566" s="26"/>
      <c r="X566" s="26"/>
      <c r="Y566" s="26"/>
      <c r="Z566" s="26"/>
    </row>
    <row r="567" spans="1:26" ht="19.5" customHeight="1" x14ac:dyDescent="0.85">
      <c r="A567" s="26"/>
      <c r="B567" s="26"/>
      <c r="C567" s="26"/>
      <c r="D567" s="26"/>
      <c r="E567" s="26"/>
      <c r="F567" s="26"/>
      <c r="G567" s="26"/>
      <c r="H567" s="26"/>
      <c r="I567" s="26"/>
      <c r="J567" s="26"/>
      <c r="K567" s="26"/>
      <c r="L567" s="26"/>
      <c r="M567" s="26"/>
      <c r="N567" s="26"/>
      <c r="O567" s="26"/>
      <c r="P567" s="26"/>
      <c r="Q567" s="26"/>
      <c r="R567" s="26"/>
      <c r="S567" s="26"/>
      <c r="T567" s="26"/>
      <c r="U567" s="26"/>
      <c r="V567" s="26"/>
      <c r="W567" s="26"/>
      <c r="X567" s="26"/>
      <c r="Y567" s="26"/>
      <c r="Z567" s="26"/>
    </row>
    <row r="568" spans="1:26" ht="19.5" customHeight="1" x14ac:dyDescent="0.85">
      <c r="A568" s="26"/>
      <c r="B568" s="26"/>
      <c r="C568" s="26"/>
      <c r="D568" s="26"/>
      <c r="E568" s="26"/>
      <c r="F568" s="26"/>
      <c r="G568" s="26"/>
      <c r="H568" s="26"/>
      <c r="I568" s="26"/>
      <c r="J568" s="26"/>
      <c r="K568" s="26"/>
      <c r="L568" s="26"/>
      <c r="M568" s="26"/>
      <c r="N568" s="26"/>
      <c r="O568" s="26"/>
      <c r="P568" s="26"/>
      <c r="Q568" s="26"/>
      <c r="R568" s="26"/>
      <c r="S568" s="26"/>
      <c r="T568" s="26"/>
      <c r="U568" s="26"/>
      <c r="V568" s="26"/>
      <c r="W568" s="26"/>
      <c r="X568" s="26"/>
      <c r="Y568" s="26"/>
      <c r="Z568" s="26"/>
    </row>
    <row r="569" spans="1:26" ht="19.5" customHeight="1" x14ac:dyDescent="0.85">
      <c r="A569" s="26"/>
      <c r="B569" s="26"/>
      <c r="C569" s="26"/>
      <c r="D569" s="26"/>
      <c r="E569" s="26"/>
      <c r="F569" s="26"/>
      <c r="G569" s="26"/>
      <c r="H569" s="26"/>
      <c r="I569" s="26"/>
      <c r="J569" s="26"/>
      <c r="K569" s="26"/>
      <c r="L569" s="26"/>
      <c r="M569" s="26"/>
      <c r="N569" s="26"/>
      <c r="O569" s="26"/>
      <c r="P569" s="26"/>
      <c r="Q569" s="26"/>
      <c r="R569" s="26"/>
      <c r="S569" s="26"/>
      <c r="T569" s="26"/>
      <c r="U569" s="26"/>
      <c r="V569" s="26"/>
      <c r="W569" s="26"/>
      <c r="X569" s="26"/>
      <c r="Y569" s="26"/>
      <c r="Z569" s="26"/>
    </row>
    <row r="570" spans="1:26" ht="19.5" customHeight="1" x14ac:dyDescent="0.85">
      <c r="A570" s="26"/>
      <c r="B570" s="26"/>
      <c r="C570" s="26"/>
      <c r="D570" s="26"/>
      <c r="E570" s="26"/>
      <c r="F570" s="26"/>
      <c r="G570" s="26"/>
      <c r="H570" s="26"/>
      <c r="I570" s="26"/>
      <c r="J570" s="26"/>
      <c r="K570" s="26"/>
      <c r="L570" s="26"/>
      <c r="M570" s="26"/>
      <c r="N570" s="26"/>
      <c r="O570" s="26"/>
      <c r="P570" s="26"/>
      <c r="Q570" s="26"/>
      <c r="R570" s="26"/>
      <c r="S570" s="26"/>
      <c r="T570" s="26"/>
      <c r="U570" s="26"/>
      <c r="V570" s="26"/>
      <c r="W570" s="26"/>
      <c r="X570" s="26"/>
      <c r="Y570" s="26"/>
      <c r="Z570" s="26"/>
    </row>
    <row r="571" spans="1:26" ht="19.5" customHeight="1" x14ac:dyDescent="0.85">
      <c r="A571" s="26"/>
      <c r="B571" s="26"/>
      <c r="C571" s="26"/>
      <c r="D571" s="26"/>
      <c r="E571" s="26"/>
      <c r="F571" s="26"/>
      <c r="G571" s="26"/>
      <c r="H571" s="26"/>
      <c r="I571" s="26"/>
      <c r="J571" s="26"/>
      <c r="K571" s="26"/>
      <c r="L571" s="26"/>
      <c r="M571" s="26"/>
      <c r="N571" s="26"/>
      <c r="O571" s="26"/>
      <c r="P571" s="26"/>
      <c r="Q571" s="26"/>
      <c r="R571" s="26"/>
      <c r="S571" s="26"/>
      <c r="T571" s="26"/>
      <c r="U571" s="26"/>
      <c r="V571" s="26"/>
      <c r="W571" s="26"/>
      <c r="X571" s="26"/>
      <c r="Y571" s="26"/>
      <c r="Z571" s="26"/>
    </row>
    <row r="572" spans="1:26" ht="19.5" customHeight="1" x14ac:dyDescent="0.85">
      <c r="A572" s="26"/>
      <c r="B572" s="26"/>
      <c r="C572" s="26"/>
      <c r="D572" s="26"/>
      <c r="E572" s="26"/>
      <c r="F572" s="26"/>
      <c r="G572" s="26"/>
      <c r="H572" s="26"/>
      <c r="I572" s="26"/>
      <c r="J572" s="26"/>
      <c r="K572" s="26"/>
      <c r="L572" s="26"/>
      <c r="M572" s="26"/>
      <c r="N572" s="26"/>
      <c r="O572" s="26"/>
      <c r="P572" s="26"/>
      <c r="Q572" s="26"/>
      <c r="R572" s="26"/>
      <c r="S572" s="26"/>
      <c r="T572" s="26"/>
      <c r="U572" s="26"/>
      <c r="V572" s="26"/>
      <c r="W572" s="26"/>
      <c r="X572" s="26"/>
      <c r="Y572" s="26"/>
      <c r="Z572" s="26"/>
    </row>
    <row r="573" spans="1:26" ht="19.5" customHeight="1" x14ac:dyDescent="0.85">
      <c r="A573" s="26"/>
      <c r="B573" s="26"/>
      <c r="C573" s="26"/>
      <c r="D573" s="26"/>
      <c r="E573" s="26"/>
      <c r="F573" s="26"/>
      <c r="G573" s="26"/>
      <c r="H573" s="26"/>
      <c r="I573" s="26"/>
      <c r="J573" s="26"/>
      <c r="K573" s="26"/>
      <c r="L573" s="26"/>
      <c r="M573" s="26"/>
      <c r="N573" s="26"/>
      <c r="O573" s="26"/>
      <c r="P573" s="26"/>
      <c r="Q573" s="26"/>
      <c r="R573" s="26"/>
      <c r="S573" s="26"/>
      <c r="T573" s="26"/>
      <c r="U573" s="26"/>
      <c r="V573" s="26"/>
      <c r="W573" s="26"/>
      <c r="X573" s="26"/>
      <c r="Y573" s="26"/>
      <c r="Z573" s="26"/>
    </row>
    <row r="574" spans="1:26" ht="19.5" customHeight="1" x14ac:dyDescent="0.85">
      <c r="A574" s="26"/>
      <c r="B574" s="26"/>
      <c r="C574" s="26"/>
      <c r="D574" s="26"/>
      <c r="E574" s="26"/>
      <c r="F574" s="26"/>
      <c r="G574" s="26"/>
      <c r="H574" s="26"/>
      <c r="I574" s="26"/>
      <c r="J574" s="26"/>
      <c r="K574" s="26"/>
      <c r="L574" s="26"/>
      <c r="M574" s="26"/>
      <c r="N574" s="26"/>
      <c r="O574" s="26"/>
      <c r="P574" s="26"/>
      <c r="Q574" s="26"/>
      <c r="R574" s="26"/>
      <c r="S574" s="26"/>
      <c r="T574" s="26"/>
      <c r="U574" s="26"/>
      <c r="V574" s="26"/>
      <c r="W574" s="26"/>
      <c r="X574" s="26"/>
      <c r="Y574" s="26"/>
      <c r="Z574" s="26"/>
    </row>
    <row r="575" spans="1:26" ht="19.5" customHeight="1" x14ac:dyDescent="0.85">
      <c r="A575" s="26"/>
      <c r="B575" s="26"/>
      <c r="C575" s="26"/>
      <c r="D575" s="26"/>
      <c r="E575" s="26"/>
      <c r="F575" s="26"/>
      <c r="G575" s="26"/>
      <c r="H575" s="26"/>
      <c r="I575" s="26"/>
      <c r="J575" s="26"/>
      <c r="K575" s="26"/>
      <c r="L575" s="26"/>
      <c r="M575" s="26"/>
      <c r="N575" s="26"/>
      <c r="O575" s="26"/>
      <c r="P575" s="26"/>
      <c r="Q575" s="26"/>
      <c r="R575" s="26"/>
      <c r="S575" s="26"/>
      <c r="T575" s="26"/>
      <c r="U575" s="26"/>
      <c r="V575" s="26"/>
      <c r="W575" s="26"/>
      <c r="X575" s="26"/>
      <c r="Y575" s="26"/>
      <c r="Z575" s="26"/>
    </row>
    <row r="576" spans="1:26" ht="19.5" customHeight="1" x14ac:dyDescent="0.85">
      <c r="A576" s="26"/>
      <c r="B576" s="26"/>
      <c r="C576" s="26"/>
      <c r="D576" s="26"/>
      <c r="E576" s="26"/>
      <c r="F576" s="26"/>
      <c r="G576" s="26"/>
      <c r="H576" s="26"/>
      <c r="I576" s="26"/>
      <c r="J576" s="26"/>
      <c r="K576" s="26"/>
      <c r="L576" s="26"/>
      <c r="M576" s="26"/>
      <c r="N576" s="26"/>
      <c r="O576" s="26"/>
      <c r="P576" s="26"/>
      <c r="Q576" s="26"/>
      <c r="R576" s="26"/>
      <c r="S576" s="26"/>
      <c r="T576" s="26"/>
      <c r="U576" s="26"/>
      <c r="V576" s="26"/>
      <c r="W576" s="26"/>
      <c r="X576" s="26"/>
      <c r="Y576" s="26"/>
      <c r="Z576" s="26"/>
    </row>
    <row r="577" spans="1:26" ht="19.5" customHeight="1" x14ac:dyDescent="0.85">
      <c r="A577" s="26"/>
      <c r="B577" s="26"/>
      <c r="C577" s="26"/>
      <c r="D577" s="26"/>
      <c r="E577" s="26"/>
      <c r="F577" s="26"/>
      <c r="G577" s="26"/>
      <c r="H577" s="26"/>
      <c r="I577" s="26"/>
      <c r="J577" s="26"/>
      <c r="K577" s="26"/>
      <c r="L577" s="26"/>
      <c r="M577" s="26"/>
      <c r="N577" s="26"/>
      <c r="O577" s="26"/>
      <c r="P577" s="26"/>
      <c r="Q577" s="26"/>
      <c r="R577" s="26"/>
      <c r="S577" s="26"/>
      <c r="T577" s="26"/>
      <c r="U577" s="26"/>
      <c r="V577" s="26"/>
      <c r="W577" s="26"/>
      <c r="X577" s="26"/>
      <c r="Y577" s="26"/>
      <c r="Z577" s="26"/>
    </row>
    <row r="578" spans="1:26" ht="19.5" customHeight="1" x14ac:dyDescent="0.85">
      <c r="A578" s="26"/>
      <c r="B578" s="26"/>
      <c r="C578" s="26"/>
      <c r="D578" s="26"/>
      <c r="E578" s="26"/>
      <c r="F578" s="26"/>
      <c r="G578" s="26"/>
      <c r="H578" s="26"/>
      <c r="I578" s="26"/>
      <c r="J578" s="26"/>
      <c r="K578" s="26"/>
      <c r="L578" s="26"/>
      <c r="M578" s="26"/>
      <c r="N578" s="26"/>
      <c r="O578" s="26"/>
      <c r="P578" s="26"/>
      <c r="Q578" s="26"/>
      <c r="R578" s="26"/>
      <c r="S578" s="26"/>
      <c r="T578" s="26"/>
      <c r="U578" s="26"/>
      <c r="V578" s="26"/>
      <c r="W578" s="26"/>
      <c r="X578" s="26"/>
      <c r="Y578" s="26"/>
      <c r="Z578" s="26"/>
    </row>
    <row r="579" spans="1:26" ht="19.5" customHeight="1" x14ac:dyDescent="0.85">
      <c r="A579" s="26"/>
      <c r="B579" s="26"/>
      <c r="C579" s="26"/>
      <c r="D579" s="26"/>
      <c r="E579" s="26"/>
      <c r="F579" s="26"/>
      <c r="G579" s="26"/>
      <c r="H579" s="26"/>
      <c r="I579" s="26"/>
      <c r="J579" s="26"/>
      <c r="K579" s="26"/>
      <c r="L579" s="26"/>
      <c r="M579" s="26"/>
      <c r="N579" s="26"/>
      <c r="O579" s="26"/>
      <c r="P579" s="26"/>
      <c r="Q579" s="26"/>
      <c r="R579" s="26"/>
      <c r="S579" s="26"/>
      <c r="T579" s="26"/>
      <c r="U579" s="26"/>
      <c r="V579" s="26"/>
      <c r="W579" s="26"/>
      <c r="X579" s="26"/>
      <c r="Y579" s="26"/>
      <c r="Z579" s="26"/>
    </row>
    <row r="580" spans="1:26" ht="19.5" customHeight="1" x14ac:dyDescent="0.85">
      <c r="A580" s="26"/>
      <c r="B580" s="26"/>
      <c r="C580" s="26"/>
      <c r="D580" s="26"/>
      <c r="E580" s="26"/>
      <c r="F580" s="26"/>
      <c r="G580" s="26"/>
      <c r="H580" s="26"/>
      <c r="I580" s="26"/>
      <c r="J580" s="26"/>
      <c r="K580" s="26"/>
      <c r="L580" s="26"/>
      <c r="M580" s="26"/>
      <c r="N580" s="26"/>
      <c r="O580" s="26"/>
      <c r="P580" s="26"/>
      <c r="Q580" s="26"/>
      <c r="R580" s="26"/>
      <c r="S580" s="26"/>
      <c r="T580" s="26"/>
      <c r="U580" s="26"/>
      <c r="V580" s="26"/>
      <c r="W580" s="26"/>
      <c r="X580" s="26"/>
      <c r="Y580" s="26"/>
      <c r="Z580" s="26"/>
    </row>
    <row r="581" spans="1:26" ht="19.5" customHeight="1" x14ac:dyDescent="0.85">
      <c r="A581" s="26"/>
      <c r="B581" s="26"/>
      <c r="C581" s="26"/>
      <c r="D581" s="26"/>
      <c r="E581" s="26"/>
      <c r="F581" s="26"/>
      <c r="G581" s="26"/>
      <c r="H581" s="26"/>
      <c r="I581" s="26"/>
      <c r="J581" s="26"/>
      <c r="K581" s="26"/>
      <c r="L581" s="26"/>
      <c r="M581" s="26"/>
      <c r="N581" s="26"/>
      <c r="O581" s="26"/>
      <c r="P581" s="26"/>
      <c r="Q581" s="26"/>
      <c r="R581" s="26"/>
      <c r="S581" s="26"/>
      <c r="T581" s="26"/>
      <c r="U581" s="26"/>
      <c r="V581" s="26"/>
      <c r="W581" s="26"/>
      <c r="X581" s="26"/>
      <c r="Y581" s="26"/>
      <c r="Z581" s="26"/>
    </row>
    <row r="582" spans="1:26" ht="19.5" customHeight="1" x14ac:dyDescent="0.85">
      <c r="A582" s="26"/>
      <c r="B582" s="26"/>
      <c r="C582" s="26"/>
      <c r="D582" s="26"/>
      <c r="E582" s="26"/>
      <c r="F582" s="26"/>
      <c r="G582" s="26"/>
      <c r="H582" s="26"/>
      <c r="I582" s="26"/>
      <c r="J582" s="26"/>
      <c r="K582" s="26"/>
      <c r="L582" s="26"/>
      <c r="M582" s="26"/>
      <c r="N582" s="26"/>
      <c r="O582" s="26"/>
      <c r="P582" s="26"/>
      <c r="Q582" s="26"/>
      <c r="R582" s="26"/>
      <c r="S582" s="26"/>
      <c r="T582" s="26"/>
      <c r="U582" s="26"/>
      <c r="V582" s="26"/>
      <c r="W582" s="26"/>
      <c r="X582" s="26"/>
      <c r="Y582" s="26"/>
      <c r="Z582" s="26"/>
    </row>
    <row r="583" spans="1:26" ht="19.5" customHeight="1" x14ac:dyDescent="0.85">
      <c r="A583" s="26"/>
      <c r="B583" s="26"/>
      <c r="C583" s="26"/>
      <c r="D583" s="26"/>
      <c r="E583" s="26"/>
      <c r="F583" s="26"/>
      <c r="G583" s="26"/>
      <c r="H583" s="26"/>
      <c r="I583" s="26"/>
      <c r="J583" s="26"/>
      <c r="K583" s="26"/>
      <c r="L583" s="26"/>
      <c r="M583" s="26"/>
      <c r="N583" s="26"/>
      <c r="O583" s="26"/>
      <c r="P583" s="26"/>
      <c r="Q583" s="26"/>
      <c r="R583" s="26"/>
      <c r="S583" s="26"/>
      <c r="T583" s="26"/>
      <c r="U583" s="26"/>
      <c r="V583" s="26"/>
      <c r="W583" s="26"/>
      <c r="X583" s="26"/>
      <c r="Y583" s="26"/>
      <c r="Z583" s="26"/>
    </row>
    <row r="584" spans="1:26" ht="19.5" customHeight="1" x14ac:dyDescent="0.85">
      <c r="A584" s="26"/>
      <c r="B584" s="26"/>
      <c r="C584" s="26"/>
      <c r="D584" s="26"/>
      <c r="E584" s="26"/>
      <c r="F584" s="26"/>
      <c r="G584" s="26"/>
      <c r="H584" s="26"/>
      <c r="I584" s="26"/>
      <c r="J584" s="26"/>
      <c r="K584" s="26"/>
      <c r="L584" s="26"/>
      <c r="M584" s="26"/>
      <c r="N584" s="26"/>
      <c r="O584" s="26"/>
      <c r="P584" s="26"/>
      <c r="Q584" s="26"/>
      <c r="R584" s="26"/>
      <c r="S584" s="26"/>
      <c r="T584" s="26"/>
      <c r="U584" s="26"/>
      <c r="V584" s="26"/>
      <c r="W584" s="26"/>
      <c r="X584" s="26"/>
      <c r="Y584" s="26"/>
      <c r="Z584" s="26"/>
    </row>
    <row r="585" spans="1:26" ht="19.5" customHeight="1" x14ac:dyDescent="0.85">
      <c r="A585" s="26"/>
      <c r="B585" s="26"/>
      <c r="C585" s="26"/>
      <c r="D585" s="26"/>
      <c r="E585" s="26"/>
      <c r="F585" s="26"/>
      <c r="G585" s="26"/>
      <c r="H585" s="26"/>
      <c r="I585" s="26"/>
      <c r="J585" s="26"/>
      <c r="K585" s="26"/>
      <c r="L585" s="26"/>
      <c r="M585" s="26"/>
      <c r="N585" s="26"/>
      <c r="O585" s="26"/>
      <c r="P585" s="26"/>
      <c r="Q585" s="26"/>
      <c r="R585" s="26"/>
      <c r="S585" s="26"/>
      <c r="T585" s="26"/>
      <c r="U585" s="26"/>
      <c r="V585" s="26"/>
      <c r="W585" s="26"/>
      <c r="X585" s="26"/>
      <c r="Y585" s="26"/>
      <c r="Z585" s="26"/>
    </row>
    <row r="586" spans="1:26" ht="19.5" customHeight="1" x14ac:dyDescent="0.85">
      <c r="A586" s="26"/>
      <c r="B586" s="26"/>
      <c r="C586" s="26"/>
      <c r="D586" s="26"/>
      <c r="E586" s="26"/>
      <c r="F586" s="26"/>
      <c r="G586" s="26"/>
      <c r="H586" s="26"/>
      <c r="I586" s="26"/>
      <c r="J586" s="26"/>
      <c r="K586" s="26"/>
      <c r="L586" s="26"/>
      <c r="M586" s="26"/>
      <c r="N586" s="26"/>
      <c r="O586" s="26"/>
      <c r="P586" s="26"/>
      <c r="Q586" s="26"/>
      <c r="R586" s="26"/>
      <c r="S586" s="26"/>
      <c r="T586" s="26"/>
      <c r="U586" s="26"/>
      <c r="V586" s="26"/>
      <c r="W586" s="26"/>
      <c r="X586" s="26"/>
      <c r="Y586" s="26"/>
      <c r="Z586" s="26"/>
    </row>
    <row r="587" spans="1:26" ht="19.5" customHeight="1" x14ac:dyDescent="0.85">
      <c r="A587" s="26"/>
      <c r="B587" s="26"/>
      <c r="C587" s="26"/>
      <c r="D587" s="26"/>
      <c r="E587" s="26"/>
      <c r="F587" s="26"/>
      <c r="G587" s="26"/>
      <c r="H587" s="26"/>
      <c r="I587" s="26"/>
      <c r="J587" s="26"/>
      <c r="K587" s="26"/>
      <c r="L587" s="26"/>
      <c r="M587" s="26"/>
      <c r="N587" s="26"/>
      <c r="O587" s="26"/>
      <c r="P587" s="26"/>
      <c r="Q587" s="26"/>
      <c r="R587" s="26"/>
      <c r="S587" s="26"/>
      <c r="T587" s="26"/>
      <c r="U587" s="26"/>
      <c r="V587" s="26"/>
      <c r="W587" s="26"/>
      <c r="X587" s="26"/>
      <c r="Y587" s="26"/>
      <c r="Z587" s="26"/>
    </row>
    <row r="588" spans="1:26" ht="19.5" customHeight="1" x14ac:dyDescent="0.85">
      <c r="A588" s="26"/>
      <c r="B588" s="26"/>
      <c r="C588" s="26"/>
      <c r="D588" s="26"/>
      <c r="E588" s="26"/>
      <c r="F588" s="26"/>
      <c r="G588" s="26"/>
      <c r="H588" s="26"/>
      <c r="I588" s="26"/>
      <c r="J588" s="26"/>
      <c r="K588" s="26"/>
      <c r="L588" s="26"/>
      <c r="M588" s="26"/>
      <c r="N588" s="26"/>
      <c r="O588" s="26"/>
      <c r="P588" s="26"/>
      <c r="Q588" s="26"/>
      <c r="R588" s="26"/>
      <c r="S588" s="26"/>
      <c r="T588" s="26"/>
      <c r="U588" s="26"/>
      <c r="V588" s="26"/>
      <c r="W588" s="26"/>
      <c r="X588" s="26"/>
      <c r="Y588" s="26"/>
      <c r="Z588" s="26"/>
    </row>
    <row r="589" spans="1:26" ht="19.5" customHeight="1" x14ac:dyDescent="0.85">
      <c r="A589" s="26"/>
      <c r="B589" s="26"/>
      <c r="C589" s="26"/>
      <c r="D589" s="26"/>
      <c r="E589" s="26"/>
      <c r="F589" s="26"/>
      <c r="G589" s="26"/>
      <c r="H589" s="26"/>
      <c r="I589" s="26"/>
      <c r="J589" s="26"/>
      <c r="K589" s="26"/>
      <c r="L589" s="26"/>
      <c r="M589" s="26"/>
      <c r="N589" s="26"/>
      <c r="O589" s="26"/>
      <c r="P589" s="26"/>
      <c r="Q589" s="26"/>
      <c r="R589" s="26"/>
      <c r="S589" s="26"/>
      <c r="T589" s="26"/>
      <c r="U589" s="26"/>
      <c r="V589" s="26"/>
      <c r="W589" s="26"/>
      <c r="X589" s="26"/>
      <c r="Y589" s="26"/>
      <c r="Z589" s="26"/>
    </row>
    <row r="590" spans="1:26" ht="19.5" customHeight="1" x14ac:dyDescent="0.85">
      <c r="A590" s="26"/>
      <c r="B590" s="26"/>
      <c r="C590" s="26"/>
      <c r="D590" s="26"/>
      <c r="E590" s="26"/>
      <c r="F590" s="26"/>
      <c r="G590" s="26"/>
      <c r="H590" s="26"/>
      <c r="I590" s="26"/>
      <c r="J590" s="26"/>
      <c r="K590" s="26"/>
      <c r="L590" s="26"/>
      <c r="M590" s="26"/>
      <c r="N590" s="26"/>
      <c r="O590" s="26"/>
      <c r="P590" s="26"/>
      <c r="Q590" s="26"/>
      <c r="R590" s="26"/>
      <c r="S590" s="26"/>
      <c r="T590" s="26"/>
      <c r="U590" s="26"/>
      <c r="V590" s="26"/>
      <c r="W590" s="26"/>
      <c r="X590" s="26"/>
      <c r="Y590" s="26"/>
      <c r="Z590" s="26"/>
    </row>
    <row r="591" spans="1:26" ht="19.5" customHeight="1" x14ac:dyDescent="0.85">
      <c r="A591" s="26"/>
      <c r="B591" s="26"/>
      <c r="C591" s="26"/>
      <c r="D591" s="26"/>
      <c r="E591" s="26"/>
      <c r="F591" s="26"/>
      <c r="G591" s="26"/>
      <c r="H591" s="26"/>
      <c r="I591" s="26"/>
      <c r="J591" s="26"/>
      <c r="K591" s="26"/>
      <c r="L591" s="26"/>
      <c r="M591" s="26"/>
      <c r="N591" s="26"/>
      <c r="O591" s="26"/>
      <c r="P591" s="26"/>
      <c r="Q591" s="26"/>
      <c r="R591" s="26"/>
      <c r="S591" s="26"/>
      <c r="T591" s="26"/>
      <c r="U591" s="26"/>
      <c r="V591" s="26"/>
      <c r="W591" s="26"/>
      <c r="X591" s="26"/>
      <c r="Y591" s="26"/>
      <c r="Z591" s="26"/>
    </row>
    <row r="592" spans="1:26" ht="19.5" customHeight="1" x14ac:dyDescent="0.85">
      <c r="A592" s="26"/>
      <c r="B592" s="26"/>
      <c r="C592" s="26"/>
      <c r="D592" s="26"/>
      <c r="E592" s="26"/>
      <c r="F592" s="26"/>
      <c r="G592" s="26"/>
      <c r="H592" s="26"/>
      <c r="I592" s="26"/>
      <c r="J592" s="26"/>
      <c r="K592" s="26"/>
      <c r="L592" s="26"/>
      <c r="M592" s="26"/>
      <c r="N592" s="26"/>
      <c r="O592" s="26"/>
      <c r="P592" s="26"/>
      <c r="Q592" s="26"/>
      <c r="R592" s="26"/>
      <c r="S592" s="26"/>
      <c r="T592" s="26"/>
      <c r="U592" s="26"/>
      <c r="V592" s="26"/>
      <c r="W592" s="26"/>
      <c r="X592" s="26"/>
      <c r="Y592" s="26"/>
      <c r="Z592" s="26"/>
    </row>
    <row r="593" spans="1:26" ht="19.5" customHeight="1" x14ac:dyDescent="0.85">
      <c r="A593" s="26"/>
      <c r="B593" s="26"/>
      <c r="C593" s="26"/>
      <c r="D593" s="26"/>
      <c r="E593" s="26"/>
      <c r="F593" s="26"/>
      <c r="G593" s="26"/>
      <c r="H593" s="26"/>
      <c r="I593" s="26"/>
      <c r="J593" s="26"/>
      <c r="K593" s="26"/>
      <c r="L593" s="26"/>
      <c r="M593" s="26"/>
      <c r="N593" s="26"/>
      <c r="O593" s="26"/>
      <c r="P593" s="26"/>
      <c r="Q593" s="26"/>
      <c r="R593" s="26"/>
      <c r="S593" s="26"/>
      <c r="T593" s="26"/>
      <c r="U593" s="26"/>
      <c r="V593" s="26"/>
      <c r="W593" s="26"/>
      <c r="X593" s="26"/>
      <c r="Y593" s="26"/>
      <c r="Z593" s="26"/>
    </row>
    <row r="594" spans="1:26" ht="19.5" customHeight="1" x14ac:dyDescent="0.85">
      <c r="A594" s="26"/>
      <c r="B594" s="26"/>
      <c r="C594" s="26"/>
      <c r="D594" s="26"/>
      <c r="E594" s="26"/>
      <c r="F594" s="26"/>
      <c r="G594" s="26"/>
      <c r="H594" s="26"/>
      <c r="I594" s="26"/>
      <c r="J594" s="26"/>
      <c r="K594" s="26"/>
      <c r="L594" s="26"/>
      <c r="M594" s="26"/>
      <c r="N594" s="26"/>
      <c r="O594" s="26"/>
      <c r="P594" s="26"/>
      <c r="Q594" s="26"/>
      <c r="R594" s="26"/>
      <c r="S594" s="26"/>
      <c r="T594" s="26"/>
      <c r="U594" s="26"/>
      <c r="V594" s="26"/>
      <c r="W594" s="26"/>
      <c r="X594" s="26"/>
      <c r="Y594" s="26"/>
      <c r="Z594" s="26"/>
    </row>
    <row r="595" spans="1:26" ht="19.5" customHeight="1" x14ac:dyDescent="0.85">
      <c r="A595" s="26"/>
      <c r="B595" s="26"/>
      <c r="C595" s="26"/>
      <c r="D595" s="26"/>
      <c r="E595" s="26"/>
      <c r="F595" s="26"/>
      <c r="G595" s="26"/>
      <c r="H595" s="26"/>
      <c r="I595" s="26"/>
      <c r="J595" s="26"/>
      <c r="K595" s="26"/>
      <c r="L595" s="26"/>
      <c r="M595" s="26"/>
      <c r="N595" s="26"/>
      <c r="O595" s="26"/>
      <c r="P595" s="26"/>
      <c r="Q595" s="26"/>
      <c r="R595" s="26"/>
      <c r="S595" s="26"/>
      <c r="T595" s="26"/>
      <c r="U595" s="26"/>
      <c r="V595" s="26"/>
      <c r="W595" s="26"/>
      <c r="X595" s="26"/>
      <c r="Y595" s="26"/>
      <c r="Z595" s="26"/>
    </row>
    <row r="596" spans="1:26" ht="19.5" customHeight="1" x14ac:dyDescent="0.85">
      <c r="A596" s="26"/>
      <c r="B596" s="26"/>
      <c r="C596" s="26"/>
      <c r="D596" s="26"/>
      <c r="E596" s="26"/>
      <c r="F596" s="26"/>
      <c r="G596" s="26"/>
      <c r="H596" s="26"/>
      <c r="I596" s="26"/>
      <c r="J596" s="26"/>
      <c r="K596" s="26"/>
      <c r="L596" s="26"/>
      <c r="M596" s="26"/>
      <c r="N596" s="26"/>
      <c r="O596" s="26"/>
      <c r="P596" s="26"/>
      <c r="Q596" s="26"/>
      <c r="R596" s="26"/>
      <c r="S596" s="26"/>
      <c r="T596" s="26"/>
      <c r="U596" s="26"/>
      <c r="V596" s="26"/>
      <c r="W596" s="26"/>
      <c r="X596" s="26"/>
      <c r="Y596" s="26"/>
      <c r="Z596" s="26"/>
    </row>
    <row r="597" spans="1:26" ht="19.5" customHeight="1" x14ac:dyDescent="0.85">
      <c r="A597" s="26"/>
      <c r="B597" s="26"/>
      <c r="C597" s="26"/>
      <c r="D597" s="26"/>
      <c r="E597" s="26"/>
      <c r="F597" s="26"/>
      <c r="G597" s="26"/>
      <c r="H597" s="26"/>
      <c r="I597" s="26"/>
      <c r="J597" s="26"/>
      <c r="K597" s="26"/>
      <c r="L597" s="26"/>
      <c r="M597" s="26"/>
      <c r="N597" s="26"/>
      <c r="O597" s="26"/>
      <c r="P597" s="26"/>
      <c r="Q597" s="26"/>
      <c r="R597" s="26"/>
      <c r="S597" s="26"/>
      <c r="T597" s="26"/>
      <c r="U597" s="26"/>
      <c r="V597" s="26"/>
      <c r="W597" s="26"/>
      <c r="X597" s="26"/>
      <c r="Y597" s="26"/>
      <c r="Z597" s="26"/>
    </row>
    <row r="598" spans="1:26" ht="19.5" customHeight="1" x14ac:dyDescent="0.85">
      <c r="A598" s="26"/>
      <c r="B598" s="26"/>
      <c r="C598" s="26"/>
      <c r="D598" s="26"/>
      <c r="E598" s="26"/>
      <c r="F598" s="26"/>
      <c r="G598" s="26"/>
      <c r="H598" s="26"/>
      <c r="I598" s="26"/>
      <c r="J598" s="26"/>
      <c r="K598" s="26"/>
      <c r="L598" s="26"/>
      <c r="M598" s="26"/>
      <c r="N598" s="26"/>
      <c r="O598" s="26"/>
      <c r="P598" s="26"/>
      <c r="Q598" s="26"/>
      <c r="R598" s="26"/>
      <c r="S598" s="26"/>
      <c r="T598" s="26"/>
      <c r="U598" s="26"/>
      <c r="V598" s="26"/>
      <c r="W598" s="26"/>
      <c r="X598" s="26"/>
      <c r="Y598" s="26"/>
      <c r="Z598" s="26"/>
    </row>
    <row r="599" spans="1:26" ht="19.5" customHeight="1" x14ac:dyDescent="0.85">
      <c r="A599" s="26"/>
      <c r="B599" s="26"/>
      <c r="C599" s="26"/>
      <c r="D599" s="26"/>
      <c r="E599" s="26"/>
      <c r="F599" s="26"/>
      <c r="G599" s="26"/>
      <c r="H599" s="26"/>
      <c r="I599" s="26"/>
      <c r="J599" s="26"/>
      <c r="K599" s="26"/>
      <c r="L599" s="26"/>
      <c r="M599" s="26"/>
      <c r="N599" s="26"/>
      <c r="O599" s="26"/>
      <c r="P599" s="26"/>
      <c r="Q599" s="26"/>
      <c r="R599" s="26"/>
      <c r="S599" s="26"/>
      <c r="T599" s="26"/>
      <c r="U599" s="26"/>
      <c r="V599" s="26"/>
      <c r="W599" s="26"/>
      <c r="X599" s="26"/>
      <c r="Y599" s="26"/>
      <c r="Z599" s="26"/>
    </row>
    <row r="600" spans="1:26" ht="19.5" customHeight="1" x14ac:dyDescent="0.85">
      <c r="A600" s="26"/>
      <c r="B600" s="26"/>
      <c r="C600" s="26"/>
      <c r="D600" s="26"/>
      <c r="E600" s="26"/>
      <c r="F600" s="26"/>
      <c r="G600" s="26"/>
      <c r="H600" s="26"/>
      <c r="I600" s="26"/>
      <c r="J600" s="26"/>
      <c r="K600" s="26"/>
      <c r="L600" s="26"/>
      <c r="M600" s="26"/>
      <c r="N600" s="26"/>
      <c r="O600" s="26"/>
      <c r="P600" s="26"/>
      <c r="Q600" s="26"/>
      <c r="R600" s="26"/>
      <c r="S600" s="26"/>
      <c r="T600" s="26"/>
      <c r="U600" s="26"/>
      <c r="V600" s="26"/>
      <c r="W600" s="26"/>
      <c r="X600" s="26"/>
      <c r="Y600" s="26"/>
      <c r="Z600" s="26"/>
    </row>
    <row r="601" spans="1:26" ht="19.5" customHeight="1" x14ac:dyDescent="0.85">
      <c r="A601" s="26"/>
      <c r="B601" s="26"/>
      <c r="C601" s="26"/>
      <c r="D601" s="26"/>
      <c r="E601" s="26"/>
      <c r="F601" s="26"/>
      <c r="G601" s="26"/>
      <c r="H601" s="26"/>
      <c r="I601" s="26"/>
      <c r="J601" s="26"/>
      <c r="K601" s="26"/>
      <c r="L601" s="26"/>
      <c r="M601" s="26"/>
      <c r="N601" s="26"/>
      <c r="O601" s="26"/>
      <c r="P601" s="26"/>
      <c r="Q601" s="26"/>
      <c r="R601" s="26"/>
      <c r="S601" s="26"/>
      <c r="T601" s="26"/>
      <c r="U601" s="26"/>
      <c r="V601" s="26"/>
      <c r="W601" s="26"/>
      <c r="X601" s="26"/>
      <c r="Y601" s="26"/>
      <c r="Z601" s="26"/>
    </row>
    <row r="602" spans="1:26" ht="19.5" customHeight="1" x14ac:dyDescent="0.85">
      <c r="A602" s="26"/>
      <c r="B602" s="26"/>
      <c r="C602" s="26"/>
      <c r="D602" s="26"/>
      <c r="E602" s="26"/>
      <c r="F602" s="26"/>
      <c r="G602" s="26"/>
      <c r="H602" s="26"/>
      <c r="I602" s="26"/>
      <c r="J602" s="26"/>
      <c r="K602" s="26"/>
      <c r="L602" s="26"/>
      <c r="M602" s="26"/>
      <c r="N602" s="26"/>
      <c r="O602" s="26"/>
      <c r="P602" s="26"/>
      <c r="Q602" s="26"/>
      <c r="R602" s="26"/>
      <c r="S602" s="26"/>
      <c r="T602" s="26"/>
      <c r="U602" s="26"/>
      <c r="V602" s="26"/>
      <c r="W602" s="26"/>
      <c r="X602" s="26"/>
      <c r="Y602" s="26"/>
      <c r="Z602" s="26"/>
    </row>
    <row r="603" spans="1:26" ht="19.5" customHeight="1" x14ac:dyDescent="0.85">
      <c r="A603" s="26"/>
      <c r="B603" s="26"/>
      <c r="C603" s="26"/>
      <c r="D603" s="26"/>
      <c r="E603" s="26"/>
      <c r="F603" s="26"/>
      <c r="G603" s="26"/>
      <c r="H603" s="26"/>
      <c r="I603" s="26"/>
      <c r="J603" s="26"/>
      <c r="K603" s="26"/>
      <c r="L603" s="26"/>
      <c r="M603" s="26"/>
      <c r="N603" s="26"/>
      <c r="O603" s="26"/>
      <c r="P603" s="26"/>
      <c r="Q603" s="26"/>
      <c r="R603" s="26"/>
      <c r="S603" s="26"/>
      <c r="T603" s="26"/>
      <c r="U603" s="26"/>
      <c r="V603" s="26"/>
      <c r="W603" s="26"/>
      <c r="X603" s="26"/>
      <c r="Y603" s="26"/>
      <c r="Z603" s="26"/>
    </row>
    <row r="604" spans="1:26" ht="19.5" customHeight="1" x14ac:dyDescent="0.85">
      <c r="A604" s="26"/>
      <c r="B604" s="26"/>
      <c r="C604" s="26"/>
      <c r="D604" s="26"/>
      <c r="E604" s="26"/>
      <c r="F604" s="26"/>
      <c r="G604" s="26"/>
      <c r="H604" s="26"/>
      <c r="I604" s="26"/>
      <c r="J604" s="26"/>
      <c r="K604" s="26"/>
      <c r="L604" s="26"/>
      <c r="M604" s="26"/>
      <c r="N604" s="26"/>
      <c r="O604" s="26"/>
      <c r="P604" s="26"/>
      <c r="Q604" s="26"/>
      <c r="R604" s="26"/>
      <c r="S604" s="26"/>
      <c r="T604" s="26"/>
      <c r="U604" s="26"/>
      <c r="V604" s="26"/>
      <c r="W604" s="26"/>
      <c r="X604" s="26"/>
      <c r="Y604" s="26"/>
      <c r="Z604" s="26"/>
    </row>
    <row r="605" spans="1:26" ht="19.5" customHeight="1" x14ac:dyDescent="0.85">
      <c r="A605" s="26"/>
      <c r="B605" s="26"/>
      <c r="C605" s="26"/>
      <c r="D605" s="26"/>
      <c r="E605" s="26"/>
      <c r="F605" s="26"/>
      <c r="G605" s="26"/>
      <c r="H605" s="26"/>
      <c r="I605" s="26"/>
      <c r="J605" s="26"/>
      <c r="K605" s="26"/>
      <c r="L605" s="26"/>
      <c r="M605" s="26"/>
      <c r="N605" s="26"/>
      <c r="O605" s="26"/>
      <c r="P605" s="26"/>
      <c r="Q605" s="26"/>
      <c r="R605" s="26"/>
      <c r="S605" s="26"/>
      <c r="T605" s="26"/>
      <c r="U605" s="26"/>
      <c r="V605" s="26"/>
      <c r="W605" s="26"/>
      <c r="X605" s="26"/>
      <c r="Y605" s="26"/>
      <c r="Z605" s="26"/>
    </row>
    <row r="606" spans="1:26" ht="19.5" customHeight="1" x14ac:dyDescent="0.85">
      <c r="A606" s="26"/>
      <c r="B606" s="26"/>
      <c r="C606" s="26"/>
      <c r="D606" s="26"/>
      <c r="E606" s="26"/>
      <c r="F606" s="26"/>
      <c r="G606" s="26"/>
      <c r="H606" s="26"/>
      <c r="I606" s="26"/>
      <c r="J606" s="26"/>
      <c r="K606" s="26"/>
      <c r="L606" s="26"/>
      <c r="M606" s="26"/>
      <c r="N606" s="26"/>
      <c r="O606" s="26"/>
      <c r="P606" s="26"/>
      <c r="Q606" s="26"/>
      <c r="R606" s="26"/>
      <c r="S606" s="26"/>
      <c r="T606" s="26"/>
      <c r="U606" s="26"/>
      <c r="V606" s="26"/>
      <c r="W606" s="26"/>
      <c r="X606" s="26"/>
      <c r="Y606" s="26"/>
      <c r="Z606" s="26"/>
    </row>
    <row r="607" spans="1:26" ht="19.5" customHeight="1" x14ac:dyDescent="0.85">
      <c r="A607" s="26"/>
      <c r="B607" s="26"/>
      <c r="C607" s="26"/>
      <c r="D607" s="26"/>
      <c r="E607" s="26"/>
      <c r="F607" s="26"/>
      <c r="G607" s="26"/>
      <c r="H607" s="26"/>
      <c r="I607" s="26"/>
      <c r="J607" s="26"/>
      <c r="K607" s="26"/>
      <c r="L607" s="26"/>
      <c r="M607" s="26"/>
      <c r="N607" s="26"/>
      <c r="O607" s="26"/>
      <c r="P607" s="26"/>
      <c r="Q607" s="26"/>
      <c r="R607" s="26"/>
      <c r="S607" s="26"/>
      <c r="T607" s="26"/>
      <c r="U607" s="26"/>
      <c r="V607" s="26"/>
      <c r="W607" s="26"/>
      <c r="X607" s="26"/>
      <c r="Y607" s="26"/>
      <c r="Z607" s="26"/>
    </row>
    <row r="608" spans="1:26" ht="19.5" customHeight="1" x14ac:dyDescent="0.85">
      <c r="A608" s="26"/>
      <c r="B608" s="26"/>
      <c r="C608" s="26"/>
      <c r="D608" s="26"/>
      <c r="E608" s="26"/>
      <c r="F608" s="26"/>
      <c r="G608" s="26"/>
      <c r="H608" s="26"/>
      <c r="I608" s="26"/>
      <c r="J608" s="26"/>
      <c r="K608" s="26"/>
      <c r="L608" s="26"/>
      <c r="M608" s="26"/>
      <c r="N608" s="26"/>
      <c r="O608" s="26"/>
      <c r="P608" s="26"/>
      <c r="Q608" s="26"/>
      <c r="R608" s="26"/>
      <c r="S608" s="26"/>
      <c r="T608" s="26"/>
      <c r="U608" s="26"/>
      <c r="V608" s="26"/>
      <c r="W608" s="26"/>
      <c r="X608" s="26"/>
      <c r="Y608" s="26"/>
      <c r="Z608" s="26"/>
    </row>
    <row r="609" spans="1:26" ht="19.5" customHeight="1" x14ac:dyDescent="0.85">
      <c r="A609" s="26"/>
      <c r="B609" s="26"/>
      <c r="C609" s="26"/>
      <c r="D609" s="26"/>
      <c r="E609" s="26"/>
      <c r="F609" s="26"/>
      <c r="G609" s="26"/>
      <c r="H609" s="26"/>
      <c r="I609" s="26"/>
      <c r="J609" s="26"/>
      <c r="K609" s="26"/>
      <c r="L609" s="26"/>
      <c r="M609" s="26"/>
      <c r="N609" s="26"/>
      <c r="O609" s="26"/>
      <c r="P609" s="26"/>
      <c r="Q609" s="26"/>
      <c r="R609" s="26"/>
      <c r="S609" s="26"/>
      <c r="T609" s="26"/>
      <c r="U609" s="26"/>
      <c r="V609" s="26"/>
      <c r="W609" s="26"/>
      <c r="X609" s="26"/>
      <c r="Y609" s="26"/>
      <c r="Z609" s="26"/>
    </row>
    <row r="610" spans="1:26" ht="19.5" customHeight="1" x14ac:dyDescent="0.85">
      <c r="A610" s="26"/>
      <c r="B610" s="26"/>
      <c r="C610" s="26"/>
      <c r="D610" s="26"/>
      <c r="E610" s="26"/>
      <c r="F610" s="26"/>
      <c r="G610" s="26"/>
      <c r="H610" s="26"/>
      <c r="I610" s="26"/>
      <c r="J610" s="26"/>
      <c r="K610" s="26"/>
      <c r="L610" s="26"/>
      <c r="M610" s="26"/>
      <c r="N610" s="26"/>
      <c r="O610" s="26"/>
      <c r="P610" s="26"/>
      <c r="Q610" s="26"/>
      <c r="R610" s="26"/>
      <c r="S610" s="26"/>
      <c r="T610" s="26"/>
      <c r="U610" s="26"/>
      <c r="V610" s="26"/>
      <c r="W610" s="26"/>
      <c r="X610" s="26"/>
      <c r="Y610" s="26"/>
      <c r="Z610" s="26"/>
    </row>
    <row r="611" spans="1:26" ht="19.5" customHeight="1" x14ac:dyDescent="0.85">
      <c r="A611" s="26"/>
      <c r="B611" s="26"/>
      <c r="C611" s="26"/>
      <c r="D611" s="26"/>
      <c r="E611" s="26"/>
      <c r="F611" s="26"/>
      <c r="G611" s="26"/>
      <c r="H611" s="26"/>
      <c r="I611" s="26"/>
      <c r="J611" s="26"/>
      <c r="K611" s="26"/>
      <c r="L611" s="26"/>
      <c r="M611" s="26"/>
      <c r="N611" s="26"/>
      <c r="O611" s="26"/>
      <c r="P611" s="26"/>
      <c r="Q611" s="26"/>
      <c r="R611" s="26"/>
      <c r="S611" s="26"/>
      <c r="T611" s="26"/>
      <c r="U611" s="26"/>
      <c r="V611" s="26"/>
      <c r="W611" s="26"/>
      <c r="X611" s="26"/>
      <c r="Y611" s="26"/>
      <c r="Z611" s="26"/>
    </row>
    <row r="612" spans="1:26" ht="19.5" customHeight="1" x14ac:dyDescent="0.85">
      <c r="A612" s="26"/>
      <c r="B612" s="26"/>
      <c r="C612" s="26"/>
      <c r="D612" s="26"/>
      <c r="E612" s="26"/>
      <c r="F612" s="26"/>
      <c r="G612" s="26"/>
      <c r="H612" s="26"/>
      <c r="I612" s="26"/>
      <c r="J612" s="26"/>
      <c r="K612" s="26"/>
      <c r="L612" s="26"/>
      <c r="M612" s="26"/>
      <c r="N612" s="26"/>
      <c r="O612" s="26"/>
      <c r="P612" s="26"/>
      <c r="Q612" s="26"/>
      <c r="R612" s="26"/>
      <c r="S612" s="26"/>
      <c r="T612" s="26"/>
      <c r="U612" s="26"/>
      <c r="V612" s="26"/>
      <c r="W612" s="26"/>
      <c r="X612" s="26"/>
      <c r="Y612" s="26"/>
      <c r="Z612" s="26"/>
    </row>
    <row r="613" spans="1:26" ht="19.5" customHeight="1" x14ac:dyDescent="0.85">
      <c r="A613" s="26"/>
      <c r="B613" s="26"/>
      <c r="C613" s="26"/>
      <c r="D613" s="26"/>
      <c r="E613" s="26"/>
      <c r="F613" s="26"/>
      <c r="G613" s="26"/>
      <c r="H613" s="26"/>
      <c r="I613" s="26"/>
      <c r="J613" s="26"/>
      <c r="K613" s="26"/>
      <c r="L613" s="26"/>
      <c r="M613" s="26"/>
      <c r="N613" s="26"/>
      <c r="O613" s="26"/>
      <c r="P613" s="26"/>
      <c r="Q613" s="26"/>
      <c r="R613" s="26"/>
      <c r="S613" s="26"/>
      <c r="T613" s="26"/>
      <c r="U613" s="26"/>
      <c r="V613" s="26"/>
      <c r="W613" s="26"/>
      <c r="X613" s="26"/>
      <c r="Y613" s="26"/>
      <c r="Z613" s="26"/>
    </row>
    <row r="614" spans="1:26" ht="19.5" customHeight="1" x14ac:dyDescent="0.85">
      <c r="A614" s="26"/>
      <c r="B614" s="26"/>
      <c r="C614" s="26"/>
      <c r="D614" s="26"/>
      <c r="E614" s="26"/>
      <c r="F614" s="26"/>
      <c r="G614" s="26"/>
      <c r="H614" s="26"/>
      <c r="I614" s="26"/>
      <c r="J614" s="26"/>
      <c r="K614" s="26"/>
      <c r="L614" s="26"/>
      <c r="M614" s="26"/>
      <c r="N614" s="26"/>
      <c r="O614" s="26"/>
      <c r="P614" s="26"/>
      <c r="Q614" s="26"/>
      <c r="R614" s="26"/>
      <c r="S614" s="26"/>
      <c r="T614" s="26"/>
      <c r="U614" s="26"/>
      <c r="V614" s="26"/>
      <c r="W614" s="26"/>
      <c r="X614" s="26"/>
      <c r="Y614" s="26"/>
      <c r="Z614" s="26"/>
    </row>
    <row r="615" spans="1:26" ht="19.5" customHeight="1" x14ac:dyDescent="0.85">
      <c r="A615" s="26"/>
      <c r="B615" s="26"/>
      <c r="C615" s="26"/>
      <c r="D615" s="26"/>
      <c r="E615" s="26"/>
      <c r="F615" s="26"/>
      <c r="G615" s="26"/>
      <c r="H615" s="26"/>
      <c r="I615" s="26"/>
      <c r="J615" s="26"/>
      <c r="K615" s="26"/>
      <c r="L615" s="26"/>
      <c r="M615" s="26"/>
      <c r="N615" s="26"/>
      <c r="O615" s="26"/>
      <c r="P615" s="26"/>
      <c r="Q615" s="26"/>
      <c r="R615" s="26"/>
      <c r="S615" s="26"/>
      <c r="T615" s="26"/>
      <c r="U615" s="26"/>
      <c r="V615" s="26"/>
      <c r="W615" s="26"/>
      <c r="X615" s="26"/>
      <c r="Y615" s="26"/>
      <c r="Z615" s="26"/>
    </row>
    <row r="616" spans="1:26" ht="19.5" customHeight="1" x14ac:dyDescent="0.85">
      <c r="A616" s="26"/>
      <c r="B616" s="26"/>
      <c r="C616" s="26"/>
      <c r="D616" s="26"/>
      <c r="E616" s="26"/>
      <c r="F616" s="26"/>
      <c r="G616" s="26"/>
      <c r="H616" s="26"/>
      <c r="I616" s="26"/>
      <c r="J616" s="26"/>
      <c r="K616" s="26"/>
      <c r="L616" s="26"/>
      <c r="M616" s="26"/>
      <c r="N616" s="26"/>
      <c r="O616" s="26"/>
      <c r="P616" s="26"/>
      <c r="Q616" s="26"/>
      <c r="R616" s="26"/>
      <c r="S616" s="26"/>
      <c r="T616" s="26"/>
      <c r="U616" s="26"/>
      <c r="V616" s="26"/>
      <c r="W616" s="26"/>
      <c r="X616" s="26"/>
      <c r="Y616" s="26"/>
      <c r="Z616" s="26"/>
    </row>
    <row r="617" spans="1:26" ht="19.5" customHeight="1" x14ac:dyDescent="0.85">
      <c r="A617" s="26"/>
      <c r="B617" s="26"/>
      <c r="C617" s="26"/>
      <c r="D617" s="26"/>
      <c r="E617" s="26"/>
      <c r="F617" s="26"/>
      <c r="G617" s="26"/>
      <c r="H617" s="26"/>
      <c r="I617" s="26"/>
      <c r="J617" s="26"/>
      <c r="K617" s="26"/>
      <c r="L617" s="26"/>
      <c r="M617" s="26"/>
      <c r="N617" s="26"/>
      <c r="O617" s="26"/>
      <c r="P617" s="26"/>
      <c r="Q617" s="26"/>
      <c r="R617" s="26"/>
      <c r="S617" s="26"/>
      <c r="T617" s="26"/>
      <c r="U617" s="26"/>
      <c r="V617" s="26"/>
      <c r="W617" s="26"/>
      <c r="X617" s="26"/>
      <c r="Y617" s="26"/>
      <c r="Z617" s="26"/>
    </row>
    <row r="618" spans="1:26" ht="19.5" customHeight="1" x14ac:dyDescent="0.85">
      <c r="A618" s="26"/>
      <c r="B618" s="26"/>
      <c r="C618" s="26"/>
      <c r="D618" s="26"/>
      <c r="E618" s="26"/>
      <c r="F618" s="26"/>
      <c r="G618" s="26"/>
      <c r="H618" s="26"/>
      <c r="I618" s="26"/>
      <c r="J618" s="26"/>
      <c r="K618" s="26"/>
      <c r="L618" s="26"/>
      <c r="M618" s="26"/>
      <c r="N618" s="26"/>
      <c r="O618" s="26"/>
      <c r="P618" s="26"/>
      <c r="Q618" s="26"/>
      <c r="R618" s="26"/>
      <c r="S618" s="26"/>
      <c r="T618" s="26"/>
      <c r="U618" s="26"/>
      <c r="V618" s="26"/>
      <c r="W618" s="26"/>
      <c r="X618" s="26"/>
      <c r="Y618" s="26"/>
      <c r="Z618" s="26"/>
    </row>
    <row r="619" spans="1:26" ht="19.5" customHeight="1" x14ac:dyDescent="0.85">
      <c r="A619" s="26"/>
      <c r="B619" s="26"/>
      <c r="C619" s="26"/>
      <c r="D619" s="26"/>
      <c r="E619" s="26"/>
      <c r="F619" s="26"/>
      <c r="G619" s="26"/>
      <c r="H619" s="26"/>
      <c r="I619" s="26"/>
      <c r="J619" s="26"/>
      <c r="K619" s="26"/>
      <c r="L619" s="26"/>
      <c r="M619" s="26"/>
      <c r="N619" s="26"/>
      <c r="O619" s="26"/>
      <c r="P619" s="26"/>
      <c r="Q619" s="26"/>
      <c r="R619" s="26"/>
      <c r="S619" s="26"/>
      <c r="T619" s="26"/>
      <c r="U619" s="26"/>
      <c r="V619" s="26"/>
      <c r="W619" s="26"/>
      <c r="X619" s="26"/>
      <c r="Y619" s="26"/>
      <c r="Z619" s="26"/>
    </row>
    <row r="620" spans="1:26" ht="19.5" customHeight="1" x14ac:dyDescent="0.85">
      <c r="A620" s="26"/>
      <c r="B620" s="26"/>
      <c r="C620" s="26"/>
      <c r="D620" s="26"/>
      <c r="E620" s="26"/>
      <c r="F620" s="26"/>
      <c r="G620" s="26"/>
      <c r="H620" s="26"/>
      <c r="I620" s="26"/>
      <c r="J620" s="26"/>
      <c r="K620" s="26"/>
      <c r="L620" s="26"/>
      <c r="M620" s="26"/>
      <c r="N620" s="26"/>
      <c r="O620" s="26"/>
      <c r="P620" s="26"/>
      <c r="Q620" s="26"/>
      <c r="R620" s="26"/>
      <c r="S620" s="26"/>
      <c r="T620" s="26"/>
      <c r="U620" s="26"/>
      <c r="V620" s="26"/>
      <c r="W620" s="26"/>
      <c r="X620" s="26"/>
      <c r="Y620" s="26"/>
      <c r="Z620" s="26"/>
    </row>
    <row r="621" spans="1:26" ht="19.5" customHeight="1" x14ac:dyDescent="0.85">
      <c r="A621" s="26"/>
      <c r="B621" s="26"/>
      <c r="C621" s="26"/>
      <c r="D621" s="26"/>
      <c r="E621" s="26"/>
      <c r="F621" s="26"/>
      <c r="G621" s="26"/>
      <c r="H621" s="26"/>
      <c r="I621" s="26"/>
      <c r="J621" s="26"/>
      <c r="K621" s="26"/>
      <c r="L621" s="26"/>
      <c r="M621" s="26"/>
      <c r="N621" s="26"/>
      <c r="O621" s="26"/>
      <c r="P621" s="26"/>
      <c r="Q621" s="26"/>
      <c r="R621" s="26"/>
      <c r="S621" s="26"/>
      <c r="T621" s="26"/>
      <c r="U621" s="26"/>
      <c r="V621" s="26"/>
      <c r="W621" s="26"/>
      <c r="X621" s="26"/>
      <c r="Y621" s="26"/>
      <c r="Z621" s="26"/>
    </row>
    <row r="622" spans="1:26" ht="19.5" customHeight="1" x14ac:dyDescent="0.85">
      <c r="A622" s="26"/>
      <c r="B622" s="26"/>
      <c r="C622" s="26"/>
      <c r="D622" s="26"/>
      <c r="E622" s="26"/>
      <c r="F622" s="26"/>
      <c r="G622" s="26"/>
      <c r="H622" s="26"/>
      <c r="I622" s="26"/>
      <c r="J622" s="26"/>
      <c r="K622" s="26"/>
      <c r="L622" s="26"/>
      <c r="M622" s="26"/>
      <c r="N622" s="26"/>
      <c r="O622" s="26"/>
      <c r="P622" s="26"/>
      <c r="Q622" s="26"/>
      <c r="R622" s="26"/>
      <c r="S622" s="26"/>
      <c r="T622" s="26"/>
      <c r="U622" s="26"/>
      <c r="V622" s="26"/>
      <c r="W622" s="26"/>
      <c r="X622" s="26"/>
      <c r="Y622" s="26"/>
      <c r="Z622" s="26"/>
    </row>
    <row r="623" spans="1:26" ht="19.5" customHeight="1" x14ac:dyDescent="0.85">
      <c r="A623" s="26"/>
      <c r="B623" s="26"/>
      <c r="C623" s="26"/>
      <c r="D623" s="26"/>
      <c r="E623" s="26"/>
      <c r="F623" s="26"/>
      <c r="G623" s="26"/>
      <c r="H623" s="26"/>
      <c r="I623" s="26"/>
      <c r="J623" s="26"/>
      <c r="K623" s="26"/>
      <c r="L623" s="26"/>
      <c r="M623" s="26"/>
      <c r="N623" s="26"/>
      <c r="O623" s="26"/>
      <c r="P623" s="26"/>
      <c r="Q623" s="26"/>
      <c r="R623" s="26"/>
      <c r="S623" s="26"/>
      <c r="T623" s="26"/>
      <c r="U623" s="26"/>
      <c r="V623" s="26"/>
      <c r="W623" s="26"/>
      <c r="X623" s="26"/>
      <c r="Y623" s="26"/>
      <c r="Z623" s="26"/>
    </row>
    <row r="624" spans="1:26" ht="19.5" customHeight="1" x14ac:dyDescent="0.85">
      <c r="A624" s="26"/>
      <c r="B624" s="26"/>
      <c r="C624" s="26"/>
      <c r="D624" s="26"/>
      <c r="E624" s="26"/>
      <c r="F624" s="26"/>
      <c r="G624" s="26"/>
      <c r="H624" s="26"/>
      <c r="I624" s="26"/>
      <c r="J624" s="26"/>
      <c r="K624" s="26"/>
      <c r="L624" s="26"/>
      <c r="M624" s="26"/>
      <c r="N624" s="26"/>
      <c r="O624" s="26"/>
      <c r="P624" s="26"/>
      <c r="Q624" s="26"/>
      <c r="R624" s="26"/>
      <c r="S624" s="26"/>
      <c r="T624" s="26"/>
      <c r="U624" s="26"/>
      <c r="V624" s="26"/>
      <c r="W624" s="26"/>
      <c r="X624" s="26"/>
      <c r="Y624" s="26"/>
      <c r="Z624" s="26"/>
    </row>
    <row r="625" spans="1:26" ht="19.5" customHeight="1" x14ac:dyDescent="0.85">
      <c r="A625" s="26"/>
      <c r="B625" s="26"/>
      <c r="C625" s="26"/>
      <c r="D625" s="26"/>
      <c r="E625" s="26"/>
      <c r="F625" s="26"/>
      <c r="G625" s="26"/>
      <c r="H625" s="26"/>
      <c r="I625" s="26"/>
      <c r="J625" s="26"/>
      <c r="K625" s="26"/>
      <c r="L625" s="26"/>
      <c r="M625" s="26"/>
      <c r="N625" s="26"/>
      <c r="O625" s="26"/>
      <c r="P625" s="26"/>
      <c r="Q625" s="26"/>
      <c r="R625" s="26"/>
      <c r="S625" s="26"/>
      <c r="T625" s="26"/>
      <c r="U625" s="26"/>
      <c r="V625" s="26"/>
      <c r="W625" s="26"/>
      <c r="X625" s="26"/>
      <c r="Y625" s="26"/>
      <c r="Z625" s="26"/>
    </row>
    <row r="626" spans="1:26" ht="19.5" customHeight="1" x14ac:dyDescent="0.85">
      <c r="A626" s="26"/>
      <c r="B626" s="26"/>
      <c r="C626" s="26"/>
      <c r="D626" s="26"/>
      <c r="E626" s="26"/>
      <c r="F626" s="26"/>
      <c r="G626" s="26"/>
      <c r="H626" s="26"/>
      <c r="I626" s="26"/>
      <c r="J626" s="26"/>
      <c r="K626" s="26"/>
      <c r="L626" s="26"/>
      <c r="M626" s="26"/>
      <c r="N626" s="26"/>
      <c r="O626" s="26"/>
      <c r="P626" s="26"/>
      <c r="Q626" s="26"/>
      <c r="R626" s="26"/>
      <c r="S626" s="26"/>
      <c r="T626" s="26"/>
      <c r="U626" s="26"/>
      <c r="V626" s="26"/>
      <c r="W626" s="26"/>
      <c r="X626" s="26"/>
      <c r="Y626" s="26"/>
      <c r="Z626" s="26"/>
    </row>
    <row r="627" spans="1:26" ht="19.5" customHeight="1" x14ac:dyDescent="0.85">
      <c r="A627" s="26"/>
      <c r="B627" s="26"/>
      <c r="C627" s="26"/>
      <c r="D627" s="26"/>
      <c r="E627" s="26"/>
      <c r="F627" s="26"/>
      <c r="G627" s="26"/>
      <c r="H627" s="26"/>
      <c r="I627" s="26"/>
      <c r="J627" s="26"/>
      <c r="K627" s="26"/>
      <c r="L627" s="26"/>
      <c r="M627" s="26"/>
      <c r="N627" s="26"/>
      <c r="O627" s="26"/>
      <c r="P627" s="26"/>
      <c r="Q627" s="26"/>
      <c r="R627" s="26"/>
      <c r="S627" s="26"/>
      <c r="T627" s="26"/>
      <c r="U627" s="26"/>
      <c r="V627" s="26"/>
      <c r="W627" s="26"/>
      <c r="X627" s="26"/>
      <c r="Y627" s="26"/>
      <c r="Z627" s="26"/>
    </row>
    <row r="628" spans="1:26" ht="19.5" customHeight="1" x14ac:dyDescent="0.85">
      <c r="A628" s="26"/>
      <c r="B628" s="26"/>
      <c r="C628" s="26"/>
      <c r="D628" s="26"/>
      <c r="E628" s="26"/>
      <c r="F628" s="26"/>
      <c r="G628" s="26"/>
      <c r="H628" s="26"/>
      <c r="I628" s="26"/>
      <c r="J628" s="26"/>
      <c r="K628" s="26"/>
      <c r="L628" s="26"/>
      <c r="M628" s="26"/>
      <c r="N628" s="26"/>
      <c r="O628" s="26"/>
      <c r="P628" s="26"/>
      <c r="Q628" s="26"/>
      <c r="R628" s="26"/>
      <c r="S628" s="26"/>
      <c r="T628" s="26"/>
      <c r="U628" s="26"/>
      <c r="V628" s="26"/>
      <c r="W628" s="26"/>
      <c r="X628" s="26"/>
      <c r="Y628" s="26"/>
      <c r="Z628" s="26"/>
    </row>
    <row r="629" spans="1:26" ht="19.5" customHeight="1" x14ac:dyDescent="0.85">
      <c r="A629" s="26"/>
      <c r="B629" s="26"/>
      <c r="C629" s="26"/>
      <c r="D629" s="26"/>
      <c r="E629" s="26"/>
      <c r="F629" s="26"/>
      <c r="G629" s="26"/>
      <c r="H629" s="26"/>
      <c r="I629" s="26"/>
      <c r="J629" s="26"/>
      <c r="K629" s="26"/>
      <c r="L629" s="26"/>
      <c r="M629" s="26"/>
      <c r="N629" s="26"/>
      <c r="O629" s="26"/>
      <c r="P629" s="26"/>
      <c r="Q629" s="26"/>
      <c r="R629" s="26"/>
      <c r="S629" s="26"/>
      <c r="T629" s="26"/>
      <c r="U629" s="26"/>
      <c r="V629" s="26"/>
      <c r="W629" s="26"/>
      <c r="X629" s="26"/>
      <c r="Y629" s="26"/>
      <c r="Z629" s="26"/>
    </row>
    <row r="630" spans="1:26" ht="19.5" customHeight="1" x14ac:dyDescent="0.85">
      <c r="A630" s="26"/>
      <c r="B630" s="26"/>
      <c r="C630" s="26"/>
      <c r="D630" s="26"/>
      <c r="E630" s="26"/>
      <c r="F630" s="26"/>
      <c r="G630" s="26"/>
      <c r="H630" s="26"/>
      <c r="I630" s="26"/>
      <c r="J630" s="26"/>
      <c r="K630" s="26"/>
      <c r="L630" s="26"/>
      <c r="M630" s="26"/>
      <c r="N630" s="26"/>
      <c r="O630" s="26"/>
      <c r="P630" s="26"/>
      <c r="Q630" s="26"/>
      <c r="R630" s="26"/>
      <c r="S630" s="26"/>
      <c r="T630" s="26"/>
      <c r="U630" s="26"/>
      <c r="V630" s="26"/>
      <c r="W630" s="26"/>
      <c r="X630" s="26"/>
      <c r="Y630" s="26"/>
      <c r="Z630" s="26"/>
    </row>
    <row r="631" spans="1:26" ht="19.5" customHeight="1" x14ac:dyDescent="0.85">
      <c r="A631" s="26"/>
      <c r="B631" s="26"/>
      <c r="C631" s="26"/>
      <c r="D631" s="26"/>
      <c r="E631" s="26"/>
      <c r="F631" s="26"/>
      <c r="G631" s="26"/>
      <c r="H631" s="26"/>
      <c r="I631" s="26"/>
      <c r="J631" s="26"/>
      <c r="K631" s="26"/>
      <c r="L631" s="26"/>
      <c r="M631" s="26"/>
      <c r="N631" s="26"/>
      <c r="O631" s="26"/>
      <c r="P631" s="26"/>
      <c r="Q631" s="26"/>
      <c r="R631" s="26"/>
      <c r="S631" s="26"/>
      <c r="T631" s="26"/>
      <c r="U631" s="26"/>
      <c r="V631" s="26"/>
      <c r="W631" s="26"/>
      <c r="X631" s="26"/>
      <c r="Y631" s="26"/>
      <c r="Z631" s="26"/>
    </row>
    <row r="632" spans="1:26" ht="19.5" customHeight="1" x14ac:dyDescent="0.85">
      <c r="A632" s="26"/>
      <c r="B632" s="26"/>
      <c r="C632" s="26"/>
      <c r="D632" s="26"/>
      <c r="E632" s="26"/>
      <c r="F632" s="26"/>
      <c r="G632" s="26"/>
      <c r="H632" s="26"/>
      <c r="I632" s="26"/>
      <c r="J632" s="26"/>
      <c r="K632" s="26"/>
      <c r="L632" s="26"/>
      <c r="M632" s="26"/>
      <c r="N632" s="26"/>
      <c r="O632" s="26"/>
      <c r="P632" s="26"/>
      <c r="Q632" s="26"/>
      <c r="R632" s="26"/>
      <c r="S632" s="26"/>
      <c r="T632" s="26"/>
      <c r="U632" s="26"/>
      <c r="V632" s="26"/>
      <c r="W632" s="26"/>
      <c r="X632" s="26"/>
      <c r="Y632" s="26"/>
      <c r="Z632" s="26"/>
    </row>
    <row r="633" spans="1:26" ht="19.5" customHeight="1" x14ac:dyDescent="0.85">
      <c r="A633" s="26"/>
      <c r="B633" s="26"/>
      <c r="C633" s="26"/>
      <c r="D633" s="26"/>
      <c r="E633" s="26"/>
      <c r="F633" s="26"/>
      <c r="G633" s="26"/>
      <c r="H633" s="26"/>
      <c r="I633" s="26"/>
      <c r="J633" s="26"/>
      <c r="K633" s="26"/>
      <c r="L633" s="26"/>
      <c r="M633" s="26"/>
      <c r="N633" s="26"/>
      <c r="O633" s="26"/>
      <c r="P633" s="26"/>
      <c r="Q633" s="26"/>
      <c r="R633" s="26"/>
      <c r="S633" s="26"/>
      <c r="T633" s="26"/>
      <c r="U633" s="26"/>
      <c r="V633" s="26"/>
      <c r="W633" s="26"/>
      <c r="X633" s="26"/>
      <c r="Y633" s="26"/>
      <c r="Z633" s="26"/>
    </row>
    <row r="634" spans="1:26" ht="19.5" customHeight="1" x14ac:dyDescent="0.85">
      <c r="A634" s="26"/>
      <c r="B634" s="26"/>
      <c r="C634" s="26"/>
      <c r="D634" s="26"/>
      <c r="E634" s="26"/>
      <c r="F634" s="26"/>
      <c r="G634" s="26"/>
      <c r="H634" s="26"/>
      <c r="I634" s="26"/>
      <c r="J634" s="26"/>
      <c r="K634" s="26"/>
      <c r="L634" s="26"/>
      <c r="M634" s="26"/>
      <c r="N634" s="26"/>
      <c r="O634" s="26"/>
      <c r="P634" s="26"/>
      <c r="Q634" s="26"/>
      <c r="R634" s="26"/>
      <c r="S634" s="26"/>
      <c r="T634" s="26"/>
      <c r="U634" s="26"/>
      <c r="V634" s="26"/>
      <c r="W634" s="26"/>
      <c r="X634" s="26"/>
      <c r="Y634" s="26"/>
      <c r="Z634" s="26"/>
    </row>
    <row r="635" spans="1:26" ht="19.5" customHeight="1" x14ac:dyDescent="0.85">
      <c r="A635" s="26"/>
      <c r="B635" s="26"/>
      <c r="C635" s="26"/>
      <c r="D635" s="26"/>
      <c r="E635" s="26"/>
      <c r="F635" s="26"/>
      <c r="G635" s="26"/>
      <c r="H635" s="26"/>
      <c r="I635" s="26"/>
      <c r="J635" s="26"/>
      <c r="K635" s="26"/>
      <c r="L635" s="26"/>
      <c r="M635" s="26"/>
      <c r="N635" s="26"/>
      <c r="O635" s="26"/>
      <c r="P635" s="26"/>
      <c r="Q635" s="26"/>
      <c r="R635" s="26"/>
      <c r="S635" s="26"/>
      <c r="T635" s="26"/>
      <c r="U635" s="26"/>
      <c r="V635" s="26"/>
      <c r="W635" s="26"/>
      <c r="X635" s="26"/>
      <c r="Y635" s="26"/>
      <c r="Z635" s="26"/>
    </row>
    <row r="636" spans="1:26" ht="19.5" customHeight="1" x14ac:dyDescent="0.85">
      <c r="A636" s="26"/>
      <c r="B636" s="26"/>
      <c r="C636" s="26"/>
      <c r="D636" s="26"/>
      <c r="E636" s="26"/>
      <c r="F636" s="26"/>
      <c r="G636" s="26"/>
      <c r="H636" s="26"/>
      <c r="I636" s="26"/>
      <c r="J636" s="26"/>
      <c r="K636" s="26"/>
      <c r="L636" s="26"/>
      <c r="M636" s="26"/>
      <c r="N636" s="26"/>
      <c r="O636" s="26"/>
      <c r="P636" s="26"/>
      <c r="Q636" s="26"/>
      <c r="R636" s="26"/>
      <c r="S636" s="26"/>
      <c r="T636" s="26"/>
      <c r="U636" s="26"/>
      <c r="V636" s="26"/>
      <c r="W636" s="26"/>
      <c r="X636" s="26"/>
      <c r="Y636" s="26"/>
      <c r="Z636" s="26"/>
    </row>
    <row r="637" spans="1:26" ht="19.5" customHeight="1" x14ac:dyDescent="0.85">
      <c r="A637" s="26"/>
      <c r="B637" s="26"/>
      <c r="C637" s="26"/>
      <c r="D637" s="26"/>
      <c r="E637" s="26"/>
      <c r="F637" s="26"/>
      <c r="G637" s="26"/>
      <c r="H637" s="26"/>
      <c r="I637" s="26"/>
      <c r="J637" s="26"/>
      <c r="K637" s="26"/>
      <c r="L637" s="26"/>
      <c r="M637" s="26"/>
      <c r="N637" s="26"/>
      <c r="O637" s="26"/>
      <c r="P637" s="26"/>
      <c r="Q637" s="26"/>
      <c r="R637" s="26"/>
      <c r="S637" s="26"/>
      <c r="T637" s="26"/>
      <c r="U637" s="26"/>
      <c r="V637" s="26"/>
      <c r="W637" s="26"/>
      <c r="X637" s="26"/>
      <c r="Y637" s="26"/>
      <c r="Z637" s="26"/>
    </row>
    <row r="638" spans="1:26" ht="19.5" customHeight="1" x14ac:dyDescent="0.85">
      <c r="A638" s="26"/>
      <c r="B638" s="26"/>
      <c r="C638" s="26"/>
      <c r="D638" s="26"/>
      <c r="E638" s="26"/>
      <c r="F638" s="26"/>
      <c r="G638" s="26"/>
      <c r="H638" s="26"/>
      <c r="I638" s="26"/>
      <c r="J638" s="26"/>
      <c r="K638" s="26"/>
      <c r="L638" s="26"/>
      <c r="M638" s="26"/>
      <c r="N638" s="26"/>
      <c r="O638" s="26"/>
      <c r="P638" s="26"/>
      <c r="Q638" s="26"/>
      <c r="R638" s="26"/>
      <c r="S638" s="26"/>
      <c r="T638" s="26"/>
      <c r="U638" s="26"/>
      <c r="V638" s="26"/>
      <c r="W638" s="26"/>
      <c r="X638" s="26"/>
      <c r="Y638" s="26"/>
      <c r="Z638" s="26"/>
    </row>
    <row r="639" spans="1:26" ht="19.5" customHeight="1" x14ac:dyDescent="0.85">
      <c r="A639" s="26"/>
      <c r="B639" s="26"/>
      <c r="C639" s="26"/>
      <c r="D639" s="26"/>
      <c r="E639" s="26"/>
      <c r="F639" s="26"/>
      <c r="G639" s="26"/>
      <c r="H639" s="26"/>
      <c r="I639" s="26"/>
      <c r="J639" s="26"/>
      <c r="K639" s="26"/>
      <c r="L639" s="26"/>
      <c r="M639" s="26"/>
      <c r="N639" s="26"/>
      <c r="O639" s="26"/>
      <c r="P639" s="26"/>
      <c r="Q639" s="26"/>
      <c r="R639" s="26"/>
      <c r="S639" s="26"/>
      <c r="T639" s="26"/>
      <c r="U639" s="26"/>
      <c r="V639" s="26"/>
      <c r="W639" s="26"/>
      <c r="X639" s="26"/>
      <c r="Y639" s="26"/>
      <c r="Z639" s="26"/>
    </row>
    <row r="640" spans="1:26" ht="19.5" customHeight="1" x14ac:dyDescent="0.85">
      <c r="A640" s="26"/>
      <c r="B640" s="26"/>
      <c r="C640" s="26"/>
      <c r="D640" s="26"/>
      <c r="E640" s="26"/>
      <c r="F640" s="26"/>
      <c r="G640" s="26"/>
      <c r="H640" s="26"/>
      <c r="I640" s="26"/>
      <c r="J640" s="26"/>
      <c r="K640" s="26"/>
      <c r="L640" s="26"/>
      <c r="M640" s="26"/>
      <c r="N640" s="26"/>
      <c r="O640" s="26"/>
      <c r="P640" s="26"/>
      <c r="Q640" s="26"/>
      <c r="R640" s="26"/>
      <c r="S640" s="26"/>
      <c r="T640" s="26"/>
      <c r="U640" s="26"/>
      <c r="V640" s="26"/>
      <c r="W640" s="26"/>
      <c r="X640" s="26"/>
      <c r="Y640" s="26"/>
      <c r="Z640" s="26"/>
    </row>
    <row r="641" spans="1:26" ht="19.5" customHeight="1" x14ac:dyDescent="0.85">
      <c r="A641" s="26"/>
      <c r="B641" s="26"/>
      <c r="C641" s="26"/>
      <c r="D641" s="26"/>
      <c r="E641" s="26"/>
      <c r="F641" s="26"/>
      <c r="G641" s="26"/>
      <c r="H641" s="26"/>
      <c r="I641" s="26"/>
      <c r="J641" s="26"/>
      <c r="K641" s="26"/>
      <c r="L641" s="26"/>
      <c r="M641" s="26"/>
      <c r="N641" s="26"/>
      <c r="O641" s="26"/>
      <c r="P641" s="26"/>
      <c r="Q641" s="26"/>
      <c r="R641" s="26"/>
      <c r="S641" s="26"/>
      <c r="T641" s="26"/>
      <c r="U641" s="26"/>
      <c r="V641" s="26"/>
      <c r="W641" s="26"/>
      <c r="X641" s="26"/>
      <c r="Y641" s="26"/>
      <c r="Z641" s="26"/>
    </row>
    <row r="642" spans="1:26" ht="19.5" customHeight="1" x14ac:dyDescent="0.85">
      <c r="A642" s="26"/>
      <c r="B642" s="26"/>
      <c r="C642" s="26"/>
      <c r="D642" s="26"/>
      <c r="E642" s="26"/>
      <c r="F642" s="26"/>
      <c r="G642" s="26"/>
      <c r="H642" s="26"/>
      <c r="I642" s="26"/>
      <c r="J642" s="26"/>
      <c r="K642" s="26"/>
      <c r="L642" s="26"/>
      <c r="M642" s="26"/>
      <c r="N642" s="26"/>
      <c r="O642" s="26"/>
      <c r="P642" s="26"/>
      <c r="Q642" s="26"/>
      <c r="R642" s="26"/>
      <c r="S642" s="26"/>
      <c r="T642" s="26"/>
      <c r="U642" s="26"/>
      <c r="V642" s="26"/>
      <c r="W642" s="26"/>
      <c r="X642" s="26"/>
      <c r="Y642" s="26"/>
      <c r="Z642" s="26"/>
    </row>
    <row r="643" spans="1:26" ht="19.5" customHeight="1" x14ac:dyDescent="0.85">
      <c r="A643" s="26"/>
      <c r="B643" s="26"/>
      <c r="C643" s="26"/>
      <c r="D643" s="26"/>
      <c r="E643" s="26"/>
      <c r="F643" s="26"/>
      <c r="G643" s="26"/>
      <c r="H643" s="26"/>
      <c r="I643" s="26"/>
      <c r="J643" s="26"/>
      <c r="K643" s="26"/>
      <c r="L643" s="26"/>
      <c r="M643" s="26"/>
      <c r="N643" s="26"/>
      <c r="O643" s="26"/>
      <c r="P643" s="26"/>
      <c r="Q643" s="26"/>
      <c r="R643" s="26"/>
      <c r="S643" s="26"/>
      <c r="T643" s="26"/>
      <c r="U643" s="26"/>
      <c r="V643" s="26"/>
      <c r="W643" s="26"/>
      <c r="X643" s="26"/>
      <c r="Y643" s="26"/>
      <c r="Z643" s="26"/>
    </row>
    <row r="644" spans="1:26" ht="19.5" customHeight="1" x14ac:dyDescent="0.85">
      <c r="A644" s="26"/>
      <c r="B644" s="26"/>
      <c r="C644" s="26"/>
      <c r="D644" s="26"/>
      <c r="E644" s="26"/>
      <c r="F644" s="26"/>
      <c r="G644" s="26"/>
      <c r="H644" s="26"/>
      <c r="I644" s="26"/>
      <c r="J644" s="26"/>
      <c r="K644" s="26"/>
      <c r="L644" s="26"/>
      <c r="M644" s="26"/>
      <c r="N644" s="26"/>
      <c r="O644" s="26"/>
      <c r="P644" s="26"/>
      <c r="Q644" s="26"/>
      <c r="R644" s="26"/>
      <c r="S644" s="26"/>
      <c r="T644" s="26"/>
      <c r="U644" s="26"/>
      <c r="V644" s="26"/>
      <c r="W644" s="26"/>
      <c r="X644" s="26"/>
      <c r="Y644" s="26"/>
      <c r="Z644" s="26"/>
    </row>
    <row r="645" spans="1:26" ht="19.5" customHeight="1" x14ac:dyDescent="0.85">
      <c r="A645" s="26"/>
      <c r="B645" s="26"/>
      <c r="C645" s="26"/>
      <c r="D645" s="26"/>
      <c r="E645" s="26"/>
      <c r="F645" s="26"/>
      <c r="G645" s="26"/>
      <c r="H645" s="26"/>
      <c r="I645" s="26"/>
      <c r="J645" s="26"/>
      <c r="K645" s="26"/>
      <c r="L645" s="26"/>
      <c r="M645" s="26"/>
      <c r="N645" s="26"/>
      <c r="O645" s="26"/>
      <c r="P645" s="26"/>
      <c r="Q645" s="26"/>
      <c r="R645" s="26"/>
      <c r="S645" s="26"/>
      <c r="T645" s="26"/>
      <c r="U645" s="26"/>
      <c r="V645" s="26"/>
      <c r="W645" s="26"/>
      <c r="X645" s="26"/>
      <c r="Y645" s="26"/>
      <c r="Z645" s="26"/>
    </row>
    <row r="646" spans="1:26" ht="19.5" customHeight="1" x14ac:dyDescent="0.85">
      <c r="A646" s="26"/>
      <c r="B646" s="26"/>
      <c r="C646" s="26"/>
      <c r="D646" s="26"/>
      <c r="E646" s="26"/>
      <c r="F646" s="26"/>
      <c r="G646" s="26"/>
      <c r="H646" s="26"/>
      <c r="I646" s="26"/>
      <c r="J646" s="26"/>
      <c r="K646" s="26"/>
      <c r="L646" s="26"/>
      <c r="M646" s="26"/>
      <c r="N646" s="26"/>
      <c r="O646" s="26"/>
      <c r="P646" s="26"/>
      <c r="Q646" s="26"/>
      <c r="R646" s="26"/>
      <c r="S646" s="26"/>
      <c r="T646" s="26"/>
      <c r="U646" s="26"/>
      <c r="V646" s="26"/>
      <c r="W646" s="26"/>
      <c r="X646" s="26"/>
      <c r="Y646" s="26"/>
      <c r="Z646" s="26"/>
    </row>
    <row r="647" spans="1:26" ht="19.5" customHeight="1" x14ac:dyDescent="0.85">
      <c r="A647" s="26"/>
      <c r="B647" s="26"/>
      <c r="C647" s="26"/>
      <c r="D647" s="26"/>
      <c r="E647" s="26"/>
      <c r="F647" s="26"/>
      <c r="G647" s="26"/>
      <c r="H647" s="26"/>
      <c r="I647" s="26"/>
      <c r="J647" s="26"/>
      <c r="K647" s="26"/>
      <c r="L647" s="26"/>
      <c r="M647" s="26"/>
      <c r="N647" s="26"/>
      <c r="O647" s="26"/>
      <c r="P647" s="26"/>
      <c r="Q647" s="26"/>
      <c r="R647" s="26"/>
      <c r="S647" s="26"/>
      <c r="T647" s="26"/>
      <c r="U647" s="26"/>
      <c r="V647" s="26"/>
      <c r="W647" s="26"/>
      <c r="X647" s="26"/>
      <c r="Y647" s="26"/>
      <c r="Z647" s="26"/>
    </row>
    <row r="648" spans="1:26" ht="19.5" customHeight="1" x14ac:dyDescent="0.85">
      <c r="A648" s="26"/>
      <c r="B648" s="26"/>
      <c r="C648" s="26"/>
      <c r="D648" s="26"/>
      <c r="E648" s="26"/>
      <c r="F648" s="26"/>
      <c r="G648" s="26"/>
      <c r="H648" s="26"/>
      <c r="I648" s="26"/>
      <c r="J648" s="26"/>
      <c r="K648" s="26"/>
      <c r="L648" s="26"/>
      <c r="M648" s="26"/>
      <c r="N648" s="26"/>
      <c r="O648" s="26"/>
      <c r="P648" s="26"/>
      <c r="Q648" s="26"/>
      <c r="R648" s="26"/>
      <c r="S648" s="26"/>
      <c r="T648" s="26"/>
      <c r="U648" s="26"/>
      <c r="V648" s="26"/>
      <c r="W648" s="26"/>
      <c r="X648" s="26"/>
      <c r="Y648" s="26"/>
      <c r="Z648" s="26"/>
    </row>
    <row r="649" spans="1:26" ht="19.5" customHeight="1" x14ac:dyDescent="0.85">
      <c r="A649" s="26"/>
      <c r="B649" s="26"/>
      <c r="C649" s="26"/>
      <c r="D649" s="26"/>
      <c r="E649" s="26"/>
      <c r="F649" s="26"/>
      <c r="G649" s="26"/>
      <c r="H649" s="26"/>
      <c r="I649" s="26"/>
      <c r="J649" s="26"/>
      <c r="K649" s="26"/>
      <c r="L649" s="26"/>
      <c r="M649" s="26"/>
      <c r="N649" s="26"/>
      <c r="O649" s="26"/>
      <c r="P649" s="26"/>
      <c r="Q649" s="26"/>
      <c r="R649" s="26"/>
      <c r="S649" s="26"/>
      <c r="T649" s="26"/>
      <c r="U649" s="26"/>
      <c r="V649" s="26"/>
      <c r="W649" s="26"/>
      <c r="X649" s="26"/>
      <c r="Y649" s="26"/>
      <c r="Z649" s="26"/>
    </row>
    <row r="650" spans="1:26" ht="19.5" customHeight="1" x14ac:dyDescent="0.85">
      <c r="A650" s="26"/>
      <c r="B650" s="26"/>
      <c r="C650" s="26"/>
      <c r="D650" s="26"/>
      <c r="E650" s="26"/>
      <c r="F650" s="26"/>
      <c r="G650" s="26"/>
      <c r="H650" s="26"/>
      <c r="I650" s="26"/>
      <c r="J650" s="26"/>
      <c r="K650" s="26"/>
      <c r="L650" s="26"/>
      <c r="M650" s="26"/>
      <c r="N650" s="26"/>
      <c r="O650" s="26"/>
      <c r="P650" s="26"/>
      <c r="Q650" s="26"/>
      <c r="R650" s="26"/>
      <c r="S650" s="26"/>
      <c r="T650" s="26"/>
      <c r="U650" s="26"/>
      <c r="V650" s="26"/>
      <c r="W650" s="26"/>
      <c r="X650" s="26"/>
      <c r="Y650" s="26"/>
      <c r="Z650" s="26"/>
    </row>
    <row r="651" spans="1:26" ht="19.5" customHeight="1" x14ac:dyDescent="0.85">
      <c r="A651" s="26"/>
      <c r="B651" s="26"/>
      <c r="C651" s="26"/>
      <c r="D651" s="26"/>
      <c r="E651" s="26"/>
      <c r="F651" s="26"/>
      <c r="G651" s="26"/>
      <c r="H651" s="26"/>
      <c r="I651" s="26"/>
      <c r="J651" s="26"/>
      <c r="K651" s="26"/>
      <c r="L651" s="26"/>
      <c r="M651" s="26"/>
      <c r="N651" s="26"/>
      <c r="O651" s="26"/>
      <c r="P651" s="26"/>
      <c r="Q651" s="26"/>
      <c r="R651" s="26"/>
      <c r="S651" s="26"/>
      <c r="T651" s="26"/>
      <c r="U651" s="26"/>
      <c r="V651" s="26"/>
      <c r="W651" s="26"/>
      <c r="X651" s="26"/>
      <c r="Y651" s="26"/>
      <c r="Z651" s="26"/>
    </row>
    <row r="652" spans="1:26" ht="19.5" customHeight="1" x14ac:dyDescent="0.85">
      <c r="A652" s="26"/>
      <c r="B652" s="26"/>
      <c r="C652" s="26"/>
      <c r="D652" s="26"/>
      <c r="E652" s="26"/>
      <c r="F652" s="26"/>
      <c r="G652" s="26"/>
      <c r="H652" s="26"/>
      <c r="I652" s="26"/>
      <c r="J652" s="26"/>
      <c r="K652" s="26"/>
      <c r="L652" s="26"/>
      <c r="M652" s="26"/>
      <c r="N652" s="26"/>
      <c r="O652" s="26"/>
      <c r="P652" s="26"/>
      <c r="Q652" s="26"/>
      <c r="R652" s="26"/>
      <c r="S652" s="26"/>
      <c r="T652" s="26"/>
      <c r="U652" s="26"/>
      <c r="V652" s="26"/>
      <c r="W652" s="26"/>
      <c r="X652" s="26"/>
      <c r="Y652" s="26"/>
      <c r="Z652" s="26"/>
    </row>
    <row r="653" spans="1:26" ht="19.5" customHeight="1" x14ac:dyDescent="0.85">
      <c r="A653" s="26"/>
      <c r="B653" s="26"/>
      <c r="C653" s="26"/>
      <c r="D653" s="26"/>
      <c r="E653" s="26"/>
      <c r="F653" s="26"/>
      <c r="G653" s="26"/>
      <c r="H653" s="26"/>
      <c r="I653" s="26"/>
      <c r="J653" s="26"/>
      <c r="K653" s="26"/>
      <c r="L653" s="26"/>
      <c r="M653" s="26"/>
      <c r="N653" s="26"/>
      <c r="O653" s="26"/>
      <c r="P653" s="26"/>
      <c r="Q653" s="26"/>
      <c r="R653" s="26"/>
      <c r="S653" s="26"/>
      <c r="T653" s="26"/>
      <c r="U653" s="26"/>
      <c r="V653" s="26"/>
      <c r="W653" s="26"/>
      <c r="X653" s="26"/>
      <c r="Y653" s="26"/>
      <c r="Z653" s="26"/>
    </row>
    <row r="654" spans="1:26" ht="19.5" customHeight="1" x14ac:dyDescent="0.85">
      <c r="A654" s="26"/>
      <c r="B654" s="26"/>
      <c r="C654" s="26"/>
      <c r="D654" s="26"/>
      <c r="E654" s="26"/>
      <c r="F654" s="26"/>
      <c r="G654" s="26"/>
      <c r="H654" s="26"/>
      <c r="I654" s="26"/>
      <c r="J654" s="26"/>
      <c r="K654" s="26"/>
      <c r="L654" s="26"/>
      <c r="M654" s="26"/>
      <c r="N654" s="26"/>
      <c r="O654" s="26"/>
      <c r="P654" s="26"/>
      <c r="Q654" s="26"/>
      <c r="R654" s="26"/>
      <c r="S654" s="26"/>
      <c r="T654" s="26"/>
      <c r="U654" s="26"/>
      <c r="V654" s="26"/>
      <c r="W654" s="26"/>
      <c r="X654" s="26"/>
      <c r="Y654" s="26"/>
      <c r="Z654" s="26"/>
    </row>
    <row r="655" spans="1:26" ht="19.5" customHeight="1" x14ac:dyDescent="0.85">
      <c r="A655" s="26"/>
      <c r="B655" s="26"/>
      <c r="C655" s="26"/>
      <c r="D655" s="26"/>
      <c r="E655" s="26"/>
      <c r="F655" s="26"/>
      <c r="G655" s="26"/>
      <c r="H655" s="26"/>
      <c r="I655" s="26"/>
      <c r="J655" s="26"/>
      <c r="K655" s="26"/>
      <c r="L655" s="26"/>
      <c r="M655" s="26"/>
      <c r="N655" s="26"/>
      <c r="O655" s="26"/>
      <c r="P655" s="26"/>
      <c r="Q655" s="26"/>
      <c r="R655" s="26"/>
      <c r="S655" s="26"/>
      <c r="T655" s="26"/>
      <c r="U655" s="26"/>
      <c r="V655" s="26"/>
      <c r="W655" s="26"/>
      <c r="X655" s="26"/>
      <c r="Y655" s="26"/>
      <c r="Z655" s="26"/>
    </row>
    <row r="656" spans="1:26" ht="19.5" customHeight="1" x14ac:dyDescent="0.85">
      <c r="A656" s="26"/>
      <c r="B656" s="26"/>
      <c r="C656" s="26"/>
      <c r="D656" s="26"/>
      <c r="E656" s="26"/>
      <c r="F656" s="26"/>
      <c r="G656" s="26"/>
      <c r="H656" s="26"/>
      <c r="I656" s="26"/>
      <c r="J656" s="26"/>
      <c r="K656" s="26"/>
      <c r="L656" s="26"/>
      <c r="M656" s="26"/>
      <c r="N656" s="26"/>
      <c r="O656" s="26"/>
      <c r="P656" s="26"/>
      <c r="Q656" s="26"/>
      <c r="R656" s="26"/>
      <c r="S656" s="26"/>
      <c r="T656" s="26"/>
      <c r="U656" s="26"/>
      <c r="V656" s="26"/>
      <c r="W656" s="26"/>
      <c r="X656" s="26"/>
      <c r="Y656" s="26"/>
      <c r="Z656" s="26"/>
    </row>
    <row r="657" spans="1:26" ht="19.5" customHeight="1" x14ac:dyDescent="0.85">
      <c r="A657" s="26"/>
      <c r="B657" s="26"/>
      <c r="C657" s="26"/>
      <c r="D657" s="26"/>
      <c r="E657" s="26"/>
      <c r="F657" s="26"/>
      <c r="G657" s="26"/>
      <c r="H657" s="26"/>
      <c r="I657" s="26"/>
      <c r="J657" s="26"/>
      <c r="K657" s="26"/>
      <c r="L657" s="26"/>
      <c r="M657" s="26"/>
      <c r="N657" s="26"/>
      <c r="O657" s="26"/>
      <c r="P657" s="26"/>
      <c r="Q657" s="26"/>
      <c r="R657" s="26"/>
      <c r="S657" s="26"/>
      <c r="T657" s="26"/>
      <c r="U657" s="26"/>
      <c r="V657" s="26"/>
      <c r="W657" s="26"/>
      <c r="X657" s="26"/>
      <c r="Y657" s="26"/>
      <c r="Z657" s="26"/>
    </row>
    <row r="658" spans="1:26" ht="19.5" customHeight="1" x14ac:dyDescent="0.85">
      <c r="A658" s="26"/>
      <c r="B658" s="26"/>
      <c r="C658" s="26"/>
      <c r="D658" s="26"/>
      <c r="E658" s="26"/>
      <c r="F658" s="26"/>
      <c r="G658" s="26"/>
      <c r="H658" s="26"/>
      <c r="I658" s="26"/>
      <c r="J658" s="26"/>
      <c r="K658" s="26"/>
      <c r="L658" s="26"/>
      <c r="M658" s="26"/>
      <c r="N658" s="26"/>
      <c r="O658" s="26"/>
      <c r="P658" s="26"/>
      <c r="Q658" s="26"/>
      <c r="R658" s="26"/>
      <c r="S658" s="26"/>
      <c r="T658" s="26"/>
      <c r="U658" s="26"/>
      <c r="V658" s="26"/>
      <c r="W658" s="26"/>
      <c r="X658" s="26"/>
      <c r="Y658" s="26"/>
      <c r="Z658" s="26"/>
    </row>
    <row r="659" spans="1:26" ht="19.5" customHeight="1" x14ac:dyDescent="0.85">
      <c r="A659" s="26"/>
      <c r="B659" s="26"/>
      <c r="C659" s="26"/>
      <c r="D659" s="26"/>
      <c r="E659" s="26"/>
      <c r="F659" s="26"/>
      <c r="G659" s="26"/>
      <c r="H659" s="26"/>
      <c r="I659" s="26"/>
      <c r="J659" s="26"/>
      <c r="K659" s="26"/>
      <c r="L659" s="26"/>
      <c r="M659" s="26"/>
      <c r="N659" s="26"/>
      <c r="O659" s="26"/>
      <c r="P659" s="26"/>
      <c r="Q659" s="26"/>
      <c r="R659" s="26"/>
      <c r="S659" s="26"/>
      <c r="T659" s="26"/>
      <c r="U659" s="26"/>
      <c r="V659" s="26"/>
      <c r="W659" s="26"/>
      <c r="X659" s="26"/>
      <c r="Y659" s="26"/>
      <c r="Z659" s="26"/>
    </row>
    <row r="660" spans="1:26" ht="19.5" customHeight="1" x14ac:dyDescent="0.85">
      <c r="A660" s="26"/>
      <c r="B660" s="26"/>
      <c r="C660" s="26"/>
      <c r="D660" s="26"/>
      <c r="E660" s="26"/>
      <c r="F660" s="26"/>
      <c r="G660" s="26"/>
      <c r="H660" s="26"/>
      <c r="I660" s="26"/>
      <c r="J660" s="26"/>
      <c r="K660" s="26"/>
      <c r="L660" s="26"/>
      <c r="M660" s="26"/>
      <c r="N660" s="26"/>
      <c r="O660" s="26"/>
      <c r="P660" s="26"/>
      <c r="Q660" s="26"/>
      <c r="R660" s="26"/>
      <c r="S660" s="26"/>
      <c r="T660" s="26"/>
      <c r="U660" s="26"/>
      <c r="V660" s="26"/>
      <c r="W660" s="26"/>
      <c r="X660" s="26"/>
      <c r="Y660" s="26"/>
      <c r="Z660" s="26"/>
    </row>
    <row r="661" spans="1:26" ht="19.5" customHeight="1" x14ac:dyDescent="0.85">
      <c r="A661" s="26"/>
      <c r="B661" s="26"/>
      <c r="C661" s="26"/>
      <c r="D661" s="26"/>
      <c r="E661" s="26"/>
      <c r="F661" s="26"/>
      <c r="G661" s="26"/>
      <c r="H661" s="26"/>
      <c r="I661" s="26"/>
      <c r="J661" s="26"/>
      <c r="K661" s="26"/>
      <c r="L661" s="26"/>
      <c r="M661" s="26"/>
      <c r="N661" s="26"/>
      <c r="O661" s="26"/>
      <c r="P661" s="26"/>
      <c r="Q661" s="26"/>
      <c r="R661" s="26"/>
      <c r="S661" s="26"/>
      <c r="T661" s="26"/>
      <c r="U661" s="26"/>
      <c r="V661" s="26"/>
      <c r="W661" s="26"/>
      <c r="X661" s="26"/>
      <c r="Y661" s="26"/>
      <c r="Z661" s="26"/>
    </row>
    <row r="662" spans="1:26" ht="19.5" customHeight="1" x14ac:dyDescent="0.85">
      <c r="A662" s="26"/>
      <c r="B662" s="26"/>
      <c r="C662" s="26"/>
      <c r="D662" s="26"/>
      <c r="E662" s="26"/>
      <c r="F662" s="26"/>
      <c r="G662" s="26"/>
      <c r="H662" s="26"/>
      <c r="I662" s="26"/>
      <c r="J662" s="26"/>
      <c r="K662" s="26"/>
      <c r="L662" s="26"/>
      <c r="M662" s="26"/>
      <c r="N662" s="26"/>
      <c r="O662" s="26"/>
      <c r="P662" s="26"/>
      <c r="Q662" s="26"/>
      <c r="R662" s="26"/>
      <c r="S662" s="26"/>
      <c r="T662" s="26"/>
      <c r="U662" s="26"/>
      <c r="V662" s="26"/>
      <c r="W662" s="26"/>
      <c r="X662" s="26"/>
      <c r="Y662" s="26"/>
      <c r="Z662" s="26"/>
    </row>
    <row r="663" spans="1:26" ht="19.5" customHeight="1" x14ac:dyDescent="0.85">
      <c r="A663" s="26"/>
      <c r="B663" s="26"/>
      <c r="C663" s="26"/>
      <c r="D663" s="26"/>
      <c r="E663" s="26"/>
      <c r="F663" s="26"/>
      <c r="G663" s="26"/>
      <c r="H663" s="26"/>
      <c r="I663" s="26"/>
      <c r="J663" s="26"/>
      <c r="K663" s="26"/>
      <c r="L663" s="26"/>
      <c r="M663" s="26"/>
      <c r="N663" s="26"/>
      <c r="O663" s="26"/>
      <c r="P663" s="26"/>
      <c r="Q663" s="26"/>
      <c r="R663" s="26"/>
      <c r="S663" s="26"/>
      <c r="T663" s="26"/>
      <c r="U663" s="26"/>
      <c r="V663" s="26"/>
      <c r="W663" s="26"/>
      <c r="X663" s="26"/>
      <c r="Y663" s="26"/>
      <c r="Z663" s="26"/>
    </row>
    <row r="664" spans="1:26" ht="19.5" customHeight="1" x14ac:dyDescent="0.85">
      <c r="A664" s="26"/>
      <c r="B664" s="26"/>
      <c r="C664" s="26"/>
      <c r="D664" s="26"/>
      <c r="E664" s="26"/>
      <c r="F664" s="26"/>
      <c r="G664" s="26"/>
      <c r="H664" s="26"/>
      <c r="I664" s="26"/>
      <c r="J664" s="26"/>
      <c r="K664" s="26"/>
      <c r="L664" s="26"/>
      <c r="M664" s="26"/>
      <c r="N664" s="26"/>
      <c r="O664" s="26"/>
      <c r="P664" s="26"/>
      <c r="Q664" s="26"/>
      <c r="R664" s="26"/>
      <c r="S664" s="26"/>
      <c r="T664" s="26"/>
      <c r="U664" s="26"/>
      <c r="V664" s="26"/>
      <c r="W664" s="26"/>
      <c r="X664" s="26"/>
      <c r="Y664" s="26"/>
      <c r="Z664" s="26"/>
    </row>
    <row r="665" spans="1:26" ht="19.5" customHeight="1" x14ac:dyDescent="0.85">
      <c r="A665" s="26"/>
      <c r="B665" s="26"/>
      <c r="C665" s="26"/>
      <c r="D665" s="26"/>
      <c r="E665" s="26"/>
      <c r="F665" s="26"/>
      <c r="G665" s="26"/>
      <c r="H665" s="26"/>
      <c r="I665" s="26"/>
      <c r="J665" s="26"/>
      <c r="K665" s="26"/>
      <c r="L665" s="26"/>
      <c r="M665" s="26"/>
      <c r="N665" s="26"/>
      <c r="O665" s="26"/>
      <c r="P665" s="26"/>
      <c r="Q665" s="26"/>
      <c r="R665" s="26"/>
      <c r="S665" s="26"/>
      <c r="T665" s="26"/>
      <c r="U665" s="26"/>
      <c r="V665" s="26"/>
      <c r="W665" s="26"/>
      <c r="X665" s="26"/>
      <c r="Y665" s="26"/>
      <c r="Z665" s="26"/>
    </row>
    <row r="666" spans="1:26" ht="19.5" customHeight="1" x14ac:dyDescent="0.85">
      <c r="A666" s="26"/>
      <c r="B666" s="26"/>
      <c r="C666" s="26"/>
      <c r="D666" s="26"/>
      <c r="E666" s="26"/>
      <c r="F666" s="26"/>
      <c r="G666" s="26"/>
      <c r="H666" s="26"/>
      <c r="I666" s="26"/>
      <c r="J666" s="26"/>
      <c r="K666" s="26"/>
      <c r="L666" s="26"/>
      <c r="M666" s="26"/>
      <c r="N666" s="26"/>
      <c r="O666" s="26"/>
      <c r="P666" s="26"/>
      <c r="Q666" s="26"/>
      <c r="R666" s="26"/>
      <c r="S666" s="26"/>
      <c r="T666" s="26"/>
      <c r="U666" s="26"/>
      <c r="V666" s="26"/>
      <c r="W666" s="26"/>
      <c r="X666" s="26"/>
      <c r="Y666" s="26"/>
      <c r="Z666" s="26"/>
    </row>
    <row r="667" spans="1:26" ht="19.5" customHeight="1" x14ac:dyDescent="0.85">
      <c r="A667" s="26"/>
      <c r="B667" s="26"/>
      <c r="C667" s="26"/>
      <c r="D667" s="26"/>
      <c r="E667" s="26"/>
      <c r="F667" s="26"/>
      <c r="G667" s="26"/>
      <c r="H667" s="26"/>
      <c r="I667" s="26"/>
      <c r="J667" s="26"/>
      <c r="K667" s="26"/>
      <c r="L667" s="26"/>
      <c r="M667" s="26"/>
      <c r="N667" s="26"/>
      <c r="O667" s="26"/>
      <c r="P667" s="26"/>
      <c r="Q667" s="26"/>
      <c r="R667" s="26"/>
      <c r="S667" s="26"/>
      <c r="T667" s="26"/>
      <c r="U667" s="26"/>
      <c r="V667" s="26"/>
      <c r="W667" s="26"/>
      <c r="X667" s="26"/>
      <c r="Y667" s="26"/>
      <c r="Z667" s="26"/>
    </row>
    <row r="668" spans="1:26" ht="19.5" customHeight="1" x14ac:dyDescent="0.85">
      <c r="A668" s="26"/>
      <c r="B668" s="26"/>
      <c r="C668" s="26"/>
      <c r="D668" s="26"/>
      <c r="E668" s="26"/>
      <c r="F668" s="26"/>
      <c r="G668" s="26"/>
      <c r="H668" s="26"/>
      <c r="I668" s="26"/>
      <c r="J668" s="26"/>
      <c r="K668" s="26"/>
      <c r="L668" s="26"/>
      <c r="M668" s="26"/>
      <c r="N668" s="26"/>
      <c r="O668" s="26"/>
      <c r="P668" s="26"/>
      <c r="Q668" s="26"/>
      <c r="R668" s="26"/>
      <c r="S668" s="26"/>
      <c r="T668" s="26"/>
      <c r="U668" s="26"/>
      <c r="V668" s="26"/>
      <c r="W668" s="26"/>
      <c r="X668" s="26"/>
      <c r="Y668" s="26"/>
      <c r="Z668" s="26"/>
    </row>
    <row r="669" spans="1:26" ht="19.5" customHeight="1" x14ac:dyDescent="0.85">
      <c r="A669" s="26"/>
      <c r="B669" s="26"/>
      <c r="C669" s="26"/>
      <c r="D669" s="26"/>
      <c r="E669" s="26"/>
      <c r="F669" s="26"/>
      <c r="G669" s="26"/>
      <c r="H669" s="26"/>
      <c r="I669" s="26"/>
      <c r="J669" s="26"/>
      <c r="K669" s="26"/>
      <c r="L669" s="26"/>
      <c r="M669" s="26"/>
      <c r="N669" s="26"/>
      <c r="O669" s="26"/>
      <c r="P669" s="26"/>
      <c r="Q669" s="26"/>
      <c r="R669" s="26"/>
      <c r="S669" s="26"/>
      <c r="T669" s="26"/>
      <c r="U669" s="26"/>
      <c r="V669" s="26"/>
      <c r="W669" s="26"/>
      <c r="X669" s="26"/>
      <c r="Y669" s="26"/>
      <c r="Z669" s="26"/>
    </row>
    <row r="670" spans="1:26" ht="19.5" customHeight="1" x14ac:dyDescent="0.85">
      <c r="A670" s="26"/>
      <c r="B670" s="26"/>
      <c r="C670" s="26"/>
      <c r="D670" s="26"/>
      <c r="E670" s="26"/>
      <c r="F670" s="26"/>
      <c r="G670" s="26"/>
      <c r="H670" s="26"/>
      <c r="I670" s="26"/>
      <c r="J670" s="26"/>
      <c r="K670" s="26"/>
      <c r="L670" s="26"/>
      <c r="M670" s="26"/>
      <c r="N670" s="26"/>
      <c r="O670" s="26"/>
      <c r="P670" s="26"/>
      <c r="Q670" s="26"/>
      <c r="R670" s="26"/>
      <c r="S670" s="26"/>
      <c r="T670" s="26"/>
      <c r="U670" s="26"/>
      <c r="V670" s="26"/>
      <c r="W670" s="26"/>
      <c r="X670" s="26"/>
      <c r="Y670" s="26"/>
      <c r="Z670" s="26"/>
    </row>
    <row r="671" spans="1:26" ht="19.5" customHeight="1" x14ac:dyDescent="0.85">
      <c r="A671" s="26"/>
      <c r="B671" s="26"/>
      <c r="C671" s="26"/>
      <c r="D671" s="26"/>
      <c r="E671" s="26"/>
      <c r="F671" s="26"/>
      <c r="G671" s="26"/>
      <c r="H671" s="26"/>
      <c r="I671" s="26"/>
      <c r="J671" s="26"/>
      <c r="K671" s="26"/>
      <c r="L671" s="26"/>
      <c r="M671" s="26"/>
      <c r="N671" s="26"/>
      <c r="O671" s="26"/>
      <c r="P671" s="26"/>
      <c r="Q671" s="26"/>
      <c r="R671" s="26"/>
      <c r="S671" s="26"/>
      <c r="T671" s="26"/>
      <c r="U671" s="26"/>
      <c r="V671" s="26"/>
      <c r="W671" s="26"/>
      <c r="X671" s="26"/>
      <c r="Y671" s="26"/>
      <c r="Z671" s="26"/>
    </row>
    <row r="672" spans="1:26" ht="19.5" customHeight="1" x14ac:dyDescent="0.85">
      <c r="A672" s="26"/>
      <c r="B672" s="26"/>
      <c r="C672" s="26"/>
      <c r="D672" s="26"/>
      <c r="E672" s="26"/>
      <c r="F672" s="26"/>
      <c r="G672" s="26"/>
      <c r="H672" s="26"/>
      <c r="I672" s="26"/>
      <c r="J672" s="26"/>
      <c r="K672" s="26"/>
      <c r="L672" s="26"/>
      <c r="M672" s="26"/>
      <c r="N672" s="26"/>
      <c r="O672" s="26"/>
      <c r="P672" s="26"/>
      <c r="Q672" s="26"/>
      <c r="R672" s="26"/>
      <c r="S672" s="26"/>
      <c r="T672" s="26"/>
      <c r="U672" s="26"/>
      <c r="V672" s="26"/>
      <c r="W672" s="26"/>
      <c r="X672" s="26"/>
      <c r="Y672" s="26"/>
      <c r="Z672" s="26"/>
    </row>
    <row r="673" spans="1:26" ht="19.5" customHeight="1" x14ac:dyDescent="0.85">
      <c r="A673" s="26"/>
      <c r="B673" s="26"/>
      <c r="C673" s="26"/>
      <c r="D673" s="26"/>
      <c r="E673" s="26"/>
      <c r="F673" s="26"/>
      <c r="G673" s="26"/>
      <c r="H673" s="26"/>
      <c r="I673" s="26"/>
      <c r="J673" s="26"/>
      <c r="K673" s="26"/>
      <c r="L673" s="26"/>
      <c r="M673" s="26"/>
      <c r="N673" s="26"/>
      <c r="O673" s="26"/>
      <c r="P673" s="26"/>
      <c r="Q673" s="26"/>
      <c r="R673" s="26"/>
      <c r="S673" s="26"/>
      <c r="T673" s="26"/>
      <c r="U673" s="26"/>
      <c r="V673" s="26"/>
      <c r="W673" s="26"/>
      <c r="X673" s="26"/>
      <c r="Y673" s="26"/>
      <c r="Z673" s="26"/>
    </row>
    <row r="674" spans="1:26" ht="19.5" customHeight="1" x14ac:dyDescent="0.85">
      <c r="A674" s="26"/>
      <c r="B674" s="26"/>
      <c r="C674" s="26"/>
      <c r="D674" s="26"/>
      <c r="E674" s="26"/>
      <c r="F674" s="26"/>
      <c r="G674" s="26"/>
      <c r="H674" s="26"/>
      <c r="I674" s="26"/>
      <c r="J674" s="26"/>
      <c r="K674" s="26"/>
      <c r="L674" s="26"/>
      <c r="M674" s="26"/>
      <c r="N674" s="26"/>
      <c r="O674" s="26"/>
      <c r="P674" s="26"/>
      <c r="Q674" s="26"/>
      <c r="R674" s="26"/>
      <c r="S674" s="26"/>
      <c r="T674" s="26"/>
      <c r="U674" s="26"/>
      <c r="V674" s="26"/>
      <c r="W674" s="26"/>
      <c r="X674" s="26"/>
      <c r="Y674" s="26"/>
      <c r="Z674" s="26"/>
    </row>
    <row r="675" spans="1:26" ht="19.5" customHeight="1" x14ac:dyDescent="0.85">
      <c r="A675" s="26"/>
      <c r="B675" s="26"/>
      <c r="C675" s="26"/>
      <c r="D675" s="26"/>
      <c r="E675" s="26"/>
      <c r="F675" s="26"/>
      <c r="G675" s="26"/>
      <c r="H675" s="26"/>
      <c r="I675" s="26"/>
      <c r="J675" s="26"/>
      <c r="K675" s="26"/>
      <c r="L675" s="26"/>
      <c r="M675" s="26"/>
      <c r="N675" s="26"/>
      <c r="O675" s="26"/>
      <c r="P675" s="26"/>
      <c r="Q675" s="26"/>
      <c r="R675" s="26"/>
      <c r="S675" s="26"/>
      <c r="T675" s="26"/>
      <c r="U675" s="26"/>
      <c r="V675" s="26"/>
      <c r="W675" s="26"/>
      <c r="X675" s="26"/>
      <c r="Y675" s="26"/>
      <c r="Z675" s="26"/>
    </row>
    <row r="676" spans="1:26" ht="19.5" customHeight="1" x14ac:dyDescent="0.85">
      <c r="A676" s="26"/>
      <c r="B676" s="26"/>
      <c r="C676" s="26"/>
      <c r="D676" s="26"/>
      <c r="E676" s="26"/>
      <c r="F676" s="26"/>
      <c r="G676" s="26"/>
      <c r="H676" s="26"/>
      <c r="I676" s="26"/>
      <c r="J676" s="26"/>
      <c r="K676" s="26"/>
      <c r="L676" s="26"/>
      <c r="M676" s="26"/>
      <c r="N676" s="26"/>
      <c r="O676" s="26"/>
      <c r="P676" s="26"/>
      <c r="Q676" s="26"/>
      <c r="R676" s="26"/>
      <c r="S676" s="26"/>
      <c r="T676" s="26"/>
      <c r="U676" s="26"/>
      <c r="V676" s="26"/>
      <c r="W676" s="26"/>
      <c r="X676" s="26"/>
      <c r="Y676" s="26"/>
      <c r="Z676" s="26"/>
    </row>
    <row r="677" spans="1:26" ht="19.5" customHeight="1" x14ac:dyDescent="0.85">
      <c r="A677" s="26"/>
      <c r="B677" s="26"/>
      <c r="C677" s="26"/>
      <c r="D677" s="26"/>
      <c r="E677" s="26"/>
      <c r="F677" s="26"/>
      <c r="G677" s="26"/>
      <c r="H677" s="26"/>
      <c r="I677" s="26"/>
      <c r="J677" s="26"/>
      <c r="K677" s="26"/>
      <c r="L677" s="26"/>
      <c r="M677" s="26"/>
      <c r="N677" s="26"/>
      <c r="O677" s="26"/>
      <c r="P677" s="26"/>
      <c r="Q677" s="26"/>
      <c r="R677" s="26"/>
      <c r="S677" s="26"/>
      <c r="T677" s="26"/>
      <c r="U677" s="26"/>
      <c r="V677" s="26"/>
      <c r="W677" s="26"/>
      <c r="X677" s="26"/>
      <c r="Y677" s="26"/>
      <c r="Z677" s="26"/>
    </row>
    <row r="678" spans="1:26" ht="19.5" customHeight="1" x14ac:dyDescent="0.85">
      <c r="A678" s="26"/>
      <c r="B678" s="26"/>
      <c r="C678" s="26"/>
      <c r="D678" s="26"/>
      <c r="E678" s="26"/>
      <c r="F678" s="26"/>
      <c r="G678" s="26"/>
      <c r="H678" s="26"/>
      <c r="I678" s="26"/>
      <c r="J678" s="26"/>
      <c r="K678" s="26"/>
      <c r="L678" s="26"/>
      <c r="M678" s="26"/>
      <c r="N678" s="26"/>
      <c r="O678" s="26"/>
      <c r="P678" s="26"/>
      <c r="Q678" s="26"/>
      <c r="R678" s="26"/>
      <c r="S678" s="26"/>
      <c r="T678" s="26"/>
      <c r="U678" s="26"/>
      <c r="V678" s="26"/>
      <c r="W678" s="26"/>
      <c r="X678" s="26"/>
      <c r="Y678" s="26"/>
      <c r="Z678" s="26"/>
    </row>
    <row r="679" spans="1:26" ht="19.5" customHeight="1" x14ac:dyDescent="0.85">
      <c r="A679" s="26"/>
      <c r="B679" s="26"/>
      <c r="C679" s="26"/>
      <c r="D679" s="26"/>
      <c r="E679" s="26"/>
      <c r="F679" s="26"/>
      <c r="G679" s="26"/>
      <c r="H679" s="26"/>
      <c r="I679" s="26"/>
      <c r="J679" s="26"/>
      <c r="K679" s="26"/>
      <c r="L679" s="26"/>
      <c r="M679" s="26"/>
      <c r="N679" s="26"/>
      <c r="O679" s="26"/>
      <c r="P679" s="26"/>
      <c r="Q679" s="26"/>
      <c r="R679" s="26"/>
      <c r="S679" s="26"/>
      <c r="T679" s="26"/>
      <c r="U679" s="26"/>
      <c r="V679" s="26"/>
      <c r="W679" s="26"/>
      <c r="X679" s="26"/>
      <c r="Y679" s="26"/>
      <c r="Z679" s="26"/>
    </row>
    <row r="680" spans="1:26" ht="19.5" customHeight="1" x14ac:dyDescent="0.85">
      <c r="A680" s="26"/>
      <c r="B680" s="26"/>
      <c r="C680" s="26"/>
      <c r="D680" s="26"/>
      <c r="E680" s="26"/>
      <c r="F680" s="26"/>
      <c r="G680" s="26"/>
      <c r="H680" s="26"/>
      <c r="I680" s="26"/>
      <c r="J680" s="26"/>
      <c r="K680" s="26"/>
      <c r="L680" s="26"/>
      <c r="M680" s="26"/>
      <c r="N680" s="26"/>
      <c r="O680" s="26"/>
      <c r="P680" s="26"/>
      <c r="Q680" s="26"/>
      <c r="R680" s="26"/>
      <c r="S680" s="26"/>
      <c r="T680" s="26"/>
      <c r="U680" s="26"/>
      <c r="V680" s="26"/>
      <c r="W680" s="26"/>
      <c r="X680" s="26"/>
      <c r="Y680" s="26"/>
      <c r="Z680" s="26"/>
    </row>
    <row r="681" spans="1:26" ht="19.5" customHeight="1" x14ac:dyDescent="0.85">
      <c r="A681" s="26"/>
      <c r="B681" s="26"/>
      <c r="C681" s="26"/>
      <c r="D681" s="26"/>
      <c r="E681" s="26"/>
      <c r="F681" s="26"/>
      <c r="G681" s="26"/>
      <c r="H681" s="26"/>
      <c r="I681" s="26"/>
      <c r="J681" s="26"/>
      <c r="K681" s="26"/>
      <c r="L681" s="26"/>
      <c r="M681" s="26"/>
      <c r="N681" s="26"/>
      <c r="O681" s="26"/>
      <c r="P681" s="26"/>
      <c r="Q681" s="26"/>
      <c r="R681" s="26"/>
      <c r="S681" s="26"/>
      <c r="T681" s="26"/>
      <c r="U681" s="26"/>
      <c r="V681" s="26"/>
      <c r="W681" s="26"/>
      <c r="X681" s="26"/>
      <c r="Y681" s="26"/>
      <c r="Z681" s="26"/>
    </row>
    <row r="682" spans="1:26" ht="19.5" customHeight="1" x14ac:dyDescent="0.85">
      <c r="A682" s="26"/>
      <c r="B682" s="26"/>
      <c r="C682" s="26"/>
      <c r="D682" s="26"/>
      <c r="E682" s="26"/>
      <c r="F682" s="26"/>
      <c r="G682" s="26"/>
      <c r="H682" s="26"/>
      <c r="I682" s="26"/>
      <c r="J682" s="26"/>
      <c r="K682" s="26"/>
      <c r="L682" s="26"/>
      <c r="M682" s="26"/>
      <c r="N682" s="26"/>
      <c r="O682" s="26"/>
      <c r="P682" s="26"/>
      <c r="Q682" s="26"/>
      <c r="R682" s="26"/>
      <c r="S682" s="26"/>
      <c r="T682" s="26"/>
      <c r="U682" s="26"/>
      <c r="V682" s="26"/>
      <c r="W682" s="26"/>
      <c r="X682" s="26"/>
      <c r="Y682" s="26"/>
      <c r="Z682" s="26"/>
    </row>
    <row r="683" spans="1:26" ht="19.5" customHeight="1" x14ac:dyDescent="0.85">
      <c r="A683" s="26"/>
      <c r="B683" s="26"/>
      <c r="C683" s="26"/>
      <c r="D683" s="26"/>
      <c r="E683" s="26"/>
      <c r="F683" s="26"/>
      <c r="G683" s="26"/>
      <c r="H683" s="26"/>
      <c r="I683" s="26"/>
      <c r="J683" s="26"/>
      <c r="K683" s="26"/>
      <c r="L683" s="26"/>
      <c r="M683" s="26"/>
      <c r="N683" s="26"/>
      <c r="O683" s="26"/>
      <c r="P683" s="26"/>
      <c r="Q683" s="26"/>
      <c r="R683" s="26"/>
      <c r="S683" s="26"/>
      <c r="T683" s="26"/>
      <c r="U683" s="26"/>
      <c r="V683" s="26"/>
      <c r="W683" s="26"/>
      <c r="X683" s="26"/>
      <c r="Y683" s="26"/>
      <c r="Z683" s="26"/>
    </row>
    <row r="684" spans="1:26" ht="19.5" customHeight="1" x14ac:dyDescent="0.85">
      <c r="A684" s="26"/>
      <c r="B684" s="26"/>
      <c r="C684" s="26"/>
      <c r="D684" s="26"/>
      <c r="E684" s="26"/>
      <c r="F684" s="26"/>
      <c r="G684" s="26"/>
      <c r="H684" s="26"/>
      <c r="I684" s="26"/>
      <c r="J684" s="26"/>
      <c r="K684" s="26"/>
      <c r="L684" s="26"/>
      <c r="M684" s="26"/>
      <c r="N684" s="26"/>
      <c r="O684" s="26"/>
      <c r="P684" s="26"/>
      <c r="Q684" s="26"/>
      <c r="R684" s="26"/>
      <c r="S684" s="26"/>
      <c r="T684" s="26"/>
      <c r="U684" s="26"/>
      <c r="V684" s="26"/>
      <c r="W684" s="26"/>
      <c r="X684" s="26"/>
      <c r="Y684" s="26"/>
      <c r="Z684" s="26"/>
    </row>
    <row r="685" spans="1:26" ht="19.5" customHeight="1" x14ac:dyDescent="0.85">
      <c r="A685" s="26"/>
      <c r="B685" s="26"/>
      <c r="C685" s="26"/>
      <c r="D685" s="26"/>
      <c r="E685" s="26"/>
      <c r="F685" s="26"/>
      <c r="G685" s="26"/>
      <c r="H685" s="26"/>
      <c r="I685" s="26"/>
      <c r="J685" s="26"/>
      <c r="K685" s="26"/>
      <c r="L685" s="26"/>
      <c r="M685" s="26"/>
      <c r="N685" s="26"/>
      <c r="O685" s="26"/>
      <c r="P685" s="26"/>
      <c r="Q685" s="26"/>
      <c r="R685" s="26"/>
      <c r="S685" s="26"/>
      <c r="T685" s="26"/>
      <c r="U685" s="26"/>
      <c r="V685" s="26"/>
      <c r="W685" s="26"/>
      <c r="X685" s="26"/>
      <c r="Y685" s="26"/>
      <c r="Z685" s="26"/>
    </row>
    <row r="686" spans="1:26" ht="19.5" customHeight="1" x14ac:dyDescent="0.85">
      <c r="A686" s="26"/>
      <c r="B686" s="26"/>
      <c r="C686" s="26"/>
      <c r="D686" s="26"/>
      <c r="E686" s="26"/>
      <c r="F686" s="26"/>
      <c r="G686" s="26"/>
      <c r="H686" s="26"/>
      <c r="I686" s="26"/>
      <c r="J686" s="26"/>
      <c r="K686" s="26"/>
      <c r="L686" s="26"/>
      <c r="M686" s="26"/>
      <c r="N686" s="26"/>
      <c r="O686" s="26"/>
      <c r="P686" s="26"/>
      <c r="Q686" s="26"/>
      <c r="R686" s="26"/>
      <c r="S686" s="26"/>
      <c r="T686" s="26"/>
      <c r="U686" s="26"/>
      <c r="V686" s="26"/>
      <c r="W686" s="26"/>
      <c r="X686" s="26"/>
      <c r="Y686" s="26"/>
      <c r="Z686" s="26"/>
    </row>
    <row r="687" spans="1:26" ht="19.5" customHeight="1" x14ac:dyDescent="0.85">
      <c r="A687" s="26"/>
      <c r="B687" s="26"/>
      <c r="C687" s="26"/>
      <c r="D687" s="26"/>
      <c r="E687" s="26"/>
      <c r="F687" s="26"/>
      <c r="G687" s="26"/>
      <c r="H687" s="26"/>
      <c r="I687" s="26"/>
      <c r="J687" s="26"/>
      <c r="K687" s="26"/>
      <c r="L687" s="26"/>
      <c r="M687" s="26"/>
      <c r="N687" s="26"/>
      <c r="O687" s="26"/>
      <c r="P687" s="26"/>
      <c r="Q687" s="26"/>
      <c r="R687" s="26"/>
      <c r="S687" s="26"/>
      <c r="T687" s="26"/>
      <c r="U687" s="26"/>
      <c r="V687" s="26"/>
      <c r="W687" s="26"/>
      <c r="X687" s="26"/>
      <c r="Y687" s="26"/>
      <c r="Z687" s="26"/>
    </row>
    <row r="688" spans="1:26" ht="19.5" customHeight="1" x14ac:dyDescent="0.85">
      <c r="A688" s="26"/>
      <c r="B688" s="26"/>
      <c r="C688" s="26"/>
      <c r="D688" s="26"/>
      <c r="E688" s="26"/>
      <c r="F688" s="26"/>
      <c r="G688" s="26"/>
      <c r="H688" s="26"/>
      <c r="I688" s="26"/>
      <c r="J688" s="26"/>
      <c r="K688" s="26"/>
      <c r="L688" s="26"/>
      <c r="M688" s="26"/>
      <c r="N688" s="26"/>
      <c r="O688" s="26"/>
      <c r="P688" s="26"/>
      <c r="Q688" s="26"/>
      <c r="R688" s="26"/>
      <c r="S688" s="26"/>
      <c r="T688" s="26"/>
      <c r="U688" s="26"/>
      <c r="V688" s="26"/>
      <c r="W688" s="26"/>
      <c r="X688" s="26"/>
      <c r="Y688" s="26"/>
      <c r="Z688" s="26"/>
    </row>
    <row r="689" spans="1:26" ht="19.5" customHeight="1" x14ac:dyDescent="0.85">
      <c r="A689" s="26"/>
      <c r="B689" s="26"/>
      <c r="C689" s="26"/>
      <c r="D689" s="26"/>
      <c r="E689" s="26"/>
      <c r="F689" s="26"/>
      <c r="G689" s="26"/>
      <c r="H689" s="26"/>
      <c r="I689" s="26"/>
      <c r="J689" s="26"/>
      <c r="K689" s="26"/>
      <c r="L689" s="26"/>
      <c r="M689" s="26"/>
      <c r="N689" s="26"/>
      <c r="O689" s="26"/>
      <c r="P689" s="26"/>
      <c r="Q689" s="26"/>
      <c r="R689" s="26"/>
      <c r="S689" s="26"/>
      <c r="T689" s="26"/>
      <c r="U689" s="26"/>
      <c r="V689" s="26"/>
      <c r="W689" s="26"/>
      <c r="X689" s="26"/>
      <c r="Y689" s="26"/>
      <c r="Z689" s="26"/>
    </row>
    <row r="690" spans="1:26" ht="19.5" customHeight="1" x14ac:dyDescent="0.85">
      <c r="A690" s="26"/>
      <c r="B690" s="26"/>
      <c r="C690" s="26"/>
      <c r="D690" s="26"/>
      <c r="E690" s="26"/>
      <c r="F690" s="26"/>
      <c r="G690" s="26"/>
      <c r="H690" s="26"/>
      <c r="I690" s="26"/>
      <c r="J690" s="26"/>
      <c r="K690" s="26"/>
      <c r="L690" s="26"/>
      <c r="M690" s="26"/>
      <c r="N690" s="26"/>
      <c r="O690" s="26"/>
      <c r="P690" s="26"/>
      <c r="Q690" s="26"/>
      <c r="R690" s="26"/>
      <c r="S690" s="26"/>
      <c r="T690" s="26"/>
      <c r="U690" s="26"/>
      <c r="V690" s="26"/>
      <c r="W690" s="26"/>
      <c r="X690" s="26"/>
      <c r="Y690" s="26"/>
      <c r="Z690" s="26"/>
    </row>
    <row r="691" spans="1:26" ht="19.5" customHeight="1" x14ac:dyDescent="0.85">
      <c r="A691" s="26"/>
      <c r="B691" s="26"/>
      <c r="C691" s="26"/>
      <c r="D691" s="26"/>
      <c r="E691" s="26"/>
      <c r="F691" s="26"/>
      <c r="G691" s="26"/>
      <c r="H691" s="26"/>
      <c r="I691" s="26"/>
      <c r="J691" s="26"/>
      <c r="K691" s="26"/>
      <c r="L691" s="26"/>
      <c r="M691" s="26"/>
      <c r="N691" s="26"/>
      <c r="O691" s="26"/>
      <c r="P691" s="26"/>
      <c r="Q691" s="26"/>
      <c r="R691" s="26"/>
      <c r="S691" s="26"/>
      <c r="T691" s="26"/>
      <c r="U691" s="26"/>
      <c r="V691" s="26"/>
      <c r="W691" s="26"/>
      <c r="X691" s="26"/>
      <c r="Y691" s="26"/>
      <c r="Z691" s="26"/>
    </row>
    <row r="692" spans="1:26" ht="19.5" customHeight="1" x14ac:dyDescent="0.85">
      <c r="A692" s="26"/>
      <c r="B692" s="26"/>
      <c r="C692" s="26"/>
      <c r="D692" s="26"/>
      <c r="E692" s="26"/>
      <c r="F692" s="26"/>
      <c r="G692" s="26"/>
      <c r="H692" s="26"/>
      <c r="I692" s="26"/>
      <c r="J692" s="26"/>
      <c r="K692" s="26"/>
      <c r="L692" s="26"/>
      <c r="M692" s="26"/>
      <c r="N692" s="26"/>
      <c r="O692" s="26"/>
      <c r="P692" s="26"/>
      <c r="Q692" s="26"/>
      <c r="R692" s="26"/>
      <c r="S692" s="26"/>
      <c r="T692" s="26"/>
      <c r="U692" s="26"/>
      <c r="V692" s="26"/>
      <c r="W692" s="26"/>
      <c r="X692" s="26"/>
      <c r="Y692" s="26"/>
      <c r="Z692" s="26"/>
    </row>
    <row r="693" spans="1:26" ht="19.5" customHeight="1" x14ac:dyDescent="0.85">
      <c r="A693" s="26"/>
      <c r="B693" s="26"/>
      <c r="C693" s="26"/>
      <c r="D693" s="26"/>
      <c r="E693" s="26"/>
      <c r="F693" s="26"/>
      <c r="G693" s="26"/>
      <c r="H693" s="26"/>
      <c r="I693" s="26"/>
      <c r="J693" s="26"/>
      <c r="K693" s="26"/>
      <c r="L693" s="26"/>
      <c r="M693" s="26"/>
      <c r="N693" s="26"/>
      <c r="O693" s="26"/>
      <c r="P693" s="26"/>
      <c r="Q693" s="26"/>
      <c r="R693" s="26"/>
      <c r="S693" s="26"/>
      <c r="T693" s="26"/>
      <c r="U693" s="26"/>
      <c r="V693" s="26"/>
      <c r="W693" s="26"/>
      <c r="X693" s="26"/>
      <c r="Y693" s="26"/>
      <c r="Z693" s="26"/>
    </row>
    <row r="694" spans="1:26" ht="19.5" customHeight="1" x14ac:dyDescent="0.85">
      <c r="A694" s="26"/>
      <c r="B694" s="26"/>
      <c r="C694" s="26"/>
      <c r="D694" s="26"/>
      <c r="E694" s="26"/>
      <c r="F694" s="26"/>
      <c r="G694" s="26"/>
      <c r="H694" s="26"/>
      <c r="I694" s="26"/>
      <c r="J694" s="26"/>
      <c r="K694" s="26"/>
      <c r="L694" s="26"/>
      <c r="M694" s="26"/>
      <c r="N694" s="26"/>
      <c r="O694" s="26"/>
      <c r="P694" s="26"/>
      <c r="Q694" s="26"/>
      <c r="R694" s="26"/>
      <c r="S694" s="26"/>
      <c r="T694" s="26"/>
      <c r="U694" s="26"/>
      <c r="V694" s="26"/>
      <c r="W694" s="26"/>
      <c r="X694" s="26"/>
      <c r="Y694" s="26"/>
      <c r="Z694" s="26"/>
    </row>
    <row r="695" spans="1:26" ht="19.5" customHeight="1" x14ac:dyDescent="0.85">
      <c r="A695" s="26"/>
      <c r="B695" s="26"/>
      <c r="C695" s="26"/>
      <c r="D695" s="26"/>
      <c r="E695" s="26"/>
      <c r="F695" s="26"/>
      <c r="G695" s="26"/>
      <c r="H695" s="26"/>
      <c r="I695" s="26"/>
      <c r="J695" s="26"/>
      <c r="K695" s="26"/>
      <c r="L695" s="26"/>
      <c r="M695" s="26"/>
      <c r="N695" s="26"/>
      <c r="O695" s="26"/>
      <c r="P695" s="26"/>
      <c r="Q695" s="26"/>
      <c r="R695" s="26"/>
      <c r="S695" s="26"/>
      <c r="T695" s="26"/>
      <c r="U695" s="26"/>
      <c r="V695" s="26"/>
      <c r="W695" s="26"/>
      <c r="X695" s="26"/>
      <c r="Y695" s="26"/>
      <c r="Z695" s="26"/>
    </row>
    <row r="696" spans="1:26" ht="19.5" customHeight="1" x14ac:dyDescent="0.85">
      <c r="A696" s="26"/>
      <c r="B696" s="26"/>
      <c r="C696" s="26"/>
      <c r="D696" s="26"/>
      <c r="E696" s="26"/>
      <c r="F696" s="26"/>
      <c r="G696" s="26"/>
      <c r="H696" s="26"/>
      <c r="I696" s="26"/>
      <c r="J696" s="26"/>
      <c r="K696" s="26"/>
      <c r="L696" s="26"/>
      <c r="M696" s="26"/>
      <c r="N696" s="26"/>
      <c r="O696" s="26"/>
      <c r="P696" s="26"/>
      <c r="Q696" s="26"/>
      <c r="R696" s="26"/>
      <c r="S696" s="26"/>
      <c r="T696" s="26"/>
      <c r="U696" s="26"/>
      <c r="V696" s="26"/>
      <c r="W696" s="26"/>
      <c r="X696" s="26"/>
      <c r="Y696" s="26"/>
      <c r="Z696" s="26"/>
    </row>
    <row r="697" spans="1:26" ht="19.5" customHeight="1" x14ac:dyDescent="0.85">
      <c r="A697" s="26"/>
      <c r="B697" s="26"/>
      <c r="C697" s="26"/>
      <c r="D697" s="26"/>
      <c r="E697" s="26"/>
      <c r="F697" s="26"/>
      <c r="G697" s="26"/>
      <c r="H697" s="26"/>
      <c r="I697" s="26"/>
      <c r="J697" s="26"/>
      <c r="K697" s="26"/>
      <c r="L697" s="26"/>
      <c r="M697" s="26"/>
      <c r="N697" s="26"/>
      <c r="O697" s="26"/>
      <c r="P697" s="26"/>
      <c r="Q697" s="26"/>
      <c r="R697" s="26"/>
      <c r="S697" s="26"/>
      <c r="T697" s="26"/>
      <c r="U697" s="26"/>
      <c r="V697" s="26"/>
      <c r="W697" s="26"/>
      <c r="X697" s="26"/>
      <c r="Y697" s="26"/>
      <c r="Z697" s="26"/>
    </row>
    <row r="698" spans="1:26" ht="19.5" customHeight="1" x14ac:dyDescent="0.85">
      <c r="A698" s="26"/>
      <c r="B698" s="26"/>
      <c r="C698" s="26"/>
      <c r="D698" s="26"/>
      <c r="E698" s="26"/>
      <c r="F698" s="26"/>
      <c r="G698" s="26"/>
      <c r="H698" s="26"/>
      <c r="I698" s="26"/>
      <c r="J698" s="26"/>
      <c r="K698" s="26"/>
      <c r="L698" s="26"/>
      <c r="M698" s="26"/>
      <c r="N698" s="26"/>
      <c r="O698" s="26"/>
      <c r="P698" s="26"/>
      <c r="Q698" s="26"/>
      <c r="R698" s="26"/>
      <c r="S698" s="26"/>
      <c r="T698" s="26"/>
      <c r="U698" s="26"/>
      <c r="V698" s="26"/>
      <c r="W698" s="26"/>
      <c r="X698" s="26"/>
      <c r="Y698" s="26"/>
      <c r="Z698" s="26"/>
    </row>
    <row r="699" spans="1:26" ht="19.5" customHeight="1" x14ac:dyDescent="0.85">
      <c r="A699" s="26"/>
      <c r="B699" s="26"/>
      <c r="C699" s="26"/>
      <c r="D699" s="26"/>
      <c r="E699" s="26"/>
      <c r="F699" s="26"/>
      <c r="G699" s="26"/>
      <c r="H699" s="26"/>
      <c r="I699" s="26"/>
      <c r="J699" s="26"/>
      <c r="K699" s="26"/>
      <c r="L699" s="26"/>
      <c r="M699" s="26"/>
      <c r="N699" s="26"/>
      <c r="O699" s="26"/>
      <c r="P699" s="26"/>
      <c r="Q699" s="26"/>
      <c r="R699" s="26"/>
      <c r="S699" s="26"/>
      <c r="T699" s="26"/>
      <c r="U699" s="26"/>
      <c r="V699" s="26"/>
      <c r="W699" s="26"/>
      <c r="X699" s="26"/>
      <c r="Y699" s="26"/>
      <c r="Z699" s="26"/>
    </row>
    <row r="700" spans="1:26" ht="19.5" customHeight="1" x14ac:dyDescent="0.85">
      <c r="A700" s="26"/>
      <c r="B700" s="26"/>
      <c r="C700" s="26"/>
      <c r="D700" s="26"/>
      <c r="E700" s="26"/>
      <c r="F700" s="26"/>
      <c r="G700" s="26"/>
      <c r="H700" s="26"/>
      <c r="I700" s="26"/>
      <c r="J700" s="26"/>
      <c r="K700" s="26"/>
      <c r="L700" s="26"/>
      <c r="M700" s="26"/>
      <c r="N700" s="26"/>
      <c r="O700" s="26"/>
      <c r="P700" s="26"/>
      <c r="Q700" s="26"/>
      <c r="R700" s="26"/>
      <c r="S700" s="26"/>
      <c r="T700" s="26"/>
      <c r="U700" s="26"/>
      <c r="V700" s="26"/>
      <c r="W700" s="26"/>
      <c r="X700" s="26"/>
      <c r="Y700" s="26"/>
      <c r="Z700" s="26"/>
    </row>
    <row r="701" spans="1:26" ht="19.5" customHeight="1" x14ac:dyDescent="0.85">
      <c r="A701" s="26"/>
      <c r="B701" s="26"/>
      <c r="C701" s="26"/>
      <c r="D701" s="26"/>
      <c r="E701" s="26"/>
      <c r="F701" s="26"/>
      <c r="G701" s="26"/>
      <c r="H701" s="26"/>
      <c r="I701" s="26"/>
      <c r="J701" s="26"/>
      <c r="K701" s="26"/>
      <c r="L701" s="26"/>
      <c r="M701" s="26"/>
      <c r="N701" s="26"/>
      <c r="O701" s="26"/>
      <c r="P701" s="26"/>
      <c r="Q701" s="26"/>
      <c r="R701" s="26"/>
      <c r="S701" s="26"/>
      <c r="T701" s="26"/>
      <c r="U701" s="26"/>
      <c r="V701" s="26"/>
      <c r="W701" s="26"/>
      <c r="X701" s="26"/>
      <c r="Y701" s="26"/>
      <c r="Z701" s="26"/>
    </row>
    <row r="702" spans="1:26" ht="19.5" customHeight="1" x14ac:dyDescent="0.85">
      <c r="A702" s="26"/>
      <c r="B702" s="26"/>
      <c r="C702" s="26"/>
      <c r="D702" s="26"/>
      <c r="E702" s="26"/>
      <c r="F702" s="26"/>
      <c r="G702" s="26"/>
      <c r="H702" s="26"/>
      <c r="I702" s="26"/>
      <c r="J702" s="26"/>
      <c r="K702" s="26"/>
      <c r="L702" s="26"/>
      <c r="M702" s="26"/>
      <c r="N702" s="26"/>
      <c r="O702" s="26"/>
      <c r="P702" s="26"/>
      <c r="Q702" s="26"/>
      <c r="R702" s="26"/>
      <c r="S702" s="26"/>
      <c r="T702" s="26"/>
      <c r="U702" s="26"/>
      <c r="V702" s="26"/>
      <c r="W702" s="26"/>
      <c r="X702" s="26"/>
      <c r="Y702" s="26"/>
      <c r="Z702" s="26"/>
    </row>
    <row r="703" spans="1:26" ht="19.5" customHeight="1" x14ac:dyDescent="0.85">
      <c r="A703" s="26"/>
      <c r="B703" s="26"/>
      <c r="C703" s="26"/>
      <c r="D703" s="26"/>
      <c r="E703" s="26"/>
      <c r="F703" s="26"/>
      <c r="G703" s="26"/>
      <c r="H703" s="26"/>
      <c r="I703" s="26"/>
      <c r="J703" s="26"/>
      <c r="K703" s="26"/>
      <c r="L703" s="26"/>
      <c r="M703" s="26"/>
      <c r="N703" s="26"/>
      <c r="O703" s="26"/>
      <c r="P703" s="26"/>
      <c r="Q703" s="26"/>
      <c r="R703" s="26"/>
      <c r="S703" s="26"/>
      <c r="T703" s="26"/>
      <c r="U703" s="26"/>
      <c r="V703" s="26"/>
      <c r="W703" s="26"/>
      <c r="X703" s="26"/>
      <c r="Y703" s="26"/>
      <c r="Z703" s="26"/>
    </row>
    <row r="704" spans="1:26" ht="19.5" customHeight="1" x14ac:dyDescent="0.85">
      <c r="A704" s="26"/>
      <c r="B704" s="26"/>
      <c r="C704" s="26"/>
      <c r="D704" s="26"/>
      <c r="E704" s="26"/>
      <c r="F704" s="26"/>
      <c r="G704" s="26"/>
      <c r="H704" s="26"/>
      <c r="I704" s="26"/>
      <c r="J704" s="26"/>
      <c r="K704" s="26"/>
      <c r="L704" s="26"/>
      <c r="M704" s="26"/>
      <c r="N704" s="26"/>
      <c r="O704" s="26"/>
      <c r="P704" s="26"/>
      <c r="Q704" s="26"/>
      <c r="R704" s="26"/>
      <c r="S704" s="26"/>
      <c r="T704" s="26"/>
      <c r="U704" s="26"/>
      <c r="V704" s="26"/>
      <c r="W704" s="26"/>
      <c r="X704" s="26"/>
      <c r="Y704" s="26"/>
      <c r="Z704" s="26"/>
    </row>
    <row r="705" spans="1:26" ht="19.5" customHeight="1" x14ac:dyDescent="0.85">
      <c r="A705" s="26"/>
      <c r="B705" s="26"/>
      <c r="C705" s="26"/>
      <c r="D705" s="26"/>
      <c r="E705" s="26"/>
      <c r="F705" s="26"/>
      <c r="G705" s="26"/>
      <c r="H705" s="26"/>
      <c r="I705" s="26"/>
      <c r="J705" s="26"/>
      <c r="K705" s="26"/>
      <c r="L705" s="26"/>
      <c r="M705" s="26"/>
      <c r="N705" s="26"/>
      <c r="O705" s="26"/>
      <c r="P705" s="26"/>
      <c r="Q705" s="26"/>
      <c r="R705" s="26"/>
      <c r="S705" s="26"/>
      <c r="T705" s="26"/>
      <c r="U705" s="26"/>
      <c r="V705" s="26"/>
      <c r="W705" s="26"/>
      <c r="X705" s="26"/>
      <c r="Y705" s="26"/>
      <c r="Z705" s="26"/>
    </row>
    <row r="706" spans="1:26" ht="19.5" customHeight="1" x14ac:dyDescent="0.85">
      <c r="A706" s="26"/>
      <c r="B706" s="26"/>
      <c r="C706" s="26"/>
      <c r="D706" s="26"/>
      <c r="E706" s="26"/>
      <c r="F706" s="26"/>
      <c r="G706" s="26"/>
      <c r="H706" s="26"/>
      <c r="I706" s="26"/>
      <c r="J706" s="26"/>
      <c r="K706" s="26"/>
      <c r="L706" s="26"/>
      <c r="M706" s="26"/>
      <c r="N706" s="26"/>
      <c r="O706" s="26"/>
      <c r="P706" s="26"/>
      <c r="Q706" s="26"/>
      <c r="R706" s="26"/>
      <c r="S706" s="26"/>
      <c r="T706" s="26"/>
      <c r="U706" s="26"/>
      <c r="V706" s="26"/>
      <c r="W706" s="26"/>
      <c r="X706" s="26"/>
      <c r="Y706" s="26"/>
      <c r="Z706" s="26"/>
    </row>
    <row r="707" spans="1:26" ht="19.5" customHeight="1" x14ac:dyDescent="0.85">
      <c r="A707" s="26"/>
      <c r="B707" s="26"/>
      <c r="C707" s="26"/>
      <c r="D707" s="26"/>
      <c r="E707" s="26"/>
      <c r="F707" s="26"/>
      <c r="G707" s="26"/>
      <c r="H707" s="26"/>
      <c r="I707" s="26"/>
      <c r="J707" s="26"/>
      <c r="K707" s="26"/>
      <c r="L707" s="26"/>
      <c r="M707" s="26"/>
      <c r="N707" s="26"/>
      <c r="O707" s="26"/>
      <c r="P707" s="26"/>
      <c r="Q707" s="26"/>
      <c r="R707" s="26"/>
      <c r="S707" s="26"/>
      <c r="T707" s="26"/>
      <c r="U707" s="26"/>
      <c r="V707" s="26"/>
      <c r="W707" s="26"/>
      <c r="X707" s="26"/>
      <c r="Y707" s="26"/>
      <c r="Z707" s="26"/>
    </row>
    <row r="708" spans="1:26" ht="19.5" customHeight="1" x14ac:dyDescent="0.85">
      <c r="A708" s="26"/>
      <c r="B708" s="26"/>
      <c r="C708" s="26"/>
      <c r="D708" s="26"/>
      <c r="E708" s="26"/>
      <c r="F708" s="26"/>
      <c r="G708" s="26"/>
      <c r="H708" s="26"/>
      <c r="I708" s="26"/>
      <c r="J708" s="26"/>
      <c r="K708" s="26"/>
      <c r="L708" s="26"/>
      <c r="M708" s="26"/>
      <c r="N708" s="26"/>
      <c r="O708" s="26"/>
      <c r="P708" s="26"/>
      <c r="Q708" s="26"/>
      <c r="R708" s="26"/>
      <c r="S708" s="26"/>
      <c r="T708" s="26"/>
      <c r="U708" s="26"/>
      <c r="V708" s="26"/>
      <c r="W708" s="26"/>
      <c r="X708" s="26"/>
      <c r="Y708" s="26"/>
      <c r="Z708" s="26"/>
    </row>
    <row r="709" spans="1:26" ht="19.5" customHeight="1" x14ac:dyDescent="0.85">
      <c r="A709" s="26"/>
      <c r="B709" s="26"/>
      <c r="C709" s="26"/>
      <c r="D709" s="26"/>
      <c r="E709" s="26"/>
      <c r="F709" s="26"/>
      <c r="G709" s="26"/>
      <c r="H709" s="26"/>
      <c r="I709" s="26"/>
      <c r="J709" s="26"/>
      <c r="K709" s="26"/>
      <c r="L709" s="26"/>
      <c r="M709" s="26"/>
      <c r="N709" s="26"/>
      <c r="O709" s="26"/>
      <c r="P709" s="26"/>
      <c r="Q709" s="26"/>
      <c r="R709" s="26"/>
      <c r="S709" s="26"/>
      <c r="T709" s="26"/>
      <c r="U709" s="26"/>
      <c r="V709" s="26"/>
      <c r="W709" s="26"/>
      <c r="X709" s="26"/>
      <c r="Y709" s="26"/>
      <c r="Z709" s="26"/>
    </row>
    <row r="710" spans="1:26" ht="19.5" customHeight="1" x14ac:dyDescent="0.85">
      <c r="A710" s="26"/>
      <c r="B710" s="26"/>
      <c r="C710" s="26"/>
      <c r="D710" s="26"/>
      <c r="E710" s="26"/>
      <c r="F710" s="26"/>
      <c r="G710" s="26"/>
      <c r="H710" s="26"/>
      <c r="I710" s="26"/>
      <c r="J710" s="26"/>
      <c r="K710" s="26"/>
      <c r="L710" s="26"/>
      <c r="M710" s="26"/>
      <c r="N710" s="26"/>
      <c r="O710" s="26"/>
      <c r="P710" s="26"/>
      <c r="Q710" s="26"/>
      <c r="R710" s="26"/>
      <c r="S710" s="26"/>
      <c r="T710" s="26"/>
      <c r="U710" s="26"/>
      <c r="V710" s="26"/>
      <c r="W710" s="26"/>
      <c r="X710" s="26"/>
      <c r="Y710" s="26"/>
      <c r="Z710" s="26"/>
    </row>
    <row r="711" spans="1:26" ht="19.5" customHeight="1" x14ac:dyDescent="0.85">
      <c r="A711" s="26"/>
      <c r="B711" s="26"/>
      <c r="C711" s="26"/>
      <c r="D711" s="26"/>
      <c r="E711" s="26"/>
      <c r="F711" s="26"/>
      <c r="G711" s="26"/>
      <c r="H711" s="26"/>
      <c r="I711" s="26"/>
      <c r="J711" s="26"/>
      <c r="K711" s="26"/>
      <c r="L711" s="26"/>
      <c r="M711" s="26"/>
      <c r="N711" s="26"/>
      <c r="O711" s="26"/>
      <c r="P711" s="26"/>
      <c r="Q711" s="26"/>
      <c r="R711" s="26"/>
      <c r="S711" s="26"/>
      <c r="T711" s="26"/>
      <c r="U711" s="26"/>
      <c r="V711" s="26"/>
      <c r="W711" s="26"/>
      <c r="X711" s="26"/>
      <c r="Y711" s="26"/>
      <c r="Z711" s="26"/>
    </row>
    <row r="712" spans="1:26" ht="19.5" customHeight="1" x14ac:dyDescent="0.85">
      <c r="A712" s="26"/>
      <c r="B712" s="26"/>
      <c r="C712" s="26"/>
      <c r="D712" s="26"/>
      <c r="E712" s="26"/>
      <c r="F712" s="26"/>
      <c r="G712" s="26"/>
      <c r="H712" s="26"/>
      <c r="I712" s="26"/>
      <c r="J712" s="26"/>
      <c r="K712" s="26"/>
      <c r="L712" s="26"/>
      <c r="M712" s="26"/>
      <c r="N712" s="26"/>
      <c r="O712" s="26"/>
      <c r="P712" s="26"/>
      <c r="Q712" s="26"/>
      <c r="R712" s="26"/>
      <c r="S712" s="26"/>
      <c r="T712" s="26"/>
      <c r="U712" s="26"/>
      <c r="V712" s="26"/>
      <c r="W712" s="26"/>
      <c r="X712" s="26"/>
      <c r="Y712" s="26"/>
      <c r="Z712" s="26"/>
    </row>
    <row r="713" spans="1:26" ht="19.5" customHeight="1" x14ac:dyDescent="0.85">
      <c r="A713" s="26"/>
      <c r="B713" s="26"/>
      <c r="C713" s="26"/>
      <c r="D713" s="26"/>
      <c r="E713" s="26"/>
      <c r="F713" s="26"/>
      <c r="G713" s="26"/>
      <c r="H713" s="26"/>
      <c r="I713" s="26"/>
      <c r="J713" s="26"/>
      <c r="K713" s="26"/>
      <c r="L713" s="26"/>
      <c r="M713" s="26"/>
      <c r="N713" s="26"/>
      <c r="O713" s="26"/>
      <c r="P713" s="26"/>
      <c r="Q713" s="26"/>
      <c r="R713" s="26"/>
      <c r="S713" s="26"/>
      <c r="T713" s="26"/>
      <c r="U713" s="26"/>
      <c r="V713" s="26"/>
      <c r="W713" s="26"/>
      <c r="X713" s="26"/>
      <c r="Y713" s="26"/>
      <c r="Z713" s="26"/>
    </row>
    <row r="714" spans="1:26" ht="19.5" customHeight="1" x14ac:dyDescent="0.85">
      <c r="A714" s="26"/>
      <c r="B714" s="26"/>
      <c r="C714" s="26"/>
      <c r="D714" s="26"/>
      <c r="E714" s="26"/>
      <c r="F714" s="26"/>
      <c r="G714" s="26"/>
      <c r="H714" s="26"/>
      <c r="I714" s="26"/>
      <c r="J714" s="26"/>
      <c r="K714" s="26"/>
      <c r="L714" s="26"/>
      <c r="M714" s="26"/>
      <c r="N714" s="26"/>
      <c r="O714" s="26"/>
      <c r="P714" s="26"/>
      <c r="Q714" s="26"/>
      <c r="R714" s="26"/>
      <c r="S714" s="26"/>
      <c r="T714" s="26"/>
      <c r="U714" s="26"/>
      <c r="V714" s="26"/>
      <c r="W714" s="26"/>
      <c r="X714" s="26"/>
      <c r="Y714" s="26"/>
      <c r="Z714" s="26"/>
    </row>
    <row r="715" spans="1:26" ht="19.5" customHeight="1" x14ac:dyDescent="0.85">
      <c r="A715" s="26"/>
      <c r="B715" s="26"/>
      <c r="C715" s="26"/>
      <c r="D715" s="26"/>
      <c r="E715" s="26"/>
      <c r="F715" s="26"/>
      <c r="G715" s="26"/>
      <c r="H715" s="26"/>
      <c r="I715" s="26"/>
      <c r="J715" s="26"/>
      <c r="K715" s="26"/>
      <c r="L715" s="26"/>
      <c r="M715" s="26"/>
      <c r="N715" s="26"/>
      <c r="O715" s="26"/>
      <c r="P715" s="26"/>
      <c r="Q715" s="26"/>
      <c r="R715" s="26"/>
      <c r="S715" s="26"/>
      <c r="T715" s="26"/>
      <c r="U715" s="26"/>
      <c r="V715" s="26"/>
      <c r="W715" s="26"/>
      <c r="X715" s="26"/>
      <c r="Y715" s="26"/>
      <c r="Z715" s="26"/>
    </row>
    <row r="716" spans="1:26" ht="19.5" customHeight="1" x14ac:dyDescent="0.85">
      <c r="A716" s="26"/>
      <c r="B716" s="26"/>
      <c r="C716" s="26"/>
      <c r="D716" s="26"/>
      <c r="E716" s="26"/>
      <c r="F716" s="26"/>
      <c r="G716" s="26"/>
      <c r="H716" s="26"/>
      <c r="I716" s="26"/>
      <c r="J716" s="26"/>
      <c r="K716" s="26"/>
      <c r="L716" s="26"/>
      <c r="M716" s="26"/>
      <c r="N716" s="26"/>
      <c r="O716" s="26"/>
      <c r="P716" s="26"/>
      <c r="Q716" s="26"/>
      <c r="R716" s="26"/>
      <c r="S716" s="26"/>
      <c r="T716" s="26"/>
      <c r="U716" s="26"/>
      <c r="V716" s="26"/>
      <c r="W716" s="26"/>
      <c r="X716" s="26"/>
      <c r="Y716" s="26"/>
      <c r="Z716" s="26"/>
    </row>
    <row r="717" spans="1:26" ht="19.5" customHeight="1" x14ac:dyDescent="0.85">
      <c r="A717" s="26"/>
      <c r="B717" s="26"/>
      <c r="C717" s="26"/>
      <c r="D717" s="26"/>
      <c r="E717" s="26"/>
      <c r="F717" s="26"/>
      <c r="G717" s="26"/>
      <c r="H717" s="26"/>
      <c r="I717" s="26"/>
      <c r="J717" s="26"/>
      <c r="K717" s="26"/>
      <c r="L717" s="26"/>
      <c r="M717" s="26"/>
      <c r="N717" s="26"/>
      <c r="O717" s="26"/>
      <c r="P717" s="26"/>
      <c r="Q717" s="26"/>
      <c r="R717" s="26"/>
      <c r="S717" s="26"/>
      <c r="T717" s="26"/>
      <c r="U717" s="26"/>
      <c r="V717" s="26"/>
      <c r="W717" s="26"/>
      <c r="X717" s="26"/>
      <c r="Y717" s="26"/>
      <c r="Z717" s="26"/>
    </row>
    <row r="718" spans="1:26" ht="19.5" customHeight="1" x14ac:dyDescent="0.85">
      <c r="A718" s="26"/>
      <c r="B718" s="26"/>
      <c r="C718" s="26"/>
      <c r="D718" s="26"/>
      <c r="E718" s="26"/>
      <c r="F718" s="26"/>
      <c r="G718" s="26"/>
      <c r="H718" s="26"/>
      <c r="I718" s="26"/>
      <c r="J718" s="26"/>
      <c r="K718" s="26"/>
      <c r="L718" s="26"/>
      <c r="M718" s="26"/>
      <c r="N718" s="26"/>
      <c r="O718" s="26"/>
      <c r="P718" s="26"/>
      <c r="Q718" s="26"/>
      <c r="R718" s="26"/>
      <c r="S718" s="26"/>
      <c r="T718" s="26"/>
      <c r="U718" s="26"/>
      <c r="V718" s="26"/>
      <c r="W718" s="26"/>
      <c r="X718" s="26"/>
      <c r="Y718" s="26"/>
      <c r="Z718" s="26"/>
    </row>
    <row r="719" spans="1:26" ht="19.5" customHeight="1" x14ac:dyDescent="0.85">
      <c r="A719" s="26"/>
      <c r="B719" s="26"/>
      <c r="C719" s="26"/>
      <c r="D719" s="26"/>
      <c r="E719" s="26"/>
      <c r="F719" s="26"/>
      <c r="G719" s="26"/>
      <c r="H719" s="26"/>
      <c r="I719" s="26"/>
      <c r="J719" s="26"/>
      <c r="K719" s="26"/>
      <c r="L719" s="26"/>
      <c r="M719" s="26"/>
      <c r="N719" s="26"/>
      <c r="O719" s="26"/>
      <c r="P719" s="26"/>
      <c r="Q719" s="26"/>
      <c r="R719" s="26"/>
      <c r="S719" s="26"/>
      <c r="T719" s="26"/>
      <c r="U719" s="26"/>
      <c r="V719" s="26"/>
      <c r="W719" s="26"/>
      <c r="X719" s="26"/>
      <c r="Y719" s="26"/>
      <c r="Z719" s="26"/>
    </row>
    <row r="720" spans="1:26" ht="19.5" customHeight="1" x14ac:dyDescent="0.85">
      <c r="A720" s="26"/>
      <c r="B720" s="26"/>
      <c r="C720" s="26"/>
      <c r="D720" s="26"/>
      <c r="E720" s="26"/>
      <c r="F720" s="26"/>
      <c r="G720" s="26"/>
      <c r="H720" s="26"/>
      <c r="I720" s="26"/>
      <c r="J720" s="26"/>
      <c r="K720" s="26"/>
      <c r="L720" s="26"/>
      <c r="M720" s="26"/>
      <c r="N720" s="26"/>
      <c r="O720" s="26"/>
      <c r="P720" s="26"/>
      <c r="Q720" s="26"/>
      <c r="R720" s="26"/>
      <c r="S720" s="26"/>
      <c r="T720" s="26"/>
      <c r="U720" s="26"/>
      <c r="V720" s="26"/>
      <c r="W720" s="26"/>
      <c r="X720" s="26"/>
      <c r="Y720" s="26"/>
      <c r="Z720" s="26"/>
    </row>
    <row r="721" spans="1:26" ht="19.5" customHeight="1" x14ac:dyDescent="0.85">
      <c r="A721" s="26"/>
      <c r="B721" s="26"/>
      <c r="C721" s="26"/>
      <c r="D721" s="26"/>
      <c r="E721" s="26"/>
      <c r="F721" s="26"/>
      <c r="G721" s="26"/>
      <c r="H721" s="26"/>
      <c r="I721" s="26"/>
      <c r="J721" s="26"/>
      <c r="K721" s="26"/>
      <c r="L721" s="26"/>
      <c r="M721" s="26"/>
      <c r="N721" s="26"/>
      <c r="O721" s="26"/>
      <c r="P721" s="26"/>
      <c r="Q721" s="26"/>
      <c r="R721" s="26"/>
      <c r="S721" s="26"/>
      <c r="T721" s="26"/>
      <c r="U721" s="26"/>
      <c r="V721" s="26"/>
      <c r="W721" s="26"/>
      <c r="X721" s="26"/>
      <c r="Y721" s="26"/>
      <c r="Z721" s="26"/>
    </row>
    <row r="722" spans="1:26" ht="19.5" customHeight="1" x14ac:dyDescent="0.85">
      <c r="A722" s="26"/>
      <c r="B722" s="26"/>
      <c r="C722" s="26"/>
      <c r="D722" s="26"/>
      <c r="E722" s="26"/>
      <c r="F722" s="26"/>
      <c r="G722" s="26"/>
      <c r="H722" s="26"/>
      <c r="I722" s="26"/>
      <c r="J722" s="26"/>
      <c r="K722" s="26"/>
      <c r="L722" s="26"/>
      <c r="M722" s="26"/>
      <c r="N722" s="26"/>
      <c r="O722" s="26"/>
      <c r="P722" s="26"/>
      <c r="Q722" s="26"/>
      <c r="R722" s="26"/>
      <c r="S722" s="26"/>
      <c r="T722" s="26"/>
      <c r="U722" s="26"/>
      <c r="V722" s="26"/>
      <c r="W722" s="26"/>
      <c r="X722" s="26"/>
      <c r="Y722" s="26"/>
      <c r="Z722" s="26"/>
    </row>
    <row r="723" spans="1:26" ht="19.5" customHeight="1" x14ac:dyDescent="0.85">
      <c r="A723" s="26"/>
      <c r="B723" s="26"/>
      <c r="C723" s="26"/>
      <c r="D723" s="26"/>
      <c r="E723" s="26"/>
      <c r="F723" s="26"/>
      <c r="G723" s="26"/>
      <c r="H723" s="26"/>
      <c r="I723" s="26"/>
      <c r="J723" s="26"/>
      <c r="K723" s="26"/>
      <c r="L723" s="26"/>
      <c r="M723" s="26"/>
      <c r="N723" s="26"/>
      <c r="O723" s="26"/>
      <c r="P723" s="26"/>
      <c r="Q723" s="26"/>
      <c r="R723" s="26"/>
      <c r="S723" s="26"/>
      <c r="T723" s="26"/>
      <c r="U723" s="26"/>
      <c r="V723" s="26"/>
      <c r="W723" s="26"/>
      <c r="X723" s="26"/>
      <c r="Y723" s="26"/>
      <c r="Z723" s="26"/>
    </row>
    <row r="724" spans="1:26" ht="19.5" customHeight="1" x14ac:dyDescent="0.85">
      <c r="A724" s="26"/>
      <c r="B724" s="26"/>
      <c r="C724" s="26"/>
      <c r="D724" s="26"/>
      <c r="E724" s="26"/>
      <c r="F724" s="26"/>
      <c r="G724" s="26"/>
      <c r="H724" s="26"/>
      <c r="I724" s="26"/>
      <c r="J724" s="26"/>
      <c r="K724" s="26"/>
      <c r="L724" s="26"/>
      <c r="M724" s="26"/>
      <c r="N724" s="26"/>
      <c r="O724" s="26"/>
      <c r="P724" s="26"/>
      <c r="Q724" s="26"/>
      <c r="R724" s="26"/>
      <c r="S724" s="26"/>
      <c r="T724" s="26"/>
      <c r="U724" s="26"/>
      <c r="V724" s="26"/>
      <c r="W724" s="26"/>
      <c r="X724" s="26"/>
      <c r="Y724" s="26"/>
      <c r="Z724" s="26"/>
    </row>
    <row r="725" spans="1:26" ht="19.5" customHeight="1" x14ac:dyDescent="0.85">
      <c r="A725" s="26"/>
      <c r="B725" s="26"/>
      <c r="C725" s="26"/>
      <c r="D725" s="26"/>
      <c r="E725" s="26"/>
      <c r="F725" s="26"/>
      <c r="G725" s="26"/>
      <c r="H725" s="26"/>
      <c r="I725" s="26"/>
      <c r="J725" s="26"/>
      <c r="K725" s="26"/>
      <c r="L725" s="26"/>
      <c r="M725" s="26"/>
      <c r="N725" s="26"/>
      <c r="O725" s="26"/>
      <c r="P725" s="26"/>
      <c r="Q725" s="26"/>
      <c r="R725" s="26"/>
      <c r="S725" s="26"/>
      <c r="T725" s="26"/>
      <c r="U725" s="26"/>
      <c r="V725" s="26"/>
      <c r="W725" s="26"/>
      <c r="X725" s="26"/>
      <c r="Y725" s="26"/>
      <c r="Z725" s="26"/>
    </row>
    <row r="726" spans="1:26" ht="19.5" customHeight="1" x14ac:dyDescent="0.85">
      <c r="A726" s="26"/>
      <c r="B726" s="26"/>
      <c r="C726" s="26"/>
      <c r="D726" s="26"/>
      <c r="E726" s="26"/>
      <c r="F726" s="26"/>
      <c r="G726" s="26"/>
      <c r="H726" s="26"/>
      <c r="I726" s="26"/>
      <c r="J726" s="26"/>
      <c r="K726" s="26"/>
      <c r="L726" s="26"/>
      <c r="M726" s="26"/>
      <c r="N726" s="26"/>
      <c r="O726" s="26"/>
      <c r="P726" s="26"/>
      <c r="Q726" s="26"/>
      <c r="R726" s="26"/>
      <c r="S726" s="26"/>
      <c r="T726" s="26"/>
      <c r="U726" s="26"/>
      <c r="V726" s="26"/>
      <c r="W726" s="26"/>
      <c r="X726" s="26"/>
      <c r="Y726" s="26"/>
      <c r="Z726" s="26"/>
    </row>
    <row r="727" spans="1:26" ht="19.5" customHeight="1" x14ac:dyDescent="0.85">
      <c r="A727" s="26"/>
      <c r="B727" s="26"/>
      <c r="C727" s="26"/>
      <c r="D727" s="26"/>
      <c r="E727" s="26"/>
      <c r="F727" s="26"/>
      <c r="G727" s="26"/>
      <c r="H727" s="26"/>
      <c r="I727" s="26"/>
      <c r="J727" s="26"/>
      <c r="K727" s="26"/>
      <c r="L727" s="26"/>
      <c r="M727" s="26"/>
      <c r="N727" s="26"/>
      <c r="O727" s="26"/>
      <c r="P727" s="26"/>
      <c r="Q727" s="26"/>
      <c r="R727" s="26"/>
      <c r="S727" s="26"/>
      <c r="T727" s="26"/>
      <c r="U727" s="26"/>
      <c r="V727" s="26"/>
      <c r="W727" s="26"/>
      <c r="X727" s="26"/>
      <c r="Y727" s="26"/>
      <c r="Z727" s="26"/>
    </row>
    <row r="728" spans="1:26" ht="19.5" customHeight="1" x14ac:dyDescent="0.85">
      <c r="A728" s="26"/>
      <c r="B728" s="26"/>
      <c r="C728" s="26"/>
      <c r="D728" s="26"/>
      <c r="E728" s="26"/>
      <c r="F728" s="26"/>
      <c r="G728" s="26"/>
      <c r="H728" s="26"/>
      <c r="I728" s="26"/>
      <c r="J728" s="26"/>
      <c r="K728" s="26"/>
      <c r="L728" s="26"/>
      <c r="M728" s="26"/>
      <c r="N728" s="26"/>
      <c r="O728" s="26"/>
      <c r="P728" s="26"/>
      <c r="Q728" s="26"/>
      <c r="R728" s="26"/>
      <c r="S728" s="26"/>
      <c r="T728" s="26"/>
      <c r="U728" s="26"/>
      <c r="V728" s="26"/>
      <c r="W728" s="26"/>
      <c r="X728" s="26"/>
      <c r="Y728" s="26"/>
      <c r="Z728" s="26"/>
    </row>
    <row r="729" spans="1:26" ht="19.5" customHeight="1" x14ac:dyDescent="0.85">
      <c r="A729" s="26"/>
      <c r="B729" s="26"/>
      <c r="C729" s="26"/>
      <c r="D729" s="26"/>
      <c r="E729" s="26"/>
      <c r="F729" s="26"/>
      <c r="G729" s="26"/>
      <c r="H729" s="26"/>
      <c r="I729" s="26"/>
      <c r="J729" s="26"/>
      <c r="K729" s="26"/>
      <c r="L729" s="26"/>
      <c r="M729" s="26"/>
      <c r="N729" s="26"/>
      <c r="O729" s="26"/>
      <c r="P729" s="26"/>
      <c r="Q729" s="26"/>
      <c r="R729" s="26"/>
      <c r="S729" s="26"/>
      <c r="T729" s="26"/>
      <c r="U729" s="26"/>
      <c r="V729" s="26"/>
      <c r="W729" s="26"/>
      <c r="X729" s="26"/>
      <c r="Y729" s="26"/>
      <c r="Z729" s="26"/>
    </row>
    <row r="730" spans="1:26" ht="19.5" customHeight="1" x14ac:dyDescent="0.85">
      <c r="A730" s="26"/>
      <c r="B730" s="26"/>
      <c r="C730" s="26"/>
      <c r="D730" s="26"/>
      <c r="E730" s="26"/>
      <c r="F730" s="26"/>
      <c r="G730" s="26"/>
      <c r="H730" s="26"/>
      <c r="I730" s="26"/>
      <c r="J730" s="26"/>
      <c r="K730" s="26"/>
      <c r="L730" s="26"/>
      <c r="M730" s="26"/>
      <c r="N730" s="26"/>
      <c r="O730" s="26"/>
      <c r="P730" s="26"/>
      <c r="Q730" s="26"/>
      <c r="R730" s="26"/>
      <c r="S730" s="26"/>
      <c r="T730" s="26"/>
      <c r="U730" s="26"/>
      <c r="V730" s="26"/>
      <c r="W730" s="26"/>
      <c r="X730" s="26"/>
      <c r="Y730" s="26"/>
      <c r="Z730" s="26"/>
    </row>
    <row r="731" spans="1:26" ht="19.5" customHeight="1" x14ac:dyDescent="0.85">
      <c r="A731" s="26"/>
      <c r="B731" s="26"/>
      <c r="C731" s="26"/>
      <c r="D731" s="26"/>
      <c r="E731" s="26"/>
      <c r="F731" s="26"/>
      <c r="G731" s="26"/>
      <c r="H731" s="26"/>
      <c r="I731" s="26"/>
      <c r="J731" s="26"/>
      <c r="K731" s="26"/>
      <c r="L731" s="26"/>
      <c r="M731" s="26"/>
      <c r="N731" s="26"/>
      <c r="O731" s="26"/>
      <c r="P731" s="26"/>
      <c r="Q731" s="26"/>
      <c r="R731" s="26"/>
      <c r="S731" s="26"/>
      <c r="T731" s="26"/>
      <c r="U731" s="26"/>
      <c r="V731" s="26"/>
      <c r="W731" s="26"/>
      <c r="X731" s="26"/>
      <c r="Y731" s="26"/>
      <c r="Z731" s="26"/>
    </row>
    <row r="732" spans="1:26" ht="19.5" customHeight="1" x14ac:dyDescent="0.85">
      <c r="A732" s="26"/>
      <c r="B732" s="26"/>
      <c r="C732" s="26"/>
      <c r="D732" s="26"/>
      <c r="E732" s="26"/>
      <c r="F732" s="26"/>
      <c r="G732" s="26"/>
      <c r="H732" s="26"/>
      <c r="I732" s="26"/>
      <c r="J732" s="26"/>
      <c r="K732" s="26"/>
      <c r="L732" s="26"/>
      <c r="M732" s="26"/>
      <c r="N732" s="26"/>
      <c r="O732" s="26"/>
      <c r="P732" s="26"/>
      <c r="Q732" s="26"/>
      <c r="R732" s="26"/>
      <c r="S732" s="26"/>
      <c r="T732" s="26"/>
      <c r="U732" s="26"/>
      <c r="V732" s="26"/>
      <c r="W732" s="26"/>
      <c r="X732" s="26"/>
      <c r="Y732" s="26"/>
      <c r="Z732" s="26"/>
    </row>
    <row r="733" spans="1:26" ht="19.5" customHeight="1" x14ac:dyDescent="0.85">
      <c r="A733" s="26"/>
      <c r="B733" s="26"/>
      <c r="C733" s="26"/>
      <c r="D733" s="26"/>
      <c r="E733" s="26"/>
      <c r="F733" s="26"/>
      <c r="G733" s="26"/>
      <c r="H733" s="26"/>
      <c r="I733" s="26"/>
      <c r="J733" s="26"/>
      <c r="K733" s="26"/>
      <c r="L733" s="26"/>
      <c r="M733" s="26"/>
      <c r="N733" s="26"/>
      <c r="O733" s="26"/>
      <c r="P733" s="26"/>
      <c r="Q733" s="26"/>
      <c r="R733" s="26"/>
      <c r="S733" s="26"/>
      <c r="T733" s="26"/>
      <c r="U733" s="26"/>
      <c r="V733" s="26"/>
      <c r="W733" s="26"/>
      <c r="X733" s="26"/>
      <c r="Y733" s="26"/>
      <c r="Z733" s="26"/>
    </row>
    <row r="734" spans="1:26" ht="19.5" customHeight="1" x14ac:dyDescent="0.85">
      <c r="A734" s="26"/>
      <c r="B734" s="26"/>
      <c r="C734" s="26"/>
      <c r="D734" s="26"/>
      <c r="E734" s="26"/>
      <c r="F734" s="26"/>
      <c r="G734" s="26"/>
      <c r="H734" s="26"/>
      <c r="I734" s="26"/>
      <c r="J734" s="26"/>
      <c r="K734" s="26"/>
      <c r="L734" s="26"/>
      <c r="M734" s="26"/>
      <c r="N734" s="26"/>
      <c r="O734" s="26"/>
      <c r="P734" s="26"/>
      <c r="Q734" s="26"/>
      <c r="R734" s="26"/>
      <c r="S734" s="26"/>
      <c r="T734" s="26"/>
      <c r="U734" s="26"/>
      <c r="V734" s="26"/>
      <c r="W734" s="26"/>
      <c r="X734" s="26"/>
      <c r="Y734" s="26"/>
      <c r="Z734" s="26"/>
    </row>
    <row r="735" spans="1:26" ht="19.5" customHeight="1" x14ac:dyDescent="0.85">
      <c r="A735" s="26"/>
      <c r="B735" s="26"/>
      <c r="C735" s="26"/>
      <c r="D735" s="26"/>
      <c r="E735" s="26"/>
      <c r="F735" s="26"/>
      <c r="G735" s="26"/>
      <c r="H735" s="26"/>
      <c r="I735" s="26"/>
      <c r="J735" s="26"/>
      <c r="K735" s="26"/>
      <c r="L735" s="26"/>
      <c r="M735" s="26"/>
      <c r="N735" s="26"/>
      <c r="O735" s="26"/>
      <c r="P735" s="26"/>
      <c r="Q735" s="26"/>
      <c r="R735" s="26"/>
      <c r="S735" s="26"/>
      <c r="T735" s="26"/>
      <c r="U735" s="26"/>
      <c r="V735" s="26"/>
      <c r="W735" s="26"/>
      <c r="X735" s="26"/>
      <c r="Y735" s="26"/>
      <c r="Z735" s="26"/>
    </row>
    <row r="736" spans="1:26" ht="19.5" customHeight="1" x14ac:dyDescent="0.85">
      <c r="A736" s="26"/>
      <c r="B736" s="26"/>
      <c r="C736" s="26"/>
      <c r="D736" s="26"/>
      <c r="E736" s="26"/>
      <c r="F736" s="26"/>
      <c r="G736" s="26"/>
      <c r="H736" s="26"/>
      <c r="I736" s="26"/>
      <c r="J736" s="26"/>
      <c r="K736" s="26"/>
      <c r="L736" s="26"/>
      <c r="M736" s="26"/>
      <c r="N736" s="26"/>
      <c r="O736" s="26"/>
      <c r="P736" s="26"/>
      <c r="Q736" s="26"/>
      <c r="R736" s="26"/>
      <c r="S736" s="26"/>
      <c r="T736" s="26"/>
      <c r="U736" s="26"/>
      <c r="V736" s="26"/>
      <c r="W736" s="26"/>
      <c r="X736" s="26"/>
      <c r="Y736" s="26"/>
      <c r="Z736" s="26"/>
    </row>
    <row r="737" spans="1:26" ht="19.5" customHeight="1" x14ac:dyDescent="0.85">
      <c r="A737" s="26"/>
      <c r="B737" s="26"/>
      <c r="C737" s="26"/>
      <c r="D737" s="26"/>
      <c r="E737" s="26"/>
      <c r="F737" s="26"/>
      <c r="G737" s="26"/>
      <c r="H737" s="26"/>
      <c r="I737" s="26"/>
      <c r="J737" s="26"/>
      <c r="K737" s="26"/>
      <c r="L737" s="26"/>
      <c r="M737" s="26"/>
      <c r="N737" s="26"/>
      <c r="O737" s="26"/>
      <c r="P737" s="26"/>
      <c r="Q737" s="26"/>
      <c r="R737" s="26"/>
      <c r="S737" s="26"/>
      <c r="T737" s="26"/>
      <c r="U737" s="26"/>
      <c r="V737" s="26"/>
      <c r="W737" s="26"/>
      <c r="X737" s="26"/>
      <c r="Y737" s="26"/>
      <c r="Z737" s="26"/>
    </row>
    <row r="738" spans="1:26" ht="19.5" customHeight="1" x14ac:dyDescent="0.85">
      <c r="A738" s="26"/>
      <c r="B738" s="26"/>
      <c r="C738" s="26"/>
      <c r="D738" s="26"/>
      <c r="E738" s="26"/>
      <c r="F738" s="26"/>
      <c r="G738" s="26"/>
      <c r="H738" s="26"/>
      <c r="I738" s="26"/>
      <c r="J738" s="26"/>
      <c r="K738" s="26"/>
      <c r="L738" s="26"/>
      <c r="M738" s="26"/>
      <c r="N738" s="26"/>
      <c r="O738" s="26"/>
      <c r="P738" s="26"/>
      <c r="Q738" s="26"/>
      <c r="R738" s="26"/>
      <c r="S738" s="26"/>
      <c r="T738" s="26"/>
      <c r="U738" s="26"/>
      <c r="V738" s="26"/>
      <c r="W738" s="26"/>
      <c r="X738" s="26"/>
      <c r="Y738" s="26"/>
      <c r="Z738" s="26"/>
    </row>
    <row r="739" spans="1:26" ht="19.5" customHeight="1" x14ac:dyDescent="0.85">
      <c r="A739" s="26"/>
      <c r="B739" s="26"/>
      <c r="C739" s="26"/>
      <c r="D739" s="26"/>
      <c r="E739" s="26"/>
      <c r="F739" s="26"/>
      <c r="G739" s="26"/>
      <c r="H739" s="26"/>
      <c r="I739" s="26"/>
      <c r="J739" s="26"/>
      <c r="K739" s="26"/>
      <c r="L739" s="26"/>
      <c r="M739" s="26"/>
      <c r="N739" s="26"/>
      <c r="O739" s="26"/>
      <c r="P739" s="26"/>
      <c r="Q739" s="26"/>
      <c r="R739" s="26"/>
      <c r="S739" s="26"/>
      <c r="T739" s="26"/>
      <c r="U739" s="26"/>
      <c r="V739" s="26"/>
      <c r="W739" s="26"/>
      <c r="X739" s="26"/>
      <c r="Y739" s="26"/>
      <c r="Z739" s="26"/>
    </row>
    <row r="740" spans="1:26" ht="19.5" customHeight="1" x14ac:dyDescent="0.85">
      <c r="A740" s="26"/>
      <c r="B740" s="26"/>
      <c r="C740" s="26"/>
      <c r="D740" s="26"/>
      <c r="E740" s="26"/>
      <c r="F740" s="26"/>
      <c r="G740" s="26"/>
      <c r="H740" s="26"/>
      <c r="I740" s="26"/>
      <c r="J740" s="26"/>
      <c r="K740" s="26"/>
      <c r="L740" s="26"/>
      <c r="M740" s="26"/>
      <c r="N740" s="26"/>
      <c r="O740" s="26"/>
      <c r="P740" s="26"/>
      <c r="Q740" s="26"/>
      <c r="R740" s="26"/>
      <c r="S740" s="26"/>
      <c r="T740" s="26"/>
      <c r="U740" s="26"/>
      <c r="V740" s="26"/>
      <c r="W740" s="26"/>
      <c r="X740" s="26"/>
      <c r="Y740" s="26"/>
      <c r="Z740" s="26"/>
    </row>
    <row r="741" spans="1:26" ht="19.5" customHeight="1" x14ac:dyDescent="0.85">
      <c r="A741" s="26"/>
      <c r="B741" s="26"/>
      <c r="C741" s="26"/>
      <c r="D741" s="26"/>
      <c r="E741" s="26"/>
      <c r="F741" s="26"/>
      <c r="G741" s="26"/>
      <c r="H741" s="26"/>
      <c r="I741" s="26"/>
      <c r="J741" s="26"/>
      <c r="K741" s="26"/>
      <c r="L741" s="26"/>
      <c r="M741" s="26"/>
      <c r="N741" s="26"/>
      <c r="O741" s="26"/>
      <c r="P741" s="26"/>
      <c r="Q741" s="26"/>
      <c r="R741" s="26"/>
      <c r="S741" s="26"/>
      <c r="T741" s="26"/>
      <c r="U741" s="26"/>
      <c r="V741" s="26"/>
      <c r="W741" s="26"/>
      <c r="X741" s="26"/>
      <c r="Y741" s="26"/>
      <c r="Z741" s="26"/>
    </row>
    <row r="742" spans="1:26" ht="19.5" customHeight="1" x14ac:dyDescent="0.85">
      <c r="A742" s="26"/>
      <c r="B742" s="26"/>
      <c r="C742" s="26"/>
      <c r="D742" s="26"/>
      <c r="E742" s="26"/>
      <c r="F742" s="26"/>
      <c r="G742" s="26"/>
      <c r="H742" s="26"/>
      <c r="I742" s="26"/>
      <c r="J742" s="26"/>
      <c r="K742" s="26"/>
      <c r="L742" s="26"/>
      <c r="M742" s="26"/>
      <c r="N742" s="26"/>
      <c r="O742" s="26"/>
      <c r="P742" s="26"/>
      <c r="Q742" s="26"/>
      <c r="R742" s="26"/>
      <c r="S742" s="26"/>
      <c r="T742" s="26"/>
      <c r="U742" s="26"/>
      <c r="V742" s="26"/>
      <c r="W742" s="26"/>
      <c r="X742" s="26"/>
      <c r="Y742" s="26"/>
      <c r="Z742" s="26"/>
    </row>
    <row r="743" spans="1:26" ht="19.5" customHeight="1" x14ac:dyDescent="0.85">
      <c r="A743" s="26"/>
      <c r="B743" s="26"/>
      <c r="C743" s="26"/>
      <c r="D743" s="26"/>
      <c r="E743" s="26"/>
      <c r="F743" s="26"/>
      <c r="G743" s="26"/>
      <c r="H743" s="26"/>
      <c r="I743" s="26"/>
      <c r="J743" s="26"/>
      <c r="K743" s="26"/>
      <c r="L743" s="26"/>
      <c r="M743" s="26"/>
      <c r="N743" s="26"/>
      <c r="O743" s="26"/>
      <c r="P743" s="26"/>
      <c r="Q743" s="26"/>
      <c r="R743" s="26"/>
      <c r="S743" s="26"/>
      <c r="T743" s="26"/>
      <c r="U743" s="26"/>
      <c r="V743" s="26"/>
      <c r="W743" s="26"/>
      <c r="X743" s="26"/>
      <c r="Y743" s="26"/>
      <c r="Z743" s="26"/>
    </row>
    <row r="744" spans="1:26" ht="19.5" customHeight="1" x14ac:dyDescent="0.85">
      <c r="A744" s="26"/>
      <c r="B744" s="26"/>
      <c r="C744" s="26"/>
      <c r="D744" s="26"/>
      <c r="E744" s="26"/>
      <c r="F744" s="26"/>
      <c r="G744" s="26"/>
      <c r="H744" s="26"/>
      <c r="I744" s="26"/>
      <c r="J744" s="26"/>
      <c r="K744" s="26"/>
      <c r="L744" s="26"/>
      <c r="M744" s="26"/>
      <c r="N744" s="26"/>
      <c r="O744" s="26"/>
      <c r="P744" s="26"/>
      <c r="Q744" s="26"/>
      <c r="R744" s="26"/>
      <c r="S744" s="26"/>
      <c r="T744" s="26"/>
      <c r="U744" s="26"/>
      <c r="V744" s="26"/>
      <c r="W744" s="26"/>
      <c r="X744" s="26"/>
      <c r="Y744" s="26"/>
      <c r="Z744" s="26"/>
    </row>
    <row r="745" spans="1:26" ht="19.5" customHeight="1" x14ac:dyDescent="0.85">
      <c r="A745" s="26"/>
      <c r="B745" s="26"/>
      <c r="C745" s="26"/>
      <c r="D745" s="26"/>
      <c r="E745" s="26"/>
      <c r="F745" s="26"/>
      <c r="G745" s="26"/>
      <c r="H745" s="26"/>
      <c r="I745" s="26"/>
      <c r="J745" s="26"/>
      <c r="K745" s="26"/>
      <c r="L745" s="26"/>
      <c r="M745" s="26"/>
      <c r="N745" s="26"/>
      <c r="O745" s="26"/>
      <c r="P745" s="26"/>
      <c r="Q745" s="26"/>
      <c r="R745" s="26"/>
      <c r="S745" s="26"/>
      <c r="T745" s="26"/>
      <c r="U745" s="26"/>
      <c r="V745" s="26"/>
      <c r="W745" s="26"/>
      <c r="X745" s="26"/>
      <c r="Y745" s="26"/>
      <c r="Z745" s="26"/>
    </row>
    <row r="746" spans="1:26" ht="19.5" customHeight="1" x14ac:dyDescent="0.85">
      <c r="A746" s="26"/>
      <c r="B746" s="26"/>
      <c r="C746" s="26"/>
      <c r="D746" s="26"/>
      <c r="E746" s="26"/>
      <c r="F746" s="26"/>
      <c r="G746" s="26"/>
      <c r="H746" s="26"/>
      <c r="I746" s="26"/>
      <c r="J746" s="26"/>
      <c r="K746" s="26"/>
      <c r="L746" s="26"/>
      <c r="M746" s="26"/>
      <c r="N746" s="26"/>
      <c r="O746" s="26"/>
      <c r="P746" s="26"/>
      <c r="Q746" s="26"/>
      <c r="R746" s="26"/>
      <c r="S746" s="26"/>
      <c r="T746" s="26"/>
      <c r="U746" s="26"/>
      <c r="V746" s="26"/>
      <c r="W746" s="26"/>
      <c r="X746" s="26"/>
      <c r="Y746" s="26"/>
      <c r="Z746" s="26"/>
    </row>
    <row r="747" spans="1:26" ht="19.5" customHeight="1" x14ac:dyDescent="0.85">
      <c r="A747" s="26"/>
      <c r="B747" s="26"/>
      <c r="C747" s="26"/>
      <c r="D747" s="26"/>
      <c r="E747" s="26"/>
      <c r="F747" s="26"/>
      <c r="G747" s="26"/>
      <c r="H747" s="26"/>
      <c r="I747" s="26"/>
      <c r="J747" s="26"/>
      <c r="K747" s="26"/>
      <c r="L747" s="26"/>
      <c r="M747" s="26"/>
      <c r="N747" s="26"/>
      <c r="O747" s="26"/>
      <c r="P747" s="26"/>
      <c r="Q747" s="26"/>
      <c r="R747" s="26"/>
      <c r="S747" s="26"/>
      <c r="T747" s="26"/>
      <c r="U747" s="26"/>
      <c r="V747" s="26"/>
      <c r="W747" s="26"/>
      <c r="X747" s="26"/>
      <c r="Y747" s="26"/>
      <c r="Z747" s="26"/>
    </row>
    <row r="748" spans="1:26" ht="19.5" customHeight="1" x14ac:dyDescent="0.85">
      <c r="A748" s="26"/>
      <c r="B748" s="26"/>
      <c r="C748" s="26"/>
      <c r="D748" s="26"/>
      <c r="E748" s="26"/>
      <c r="F748" s="26"/>
      <c r="G748" s="26"/>
      <c r="H748" s="26"/>
      <c r="I748" s="26"/>
      <c r="J748" s="26"/>
      <c r="K748" s="26"/>
      <c r="L748" s="26"/>
      <c r="M748" s="26"/>
      <c r="N748" s="26"/>
      <c r="O748" s="26"/>
      <c r="P748" s="26"/>
      <c r="Q748" s="26"/>
      <c r="R748" s="26"/>
      <c r="S748" s="26"/>
      <c r="T748" s="26"/>
      <c r="U748" s="26"/>
      <c r="V748" s="26"/>
      <c r="W748" s="26"/>
      <c r="X748" s="26"/>
      <c r="Y748" s="26"/>
      <c r="Z748" s="26"/>
    </row>
    <row r="749" spans="1:26" ht="19.5" customHeight="1" x14ac:dyDescent="0.85">
      <c r="A749" s="26"/>
      <c r="B749" s="26"/>
      <c r="C749" s="26"/>
      <c r="D749" s="26"/>
      <c r="E749" s="26"/>
      <c r="F749" s="26"/>
      <c r="G749" s="26"/>
      <c r="H749" s="26"/>
      <c r="I749" s="26"/>
      <c r="J749" s="26"/>
      <c r="K749" s="26"/>
      <c r="L749" s="26"/>
      <c r="M749" s="26"/>
      <c r="N749" s="26"/>
      <c r="O749" s="26"/>
      <c r="P749" s="26"/>
      <c r="Q749" s="26"/>
      <c r="R749" s="26"/>
      <c r="S749" s="26"/>
      <c r="T749" s="26"/>
      <c r="U749" s="26"/>
      <c r="V749" s="26"/>
      <c r="W749" s="26"/>
      <c r="X749" s="26"/>
      <c r="Y749" s="26"/>
      <c r="Z749" s="26"/>
    </row>
    <row r="750" spans="1:26" ht="19.5" customHeight="1" x14ac:dyDescent="0.85">
      <c r="A750" s="26"/>
      <c r="B750" s="26"/>
      <c r="C750" s="26"/>
      <c r="D750" s="26"/>
      <c r="E750" s="26"/>
      <c r="F750" s="26"/>
      <c r="G750" s="26"/>
      <c r="H750" s="26"/>
      <c r="I750" s="26"/>
      <c r="J750" s="26"/>
      <c r="K750" s="26"/>
      <c r="L750" s="26"/>
      <c r="M750" s="26"/>
      <c r="N750" s="26"/>
      <c r="O750" s="26"/>
      <c r="P750" s="26"/>
      <c r="Q750" s="26"/>
      <c r="R750" s="26"/>
      <c r="S750" s="26"/>
      <c r="T750" s="26"/>
      <c r="U750" s="26"/>
      <c r="V750" s="26"/>
      <c r="W750" s="26"/>
      <c r="X750" s="26"/>
      <c r="Y750" s="26"/>
      <c r="Z750" s="26"/>
    </row>
    <row r="751" spans="1:26" ht="19.5" customHeight="1" x14ac:dyDescent="0.85">
      <c r="A751" s="26"/>
      <c r="B751" s="26"/>
      <c r="C751" s="26"/>
      <c r="D751" s="26"/>
      <c r="E751" s="26"/>
      <c r="F751" s="26"/>
      <c r="G751" s="26"/>
      <c r="H751" s="26"/>
      <c r="I751" s="26"/>
      <c r="J751" s="26"/>
      <c r="K751" s="26"/>
      <c r="L751" s="26"/>
      <c r="M751" s="26"/>
      <c r="N751" s="26"/>
      <c r="O751" s="26"/>
      <c r="P751" s="26"/>
      <c r="Q751" s="26"/>
      <c r="R751" s="26"/>
      <c r="S751" s="26"/>
      <c r="T751" s="26"/>
      <c r="U751" s="26"/>
      <c r="V751" s="26"/>
      <c r="W751" s="26"/>
      <c r="X751" s="26"/>
      <c r="Y751" s="26"/>
      <c r="Z751" s="26"/>
    </row>
    <row r="752" spans="1:26" ht="19.5" customHeight="1" x14ac:dyDescent="0.85">
      <c r="A752" s="26"/>
      <c r="B752" s="26"/>
      <c r="C752" s="26"/>
      <c r="D752" s="26"/>
      <c r="E752" s="26"/>
      <c r="F752" s="26"/>
      <c r="G752" s="26"/>
      <c r="H752" s="26"/>
      <c r="I752" s="26"/>
      <c r="J752" s="26"/>
      <c r="K752" s="26"/>
      <c r="L752" s="26"/>
      <c r="M752" s="26"/>
      <c r="N752" s="26"/>
      <c r="O752" s="26"/>
      <c r="P752" s="26"/>
      <c r="Q752" s="26"/>
      <c r="R752" s="26"/>
      <c r="S752" s="26"/>
      <c r="T752" s="26"/>
      <c r="U752" s="26"/>
      <c r="V752" s="26"/>
      <c r="W752" s="26"/>
      <c r="X752" s="26"/>
      <c r="Y752" s="26"/>
      <c r="Z752" s="26"/>
    </row>
    <row r="753" spans="1:26" ht="19.5" customHeight="1" x14ac:dyDescent="0.85">
      <c r="A753" s="26"/>
      <c r="B753" s="26"/>
      <c r="C753" s="26"/>
      <c r="D753" s="26"/>
      <c r="E753" s="26"/>
      <c r="F753" s="26"/>
      <c r="G753" s="26"/>
      <c r="H753" s="26"/>
      <c r="I753" s="26"/>
      <c r="J753" s="26"/>
      <c r="K753" s="26"/>
      <c r="L753" s="26"/>
      <c r="M753" s="26"/>
      <c r="N753" s="26"/>
      <c r="O753" s="26"/>
      <c r="P753" s="26"/>
      <c r="Q753" s="26"/>
      <c r="R753" s="26"/>
      <c r="S753" s="26"/>
      <c r="T753" s="26"/>
      <c r="U753" s="26"/>
      <c r="V753" s="26"/>
      <c r="W753" s="26"/>
      <c r="X753" s="26"/>
      <c r="Y753" s="26"/>
      <c r="Z753" s="26"/>
    </row>
    <row r="754" spans="1:26" ht="19.5" customHeight="1" x14ac:dyDescent="0.85">
      <c r="A754" s="26"/>
      <c r="B754" s="26"/>
      <c r="C754" s="26"/>
      <c r="D754" s="26"/>
      <c r="E754" s="26"/>
      <c r="F754" s="26"/>
      <c r="G754" s="26"/>
      <c r="H754" s="26"/>
      <c r="I754" s="26"/>
      <c r="J754" s="26"/>
      <c r="K754" s="26"/>
      <c r="L754" s="26"/>
      <c r="M754" s="26"/>
      <c r="N754" s="26"/>
      <c r="O754" s="26"/>
      <c r="P754" s="26"/>
      <c r="Q754" s="26"/>
      <c r="R754" s="26"/>
      <c r="S754" s="26"/>
      <c r="T754" s="26"/>
      <c r="U754" s="26"/>
      <c r="V754" s="26"/>
      <c r="W754" s="26"/>
      <c r="X754" s="26"/>
      <c r="Y754" s="26"/>
      <c r="Z754" s="26"/>
    </row>
    <row r="755" spans="1:26" ht="19.5" customHeight="1" x14ac:dyDescent="0.85">
      <c r="A755" s="26"/>
      <c r="B755" s="26"/>
      <c r="C755" s="26"/>
      <c r="D755" s="26"/>
      <c r="E755" s="26"/>
      <c r="F755" s="26"/>
      <c r="G755" s="26"/>
      <c r="H755" s="26"/>
      <c r="I755" s="26"/>
      <c r="J755" s="26"/>
      <c r="K755" s="26"/>
      <c r="L755" s="26"/>
      <c r="M755" s="26"/>
      <c r="N755" s="26"/>
      <c r="O755" s="26"/>
      <c r="P755" s="26"/>
      <c r="Q755" s="26"/>
      <c r="R755" s="26"/>
      <c r="S755" s="26"/>
      <c r="T755" s="26"/>
      <c r="U755" s="26"/>
      <c r="V755" s="26"/>
      <c r="W755" s="26"/>
      <c r="X755" s="26"/>
      <c r="Y755" s="26"/>
      <c r="Z755" s="26"/>
    </row>
    <row r="756" spans="1:26" ht="19.5" customHeight="1" x14ac:dyDescent="0.85">
      <c r="A756" s="26"/>
      <c r="B756" s="26"/>
      <c r="C756" s="26"/>
      <c r="D756" s="26"/>
      <c r="E756" s="26"/>
      <c r="F756" s="26"/>
      <c r="G756" s="26"/>
      <c r="H756" s="26"/>
      <c r="I756" s="26"/>
      <c r="J756" s="26"/>
      <c r="K756" s="26"/>
      <c r="L756" s="26"/>
      <c r="M756" s="26"/>
      <c r="N756" s="26"/>
      <c r="O756" s="26"/>
      <c r="P756" s="26"/>
      <c r="Q756" s="26"/>
      <c r="R756" s="26"/>
      <c r="S756" s="26"/>
      <c r="T756" s="26"/>
      <c r="U756" s="26"/>
      <c r="V756" s="26"/>
      <c r="W756" s="26"/>
      <c r="X756" s="26"/>
      <c r="Y756" s="26"/>
      <c r="Z756" s="26"/>
    </row>
    <row r="757" spans="1:26" ht="19.5" customHeight="1" x14ac:dyDescent="0.85">
      <c r="A757" s="26"/>
      <c r="B757" s="26"/>
      <c r="C757" s="26"/>
      <c r="D757" s="26"/>
      <c r="E757" s="26"/>
      <c r="F757" s="26"/>
      <c r="G757" s="26"/>
      <c r="H757" s="26"/>
      <c r="I757" s="26"/>
      <c r="J757" s="26"/>
      <c r="K757" s="26"/>
      <c r="L757" s="26"/>
      <c r="M757" s="26"/>
      <c r="N757" s="26"/>
      <c r="O757" s="26"/>
      <c r="P757" s="26"/>
      <c r="Q757" s="26"/>
      <c r="R757" s="26"/>
      <c r="S757" s="26"/>
      <c r="T757" s="26"/>
      <c r="U757" s="26"/>
      <c r="V757" s="26"/>
      <c r="W757" s="26"/>
      <c r="X757" s="26"/>
      <c r="Y757" s="26"/>
      <c r="Z757" s="26"/>
    </row>
    <row r="758" spans="1:26" ht="19.5" customHeight="1" x14ac:dyDescent="0.85">
      <c r="A758" s="26"/>
      <c r="B758" s="26"/>
      <c r="C758" s="26"/>
      <c r="D758" s="26"/>
      <c r="E758" s="26"/>
      <c r="F758" s="26"/>
      <c r="G758" s="26"/>
      <c r="H758" s="26"/>
      <c r="I758" s="26"/>
      <c r="J758" s="26"/>
      <c r="K758" s="26"/>
      <c r="L758" s="26"/>
      <c r="M758" s="26"/>
      <c r="N758" s="26"/>
      <c r="O758" s="26"/>
      <c r="P758" s="26"/>
      <c r="Q758" s="26"/>
      <c r="R758" s="26"/>
      <c r="S758" s="26"/>
      <c r="T758" s="26"/>
      <c r="U758" s="26"/>
      <c r="V758" s="26"/>
      <c r="W758" s="26"/>
      <c r="X758" s="26"/>
      <c r="Y758" s="26"/>
      <c r="Z758" s="26"/>
    </row>
    <row r="759" spans="1:26" ht="19.5" customHeight="1" x14ac:dyDescent="0.85">
      <c r="A759" s="26"/>
      <c r="B759" s="26"/>
      <c r="C759" s="26"/>
      <c r="D759" s="26"/>
      <c r="E759" s="26"/>
      <c r="F759" s="26"/>
      <c r="G759" s="26"/>
      <c r="H759" s="26"/>
      <c r="I759" s="26"/>
      <c r="J759" s="26"/>
      <c r="K759" s="26"/>
      <c r="L759" s="26"/>
      <c r="M759" s="26"/>
      <c r="N759" s="26"/>
      <c r="O759" s="26"/>
      <c r="P759" s="26"/>
      <c r="Q759" s="26"/>
      <c r="R759" s="26"/>
      <c r="S759" s="26"/>
      <c r="T759" s="26"/>
      <c r="U759" s="26"/>
      <c r="V759" s="26"/>
      <c r="W759" s="26"/>
      <c r="X759" s="26"/>
      <c r="Y759" s="26"/>
      <c r="Z759" s="26"/>
    </row>
    <row r="760" spans="1:26" ht="19.5" customHeight="1" x14ac:dyDescent="0.85">
      <c r="A760" s="26"/>
      <c r="B760" s="26"/>
      <c r="C760" s="26"/>
      <c r="D760" s="26"/>
      <c r="E760" s="26"/>
      <c r="F760" s="26"/>
      <c r="G760" s="26"/>
      <c r="H760" s="26"/>
      <c r="I760" s="26"/>
      <c r="J760" s="26"/>
      <c r="K760" s="26"/>
      <c r="L760" s="26"/>
      <c r="M760" s="26"/>
      <c r="N760" s="26"/>
      <c r="O760" s="26"/>
      <c r="P760" s="26"/>
      <c r="Q760" s="26"/>
      <c r="R760" s="26"/>
      <c r="S760" s="26"/>
      <c r="T760" s="26"/>
      <c r="U760" s="26"/>
      <c r="V760" s="26"/>
      <c r="W760" s="26"/>
      <c r="X760" s="26"/>
      <c r="Y760" s="26"/>
      <c r="Z760" s="26"/>
    </row>
    <row r="761" spans="1:26" ht="19.5" customHeight="1" x14ac:dyDescent="0.85">
      <c r="A761" s="26"/>
      <c r="B761" s="26"/>
      <c r="C761" s="26"/>
      <c r="D761" s="26"/>
      <c r="E761" s="26"/>
      <c r="F761" s="26"/>
      <c r="G761" s="26"/>
      <c r="H761" s="26"/>
      <c r="I761" s="26"/>
      <c r="J761" s="26"/>
      <c r="K761" s="26"/>
      <c r="L761" s="26"/>
      <c r="M761" s="26"/>
      <c r="N761" s="26"/>
      <c r="O761" s="26"/>
      <c r="P761" s="26"/>
      <c r="Q761" s="26"/>
      <c r="R761" s="26"/>
      <c r="S761" s="26"/>
      <c r="T761" s="26"/>
      <c r="U761" s="26"/>
      <c r="V761" s="26"/>
      <c r="W761" s="26"/>
      <c r="X761" s="26"/>
      <c r="Y761" s="26"/>
      <c r="Z761" s="26"/>
    </row>
    <row r="762" spans="1:26" ht="19.5" customHeight="1" x14ac:dyDescent="0.85">
      <c r="A762" s="26"/>
      <c r="B762" s="26"/>
      <c r="C762" s="26"/>
      <c r="D762" s="26"/>
      <c r="E762" s="26"/>
      <c r="F762" s="26"/>
      <c r="G762" s="26"/>
      <c r="H762" s="26"/>
      <c r="I762" s="26"/>
      <c r="J762" s="26"/>
      <c r="K762" s="26"/>
      <c r="L762" s="26"/>
      <c r="M762" s="26"/>
      <c r="N762" s="26"/>
      <c r="O762" s="26"/>
      <c r="P762" s="26"/>
      <c r="Q762" s="26"/>
      <c r="R762" s="26"/>
      <c r="S762" s="26"/>
      <c r="T762" s="26"/>
      <c r="U762" s="26"/>
      <c r="V762" s="26"/>
      <c r="W762" s="26"/>
      <c r="X762" s="26"/>
      <c r="Y762" s="26"/>
      <c r="Z762" s="26"/>
    </row>
    <row r="763" spans="1:26" ht="19.5" customHeight="1" x14ac:dyDescent="0.85">
      <c r="A763" s="26"/>
      <c r="B763" s="26"/>
      <c r="C763" s="26"/>
      <c r="D763" s="26"/>
      <c r="E763" s="26"/>
      <c r="F763" s="26"/>
      <c r="G763" s="26"/>
      <c r="H763" s="26"/>
      <c r="I763" s="26"/>
      <c r="J763" s="26"/>
      <c r="K763" s="26"/>
      <c r="L763" s="26"/>
      <c r="M763" s="26"/>
      <c r="N763" s="26"/>
      <c r="O763" s="26"/>
      <c r="P763" s="26"/>
      <c r="Q763" s="26"/>
      <c r="R763" s="26"/>
      <c r="S763" s="26"/>
      <c r="T763" s="26"/>
      <c r="U763" s="26"/>
      <c r="V763" s="26"/>
      <c r="W763" s="26"/>
      <c r="X763" s="26"/>
      <c r="Y763" s="26"/>
      <c r="Z763" s="26"/>
    </row>
    <row r="764" spans="1:26" ht="19.5" customHeight="1" x14ac:dyDescent="0.85">
      <c r="A764" s="26"/>
      <c r="B764" s="26"/>
      <c r="C764" s="26"/>
      <c r="D764" s="26"/>
      <c r="E764" s="26"/>
      <c r="F764" s="26"/>
      <c r="G764" s="26"/>
      <c r="H764" s="26"/>
      <c r="I764" s="26"/>
      <c r="J764" s="26"/>
      <c r="K764" s="26"/>
      <c r="L764" s="26"/>
      <c r="M764" s="26"/>
      <c r="N764" s="26"/>
      <c r="O764" s="26"/>
      <c r="P764" s="26"/>
      <c r="Q764" s="26"/>
      <c r="R764" s="26"/>
      <c r="S764" s="26"/>
      <c r="T764" s="26"/>
      <c r="U764" s="26"/>
      <c r="V764" s="26"/>
      <c r="W764" s="26"/>
      <c r="X764" s="26"/>
      <c r="Y764" s="26"/>
      <c r="Z764" s="26"/>
    </row>
    <row r="765" spans="1:26" ht="19.5" customHeight="1" x14ac:dyDescent="0.85">
      <c r="A765" s="26"/>
      <c r="B765" s="26"/>
      <c r="C765" s="26"/>
      <c r="D765" s="26"/>
      <c r="E765" s="26"/>
      <c r="F765" s="26"/>
      <c r="G765" s="26"/>
      <c r="H765" s="26"/>
      <c r="I765" s="26"/>
      <c r="J765" s="26"/>
      <c r="K765" s="26"/>
      <c r="L765" s="26"/>
      <c r="M765" s="26"/>
      <c r="N765" s="26"/>
      <c r="O765" s="26"/>
      <c r="P765" s="26"/>
      <c r="Q765" s="26"/>
      <c r="R765" s="26"/>
      <c r="S765" s="26"/>
      <c r="T765" s="26"/>
      <c r="U765" s="26"/>
      <c r="V765" s="26"/>
      <c r="W765" s="26"/>
      <c r="X765" s="26"/>
      <c r="Y765" s="26"/>
      <c r="Z765" s="26"/>
    </row>
    <row r="766" spans="1:26" ht="19.5" customHeight="1" x14ac:dyDescent="0.85">
      <c r="A766" s="26"/>
      <c r="B766" s="26"/>
      <c r="C766" s="26"/>
      <c r="D766" s="26"/>
      <c r="E766" s="26"/>
      <c r="F766" s="26"/>
      <c r="G766" s="26"/>
      <c r="H766" s="26"/>
      <c r="I766" s="26"/>
      <c r="J766" s="26"/>
      <c r="K766" s="26"/>
      <c r="L766" s="26"/>
      <c r="M766" s="26"/>
      <c r="N766" s="26"/>
      <c r="O766" s="26"/>
      <c r="P766" s="26"/>
      <c r="Q766" s="26"/>
      <c r="R766" s="26"/>
      <c r="S766" s="26"/>
      <c r="T766" s="26"/>
      <c r="U766" s="26"/>
      <c r="V766" s="26"/>
      <c r="W766" s="26"/>
      <c r="X766" s="26"/>
      <c r="Y766" s="26"/>
      <c r="Z766" s="26"/>
    </row>
    <row r="767" spans="1:26" ht="19.5" customHeight="1" x14ac:dyDescent="0.85">
      <c r="A767" s="26"/>
      <c r="B767" s="26"/>
      <c r="C767" s="26"/>
      <c r="D767" s="26"/>
      <c r="E767" s="26"/>
      <c r="F767" s="26"/>
      <c r="G767" s="26"/>
      <c r="H767" s="26"/>
      <c r="I767" s="26"/>
      <c r="J767" s="26"/>
      <c r="K767" s="26"/>
      <c r="L767" s="26"/>
      <c r="M767" s="26"/>
      <c r="N767" s="26"/>
      <c r="O767" s="26"/>
      <c r="P767" s="26"/>
      <c r="Q767" s="26"/>
      <c r="R767" s="26"/>
      <c r="S767" s="26"/>
      <c r="T767" s="26"/>
      <c r="U767" s="26"/>
      <c r="V767" s="26"/>
      <c r="W767" s="26"/>
      <c r="X767" s="26"/>
      <c r="Y767" s="26"/>
      <c r="Z767" s="26"/>
    </row>
    <row r="768" spans="1:26" ht="19.5" customHeight="1" x14ac:dyDescent="0.85">
      <c r="A768" s="26"/>
      <c r="B768" s="26"/>
      <c r="C768" s="26"/>
      <c r="D768" s="26"/>
      <c r="E768" s="26"/>
      <c r="F768" s="26"/>
      <c r="G768" s="26"/>
      <c r="H768" s="26"/>
      <c r="I768" s="26"/>
      <c r="J768" s="26"/>
      <c r="K768" s="26"/>
      <c r="L768" s="26"/>
      <c r="M768" s="26"/>
      <c r="N768" s="26"/>
      <c r="O768" s="26"/>
      <c r="P768" s="26"/>
      <c r="Q768" s="26"/>
      <c r="R768" s="26"/>
      <c r="S768" s="26"/>
      <c r="T768" s="26"/>
      <c r="U768" s="26"/>
      <c r="V768" s="26"/>
      <c r="W768" s="26"/>
      <c r="X768" s="26"/>
      <c r="Y768" s="26"/>
      <c r="Z768" s="26"/>
    </row>
    <row r="769" spans="1:26" ht="19.5" customHeight="1" x14ac:dyDescent="0.85">
      <c r="A769" s="26"/>
      <c r="B769" s="26"/>
      <c r="C769" s="26"/>
      <c r="D769" s="26"/>
      <c r="E769" s="26"/>
      <c r="F769" s="26"/>
      <c r="G769" s="26"/>
      <c r="H769" s="26"/>
      <c r="I769" s="26"/>
      <c r="J769" s="26"/>
      <c r="K769" s="26"/>
      <c r="L769" s="26"/>
      <c r="M769" s="26"/>
      <c r="N769" s="26"/>
      <c r="O769" s="26"/>
      <c r="P769" s="26"/>
      <c r="Q769" s="26"/>
      <c r="R769" s="26"/>
      <c r="S769" s="26"/>
      <c r="T769" s="26"/>
      <c r="U769" s="26"/>
      <c r="V769" s="26"/>
      <c r="W769" s="26"/>
      <c r="X769" s="26"/>
      <c r="Y769" s="26"/>
      <c r="Z769" s="26"/>
    </row>
    <row r="770" spans="1:26" ht="19.5" customHeight="1" x14ac:dyDescent="0.85">
      <c r="A770" s="26"/>
      <c r="B770" s="26"/>
      <c r="C770" s="26"/>
      <c r="D770" s="26"/>
      <c r="E770" s="26"/>
      <c r="F770" s="26"/>
      <c r="G770" s="26"/>
      <c r="H770" s="26"/>
      <c r="I770" s="26"/>
      <c r="J770" s="26"/>
      <c r="K770" s="26"/>
      <c r="L770" s="26"/>
      <c r="M770" s="26"/>
      <c r="N770" s="26"/>
      <c r="O770" s="26"/>
      <c r="P770" s="26"/>
      <c r="Q770" s="26"/>
      <c r="R770" s="26"/>
      <c r="S770" s="26"/>
      <c r="T770" s="26"/>
      <c r="U770" s="26"/>
      <c r="V770" s="26"/>
      <c r="W770" s="26"/>
      <c r="X770" s="26"/>
      <c r="Y770" s="26"/>
      <c r="Z770" s="26"/>
    </row>
    <row r="771" spans="1:26" ht="19.5" customHeight="1" x14ac:dyDescent="0.85">
      <c r="A771" s="26"/>
      <c r="B771" s="26"/>
      <c r="C771" s="26"/>
      <c r="D771" s="26"/>
      <c r="E771" s="26"/>
      <c r="F771" s="26"/>
      <c r="G771" s="26"/>
      <c r="H771" s="26"/>
      <c r="I771" s="26"/>
      <c r="J771" s="26"/>
      <c r="K771" s="26"/>
      <c r="L771" s="26"/>
      <c r="M771" s="26"/>
      <c r="N771" s="26"/>
      <c r="O771" s="26"/>
      <c r="P771" s="26"/>
      <c r="Q771" s="26"/>
      <c r="R771" s="26"/>
      <c r="S771" s="26"/>
      <c r="T771" s="26"/>
      <c r="U771" s="26"/>
      <c r="V771" s="26"/>
      <c r="W771" s="26"/>
      <c r="X771" s="26"/>
      <c r="Y771" s="26"/>
      <c r="Z771" s="26"/>
    </row>
    <row r="772" spans="1:26" ht="19.5" customHeight="1" x14ac:dyDescent="0.85">
      <c r="A772" s="26"/>
      <c r="B772" s="26"/>
      <c r="C772" s="26"/>
      <c r="D772" s="26"/>
      <c r="E772" s="26"/>
      <c r="F772" s="26"/>
      <c r="G772" s="26"/>
      <c r="H772" s="26"/>
      <c r="I772" s="26"/>
      <c r="J772" s="26"/>
      <c r="K772" s="26"/>
      <c r="L772" s="26"/>
      <c r="M772" s="26"/>
      <c r="N772" s="26"/>
      <c r="O772" s="26"/>
      <c r="P772" s="26"/>
      <c r="Q772" s="26"/>
      <c r="R772" s="26"/>
      <c r="S772" s="26"/>
      <c r="T772" s="26"/>
      <c r="U772" s="26"/>
      <c r="V772" s="26"/>
      <c r="W772" s="26"/>
      <c r="X772" s="26"/>
      <c r="Y772" s="26"/>
      <c r="Z772" s="26"/>
    </row>
    <row r="773" spans="1:26" ht="19.5" customHeight="1" x14ac:dyDescent="0.85">
      <c r="A773" s="26"/>
      <c r="B773" s="26"/>
      <c r="C773" s="26"/>
      <c r="D773" s="26"/>
      <c r="E773" s="26"/>
      <c r="F773" s="26"/>
      <c r="G773" s="26"/>
      <c r="H773" s="26"/>
      <c r="I773" s="26"/>
      <c r="J773" s="26"/>
      <c r="K773" s="26"/>
      <c r="L773" s="26"/>
      <c r="M773" s="26"/>
      <c r="N773" s="26"/>
      <c r="O773" s="26"/>
      <c r="P773" s="26"/>
      <c r="Q773" s="26"/>
      <c r="R773" s="26"/>
      <c r="S773" s="26"/>
      <c r="T773" s="26"/>
      <c r="U773" s="26"/>
      <c r="V773" s="26"/>
      <c r="W773" s="26"/>
      <c r="X773" s="26"/>
      <c r="Y773" s="26"/>
      <c r="Z773" s="26"/>
    </row>
    <row r="774" spans="1:26" ht="19.5" customHeight="1" x14ac:dyDescent="0.85">
      <c r="A774" s="26"/>
      <c r="B774" s="26"/>
      <c r="C774" s="26"/>
      <c r="D774" s="26"/>
      <c r="E774" s="26"/>
      <c r="F774" s="26"/>
      <c r="G774" s="26"/>
      <c r="H774" s="26"/>
      <c r="I774" s="26"/>
      <c r="J774" s="26"/>
      <c r="K774" s="26"/>
      <c r="L774" s="26"/>
      <c r="M774" s="26"/>
      <c r="N774" s="26"/>
      <c r="O774" s="26"/>
      <c r="P774" s="26"/>
      <c r="Q774" s="26"/>
      <c r="R774" s="26"/>
      <c r="S774" s="26"/>
      <c r="T774" s="26"/>
      <c r="U774" s="26"/>
      <c r="V774" s="26"/>
      <c r="W774" s="26"/>
      <c r="X774" s="26"/>
      <c r="Y774" s="26"/>
      <c r="Z774" s="26"/>
    </row>
    <row r="775" spans="1:26" ht="19.5" customHeight="1" x14ac:dyDescent="0.85">
      <c r="A775" s="26"/>
      <c r="B775" s="26"/>
      <c r="C775" s="26"/>
      <c r="D775" s="26"/>
      <c r="E775" s="26"/>
      <c r="F775" s="26"/>
      <c r="G775" s="26"/>
      <c r="H775" s="26"/>
      <c r="I775" s="26"/>
      <c r="J775" s="26"/>
      <c r="K775" s="26"/>
      <c r="L775" s="26"/>
      <c r="M775" s="26"/>
      <c r="N775" s="26"/>
      <c r="O775" s="26"/>
      <c r="P775" s="26"/>
      <c r="Q775" s="26"/>
      <c r="R775" s="26"/>
      <c r="S775" s="26"/>
      <c r="T775" s="26"/>
      <c r="U775" s="26"/>
      <c r="V775" s="26"/>
      <c r="W775" s="26"/>
      <c r="X775" s="26"/>
      <c r="Y775" s="26"/>
      <c r="Z775" s="26"/>
    </row>
    <row r="776" spans="1:26" ht="19.5" customHeight="1" x14ac:dyDescent="0.85">
      <c r="A776" s="26"/>
      <c r="B776" s="26"/>
      <c r="C776" s="26"/>
      <c r="D776" s="26"/>
      <c r="E776" s="26"/>
      <c r="F776" s="26"/>
      <c r="G776" s="26"/>
      <c r="H776" s="26"/>
      <c r="I776" s="26"/>
      <c r="J776" s="26"/>
      <c r="K776" s="26"/>
      <c r="L776" s="26"/>
      <c r="M776" s="26"/>
      <c r="N776" s="26"/>
      <c r="O776" s="26"/>
      <c r="P776" s="26"/>
      <c r="Q776" s="26"/>
      <c r="R776" s="26"/>
      <c r="S776" s="26"/>
      <c r="T776" s="26"/>
      <c r="U776" s="26"/>
      <c r="V776" s="26"/>
      <c r="W776" s="26"/>
      <c r="X776" s="26"/>
      <c r="Y776" s="26"/>
      <c r="Z776" s="26"/>
    </row>
    <row r="777" spans="1:26" ht="19.5" customHeight="1" x14ac:dyDescent="0.85">
      <c r="A777" s="26"/>
      <c r="B777" s="26"/>
      <c r="C777" s="26"/>
      <c r="D777" s="26"/>
      <c r="E777" s="26"/>
      <c r="F777" s="26"/>
      <c r="G777" s="26"/>
      <c r="H777" s="26"/>
      <c r="I777" s="26"/>
      <c r="J777" s="26"/>
      <c r="K777" s="26"/>
      <c r="L777" s="26"/>
      <c r="M777" s="26"/>
      <c r="N777" s="26"/>
      <c r="O777" s="26"/>
      <c r="P777" s="26"/>
      <c r="Q777" s="26"/>
      <c r="R777" s="26"/>
      <c r="S777" s="26"/>
      <c r="T777" s="26"/>
      <c r="U777" s="26"/>
      <c r="V777" s="26"/>
      <c r="W777" s="26"/>
      <c r="X777" s="26"/>
      <c r="Y777" s="26"/>
      <c r="Z777" s="26"/>
    </row>
    <row r="778" spans="1:26" ht="19.5" customHeight="1" x14ac:dyDescent="0.85">
      <c r="A778" s="26"/>
      <c r="B778" s="26"/>
      <c r="C778" s="26"/>
      <c r="D778" s="26"/>
      <c r="E778" s="26"/>
      <c r="F778" s="26"/>
      <c r="G778" s="26"/>
      <c r="H778" s="26"/>
      <c r="I778" s="26"/>
      <c r="J778" s="26"/>
      <c r="K778" s="26"/>
      <c r="L778" s="26"/>
      <c r="M778" s="26"/>
      <c r="N778" s="26"/>
      <c r="O778" s="26"/>
      <c r="P778" s="26"/>
      <c r="Q778" s="26"/>
      <c r="R778" s="26"/>
      <c r="S778" s="26"/>
      <c r="T778" s="26"/>
      <c r="U778" s="26"/>
      <c r="V778" s="26"/>
      <c r="W778" s="26"/>
      <c r="X778" s="26"/>
      <c r="Y778" s="26"/>
      <c r="Z778" s="26"/>
    </row>
    <row r="779" spans="1:26" ht="19.5" customHeight="1" x14ac:dyDescent="0.85">
      <c r="A779" s="26"/>
      <c r="B779" s="26"/>
      <c r="C779" s="26"/>
      <c r="D779" s="26"/>
      <c r="E779" s="26"/>
      <c r="F779" s="26"/>
      <c r="G779" s="26"/>
      <c r="H779" s="26"/>
      <c r="I779" s="26"/>
      <c r="J779" s="26"/>
      <c r="K779" s="26"/>
      <c r="L779" s="26"/>
      <c r="M779" s="26"/>
      <c r="N779" s="26"/>
      <c r="O779" s="26"/>
      <c r="P779" s="26"/>
      <c r="Q779" s="26"/>
      <c r="R779" s="26"/>
      <c r="S779" s="26"/>
      <c r="T779" s="26"/>
      <c r="U779" s="26"/>
      <c r="V779" s="26"/>
      <c r="W779" s="26"/>
      <c r="X779" s="26"/>
      <c r="Y779" s="26"/>
      <c r="Z779" s="26"/>
    </row>
    <row r="780" spans="1:26" ht="19.5" customHeight="1" x14ac:dyDescent="0.85">
      <c r="A780" s="26"/>
      <c r="B780" s="26"/>
      <c r="C780" s="26"/>
      <c r="D780" s="26"/>
      <c r="E780" s="26"/>
      <c r="F780" s="26"/>
      <c r="G780" s="26"/>
      <c r="H780" s="26"/>
      <c r="I780" s="26"/>
      <c r="J780" s="26"/>
      <c r="K780" s="26"/>
      <c r="L780" s="26"/>
      <c r="M780" s="26"/>
      <c r="N780" s="26"/>
      <c r="O780" s="26"/>
      <c r="P780" s="26"/>
      <c r="Q780" s="26"/>
      <c r="R780" s="26"/>
      <c r="S780" s="26"/>
      <c r="T780" s="26"/>
      <c r="U780" s="26"/>
      <c r="V780" s="26"/>
      <c r="W780" s="26"/>
      <c r="X780" s="26"/>
      <c r="Y780" s="26"/>
      <c r="Z780" s="26"/>
    </row>
    <row r="781" spans="1:26" ht="19.5" customHeight="1" x14ac:dyDescent="0.85">
      <c r="A781" s="26"/>
      <c r="B781" s="26"/>
      <c r="C781" s="26"/>
      <c r="D781" s="26"/>
      <c r="E781" s="26"/>
      <c r="F781" s="26"/>
      <c r="G781" s="26"/>
      <c r="H781" s="26"/>
      <c r="I781" s="26"/>
      <c r="J781" s="26"/>
      <c r="K781" s="26"/>
      <c r="L781" s="26"/>
      <c r="M781" s="26"/>
      <c r="N781" s="26"/>
      <c r="O781" s="26"/>
      <c r="P781" s="26"/>
      <c r="Q781" s="26"/>
      <c r="R781" s="26"/>
      <c r="S781" s="26"/>
      <c r="T781" s="26"/>
      <c r="U781" s="26"/>
      <c r="V781" s="26"/>
      <c r="W781" s="26"/>
      <c r="X781" s="26"/>
      <c r="Y781" s="26"/>
      <c r="Z781" s="26"/>
    </row>
    <row r="782" spans="1:26" ht="19.5" customHeight="1" x14ac:dyDescent="0.85">
      <c r="A782" s="26"/>
      <c r="B782" s="26"/>
      <c r="C782" s="26"/>
      <c r="D782" s="26"/>
      <c r="E782" s="26"/>
      <c r="F782" s="26"/>
      <c r="G782" s="26"/>
      <c r="H782" s="26"/>
      <c r="I782" s="26"/>
      <c r="J782" s="26"/>
      <c r="K782" s="26"/>
      <c r="L782" s="26"/>
      <c r="M782" s="26"/>
      <c r="N782" s="26"/>
      <c r="O782" s="26"/>
      <c r="P782" s="26"/>
      <c r="Q782" s="26"/>
      <c r="R782" s="26"/>
      <c r="S782" s="26"/>
      <c r="T782" s="26"/>
      <c r="U782" s="26"/>
      <c r="V782" s="26"/>
      <c r="W782" s="26"/>
      <c r="X782" s="26"/>
      <c r="Y782" s="26"/>
      <c r="Z782" s="26"/>
    </row>
    <row r="783" spans="1:26" ht="19.5" customHeight="1" x14ac:dyDescent="0.85">
      <c r="A783" s="26"/>
      <c r="B783" s="26"/>
      <c r="C783" s="26"/>
      <c r="D783" s="26"/>
      <c r="E783" s="26"/>
      <c r="F783" s="26"/>
      <c r="G783" s="26"/>
      <c r="H783" s="26"/>
      <c r="I783" s="26"/>
      <c r="J783" s="26"/>
      <c r="K783" s="26"/>
      <c r="L783" s="26"/>
      <c r="M783" s="26"/>
      <c r="N783" s="26"/>
      <c r="O783" s="26"/>
      <c r="P783" s="26"/>
      <c r="Q783" s="26"/>
      <c r="R783" s="26"/>
      <c r="S783" s="26"/>
      <c r="T783" s="26"/>
      <c r="U783" s="26"/>
      <c r="V783" s="26"/>
      <c r="W783" s="26"/>
      <c r="X783" s="26"/>
      <c r="Y783" s="26"/>
      <c r="Z783" s="26"/>
    </row>
    <row r="784" spans="1:26" ht="19.5" customHeight="1" x14ac:dyDescent="0.85">
      <c r="A784" s="26"/>
      <c r="B784" s="26"/>
      <c r="C784" s="26"/>
      <c r="D784" s="26"/>
      <c r="E784" s="26"/>
      <c r="F784" s="26"/>
      <c r="G784" s="26"/>
      <c r="H784" s="26"/>
      <c r="I784" s="26"/>
      <c r="J784" s="26"/>
      <c r="K784" s="26"/>
      <c r="L784" s="26"/>
      <c r="M784" s="26"/>
      <c r="N784" s="26"/>
      <c r="O784" s="26"/>
      <c r="P784" s="26"/>
      <c r="Q784" s="26"/>
      <c r="R784" s="26"/>
      <c r="S784" s="26"/>
      <c r="T784" s="26"/>
      <c r="U784" s="26"/>
      <c r="V784" s="26"/>
      <c r="W784" s="26"/>
      <c r="X784" s="26"/>
      <c r="Y784" s="26"/>
      <c r="Z784" s="26"/>
    </row>
    <row r="785" spans="1:26" ht="19.5" customHeight="1" x14ac:dyDescent="0.85">
      <c r="A785" s="26"/>
      <c r="B785" s="26"/>
      <c r="C785" s="26"/>
      <c r="D785" s="26"/>
      <c r="E785" s="26"/>
      <c r="F785" s="26"/>
      <c r="G785" s="26"/>
      <c r="H785" s="26"/>
      <c r="I785" s="26"/>
      <c r="J785" s="26"/>
      <c r="K785" s="26"/>
      <c r="L785" s="26"/>
      <c r="M785" s="26"/>
      <c r="N785" s="26"/>
      <c r="O785" s="26"/>
      <c r="P785" s="26"/>
      <c r="Q785" s="26"/>
      <c r="R785" s="26"/>
      <c r="S785" s="26"/>
      <c r="T785" s="26"/>
      <c r="U785" s="26"/>
      <c r="V785" s="26"/>
      <c r="W785" s="26"/>
      <c r="X785" s="26"/>
      <c r="Y785" s="26"/>
      <c r="Z785" s="26"/>
    </row>
    <row r="786" spans="1:26" ht="19.5" customHeight="1" x14ac:dyDescent="0.85">
      <c r="A786" s="26"/>
      <c r="B786" s="26"/>
      <c r="C786" s="26"/>
      <c r="D786" s="26"/>
      <c r="E786" s="26"/>
      <c r="F786" s="26"/>
      <c r="G786" s="26"/>
      <c r="H786" s="26"/>
      <c r="I786" s="26"/>
      <c r="J786" s="26"/>
      <c r="K786" s="26"/>
      <c r="L786" s="26"/>
      <c r="M786" s="26"/>
      <c r="N786" s="26"/>
      <c r="O786" s="26"/>
      <c r="P786" s="26"/>
      <c r="Q786" s="26"/>
      <c r="R786" s="26"/>
      <c r="S786" s="26"/>
      <c r="T786" s="26"/>
      <c r="U786" s="26"/>
      <c r="V786" s="26"/>
      <c r="W786" s="26"/>
      <c r="X786" s="26"/>
      <c r="Y786" s="26"/>
      <c r="Z786" s="26"/>
    </row>
    <row r="787" spans="1:26" ht="19.5" customHeight="1" x14ac:dyDescent="0.85">
      <c r="A787" s="26"/>
      <c r="B787" s="26"/>
      <c r="C787" s="26"/>
      <c r="D787" s="26"/>
      <c r="E787" s="26"/>
      <c r="F787" s="26"/>
      <c r="G787" s="26"/>
      <c r="H787" s="26"/>
      <c r="I787" s="26"/>
      <c r="J787" s="26"/>
      <c r="K787" s="26"/>
      <c r="L787" s="26"/>
      <c r="M787" s="26"/>
      <c r="N787" s="26"/>
      <c r="O787" s="26"/>
      <c r="P787" s="26"/>
      <c r="Q787" s="26"/>
      <c r="R787" s="26"/>
      <c r="S787" s="26"/>
      <c r="T787" s="26"/>
      <c r="U787" s="26"/>
      <c r="V787" s="26"/>
      <c r="W787" s="26"/>
      <c r="X787" s="26"/>
      <c r="Y787" s="26"/>
      <c r="Z787" s="26"/>
    </row>
    <row r="788" spans="1:26" ht="19.5" customHeight="1" x14ac:dyDescent="0.85">
      <c r="A788" s="26"/>
      <c r="B788" s="26"/>
      <c r="C788" s="26"/>
      <c r="D788" s="26"/>
      <c r="E788" s="26"/>
      <c r="F788" s="26"/>
      <c r="G788" s="26"/>
      <c r="H788" s="26"/>
      <c r="I788" s="26"/>
      <c r="J788" s="26"/>
      <c r="K788" s="26"/>
      <c r="L788" s="26"/>
      <c r="M788" s="26"/>
      <c r="N788" s="26"/>
      <c r="O788" s="26"/>
      <c r="P788" s="26"/>
      <c r="Q788" s="26"/>
      <c r="R788" s="26"/>
      <c r="S788" s="26"/>
      <c r="T788" s="26"/>
      <c r="U788" s="26"/>
      <c r="V788" s="26"/>
      <c r="W788" s="26"/>
      <c r="X788" s="26"/>
      <c r="Y788" s="26"/>
      <c r="Z788" s="26"/>
    </row>
    <row r="789" spans="1:26" ht="19.5" customHeight="1" x14ac:dyDescent="0.85">
      <c r="A789" s="26"/>
      <c r="B789" s="26"/>
      <c r="C789" s="26"/>
      <c r="D789" s="26"/>
      <c r="E789" s="26"/>
      <c r="F789" s="26"/>
      <c r="G789" s="26"/>
      <c r="H789" s="26"/>
      <c r="I789" s="26"/>
      <c r="J789" s="26"/>
      <c r="K789" s="26"/>
      <c r="L789" s="26"/>
      <c r="M789" s="26"/>
      <c r="N789" s="26"/>
      <c r="O789" s="26"/>
      <c r="P789" s="26"/>
      <c r="Q789" s="26"/>
      <c r="R789" s="26"/>
      <c r="S789" s="26"/>
      <c r="T789" s="26"/>
      <c r="U789" s="26"/>
      <c r="V789" s="26"/>
      <c r="W789" s="26"/>
      <c r="X789" s="26"/>
      <c r="Y789" s="26"/>
      <c r="Z789" s="26"/>
    </row>
    <row r="790" spans="1:26" ht="19.5" customHeight="1" x14ac:dyDescent="0.85">
      <c r="A790" s="26"/>
      <c r="B790" s="26"/>
      <c r="C790" s="26"/>
      <c r="D790" s="26"/>
      <c r="E790" s="26"/>
      <c r="F790" s="26"/>
      <c r="G790" s="26"/>
      <c r="H790" s="26"/>
      <c r="I790" s="26"/>
      <c r="J790" s="26"/>
      <c r="K790" s="26"/>
      <c r="L790" s="26"/>
      <c r="M790" s="26"/>
      <c r="N790" s="26"/>
      <c r="O790" s="26"/>
      <c r="P790" s="26"/>
      <c r="Q790" s="26"/>
      <c r="R790" s="26"/>
      <c r="S790" s="26"/>
      <c r="T790" s="26"/>
      <c r="U790" s="26"/>
      <c r="V790" s="26"/>
      <c r="W790" s="26"/>
      <c r="X790" s="26"/>
      <c r="Y790" s="26"/>
      <c r="Z790" s="26"/>
    </row>
    <row r="791" spans="1:26" ht="19.5" customHeight="1" x14ac:dyDescent="0.85">
      <c r="A791" s="26"/>
      <c r="B791" s="26"/>
      <c r="C791" s="26"/>
      <c r="D791" s="26"/>
      <c r="E791" s="26"/>
      <c r="F791" s="26"/>
      <c r="G791" s="26"/>
      <c r="H791" s="26"/>
      <c r="I791" s="26"/>
      <c r="J791" s="26"/>
      <c r="K791" s="26"/>
      <c r="L791" s="26"/>
      <c r="M791" s="26"/>
      <c r="N791" s="26"/>
      <c r="O791" s="26"/>
      <c r="P791" s="26"/>
      <c r="Q791" s="26"/>
      <c r="R791" s="26"/>
      <c r="S791" s="26"/>
      <c r="T791" s="26"/>
      <c r="U791" s="26"/>
      <c r="V791" s="26"/>
      <c r="W791" s="26"/>
      <c r="X791" s="26"/>
      <c r="Y791" s="26"/>
      <c r="Z791" s="26"/>
    </row>
    <row r="792" spans="1:26" ht="19.5" customHeight="1" x14ac:dyDescent="0.85">
      <c r="A792" s="26"/>
      <c r="B792" s="26"/>
      <c r="C792" s="26"/>
      <c r="D792" s="26"/>
      <c r="E792" s="26"/>
      <c r="F792" s="26"/>
      <c r="G792" s="26"/>
      <c r="H792" s="26"/>
      <c r="I792" s="26"/>
      <c r="J792" s="26"/>
      <c r="K792" s="26"/>
      <c r="L792" s="26"/>
      <c r="M792" s="26"/>
      <c r="N792" s="26"/>
      <c r="O792" s="26"/>
      <c r="P792" s="26"/>
      <c r="Q792" s="26"/>
      <c r="R792" s="26"/>
      <c r="S792" s="26"/>
      <c r="T792" s="26"/>
      <c r="U792" s="26"/>
      <c r="V792" s="26"/>
      <c r="W792" s="26"/>
      <c r="X792" s="26"/>
      <c r="Y792" s="26"/>
      <c r="Z792" s="26"/>
    </row>
    <row r="793" spans="1:26" ht="19.5" customHeight="1" x14ac:dyDescent="0.85">
      <c r="A793" s="26"/>
      <c r="B793" s="26"/>
      <c r="C793" s="26"/>
      <c r="D793" s="26"/>
      <c r="E793" s="26"/>
      <c r="F793" s="26"/>
      <c r="G793" s="26"/>
      <c r="H793" s="26"/>
      <c r="I793" s="26"/>
      <c r="J793" s="26"/>
      <c r="K793" s="26"/>
      <c r="L793" s="26"/>
      <c r="M793" s="26"/>
      <c r="N793" s="26"/>
      <c r="O793" s="26"/>
      <c r="P793" s="26"/>
      <c r="Q793" s="26"/>
      <c r="R793" s="26"/>
      <c r="S793" s="26"/>
      <c r="T793" s="26"/>
      <c r="U793" s="26"/>
      <c r="V793" s="26"/>
      <c r="W793" s="26"/>
      <c r="X793" s="26"/>
      <c r="Y793" s="26"/>
      <c r="Z793" s="26"/>
    </row>
    <row r="794" spans="1:26" ht="19.5" customHeight="1" x14ac:dyDescent="0.85">
      <c r="A794" s="26"/>
      <c r="B794" s="26"/>
      <c r="C794" s="26"/>
      <c r="D794" s="26"/>
      <c r="E794" s="26"/>
      <c r="F794" s="26"/>
      <c r="G794" s="26"/>
      <c r="H794" s="26"/>
      <c r="I794" s="26"/>
      <c r="J794" s="26"/>
      <c r="K794" s="26"/>
      <c r="L794" s="26"/>
      <c r="M794" s="26"/>
      <c r="N794" s="26"/>
      <c r="O794" s="26"/>
      <c r="P794" s="26"/>
      <c r="Q794" s="26"/>
      <c r="R794" s="26"/>
      <c r="S794" s="26"/>
      <c r="T794" s="26"/>
      <c r="U794" s="26"/>
      <c r="V794" s="26"/>
      <c r="W794" s="26"/>
      <c r="X794" s="26"/>
      <c r="Y794" s="26"/>
      <c r="Z794" s="26"/>
    </row>
    <row r="795" spans="1:26" ht="19.5" customHeight="1" x14ac:dyDescent="0.85">
      <c r="A795" s="26"/>
      <c r="B795" s="26"/>
      <c r="C795" s="26"/>
      <c r="D795" s="26"/>
      <c r="E795" s="26"/>
      <c r="F795" s="26"/>
      <c r="G795" s="26"/>
      <c r="H795" s="26"/>
      <c r="I795" s="26"/>
      <c r="J795" s="26"/>
      <c r="K795" s="26"/>
      <c r="L795" s="26"/>
      <c r="M795" s="26"/>
      <c r="N795" s="26"/>
      <c r="O795" s="26"/>
      <c r="P795" s="26"/>
      <c r="Q795" s="26"/>
      <c r="R795" s="26"/>
      <c r="S795" s="26"/>
      <c r="T795" s="26"/>
      <c r="U795" s="26"/>
      <c r="V795" s="26"/>
      <c r="W795" s="26"/>
      <c r="X795" s="26"/>
      <c r="Y795" s="26"/>
      <c r="Z795" s="26"/>
    </row>
    <row r="796" spans="1:26" ht="19.5" customHeight="1" x14ac:dyDescent="0.85">
      <c r="A796" s="26"/>
      <c r="B796" s="26"/>
      <c r="C796" s="26"/>
      <c r="D796" s="26"/>
      <c r="E796" s="26"/>
      <c r="F796" s="26"/>
      <c r="G796" s="26"/>
      <c r="H796" s="26"/>
      <c r="I796" s="26"/>
      <c r="J796" s="26"/>
      <c r="K796" s="26"/>
      <c r="L796" s="26"/>
      <c r="M796" s="26"/>
      <c r="N796" s="26"/>
      <c r="O796" s="26"/>
      <c r="P796" s="26"/>
      <c r="Q796" s="26"/>
      <c r="R796" s="26"/>
      <c r="S796" s="26"/>
      <c r="T796" s="26"/>
      <c r="U796" s="26"/>
      <c r="V796" s="26"/>
      <c r="W796" s="26"/>
      <c r="X796" s="26"/>
      <c r="Y796" s="26"/>
      <c r="Z796" s="26"/>
    </row>
    <row r="797" spans="1:26" ht="19.5" customHeight="1" x14ac:dyDescent="0.85">
      <c r="A797" s="26"/>
      <c r="B797" s="26"/>
      <c r="C797" s="26"/>
      <c r="D797" s="26"/>
      <c r="E797" s="26"/>
      <c r="F797" s="26"/>
      <c r="G797" s="26"/>
      <c r="H797" s="26"/>
      <c r="I797" s="26"/>
      <c r="J797" s="26"/>
      <c r="K797" s="26"/>
      <c r="L797" s="26"/>
      <c r="M797" s="26"/>
      <c r="N797" s="26"/>
      <c r="O797" s="26"/>
      <c r="P797" s="26"/>
      <c r="Q797" s="26"/>
      <c r="R797" s="26"/>
      <c r="S797" s="26"/>
      <c r="T797" s="26"/>
      <c r="U797" s="26"/>
      <c r="V797" s="26"/>
      <c r="W797" s="26"/>
      <c r="X797" s="26"/>
      <c r="Y797" s="26"/>
      <c r="Z797" s="26"/>
    </row>
    <row r="798" spans="1:26" ht="19.5" customHeight="1" x14ac:dyDescent="0.85">
      <c r="A798" s="26"/>
      <c r="B798" s="26"/>
      <c r="C798" s="26"/>
      <c r="D798" s="26"/>
      <c r="E798" s="26"/>
      <c r="F798" s="26"/>
      <c r="G798" s="26"/>
      <c r="H798" s="26"/>
      <c r="I798" s="26"/>
      <c r="J798" s="26"/>
      <c r="K798" s="26"/>
      <c r="L798" s="26"/>
      <c r="M798" s="26"/>
      <c r="N798" s="26"/>
      <c r="O798" s="26"/>
      <c r="P798" s="26"/>
      <c r="Q798" s="26"/>
      <c r="R798" s="26"/>
      <c r="S798" s="26"/>
      <c r="T798" s="26"/>
      <c r="U798" s="26"/>
      <c r="V798" s="26"/>
      <c r="W798" s="26"/>
      <c r="X798" s="26"/>
      <c r="Y798" s="26"/>
      <c r="Z798" s="26"/>
    </row>
    <row r="799" spans="1:26" ht="19.5" customHeight="1" x14ac:dyDescent="0.85">
      <c r="A799" s="26"/>
      <c r="B799" s="26"/>
      <c r="C799" s="26"/>
      <c r="D799" s="26"/>
      <c r="E799" s="26"/>
      <c r="F799" s="26"/>
      <c r="G799" s="26"/>
      <c r="H799" s="26"/>
      <c r="I799" s="26"/>
      <c r="J799" s="26"/>
      <c r="K799" s="26"/>
      <c r="L799" s="26"/>
      <c r="M799" s="26"/>
      <c r="N799" s="26"/>
      <c r="O799" s="26"/>
      <c r="P799" s="26"/>
      <c r="Q799" s="26"/>
      <c r="R799" s="26"/>
      <c r="S799" s="26"/>
      <c r="T799" s="26"/>
      <c r="U799" s="26"/>
      <c r="V799" s="26"/>
      <c r="W799" s="26"/>
      <c r="X799" s="26"/>
      <c r="Y799" s="26"/>
      <c r="Z799" s="26"/>
    </row>
    <row r="800" spans="1:26" ht="19.5" customHeight="1" x14ac:dyDescent="0.85">
      <c r="A800" s="26"/>
      <c r="B800" s="26"/>
      <c r="C800" s="26"/>
      <c r="D800" s="26"/>
      <c r="E800" s="26"/>
      <c r="F800" s="26"/>
      <c r="G800" s="26"/>
      <c r="H800" s="26"/>
      <c r="I800" s="26"/>
      <c r="J800" s="26"/>
      <c r="K800" s="26"/>
      <c r="L800" s="26"/>
      <c r="M800" s="26"/>
      <c r="N800" s="26"/>
      <c r="O800" s="26"/>
      <c r="P800" s="26"/>
      <c r="Q800" s="26"/>
      <c r="R800" s="26"/>
      <c r="S800" s="26"/>
      <c r="T800" s="26"/>
      <c r="U800" s="26"/>
      <c r="V800" s="26"/>
      <c r="W800" s="26"/>
      <c r="X800" s="26"/>
      <c r="Y800" s="26"/>
      <c r="Z800" s="26"/>
    </row>
    <row r="801" spans="1:26" ht="19.5" customHeight="1" x14ac:dyDescent="0.85">
      <c r="A801" s="26"/>
      <c r="B801" s="26"/>
      <c r="C801" s="26"/>
      <c r="D801" s="26"/>
      <c r="E801" s="26"/>
      <c r="F801" s="26"/>
      <c r="G801" s="26"/>
      <c r="H801" s="26"/>
      <c r="I801" s="26"/>
      <c r="J801" s="26"/>
      <c r="K801" s="26"/>
      <c r="L801" s="26"/>
      <c r="M801" s="26"/>
      <c r="N801" s="26"/>
      <c r="O801" s="26"/>
      <c r="P801" s="26"/>
      <c r="Q801" s="26"/>
      <c r="R801" s="26"/>
      <c r="S801" s="26"/>
      <c r="T801" s="26"/>
      <c r="U801" s="26"/>
      <c r="V801" s="26"/>
      <c r="W801" s="26"/>
      <c r="X801" s="26"/>
      <c r="Y801" s="26"/>
      <c r="Z801" s="26"/>
    </row>
    <row r="802" spans="1:26" ht="19.5" customHeight="1" x14ac:dyDescent="0.85">
      <c r="A802" s="26"/>
      <c r="B802" s="26"/>
      <c r="C802" s="26"/>
      <c r="D802" s="26"/>
      <c r="E802" s="26"/>
      <c r="F802" s="26"/>
      <c r="G802" s="26"/>
      <c r="H802" s="26"/>
      <c r="I802" s="26"/>
      <c r="J802" s="26"/>
      <c r="K802" s="26"/>
      <c r="L802" s="26"/>
      <c r="M802" s="26"/>
      <c r="N802" s="26"/>
      <c r="O802" s="26"/>
      <c r="P802" s="26"/>
      <c r="Q802" s="26"/>
      <c r="R802" s="26"/>
      <c r="S802" s="26"/>
      <c r="T802" s="26"/>
      <c r="U802" s="26"/>
      <c r="V802" s="26"/>
      <c r="W802" s="26"/>
      <c r="X802" s="26"/>
      <c r="Y802" s="26"/>
      <c r="Z802" s="26"/>
    </row>
    <row r="803" spans="1:26" ht="19.5" customHeight="1" x14ac:dyDescent="0.85">
      <c r="A803" s="26"/>
      <c r="B803" s="26"/>
      <c r="C803" s="26"/>
      <c r="D803" s="26"/>
      <c r="E803" s="26"/>
      <c r="F803" s="26"/>
      <c r="G803" s="26"/>
      <c r="H803" s="26"/>
      <c r="I803" s="26"/>
      <c r="J803" s="26"/>
      <c r="K803" s="26"/>
      <c r="L803" s="26"/>
      <c r="M803" s="26"/>
      <c r="N803" s="26"/>
      <c r="O803" s="26"/>
      <c r="P803" s="26"/>
      <c r="Q803" s="26"/>
      <c r="R803" s="26"/>
      <c r="S803" s="26"/>
      <c r="T803" s="26"/>
      <c r="U803" s="26"/>
      <c r="V803" s="26"/>
      <c r="W803" s="26"/>
      <c r="X803" s="26"/>
      <c r="Y803" s="26"/>
      <c r="Z803" s="26"/>
    </row>
    <row r="804" spans="1:26" ht="19.5" customHeight="1" x14ac:dyDescent="0.85">
      <c r="A804" s="26"/>
      <c r="B804" s="26"/>
      <c r="C804" s="26"/>
      <c r="D804" s="26"/>
      <c r="E804" s="26"/>
      <c r="F804" s="26"/>
      <c r="G804" s="26"/>
      <c r="H804" s="26"/>
      <c r="I804" s="26"/>
      <c r="J804" s="26"/>
      <c r="K804" s="26"/>
      <c r="L804" s="26"/>
      <c r="M804" s="26"/>
      <c r="N804" s="26"/>
      <c r="O804" s="26"/>
      <c r="P804" s="26"/>
      <c r="Q804" s="26"/>
      <c r="R804" s="26"/>
      <c r="S804" s="26"/>
      <c r="T804" s="26"/>
      <c r="U804" s="26"/>
      <c r="V804" s="26"/>
      <c r="W804" s="26"/>
      <c r="X804" s="26"/>
      <c r="Y804" s="26"/>
      <c r="Z804" s="26"/>
    </row>
    <row r="805" spans="1:26" ht="19.5" customHeight="1" x14ac:dyDescent="0.85">
      <c r="A805" s="26"/>
      <c r="B805" s="26"/>
      <c r="C805" s="26"/>
      <c r="D805" s="26"/>
      <c r="E805" s="26"/>
      <c r="F805" s="26"/>
      <c r="G805" s="26"/>
      <c r="H805" s="26"/>
      <c r="I805" s="26"/>
      <c r="J805" s="26"/>
      <c r="K805" s="26"/>
      <c r="L805" s="26"/>
      <c r="M805" s="26"/>
      <c r="N805" s="26"/>
      <c r="O805" s="26"/>
      <c r="P805" s="26"/>
      <c r="Q805" s="26"/>
      <c r="R805" s="26"/>
      <c r="S805" s="26"/>
      <c r="T805" s="26"/>
      <c r="U805" s="26"/>
      <c r="V805" s="26"/>
      <c r="W805" s="26"/>
      <c r="X805" s="26"/>
      <c r="Y805" s="26"/>
      <c r="Z805" s="26"/>
    </row>
    <row r="806" spans="1:26" ht="19.5" customHeight="1" x14ac:dyDescent="0.85">
      <c r="A806" s="26"/>
      <c r="B806" s="26"/>
      <c r="C806" s="26"/>
      <c r="D806" s="26"/>
      <c r="E806" s="26"/>
      <c r="F806" s="26"/>
      <c r="G806" s="26"/>
      <c r="H806" s="26"/>
      <c r="I806" s="26"/>
      <c r="J806" s="26"/>
      <c r="K806" s="26"/>
      <c r="L806" s="26"/>
      <c r="M806" s="26"/>
      <c r="N806" s="26"/>
      <c r="O806" s="26"/>
      <c r="P806" s="26"/>
      <c r="Q806" s="26"/>
      <c r="R806" s="26"/>
      <c r="S806" s="26"/>
      <c r="T806" s="26"/>
      <c r="U806" s="26"/>
      <c r="V806" s="26"/>
      <c r="W806" s="26"/>
      <c r="X806" s="26"/>
      <c r="Y806" s="26"/>
      <c r="Z806" s="26"/>
    </row>
    <row r="807" spans="1:26" ht="19.5" customHeight="1" x14ac:dyDescent="0.85">
      <c r="A807" s="26"/>
      <c r="B807" s="26"/>
      <c r="C807" s="26"/>
      <c r="D807" s="26"/>
      <c r="E807" s="26"/>
      <c r="F807" s="26"/>
      <c r="G807" s="26"/>
      <c r="H807" s="26"/>
      <c r="I807" s="26"/>
      <c r="J807" s="26"/>
      <c r="K807" s="26"/>
      <c r="L807" s="26"/>
      <c r="M807" s="26"/>
      <c r="N807" s="26"/>
      <c r="O807" s="26"/>
      <c r="P807" s="26"/>
      <c r="Q807" s="26"/>
      <c r="R807" s="26"/>
      <c r="S807" s="26"/>
      <c r="T807" s="26"/>
      <c r="U807" s="26"/>
      <c r="V807" s="26"/>
      <c r="W807" s="26"/>
      <c r="X807" s="26"/>
      <c r="Y807" s="26"/>
      <c r="Z807" s="26"/>
    </row>
    <row r="808" spans="1:26" ht="19.5" customHeight="1" x14ac:dyDescent="0.85">
      <c r="A808" s="26"/>
      <c r="B808" s="26"/>
      <c r="C808" s="26"/>
      <c r="D808" s="26"/>
      <c r="E808" s="26"/>
      <c r="F808" s="26"/>
      <c r="G808" s="26"/>
      <c r="H808" s="26"/>
      <c r="I808" s="26"/>
      <c r="J808" s="26"/>
      <c r="K808" s="26"/>
      <c r="L808" s="26"/>
      <c r="M808" s="26"/>
      <c r="N808" s="26"/>
      <c r="O808" s="26"/>
      <c r="P808" s="26"/>
      <c r="Q808" s="26"/>
      <c r="R808" s="26"/>
      <c r="S808" s="26"/>
      <c r="T808" s="26"/>
      <c r="U808" s="26"/>
      <c r="V808" s="26"/>
      <c r="W808" s="26"/>
      <c r="X808" s="26"/>
      <c r="Y808" s="26"/>
      <c r="Z808" s="26"/>
    </row>
    <row r="809" spans="1:26" ht="19.5" customHeight="1" x14ac:dyDescent="0.85">
      <c r="A809" s="26"/>
      <c r="B809" s="26"/>
      <c r="C809" s="26"/>
      <c r="D809" s="26"/>
      <c r="E809" s="26"/>
      <c r="F809" s="26"/>
      <c r="G809" s="26"/>
      <c r="H809" s="26"/>
      <c r="I809" s="26"/>
      <c r="J809" s="26"/>
      <c r="K809" s="26"/>
      <c r="L809" s="26"/>
      <c r="M809" s="26"/>
      <c r="N809" s="26"/>
      <c r="O809" s="26"/>
      <c r="P809" s="26"/>
      <c r="Q809" s="26"/>
      <c r="R809" s="26"/>
      <c r="S809" s="26"/>
      <c r="T809" s="26"/>
      <c r="U809" s="26"/>
      <c r="V809" s="26"/>
      <c r="W809" s="26"/>
      <c r="X809" s="26"/>
      <c r="Y809" s="26"/>
      <c r="Z809" s="26"/>
    </row>
    <row r="810" spans="1:26" ht="19.5" customHeight="1" x14ac:dyDescent="0.85">
      <c r="A810" s="26"/>
      <c r="B810" s="26"/>
      <c r="C810" s="26"/>
      <c r="D810" s="26"/>
      <c r="E810" s="26"/>
      <c r="F810" s="26"/>
      <c r="G810" s="26"/>
      <c r="H810" s="26"/>
      <c r="I810" s="26"/>
      <c r="J810" s="26"/>
      <c r="K810" s="26"/>
      <c r="L810" s="26"/>
      <c r="M810" s="26"/>
      <c r="N810" s="26"/>
      <c r="O810" s="26"/>
      <c r="P810" s="26"/>
      <c r="Q810" s="26"/>
      <c r="R810" s="26"/>
      <c r="S810" s="26"/>
      <c r="T810" s="26"/>
      <c r="U810" s="26"/>
      <c r="V810" s="26"/>
      <c r="W810" s="26"/>
      <c r="X810" s="26"/>
      <c r="Y810" s="26"/>
      <c r="Z810" s="26"/>
    </row>
    <row r="811" spans="1:26" ht="19.5" customHeight="1" x14ac:dyDescent="0.85">
      <c r="A811" s="26"/>
      <c r="B811" s="26"/>
      <c r="C811" s="26"/>
      <c r="D811" s="26"/>
      <c r="E811" s="26"/>
      <c r="F811" s="26"/>
      <c r="G811" s="26"/>
      <c r="H811" s="26"/>
      <c r="I811" s="26"/>
      <c r="J811" s="26"/>
      <c r="K811" s="26"/>
      <c r="L811" s="26"/>
      <c r="M811" s="26"/>
      <c r="N811" s="26"/>
      <c r="O811" s="26"/>
      <c r="P811" s="26"/>
      <c r="Q811" s="26"/>
      <c r="R811" s="26"/>
      <c r="S811" s="26"/>
      <c r="T811" s="26"/>
      <c r="U811" s="26"/>
      <c r="V811" s="26"/>
      <c r="W811" s="26"/>
      <c r="X811" s="26"/>
      <c r="Y811" s="26"/>
      <c r="Z811" s="26"/>
    </row>
    <row r="812" spans="1:26" ht="19.5" customHeight="1" x14ac:dyDescent="0.85">
      <c r="A812" s="26"/>
      <c r="B812" s="26"/>
      <c r="C812" s="26"/>
      <c r="D812" s="26"/>
      <c r="E812" s="26"/>
      <c r="F812" s="26"/>
      <c r="G812" s="26"/>
      <c r="H812" s="26"/>
      <c r="I812" s="26"/>
      <c r="J812" s="26"/>
      <c r="K812" s="26"/>
      <c r="L812" s="26"/>
      <c r="M812" s="26"/>
      <c r="N812" s="26"/>
      <c r="O812" s="26"/>
      <c r="P812" s="26"/>
      <c r="Q812" s="26"/>
      <c r="R812" s="26"/>
      <c r="S812" s="26"/>
      <c r="T812" s="26"/>
      <c r="U812" s="26"/>
      <c r="V812" s="26"/>
      <c r="W812" s="26"/>
      <c r="X812" s="26"/>
      <c r="Y812" s="26"/>
      <c r="Z812" s="26"/>
    </row>
    <row r="813" spans="1:26" ht="19.5" customHeight="1" x14ac:dyDescent="0.85">
      <c r="A813" s="26"/>
      <c r="B813" s="26"/>
      <c r="C813" s="26"/>
      <c r="D813" s="26"/>
      <c r="E813" s="26"/>
      <c r="F813" s="26"/>
      <c r="G813" s="26"/>
      <c r="H813" s="26"/>
      <c r="I813" s="26"/>
      <c r="J813" s="26"/>
      <c r="K813" s="26"/>
      <c r="L813" s="26"/>
      <c r="M813" s="26"/>
      <c r="N813" s="26"/>
      <c r="O813" s="26"/>
      <c r="P813" s="26"/>
      <c r="Q813" s="26"/>
      <c r="R813" s="26"/>
      <c r="S813" s="26"/>
      <c r="T813" s="26"/>
      <c r="U813" s="26"/>
      <c r="V813" s="26"/>
      <c r="W813" s="26"/>
      <c r="X813" s="26"/>
      <c r="Y813" s="26"/>
      <c r="Z813" s="26"/>
    </row>
    <row r="814" spans="1:26" ht="19.5" customHeight="1" x14ac:dyDescent="0.85">
      <c r="A814" s="26"/>
      <c r="B814" s="26"/>
      <c r="C814" s="26"/>
      <c r="D814" s="26"/>
      <c r="E814" s="26"/>
      <c r="F814" s="26"/>
      <c r="G814" s="26"/>
      <c r="H814" s="26"/>
      <c r="I814" s="26"/>
      <c r="J814" s="26"/>
      <c r="K814" s="26"/>
      <c r="L814" s="26"/>
      <c r="M814" s="26"/>
      <c r="N814" s="26"/>
      <c r="O814" s="26"/>
      <c r="P814" s="26"/>
      <c r="Q814" s="26"/>
      <c r="R814" s="26"/>
      <c r="S814" s="26"/>
      <c r="T814" s="26"/>
      <c r="U814" s="26"/>
      <c r="V814" s="26"/>
      <c r="W814" s="26"/>
      <c r="X814" s="26"/>
      <c r="Y814" s="26"/>
      <c r="Z814" s="26"/>
    </row>
    <row r="815" spans="1:26" ht="19.5" customHeight="1" x14ac:dyDescent="0.85">
      <c r="A815" s="26"/>
      <c r="B815" s="26"/>
      <c r="C815" s="26"/>
      <c r="D815" s="26"/>
      <c r="E815" s="26"/>
      <c r="F815" s="26"/>
      <c r="G815" s="26"/>
      <c r="H815" s="26"/>
      <c r="I815" s="26"/>
      <c r="J815" s="26"/>
      <c r="K815" s="26"/>
      <c r="L815" s="26"/>
      <c r="M815" s="26"/>
      <c r="N815" s="26"/>
      <c r="O815" s="26"/>
      <c r="P815" s="26"/>
      <c r="Q815" s="26"/>
      <c r="R815" s="26"/>
      <c r="S815" s="26"/>
      <c r="T815" s="26"/>
      <c r="U815" s="26"/>
      <c r="V815" s="26"/>
      <c r="W815" s="26"/>
      <c r="X815" s="26"/>
      <c r="Y815" s="26"/>
      <c r="Z815" s="26"/>
    </row>
    <row r="816" spans="1:26" ht="19.5" customHeight="1" x14ac:dyDescent="0.85">
      <c r="A816" s="26"/>
      <c r="B816" s="26"/>
      <c r="C816" s="26"/>
      <c r="D816" s="26"/>
      <c r="E816" s="26"/>
      <c r="F816" s="26"/>
      <c r="G816" s="26"/>
      <c r="H816" s="26"/>
      <c r="I816" s="26"/>
      <c r="J816" s="26"/>
      <c r="K816" s="26"/>
      <c r="L816" s="26"/>
      <c r="M816" s="26"/>
      <c r="N816" s="26"/>
      <c r="O816" s="26"/>
      <c r="P816" s="26"/>
      <c r="Q816" s="26"/>
      <c r="R816" s="26"/>
      <c r="S816" s="26"/>
      <c r="T816" s="26"/>
      <c r="U816" s="26"/>
      <c r="V816" s="26"/>
      <c r="W816" s="26"/>
      <c r="X816" s="26"/>
      <c r="Y816" s="26"/>
      <c r="Z816" s="26"/>
    </row>
    <row r="817" spans="1:26" ht="19.5" customHeight="1" x14ac:dyDescent="0.85">
      <c r="A817" s="26"/>
      <c r="B817" s="26"/>
      <c r="C817" s="26"/>
      <c r="D817" s="26"/>
      <c r="E817" s="26"/>
      <c r="F817" s="26"/>
      <c r="G817" s="26"/>
      <c r="H817" s="26"/>
      <c r="I817" s="26"/>
      <c r="J817" s="26"/>
      <c r="K817" s="26"/>
      <c r="L817" s="26"/>
      <c r="M817" s="26"/>
      <c r="N817" s="26"/>
      <c r="O817" s="26"/>
      <c r="P817" s="26"/>
      <c r="Q817" s="26"/>
      <c r="R817" s="26"/>
      <c r="S817" s="26"/>
      <c r="T817" s="26"/>
      <c r="U817" s="26"/>
      <c r="V817" s="26"/>
      <c r="W817" s="26"/>
      <c r="X817" s="26"/>
      <c r="Y817" s="26"/>
      <c r="Z817" s="26"/>
    </row>
    <row r="818" spans="1:26" ht="19.5" customHeight="1" x14ac:dyDescent="0.85">
      <c r="A818" s="26"/>
      <c r="B818" s="26"/>
      <c r="C818" s="26"/>
      <c r="D818" s="26"/>
      <c r="E818" s="26"/>
      <c r="F818" s="26"/>
      <c r="G818" s="26"/>
      <c r="H818" s="26"/>
      <c r="I818" s="26"/>
      <c r="J818" s="26"/>
      <c r="K818" s="26"/>
      <c r="L818" s="26"/>
      <c r="M818" s="26"/>
      <c r="N818" s="26"/>
      <c r="O818" s="26"/>
      <c r="P818" s="26"/>
      <c r="Q818" s="26"/>
      <c r="R818" s="26"/>
      <c r="S818" s="26"/>
      <c r="T818" s="26"/>
      <c r="U818" s="26"/>
      <c r="V818" s="26"/>
      <c r="W818" s="26"/>
      <c r="X818" s="26"/>
      <c r="Y818" s="26"/>
      <c r="Z818" s="26"/>
    </row>
    <row r="819" spans="1:26" ht="19.5" customHeight="1" x14ac:dyDescent="0.85">
      <c r="A819" s="26"/>
      <c r="B819" s="26"/>
      <c r="C819" s="26"/>
      <c r="D819" s="26"/>
      <c r="E819" s="26"/>
      <c r="F819" s="26"/>
      <c r="G819" s="26"/>
      <c r="H819" s="26"/>
      <c r="I819" s="26"/>
      <c r="J819" s="26"/>
      <c r="K819" s="26"/>
      <c r="L819" s="26"/>
      <c r="M819" s="26"/>
      <c r="N819" s="26"/>
      <c r="O819" s="26"/>
      <c r="P819" s="26"/>
      <c r="Q819" s="26"/>
      <c r="R819" s="26"/>
      <c r="S819" s="26"/>
      <c r="T819" s="26"/>
      <c r="U819" s="26"/>
      <c r="V819" s="26"/>
      <c r="W819" s="26"/>
      <c r="X819" s="26"/>
      <c r="Y819" s="26"/>
      <c r="Z819" s="26"/>
    </row>
    <row r="820" spans="1:26" ht="19.5" customHeight="1" x14ac:dyDescent="0.85">
      <c r="A820" s="26"/>
      <c r="B820" s="26"/>
      <c r="C820" s="26"/>
      <c r="D820" s="26"/>
      <c r="E820" s="26"/>
      <c r="F820" s="26"/>
      <c r="G820" s="26"/>
      <c r="H820" s="26"/>
      <c r="I820" s="26"/>
      <c r="J820" s="26"/>
      <c r="K820" s="26"/>
      <c r="L820" s="26"/>
      <c r="M820" s="26"/>
      <c r="N820" s="26"/>
      <c r="O820" s="26"/>
      <c r="P820" s="26"/>
      <c r="Q820" s="26"/>
      <c r="R820" s="26"/>
      <c r="S820" s="26"/>
      <c r="T820" s="26"/>
      <c r="U820" s="26"/>
      <c r="V820" s="26"/>
      <c r="W820" s="26"/>
      <c r="X820" s="26"/>
      <c r="Y820" s="26"/>
      <c r="Z820" s="26"/>
    </row>
    <row r="821" spans="1:26" ht="19.5" customHeight="1" x14ac:dyDescent="0.85">
      <c r="A821" s="26"/>
      <c r="B821" s="26"/>
      <c r="C821" s="26"/>
      <c r="D821" s="26"/>
      <c r="E821" s="26"/>
      <c r="F821" s="26"/>
      <c r="G821" s="26"/>
      <c r="H821" s="26"/>
      <c r="I821" s="26"/>
      <c r="J821" s="26"/>
      <c r="K821" s="26"/>
      <c r="L821" s="26"/>
      <c r="M821" s="26"/>
      <c r="N821" s="26"/>
      <c r="O821" s="26"/>
      <c r="P821" s="26"/>
      <c r="Q821" s="26"/>
      <c r="R821" s="26"/>
      <c r="S821" s="26"/>
      <c r="T821" s="26"/>
      <c r="U821" s="26"/>
      <c r="V821" s="26"/>
      <c r="W821" s="26"/>
      <c r="X821" s="26"/>
      <c r="Y821" s="26"/>
      <c r="Z821" s="26"/>
    </row>
    <row r="822" spans="1:26" ht="19.5" customHeight="1" x14ac:dyDescent="0.85">
      <c r="A822" s="26"/>
      <c r="B822" s="26"/>
      <c r="C822" s="26"/>
      <c r="D822" s="26"/>
      <c r="E822" s="26"/>
      <c r="F822" s="26"/>
      <c r="G822" s="26"/>
      <c r="H822" s="26"/>
      <c r="I822" s="26"/>
      <c r="J822" s="26"/>
      <c r="K822" s="26"/>
      <c r="L822" s="26"/>
      <c r="M822" s="26"/>
      <c r="N822" s="26"/>
      <c r="O822" s="26"/>
      <c r="P822" s="26"/>
      <c r="Q822" s="26"/>
      <c r="R822" s="26"/>
      <c r="S822" s="26"/>
      <c r="T822" s="26"/>
      <c r="U822" s="26"/>
      <c r="V822" s="26"/>
      <c r="W822" s="26"/>
      <c r="X822" s="26"/>
      <c r="Y822" s="26"/>
      <c r="Z822" s="26"/>
    </row>
    <row r="823" spans="1:26" ht="19.5" customHeight="1" x14ac:dyDescent="0.85">
      <c r="A823" s="26"/>
      <c r="B823" s="26"/>
      <c r="C823" s="26"/>
      <c r="D823" s="26"/>
      <c r="E823" s="26"/>
      <c r="F823" s="26"/>
      <c r="G823" s="26"/>
      <c r="H823" s="26"/>
      <c r="I823" s="26"/>
      <c r="J823" s="26"/>
      <c r="K823" s="26"/>
      <c r="L823" s="26"/>
      <c r="M823" s="26"/>
      <c r="N823" s="26"/>
      <c r="O823" s="26"/>
      <c r="P823" s="26"/>
      <c r="Q823" s="26"/>
      <c r="R823" s="26"/>
      <c r="S823" s="26"/>
      <c r="T823" s="26"/>
      <c r="U823" s="26"/>
      <c r="V823" s="26"/>
      <c r="W823" s="26"/>
      <c r="X823" s="26"/>
      <c r="Y823" s="26"/>
      <c r="Z823" s="26"/>
    </row>
    <row r="824" spans="1:26" ht="19.5" customHeight="1" x14ac:dyDescent="0.85">
      <c r="A824" s="26"/>
      <c r="B824" s="26"/>
      <c r="C824" s="26"/>
      <c r="D824" s="26"/>
      <c r="E824" s="26"/>
      <c r="F824" s="26"/>
      <c r="G824" s="26"/>
      <c r="H824" s="26"/>
      <c r="I824" s="26"/>
      <c r="J824" s="26"/>
      <c r="K824" s="26"/>
      <c r="L824" s="26"/>
      <c r="M824" s="26"/>
      <c r="N824" s="26"/>
      <c r="O824" s="26"/>
      <c r="P824" s="26"/>
      <c r="Q824" s="26"/>
      <c r="R824" s="26"/>
      <c r="S824" s="26"/>
      <c r="T824" s="26"/>
      <c r="U824" s="26"/>
      <c r="V824" s="26"/>
      <c r="W824" s="26"/>
      <c r="X824" s="26"/>
      <c r="Y824" s="26"/>
      <c r="Z824" s="26"/>
    </row>
    <row r="825" spans="1:26" ht="19.5" customHeight="1" x14ac:dyDescent="0.85">
      <c r="A825" s="26"/>
      <c r="B825" s="26"/>
      <c r="C825" s="26"/>
      <c r="D825" s="26"/>
      <c r="E825" s="26"/>
      <c r="F825" s="26"/>
      <c r="G825" s="26"/>
      <c r="H825" s="26"/>
      <c r="I825" s="26"/>
      <c r="J825" s="26"/>
      <c r="K825" s="26"/>
      <c r="L825" s="26"/>
      <c r="M825" s="26"/>
      <c r="N825" s="26"/>
      <c r="O825" s="26"/>
      <c r="P825" s="26"/>
      <c r="Q825" s="26"/>
      <c r="R825" s="26"/>
      <c r="S825" s="26"/>
      <c r="T825" s="26"/>
      <c r="U825" s="26"/>
      <c r="V825" s="26"/>
      <c r="W825" s="26"/>
      <c r="X825" s="26"/>
      <c r="Y825" s="26"/>
      <c r="Z825" s="26"/>
    </row>
    <row r="826" spans="1:26" ht="19.5" customHeight="1" x14ac:dyDescent="0.85">
      <c r="A826" s="26"/>
      <c r="B826" s="26"/>
      <c r="C826" s="26"/>
      <c r="D826" s="26"/>
      <c r="E826" s="26"/>
      <c r="F826" s="26"/>
      <c r="G826" s="26"/>
      <c r="H826" s="26"/>
      <c r="I826" s="26"/>
      <c r="J826" s="26"/>
      <c r="K826" s="26"/>
      <c r="L826" s="26"/>
      <c r="M826" s="26"/>
      <c r="N826" s="26"/>
      <c r="O826" s="26"/>
      <c r="P826" s="26"/>
      <c r="Q826" s="26"/>
      <c r="R826" s="26"/>
      <c r="S826" s="26"/>
      <c r="T826" s="26"/>
      <c r="U826" s="26"/>
      <c r="V826" s="26"/>
      <c r="W826" s="26"/>
      <c r="X826" s="26"/>
      <c r="Y826" s="26"/>
      <c r="Z826" s="26"/>
    </row>
    <row r="827" spans="1:26" ht="19.5" customHeight="1" x14ac:dyDescent="0.85">
      <c r="A827" s="26"/>
      <c r="B827" s="26"/>
      <c r="C827" s="26"/>
      <c r="D827" s="26"/>
      <c r="E827" s="26"/>
      <c r="F827" s="26"/>
      <c r="G827" s="26"/>
      <c r="H827" s="26"/>
      <c r="I827" s="26"/>
      <c r="J827" s="26"/>
      <c r="K827" s="26"/>
      <c r="L827" s="26"/>
      <c r="M827" s="26"/>
      <c r="N827" s="26"/>
      <c r="O827" s="26"/>
      <c r="P827" s="26"/>
      <c r="Q827" s="26"/>
      <c r="R827" s="26"/>
      <c r="S827" s="26"/>
      <c r="T827" s="26"/>
      <c r="U827" s="26"/>
      <c r="V827" s="26"/>
      <c r="W827" s="26"/>
      <c r="X827" s="26"/>
      <c r="Y827" s="26"/>
      <c r="Z827" s="26"/>
    </row>
    <row r="828" spans="1:26" ht="19.5" customHeight="1" x14ac:dyDescent="0.85">
      <c r="A828" s="26"/>
      <c r="B828" s="26"/>
      <c r="C828" s="26"/>
      <c r="D828" s="26"/>
      <c r="E828" s="26"/>
      <c r="F828" s="26"/>
      <c r="G828" s="26"/>
      <c r="H828" s="26"/>
      <c r="I828" s="26"/>
      <c r="J828" s="26"/>
      <c r="K828" s="26"/>
      <c r="L828" s="26"/>
      <c r="M828" s="26"/>
      <c r="N828" s="26"/>
      <c r="O828" s="26"/>
      <c r="P828" s="26"/>
      <c r="Q828" s="26"/>
      <c r="R828" s="26"/>
      <c r="S828" s="26"/>
      <c r="T828" s="26"/>
      <c r="U828" s="26"/>
      <c r="V828" s="26"/>
      <c r="W828" s="26"/>
      <c r="X828" s="26"/>
      <c r="Y828" s="26"/>
      <c r="Z828" s="26"/>
    </row>
    <row r="829" spans="1:26" ht="19.5" customHeight="1" x14ac:dyDescent="0.85">
      <c r="A829" s="26"/>
      <c r="B829" s="26"/>
      <c r="C829" s="26"/>
      <c r="D829" s="26"/>
      <c r="E829" s="26"/>
      <c r="F829" s="26"/>
      <c r="G829" s="26"/>
      <c r="H829" s="26"/>
      <c r="I829" s="26"/>
      <c r="J829" s="26"/>
      <c r="K829" s="26"/>
      <c r="L829" s="26"/>
      <c r="M829" s="26"/>
      <c r="N829" s="26"/>
      <c r="O829" s="26"/>
      <c r="P829" s="26"/>
      <c r="Q829" s="26"/>
      <c r="R829" s="26"/>
      <c r="S829" s="26"/>
      <c r="T829" s="26"/>
      <c r="U829" s="26"/>
      <c r="V829" s="26"/>
      <c r="W829" s="26"/>
      <c r="X829" s="26"/>
      <c r="Y829" s="26"/>
      <c r="Z829" s="26"/>
    </row>
    <row r="830" spans="1:26" ht="19.5" customHeight="1" x14ac:dyDescent="0.85">
      <c r="A830" s="26"/>
      <c r="B830" s="26"/>
      <c r="C830" s="26"/>
      <c r="D830" s="26"/>
      <c r="E830" s="26"/>
      <c r="F830" s="26"/>
      <c r="G830" s="26"/>
      <c r="H830" s="26"/>
      <c r="I830" s="26"/>
      <c r="J830" s="26"/>
      <c r="K830" s="26"/>
      <c r="L830" s="26"/>
      <c r="M830" s="26"/>
      <c r="N830" s="26"/>
      <c r="O830" s="26"/>
      <c r="P830" s="26"/>
      <c r="Q830" s="26"/>
      <c r="R830" s="26"/>
      <c r="S830" s="26"/>
      <c r="T830" s="26"/>
      <c r="U830" s="26"/>
      <c r="V830" s="26"/>
      <c r="W830" s="26"/>
      <c r="X830" s="26"/>
      <c r="Y830" s="26"/>
      <c r="Z830" s="26"/>
    </row>
    <row r="831" spans="1:26" ht="19.5" customHeight="1" x14ac:dyDescent="0.85">
      <c r="A831" s="26"/>
      <c r="B831" s="26"/>
      <c r="C831" s="26"/>
      <c r="D831" s="26"/>
      <c r="E831" s="26"/>
      <c r="F831" s="26"/>
      <c r="G831" s="26"/>
      <c r="H831" s="26"/>
      <c r="I831" s="26"/>
      <c r="J831" s="26"/>
      <c r="K831" s="26"/>
      <c r="L831" s="26"/>
      <c r="M831" s="26"/>
      <c r="N831" s="26"/>
      <c r="O831" s="26"/>
      <c r="P831" s="26"/>
      <c r="Q831" s="26"/>
      <c r="R831" s="26"/>
      <c r="S831" s="26"/>
      <c r="T831" s="26"/>
      <c r="U831" s="26"/>
      <c r="V831" s="26"/>
      <c r="W831" s="26"/>
      <c r="X831" s="26"/>
      <c r="Y831" s="26"/>
      <c r="Z831" s="26"/>
    </row>
    <row r="832" spans="1:26" ht="19.5" customHeight="1" x14ac:dyDescent="0.85">
      <c r="A832" s="26"/>
      <c r="B832" s="26"/>
      <c r="C832" s="26"/>
      <c r="D832" s="26"/>
      <c r="E832" s="26"/>
      <c r="F832" s="26"/>
      <c r="G832" s="26"/>
      <c r="H832" s="26"/>
      <c r="I832" s="26"/>
      <c r="J832" s="26"/>
      <c r="K832" s="26"/>
      <c r="L832" s="26"/>
      <c r="M832" s="26"/>
      <c r="N832" s="26"/>
      <c r="O832" s="26"/>
      <c r="P832" s="26"/>
      <c r="Q832" s="26"/>
      <c r="R832" s="26"/>
      <c r="S832" s="26"/>
      <c r="T832" s="26"/>
      <c r="U832" s="26"/>
      <c r="V832" s="26"/>
      <c r="W832" s="26"/>
      <c r="X832" s="26"/>
      <c r="Y832" s="26"/>
      <c r="Z832" s="26"/>
    </row>
    <row r="833" spans="1:26" ht="19.5" customHeight="1" x14ac:dyDescent="0.85">
      <c r="A833" s="26"/>
      <c r="B833" s="26"/>
      <c r="C833" s="26"/>
      <c r="D833" s="26"/>
      <c r="E833" s="26"/>
      <c r="F833" s="26"/>
      <c r="G833" s="26"/>
      <c r="H833" s="26"/>
      <c r="I833" s="26"/>
      <c r="J833" s="26"/>
      <c r="K833" s="26"/>
      <c r="L833" s="26"/>
      <c r="M833" s="26"/>
      <c r="N833" s="26"/>
      <c r="O833" s="26"/>
      <c r="P833" s="26"/>
      <c r="Q833" s="26"/>
      <c r="R833" s="26"/>
      <c r="S833" s="26"/>
      <c r="T833" s="26"/>
      <c r="U833" s="26"/>
      <c r="V833" s="26"/>
      <c r="W833" s="26"/>
      <c r="X833" s="26"/>
      <c r="Y833" s="26"/>
      <c r="Z833" s="26"/>
    </row>
    <row r="834" spans="1:26" ht="19.5" customHeight="1" x14ac:dyDescent="0.85">
      <c r="A834" s="26"/>
      <c r="B834" s="26"/>
      <c r="C834" s="26"/>
      <c r="D834" s="26"/>
      <c r="E834" s="26"/>
      <c r="F834" s="26"/>
      <c r="G834" s="26"/>
      <c r="H834" s="26"/>
      <c r="I834" s="26"/>
      <c r="J834" s="26"/>
      <c r="K834" s="26"/>
      <c r="L834" s="26"/>
      <c r="M834" s="26"/>
      <c r="N834" s="26"/>
      <c r="O834" s="26"/>
      <c r="P834" s="26"/>
      <c r="Q834" s="26"/>
      <c r="R834" s="26"/>
      <c r="S834" s="26"/>
      <c r="T834" s="26"/>
      <c r="U834" s="26"/>
      <c r="V834" s="26"/>
      <c r="W834" s="26"/>
      <c r="X834" s="26"/>
      <c r="Y834" s="26"/>
      <c r="Z834" s="26"/>
    </row>
    <row r="835" spans="1:26" ht="19.5" customHeight="1" x14ac:dyDescent="0.85">
      <c r="A835" s="26"/>
      <c r="B835" s="26"/>
      <c r="C835" s="26"/>
      <c r="D835" s="26"/>
      <c r="E835" s="26"/>
      <c r="F835" s="26"/>
      <c r="G835" s="26"/>
      <c r="H835" s="26"/>
      <c r="I835" s="26"/>
      <c r="J835" s="26"/>
      <c r="K835" s="26"/>
      <c r="L835" s="26"/>
      <c r="M835" s="26"/>
      <c r="N835" s="26"/>
      <c r="O835" s="26"/>
      <c r="P835" s="26"/>
      <c r="Q835" s="26"/>
      <c r="R835" s="26"/>
      <c r="S835" s="26"/>
      <c r="T835" s="26"/>
      <c r="U835" s="26"/>
      <c r="V835" s="26"/>
      <c r="W835" s="26"/>
      <c r="X835" s="26"/>
      <c r="Y835" s="26"/>
      <c r="Z835" s="26"/>
    </row>
    <row r="836" spans="1:26" ht="19.5" customHeight="1" x14ac:dyDescent="0.85">
      <c r="A836" s="26"/>
      <c r="B836" s="26"/>
      <c r="C836" s="26"/>
      <c r="D836" s="26"/>
      <c r="E836" s="26"/>
      <c r="F836" s="26"/>
      <c r="G836" s="26"/>
      <c r="H836" s="26"/>
      <c r="I836" s="26"/>
      <c r="J836" s="26"/>
      <c r="K836" s="26"/>
      <c r="L836" s="26"/>
      <c r="M836" s="26"/>
      <c r="N836" s="26"/>
      <c r="O836" s="26"/>
      <c r="P836" s="26"/>
      <c r="Q836" s="26"/>
      <c r="R836" s="26"/>
      <c r="S836" s="26"/>
      <c r="T836" s="26"/>
      <c r="U836" s="26"/>
      <c r="V836" s="26"/>
      <c r="W836" s="26"/>
      <c r="X836" s="26"/>
      <c r="Y836" s="26"/>
      <c r="Z836" s="26"/>
    </row>
    <row r="837" spans="1:26" ht="19.5" customHeight="1" x14ac:dyDescent="0.85">
      <c r="A837" s="26"/>
      <c r="B837" s="26"/>
      <c r="C837" s="26"/>
      <c r="D837" s="26"/>
      <c r="E837" s="26"/>
      <c r="F837" s="26"/>
      <c r="G837" s="26"/>
      <c r="H837" s="26"/>
      <c r="I837" s="26"/>
      <c r="J837" s="26"/>
      <c r="K837" s="26"/>
      <c r="L837" s="26"/>
      <c r="M837" s="26"/>
      <c r="N837" s="26"/>
      <c r="O837" s="26"/>
      <c r="P837" s="26"/>
      <c r="Q837" s="26"/>
      <c r="R837" s="26"/>
      <c r="S837" s="26"/>
      <c r="T837" s="26"/>
      <c r="U837" s="26"/>
      <c r="V837" s="26"/>
      <c r="W837" s="26"/>
      <c r="X837" s="26"/>
      <c r="Y837" s="26"/>
      <c r="Z837" s="26"/>
    </row>
    <row r="838" spans="1:26" ht="19.5" customHeight="1" x14ac:dyDescent="0.85">
      <c r="A838" s="26"/>
      <c r="B838" s="26"/>
      <c r="C838" s="26"/>
      <c r="D838" s="26"/>
      <c r="E838" s="26"/>
      <c r="F838" s="26"/>
      <c r="G838" s="26"/>
      <c r="H838" s="26"/>
      <c r="I838" s="26"/>
      <c r="J838" s="26"/>
      <c r="K838" s="26"/>
      <c r="L838" s="26"/>
      <c r="M838" s="26"/>
      <c r="N838" s="26"/>
      <c r="O838" s="26"/>
      <c r="P838" s="26"/>
      <c r="Q838" s="26"/>
      <c r="R838" s="26"/>
      <c r="S838" s="26"/>
      <c r="T838" s="26"/>
      <c r="U838" s="26"/>
      <c r="V838" s="26"/>
      <c r="W838" s="26"/>
      <c r="X838" s="26"/>
      <c r="Y838" s="26"/>
      <c r="Z838" s="26"/>
    </row>
    <row r="839" spans="1:26" ht="19.5" customHeight="1" x14ac:dyDescent="0.85">
      <c r="A839" s="26"/>
      <c r="B839" s="26"/>
      <c r="C839" s="26"/>
      <c r="D839" s="26"/>
      <c r="E839" s="26"/>
      <c r="F839" s="26"/>
      <c r="G839" s="26"/>
      <c r="H839" s="26"/>
      <c r="I839" s="26"/>
      <c r="J839" s="26"/>
      <c r="K839" s="26"/>
      <c r="L839" s="26"/>
      <c r="M839" s="26"/>
      <c r="N839" s="26"/>
      <c r="O839" s="26"/>
      <c r="P839" s="26"/>
      <c r="Q839" s="26"/>
      <c r="R839" s="26"/>
      <c r="S839" s="26"/>
      <c r="T839" s="26"/>
      <c r="U839" s="26"/>
      <c r="V839" s="26"/>
      <c r="W839" s="26"/>
      <c r="X839" s="26"/>
      <c r="Y839" s="26"/>
      <c r="Z839" s="26"/>
    </row>
    <row r="840" spans="1:26" ht="19.5" customHeight="1" x14ac:dyDescent="0.85">
      <c r="A840" s="26"/>
      <c r="B840" s="26"/>
      <c r="C840" s="26"/>
      <c r="D840" s="26"/>
      <c r="E840" s="26"/>
      <c r="F840" s="26"/>
      <c r="G840" s="26"/>
      <c r="H840" s="26"/>
      <c r="I840" s="26"/>
      <c r="J840" s="26"/>
      <c r="K840" s="26"/>
      <c r="L840" s="26"/>
      <c r="M840" s="26"/>
      <c r="N840" s="26"/>
      <c r="O840" s="26"/>
      <c r="P840" s="26"/>
      <c r="Q840" s="26"/>
      <c r="R840" s="26"/>
      <c r="S840" s="26"/>
      <c r="T840" s="26"/>
      <c r="U840" s="26"/>
      <c r="V840" s="26"/>
      <c r="W840" s="26"/>
      <c r="X840" s="26"/>
      <c r="Y840" s="26"/>
      <c r="Z840" s="26"/>
    </row>
    <row r="841" spans="1:26" ht="19.5" customHeight="1" x14ac:dyDescent="0.85">
      <c r="A841" s="26"/>
      <c r="B841" s="26"/>
      <c r="C841" s="26"/>
      <c r="D841" s="26"/>
      <c r="E841" s="26"/>
      <c r="F841" s="26"/>
      <c r="G841" s="26"/>
      <c r="H841" s="26"/>
      <c r="I841" s="26"/>
      <c r="J841" s="26"/>
      <c r="K841" s="26"/>
      <c r="L841" s="26"/>
      <c r="M841" s="26"/>
      <c r="N841" s="26"/>
      <c r="O841" s="26"/>
      <c r="P841" s="26"/>
      <c r="Q841" s="26"/>
      <c r="R841" s="26"/>
      <c r="S841" s="26"/>
      <c r="T841" s="26"/>
      <c r="U841" s="26"/>
      <c r="V841" s="26"/>
      <c r="W841" s="26"/>
      <c r="X841" s="26"/>
      <c r="Y841" s="26"/>
      <c r="Z841" s="26"/>
    </row>
    <row r="842" spans="1:26" ht="19.5" customHeight="1" x14ac:dyDescent="0.85">
      <c r="A842" s="26"/>
      <c r="B842" s="26"/>
      <c r="C842" s="26"/>
      <c r="D842" s="26"/>
      <c r="E842" s="26"/>
      <c r="F842" s="26"/>
      <c r="G842" s="26"/>
      <c r="H842" s="26"/>
      <c r="I842" s="26"/>
      <c r="J842" s="26"/>
      <c r="K842" s="26"/>
      <c r="L842" s="26"/>
      <c r="M842" s="26"/>
      <c r="N842" s="26"/>
      <c r="O842" s="26"/>
      <c r="P842" s="26"/>
      <c r="Q842" s="26"/>
      <c r="R842" s="26"/>
      <c r="S842" s="26"/>
      <c r="T842" s="26"/>
      <c r="U842" s="26"/>
      <c r="V842" s="26"/>
      <c r="W842" s="26"/>
      <c r="X842" s="26"/>
      <c r="Y842" s="26"/>
      <c r="Z842" s="26"/>
    </row>
    <row r="843" spans="1:26" ht="19.5" customHeight="1" x14ac:dyDescent="0.85">
      <c r="A843" s="26"/>
      <c r="B843" s="26"/>
      <c r="C843" s="26"/>
      <c r="D843" s="26"/>
      <c r="E843" s="26"/>
      <c r="F843" s="26"/>
      <c r="G843" s="26"/>
      <c r="H843" s="26"/>
      <c r="I843" s="26"/>
      <c r="J843" s="26"/>
      <c r="K843" s="26"/>
      <c r="L843" s="26"/>
      <c r="M843" s="26"/>
      <c r="N843" s="26"/>
      <c r="O843" s="26"/>
      <c r="P843" s="26"/>
      <c r="Q843" s="26"/>
      <c r="R843" s="26"/>
      <c r="S843" s="26"/>
      <c r="T843" s="26"/>
      <c r="U843" s="26"/>
      <c r="V843" s="26"/>
      <c r="W843" s="26"/>
      <c r="X843" s="26"/>
      <c r="Y843" s="26"/>
      <c r="Z843" s="26"/>
    </row>
    <row r="844" spans="1:26" ht="19.5" customHeight="1" x14ac:dyDescent="0.85">
      <c r="A844" s="26"/>
      <c r="B844" s="26"/>
      <c r="C844" s="26"/>
      <c r="D844" s="26"/>
      <c r="E844" s="26"/>
      <c r="F844" s="26"/>
      <c r="G844" s="26"/>
      <c r="H844" s="26"/>
      <c r="I844" s="26"/>
      <c r="J844" s="26"/>
      <c r="K844" s="26"/>
      <c r="L844" s="26"/>
      <c r="M844" s="26"/>
      <c r="N844" s="26"/>
      <c r="O844" s="26"/>
      <c r="P844" s="26"/>
      <c r="Q844" s="26"/>
      <c r="R844" s="26"/>
      <c r="S844" s="26"/>
      <c r="T844" s="26"/>
      <c r="U844" s="26"/>
      <c r="V844" s="26"/>
      <c r="W844" s="26"/>
      <c r="X844" s="26"/>
      <c r="Y844" s="26"/>
      <c r="Z844" s="26"/>
    </row>
    <row r="845" spans="1:26" ht="19.5" customHeight="1" x14ac:dyDescent="0.85">
      <c r="A845" s="26"/>
      <c r="B845" s="26"/>
      <c r="C845" s="26"/>
      <c r="D845" s="26"/>
      <c r="E845" s="26"/>
      <c r="F845" s="26"/>
      <c r="G845" s="26"/>
      <c r="H845" s="26"/>
      <c r="I845" s="26"/>
      <c r="J845" s="26"/>
      <c r="K845" s="26"/>
      <c r="L845" s="26"/>
      <c r="M845" s="26"/>
      <c r="N845" s="26"/>
      <c r="O845" s="26"/>
      <c r="P845" s="26"/>
      <c r="Q845" s="26"/>
      <c r="R845" s="26"/>
      <c r="S845" s="26"/>
      <c r="T845" s="26"/>
      <c r="U845" s="26"/>
      <c r="V845" s="26"/>
      <c r="W845" s="26"/>
      <c r="X845" s="26"/>
      <c r="Y845" s="26"/>
      <c r="Z845" s="26"/>
    </row>
    <row r="846" spans="1:26" ht="19.5" customHeight="1" x14ac:dyDescent="0.85">
      <c r="A846" s="26"/>
      <c r="B846" s="26"/>
      <c r="C846" s="26"/>
      <c r="D846" s="26"/>
      <c r="E846" s="26"/>
      <c r="F846" s="26"/>
      <c r="G846" s="26"/>
      <c r="H846" s="26"/>
      <c r="I846" s="26"/>
      <c r="J846" s="26"/>
      <c r="K846" s="26"/>
      <c r="L846" s="26"/>
      <c r="M846" s="26"/>
      <c r="N846" s="26"/>
      <c r="O846" s="26"/>
      <c r="P846" s="26"/>
      <c r="Q846" s="26"/>
      <c r="R846" s="26"/>
      <c r="S846" s="26"/>
      <c r="T846" s="26"/>
      <c r="U846" s="26"/>
      <c r="V846" s="26"/>
      <c r="W846" s="26"/>
      <c r="X846" s="26"/>
      <c r="Y846" s="26"/>
      <c r="Z846" s="26"/>
    </row>
    <row r="847" spans="1:26" ht="19.5" customHeight="1" x14ac:dyDescent="0.85">
      <c r="A847" s="26"/>
      <c r="B847" s="26"/>
      <c r="C847" s="26"/>
      <c r="D847" s="26"/>
      <c r="E847" s="26"/>
      <c r="F847" s="26"/>
      <c r="G847" s="26"/>
      <c r="H847" s="26"/>
      <c r="I847" s="26"/>
      <c r="J847" s="26"/>
      <c r="K847" s="26"/>
      <c r="L847" s="26"/>
      <c r="M847" s="26"/>
      <c r="N847" s="26"/>
      <c r="O847" s="26"/>
      <c r="P847" s="26"/>
      <c r="Q847" s="26"/>
      <c r="R847" s="26"/>
      <c r="S847" s="26"/>
      <c r="T847" s="26"/>
      <c r="U847" s="26"/>
      <c r="V847" s="26"/>
      <c r="W847" s="26"/>
      <c r="X847" s="26"/>
      <c r="Y847" s="26"/>
      <c r="Z847" s="26"/>
    </row>
    <row r="848" spans="1:26" ht="19.5" customHeight="1" x14ac:dyDescent="0.85">
      <c r="A848" s="26"/>
      <c r="B848" s="26"/>
      <c r="C848" s="26"/>
      <c r="D848" s="26"/>
      <c r="E848" s="26"/>
      <c r="F848" s="26"/>
      <c r="G848" s="26"/>
      <c r="H848" s="26"/>
      <c r="I848" s="26"/>
      <c r="J848" s="26"/>
      <c r="K848" s="26"/>
      <c r="L848" s="26"/>
      <c r="M848" s="26"/>
      <c r="N848" s="26"/>
      <c r="O848" s="26"/>
      <c r="P848" s="26"/>
      <c r="Q848" s="26"/>
      <c r="R848" s="26"/>
      <c r="S848" s="26"/>
      <c r="T848" s="26"/>
      <c r="U848" s="26"/>
      <c r="V848" s="26"/>
      <c r="W848" s="26"/>
      <c r="X848" s="26"/>
      <c r="Y848" s="26"/>
      <c r="Z848" s="26"/>
    </row>
    <row r="849" spans="1:26" ht="19.5" customHeight="1" x14ac:dyDescent="0.85">
      <c r="A849" s="26"/>
      <c r="B849" s="26"/>
      <c r="C849" s="26"/>
      <c r="D849" s="26"/>
      <c r="E849" s="26"/>
      <c r="F849" s="26"/>
      <c r="G849" s="26"/>
      <c r="H849" s="26"/>
      <c r="I849" s="26"/>
      <c r="J849" s="26"/>
      <c r="K849" s="26"/>
      <c r="L849" s="26"/>
      <c r="M849" s="26"/>
      <c r="N849" s="26"/>
      <c r="O849" s="26"/>
      <c r="P849" s="26"/>
      <c r="Q849" s="26"/>
      <c r="R849" s="26"/>
      <c r="S849" s="26"/>
      <c r="T849" s="26"/>
      <c r="U849" s="26"/>
      <c r="V849" s="26"/>
      <c r="W849" s="26"/>
      <c r="X849" s="26"/>
      <c r="Y849" s="26"/>
      <c r="Z849" s="26"/>
    </row>
    <row r="850" spans="1:26" ht="19.5" customHeight="1" x14ac:dyDescent="0.85">
      <c r="A850" s="26"/>
      <c r="B850" s="26"/>
      <c r="C850" s="26"/>
      <c r="D850" s="26"/>
      <c r="E850" s="26"/>
      <c r="F850" s="26"/>
      <c r="G850" s="26"/>
      <c r="H850" s="26"/>
      <c r="I850" s="26"/>
      <c r="J850" s="26"/>
      <c r="K850" s="26"/>
      <c r="L850" s="26"/>
      <c r="M850" s="26"/>
      <c r="N850" s="26"/>
      <c r="O850" s="26"/>
      <c r="P850" s="26"/>
      <c r="Q850" s="26"/>
      <c r="R850" s="26"/>
      <c r="S850" s="26"/>
      <c r="T850" s="26"/>
      <c r="U850" s="26"/>
      <c r="V850" s="26"/>
      <c r="W850" s="26"/>
      <c r="X850" s="26"/>
      <c r="Y850" s="26"/>
      <c r="Z850" s="26"/>
    </row>
    <row r="851" spans="1:26" ht="19.5" customHeight="1" x14ac:dyDescent="0.85">
      <c r="A851" s="26"/>
      <c r="B851" s="26"/>
      <c r="C851" s="26"/>
      <c r="D851" s="26"/>
      <c r="E851" s="26"/>
      <c r="F851" s="26"/>
      <c r="G851" s="26"/>
      <c r="H851" s="26"/>
      <c r="I851" s="26"/>
      <c r="J851" s="26"/>
      <c r="K851" s="26"/>
      <c r="L851" s="26"/>
      <c r="M851" s="26"/>
      <c r="N851" s="26"/>
      <c r="O851" s="26"/>
      <c r="P851" s="26"/>
      <c r="Q851" s="26"/>
      <c r="R851" s="26"/>
      <c r="S851" s="26"/>
      <c r="T851" s="26"/>
      <c r="U851" s="26"/>
      <c r="V851" s="26"/>
      <c r="W851" s="26"/>
      <c r="X851" s="26"/>
      <c r="Y851" s="26"/>
      <c r="Z851" s="26"/>
    </row>
    <row r="852" spans="1:26" ht="19.5" customHeight="1" x14ac:dyDescent="0.85">
      <c r="A852" s="26"/>
      <c r="B852" s="26"/>
      <c r="C852" s="26"/>
      <c r="D852" s="26"/>
      <c r="E852" s="26"/>
      <c r="F852" s="26"/>
      <c r="G852" s="26"/>
      <c r="H852" s="26"/>
      <c r="I852" s="26"/>
      <c r="J852" s="26"/>
      <c r="K852" s="26"/>
      <c r="L852" s="26"/>
      <c r="M852" s="26"/>
      <c r="N852" s="26"/>
      <c r="O852" s="26"/>
      <c r="P852" s="26"/>
      <c r="Q852" s="26"/>
      <c r="R852" s="26"/>
      <c r="S852" s="26"/>
      <c r="T852" s="26"/>
      <c r="U852" s="26"/>
      <c r="V852" s="26"/>
      <c r="W852" s="26"/>
      <c r="X852" s="26"/>
      <c r="Y852" s="26"/>
      <c r="Z852" s="26"/>
    </row>
    <row r="853" spans="1:26" ht="19.5" customHeight="1" x14ac:dyDescent="0.85">
      <c r="A853" s="26"/>
      <c r="B853" s="26"/>
      <c r="C853" s="26"/>
      <c r="D853" s="26"/>
      <c r="E853" s="26"/>
      <c r="F853" s="26"/>
      <c r="G853" s="26"/>
      <c r="H853" s="26"/>
      <c r="I853" s="26"/>
      <c r="J853" s="26"/>
      <c r="K853" s="26"/>
      <c r="L853" s="26"/>
      <c r="M853" s="26"/>
      <c r="N853" s="26"/>
      <c r="O853" s="26"/>
      <c r="P853" s="26"/>
      <c r="Q853" s="26"/>
      <c r="R853" s="26"/>
      <c r="S853" s="26"/>
      <c r="T853" s="26"/>
      <c r="U853" s="26"/>
      <c r="V853" s="26"/>
      <c r="W853" s="26"/>
      <c r="X853" s="26"/>
      <c r="Y853" s="26"/>
      <c r="Z853" s="26"/>
    </row>
    <row r="854" spans="1:26" ht="19.5" customHeight="1" x14ac:dyDescent="0.85">
      <c r="A854" s="26"/>
      <c r="B854" s="26"/>
      <c r="C854" s="26"/>
      <c r="D854" s="26"/>
      <c r="E854" s="26"/>
      <c r="F854" s="26"/>
      <c r="G854" s="26"/>
      <c r="H854" s="26"/>
      <c r="I854" s="26"/>
      <c r="J854" s="26"/>
      <c r="K854" s="26"/>
      <c r="L854" s="26"/>
      <c r="M854" s="26"/>
      <c r="N854" s="26"/>
      <c r="O854" s="26"/>
      <c r="P854" s="26"/>
      <c r="Q854" s="26"/>
      <c r="R854" s="26"/>
      <c r="S854" s="26"/>
      <c r="T854" s="26"/>
      <c r="U854" s="26"/>
      <c r="V854" s="26"/>
      <c r="W854" s="26"/>
      <c r="X854" s="26"/>
      <c r="Y854" s="26"/>
      <c r="Z854" s="26"/>
    </row>
    <row r="855" spans="1:26" ht="19.5" customHeight="1" x14ac:dyDescent="0.85">
      <c r="A855" s="26"/>
      <c r="B855" s="26"/>
      <c r="C855" s="26"/>
      <c r="D855" s="26"/>
      <c r="E855" s="26"/>
      <c r="F855" s="26"/>
      <c r="G855" s="26"/>
      <c r="H855" s="26"/>
      <c r="I855" s="26"/>
      <c r="J855" s="26"/>
      <c r="K855" s="26"/>
      <c r="L855" s="26"/>
      <c r="M855" s="26"/>
      <c r="N855" s="26"/>
      <c r="O855" s="26"/>
      <c r="P855" s="26"/>
      <c r="Q855" s="26"/>
      <c r="R855" s="26"/>
      <c r="S855" s="26"/>
      <c r="T855" s="26"/>
      <c r="U855" s="26"/>
      <c r="V855" s="26"/>
      <c r="W855" s="26"/>
      <c r="X855" s="26"/>
      <c r="Y855" s="26"/>
      <c r="Z855" s="26"/>
    </row>
    <row r="856" spans="1:26" ht="19.5" customHeight="1" x14ac:dyDescent="0.85">
      <c r="A856" s="26"/>
      <c r="B856" s="26"/>
      <c r="C856" s="26"/>
      <c r="D856" s="26"/>
      <c r="E856" s="26"/>
      <c r="F856" s="26"/>
      <c r="G856" s="26"/>
      <c r="H856" s="26"/>
      <c r="I856" s="26"/>
      <c r="J856" s="26"/>
      <c r="K856" s="26"/>
      <c r="L856" s="26"/>
      <c r="M856" s="26"/>
      <c r="N856" s="26"/>
      <c r="O856" s="26"/>
      <c r="P856" s="26"/>
      <c r="Q856" s="26"/>
      <c r="R856" s="26"/>
      <c r="S856" s="26"/>
      <c r="T856" s="26"/>
      <c r="U856" s="26"/>
      <c r="V856" s="26"/>
      <c r="W856" s="26"/>
      <c r="X856" s="26"/>
      <c r="Y856" s="26"/>
      <c r="Z856" s="26"/>
    </row>
    <row r="857" spans="1:26" ht="19.5" customHeight="1" x14ac:dyDescent="0.85">
      <c r="A857" s="26"/>
      <c r="B857" s="26"/>
      <c r="C857" s="26"/>
      <c r="D857" s="26"/>
      <c r="E857" s="26"/>
      <c r="F857" s="26"/>
      <c r="G857" s="26"/>
      <c r="H857" s="26"/>
      <c r="I857" s="26"/>
      <c r="J857" s="26"/>
      <c r="K857" s="26"/>
      <c r="L857" s="26"/>
      <c r="M857" s="26"/>
      <c r="N857" s="26"/>
      <c r="O857" s="26"/>
      <c r="P857" s="26"/>
      <c r="Q857" s="26"/>
      <c r="R857" s="26"/>
      <c r="S857" s="26"/>
      <c r="T857" s="26"/>
      <c r="U857" s="26"/>
      <c r="V857" s="26"/>
      <c r="W857" s="26"/>
      <c r="X857" s="26"/>
      <c r="Y857" s="26"/>
      <c r="Z857" s="26"/>
    </row>
    <row r="858" spans="1:26" ht="19.5" customHeight="1" x14ac:dyDescent="0.85">
      <c r="A858" s="26"/>
      <c r="B858" s="26"/>
      <c r="C858" s="26"/>
      <c r="D858" s="26"/>
      <c r="E858" s="26"/>
      <c r="F858" s="26"/>
      <c r="G858" s="26"/>
      <c r="H858" s="26"/>
      <c r="I858" s="26"/>
      <c r="J858" s="26"/>
      <c r="K858" s="26"/>
      <c r="L858" s="26"/>
      <c r="M858" s="26"/>
      <c r="N858" s="26"/>
      <c r="O858" s="26"/>
      <c r="P858" s="26"/>
      <c r="Q858" s="26"/>
      <c r="R858" s="26"/>
      <c r="S858" s="26"/>
      <c r="T858" s="26"/>
      <c r="U858" s="26"/>
      <c r="V858" s="26"/>
      <c r="W858" s="26"/>
      <c r="X858" s="26"/>
      <c r="Y858" s="26"/>
      <c r="Z858" s="26"/>
    </row>
    <row r="859" spans="1:26" ht="19.5" customHeight="1" x14ac:dyDescent="0.85">
      <c r="A859" s="26"/>
      <c r="B859" s="26"/>
      <c r="C859" s="26"/>
      <c r="D859" s="26"/>
      <c r="E859" s="26"/>
      <c r="F859" s="26"/>
      <c r="G859" s="26"/>
      <c r="H859" s="26"/>
      <c r="I859" s="26"/>
      <c r="J859" s="26"/>
      <c r="K859" s="26"/>
      <c r="L859" s="26"/>
      <c r="M859" s="26"/>
      <c r="N859" s="26"/>
      <c r="O859" s="26"/>
      <c r="P859" s="26"/>
      <c r="Q859" s="26"/>
      <c r="R859" s="26"/>
      <c r="S859" s="26"/>
      <c r="T859" s="26"/>
      <c r="U859" s="26"/>
      <c r="V859" s="26"/>
      <c r="W859" s="26"/>
      <c r="X859" s="26"/>
      <c r="Y859" s="26"/>
      <c r="Z859" s="26"/>
    </row>
    <row r="860" spans="1:26" ht="19.5" customHeight="1" x14ac:dyDescent="0.85">
      <c r="A860" s="26"/>
      <c r="B860" s="26"/>
      <c r="C860" s="26"/>
      <c r="D860" s="26"/>
      <c r="E860" s="26"/>
      <c r="F860" s="26"/>
      <c r="G860" s="26"/>
      <c r="H860" s="26"/>
      <c r="I860" s="26"/>
      <c r="J860" s="26"/>
      <c r="K860" s="26"/>
      <c r="L860" s="26"/>
      <c r="M860" s="26"/>
      <c r="N860" s="26"/>
      <c r="O860" s="26"/>
      <c r="P860" s="26"/>
      <c r="Q860" s="26"/>
      <c r="R860" s="26"/>
      <c r="S860" s="26"/>
      <c r="T860" s="26"/>
      <c r="U860" s="26"/>
      <c r="V860" s="26"/>
      <c r="W860" s="26"/>
      <c r="X860" s="26"/>
      <c r="Y860" s="26"/>
      <c r="Z860" s="26"/>
    </row>
    <row r="861" spans="1:26" ht="19.5" customHeight="1" x14ac:dyDescent="0.85">
      <c r="A861" s="26"/>
      <c r="B861" s="26"/>
      <c r="C861" s="26"/>
      <c r="D861" s="26"/>
      <c r="E861" s="26"/>
      <c r="F861" s="26"/>
      <c r="G861" s="26"/>
      <c r="H861" s="26"/>
      <c r="I861" s="26"/>
      <c r="J861" s="26"/>
      <c r="K861" s="26"/>
      <c r="L861" s="26"/>
      <c r="M861" s="26"/>
      <c r="N861" s="26"/>
      <c r="O861" s="26"/>
      <c r="P861" s="26"/>
      <c r="Q861" s="26"/>
      <c r="R861" s="26"/>
      <c r="S861" s="26"/>
      <c r="T861" s="26"/>
      <c r="U861" s="26"/>
      <c r="V861" s="26"/>
      <c r="W861" s="26"/>
      <c r="X861" s="26"/>
      <c r="Y861" s="26"/>
      <c r="Z861" s="26"/>
    </row>
    <row r="862" spans="1:26" ht="19.5" customHeight="1" x14ac:dyDescent="0.85">
      <c r="A862" s="26"/>
      <c r="B862" s="26"/>
      <c r="C862" s="26"/>
      <c r="D862" s="26"/>
      <c r="E862" s="26"/>
      <c r="F862" s="26"/>
      <c r="G862" s="26"/>
      <c r="H862" s="26"/>
      <c r="I862" s="26"/>
      <c r="J862" s="26"/>
      <c r="K862" s="26"/>
      <c r="L862" s="26"/>
      <c r="M862" s="26"/>
      <c r="N862" s="26"/>
      <c r="O862" s="26"/>
      <c r="P862" s="26"/>
      <c r="Q862" s="26"/>
      <c r="R862" s="26"/>
      <c r="S862" s="26"/>
      <c r="T862" s="26"/>
      <c r="U862" s="26"/>
      <c r="V862" s="26"/>
      <c r="W862" s="26"/>
      <c r="X862" s="26"/>
      <c r="Y862" s="26"/>
      <c r="Z862" s="26"/>
    </row>
    <row r="863" spans="1:26" ht="19.5" customHeight="1" x14ac:dyDescent="0.85">
      <c r="A863" s="26"/>
      <c r="B863" s="26"/>
      <c r="C863" s="26"/>
      <c r="D863" s="26"/>
      <c r="E863" s="26"/>
      <c r="F863" s="26"/>
      <c r="G863" s="26"/>
      <c r="H863" s="26"/>
      <c r="I863" s="26"/>
      <c r="J863" s="26"/>
      <c r="K863" s="26"/>
      <c r="L863" s="26"/>
      <c r="M863" s="26"/>
      <c r="N863" s="26"/>
      <c r="O863" s="26"/>
      <c r="P863" s="26"/>
      <c r="Q863" s="26"/>
      <c r="R863" s="26"/>
      <c r="S863" s="26"/>
      <c r="T863" s="26"/>
      <c r="U863" s="26"/>
      <c r="V863" s="26"/>
      <c r="W863" s="26"/>
      <c r="X863" s="26"/>
      <c r="Y863" s="26"/>
      <c r="Z863" s="26"/>
    </row>
    <row r="864" spans="1:26" ht="19.5" customHeight="1" x14ac:dyDescent="0.85">
      <c r="A864" s="26"/>
      <c r="B864" s="26"/>
      <c r="C864" s="26"/>
      <c r="D864" s="26"/>
      <c r="E864" s="26"/>
      <c r="F864" s="26"/>
      <c r="G864" s="26"/>
      <c r="H864" s="26"/>
      <c r="I864" s="26"/>
      <c r="J864" s="26"/>
      <c r="K864" s="26"/>
      <c r="L864" s="26"/>
      <c r="M864" s="26"/>
      <c r="N864" s="26"/>
      <c r="O864" s="26"/>
      <c r="P864" s="26"/>
      <c r="Q864" s="26"/>
      <c r="R864" s="26"/>
      <c r="S864" s="26"/>
      <c r="T864" s="26"/>
      <c r="U864" s="26"/>
      <c r="V864" s="26"/>
      <c r="W864" s="26"/>
      <c r="X864" s="26"/>
      <c r="Y864" s="26"/>
      <c r="Z864" s="26"/>
    </row>
    <row r="865" spans="1:26" ht="19.5" customHeight="1" x14ac:dyDescent="0.85">
      <c r="A865" s="26"/>
      <c r="B865" s="26"/>
      <c r="C865" s="26"/>
      <c r="D865" s="26"/>
      <c r="E865" s="26"/>
      <c r="F865" s="26"/>
      <c r="G865" s="26"/>
      <c r="H865" s="26"/>
      <c r="I865" s="26"/>
      <c r="J865" s="26"/>
      <c r="K865" s="26"/>
      <c r="L865" s="26"/>
      <c r="M865" s="26"/>
      <c r="N865" s="26"/>
      <c r="O865" s="26"/>
      <c r="P865" s="26"/>
      <c r="Q865" s="26"/>
      <c r="R865" s="26"/>
      <c r="S865" s="26"/>
      <c r="T865" s="26"/>
      <c r="U865" s="26"/>
      <c r="V865" s="26"/>
      <c r="W865" s="26"/>
      <c r="X865" s="26"/>
      <c r="Y865" s="26"/>
      <c r="Z865" s="26"/>
    </row>
    <row r="866" spans="1:26" ht="19.5" customHeight="1" x14ac:dyDescent="0.85">
      <c r="A866" s="26"/>
      <c r="B866" s="26"/>
      <c r="C866" s="26"/>
      <c r="D866" s="26"/>
      <c r="E866" s="26"/>
      <c r="F866" s="26"/>
      <c r="G866" s="26"/>
      <c r="H866" s="26"/>
      <c r="I866" s="26"/>
      <c r="J866" s="26"/>
      <c r="K866" s="26"/>
      <c r="L866" s="26"/>
      <c r="M866" s="26"/>
      <c r="N866" s="26"/>
      <c r="O866" s="26"/>
      <c r="P866" s="26"/>
      <c r="Q866" s="26"/>
      <c r="R866" s="26"/>
      <c r="S866" s="26"/>
      <c r="T866" s="26"/>
      <c r="U866" s="26"/>
      <c r="V866" s="26"/>
      <c r="W866" s="26"/>
      <c r="X866" s="26"/>
      <c r="Y866" s="26"/>
      <c r="Z866" s="26"/>
    </row>
    <row r="867" spans="1:26" ht="19.5" customHeight="1" x14ac:dyDescent="0.85">
      <c r="A867" s="26"/>
      <c r="B867" s="26"/>
      <c r="C867" s="26"/>
      <c r="D867" s="26"/>
      <c r="E867" s="26"/>
      <c r="F867" s="26"/>
      <c r="G867" s="26"/>
      <c r="H867" s="26"/>
      <c r="I867" s="26"/>
      <c r="J867" s="26"/>
      <c r="K867" s="26"/>
      <c r="L867" s="26"/>
      <c r="M867" s="26"/>
      <c r="N867" s="26"/>
      <c r="O867" s="26"/>
      <c r="P867" s="26"/>
      <c r="Q867" s="26"/>
      <c r="R867" s="26"/>
      <c r="S867" s="26"/>
      <c r="T867" s="26"/>
      <c r="U867" s="26"/>
      <c r="V867" s="26"/>
      <c r="W867" s="26"/>
      <c r="X867" s="26"/>
      <c r="Y867" s="26"/>
      <c r="Z867" s="26"/>
    </row>
    <row r="868" spans="1:26" ht="19.5" customHeight="1" x14ac:dyDescent="0.85">
      <c r="A868" s="26"/>
      <c r="B868" s="26"/>
      <c r="C868" s="26"/>
      <c r="D868" s="26"/>
      <c r="E868" s="26"/>
      <c r="F868" s="26"/>
      <c r="G868" s="26"/>
      <c r="H868" s="26"/>
      <c r="I868" s="26"/>
      <c r="J868" s="26"/>
      <c r="K868" s="26"/>
      <c r="L868" s="26"/>
      <c r="M868" s="26"/>
      <c r="N868" s="26"/>
      <c r="O868" s="26"/>
      <c r="P868" s="26"/>
      <c r="Q868" s="26"/>
      <c r="R868" s="26"/>
      <c r="S868" s="26"/>
      <c r="T868" s="26"/>
      <c r="U868" s="26"/>
      <c r="V868" s="26"/>
      <c r="W868" s="26"/>
      <c r="X868" s="26"/>
      <c r="Y868" s="26"/>
      <c r="Z868" s="26"/>
    </row>
    <row r="869" spans="1:26" ht="19.5" customHeight="1" x14ac:dyDescent="0.85">
      <c r="A869" s="26"/>
      <c r="B869" s="26"/>
      <c r="C869" s="26"/>
      <c r="D869" s="26"/>
      <c r="E869" s="26"/>
      <c r="F869" s="26"/>
      <c r="G869" s="26"/>
      <c r="H869" s="26"/>
      <c r="I869" s="26"/>
      <c r="J869" s="26"/>
      <c r="K869" s="26"/>
      <c r="L869" s="26"/>
      <c r="M869" s="26"/>
      <c r="N869" s="26"/>
      <c r="O869" s="26"/>
      <c r="P869" s="26"/>
      <c r="Q869" s="26"/>
      <c r="R869" s="26"/>
      <c r="S869" s="26"/>
      <c r="T869" s="26"/>
      <c r="U869" s="26"/>
      <c r="V869" s="26"/>
      <c r="W869" s="26"/>
      <c r="X869" s="26"/>
      <c r="Y869" s="26"/>
      <c r="Z869" s="26"/>
    </row>
    <row r="870" spans="1:26" ht="19.5" customHeight="1" x14ac:dyDescent="0.85">
      <c r="A870" s="26"/>
      <c r="B870" s="26"/>
      <c r="C870" s="26"/>
      <c r="D870" s="26"/>
      <c r="E870" s="26"/>
      <c r="F870" s="26"/>
      <c r="G870" s="26"/>
      <c r="H870" s="26"/>
      <c r="I870" s="26"/>
      <c r="J870" s="26"/>
      <c r="K870" s="26"/>
      <c r="L870" s="26"/>
      <c r="M870" s="26"/>
      <c r="N870" s="26"/>
      <c r="O870" s="26"/>
      <c r="P870" s="26"/>
      <c r="Q870" s="26"/>
      <c r="R870" s="26"/>
      <c r="S870" s="26"/>
      <c r="T870" s="26"/>
      <c r="U870" s="26"/>
      <c r="V870" s="26"/>
      <c r="W870" s="26"/>
      <c r="X870" s="26"/>
      <c r="Y870" s="26"/>
      <c r="Z870" s="26"/>
    </row>
    <row r="871" spans="1:26" ht="19.5" customHeight="1" x14ac:dyDescent="0.85">
      <c r="A871" s="26"/>
      <c r="B871" s="26"/>
      <c r="C871" s="26"/>
      <c r="D871" s="26"/>
      <c r="E871" s="26"/>
      <c r="F871" s="26"/>
      <c r="G871" s="26"/>
      <c r="H871" s="26"/>
      <c r="I871" s="26"/>
      <c r="J871" s="26"/>
      <c r="K871" s="26"/>
      <c r="L871" s="26"/>
      <c r="M871" s="26"/>
      <c r="N871" s="26"/>
      <c r="O871" s="26"/>
      <c r="P871" s="26"/>
      <c r="Q871" s="26"/>
      <c r="R871" s="26"/>
      <c r="S871" s="26"/>
      <c r="T871" s="26"/>
      <c r="U871" s="26"/>
      <c r="V871" s="26"/>
      <c r="W871" s="26"/>
      <c r="X871" s="26"/>
      <c r="Y871" s="26"/>
      <c r="Z871" s="26"/>
    </row>
    <row r="872" spans="1:26" ht="19.5" customHeight="1" x14ac:dyDescent="0.85">
      <c r="A872" s="26"/>
      <c r="B872" s="26"/>
      <c r="C872" s="26"/>
      <c r="D872" s="26"/>
      <c r="E872" s="26"/>
      <c r="F872" s="26"/>
      <c r="G872" s="26"/>
      <c r="H872" s="26"/>
      <c r="I872" s="26"/>
      <c r="J872" s="26"/>
      <c r="K872" s="26"/>
      <c r="L872" s="26"/>
      <c r="M872" s="26"/>
      <c r="N872" s="26"/>
      <c r="O872" s="26"/>
      <c r="P872" s="26"/>
      <c r="Q872" s="26"/>
      <c r="R872" s="26"/>
      <c r="S872" s="26"/>
      <c r="T872" s="26"/>
      <c r="U872" s="26"/>
      <c r="V872" s="26"/>
      <c r="W872" s="26"/>
      <c r="X872" s="26"/>
      <c r="Y872" s="26"/>
      <c r="Z872" s="26"/>
    </row>
    <row r="873" spans="1:26" ht="19.5" customHeight="1" x14ac:dyDescent="0.85">
      <c r="A873" s="26"/>
      <c r="B873" s="26"/>
      <c r="C873" s="26"/>
      <c r="D873" s="26"/>
      <c r="E873" s="26"/>
      <c r="F873" s="26"/>
      <c r="G873" s="26"/>
      <c r="H873" s="26"/>
      <c r="I873" s="26"/>
      <c r="J873" s="26"/>
      <c r="K873" s="26"/>
      <c r="L873" s="26"/>
      <c r="M873" s="26"/>
      <c r="N873" s="26"/>
      <c r="O873" s="26"/>
      <c r="P873" s="26"/>
      <c r="Q873" s="26"/>
      <c r="R873" s="26"/>
      <c r="S873" s="26"/>
      <c r="T873" s="26"/>
      <c r="U873" s="26"/>
      <c r="V873" s="26"/>
      <c r="W873" s="26"/>
      <c r="X873" s="26"/>
      <c r="Y873" s="26"/>
      <c r="Z873" s="26"/>
    </row>
    <row r="874" spans="1:26" ht="19.5" customHeight="1" x14ac:dyDescent="0.85">
      <c r="A874" s="26"/>
      <c r="B874" s="26"/>
      <c r="C874" s="26"/>
      <c r="D874" s="26"/>
      <c r="E874" s="26"/>
      <c r="F874" s="26"/>
      <c r="G874" s="26"/>
      <c r="H874" s="26"/>
      <c r="I874" s="26"/>
      <c r="J874" s="26"/>
      <c r="K874" s="26"/>
      <c r="L874" s="26"/>
      <c r="M874" s="26"/>
      <c r="N874" s="26"/>
      <c r="O874" s="26"/>
      <c r="P874" s="26"/>
      <c r="Q874" s="26"/>
      <c r="R874" s="26"/>
      <c r="S874" s="26"/>
      <c r="T874" s="26"/>
      <c r="U874" s="26"/>
      <c r="V874" s="26"/>
      <c r="W874" s="26"/>
      <c r="X874" s="26"/>
      <c r="Y874" s="26"/>
      <c r="Z874" s="26"/>
    </row>
    <row r="875" spans="1:26" ht="19.5" customHeight="1" x14ac:dyDescent="0.85">
      <c r="A875" s="26"/>
      <c r="B875" s="26"/>
      <c r="C875" s="26"/>
      <c r="D875" s="26"/>
      <c r="E875" s="26"/>
      <c r="F875" s="26"/>
      <c r="G875" s="26"/>
      <c r="H875" s="26"/>
      <c r="I875" s="26"/>
      <c r="J875" s="26"/>
      <c r="K875" s="26"/>
      <c r="L875" s="26"/>
      <c r="M875" s="26"/>
      <c r="N875" s="26"/>
      <c r="O875" s="26"/>
      <c r="P875" s="26"/>
      <c r="Q875" s="26"/>
      <c r="R875" s="26"/>
      <c r="S875" s="26"/>
      <c r="T875" s="26"/>
      <c r="U875" s="26"/>
      <c r="V875" s="26"/>
      <c r="W875" s="26"/>
      <c r="X875" s="26"/>
      <c r="Y875" s="26"/>
      <c r="Z875" s="26"/>
    </row>
    <row r="876" spans="1:26" ht="19.5" customHeight="1" x14ac:dyDescent="0.85">
      <c r="A876" s="26"/>
      <c r="B876" s="26"/>
      <c r="C876" s="26"/>
      <c r="D876" s="26"/>
      <c r="E876" s="26"/>
      <c r="F876" s="26"/>
      <c r="G876" s="26"/>
      <c r="H876" s="26"/>
      <c r="I876" s="26"/>
      <c r="J876" s="26"/>
      <c r="K876" s="26"/>
      <c r="L876" s="26"/>
      <c r="M876" s="26"/>
      <c r="N876" s="26"/>
      <c r="O876" s="26"/>
      <c r="P876" s="26"/>
      <c r="Q876" s="26"/>
      <c r="R876" s="26"/>
      <c r="S876" s="26"/>
      <c r="T876" s="26"/>
      <c r="U876" s="26"/>
      <c r="V876" s="26"/>
      <c r="W876" s="26"/>
      <c r="X876" s="26"/>
      <c r="Y876" s="26"/>
      <c r="Z876" s="26"/>
    </row>
    <row r="877" spans="1:26" ht="19.5" customHeight="1" x14ac:dyDescent="0.85">
      <c r="A877" s="26"/>
      <c r="B877" s="26"/>
      <c r="C877" s="26"/>
      <c r="D877" s="26"/>
      <c r="E877" s="26"/>
      <c r="F877" s="26"/>
      <c r="G877" s="26"/>
      <c r="H877" s="26"/>
      <c r="I877" s="26"/>
      <c r="J877" s="26"/>
      <c r="K877" s="26"/>
      <c r="L877" s="26"/>
      <c r="M877" s="26"/>
      <c r="N877" s="26"/>
      <c r="O877" s="26"/>
      <c r="P877" s="26"/>
      <c r="Q877" s="26"/>
      <c r="R877" s="26"/>
      <c r="S877" s="26"/>
      <c r="T877" s="26"/>
      <c r="U877" s="26"/>
      <c r="V877" s="26"/>
      <c r="W877" s="26"/>
      <c r="X877" s="26"/>
      <c r="Y877" s="26"/>
      <c r="Z877" s="26"/>
    </row>
    <row r="878" spans="1:26" ht="19.5" customHeight="1" x14ac:dyDescent="0.85">
      <c r="A878" s="26"/>
      <c r="B878" s="26"/>
      <c r="C878" s="26"/>
      <c r="D878" s="26"/>
      <c r="E878" s="26"/>
      <c r="F878" s="26"/>
      <c r="G878" s="26"/>
      <c r="H878" s="26"/>
      <c r="I878" s="26"/>
      <c r="J878" s="26"/>
      <c r="K878" s="26"/>
      <c r="L878" s="26"/>
      <c r="M878" s="26"/>
      <c r="N878" s="26"/>
      <c r="O878" s="26"/>
      <c r="P878" s="26"/>
      <c r="Q878" s="26"/>
      <c r="R878" s="26"/>
      <c r="S878" s="26"/>
      <c r="T878" s="26"/>
      <c r="U878" s="26"/>
      <c r="V878" s="26"/>
      <c r="W878" s="26"/>
      <c r="X878" s="26"/>
      <c r="Y878" s="26"/>
      <c r="Z878" s="26"/>
    </row>
    <row r="879" spans="1:26" ht="19.5" customHeight="1" x14ac:dyDescent="0.85">
      <c r="A879" s="26"/>
      <c r="B879" s="26"/>
      <c r="C879" s="26"/>
      <c r="D879" s="26"/>
      <c r="E879" s="26"/>
      <c r="F879" s="26"/>
      <c r="G879" s="26"/>
      <c r="H879" s="26"/>
      <c r="I879" s="26"/>
      <c r="J879" s="26"/>
      <c r="K879" s="26"/>
      <c r="L879" s="26"/>
      <c r="M879" s="26"/>
      <c r="N879" s="26"/>
      <c r="O879" s="26"/>
      <c r="P879" s="26"/>
      <c r="Q879" s="26"/>
      <c r="R879" s="26"/>
      <c r="S879" s="26"/>
      <c r="T879" s="26"/>
      <c r="U879" s="26"/>
      <c r="V879" s="26"/>
      <c r="W879" s="26"/>
      <c r="X879" s="26"/>
      <c r="Y879" s="26"/>
      <c r="Z879" s="26"/>
    </row>
    <row r="880" spans="1:26" ht="19.5" customHeight="1" x14ac:dyDescent="0.85">
      <c r="A880" s="26"/>
      <c r="B880" s="26"/>
      <c r="C880" s="26"/>
      <c r="D880" s="26"/>
      <c r="E880" s="26"/>
      <c r="F880" s="26"/>
      <c r="G880" s="26"/>
      <c r="H880" s="26"/>
      <c r="I880" s="26"/>
      <c r="J880" s="26"/>
      <c r="K880" s="26"/>
      <c r="L880" s="26"/>
      <c r="M880" s="26"/>
      <c r="N880" s="26"/>
      <c r="O880" s="26"/>
      <c r="P880" s="26"/>
      <c r="Q880" s="26"/>
      <c r="R880" s="26"/>
      <c r="S880" s="26"/>
      <c r="T880" s="26"/>
      <c r="U880" s="26"/>
      <c r="V880" s="26"/>
      <c r="W880" s="26"/>
      <c r="X880" s="26"/>
      <c r="Y880" s="26"/>
      <c r="Z880" s="26"/>
    </row>
    <row r="881" spans="1:26" ht="19.5" customHeight="1" x14ac:dyDescent="0.85">
      <c r="A881" s="26"/>
      <c r="B881" s="26"/>
      <c r="C881" s="26"/>
      <c r="D881" s="26"/>
      <c r="E881" s="26"/>
      <c r="F881" s="26"/>
      <c r="G881" s="26"/>
      <c r="H881" s="26"/>
      <c r="I881" s="26"/>
      <c r="J881" s="26"/>
      <c r="K881" s="26"/>
      <c r="L881" s="26"/>
      <c r="M881" s="26"/>
      <c r="N881" s="26"/>
      <c r="O881" s="26"/>
      <c r="P881" s="26"/>
      <c r="Q881" s="26"/>
      <c r="R881" s="26"/>
      <c r="S881" s="26"/>
      <c r="T881" s="26"/>
      <c r="U881" s="26"/>
      <c r="V881" s="26"/>
      <c r="W881" s="26"/>
      <c r="X881" s="26"/>
      <c r="Y881" s="26"/>
      <c r="Z881" s="26"/>
    </row>
    <row r="882" spans="1:26" ht="19.5" customHeight="1" x14ac:dyDescent="0.85">
      <c r="A882" s="26"/>
      <c r="B882" s="26"/>
      <c r="C882" s="26"/>
      <c r="D882" s="26"/>
      <c r="E882" s="26"/>
      <c r="F882" s="26"/>
      <c r="G882" s="26"/>
      <c r="H882" s="26"/>
      <c r="I882" s="26"/>
      <c r="J882" s="26"/>
      <c r="K882" s="26"/>
      <c r="L882" s="26"/>
      <c r="M882" s="26"/>
      <c r="N882" s="26"/>
      <c r="O882" s="26"/>
      <c r="P882" s="26"/>
      <c r="Q882" s="26"/>
      <c r="R882" s="26"/>
      <c r="S882" s="26"/>
      <c r="T882" s="26"/>
      <c r="U882" s="26"/>
      <c r="V882" s="26"/>
      <c r="W882" s="26"/>
      <c r="X882" s="26"/>
      <c r="Y882" s="26"/>
      <c r="Z882" s="26"/>
    </row>
    <row r="883" spans="1:26" ht="19.5" customHeight="1" x14ac:dyDescent="0.85">
      <c r="A883" s="26"/>
      <c r="B883" s="26"/>
      <c r="C883" s="26"/>
      <c r="D883" s="26"/>
      <c r="E883" s="26"/>
      <c r="F883" s="26"/>
      <c r="G883" s="26"/>
      <c r="H883" s="26"/>
      <c r="I883" s="26"/>
      <c r="J883" s="26"/>
      <c r="K883" s="26"/>
      <c r="L883" s="26"/>
      <c r="M883" s="26"/>
      <c r="N883" s="26"/>
      <c r="O883" s="26"/>
      <c r="P883" s="26"/>
      <c r="Q883" s="26"/>
      <c r="R883" s="26"/>
      <c r="S883" s="26"/>
      <c r="T883" s="26"/>
      <c r="U883" s="26"/>
      <c r="V883" s="26"/>
      <c r="W883" s="26"/>
      <c r="X883" s="26"/>
      <c r="Y883" s="26"/>
      <c r="Z883" s="26"/>
    </row>
    <row r="884" spans="1:26" ht="19.5" customHeight="1" x14ac:dyDescent="0.85">
      <c r="A884" s="26"/>
      <c r="B884" s="26"/>
      <c r="C884" s="26"/>
      <c r="D884" s="26"/>
      <c r="E884" s="26"/>
      <c r="F884" s="26"/>
      <c r="G884" s="26"/>
      <c r="H884" s="26"/>
      <c r="I884" s="26"/>
      <c r="J884" s="26"/>
      <c r="K884" s="26"/>
      <c r="L884" s="26"/>
      <c r="M884" s="26"/>
      <c r="N884" s="26"/>
      <c r="O884" s="26"/>
      <c r="P884" s="26"/>
      <c r="Q884" s="26"/>
      <c r="R884" s="26"/>
      <c r="S884" s="26"/>
      <c r="T884" s="26"/>
      <c r="U884" s="26"/>
      <c r="V884" s="26"/>
      <c r="W884" s="26"/>
      <c r="X884" s="26"/>
      <c r="Y884" s="26"/>
      <c r="Z884" s="26"/>
    </row>
    <row r="885" spans="1:26" ht="19.5" customHeight="1" x14ac:dyDescent="0.85">
      <c r="A885" s="26"/>
      <c r="B885" s="26"/>
      <c r="C885" s="26"/>
      <c r="D885" s="26"/>
      <c r="E885" s="26"/>
      <c r="F885" s="26"/>
      <c r="G885" s="26"/>
      <c r="H885" s="26"/>
      <c r="I885" s="26"/>
      <c r="J885" s="26"/>
      <c r="K885" s="26"/>
      <c r="L885" s="26"/>
      <c r="M885" s="26"/>
      <c r="N885" s="26"/>
      <c r="O885" s="26"/>
      <c r="P885" s="26"/>
      <c r="Q885" s="26"/>
      <c r="R885" s="26"/>
      <c r="S885" s="26"/>
      <c r="T885" s="26"/>
      <c r="U885" s="26"/>
      <c r="V885" s="26"/>
      <c r="W885" s="26"/>
      <c r="X885" s="26"/>
      <c r="Y885" s="26"/>
      <c r="Z885" s="26"/>
    </row>
    <row r="886" spans="1:26" ht="19.5" customHeight="1" x14ac:dyDescent="0.85">
      <c r="A886" s="26"/>
      <c r="B886" s="26"/>
      <c r="C886" s="26"/>
      <c r="D886" s="26"/>
      <c r="E886" s="26"/>
      <c r="F886" s="26"/>
      <c r="G886" s="26"/>
      <c r="H886" s="26"/>
      <c r="I886" s="26"/>
      <c r="J886" s="26"/>
      <c r="K886" s="26"/>
      <c r="L886" s="26"/>
      <c r="M886" s="26"/>
      <c r="N886" s="26"/>
      <c r="O886" s="26"/>
      <c r="P886" s="26"/>
      <c r="Q886" s="26"/>
      <c r="R886" s="26"/>
      <c r="S886" s="26"/>
      <c r="T886" s="26"/>
      <c r="U886" s="26"/>
      <c r="V886" s="26"/>
      <c r="W886" s="26"/>
      <c r="X886" s="26"/>
      <c r="Y886" s="26"/>
      <c r="Z886" s="26"/>
    </row>
    <row r="887" spans="1:26" ht="19.5" customHeight="1" x14ac:dyDescent="0.85">
      <c r="A887" s="26"/>
      <c r="B887" s="26"/>
      <c r="C887" s="26"/>
      <c r="D887" s="26"/>
      <c r="E887" s="26"/>
      <c r="F887" s="26"/>
      <c r="G887" s="26"/>
      <c r="H887" s="26"/>
      <c r="I887" s="26"/>
      <c r="J887" s="26"/>
      <c r="K887" s="26"/>
      <c r="L887" s="26"/>
      <c r="M887" s="26"/>
      <c r="N887" s="26"/>
      <c r="O887" s="26"/>
      <c r="P887" s="26"/>
      <c r="Q887" s="26"/>
      <c r="R887" s="26"/>
      <c r="S887" s="26"/>
      <c r="T887" s="26"/>
      <c r="U887" s="26"/>
      <c r="V887" s="26"/>
      <c r="W887" s="26"/>
      <c r="X887" s="26"/>
      <c r="Y887" s="26"/>
      <c r="Z887" s="26"/>
    </row>
    <row r="888" spans="1:26" ht="19.5" customHeight="1" x14ac:dyDescent="0.85">
      <c r="A888" s="26"/>
      <c r="B888" s="26"/>
      <c r="C888" s="26"/>
      <c r="D888" s="26"/>
      <c r="E888" s="26"/>
      <c r="F888" s="26"/>
      <c r="G888" s="26"/>
      <c r="H888" s="26"/>
      <c r="I888" s="26"/>
      <c r="J888" s="26"/>
      <c r="K888" s="26"/>
      <c r="L888" s="26"/>
      <c r="M888" s="26"/>
      <c r="N888" s="26"/>
      <c r="O888" s="26"/>
      <c r="P888" s="26"/>
      <c r="Q888" s="26"/>
      <c r="R888" s="26"/>
      <c r="S888" s="26"/>
      <c r="T888" s="26"/>
      <c r="U888" s="26"/>
      <c r="V888" s="26"/>
      <c r="W888" s="26"/>
      <c r="X888" s="26"/>
      <c r="Y888" s="26"/>
      <c r="Z888" s="26"/>
    </row>
    <row r="889" spans="1:26" ht="19.5" customHeight="1" x14ac:dyDescent="0.85">
      <c r="A889" s="26"/>
      <c r="B889" s="26"/>
      <c r="C889" s="26"/>
      <c r="D889" s="26"/>
      <c r="E889" s="26"/>
      <c r="F889" s="26"/>
      <c r="G889" s="26"/>
      <c r="H889" s="26"/>
      <c r="I889" s="26"/>
      <c r="J889" s="26"/>
      <c r="K889" s="26"/>
      <c r="L889" s="26"/>
      <c r="M889" s="26"/>
      <c r="N889" s="26"/>
      <c r="O889" s="26"/>
      <c r="P889" s="26"/>
      <c r="Q889" s="26"/>
      <c r="R889" s="26"/>
      <c r="S889" s="26"/>
      <c r="T889" s="26"/>
      <c r="U889" s="26"/>
      <c r="V889" s="26"/>
      <c r="W889" s="26"/>
      <c r="X889" s="26"/>
      <c r="Y889" s="26"/>
      <c r="Z889" s="26"/>
    </row>
    <row r="890" spans="1:26" ht="19.5" customHeight="1" x14ac:dyDescent="0.85">
      <c r="A890" s="26"/>
      <c r="B890" s="26"/>
      <c r="C890" s="26"/>
      <c r="D890" s="26"/>
      <c r="E890" s="26"/>
      <c r="F890" s="26"/>
      <c r="G890" s="26"/>
      <c r="H890" s="26"/>
      <c r="I890" s="26"/>
      <c r="J890" s="26"/>
      <c r="K890" s="26"/>
      <c r="L890" s="26"/>
      <c r="M890" s="26"/>
      <c r="N890" s="26"/>
      <c r="O890" s="26"/>
      <c r="P890" s="26"/>
      <c r="Q890" s="26"/>
      <c r="R890" s="26"/>
      <c r="S890" s="26"/>
      <c r="T890" s="26"/>
      <c r="U890" s="26"/>
      <c r="V890" s="26"/>
      <c r="W890" s="26"/>
      <c r="X890" s="26"/>
      <c r="Y890" s="26"/>
      <c r="Z890" s="26"/>
    </row>
    <row r="891" spans="1:26" ht="19.5" customHeight="1" x14ac:dyDescent="0.85">
      <c r="A891" s="26"/>
      <c r="B891" s="26"/>
      <c r="C891" s="26"/>
      <c r="D891" s="26"/>
      <c r="E891" s="26"/>
      <c r="F891" s="26"/>
      <c r="G891" s="26"/>
      <c r="H891" s="26"/>
      <c r="I891" s="26"/>
      <c r="J891" s="26"/>
      <c r="K891" s="26"/>
      <c r="L891" s="26"/>
      <c r="M891" s="26"/>
      <c r="N891" s="26"/>
      <c r="O891" s="26"/>
      <c r="P891" s="26"/>
      <c r="Q891" s="26"/>
      <c r="R891" s="26"/>
      <c r="S891" s="26"/>
      <c r="T891" s="26"/>
      <c r="U891" s="26"/>
      <c r="V891" s="26"/>
      <c r="W891" s="26"/>
      <c r="X891" s="26"/>
      <c r="Y891" s="26"/>
      <c r="Z891" s="26"/>
    </row>
    <row r="892" spans="1:26" ht="19.5" customHeight="1" x14ac:dyDescent="0.85">
      <c r="A892" s="26"/>
      <c r="B892" s="26"/>
      <c r="C892" s="26"/>
      <c r="D892" s="26"/>
      <c r="E892" s="26"/>
      <c r="F892" s="26"/>
      <c r="G892" s="26"/>
      <c r="H892" s="26"/>
      <c r="I892" s="26"/>
      <c r="J892" s="26"/>
      <c r="K892" s="26"/>
      <c r="L892" s="26"/>
      <c r="M892" s="26"/>
      <c r="N892" s="26"/>
      <c r="O892" s="26"/>
      <c r="P892" s="26"/>
      <c r="Q892" s="26"/>
      <c r="R892" s="26"/>
      <c r="S892" s="26"/>
      <c r="T892" s="26"/>
      <c r="U892" s="26"/>
      <c r="V892" s="26"/>
      <c r="W892" s="26"/>
      <c r="X892" s="26"/>
      <c r="Y892" s="26"/>
      <c r="Z892" s="26"/>
    </row>
    <row r="893" spans="1:26" ht="19.5" customHeight="1" x14ac:dyDescent="0.85">
      <c r="A893" s="26"/>
      <c r="B893" s="26"/>
      <c r="C893" s="26"/>
      <c r="D893" s="26"/>
      <c r="E893" s="26"/>
      <c r="F893" s="26"/>
      <c r="G893" s="26"/>
      <c r="H893" s="26"/>
      <c r="I893" s="26"/>
      <c r="J893" s="26"/>
      <c r="K893" s="26"/>
      <c r="L893" s="26"/>
      <c r="M893" s="26"/>
      <c r="N893" s="26"/>
      <c r="O893" s="26"/>
      <c r="P893" s="26"/>
      <c r="Q893" s="26"/>
      <c r="R893" s="26"/>
      <c r="S893" s="26"/>
      <c r="T893" s="26"/>
      <c r="U893" s="26"/>
      <c r="V893" s="26"/>
      <c r="W893" s="26"/>
      <c r="X893" s="26"/>
      <c r="Y893" s="26"/>
      <c r="Z893" s="26"/>
    </row>
    <row r="894" spans="1:26" ht="19.5" customHeight="1" x14ac:dyDescent="0.85">
      <c r="A894" s="26"/>
      <c r="B894" s="26"/>
      <c r="C894" s="26"/>
      <c r="D894" s="26"/>
      <c r="E894" s="26"/>
      <c r="F894" s="26"/>
      <c r="G894" s="26"/>
      <c r="H894" s="26"/>
      <c r="I894" s="26"/>
      <c r="J894" s="26"/>
      <c r="K894" s="26"/>
      <c r="L894" s="26"/>
      <c r="M894" s="26"/>
      <c r="N894" s="26"/>
      <c r="O894" s="26"/>
      <c r="P894" s="26"/>
      <c r="Q894" s="26"/>
      <c r="R894" s="26"/>
      <c r="S894" s="26"/>
      <c r="T894" s="26"/>
      <c r="U894" s="26"/>
      <c r="V894" s="26"/>
      <c r="W894" s="26"/>
      <c r="X894" s="26"/>
      <c r="Y894" s="26"/>
      <c r="Z894" s="26"/>
    </row>
    <row r="895" spans="1:26" ht="19.5" customHeight="1" x14ac:dyDescent="0.85">
      <c r="A895" s="26"/>
      <c r="B895" s="26"/>
      <c r="C895" s="26"/>
      <c r="D895" s="26"/>
      <c r="E895" s="26"/>
      <c r="F895" s="26"/>
      <c r="G895" s="26"/>
      <c r="H895" s="26"/>
      <c r="I895" s="26"/>
      <c r="J895" s="26"/>
      <c r="K895" s="26"/>
      <c r="L895" s="26"/>
      <c r="M895" s="26"/>
      <c r="N895" s="26"/>
      <c r="O895" s="26"/>
      <c r="P895" s="26"/>
      <c r="Q895" s="26"/>
      <c r="R895" s="26"/>
      <c r="S895" s="26"/>
      <c r="T895" s="26"/>
      <c r="U895" s="26"/>
      <c r="V895" s="26"/>
      <c r="W895" s="26"/>
      <c r="X895" s="26"/>
      <c r="Y895" s="26"/>
      <c r="Z895" s="26"/>
    </row>
    <row r="896" spans="1:26" ht="19.5" customHeight="1" x14ac:dyDescent="0.85">
      <c r="A896" s="26"/>
      <c r="B896" s="26"/>
      <c r="C896" s="26"/>
      <c r="D896" s="26"/>
      <c r="E896" s="26"/>
      <c r="F896" s="26"/>
      <c r="G896" s="26"/>
      <c r="H896" s="26"/>
      <c r="I896" s="26"/>
      <c r="J896" s="26"/>
      <c r="K896" s="26"/>
      <c r="L896" s="26"/>
      <c r="M896" s="26"/>
      <c r="N896" s="26"/>
      <c r="O896" s="26"/>
      <c r="P896" s="26"/>
      <c r="Q896" s="26"/>
      <c r="R896" s="26"/>
      <c r="S896" s="26"/>
      <c r="T896" s="26"/>
      <c r="U896" s="26"/>
      <c r="V896" s="26"/>
      <c r="W896" s="26"/>
      <c r="X896" s="26"/>
      <c r="Y896" s="26"/>
      <c r="Z896" s="26"/>
    </row>
    <row r="897" spans="1:26" ht="19.5" customHeight="1" x14ac:dyDescent="0.85">
      <c r="A897" s="26"/>
      <c r="B897" s="26"/>
      <c r="C897" s="26"/>
      <c r="D897" s="26"/>
      <c r="E897" s="26"/>
      <c r="F897" s="26"/>
      <c r="G897" s="26"/>
      <c r="H897" s="26"/>
      <c r="I897" s="26"/>
      <c r="J897" s="26"/>
      <c r="K897" s="26"/>
      <c r="L897" s="26"/>
      <c r="M897" s="26"/>
      <c r="N897" s="26"/>
      <c r="O897" s="26"/>
      <c r="P897" s="26"/>
      <c r="Q897" s="26"/>
      <c r="R897" s="26"/>
      <c r="S897" s="26"/>
      <c r="T897" s="26"/>
      <c r="U897" s="26"/>
      <c r="V897" s="26"/>
      <c r="W897" s="26"/>
      <c r="X897" s="26"/>
      <c r="Y897" s="26"/>
      <c r="Z897" s="26"/>
    </row>
    <row r="898" spans="1:26" ht="19.5" customHeight="1" x14ac:dyDescent="0.85">
      <c r="A898" s="26"/>
      <c r="B898" s="26"/>
      <c r="C898" s="26"/>
      <c r="D898" s="26"/>
      <c r="E898" s="26"/>
      <c r="F898" s="26"/>
      <c r="G898" s="26"/>
      <c r="H898" s="26"/>
      <c r="I898" s="26"/>
      <c r="J898" s="26"/>
      <c r="K898" s="26"/>
      <c r="L898" s="26"/>
      <c r="M898" s="26"/>
      <c r="N898" s="26"/>
      <c r="O898" s="26"/>
      <c r="P898" s="26"/>
      <c r="Q898" s="26"/>
      <c r="R898" s="26"/>
      <c r="S898" s="26"/>
      <c r="T898" s="26"/>
      <c r="U898" s="26"/>
      <c r="V898" s="26"/>
      <c r="W898" s="26"/>
      <c r="X898" s="26"/>
      <c r="Y898" s="26"/>
      <c r="Z898" s="26"/>
    </row>
    <row r="899" spans="1:26" ht="19.5" customHeight="1" x14ac:dyDescent="0.85">
      <c r="A899" s="26"/>
      <c r="B899" s="26"/>
      <c r="C899" s="26"/>
      <c r="D899" s="26"/>
      <c r="E899" s="26"/>
      <c r="F899" s="26"/>
      <c r="G899" s="26"/>
      <c r="H899" s="26"/>
      <c r="I899" s="26"/>
      <c r="J899" s="26"/>
      <c r="K899" s="26"/>
      <c r="L899" s="26"/>
      <c r="M899" s="26"/>
      <c r="N899" s="26"/>
      <c r="O899" s="26"/>
      <c r="P899" s="26"/>
      <c r="Q899" s="26"/>
      <c r="R899" s="26"/>
      <c r="S899" s="26"/>
      <c r="T899" s="26"/>
      <c r="U899" s="26"/>
      <c r="V899" s="26"/>
      <c r="W899" s="26"/>
      <c r="X899" s="26"/>
      <c r="Y899" s="26"/>
      <c r="Z899" s="26"/>
    </row>
    <row r="900" spans="1:26" ht="19.5" customHeight="1" x14ac:dyDescent="0.85">
      <c r="A900" s="26"/>
      <c r="B900" s="26"/>
      <c r="C900" s="26"/>
      <c r="D900" s="26"/>
      <c r="E900" s="26"/>
      <c r="F900" s="26"/>
      <c r="G900" s="26"/>
      <c r="H900" s="26"/>
      <c r="I900" s="26"/>
      <c r="J900" s="26"/>
      <c r="K900" s="26"/>
      <c r="L900" s="26"/>
      <c r="M900" s="26"/>
      <c r="N900" s="26"/>
      <c r="O900" s="26"/>
      <c r="P900" s="26"/>
      <c r="Q900" s="26"/>
      <c r="R900" s="26"/>
      <c r="S900" s="26"/>
      <c r="T900" s="26"/>
      <c r="U900" s="26"/>
      <c r="V900" s="26"/>
      <c r="W900" s="26"/>
      <c r="X900" s="26"/>
      <c r="Y900" s="26"/>
      <c r="Z900" s="26"/>
    </row>
    <row r="901" spans="1:26" ht="19.5" customHeight="1" x14ac:dyDescent="0.85">
      <c r="A901" s="26"/>
      <c r="B901" s="26"/>
      <c r="C901" s="26"/>
      <c r="D901" s="26"/>
      <c r="E901" s="26"/>
      <c r="F901" s="26"/>
      <c r="G901" s="26"/>
      <c r="H901" s="26"/>
      <c r="I901" s="26"/>
      <c r="J901" s="26"/>
      <c r="K901" s="26"/>
      <c r="L901" s="26"/>
      <c r="M901" s="26"/>
      <c r="N901" s="26"/>
      <c r="O901" s="26"/>
      <c r="P901" s="26"/>
      <c r="Q901" s="26"/>
      <c r="R901" s="26"/>
      <c r="S901" s="26"/>
      <c r="T901" s="26"/>
      <c r="U901" s="26"/>
      <c r="V901" s="26"/>
      <c r="W901" s="26"/>
      <c r="X901" s="26"/>
      <c r="Y901" s="26"/>
      <c r="Z901" s="26"/>
    </row>
    <row r="902" spans="1:26" ht="19.5" customHeight="1" x14ac:dyDescent="0.85">
      <c r="A902" s="26"/>
      <c r="B902" s="26"/>
      <c r="C902" s="26"/>
      <c r="D902" s="26"/>
      <c r="E902" s="26"/>
      <c r="F902" s="26"/>
      <c r="G902" s="26"/>
      <c r="H902" s="26"/>
      <c r="I902" s="26"/>
      <c r="J902" s="26"/>
      <c r="K902" s="26"/>
      <c r="L902" s="26"/>
      <c r="M902" s="26"/>
      <c r="N902" s="26"/>
      <c r="O902" s="26"/>
      <c r="P902" s="26"/>
      <c r="Q902" s="26"/>
      <c r="R902" s="26"/>
      <c r="S902" s="26"/>
      <c r="T902" s="26"/>
      <c r="U902" s="26"/>
      <c r="V902" s="26"/>
      <c r="W902" s="26"/>
      <c r="X902" s="26"/>
      <c r="Y902" s="26"/>
      <c r="Z902" s="26"/>
    </row>
    <row r="903" spans="1:26" ht="19.5" customHeight="1" x14ac:dyDescent="0.85">
      <c r="A903" s="26"/>
      <c r="B903" s="26"/>
      <c r="C903" s="26"/>
      <c r="D903" s="26"/>
      <c r="E903" s="26"/>
      <c r="F903" s="26"/>
      <c r="G903" s="26"/>
      <c r="H903" s="26"/>
      <c r="I903" s="26"/>
      <c r="J903" s="26"/>
      <c r="K903" s="26"/>
      <c r="L903" s="26"/>
      <c r="M903" s="26"/>
      <c r="N903" s="26"/>
      <c r="O903" s="26"/>
      <c r="P903" s="26"/>
      <c r="Q903" s="26"/>
      <c r="R903" s="26"/>
      <c r="S903" s="26"/>
      <c r="T903" s="26"/>
      <c r="U903" s="26"/>
      <c r="V903" s="26"/>
      <c r="W903" s="26"/>
      <c r="X903" s="26"/>
      <c r="Y903" s="26"/>
      <c r="Z903" s="26"/>
    </row>
    <row r="904" spans="1:26" ht="19.5" customHeight="1" x14ac:dyDescent="0.85">
      <c r="A904" s="26"/>
      <c r="B904" s="26"/>
      <c r="C904" s="26"/>
      <c r="D904" s="26"/>
      <c r="E904" s="26"/>
      <c r="F904" s="26"/>
      <c r="G904" s="26"/>
      <c r="H904" s="26"/>
      <c r="I904" s="26"/>
      <c r="J904" s="26"/>
      <c r="K904" s="26"/>
      <c r="L904" s="26"/>
      <c r="M904" s="26"/>
      <c r="N904" s="26"/>
      <c r="O904" s="26"/>
      <c r="P904" s="26"/>
      <c r="Q904" s="26"/>
      <c r="R904" s="26"/>
      <c r="S904" s="26"/>
      <c r="T904" s="26"/>
      <c r="U904" s="26"/>
      <c r="V904" s="26"/>
      <c r="W904" s="26"/>
      <c r="X904" s="26"/>
      <c r="Y904" s="26"/>
      <c r="Z904" s="26"/>
    </row>
    <row r="905" spans="1:26" ht="19.5" customHeight="1" x14ac:dyDescent="0.85">
      <c r="A905" s="26"/>
      <c r="B905" s="26"/>
      <c r="C905" s="26"/>
      <c r="D905" s="26"/>
      <c r="E905" s="26"/>
      <c r="F905" s="26"/>
      <c r="G905" s="26"/>
      <c r="H905" s="26"/>
      <c r="I905" s="26"/>
      <c r="J905" s="26"/>
      <c r="K905" s="26"/>
      <c r="L905" s="26"/>
      <c r="M905" s="26"/>
      <c r="N905" s="26"/>
      <c r="O905" s="26"/>
      <c r="P905" s="26"/>
      <c r="Q905" s="26"/>
      <c r="R905" s="26"/>
      <c r="S905" s="26"/>
      <c r="T905" s="26"/>
      <c r="U905" s="26"/>
      <c r="V905" s="26"/>
      <c r="W905" s="26"/>
      <c r="X905" s="26"/>
      <c r="Y905" s="26"/>
      <c r="Z905" s="26"/>
    </row>
    <row r="906" spans="1:26" ht="19.5" customHeight="1" x14ac:dyDescent="0.85">
      <c r="A906" s="26"/>
      <c r="B906" s="26"/>
      <c r="C906" s="26"/>
      <c r="D906" s="26"/>
      <c r="E906" s="26"/>
      <c r="F906" s="26"/>
      <c r="G906" s="26"/>
      <c r="H906" s="26"/>
      <c r="I906" s="26"/>
      <c r="J906" s="26"/>
      <c r="K906" s="26"/>
      <c r="L906" s="26"/>
      <c r="M906" s="26"/>
      <c r="N906" s="26"/>
      <c r="O906" s="26"/>
      <c r="P906" s="26"/>
      <c r="Q906" s="26"/>
      <c r="R906" s="26"/>
      <c r="S906" s="26"/>
      <c r="T906" s="26"/>
      <c r="U906" s="26"/>
      <c r="V906" s="26"/>
      <c r="W906" s="26"/>
      <c r="X906" s="26"/>
      <c r="Y906" s="26"/>
      <c r="Z906" s="26"/>
    </row>
    <row r="907" spans="1:26" ht="19.5" customHeight="1" x14ac:dyDescent="0.85">
      <c r="A907" s="26"/>
      <c r="B907" s="26"/>
      <c r="C907" s="26"/>
      <c r="D907" s="26"/>
      <c r="E907" s="26"/>
      <c r="F907" s="26"/>
      <c r="G907" s="26"/>
      <c r="H907" s="26"/>
      <c r="I907" s="26"/>
      <c r="J907" s="26"/>
      <c r="K907" s="26"/>
      <c r="L907" s="26"/>
      <c r="M907" s="26"/>
      <c r="N907" s="26"/>
      <c r="O907" s="26"/>
      <c r="P907" s="26"/>
      <c r="Q907" s="26"/>
      <c r="R907" s="26"/>
      <c r="S907" s="26"/>
      <c r="T907" s="26"/>
      <c r="U907" s="26"/>
      <c r="V907" s="26"/>
      <c r="W907" s="26"/>
      <c r="X907" s="26"/>
      <c r="Y907" s="26"/>
      <c r="Z907" s="26"/>
    </row>
    <row r="908" spans="1:26" ht="19.5" customHeight="1" x14ac:dyDescent="0.85">
      <c r="A908" s="26"/>
      <c r="B908" s="26"/>
      <c r="C908" s="26"/>
      <c r="D908" s="26"/>
      <c r="E908" s="26"/>
      <c r="F908" s="26"/>
      <c r="G908" s="26"/>
      <c r="H908" s="26"/>
      <c r="I908" s="26"/>
      <c r="J908" s="26"/>
      <c r="K908" s="26"/>
      <c r="L908" s="26"/>
      <c r="M908" s="26"/>
      <c r="N908" s="26"/>
      <c r="O908" s="26"/>
      <c r="P908" s="26"/>
      <c r="Q908" s="26"/>
      <c r="R908" s="26"/>
      <c r="S908" s="26"/>
      <c r="T908" s="26"/>
      <c r="U908" s="26"/>
      <c r="V908" s="26"/>
      <c r="W908" s="26"/>
      <c r="X908" s="26"/>
      <c r="Y908" s="26"/>
      <c r="Z908" s="26"/>
    </row>
    <row r="909" spans="1:26" ht="19.5" customHeight="1" x14ac:dyDescent="0.85">
      <c r="A909" s="26"/>
      <c r="B909" s="26"/>
      <c r="C909" s="26"/>
      <c r="D909" s="26"/>
      <c r="E909" s="26"/>
      <c r="F909" s="26"/>
      <c r="G909" s="26"/>
      <c r="H909" s="26"/>
      <c r="I909" s="26"/>
      <c r="J909" s="26"/>
      <c r="K909" s="26"/>
      <c r="L909" s="26"/>
      <c r="M909" s="26"/>
      <c r="N909" s="26"/>
      <c r="O909" s="26"/>
      <c r="P909" s="26"/>
      <c r="Q909" s="26"/>
      <c r="R909" s="26"/>
      <c r="S909" s="26"/>
      <c r="T909" s="26"/>
      <c r="U909" s="26"/>
      <c r="V909" s="26"/>
      <c r="W909" s="26"/>
      <c r="X909" s="26"/>
      <c r="Y909" s="26"/>
      <c r="Z909" s="26"/>
    </row>
    <row r="910" spans="1:26" ht="19.5" customHeight="1" x14ac:dyDescent="0.85">
      <c r="A910" s="26"/>
      <c r="B910" s="26"/>
      <c r="C910" s="26"/>
      <c r="D910" s="26"/>
      <c r="E910" s="26"/>
      <c r="F910" s="26"/>
      <c r="G910" s="26"/>
      <c r="H910" s="26"/>
      <c r="I910" s="26"/>
      <c r="J910" s="26"/>
      <c r="K910" s="26"/>
      <c r="L910" s="26"/>
      <c r="M910" s="26"/>
      <c r="N910" s="26"/>
      <c r="O910" s="26"/>
      <c r="P910" s="26"/>
      <c r="Q910" s="26"/>
      <c r="R910" s="26"/>
      <c r="S910" s="26"/>
      <c r="T910" s="26"/>
      <c r="U910" s="26"/>
      <c r="V910" s="26"/>
      <c r="W910" s="26"/>
      <c r="X910" s="26"/>
      <c r="Y910" s="26"/>
      <c r="Z910" s="26"/>
    </row>
    <row r="911" spans="1:26" ht="19.5" customHeight="1" x14ac:dyDescent="0.85">
      <c r="A911" s="26"/>
      <c r="B911" s="26"/>
      <c r="C911" s="26"/>
      <c r="D911" s="26"/>
      <c r="E911" s="26"/>
      <c r="F911" s="26"/>
      <c r="G911" s="26"/>
      <c r="H911" s="26"/>
      <c r="I911" s="26"/>
      <c r="J911" s="26"/>
      <c r="K911" s="26"/>
      <c r="L911" s="26"/>
      <c r="M911" s="26"/>
      <c r="N911" s="26"/>
      <c r="O911" s="26"/>
      <c r="P911" s="26"/>
      <c r="Q911" s="26"/>
      <c r="R911" s="26"/>
      <c r="S911" s="26"/>
      <c r="T911" s="26"/>
      <c r="U911" s="26"/>
      <c r="V911" s="26"/>
      <c r="W911" s="26"/>
      <c r="X911" s="26"/>
      <c r="Y911" s="26"/>
      <c r="Z911" s="26"/>
    </row>
    <row r="912" spans="1:26" ht="19.5" customHeight="1" x14ac:dyDescent="0.85">
      <c r="A912" s="26"/>
      <c r="B912" s="26"/>
      <c r="C912" s="26"/>
      <c r="D912" s="26"/>
      <c r="E912" s="26"/>
      <c r="F912" s="26"/>
      <c r="G912" s="26"/>
      <c r="H912" s="26"/>
      <c r="I912" s="26"/>
      <c r="J912" s="26"/>
      <c r="K912" s="26"/>
      <c r="L912" s="26"/>
      <c r="M912" s="26"/>
      <c r="N912" s="26"/>
      <c r="O912" s="26"/>
      <c r="P912" s="26"/>
      <c r="Q912" s="26"/>
      <c r="R912" s="26"/>
      <c r="S912" s="26"/>
      <c r="T912" s="26"/>
      <c r="U912" s="26"/>
      <c r="V912" s="26"/>
      <c r="W912" s="26"/>
      <c r="X912" s="26"/>
      <c r="Y912" s="26"/>
      <c r="Z912" s="26"/>
    </row>
    <row r="913" spans="1:26" ht="19.5" customHeight="1" x14ac:dyDescent="0.85">
      <c r="A913" s="26"/>
      <c r="B913" s="26"/>
      <c r="C913" s="26"/>
      <c r="D913" s="26"/>
      <c r="E913" s="26"/>
      <c r="F913" s="26"/>
      <c r="G913" s="26"/>
      <c r="H913" s="26"/>
      <c r="I913" s="26"/>
      <c r="J913" s="26"/>
      <c r="K913" s="26"/>
      <c r="L913" s="26"/>
      <c r="M913" s="26"/>
      <c r="N913" s="26"/>
      <c r="O913" s="26"/>
      <c r="P913" s="26"/>
      <c r="Q913" s="26"/>
      <c r="R913" s="26"/>
      <c r="S913" s="26"/>
      <c r="T913" s="26"/>
      <c r="U913" s="26"/>
      <c r="V913" s="26"/>
      <c r="W913" s="26"/>
      <c r="X913" s="26"/>
      <c r="Y913" s="26"/>
      <c r="Z913" s="26"/>
    </row>
    <row r="914" spans="1:26" ht="19.5" customHeight="1" x14ac:dyDescent="0.85">
      <c r="A914" s="26"/>
      <c r="B914" s="26"/>
      <c r="C914" s="26"/>
      <c r="D914" s="26"/>
      <c r="E914" s="26"/>
      <c r="F914" s="26"/>
      <c r="G914" s="26"/>
      <c r="H914" s="26"/>
      <c r="I914" s="26"/>
      <c r="J914" s="26"/>
      <c r="K914" s="26"/>
      <c r="L914" s="26"/>
      <c r="M914" s="26"/>
      <c r="N914" s="26"/>
      <c r="O914" s="26"/>
      <c r="P914" s="26"/>
      <c r="Q914" s="26"/>
      <c r="R914" s="26"/>
      <c r="S914" s="26"/>
      <c r="T914" s="26"/>
      <c r="U914" s="26"/>
      <c r="V914" s="26"/>
      <c r="W914" s="26"/>
      <c r="X914" s="26"/>
      <c r="Y914" s="26"/>
      <c r="Z914" s="26"/>
    </row>
    <row r="915" spans="1:26" ht="19.5" customHeight="1" x14ac:dyDescent="0.85">
      <c r="A915" s="26"/>
      <c r="B915" s="26"/>
      <c r="C915" s="26"/>
      <c r="D915" s="26"/>
      <c r="E915" s="26"/>
      <c r="F915" s="26"/>
      <c r="G915" s="26"/>
      <c r="H915" s="26"/>
      <c r="I915" s="26"/>
      <c r="J915" s="26"/>
      <c r="K915" s="26"/>
      <c r="L915" s="26"/>
      <c r="M915" s="26"/>
      <c r="N915" s="26"/>
      <c r="O915" s="26"/>
      <c r="P915" s="26"/>
      <c r="Q915" s="26"/>
      <c r="R915" s="26"/>
      <c r="S915" s="26"/>
      <c r="T915" s="26"/>
      <c r="U915" s="26"/>
      <c r="V915" s="26"/>
      <c r="W915" s="26"/>
      <c r="X915" s="26"/>
      <c r="Y915" s="26"/>
      <c r="Z915" s="26"/>
    </row>
    <row r="916" spans="1:26" ht="19.5" customHeight="1" x14ac:dyDescent="0.85">
      <c r="A916" s="26"/>
      <c r="B916" s="26"/>
      <c r="C916" s="26"/>
      <c r="D916" s="26"/>
      <c r="E916" s="26"/>
      <c r="F916" s="26"/>
      <c r="G916" s="26"/>
      <c r="H916" s="26"/>
      <c r="I916" s="26"/>
      <c r="J916" s="26"/>
      <c r="K916" s="26"/>
      <c r="L916" s="26"/>
      <c r="M916" s="26"/>
      <c r="N916" s="26"/>
      <c r="O916" s="26"/>
      <c r="P916" s="26"/>
      <c r="Q916" s="26"/>
      <c r="R916" s="26"/>
      <c r="S916" s="26"/>
      <c r="T916" s="26"/>
      <c r="U916" s="26"/>
      <c r="V916" s="26"/>
      <c r="W916" s="26"/>
      <c r="X916" s="26"/>
      <c r="Y916" s="26"/>
      <c r="Z916" s="26"/>
    </row>
    <row r="917" spans="1:26" ht="19.5" customHeight="1" x14ac:dyDescent="0.85">
      <c r="A917" s="26"/>
      <c r="B917" s="26"/>
      <c r="C917" s="26"/>
      <c r="D917" s="26"/>
      <c r="E917" s="26"/>
      <c r="F917" s="26"/>
      <c r="G917" s="26"/>
      <c r="H917" s="26"/>
      <c r="I917" s="26"/>
      <c r="J917" s="26"/>
      <c r="K917" s="26"/>
      <c r="L917" s="26"/>
      <c r="M917" s="26"/>
      <c r="N917" s="26"/>
      <c r="O917" s="26"/>
      <c r="P917" s="26"/>
      <c r="Q917" s="26"/>
      <c r="R917" s="26"/>
      <c r="S917" s="26"/>
      <c r="T917" s="26"/>
      <c r="U917" s="26"/>
      <c r="V917" s="26"/>
      <c r="W917" s="26"/>
      <c r="X917" s="26"/>
      <c r="Y917" s="26"/>
      <c r="Z917" s="26"/>
    </row>
    <row r="918" spans="1:26" ht="19.5" customHeight="1" x14ac:dyDescent="0.85">
      <c r="A918" s="26"/>
      <c r="B918" s="26"/>
      <c r="C918" s="26"/>
      <c r="D918" s="26"/>
      <c r="E918" s="26"/>
      <c r="F918" s="26"/>
      <c r="G918" s="26"/>
      <c r="H918" s="26"/>
      <c r="I918" s="26"/>
      <c r="J918" s="26"/>
      <c r="K918" s="26"/>
      <c r="L918" s="26"/>
      <c r="M918" s="26"/>
      <c r="N918" s="26"/>
      <c r="O918" s="26"/>
      <c r="P918" s="26"/>
      <c r="Q918" s="26"/>
      <c r="R918" s="26"/>
      <c r="S918" s="26"/>
      <c r="T918" s="26"/>
      <c r="U918" s="26"/>
      <c r="V918" s="26"/>
      <c r="W918" s="26"/>
      <c r="X918" s="26"/>
      <c r="Y918" s="26"/>
      <c r="Z918" s="26"/>
    </row>
    <row r="919" spans="1:26" ht="19.5" customHeight="1" x14ac:dyDescent="0.85">
      <c r="A919" s="26"/>
      <c r="B919" s="26"/>
      <c r="C919" s="26"/>
      <c r="D919" s="26"/>
      <c r="E919" s="26"/>
      <c r="F919" s="26"/>
      <c r="G919" s="26"/>
      <c r="H919" s="26"/>
      <c r="I919" s="26"/>
      <c r="J919" s="26"/>
      <c r="K919" s="26"/>
      <c r="L919" s="26"/>
      <c r="M919" s="26"/>
      <c r="N919" s="26"/>
      <c r="O919" s="26"/>
      <c r="P919" s="26"/>
      <c r="Q919" s="26"/>
      <c r="R919" s="26"/>
      <c r="S919" s="26"/>
      <c r="T919" s="26"/>
      <c r="U919" s="26"/>
      <c r="V919" s="26"/>
      <c r="W919" s="26"/>
      <c r="X919" s="26"/>
      <c r="Y919" s="26"/>
      <c r="Z919" s="26"/>
    </row>
    <row r="920" spans="1:26" ht="19.5" customHeight="1" x14ac:dyDescent="0.85">
      <c r="A920" s="26"/>
      <c r="B920" s="26"/>
      <c r="C920" s="26"/>
      <c r="D920" s="26"/>
      <c r="E920" s="26"/>
      <c r="F920" s="26"/>
      <c r="G920" s="26"/>
      <c r="H920" s="26"/>
      <c r="I920" s="26"/>
      <c r="J920" s="26"/>
      <c r="K920" s="26"/>
      <c r="L920" s="26"/>
      <c r="M920" s="26"/>
      <c r="N920" s="26"/>
      <c r="O920" s="26"/>
      <c r="P920" s="26"/>
      <c r="Q920" s="26"/>
      <c r="R920" s="26"/>
      <c r="S920" s="26"/>
      <c r="T920" s="26"/>
      <c r="U920" s="26"/>
      <c r="V920" s="26"/>
      <c r="W920" s="26"/>
      <c r="X920" s="26"/>
      <c r="Y920" s="26"/>
      <c r="Z920" s="26"/>
    </row>
    <row r="921" spans="1:26" ht="19.5" customHeight="1" x14ac:dyDescent="0.85">
      <c r="A921" s="26"/>
      <c r="B921" s="26"/>
      <c r="C921" s="26"/>
      <c r="D921" s="26"/>
      <c r="E921" s="26"/>
      <c r="F921" s="26"/>
      <c r="G921" s="26"/>
      <c r="H921" s="26"/>
      <c r="I921" s="26"/>
      <c r="J921" s="26"/>
      <c r="K921" s="26"/>
      <c r="L921" s="26"/>
      <c r="M921" s="26"/>
      <c r="N921" s="26"/>
      <c r="O921" s="26"/>
      <c r="P921" s="26"/>
      <c r="Q921" s="26"/>
      <c r="R921" s="26"/>
      <c r="S921" s="26"/>
      <c r="T921" s="26"/>
      <c r="U921" s="26"/>
      <c r="V921" s="26"/>
      <c r="W921" s="26"/>
      <c r="X921" s="26"/>
      <c r="Y921" s="26"/>
      <c r="Z921" s="26"/>
    </row>
    <row r="922" spans="1:26" ht="19.5" customHeight="1" x14ac:dyDescent="0.85">
      <c r="A922" s="26"/>
      <c r="B922" s="26"/>
      <c r="C922" s="26"/>
      <c r="D922" s="26"/>
      <c r="E922" s="26"/>
      <c r="F922" s="26"/>
      <c r="G922" s="26"/>
      <c r="H922" s="26"/>
      <c r="I922" s="26"/>
      <c r="J922" s="26"/>
      <c r="K922" s="26"/>
      <c r="L922" s="26"/>
      <c r="M922" s="26"/>
      <c r="N922" s="26"/>
      <c r="O922" s="26"/>
      <c r="P922" s="26"/>
      <c r="Q922" s="26"/>
      <c r="R922" s="26"/>
      <c r="S922" s="26"/>
      <c r="T922" s="26"/>
      <c r="U922" s="26"/>
      <c r="V922" s="26"/>
      <c r="W922" s="26"/>
      <c r="X922" s="26"/>
      <c r="Y922" s="26"/>
      <c r="Z922" s="26"/>
    </row>
    <row r="923" spans="1:26" ht="19.5" customHeight="1" x14ac:dyDescent="0.85">
      <c r="A923" s="26"/>
      <c r="B923" s="26"/>
      <c r="C923" s="26"/>
      <c r="D923" s="26"/>
      <c r="E923" s="26"/>
      <c r="F923" s="26"/>
      <c r="G923" s="26"/>
      <c r="H923" s="26"/>
      <c r="I923" s="26"/>
      <c r="J923" s="26"/>
      <c r="K923" s="26"/>
      <c r="L923" s="26"/>
      <c r="M923" s="26"/>
      <c r="N923" s="26"/>
      <c r="O923" s="26"/>
      <c r="P923" s="26"/>
      <c r="Q923" s="26"/>
      <c r="R923" s="26"/>
      <c r="S923" s="26"/>
      <c r="T923" s="26"/>
      <c r="U923" s="26"/>
      <c r="V923" s="26"/>
      <c r="W923" s="26"/>
      <c r="X923" s="26"/>
      <c r="Y923" s="26"/>
      <c r="Z923" s="26"/>
    </row>
    <row r="924" spans="1:26" ht="19.5" customHeight="1" x14ac:dyDescent="0.85">
      <c r="A924" s="26"/>
      <c r="B924" s="26"/>
      <c r="C924" s="26"/>
      <c r="D924" s="26"/>
      <c r="E924" s="26"/>
      <c r="F924" s="26"/>
      <c r="G924" s="26"/>
      <c r="H924" s="26"/>
      <c r="I924" s="26"/>
      <c r="J924" s="26"/>
      <c r="K924" s="26"/>
      <c r="L924" s="26"/>
      <c r="M924" s="26"/>
      <c r="N924" s="26"/>
      <c r="O924" s="26"/>
      <c r="P924" s="26"/>
      <c r="Q924" s="26"/>
      <c r="R924" s="26"/>
      <c r="S924" s="26"/>
      <c r="T924" s="26"/>
      <c r="U924" s="26"/>
      <c r="V924" s="26"/>
      <c r="W924" s="26"/>
      <c r="X924" s="26"/>
      <c r="Y924" s="26"/>
      <c r="Z924" s="26"/>
    </row>
    <row r="925" spans="1:26" ht="19.5" customHeight="1" x14ac:dyDescent="0.85">
      <c r="A925" s="26"/>
      <c r="B925" s="26"/>
      <c r="C925" s="26"/>
      <c r="D925" s="26"/>
      <c r="E925" s="26"/>
      <c r="F925" s="26"/>
      <c r="G925" s="26"/>
      <c r="H925" s="26"/>
      <c r="I925" s="26"/>
      <c r="J925" s="26"/>
      <c r="K925" s="26"/>
      <c r="L925" s="26"/>
      <c r="M925" s="26"/>
      <c r="N925" s="26"/>
      <c r="O925" s="26"/>
      <c r="P925" s="26"/>
      <c r="Q925" s="26"/>
      <c r="R925" s="26"/>
      <c r="S925" s="26"/>
      <c r="T925" s="26"/>
      <c r="U925" s="26"/>
      <c r="V925" s="26"/>
      <c r="W925" s="26"/>
      <c r="X925" s="26"/>
      <c r="Y925" s="26"/>
      <c r="Z925" s="26"/>
    </row>
    <row r="926" spans="1:26" ht="19.5" customHeight="1" x14ac:dyDescent="0.85">
      <c r="A926" s="26"/>
      <c r="B926" s="26"/>
      <c r="C926" s="26"/>
      <c r="D926" s="26"/>
      <c r="E926" s="26"/>
      <c r="F926" s="26"/>
      <c r="G926" s="26"/>
      <c r="H926" s="26"/>
      <c r="I926" s="26"/>
      <c r="J926" s="26"/>
      <c r="K926" s="26"/>
      <c r="L926" s="26"/>
      <c r="M926" s="26"/>
      <c r="N926" s="26"/>
      <c r="O926" s="26"/>
      <c r="P926" s="26"/>
      <c r="Q926" s="26"/>
      <c r="R926" s="26"/>
      <c r="S926" s="26"/>
      <c r="T926" s="26"/>
      <c r="U926" s="26"/>
      <c r="V926" s="26"/>
      <c r="W926" s="26"/>
      <c r="X926" s="26"/>
      <c r="Y926" s="26"/>
      <c r="Z926" s="26"/>
    </row>
    <row r="927" spans="1:26" ht="19.5" customHeight="1" x14ac:dyDescent="0.85">
      <c r="A927" s="26"/>
      <c r="B927" s="26"/>
      <c r="C927" s="26"/>
      <c r="D927" s="26"/>
      <c r="E927" s="26"/>
      <c r="F927" s="26"/>
      <c r="G927" s="26"/>
      <c r="H927" s="26"/>
      <c r="I927" s="26"/>
      <c r="J927" s="26"/>
      <c r="K927" s="26"/>
      <c r="L927" s="26"/>
      <c r="M927" s="26"/>
      <c r="N927" s="26"/>
      <c r="O927" s="26"/>
      <c r="P927" s="26"/>
      <c r="Q927" s="26"/>
      <c r="R927" s="26"/>
      <c r="S927" s="26"/>
      <c r="T927" s="26"/>
      <c r="U927" s="26"/>
      <c r="V927" s="26"/>
      <c r="W927" s="26"/>
      <c r="X927" s="26"/>
      <c r="Y927" s="26"/>
      <c r="Z927" s="26"/>
    </row>
    <row r="928" spans="1:26" ht="19.5" customHeight="1" x14ac:dyDescent="0.85">
      <c r="A928" s="26"/>
      <c r="B928" s="26"/>
      <c r="C928" s="26"/>
      <c r="D928" s="26"/>
      <c r="E928" s="26"/>
      <c r="F928" s="26"/>
      <c r="G928" s="26"/>
      <c r="H928" s="26"/>
      <c r="I928" s="26"/>
      <c r="J928" s="26"/>
      <c r="K928" s="26"/>
      <c r="L928" s="26"/>
      <c r="M928" s="26"/>
      <c r="N928" s="26"/>
      <c r="O928" s="26"/>
      <c r="P928" s="26"/>
      <c r="Q928" s="26"/>
      <c r="R928" s="26"/>
      <c r="S928" s="26"/>
      <c r="T928" s="26"/>
      <c r="U928" s="26"/>
      <c r="V928" s="26"/>
      <c r="W928" s="26"/>
      <c r="X928" s="26"/>
      <c r="Y928" s="26"/>
      <c r="Z928" s="26"/>
    </row>
    <row r="929" spans="1:26" ht="19.5" customHeight="1" x14ac:dyDescent="0.85">
      <c r="A929" s="26"/>
      <c r="B929" s="26"/>
      <c r="C929" s="26"/>
      <c r="D929" s="26"/>
      <c r="E929" s="26"/>
      <c r="F929" s="26"/>
      <c r="G929" s="26"/>
      <c r="H929" s="26"/>
      <c r="I929" s="26"/>
      <c r="J929" s="26"/>
      <c r="K929" s="26"/>
      <c r="L929" s="26"/>
      <c r="M929" s="26"/>
      <c r="N929" s="26"/>
      <c r="O929" s="26"/>
      <c r="P929" s="26"/>
      <c r="Q929" s="26"/>
      <c r="R929" s="26"/>
      <c r="S929" s="26"/>
      <c r="T929" s="26"/>
      <c r="U929" s="26"/>
      <c r="V929" s="26"/>
      <c r="W929" s="26"/>
      <c r="X929" s="26"/>
      <c r="Y929" s="26"/>
      <c r="Z929" s="26"/>
    </row>
    <row r="930" spans="1:26" ht="19.5" customHeight="1" x14ac:dyDescent="0.85">
      <c r="A930" s="26"/>
      <c r="B930" s="26"/>
      <c r="C930" s="26"/>
      <c r="D930" s="26"/>
      <c r="E930" s="26"/>
      <c r="F930" s="26"/>
      <c r="G930" s="26"/>
      <c r="H930" s="26"/>
      <c r="I930" s="26"/>
      <c r="J930" s="26"/>
      <c r="K930" s="26"/>
      <c r="L930" s="26"/>
      <c r="M930" s="26"/>
      <c r="N930" s="26"/>
      <c r="O930" s="26"/>
      <c r="P930" s="26"/>
      <c r="Q930" s="26"/>
      <c r="R930" s="26"/>
      <c r="S930" s="26"/>
      <c r="T930" s="26"/>
      <c r="U930" s="26"/>
      <c r="V930" s="26"/>
      <c r="W930" s="26"/>
      <c r="X930" s="26"/>
      <c r="Y930" s="26"/>
      <c r="Z930" s="26"/>
    </row>
    <row r="931" spans="1:26" ht="19.5" customHeight="1" x14ac:dyDescent="0.85">
      <c r="A931" s="26"/>
      <c r="B931" s="26"/>
      <c r="C931" s="26"/>
      <c r="D931" s="26"/>
      <c r="E931" s="26"/>
      <c r="F931" s="26"/>
      <c r="G931" s="26"/>
      <c r="H931" s="26"/>
      <c r="I931" s="26"/>
      <c r="J931" s="26"/>
      <c r="K931" s="26"/>
      <c r="L931" s="26"/>
      <c r="M931" s="26"/>
      <c r="N931" s="26"/>
      <c r="O931" s="26"/>
      <c r="P931" s="26"/>
      <c r="Q931" s="26"/>
      <c r="R931" s="26"/>
      <c r="S931" s="26"/>
      <c r="T931" s="26"/>
      <c r="U931" s="26"/>
      <c r="V931" s="26"/>
      <c r="W931" s="26"/>
      <c r="X931" s="26"/>
      <c r="Y931" s="26"/>
      <c r="Z931" s="26"/>
    </row>
    <row r="932" spans="1:26" ht="19.5" customHeight="1" x14ac:dyDescent="0.85">
      <c r="A932" s="26"/>
      <c r="B932" s="26"/>
      <c r="C932" s="26"/>
      <c r="D932" s="26"/>
      <c r="E932" s="26"/>
      <c r="F932" s="26"/>
      <c r="G932" s="26"/>
      <c r="H932" s="26"/>
      <c r="I932" s="26"/>
      <c r="J932" s="26"/>
      <c r="K932" s="26"/>
      <c r="L932" s="26"/>
      <c r="M932" s="26"/>
      <c r="N932" s="26"/>
      <c r="O932" s="26"/>
      <c r="P932" s="26"/>
      <c r="Q932" s="26"/>
      <c r="R932" s="26"/>
      <c r="S932" s="26"/>
      <c r="T932" s="26"/>
      <c r="U932" s="26"/>
      <c r="V932" s="26"/>
      <c r="W932" s="26"/>
      <c r="X932" s="26"/>
      <c r="Y932" s="26"/>
      <c r="Z932" s="26"/>
    </row>
    <row r="933" spans="1:26" ht="19.5" customHeight="1" x14ac:dyDescent="0.85">
      <c r="A933" s="26"/>
      <c r="B933" s="26"/>
      <c r="C933" s="26"/>
      <c r="D933" s="26"/>
      <c r="E933" s="26"/>
      <c r="F933" s="26"/>
      <c r="G933" s="26"/>
      <c r="H933" s="26"/>
      <c r="I933" s="26"/>
      <c r="J933" s="26"/>
      <c r="K933" s="26"/>
      <c r="L933" s="26"/>
      <c r="M933" s="26"/>
      <c r="N933" s="26"/>
      <c r="O933" s="26"/>
      <c r="P933" s="26"/>
      <c r="Q933" s="26"/>
      <c r="R933" s="26"/>
      <c r="S933" s="26"/>
      <c r="T933" s="26"/>
      <c r="U933" s="26"/>
      <c r="V933" s="26"/>
      <c r="W933" s="26"/>
      <c r="X933" s="26"/>
      <c r="Y933" s="26"/>
      <c r="Z933" s="26"/>
    </row>
    <row r="934" spans="1:26" ht="19.5" customHeight="1" x14ac:dyDescent="0.85">
      <c r="A934" s="26"/>
      <c r="B934" s="26"/>
      <c r="C934" s="26"/>
      <c r="D934" s="26"/>
      <c r="E934" s="26"/>
      <c r="F934" s="26"/>
      <c r="G934" s="26"/>
      <c r="H934" s="26"/>
      <c r="I934" s="26"/>
      <c r="J934" s="26"/>
      <c r="K934" s="26"/>
      <c r="L934" s="26"/>
      <c r="M934" s="26"/>
      <c r="N934" s="26"/>
      <c r="O934" s="26"/>
      <c r="P934" s="26"/>
      <c r="Q934" s="26"/>
      <c r="R934" s="26"/>
      <c r="S934" s="26"/>
      <c r="T934" s="26"/>
      <c r="U934" s="26"/>
      <c r="V934" s="26"/>
      <c r="W934" s="26"/>
      <c r="X934" s="26"/>
      <c r="Y934" s="26"/>
      <c r="Z934" s="26"/>
    </row>
    <row r="935" spans="1:26" ht="19.5" customHeight="1" x14ac:dyDescent="0.85">
      <c r="A935" s="26"/>
      <c r="B935" s="26"/>
      <c r="C935" s="26"/>
      <c r="D935" s="26"/>
      <c r="E935" s="26"/>
      <c r="F935" s="26"/>
      <c r="G935" s="26"/>
      <c r="H935" s="26"/>
      <c r="I935" s="26"/>
      <c r="J935" s="26"/>
      <c r="K935" s="26"/>
      <c r="L935" s="26"/>
      <c r="M935" s="26"/>
      <c r="N935" s="26"/>
      <c r="O935" s="26"/>
      <c r="P935" s="26"/>
      <c r="Q935" s="26"/>
      <c r="R935" s="26"/>
      <c r="S935" s="26"/>
      <c r="T935" s="26"/>
      <c r="U935" s="26"/>
      <c r="V935" s="26"/>
      <c r="W935" s="26"/>
      <c r="X935" s="26"/>
      <c r="Y935" s="26"/>
      <c r="Z935" s="26"/>
    </row>
    <row r="936" spans="1:26" ht="19.5" customHeight="1" x14ac:dyDescent="0.85">
      <c r="A936" s="26"/>
      <c r="B936" s="26"/>
      <c r="C936" s="26"/>
      <c r="D936" s="26"/>
      <c r="E936" s="26"/>
      <c r="F936" s="26"/>
      <c r="G936" s="26"/>
      <c r="H936" s="26"/>
      <c r="I936" s="26"/>
      <c r="J936" s="26"/>
      <c r="K936" s="26"/>
      <c r="L936" s="26"/>
      <c r="M936" s="26"/>
      <c r="N936" s="26"/>
      <c r="O936" s="26"/>
      <c r="P936" s="26"/>
      <c r="Q936" s="26"/>
      <c r="R936" s="26"/>
      <c r="S936" s="26"/>
      <c r="T936" s="26"/>
      <c r="U936" s="26"/>
      <c r="V936" s="26"/>
      <c r="W936" s="26"/>
      <c r="X936" s="26"/>
      <c r="Y936" s="26"/>
      <c r="Z936" s="26"/>
    </row>
    <row r="937" spans="1:26" ht="19.5" customHeight="1" x14ac:dyDescent="0.85">
      <c r="A937" s="26"/>
      <c r="B937" s="26"/>
      <c r="C937" s="26"/>
      <c r="D937" s="26"/>
      <c r="E937" s="26"/>
      <c r="F937" s="26"/>
      <c r="G937" s="26"/>
      <c r="H937" s="26"/>
      <c r="I937" s="26"/>
      <c r="J937" s="26"/>
      <c r="K937" s="26"/>
      <c r="L937" s="26"/>
      <c r="M937" s="26"/>
      <c r="N937" s="26"/>
      <c r="O937" s="26"/>
      <c r="P937" s="26"/>
      <c r="Q937" s="26"/>
      <c r="R937" s="26"/>
      <c r="S937" s="26"/>
      <c r="T937" s="26"/>
      <c r="U937" s="26"/>
      <c r="V937" s="26"/>
      <c r="W937" s="26"/>
      <c r="X937" s="26"/>
      <c r="Y937" s="26"/>
      <c r="Z937" s="26"/>
    </row>
    <row r="938" spans="1:26" ht="19.5" customHeight="1" x14ac:dyDescent="0.85">
      <c r="A938" s="26"/>
      <c r="B938" s="26"/>
      <c r="C938" s="26"/>
      <c r="D938" s="26"/>
      <c r="E938" s="26"/>
      <c r="F938" s="26"/>
      <c r="G938" s="26"/>
      <c r="H938" s="26"/>
      <c r="I938" s="26"/>
      <c r="J938" s="26"/>
      <c r="K938" s="26"/>
      <c r="L938" s="26"/>
      <c r="M938" s="26"/>
      <c r="N938" s="26"/>
      <c r="O938" s="26"/>
      <c r="P938" s="26"/>
      <c r="Q938" s="26"/>
      <c r="R938" s="26"/>
      <c r="S938" s="26"/>
      <c r="T938" s="26"/>
      <c r="U938" s="26"/>
      <c r="V938" s="26"/>
      <c r="W938" s="26"/>
      <c r="X938" s="26"/>
      <c r="Y938" s="26"/>
      <c r="Z938" s="26"/>
    </row>
    <row r="939" spans="1:26" ht="19.5" customHeight="1" x14ac:dyDescent="0.85">
      <c r="A939" s="26"/>
      <c r="B939" s="26"/>
      <c r="C939" s="26"/>
      <c r="D939" s="26"/>
      <c r="E939" s="26"/>
      <c r="F939" s="26"/>
      <c r="G939" s="26"/>
      <c r="H939" s="26"/>
      <c r="I939" s="26"/>
      <c r="J939" s="26"/>
      <c r="K939" s="26"/>
      <c r="L939" s="26"/>
      <c r="M939" s="26"/>
      <c r="N939" s="26"/>
      <c r="O939" s="26"/>
      <c r="P939" s="26"/>
      <c r="Q939" s="26"/>
      <c r="R939" s="26"/>
      <c r="S939" s="26"/>
      <c r="T939" s="26"/>
      <c r="U939" s="26"/>
      <c r="V939" s="26"/>
      <c r="W939" s="26"/>
      <c r="X939" s="26"/>
      <c r="Y939" s="26"/>
      <c r="Z939" s="26"/>
    </row>
    <row r="940" spans="1:26" ht="19.5" customHeight="1" x14ac:dyDescent="0.85">
      <c r="A940" s="26"/>
      <c r="B940" s="26"/>
      <c r="C940" s="26"/>
      <c r="D940" s="26"/>
      <c r="E940" s="26"/>
      <c r="F940" s="26"/>
      <c r="G940" s="26"/>
      <c r="H940" s="26"/>
      <c r="I940" s="26"/>
      <c r="J940" s="26"/>
      <c r="K940" s="26"/>
      <c r="L940" s="26"/>
      <c r="M940" s="26"/>
      <c r="N940" s="26"/>
      <c r="O940" s="26"/>
      <c r="P940" s="26"/>
      <c r="Q940" s="26"/>
      <c r="R940" s="26"/>
      <c r="S940" s="26"/>
      <c r="T940" s="26"/>
      <c r="U940" s="26"/>
      <c r="V940" s="26"/>
      <c r="W940" s="26"/>
      <c r="X940" s="26"/>
      <c r="Y940" s="26"/>
      <c r="Z940" s="26"/>
    </row>
    <row r="941" spans="1:26" ht="19.5" customHeight="1" x14ac:dyDescent="0.85">
      <c r="A941" s="26"/>
      <c r="B941" s="26"/>
      <c r="C941" s="26"/>
      <c r="D941" s="26"/>
      <c r="E941" s="26"/>
      <c r="F941" s="26"/>
      <c r="G941" s="26"/>
      <c r="H941" s="26"/>
      <c r="I941" s="26"/>
      <c r="J941" s="26"/>
      <c r="K941" s="26"/>
      <c r="L941" s="26"/>
      <c r="M941" s="26"/>
      <c r="N941" s="26"/>
      <c r="O941" s="26"/>
      <c r="P941" s="26"/>
      <c r="Q941" s="26"/>
      <c r="R941" s="26"/>
      <c r="S941" s="26"/>
      <c r="T941" s="26"/>
      <c r="U941" s="26"/>
      <c r="V941" s="26"/>
      <c r="W941" s="26"/>
      <c r="X941" s="26"/>
      <c r="Y941" s="26"/>
      <c r="Z941" s="26"/>
    </row>
    <row r="942" spans="1:26" ht="19.5" customHeight="1" x14ac:dyDescent="0.85">
      <c r="A942" s="26"/>
      <c r="B942" s="26"/>
      <c r="C942" s="26"/>
      <c r="D942" s="26"/>
      <c r="E942" s="26"/>
      <c r="F942" s="26"/>
      <c r="G942" s="26"/>
      <c r="H942" s="26"/>
      <c r="I942" s="26"/>
      <c r="J942" s="26"/>
      <c r="K942" s="26"/>
      <c r="L942" s="26"/>
      <c r="M942" s="26"/>
      <c r="N942" s="26"/>
      <c r="O942" s="26"/>
      <c r="P942" s="26"/>
      <c r="Q942" s="26"/>
      <c r="R942" s="26"/>
      <c r="S942" s="26"/>
      <c r="T942" s="26"/>
      <c r="U942" s="26"/>
      <c r="V942" s="26"/>
      <c r="W942" s="26"/>
      <c r="X942" s="26"/>
      <c r="Y942" s="26"/>
      <c r="Z942" s="26"/>
    </row>
    <row r="943" spans="1:26" ht="19.5" customHeight="1" x14ac:dyDescent="0.85">
      <c r="A943" s="26"/>
      <c r="B943" s="26"/>
      <c r="C943" s="26"/>
      <c r="D943" s="26"/>
      <c r="E943" s="26"/>
      <c r="F943" s="26"/>
      <c r="G943" s="26"/>
      <c r="H943" s="26"/>
      <c r="I943" s="26"/>
      <c r="J943" s="26"/>
      <c r="K943" s="26"/>
      <c r="L943" s="26"/>
      <c r="M943" s="26"/>
      <c r="N943" s="26"/>
      <c r="O943" s="26"/>
      <c r="P943" s="26"/>
      <c r="Q943" s="26"/>
      <c r="R943" s="26"/>
      <c r="S943" s="26"/>
      <c r="T943" s="26"/>
      <c r="U943" s="26"/>
      <c r="V943" s="26"/>
      <c r="W943" s="26"/>
      <c r="X943" s="26"/>
      <c r="Y943" s="26"/>
      <c r="Z943" s="26"/>
    </row>
    <row r="944" spans="1:26" ht="19.5" customHeight="1" x14ac:dyDescent="0.85">
      <c r="A944" s="26"/>
      <c r="B944" s="26"/>
      <c r="C944" s="26"/>
      <c r="D944" s="26"/>
      <c r="E944" s="26"/>
      <c r="F944" s="26"/>
      <c r="G944" s="26"/>
      <c r="H944" s="26"/>
      <c r="I944" s="26"/>
      <c r="J944" s="26"/>
      <c r="K944" s="26"/>
      <c r="L944" s="26"/>
      <c r="M944" s="26"/>
      <c r="N944" s="26"/>
      <c r="O944" s="26"/>
      <c r="P944" s="26"/>
      <c r="Q944" s="26"/>
      <c r="R944" s="26"/>
      <c r="S944" s="26"/>
      <c r="T944" s="26"/>
      <c r="U944" s="26"/>
      <c r="V944" s="26"/>
      <c r="W944" s="26"/>
      <c r="X944" s="26"/>
      <c r="Y944" s="26"/>
      <c r="Z944" s="26"/>
    </row>
    <row r="945" spans="1:26" ht="19.5" customHeight="1" x14ac:dyDescent="0.85">
      <c r="A945" s="26"/>
      <c r="B945" s="26"/>
      <c r="C945" s="26"/>
      <c r="D945" s="26"/>
      <c r="E945" s="26"/>
      <c r="F945" s="26"/>
      <c r="G945" s="26"/>
      <c r="H945" s="26"/>
      <c r="I945" s="26"/>
      <c r="J945" s="26"/>
      <c r="K945" s="26"/>
      <c r="L945" s="26"/>
      <c r="M945" s="26"/>
      <c r="N945" s="26"/>
      <c r="O945" s="26"/>
      <c r="P945" s="26"/>
      <c r="Q945" s="26"/>
      <c r="R945" s="26"/>
      <c r="S945" s="26"/>
      <c r="T945" s="26"/>
      <c r="U945" s="26"/>
      <c r="V945" s="26"/>
      <c r="W945" s="26"/>
      <c r="X945" s="26"/>
      <c r="Y945" s="26"/>
      <c r="Z945" s="26"/>
    </row>
    <row r="946" spans="1:26" ht="19.5" customHeight="1" x14ac:dyDescent="0.85">
      <c r="A946" s="26"/>
      <c r="B946" s="26"/>
      <c r="C946" s="26"/>
      <c r="D946" s="26"/>
      <c r="E946" s="26"/>
      <c r="F946" s="26"/>
      <c r="G946" s="26"/>
      <c r="H946" s="26"/>
      <c r="I946" s="26"/>
      <c r="J946" s="26"/>
      <c r="K946" s="26"/>
      <c r="L946" s="26"/>
      <c r="M946" s="26"/>
      <c r="N946" s="26"/>
      <c r="O946" s="26"/>
      <c r="P946" s="26"/>
      <c r="Q946" s="26"/>
      <c r="R946" s="26"/>
      <c r="S946" s="26"/>
      <c r="T946" s="26"/>
      <c r="U946" s="26"/>
      <c r="V946" s="26"/>
      <c r="W946" s="26"/>
      <c r="X946" s="26"/>
      <c r="Y946" s="26"/>
      <c r="Z946" s="26"/>
    </row>
    <row r="947" spans="1:26" ht="19.5" customHeight="1" x14ac:dyDescent="0.85">
      <c r="A947" s="26"/>
      <c r="B947" s="26"/>
      <c r="C947" s="26"/>
      <c r="D947" s="26"/>
      <c r="E947" s="26"/>
      <c r="F947" s="26"/>
      <c r="G947" s="26"/>
      <c r="H947" s="26"/>
      <c r="I947" s="26"/>
      <c r="J947" s="26"/>
      <c r="K947" s="26"/>
      <c r="L947" s="26"/>
      <c r="M947" s="26"/>
      <c r="N947" s="26"/>
      <c r="O947" s="26"/>
      <c r="P947" s="26"/>
      <c r="Q947" s="26"/>
      <c r="R947" s="26"/>
      <c r="S947" s="26"/>
      <c r="T947" s="26"/>
      <c r="U947" s="26"/>
      <c r="V947" s="26"/>
      <c r="W947" s="26"/>
      <c r="X947" s="26"/>
      <c r="Y947" s="26"/>
      <c r="Z947" s="26"/>
    </row>
    <row r="948" spans="1:26" ht="19.5" customHeight="1" x14ac:dyDescent="0.85">
      <c r="A948" s="26"/>
      <c r="B948" s="26"/>
      <c r="C948" s="26"/>
      <c r="D948" s="26"/>
      <c r="E948" s="26"/>
      <c r="F948" s="26"/>
      <c r="G948" s="26"/>
      <c r="H948" s="26"/>
      <c r="I948" s="26"/>
      <c r="J948" s="26"/>
      <c r="K948" s="26"/>
      <c r="L948" s="26"/>
      <c r="M948" s="26"/>
      <c r="N948" s="26"/>
      <c r="O948" s="26"/>
      <c r="P948" s="26"/>
      <c r="Q948" s="26"/>
      <c r="R948" s="26"/>
      <c r="S948" s="26"/>
      <c r="T948" s="26"/>
      <c r="U948" s="26"/>
      <c r="V948" s="26"/>
      <c r="W948" s="26"/>
      <c r="X948" s="26"/>
      <c r="Y948" s="26"/>
      <c r="Z948" s="26"/>
    </row>
    <row r="949" spans="1:26" ht="19.5" customHeight="1" x14ac:dyDescent="0.85">
      <c r="A949" s="26"/>
      <c r="B949" s="26"/>
      <c r="C949" s="26"/>
      <c r="D949" s="26"/>
      <c r="E949" s="26"/>
      <c r="F949" s="26"/>
      <c r="G949" s="26"/>
      <c r="H949" s="26"/>
      <c r="I949" s="26"/>
      <c r="J949" s="26"/>
      <c r="K949" s="26"/>
      <c r="L949" s="26"/>
      <c r="M949" s="26"/>
      <c r="N949" s="26"/>
      <c r="O949" s="26"/>
      <c r="P949" s="26"/>
      <c r="Q949" s="26"/>
      <c r="R949" s="26"/>
      <c r="S949" s="26"/>
      <c r="T949" s="26"/>
      <c r="U949" s="26"/>
      <c r="V949" s="26"/>
      <c r="W949" s="26"/>
      <c r="X949" s="26"/>
      <c r="Y949" s="26"/>
      <c r="Z949" s="26"/>
    </row>
    <row r="950" spans="1:26" ht="19.5" customHeight="1" x14ac:dyDescent="0.85">
      <c r="A950" s="26"/>
      <c r="B950" s="26"/>
      <c r="C950" s="26"/>
      <c r="D950" s="26"/>
      <c r="E950" s="26"/>
      <c r="F950" s="26"/>
      <c r="G950" s="26"/>
      <c r="H950" s="26"/>
      <c r="I950" s="26"/>
      <c r="J950" s="26"/>
      <c r="K950" s="26"/>
      <c r="L950" s="26"/>
      <c r="M950" s="26"/>
      <c r="N950" s="26"/>
      <c r="O950" s="26"/>
      <c r="P950" s="26"/>
      <c r="Q950" s="26"/>
      <c r="R950" s="26"/>
      <c r="S950" s="26"/>
      <c r="T950" s="26"/>
      <c r="U950" s="26"/>
      <c r="V950" s="26"/>
      <c r="W950" s="26"/>
      <c r="X950" s="26"/>
      <c r="Y950" s="26"/>
      <c r="Z950" s="26"/>
    </row>
    <row r="951" spans="1:26" ht="19.5" customHeight="1" x14ac:dyDescent="0.85">
      <c r="A951" s="26"/>
      <c r="B951" s="26"/>
      <c r="C951" s="26"/>
      <c r="D951" s="26"/>
      <c r="E951" s="26"/>
      <c r="F951" s="26"/>
      <c r="G951" s="26"/>
      <c r="H951" s="26"/>
      <c r="I951" s="26"/>
      <c r="J951" s="26"/>
      <c r="K951" s="26"/>
      <c r="L951" s="26"/>
      <c r="M951" s="26"/>
      <c r="N951" s="26"/>
      <c r="O951" s="26"/>
      <c r="P951" s="26"/>
      <c r="Q951" s="26"/>
      <c r="R951" s="26"/>
      <c r="S951" s="26"/>
      <c r="T951" s="26"/>
      <c r="U951" s="26"/>
      <c r="V951" s="26"/>
      <c r="W951" s="26"/>
      <c r="X951" s="26"/>
      <c r="Y951" s="26"/>
      <c r="Z951" s="26"/>
    </row>
    <row r="952" spans="1:26" ht="19.5" customHeight="1" x14ac:dyDescent="0.85">
      <c r="A952" s="26"/>
      <c r="B952" s="26"/>
      <c r="C952" s="26"/>
      <c r="D952" s="26"/>
      <c r="E952" s="26"/>
      <c r="F952" s="26"/>
      <c r="G952" s="26"/>
      <c r="H952" s="26"/>
      <c r="I952" s="26"/>
      <c r="J952" s="26"/>
      <c r="K952" s="26"/>
      <c r="L952" s="26"/>
      <c r="M952" s="26"/>
      <c r="N952" s="26"/>
      <c r="O952" s="26"/>
      <c r="P952" s="26"/>
      <c r="Q952" s="26"/>
      <c r="R952" s="26"/>
      <c r="S952" s="26"/>
      <c r="T952" s="26"/>
      <c r="U952" s="26"/>
      <c r="V952" s="26"/>
      <c r="W952" s="26"/>
      <c r="X952" s="26"/>
      <c r="Y952" s="26"/>
      <c r="Z952" s="26"/>
    </row>
    <row r="953" spans="1:26" ht="19.5" customHeight="1" x14ac:dyDescent="0.85">
      <c r="A953" s="26"/>
      <c r="B953" s="26"/>
      <c r="C953" s="26"/>
      <c r="D953" s="26"/>
      <c r="E953" s="26"/>
      <c r="F953" s="26"/>
      <c r="G953" s="26"/>
      <c r="H953" s="26"/>
      <c r="I953" s="26"/>
      <c r="J953" s="26"/>
      <c r="K953" s="26"/>
      <c r="L953" s="26"/>
      <c r="M953" s="26"/>
      <c r="N953" s="26"/>
      <c r="O953" s="26"/>
      <c r="P953" s="26"/>
      <c r="Q953" s="26"/>
      <c r="R953" s="26"/>
      <c r="S953" s="26"/>
      <c r="T953" s="26"/>
      <c r="U953" s="26"/>
      <c r="V953" s="26"/>
      <c r="W953" s="26"/>
      <c r="X953" s="26"/>
      <c r="Y953" s="26"/>
      <c r="Z953" s="26"/>
    </row>
    <row r="954" spans="1:26" ht="19.5" customHeight="1" x14ac:dyDescent="0.85">
      <c r="A954" s="26"/>
      <c r="B954" s="26"/>
      <c r="C954" s="26"/>
      <c r="D954" s="26"/>
      <c r="E954" s="26"/>
      <c r="F954" s="26"/>
      <c r="G954" s="26"/>
      <c r="H954" s="26"/>
      <c r="I954" s="26"/>
      <c r="J954" s="26"/>
      <c r="K954" s="26"/>
      <c r="L954" s="26"/>
      <c r="M954" s="26"/>
      <c r="N954" s="26"/>
      <c r="O954" s="26"/>
      <c r="P954" s="26"/>
      <c r="Q954" s="26"/>
      <c r="R954" s="26"/>
      <c r="S954" s="26"/>
      <c r="T954" s="26"/>
      <c r="U954" s="26"/>
      <c r="V954" s="26"/>
      <c r="W954" s="26"/>
      <c r="X954" s="26"/>
      <c r="Y954" s="26"/>
      <c r="Z954" s="26"/>
    </row>
    <row r="955" spans="1:26" ht="19.5" customHeight="1" x14ac:dyDescent="0.85">
      <c r="A955" s="26"/>
      <c r="B955" s="26"/>
      <c r="C955" s="26"/>
      <c r="D955" s="26"/>
      <c r="E955" s="26"/>
      <c r="F955" s="26"/>
      <c r="G955" s="26"/>
      <c r="H955" s="26"/>
      <c r="I955" s="26"/>
      <c r="J955" s="26"/>
      <c r="K955" s="26"/>
      <c r="L955" s="26"/>
      <c r="M955" s="26"/>
      <c r="N955" s="26"/>
      <c r="O955" s="26"/>
      <c r="P955" s="26"/>
      <c r="Q955" s="26"/>
      <c r="R955" s="26"/>
      <c r="S955" s="26"/>
      <c r="T955" s="26"/>
      <c r="U955" s="26"/>
      <c r="V955" s="26"/>
      <c r="W955" s="26"/>
      <c r="X955" s="26"/>
      <c r="Y955" s="26"/>
      <c r="Z955" s="26"/>
    </row>
    <row r="956" spans="1:26" ht="19.5" customHeight="1" x14ac:dyDescent="0.85">
      <c r="A956" s="26"/>
      <c r="B956" s="26"/>
      <c r="C956" s="26"/>
      <c r="D956" s="26"/>
      <c r="E956" s="26"/>
      <c r="F956" s="26"/>
      <c r="G956" s="26"/>
      <c r="H956" s="26"/>
      <c r="I956" s="26"/>
      <c r="J956" s="26"/>
      <c r="K956" s="26"/>
      <c r="L956" s="26"/>
      <c r="M956" s="26"/>
      <c r="N956" s="26"/>
      <c r="O956" s="26"/>
      <c r="P956" s="26"/>
      <c r="Q956" s="26"/>
      <c r="R956" s="26"/>
      <c r="S956" s="26"/>
      <c r="T956" s="26"/>
      <c r="U956" s="26"/>
      <c r="V956" s="26"/>
      <c r="W956" s="26"/>
      <c r="X956" s="26"/>
      <c r="Y956" s="26"/>
      <c r="Z956" s="26"/>
    </row>
    <row r="957" spans="1:26" ht="19.5" customHeight="1" x14ac:dyDescent="0.85">
      <c r="A957" s="26"/>
      <c r="B957" s="26"/>
      <c r="C957" s="26"/>
      <c r="D957" s="26"/>
      <c r="E957" s="26"/>
      <c r="F957" s="26"/>
      <c r="G957" s="26"/>
      <c r="H957" s="26"/>
      <c r="I957" s="26"/>
      <c r="J957" s="26"/>
      <c r="K957" s="26"/>
      <c r="L957" s="26"/>
      <c r="M957" s="26"/>
      <c r="N957" s="26"/>
      <c r="O957" s="26"/>
      <c r="P957" s="26"/>
      <c r="Q957" s="26"/>
      <c r="R957" s="26"/>
      <c r="S957" s="26"/>
      <c r="T957" s="26"/>
      <c r="U957" s="26"/>
      <c r="V957" s="26"/>
      <c r="W957" s="26"/>
      <c r="X957" s="26"/>
      <c r="Y957" s="26"/>
      <c r="Z957" s="26"/>
    </row>
    <row r="958" spans="1:26" ht="19.5" customHeight="1" x14ac:dyDescent="0.85">
      <c r="A958" s="26"/>
      <c r="B958" s="26"/>
      <c r="C958" s="26"/>
      <c r="D958" s="26"/>
      <c r="E958" s="26"/>
      <c r="F958" s="26"/>
      <c r="G958" s="26"/>
      <c r="H958" s="26"/>
      <c r="I958" s="26"/>
      <c r="J958" s="26"/>
      <c r="K958" s="26"/>
      <c r="L958" s="26"/>
      <c r="M958" s="26"/>
      <c r="N958" s="26"/>
      <c r="O958" s="26"/>
      <c r="P958" s="26"/>
      <c r="Q958" s="26"/>
      <c r="R958" s="26"/>
      <c r="S958" s="26"/>
      <c r="T958" s="26"/>
      <c r="U958" s="26"/>
      <c r="V958" s="26"/>
      <c r="W958" s="26"/>
      <c r="X958" s="26"/>
      <c r="Y958" s="26"/>
      <c r="Z958" s="26"/>
    </row>
    <row r="959" spans="1:26" ht="19.5" customHeight="1" x14ac:dyDescent="0.85">
      <c r="A959" s="26"/>
      <c r="B959" s="26"/>
      <c r="C959" s="26"/>
      <c r="D959" s="26"/>
      <c r="E959" s="26"/>
      <c r="F959" s="26"/>
      <c r="G959" s="26"/>
      <c r="H959" s="26"/>
      <c r="I959" s="26"/>
      <c r="J959" s="26"/>
      <c r="K959" s="26"/>
      <c r="L959" s="26"/>
      <c r="M959" s="26"/>
      <c r="N959" s="26"/>
      <c r="O959" s="26"/>
      <c r="P959" s="26"/>
      <c r="Q959" s="26"/>
      <c r="R959" s="26"/>
      <c r="S959" s="26"/>
      <c r="T959" s="26"/>
      <c r="U959" s="26"/>
      <c r="V959" s="26"/>
      <c r="W959" s="26"/>
      <c r="X959" s="26"/>
      <c r="Y959" s="26"/>
      <c r="Z959" s="26"/>
    </row>
    <row r="960" spans="1:26" ht="19.5" customHeight="1" x14ac:dyDescent="0.85">
      <c r="A960" s="26"/>
      <c r="B960" s="26"/>
      <c r="C960" s="26"/>
      <c r="D960" s="26"/>
      <c r="E960" s="26"/>
      <c r="F960" s="26"/>
      <c r="G960" s="26"/>
      <c r="H960" s="26"/>
      <c r="I960" s="26"/>
      <c r="J960" s="26"/>
      <c r="K960" s="26"/>
      <c r="L960" s="26"/>
      <c r="M960" s="26"/>
      <c r="N960" s="26"/>
      <c r="O960" s="26"/>
      <c r="P960" s="26"/>
      <c r="Q960" s="26"/>
      <c r="R960" s="26"/>
      <c r="S960" s="26"/>
      <c r="T960" s="26"/>
      <c r="U960" s="26"/>
      <c r="V960" s="26"/>
      <c r="W960" s="26"/>
      <c r="X960" s="26"/>
      <c r="Y960" s="26"/>
      <c r="Z960" s="26"/>
    </row>
    <row r="961" spans="1:26" ht="19.5" customHeight="1" x14ac:dyDescent="0.85">
      <c r="A961" s="26"/>
      <c r="B961" s="26"/>
      <c r="C961" s="26"/>
      <c r="D961" s="26"/>
      <c r="E961" s="26"/>
      <c r="F961" s="26"/>
      <c r="G961" s="26"/>
      <c r="H961" s="26"/>
      <c r="I961" s="26"/>
      <c r="J961" s="26"/>
      <c r="K961" s="26"/>
      <c r="L961" s="26"/>
      <c r="M961" s="26"/>
      <c r="N961" s="26"/>
      <c r="O961" s="26"/>
      <c r="P961" s="26"/>
      <c r="Q961" s="26"/>
      <c r="R961" s="26"/>
      <c r="S961" s="26"/>
      <c r="T961" s="26"/>
      <c r="U961" s="26"/>
      <c r="V961" s="26"/>
      <c r="W961" s="26"/>
      <c r="X961" s="26"/>
      <c r="Y961" s="26"/>
      <c r="Z961" s="26"/>
    </row>
    <row r="962" spans="1:26" ht="19.5" customHeight="1" x14ac:dyDescent="0.85">
      <c r="A962" s="26"/>
      <c r="B962" s="26"/>
      <c r="C962" s="26"/>
      <c r="D962" s="26"/>
      <c r="E962" s="26"/>
      <c r="F962" s="26"/>
      <c r="G962" s="26"/>
      <c r="H962" s="26"/>
      <c r="I962" s="26"/>
      <c r="J962" s="26"/>
      <c r="K962" s="26"/>
      <c r="L962" s="26"/>
      <c r="M962" s="26"/>
      <c r="N962" s="26"/>
      <c r="O962" s="26"/>
      <c r="P962" s="26"/>
      <c r="Q962" s="26"/>
      <c r="R962" s="26"/>
      <c r="S962" s="26"/>
      <c r="T962" s="26"/>
      <c r="U962" s="26"/>
      <c r="V962" s="26"/>
      <c r="W962" s="26"/>
      <c r="X962" s="26"/>
      <c r="Y962" s="26"/>
      <c r="Z962" s="26"/>
    </row>
    <row r="963" spans="1:26" ht="19.5" customHeight="1" x14ac:dyDescent="0.85">
      <c r="A963" s="26"/>
      <c r="B963" s="26"/>
      <c r="C963" s="26"/>
      <c r="D963" s="26"/>
      <c r="E963" s="26"/>
      <c r="F963" s="26"/>
      <c r="G963" s="26"/>
      <c r="H963" s="26"/>
      <c r="I963" s="26"/>
      <c r="J963" s="26"/>
      <c r="K963" s="26"/>
      <c r="L963" s="26"/>
      <c r="M963" s="26"/>
      <c r="N963" s="26"/>
      <c r="O963" s="26"/>
      <c r="P963" s="26"/>
      <c r="Q963" s="26"/>
      <c r="R963" s="26"/>
      <c r="S963" s="26"/>
      <c r="T963" s="26"/>
      <c r="U963" s="26"/>
      <c r="V963" s="26"/>
      <c r="W963" s="26"/>
      <c r="X963" s="26"/>
      <c r="Y963" s="26"/>
      <c r="Z963" s="26"/>
    </row>
    <row r="964" spans="1:26" ht="19.5" customHeight="1" x14ac:dyDescent="0.85">
      <c r="A964" s="26"/>
      <c r="B964" s="26"/>
      <c r="C964" s="26"/>
      <c r="D964" s="26"/>
      <c r="E964" s="26"/>
      <c r="F964" s="26"/>
      <c r="G964" s="26"/>
      <c r="H964" s="26"/>
      <c r="I964" s="26"/>
      <c r="J964" s="26"/>
      <c r="K964" s="26"/>
      <c r="L964" s="26"/>
      <c r="M964" s="26"/>
      <c r="N964" s="26"/>
      <c r="O964" s="26"/>
      <c r="P964" s="26"/>
      <c r="Q964" s="26"/>
      <c r="R964" s="26"/>
      <c r="S964" s="26"/>
      <c r="T964" s="26"/>
      <c r="U964" s="26"/>
      <c r="V964" s="26"/>
      <c r="W964" s="26"/>
      <c r="X964" s="26"/>
      <c r="Y964" s="26"/>
      <c r="Z964" s="26"/>
    </row>
    <row r="965" spans="1:26" ht="19.5" customHeight="1" x14ac:dyDescent="0.85">
      <c r="A965" s="26"/>
      <c r="B965" s="26"/>
      <c r="C965" s="26"/>
      <c r="D965" s="26"/>
      <c r="E965" s="26"/>
      <c r="F965" s="26"/>
      <c r="G965" s="26"/>
      <c r="H965" s="26"/>
      <c r="I965" s="26"/>
      <c r="J965" s="26"/>
      <c r="K965" s="26"/>
      <c r="L965" s="26"/>
      <c r="M965" s="26"/>
      <c r="N965" s="26"/>
      <c r="O965" s="26"/>
      <c r="P965" s="26"/>
      <c r="Q965" s="26"/>
      <c r="R965" s="26"/>
      <c r="S965" s="26"/>
      <c r="T965" s="26"/>
      <c r="U965" s="26"/>
      <c r="V965" s="26"/>
      <c r="W965" s="26"/>
      <c r="X965" s="26"/>
      <c r="Y965" s="26"/>
      <c r="Z965" s="26"/>
    </row>
    <row r="966" spans="1:26" ht="19.5" customHeight="1" x14ac:dyDescent="0.85">
      <c r="A966" s="26"/>
      <c r="B966" s="26"/>
      <c r="C966" s="26"/>
      <c r="D966" s="26"/>
      <c r="E966" s="26"/>
      <c r="F966" s="26"/>
      <c r="G966" s="26"/>
      <c r="H966" s="26"/>
      <c r="I966" s="26"/>
      <c r="J966" s="26"/>
      <c r="K966" s="26"/>
      <c r="L966" s="26"/>
      <c r="M966" s="26"/>
      <c r="N966" s="26"/>
      <c r="O966" s="26"/>
      <c r="P966" s="26"/>
      <c r="Q966" s="26"/>
      <c r="R966" s="26"/>
      <c r="S966" s="26"/>
      <c r="T966" s="26"/>
      <c r="U966" s="26"/>
      <c r="V966" s="26"/>
      <c r="W966" s="26"/>
      <c r="X966" s="26"/>
      <c r="Y966" s="26"/>
      <c r="Z966" s="26"/>
    </row>
    <row r="967" spans="1:26" ht="19.5" customHeight="1" x14ac:dyDescent="0.85">
      <c r="A967" s="26"/>
      <c r="B967" s="26"/>
      <c r="C967" s="26"/>
      <c r="D967" s="26"/>
      <c r="E967" s="26"/>
      <c r="F967" s="26"/>
      <c r="G967" s="26"/>
      <c r="H967" s="26"/>
      <c r="I967" s="26"/>
      <c r="J967" s="26"/>
      <c r="K967" s="26"/>
      <c r="L967" s="26"/>
      <c r="M967" s="26"/>
      <c r="N967" s="26"/>
      <c r="O967" s="26"/>
      <c r="P967" s="26"/>
      <c r="Q967" s="26"/>
      <c r="R967" s="26"/>
      <c r="S967" s="26"/>
      <c r="T967" s="26"/>
      <c r="U967" s="26"/>
      <c r="V967" s="26"/>
      <c r="W967" s="26"/>
      <c r="X967" s="26"/>
      <c r="Y967" s="26"/>
      <c r="Z967" s="26"/>
    </row>
    <row r="968" spans="1:26" ht="19.5" customHeight="1" x14ac:dyDescent="0.85">
      <c r="A968" s="26"/>
      <c r="B968" s="26"/>
      <c r="C968" s="26"/>
      <c r="D968" s="26"/>
      <c r="E968" s="26"/>
      <c r="F968" s="26"/>
      <c r="G968" s="26"/>
      <c r="H968" s="26"/>
      <c r="I968" s="26"/>
      <c r="J968" s="26"/>
      <c r="K968" s="26"/>
      <c r="L968" s="26"/>
      <c r="M968" s="26"/>
      <c r="N968" s="26"/>
      <c r="O968" s="26"/>
      <c r="P968" s="26"/>
      <c r="Q968" s="26"/>
      <c r="R968" s="26"/>
      <c r="S968" s="26"/>
      <c r="T968" s="26"/>
      <c r="U968" s="26"/>
      <c r="V968" s="26"/>
      <c r="W968" s="26"/>
      <c r="X968" s="26"/>
      <c r="Y968" s="26"/>
      <c r="Z968" s="26"/>
    </row>
    <row r="969" spans="1:26" ht="19.5" customHeight="1" x14ac:dyDescent="0.85">
      <c r="A969" s="26"/>
      <c r="B969" s="26"/>
      <c r="C969" s="26"/>
      <c r="D969" s="26"/>
      <c r="E969" s="26"/>
      <c r="F969" s="26"/>
      <c r="G969" s="26"/>
      <c r="H969" s="26"/>
      <c r="I969" s="26"/>
      <c r="J969" s="26"/>
      <c r="K969" s="26"/>
      <c r="L969" s="26"/>
      <c r="M969" s="26"/>
      <c r="N969" s="26"/>
      <c r="O969" s="26"/>
      <c r="P969" s="26"/>
      <c r="Q969" s="26"/>
      <c r="R969" s="26"/>
      <c r="S969" s="26"/>
      <c r="T969" s="26"/>
      <c r="U969" s="26"/>
      <c r="V969" s="26"/>
      <c r="W969" s="26"/>
      <c r="X969" s="26"/>
      <c r="Y969" s="26"/>
      <c r="Z969" s="26"/>
    </row>
    <row r="970" spans="1:26" ht="19.5" customHeight="1" x14ac:dyDescent="0.85">
      <c r="A970" s="26"/>
      <c r="B970" s="26"/>
      <c r="C970" s="26"/>
      <c r="D970" s="26"/>
      <c r="E970" s="26"/>
      <c r="F970" s="26"/>
      <c r="G970" s="26"/>
      <c r="H970" s="26"/>
      <c r="I970" s="26"/>
      <c r="J970" s="26"/>
      <c r="K970" s="26"/>
      <c r="L970" s="26"/>
      <c r="M970" s="26"/>
      <c r="N970" s="26"/>
      <c r="O970" s="26"/>
      <c r="P970" s="26"/>
      <c r="Q970" s="26"/>
      <c r="R970" s="26"/>
      <c r="S970" s="26"/>
      <c r="T970" s="26"/>
      <c r="U970" s="26"/>
      <c r="V970" s="26"/>
      <c r="W970" s="26"/>
      <c r="X970" s="26"/>
      <c r="Y970" s="26"/>
      <c r="Z970" s="26"/>
    </row>
    <row r="971" spans="1:26" ht="19.5" customHeight="1" x14ac:dyDescent="0.85">
      <c r="A971" s="26"/>
      <c r="B971" s="26"/>
      <c r="C971" s="26"/>
      <c r="D971" s="26"/>
      <c r="E971" s="26"/>
      <c r="F971" s="26"/>
      <c r="G971" s="26"/>
      <c r="H971" s="26"/>
      <c r="I971" s="26"/>
      <c r="J971" s="26"/>
      <c r="K971" s="26"/>
      <c r="L971" s="26"/>
      <c r="M971" s="26"/>
      <c r="N971" s="26"/>
      <c r="O971" s="26"/>
      <c r="P971" s="26"/>
      <c r="Q971" s="26"/>
      <c r="R971" s="26"/>
      <c r="S971" s="26"/>
      <c r="T971" s="26"/>
      <c r="U971" s="26"/>
      <c r="V971" s="26"/>
      <c r="W971" s="26"/>
      <c r="X971" s="26"/>
      <c r="Y971" s="26"/>
      <c r="Z971" s="26"/>
    </row>
    <row r="972" spans="1:26" ht="19.5" customHeight="1" x14ac:dyDescent="0.85">
      <c r="A972" s="26"/>
      <c r="B972" s="26"/>
      <c r="C972" s="26"/>
      <c r="D972" s="26"/>
      <c r="E972" s="26"/>
      <c r="F972" s="26"/>
      <c r="G972" s="26"/>
      <c r="H972" s="26"/>
      <c r="I972" s="26"/>
      <c r="J972" s="26"/>
      <c r="K972" s="26"/>
      <c r="L972" s="26"/>
      <c r="M972" s="26"/>
      <c r="N972" s="26"/>
      <c r="O972" s="26"/>
      <c r="P972" s="26"/>
      <c r="Q972" s="26"/>
      <c r="R972" s="26"/>
      <c r="S972" s="26"/>
      <c r="T972" s="26"/>
      <c r="U972" s="26"/>
      <c r="V972" s="26"/>
      <c r="W972" s="26"/>
      <c r="X972" s="26"/>
      <c r="Y972" s="26"/>
      <c r="Z972" s="26"/>
    </row>
    <row r="973" spans="1:26" ht="19.5" customHeight="1" x14ac:dyDescent="0.85">
      <c r="A973" s="26"/>
      <c r="B973" s="26"/>
      <c r="C973" s="26"/>
      <c r="D973" s="26"/>
      <c r="E973" s="26"/>
      <c r="F973" s="26"/>
      <c r="G973" s="26"/>
      <c r="H973" s="26"/>
      <c r="I973" s="26"/>
      <c r="J973" s="26"/>
      <c r="K973" s="26"/>
      <c r="L973" s="26"/>
      <c r="M973" s="26"/>
      <c r="N973" s="26"/>
      <c r="O973" s="26"/>
      <c r="P973" s="26"/>
      <c r="Q973" s="26"/>
      <c r="R973" s="26"/>
      <c r="S973" s="26"/>
      <c r="T973" s="26"/>
      <c r="U973" s="26"/>
      <c r="V973" s="26"/>
      <c r="W973" s="26"/>
      <c r="X973" s="26"/>
      <c r="Y973" s="26"/>
      <c r="Z973" s="26"/>
    </row>
    <row r="974" spans="1:26" ht="19.5" customHeight="1" x14ac:dyDescent="0.85">
      <c r="A974" s="26"/>
      <c r="B974" s="26"/>
      <c r="C974" s="26"/>
      <c r="D974" s="26"/>
      <c r="E974" s="26"/>
      <c r="F974" s="26"/>
      <c r="G974" s="26"/>
      <c r="H974" s="26"/>
      <c r="I974" s="26"/>
      <c r="J974" s="26"/>
      <c r="K974" s="26"/>
      <c r="L974" s="26"/>
      <c r="M974" s="26"/>
      <c r="N974" s="26"/>
      <c r="O974" s="26"/>
      <c r="P974" s="26"/>
      <c r="Q974" s="26"/>
      <c r="R974" s="26"/>
      <c r="S974" s="26"/>
      <c r="T974" s="26"/>
      <c r="U974" s="26"/>
      <c r="V974" s="26"/>
      <c r="W974" s="26"/>
      <c r="X974" s="26"/>
      <c r="Y974" s="26"/>
      <c r="Z974" s="26"/>
    </row>
    <row r="975" spans="1:26" ht="19.5" customHeight="1" x14ac:dyDescent="0.85">
      <c r="A975" s="26"/>
      <c r="B975" s="26"/>
      <c r="C975" s="26"/>
      <c r="D975" s="26"/>
      <c r="E975" s="26"/>
      <c r="F975" s="26"/>
      <c r="G975" s="26"/>
      <c r="H975" s="26"/>
      <c r="I975" s="26"/>
      <c r="J975" s="26"/>
      <c r="K975" s="26"/>
      <c r="L975" s="26"/>
      <c r="M975" s="26"/>
      <c r="N975" s="26"/>
      <c r="O975" s="26"/>
      <c r="P975" s="26"/>
      <c r="Q975" s="26"/>
      <c r="R975" s="26"/>
      <c r="S975" s="26"/>
      <c r="T975" s="26"/>
      <c r="U975" s="26"/>
      <c r="V975" s="26"/>
      <c r="W975" s="26"/>
      <c r="X975" s="26"/>
      <c r="Y975" s="26"/>
      <c r="Z975" s="26"/>
    </row>
    <row r="976" spans="1:26" ht="19.5" customHeight="1" x14ac:dyDescent="0.85">
      <c r="A976" s="26"/>
      <c r="B976" s="26"/>
      <c r="C976" s="26"/>
      <c r="D976" s="26"/>
      <c r="E976" s="26"/>
      <c r="F976" s="26"/>
      <c r="G976" s="26"/>
      <c r="H976" s="26"/>
      <c r="I976" s="26"/>
      <c r="J976" s="26"/>
      <c r="K976" s="26"/>
      <c r="L976" s="26"/>
      <c r="M976" s="26"/>
      <c r="N976" s="26"/>
      <c r="O976" s="26"/>
      <c r="P976" s="26"/>
      <c r="Q976" s="26"/>
      <c r="R976" s="26"/>
      <c r="S976" s="26"/>
      <c r="T976" s="26"/>
      <c r="U976" s="26"/>
      <c r="V976" s="26"/>
      <c r="W976" s="26"/>
      <c r="X976" s="26"/>
      <c r="Y976" s="26"/>
      <c r="Z976" s="26"/>
    </row>
    <row r="977" spans="1:26" ht="19.5" customHeight="1" x14ac:dyDescent="0.85">
      <c r="A977" s="26"/>
      <c r="B977" s="26"/>
      <c r="C977" s="26"/>
      <c r="D977" s="26"/>
      <c r="E977" s="26"/>
      <c r="F977" s="26"/>
      <c r="G977" s="26"/>
      <c r="H977" s="26"/>
      <c r="I977" s="26"/>
      <c r="J977" s="26"/>
      <c r="K977" s="26"/>
      <c r="L977" s="26"/>
      <c r="M977" s="26"/>
      <c r="N977" s="26"/>
      <c r="O977" s="26"/>
      <c r="P977" s="26"/>
      <c r="Q977" s="26"/>
      <c r="R977" s="26"/>
      <c r="S977" s="26"/>
      <c r="T977" s="26"/>
      <c r="U977" s="26"/>
      <c r="V977" s="26"/>
      <c r="W977" s="26"/>
      <c r="X977" s="26"/>
      <c r="Y977" s="26"/>
      <c r="Z977" s="26"/>
    </row>
    <row r="978" spans="1:26" ht="19.5" customHeight="1" x14ac:dyDescent="0.85">
      <c r="A978" s="26"/>
      <c r="B978" s="26"/>
      <c r="C978" s="26"/>
      <c r="D978" s="26"/>
      <c r="E978" s="26"/>
      <c r="F978" s="26"/>
      <c r="G978" s="26"/>
      <c r="H978" s="26"/>
      <c r="I978" s="26"/>
      <c r="J978" s="26"/>
      <c r="K978" s="26"/>
      <c r="L978" s="26"/>
      <c r="M978" s="26"/>
      <c r="N978" s="26"/>
      <c r="O978" s="26"/>
      <c r="P978" s="26"/>
      <c r="Q978" s="26"/>
      <c r="R978" s="26"/>
      <c r="S978" s="26"/>
      <c r="T978" s="26"/>
      <c r="U978" s="26"/>
      <c r="V978" s="26"/>
      <c r="W978" s="26"/>
      <c r="X978" s="26"/>
      <c r="Y978" s="26"/>
      <c r="Z978" s="26"/>
    </row>
    <row r="979" spans="1:26" ht="19.5" customHeight="1" x14ac:dyDescent="0.85">
      <c r="A979" s="26"/>
      <c r="B979" s="26"/>
      <c r="C979" s="26"/>
      <c r="D979" s="26"/>
      <c r="E979" s="26"/>
      <c r="F979" s="26"/>
      <c r="G979" s="26"/>
      <c r="H979" s="26"/>
      <c r="I979" s="26"/>
      <c r="J979" s="26"/>
      <c r="K979" s="26"/>
      <c r="L979" s="26"/>
      <c r="M979" s="26"/>
      <c r="N979" s="26"/>
      <c r="O979" s="26"/>
      <c r="P979" s="26"/>
      <c r="Q979" s="26"/>
      <c r="R979" s="26"/>
      <c r="S979" s="26"/>
      <c r="T979" s="26"/>
      <c r="U979" s="26"/>
      <c r="V979" s="26"/>
      <c r="W979" s="26"/>
      <c r="X979" s="26"/>
      <c r="Y979" s="26"/>
      <c r="Z979" s="26"/>
    </row>
    <row r="980" spans="1:26" ht="19.5" customHeight="1" x14ac:dyDescent="0.85">
      <c r="A980" s="26"/>
      <c r="B980" s="26"/>
      <c r="C980" s="26"/>
      <c r="D980" s="26"/>
      <c r="E980" s="26"/>
      <c r="F980" s="26"/>
      <c r="G980" s="26"/>
      <c r="H980" s="26"/>
      <c r="I980" s="26"/>
      <c r="J980" s="26"/>
      <c r="K980" s="26"/>
      <c r="L980" s="26"/>
      <c r="M980" s="26"/>
      <c r="N980" s="26"/>
      <c r="O980" s="26"/>
      <c r="P980" s="26"/>
      <c r="Q980" s="26"/>
      <c r="R980" s="26"/>
      <c r="S980" s="26"/>
      <c r="T980" s="26"/>
      <c r="U980" s="26"/>
      <c r="V980" s="26"/>
      <c r="W980" s="26"/>
      <c r="X980" s="26"/>
      <c r="Y980" s="26"/>
      <c r="Z980" s="26"/>
    </row>
    <row r="981" spans="1:26" ht="19.5" customHeight="1" x14ac:dyDescent="0.85">
      <c r="A981" s="26"/>
      <c r="B981" s="26"/>
      <c r="C981" s="26"/>
      <c r="D981" s="26"/>
      <c r="E981" s="26"/>
      <c r="F981" s="26"/>
      <c r="G981" s="26"/>
      <c r="H981" s="26"/>
      <c r="I981" s="26"/>
      <c r="J981" s="26"/>
      <c r="K981" s="26"/>
      <c r="L981" s="26"/>
      <c r="M981" s="26"/>
      <c r="N981" s="26"/>
      <c r="O981" s="26"/>
      <c r="P981" s="26"/>
      <c r="Q981" s="26"/>
      <c r="R981" s="26"/>
      <c r="S981" s="26"/>
      <c r="T981" s="26"/>
      <c r="U981" s="26"/>
      <c r="V981" s="26"/>
      <c r="W981" s="26"/>
      <c r="X981" s="26"/>
      <c r="Y981" s="26"/>
      <c r="Z981" s="26"/>
    </row>
    <row r="982" spans="1:26" ht="19.5" customHeight="1" x14ac:dyDescent="0.85">
      <c r="A982" s="26"/>
      <c r="B982" s="26"/>
      <c r="C982" s="26"/>
      <c r="D982" s="26"/>
      <c r="E982" s="26"/>
      <c r="F982" s="26"/>
      <c r="G982" s="26"/>
      <c r="H982" s="26"/>
      <c r="I982" s="26"/>
      <c r="J982" s="26"/>
      <c r="K982" s="26"/>
      <c r="L982" s="26"/>
      <c r="M982" s="26"/>
      <c r="N982" s="26"/>
      <c r="O982" s="26"/>
      <c r="P982" s="26"/>
      <c r="Q982" s="26"/>
      <c r="R982" s="26"/>
      <c r="S982" s="26"/>
      <c r="T982" s="26"/>
      <c r="U982" s="26"/>
      <c r="V982" s="26"/>
      <c r="W982" s="26"/>
      <c r="X982" s="26"/>
      <c r="Y982" s="26"/>
      <c r="Z982" s="26"/>
    </row>
    <row r="983" spans="1:26" ht="19.5" customHeight="1" x14ac:dyDescent="0.85">
      <c r="A983" s="26"/>
      <c r="B983" s="26"/>
      <c r="C983" s="26"/>
      <c r="D983" s="26"/>
      <c r="E983" s="26"/>
      <c r="F983" s="26"/>
      <c r="G983" s="26"/>
      <c r="H983" s="26"/>
      <c r="I983" s="26"/>
      <c r="J983" s="26"/>
      <c r="K983" s="26"/>
      <c r="L983" s="26"/>
      <c r="M983" s="26"/>
      <c r="N983" s="26"/>
      <c r="O983" s="26"/>
      <c r="P983" s="26"/>
      <c r="Q983" s="26"/>
      <c r="R983" s="26"/>
      <c r="S983" s="26"/>
      <c r="T983" s="26"/>
      <c r="U983" s="26"/>
      <c r="V983" s="26"/>
      <c r="W983" s="26"/>
      <c r="X983" s="26"/>
      <c r="Y983" s="26"/>
      <c r="Z983" s="26"/>
    </row>
    <row r="984" spans="1:26" ht="19.5" customHeight="1" x14ac:dyDescent="0.85">
      <c r="A984" s="26"/>
      <c r="B984" s="26"/>
      <c r="C984" s="26"/>
      <c r="D984" s="26"/>
      <c r="E984" s="26"/>
      <c r="F984" s="26"/>
      <c r="G984" s="26"/>
      <c r="H984" s="26"/>
      <c r="I984" s="26"/>
      <c r="J984" s="26"/>
      <c r="K984" s="26"/>
      <c r="L984" s="26"/>
      <c r="M984" s="26"/>
      <c r="N984" s="26"/>
      <c r="O984" s="26"/>
      <c r="P984" s="26"/>
      <c r="Q984" s="26"/>
      <c r="R984" s="26"/>
      <c r="S984" s="26"/>
      <c r="T984" s="26"/>
      <c r="U984" s="26"/>
      <c r="V984" s="26"/>
      <c r="W984" s="26"/>
      <c r="X984" s="26"/>
      <c r="Y984" s="26"/>
      <c r="Z984" s="26"/>
    </row>
    <row r="985" spans="1:26" ht="19.5" customHeight="1" x14ac:dyDescent="0.85">
      <c r="A985" s="26"/>
      <c r="B985" s="26"/>
      <c r="C985" s="26"/>
      <c r="D985" s="26"/>
      <c r="E985" s="26"/>
      <c r="F985" s="26"/>
      <c r="G985" s="26"/>
      <c r="H985" s="26"/>
      <c r="I985" s="26"/>
      <c r="J985" s="26"/>
      <c r="K985" s="26"/>
      <c r="L985" s="26"/>
      <c r="M985" s="26"/>
      <c r="N985" s="26"/>
      <c r="O985" s="26"/>
      <c r="P985" s="26"/>
      <c r="Q985" s="26"/>
      <c r="R985" s="26"/>
      <c r="S985" s="26"/>
      <c r="T985" s="26"/>
      <c r="U985" s="26"/>
      <c r="V985" s="26"/>
      <c r="W985" s="26"/>
      <c r="X985" s="26"/>
      <c r="Y985" s="26"/>
      <c r="Z985" s="26"/>
    </row>
    <row r="986" spans="1:26" ht="19.5" customHeight="1" x14ac:dyDescent="0.85">
      <c r="A986" s="26"/>
      <c r="B986" s="26"/>
      <c r="C986" s="26"/>
      <c r="D986" s="26"/>
      <c r="E986" s="26"/>
      <c r="F986" s="26"/>
      <c r="G986" s="26"/>
      <c r="H986" s="26"/>
      <c r="I986" s="26"/>
      <c r="J986" s="26"/>
      <c r="K986" s="26"/>
      <c r="L986" s="26"/>
      <c r="M986" s="26"/>
      <c r="N986" s="26"/>
      <c r="O986" s="26"/>
      <c r="P986" s="26"/>
      <c r="Q986" s="26"/>
      <c r="R986" s="26"/>
      <c r="S986" s="26"/>
      <c r="T986" s="26"/>
      <c r="U986" s="26"/>
      <c r="V986" s="26"/>
      <c r="W986" s="26"/>
      <c r="X986" s="26"/>
      <c r="Y986" s="26"/>
      <c r="Z986" s="26"/>
    </row>
    <row r="987" spans="1:26" ht="19.5" customHeight="1" x14ac:dyDescent="0.85">
      <c r="A987" s="26"/>
      <c r="B987" s="26"/>
      <c r="C987" s="26"/>
      <c r="D987" s="26"/>
      <c r="E987" s="26"/>
      <c r="F987" s="26"/>
      <c r="G987" s="26"/>
      <c r="H987" s="26"/>
      <c r="I987" s="26"/>
      <c r="J987" s="26"/>
      <c r="K987" s="26"/>
      <c r="L987" s="26"/>
      <c r="M987" s="26"/>
      <c r="N987" s="26"/>
      <c r="O987" s="26"/>
      <c r="P987" s="26"/>
      <c r="Q987" s="26"/>
      <c r="R987" s="26"/>
      <c r="S987" s="26"/>
      <c r="T987" s="26"/>
      <c r="U987" s="26"/>
      <c r="V987" s="26"/>
      <c r="W987" s="26"/>
      <c r="X987" s="26"/>
      <c r="Y987" s="26"/>
      <c r="Z987" s="26"/>
    </row>
    <row r="988" spans="1:26" ht="19.5" customHeight="1" x14ac:dyDescent="0.85">
      <c r="A988" s="26"/>
      <c r="B988" s="26"/>
      <c r="C988" s="26"/>
      <c r="D988" s="26"/>
      <c r="E988" s="26"/>
      <c r="F988" s="26"/>
      <c r="G988" s="26"/>
      <c r="H988" s="26"/>
      <c r="I988" s="26"/>
      <c r="J988" s="26"/>
      <c r="K988" s="26"/>
      <c r="L988" s="26"/>
      <c r="M988" s="26"/>
      <c r="N988" s="26"/>
      <c r="O988" s="26"/>
      <c r="P988" s="26"/>
      <c r="Q988" s="26"/>
      <c r="R988" s="26"/>
      <c r="S988" s="26"/>
      <c r="T988" s="26"/>
      <c r="U988" s="26"/>
      <c r="V988" s="26"/>
      <c r="W988" s="26"/>
      <c r="X988" s="26"/>
      <c r="Y988" s="26"/>
      <c r="Z988" s="26"/>
    </row>
    <row r="989" spans="1:26" ht="19.5" customHeight="1" x14ac:dyDescent="0.85">
      <c r="A989" s="26"/>
      <c r="B989" s="26"/>
      <c r="C989" s="26"/>
      <c r="D989" s="26"/>
      <c r="E989" s="26"/>
      <c r="F989" s="26"/>
      <c r="G989" s="26"/>
      <c r="H989" s="26"/>
      <c r="I989" s="26"/>
      <c r="J989" s="26"/>
      <c r="K989" s="26"/>
      <c r="L989" s="26"/>
      <c r="M989" s="26"/>
      <c r="N989" s="26"/>
      <c r="O989" s="26"/>
      <c r="P989" s="26"/>
      <c r="Q989" s="26"/>
      <c r="R989" s="26"/>
      <c r="S989" s="26"/>
      <c r="T989" s="26"/>
      <c r="U989" s="26"/>
      <c r="V989" s="26"/>
      <c r="W989" s="26"/>
      <c r="X989" s="26"/>
      <c r="Y989" s="26"/>
      <c r="Z989" s="26"/>
    </row>
    <row r="990" spans="1:26" ht="19.5" customHeight="1" x14ac:dyDescent="0.85">
      <c r="A990" s="26"/>
      <c r="B990" s="26"/>
      <c r="C990" s="26"/>
      <c r="D990" s="26"/>
      <c r="E990" s="26"/>
      <c r="F990" s="26"/>
      <c r="G990" s="26"/>
      <c r="H990" s="26"/>
      <c r="I990" s="26"/>
      <c r="J990" s="26"/>
      <c r="K990" s="26"/>
      <c r="L990" s="26"/>
      <c r="M990" s="26"/>
      <c r="N990" s="26"/>
      <c r="O990" s="26"/>
      <c r="P990" s="26"/>
      <c r="Q990" s="26"/>
      <c r="R990" s="26"/>
      <c r="S990" s="26"/>
      <c r="T990" s="26"/>
      <c r="U990" s="26"/>
      <c r="V990" s="26"/>
      <c r="W990" s="26"/>
      <c r="X990" s="26"/>
      <c r="Y990" s="26"/>
      <c r="Z990" s="26"/>
    </row>
    <row r="991" spans="1:26" ht="19.5" customHeight="1" x14ac:dyDescent="0.85">
      <c r="A991" s="26"/>
      <c r="B991" s="26"/>
      <c r="C991" s="26"/>
      <c r="D991" s="26"/>
      <c r="E991" s="26"/>
      <c r="F991" s="26"/>
      <c r="G991" s="26"/>
      <c r="H991" s="26"/>
      <c r="I991" s="26"/>
      <c r="J991" s="26"/>
      <c r="K991" s="26"/>
      <c r="L991" s="26"/>
      <c r="M991" s="26"/>
      <c r="N991" s="26"/>
      <c r="O991" s="26"/>
      <c r="P991" s="26"/>
      <c r="Q991" s="26"/>
      <c r="R991" s="26"/>
      <c r="S991" s="26"/>
      <c r="T991" s="26"/>
      <c r="U991" s="26"/>
      <c r="V991" s="26"/>
      <c r="W991" s="26"/>
      <c r="X991" s="26"/>
      <c r="Y991" s="26"/>
      <c r="Z991" s="26"/>
    </row>
    <row r="992" spans="1:26" ht="19.5" customHeight="1" x14ac:dyDescent="0.85">
      <c r="A992" s="26"/>
      <c r="B992" s="26"/>
      <c r="C992" s="26"/>
      <c r="D992" s="26"/>
      <c r="E992" s="26"/>
      <c r="F992" s="26"/>
      <c r="G992" s="26"/>
      <c r="H992" s="26"/>
      <c r="I992" s="26"/>
      <c r="J992" s="26"/>
      <c r="K992" s="26"/>
      <c r="L992" s="26"/>
      <c r="M992" s="26"/>
      <c r="N992" s="26"/>
      <c r="O992" s="26"/>
      <c r="P992" s="26"/>
      <c r="Q992" s="26"/>
      <c r="R992" s="26"/>
      <c r="S992" s="26"/>
      <c r="T992" s="26"/>
      <c r="U992" s="26"/>
      <c r="V992" s="26"/>
      <c r="W992" s="26"/>
      <c r="X992" s="26"/>
      <c r="Y992" s="26"/>
      <c r="Z992" s="26"/>
    </row>
    <row r="993" spans="1:26" ht="19.5" customHeight="1" x14ac:dyDescent="0.85">
      <c r="A993" s="26"/>
      <c r="B993" s="26"/>
      <c r="C993" s="26"/>
      <c r="D993" s="26"/>
      <c r="E993" s="26"/>
      <c r="F993" s="26"/>
      <c r="G993" s="26"/>
      <c r="H993" s="26"/>
      <c r="I993" s="26"/>
      <c r="J993" s="26"/>
      <c r="K993" s="26"/>
      <c r="L993" s="26"/>
      <c r="M993" s="26"/>
      <c r="N993" s="26"/>
      <c r="O993" s="26"/>
      <c r="P993" s="26"/>
      <c r="Q993" s="26"/>
      <c r="R993" s="26"/>
      <c r="S993" s="26"/>
      <c r="T993" s="26"/>
      <c r="U993" s="26"/>
      <c r="V993" s="26"/>
      <c r="W993" s="26"/>
      <c r="X993" s="26"/>
      <c r="Y993" s="26"/>
      <c r="Z993" s="26"/>
    </row>
    <row r="994" spans="1:26" ht="19.5" customHeight="1" x14ac:dyDescent="0.85">
      <c r="A994" s="26"/>
      <c r="B994" s="26"/>
      <c r="C994" s="26"/>
      <c r="D994" s="26"/>
      <c r="E994" s="26"/>
      <c r="F994" s="26"/>
      <c r="G994" s="26"/>
      <c r="H994" s="26"/>
      <c r="I994" s="26"/>
      <c r="J994" s="26"/>
      <c r="K994" s="26"/>
      <c r="L994" s="26"/>
      <c r="M994" s="26"/>
      <c r="N994" s="26"/>
      <c r="O994" s="26"/>
      <c r="P994" s="26"/>
      <c r="Q994" s="26"/>
      <c r="R994" s="26"/>
      <c r="S994" s="26"/>
      <c r="T994" s="26"/>
      <c r="U994" s="26"/>
      <c r="V994" s="26"/>
      <c r="W994" s="26"/>
      <c r="X994" s="26"/>
      <c r="Y994" s="26"/>
      <c r="Z994" s="26"/>
    </row>
    <row r="995" spans="1:26" ht="19.5" customHeight="1" x14ac:dyDescent="0.85">
      <c r="A995" s="26"/>
      <c r="B995" s="26"/>
      <c r="C995" s="26"/>
      <c r="D995" s="26"/>
      <c r="E995" s="26"/>
      <c r="F995" s="26"/>
      <c r="G995" s="26"/>
      <c r="H995" s="26"/>
      <c r="I995" s="26"/>
      <c r="J995" s="26"/>
      <c r="K995" s="26"/>
      <c r="L995" s="26"/>
      <c r="M995" s="26"/>
      <c r="N995" s="26"/>
      <c r="O995" s="26"/>
      <c r="P995" s="26"/>
      <c r="Q995" s="26"/>
      <c r="R995" s="26"/>
      <c r="S995" s="26"/>
      <c r="T995" s="26"/>
      <c r="U995" s="26"/>
      <c r="V995" s="26"/>
      <c r="W995" s="26"/>
      <c r="X995" s="26"/>
      <c r="Y995" s="26"/>
      <c r="Z995" s="26"/>
    </row>
    <row r="996" spans="1:26" ht="19.5" customHeight="1" x14ac:dyDescent="0.85">
      <c r="A996" s="26"/>
      <c r="B996" s="26"/>
      <c r="C996" s="26"/>
      <c r="D996" s="26"/>
      <c r="E996" s="26"/>
      <c r="F996" s="26"/>
      <c r="G996" s="26"/>
      <c r="H996" s="26"/>
      <c r="I996" s="26"/>
      <c r="J996" s="26"/>
      <c r="K996" s="26"/>
      <c r="L996" s="26"/>
      <c r="M996" s="26"/>
      <c r="N996" s="26"/>
      <c r="O996" s="26"/>
      <c r="P996" s="26"/>
      <c r="Q996" s="26"/>
      <c r="R996" s="26"/>
      <c r="S996" s="26"/>
      <c r="T996" s="26"/>
      <c r="U996" s="26"/>
      <c r="V996" s="26"/>
      <c r="W996" s="26"/>
      <c r="X996" s="26"/>
      <c r="Y996" s="26"/>
      <c r="Z996" s="26"/>
    </row>
    <row r="997" spans="1:26" ht="19.5" customHeight="1" x14ac:dyDescent="0.85">
      <c r="A997" s="26"/>
      <c r="B997" s="26"/>
      <c r="C997" s="26"/>
      <c r="D997" s="26"/>
      <c r="E997" s="26"/>
      <c r="F997" s="26"/>
      <c r="G997" s="26"/>
      <c r="H997" s="26"/>
      <c r="I997" s="26"/>
      <c r="J997" s="26"/>
      <c r="K997" s="26"/>
      <c r="L997" s="26"/>
      <c r="M997" s="26"/>
      <c r="N997" s="26"/>
      <c r="O997" s="26"/>
      <c r="P997" s="26"/>
      <c r="Q997" s="26"/>
      <c r="R997" s="26"/>
      <c r="S997" s="26"/>
      <c r="T997" s="26"/>
      <c r="U997" s="26"/>
      <c r="V997" s="26"/>
      <c r="W997" s="26"/>
      <c r="X997" s="26"/>
      <c r="Y997" s="26"/>
      <c r="Z997" s="26"/>
    </row>
    <row r="998" spans="1:26" ht="19.5" customHeight="1" x14ac:dyDescent="0.85">
      <c r="A998" s="26"/>
      <c r="B998" s="26"/>
      <c r="C998" s="26"/>
      <c r="D998" s="26"/>
      <c r="E998" s="26"/>
      <c r="F998" s="26"/>
      <c r="G998" s="26"/>
      <c r="H998" s="26"/>
      <c r="I998" s="26"/>
      <c r="J998" s="26"/>
      <c r="K998" s="26"/>
      <c r="L998" s="26"/>
      <c r="M998" s="26"/>
      <c r="N998" s="26"/>
      <c r="O998" s="26"/>
      <c r="P998" s="26"/>
      <c r="Q998" s="26"/>
      <c r="R998" s="26"/>
      <c r="S998" s="26"/>
      <c r="T998" s="26"/>
      <c r="U998" s="26"/>
      <c r="V998" s="26"/>
      <c r="W998" s="26"/>
      <c r="X998" s="26"/>
      <c r="Y998" s="26"/>
      <c r="Z998" s="26"/>
    </row>
    <row r="999" spans="1:26" ht="19.5" customHeight="1" x14ac:dyDescent="0.85">
      <c r="A999" s="26"/>
      <c r="B999" s="26"/>
      <c r="C999" s="26"/>
      <c r="D999" s="26"/>
      <c r="E999" s="26"/>
      <c r="F999" s="26"/>
      <c r="G999" s="26"/>
      <c r="H999" s="26"/>
      <c r="I999" s="26"/>
      <c r="J999" s="26"/>
      <c r="K999" s="26"/>
      <c r="L999" s="26"/>
      <c r="M999" s="26"/>
      <c r="N999" s="26"/>
      <c r="O999" s="26"/>
      <c r="P999" s="26"/>
      <c r="Q999" s="26"/>
      <c r="R999" s="26"/>
      <c r="S999" s="26"/>
      <c r="T999" s="26"/>
      <c r="U999" s="26"/>
      <c r="V999" s="26"/>
      <c r="W999" s="26"/>
      <c r="X999" s="26"/>
      <c r="Y999" s="26"/>
      <c r="Z999" s="26"/>
    </row>
    <row r="1000" spans="1:26" ht="19.5" customHeight="1" x14ac:dyDescent="0.85">
      <c r="A1000" s="26"/>
      <c r="B1000" s="26"/>
      <c r="C1000" s="26"/>
      <c r="D1000" s="26"/>
      <c r="E1000" s="26"/>
      <c r="F1000" s="26"/>
      <c r="G1000" s="26"/>
      <c r="H1000" s="26"/>
      <c r="I1000" s="26"/>
      <c r="J1000" s="26"/>
      <c r="K1000" s="26"/>
      <c r="L1000" s="26"/>
      <c r="M1000" s="26"/>
      <c r="N1000" s="26"/>
      <c r="O1000" s="26"/>
      <c r="P1000" s="26"/>
      <c r="Q1000" s="26"/>
      <c r="R1000" s="26"/>
      <c r="S1000" s="26"/>
      <c r="T1000" s="26"/>
      <c r="U1000" s="26"/>
      <c r="V1000" s="26"/>
      <c r="W1000" s="26"/>
      <c r="X1000" s="26"/>
      <c r="Y1000" s="26"/>
      <c r="Z1000" s="26"/>
    </row>
  </sheetData>
  <mergeCells count="3">
    <mergeCell ref="A2:D2"/>
    <mergeCell ref="A28:D28"/>
    <mergeCell ref="D30:D40"/>
  </mergeCells>
  <hyperlinks>
    <hyperlink ref="D44" r:id="rId1" xr:uid="{00000000-0004-0000-0A00-000000000000}"/>
  </hyperlinks>
  <pageMargins left="0.7" right="0.7" top="0.75" bottom="0.75" header="0" footer="0"/>
  <pageSetup orientation="portrai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005569"/>
  </sheetPr>
  <dimension ref="A1:AF1000"/>
  <sheetViews>
    <sheetView workbookViewId="0"/>
  </sheetViews>
  <sheetFormatPr defaultColWidth="11.23046875" defaultRowHeight="15" customHeight="1" outlineLevelRow="1" x14ac:dyDescent="0.85"/>
  <cols>
    <col min="1" max="1" width="45" customWidth="1"/>
    <col min="2" max="5" width="20" customWidth="1"/>
    <col min="6" max="8" width="24" customWidth="1"/>
    <col min="9" max="11" width="20.61328125" customWidth="1"/>
    <col min="12" max="12" width="24.3828125" customWidth="1"/>
    <col min="13" max="13" width="8.61328125" customWidth="1"/>
    <col min="14" max="14" width="29.61328125" customWidth="1"/>
    <col min="15" max="32" width="8.61328125" customWidth="1"/>
  </cols>
  <sheetData>
    <row r="1" spans="1:32" ht="22.5" customHeight="1" x14ac:dyDescent="0.85">
      <c r="A1" s="252" t="s">
        <v>59</v>
      </c>
      <c r="B1" s="252"/>
      <c r="C1" s="252"/>
      <c r="D1" s="252"/>
      <c r="E1" s="252"/>
      <c r="F1" s="252"/>
      <c r="G1" s="252"/>
      <c r="H1" s="252"/>
      <c r="I1" s="252"/>
      <c r="J1" s="252"/>
      <c r="K1" s="252"/>
      <c r="L1" s="253"/>
      <c r="M1" s="3"/>
      <c r="N1" s="3"/>
      <c r="O1" s="3"/>
      <c r="P1" s="3"/>
      <c r="Q1" s="3"/>
      <c r="R1" s="3"/>
      <c r="S1" s="3"/>
      <c r="T1" s="3"/>
      <c r="U1" s="3"/>
      <c r="V1" s="3"/>
      <c r="W1" s="3"/>
      <c r="X1" s="3"/>
      <c r="Y1" s="3"/>
      <c r="Z1" s="3"/>
      <c r="AA1" s="3"/>
      <c r="AB1" s="3"/>
      <c r="AC1" s="3"/>
      <c r="AD1" s="3"/>
      <c r="AE1" s="3"/>
      <c r="AF1" s="3"/>
    </row>
    <row r="2" spans="1:32" ht="22.5" customHeight="1" x14ac:dyDescent="0.85">
      <c r="A2" s="254" t="s">
        <v>581</v>
      </c>
      <c r="B2" s="255"/>
      <c r="C2" s="255"/>
      <c r="D2" s="255"/>
      <c r="E2" s="255"/>
      <c r="F2" s="255"/>
      <c r="G2" s="255"/>
      <c r="H2" s="255"/>
      <c r="I2" s="255"/>
      <c r="J2" s="255"/>
      <c r="K2" s="255"/>
      <c r="L2" s="256"/>
      <c r="M2" s="3"/>
      <c r="N2" s="3"/>
      <c r="O2" s="3"/>
      <c r="P2" s="3"/>
      <c r="Q2" s="3"/>
      <c r="R2" s="3"/>
      <c r="S2" s="3"/>
      <c r="T2" s="3"/>
      <c r="U2" s="3"/>
      <c r="V2" s="3"/>
      <c r="W2" s="3"/>
      <c r="X2" s="3"/>
      <c r="Y2" s="3"/>
      <c r="Z2" s="3"/>
      <c r="AA2" s="3"/>
      <c r="AB2" s="3"/>
      <c r="AC2" s="3"/>
      <c r="AD2" s="3"/>
      <c r="AE2" s="3"/>
      <c r="AF2" s="3"/>
    </row>
    <row r="3" spans="1:32" ht="45.75" hidden="1" customHeight="1" outlineLevel="1" x14ac:dyDescent="0.85">
      <c r="A3" s="148" t="s">
        <v>582</v>
      </c>
      <c r="B3" s="257" t="s">
        <v>583</v>
      </c>
      <c r="C3" s="257" t="s">
        <v>584</v>
      </c>
      <c r="D3" s="257" t="s">
        <v>585</v>
      </c>
      <c r="E3" s="257" t="s">
        <v>586</v>
      </c>
      <c r="F3" s="257" t="s">
        <v>587</v>
      </c>
      <c r="G3" s="257" t="s">
        <v>588</v>
      </c>
      <c r="H3" s="257" t="s">
        <v>589</v>
      </c>
      <c r="I3" s="243" t="s">
        <v>120</v>
      </c>
      <c r="J3" s="148" t="s">
        <v>121</v>
      </c>
      <c r="K3" s="148" t="s">
        <v>122</v>
      </c>
      <c r="L3" s="3"/>
      <c r="M3" s="3"/>
      <c r="N3" s="3"/>
      <c r="O3" s="3"/>
      <c r="P3" s="3"/>
      <c r="Q3" s="3"/>
      <c r="R3" s="3"/>
      <c r="S3" s="3"/>
      <c r="T3" s="3"/>
      <c r="U3" s="3"/>
      <c r="V3" s="3"/>
      <c r="W3" s="3"/>
      <c r="X3" s="3"/>
      <c r="Y3" s="3"/>
      <c r="Z3" s="3"/>
      <c r="AA3" s="3"/>
      <c r="AB3" s="3"/>
      <c r="AC3" s="3"/>
      <c r="AD3" s="3"/>
      <c r="AE3" s="3"/>
      <c r="AF3" s="3"/>
    </row>
    <row r="4" spans="1:32" ht="22.5" hidden="1" customHeight="1" outlineLevel="1" x14ac:dyDescent="0.85">
      <c r="A4" s="89" t="s">
        <v>105</v>
      </c>
      <c r="B4" s="103">
        <f>SUM(B78,B87)</f>
        <v>987528.6662180156</v>
      </c>
      <c r="C4" s="103">
        <f>SUM(B223,B231)</f>
        <v>2027036.4164636249</v>
      </c>
      <c r="D4" s="103">
        <f>B265</f>
        <v>16.13682</v>
      </c>
      <c r="E4" s="39">
        <f>B248+B256</f>
        <v>6145.0806318442628</v>
      </c>
      <c r="F4" s="39">
        <f>B101</f>
        <v>26465.768254642815</v>
      </c>
      <c r="G4" s="103">
        <f t="shared" ref="G4:G8" si="0">SUM(B4:F4)</f>
        <v>3047192.0683881277</v>
      </c>
      <c r="H4" s="258" t="s">
        <v>106</v>
      </c>
      <c r="I4" s="103">
        <f t="shared" ref="I4:I8" si="1">SUM(C4:E4)</f>
        <v>2033197.6339154691</v>
      </c>
      <c r="J4" s="259">
        <f t="shared" ref="J4:J8" si="2">B4</f>
        <v>987528.6662180156</v>
      </c>
      <c r="K4" s="259">
        <f t="shared" ref="K4:K8" si="3">SUM(F4)</f>
        <v>26465.768254642815</v>
      </c>
      <c r="L4" s="15"/>
      <c r="M4" s="15"/>
      <c r="N4" s="15"/>
      <c r="O4" s="15"/>
      <c r="P4" s="15"/>
      <c r="Q4" s="15"/>
      <c r="R4" s="15"/>
      <c r="S4" s="15"/>
      <c r="T4" s="15"/>
      <c r="U4" s="15"/>
      <c r="V4" s="15"/>
      <c r="W4" s="15"/>
      <c r="X4" s="15"/>
      <c r="Y4" s="15"/>
      <c r="Z4" s="15"/>
      <c r="AA4" s="15"/>
      <c r="AB4" s="15"/>
      <c r="AC4" s="15"/>
      <c r="AD4" s="15"/>
      <c r="AE4" s="15"/>
      <c r="AF4" s="15"/>
    </row>
    <row r="5" spans="1:32" ht="22.5" hidden="1" customHeight="1" outlineLevel="1" x14ac:dyDescent="0.85">
      <c r="A5" s="89" t="s">
        <v>126</v>
      </c>
      <c r="B5" s="103">
        <f>SUM(C78,C87,C94,C163,C170,C177,C193,C200,C207)</f>
        <v>1212396.8176889278</v>
      </c>
      <c r="C5" s="103">
        <f>SUM(C223,C231)</f>
        <v>2048231.4551218757</v>
      </c>
      <c r="D5" s="103">
        <f>C265</f>
        <v>42.862183000000002</v>
      </c>
      <c r="E5" s="39">
        <f>C248+C256</f>
        <v>16929.752792262298</v>
      </c>
      <c r="F5" s="39">
        <f>C101+C184+C214</f>
        <v>33013.412489092647</v>
      </c>
      <c r="G5" s="103">
        <f t="shared" si="0"/>
        <v>3310614.3002751586</v>
      </c>
      <c r="H5" s="258">
        <f t="shared" ref="H5:H8" si="4">G5/$G$10</f>
        <v>0.78799993073512564</v>
      </c>
      <c r="I5" s="103">
        <f t="shared" si="1"/>
        <v>2065204.0700971379</v>
      </c>
      <c r="J5" s="259">
        <f t="shared" si="2"/>
        <v>1212396.8176889278</v>
      </c>
      <c r="K5" s="259">
        <f t="shared" si="3"/>
        <v>33013.412489092647</v>
      </c>
      <c r="L5" s="15"/>
      <c r="M5" s="15"/>
      <c r="N5" s="15"/>
      <c r="O5" s="15"/>
      <c r="P5" s="15"/>
      <c r="Q5" s="15"/>
      <c r="R5" s="15"/>
      <c r="S5" s="15"/>
      <c r="T5" s="15"/>
      <c r="U5" s="15"/>
      <c r="V5" s="15"/>
      <c r="W5" s="15"/>
      <c r="X5" s="15"/>
      <c r="Y5" s="15"/>
      <c r="Z5" s="15"/>
      <c r="AA5" s="15"/>
      <c r="AB5" s="15"/>
      <c r="AC5" s="15"/>
      <c r="AD5" s="15"/>
      <c r="AE5" s="15"/>
      <c r="AF5" s="15"/>
    </row>
    <row r="6" spans="1:32" ht="22.5" hidden="1" customHeight="1" outlineLevel="1" x14ac:dyDescent="0.85">
      <c r="A6" s="89" t="s">
        <v>127</v>
      </c>
      <c r="B6" s="103">
        <f>SUM(D78,D87,D110,D117,D94)</f>
        <v>219561.31878066954</v>
      </c>
      <c r="C6" s="103">
        <f>SUM(D223,D231)</f>
        <v>269579.91565794119</v>
      </c>
      <c r="D6" s="103">
        <f>D265</f>
        <v>24.822811999999999</v>
      </c>
      <c r="E6" s="39">
        <f>D248+D256</f>
        <v>6104.6016522065584</v>
      </c>
      <c r="F6" s="39">
        <f>D101+D124</f>
        <v>6173.5146888523595</v>
      </c>
      <c r="G6" s="103">
        <f t="shared" si="0"/>
        <v>501444.17359166965</v>
      </c>
      <c r="H6" s="258">
        <f t="shared" si="4"/>
        <v>0.11935488045977644</v>
      </c>
      <c r="I6" s="103">
        <f t="shared" si="1"/>
        <v>275709.34012214775</v>
      </c>
      <c r="J6" s="259">
        <f t="shared" si="2"/>
        <v>219561.31878066954</v>
      </c>
      <c r="K6" s="259">
        <f t="shared" si="3"/>
        <v>6173.5146888523595</v>
      </c>
      <c r="L6" s="15"/>
      <c r="M6" s="15"/>
      <c r="N6" s="15"/>
      <c r="O6" s="15"/>
      <c r="P6" s="15"/>
      <c r="Q6" s="15"/>
      <c r="R6" s="15"/>
      <c r="S6" s="15"/>
      <c r="T6" s="15"/>
      <c r="U6" s="15"/>
      <c r="V6" s="15"/>
      <c r="W6" s="15"/>
      <c r="X6" s="15"/>
      <c r="Y6" s="15"/>
      <c r="Z6" s="15"/>
      <c r="AA6" s="15"/>
      <c r="AB6" s="15"/>
      <c r="AC6" s="15"/>
      <c r="AD6" s="15"/>
      <c r="AE6" s="15"/>
      <c r="AF6" s="15"/>
    </row>
    <row r="7" spans="1:32" ht="22.5" hidden="1" customHeight="1" outlineLevel="1" x14ac:dyDescent="0.85">
      <c r="A7" s="89" t="s">
        <v>128</v>
      </c>
      <c r="B7" s="103">
        <f>SUM(E133,E140,E147,E193,E200,E207)</f>
        <v>129954.64500862056</v>
      </c>
      <c r="C7" s="103">
        <f>SUM(E223,E231)</f>
        <v>24712.40569067925</v>
      </c>
      <c r="D7" s="103">
        <f>E265</f>
        <v>12.819806999999999</v>
      </c>
      <c r="E7" s="103">
        <f>E248+E256</f>
        <v>1063.4741440049183</v>
      </c>
      <c r="F7" s="39">
        <f>E154+E214</f>
        <v>4668.5519140663509</v>
      </c>
      <c r="G7" s="103">
        <f t="shared" si="0"/>
        <v>160411.89656437107</v>
      </c>
      <c r="H7" s="258">
        <f t="shared" si="4"/>
        <v>3.8181603749886703E-2</v>
      </c>
      <c r="I7" s="103">
        <f t="shared" si="1"/>
        <v>25788.699641684168</v>
      </c>
      <c r="J7" s="259">
        <f t="shared" si="2"/>
        <v>129954.64500862056</v>
      </c>
      <c r="K7" s="259">
        <f t="shared" si="3"/>
        <v>4668.5519140663509</v>
      </c>
      <c r="L7" s="15"/>
      <c r="M7" s="15"/>
      <c r="N7" s="15"/>
      <c r="O7" s="15"/>
      <c r="P7" s="15"/>
      <c r="Q7" s="15"/>
      <c r="R7" s="15"/>
      <c r="S7" s="15"/>
      <c r="T7" s="15"/>
      <c r="U7" s="15"/>
      <c r="V7" s="15"/>
      <c r="W7" s="15"/>
      <c r="X7" s="15"/>
      <c r="Y7" s="15"/>
      <c r="Z7" s="15"/>
      <c r="AA7" s="15"/>
      <c r="AB7" s="15"/>
      <c r="AC7" s="15"/>
      <c r="AD7" s="15"/>
      <c r="AE7" s="15"/>
      <c r="AF7" s="15"/>
    </row>
    <row r="8" spans="1:32" ht="22.5" hidden="1" customHeight="1" outlineLevel="1" x14ac:dyDescent="0.85">
      <c r="A8" s="89" t="s">
        <v>129</v>
      </c>
      <c r="B8" s="103">
        <f>SUM(F78,F87,F94,F133,F140,F147,F163,F170,F177,F193,F200,F207)</f>
        <v>118984.42212488731</v>
      </c>
      <c r="C8" s="103">
        <f>SUM(F223,F231)</f>
        <v>100024.44834162401</v>
      </c>
      <c r="D8" s="103">
        <f>F265</f>
        <v>22.362445000000001</v>
      </c>
      <c r="E8" s="39">
        <f>F248+F256</f>
        <v>6465.787278939345</v>
      </c>
      <c r="F8" s="39">
        <f>F101+F154+F184+F214</f>
        <v>3320.1617600930649</v>
      </c>
      <c r="G8" s="103">
        <f t="shared" si="0"/>
        <v>228817.18195054375</v>
      </c>
      <c r="H8" s="258">
        <f t="shared" si="4"/>
        <v>5.4463585055211344E-2</v>
      </c>
      <c r="I8" s="103">
        <f t="shared" si="1"/>
        <v>106512.59806556336</v>
      </c>
      <c r="J8" s="259">
        <f t="shared" si="2"/>
        <v>118984.42212488731</v>
      </c>
      <c r="K8" s="259">
        <f t="shared" si="3"/>
        <v>3320.1617600930649</v>
      </c>
      <c r="L8" s="15"/>
      <c r="M8" s="15"/>
      <c r="N8" s="15"/>
      <c r="O8" s="15"/>
      <c r="P8" s="15"/>
      <c r="Q8" s="15"/>
      <c r="R8" s="15"/>
      <c r="S8" s="15"/>
      <c r="T8" s="15"/>
      <c r="U8" s="15"/>
      <c r="V8" s="15"/>
      <c r="W8" s="15"/>
      <c r="X8" s="15"/>
      <c r="Y8" s="15"/>
      <c r="Z8" s="15"/>
      <c r="AA8" s="15"/>
      <c r="AB8" s="15"/>
      <c r="AC8" s="15"/>
      <c r="AD8" s="15"/>
      <c r="AE8" s="15"/>
      <c r="AF8" s="15"/>
    </row>
    <row r="9" spans="1:32" ht="22.5" hidden="1" customHeight="1" outlineLevel="1" x14ac:dyDescent="0.85">
      <c r="A9" s="260" t="s">
        <v>590</v>
      </c>
      <c r="B9" s="261">
        <f t="shared" ref="B9:K9" si="5">B4</f>
        <v>987528.6662180156</v>
      </c>
      <c r="C9" s="261">
        <f t="shared" si="5"/>
        <v>2027036.4164636249</v>
      </c>
      <c r="D9" s="261">
        <f t="shared" si="5"/>
        <v>16.13682</v>
      </c>
      <c r="E9" s="261">
        <f t="shared" si="5"/>
        <v>6145.0806318442628</v>
      </c>
      <c r="F9" s="261">
        <f t="shared" si="5"/>
        <v>26465.768254642815</v>
      </c>
      <c r="G9" s="261">
        <f t="shared" si="5"/>
        <v>3047192.0683881277</v>
      </c>
      <c r="H9" s="261" t="str">
        <f t="shared" si="5"/>
        <v>N/A</v>
      </c>
      <c r="I9" s="261">
        <f t="shared" si="5"/>
        <v>2033197.6339154691</v>
      </c>
      <c r="J9" s="261">
        <f t="shared" si="5"/>
        <v>987528.6662180156</v>
      </c>
      <c r="K9" s="261">
        <f t="shared" si="5"/>
        <v>26465.768254642815</v>
      </c>
      <c r="L9" s="15"/>
      <c r="M9" s="15"/>
      <c r="N9" s="15"/>
      <c r="O9" s="15"/>
      <c r="P9" s="15"/>
      <c r="Q9" s="15"/>
      <c r="R9" s="15"/>
      <c r="S9" s="15"/>
      <c r="T9" s="15"/>
      <c r="U9" s="15"/>
      <c r="V9" s="15"/>
      <c r="W9" s="15"/>
      <c r="X9" s="15"/>
      <c r="Y9" s="15"/>
      <c r="Z9" s="15"/>
      <c r="AA9" s="15"/>
      <c r="AB9" s="15"/>
      <c r="AC9" s="15"/>
      <c r="AD9" s="15"/>
      <c r="AE9" s="15"/>
      <c r="AF9" s="15"/>
    </row>
    <row r="10" spans="1:32" ht="22.5" hidden="1" customHeight="1" outlineLevel="1" x14ac:dyDescent="0.85">
      <c r="A10" s="260" t="s">
        <v>111</v>
      </c>
      <c r="B10" s="261">
        <f t="shared" ref="B10:K10" si="6">SUM(B5:B8)</f>
        <v>1680897.2036031052</v>
      </c>
      <c r="C10" s="261">
        <f t="shared" si="6"/>
        <v>2442548.2248121202</v>
      </c>
      <c r="D10" s="261">
        <f t="shared" si="6"/>
        <v>102.86724699999999</v>
      </c>
      <c r="E10" s="261">
        <f t="shared" si="6"/>
        <v>30563.615867413118</v>
      </c>
      <c r="F10" s="261">
        <f t="shared" si="6"/>
        <v>47175.640852104421</v>
      </c>
      <c r="G10" s="261">
        <f t="shared" si="6"/>
        <v>4201287.5523817427</v>
      </c>
      <c r="H10" s="262">
        <f t="shared" si="6"/>
        <v>1.0000000000000002</v>
      </c>
      <c r="I10" s="261">
        <f t="shared" si="6"/>
        <v>2473214.7079265332</v>
      </c>
      <c r="J10" s="261">
        <f t="shared" si="6"/>
        <v>1680897.2036031052</v>
      </c>
      <c r="K10" s="261">
        <f t="shared" si="6"/>
        <v>47175.640852104421</v>
      </c>
      <c r="L10" s="15"/>
      <c r="M10" s="15"/>
      <c r="N10" s="15"/>
      <c r="O10" s="15"/>
      <c r="P10" s="15"/>
      <c r="Q10" s="15"/>
      <c r="R10" s="15"/>
      <c r="S10" s="15"/>
      <c r="T10" s="15"/>
      <c r="U10" s="15"/>
      <c r="V10" s="15"/>
      <c r="W10" s="15"/>
      <c r="X10" s="15"/>
      <c r="Y10" s="15"/>
      <c r="Z10" s="15"/>
      <c r="AA10" s="15"/>
      <c r="AB10" s="15"/>
      <c r="AC10" s="15"/>
      <c r="AD10" s="15"/>
      <c r="AE10" s="15"/>
      <c r="AF10" s="15"/>
    </row>
    <row r="11" spans="1:32" ht="25.5" customHeight="1" collapsed="1" x14ac:dyDescent="0.85">
      <c r="A11" s="263" t="s">
        <v>591</v>
      </c>
      <c r="B11" s="264"/>
      <c r="C11" s="264"/>
      <c r="D11" s="264"/>
      <c r="E11" s="264"/>
      <c r="F11" s="264"/>
      <c r="G11" s="264"/>
      <c r="H11" s="264"/>
      <c r="I11" s="264"/>
      <c r="J11" s="264"/>
      <c r="K11" s="264"/>
      <c r="L11" s="256"/>
      <c r="M11" s="3"/>
      <c r="N11" s="3"/>
      <c r="O11" s="3"/>
      <c r="P11" s="3"/>
      <c r="Q11" s="3"/>
      <c r="R11" s="3"/>
      <c r="S11" s="3"/>
      <c r="T11" s="3"/>
      <c r="U11" s="3"/>
      <c r="V11" s="3"/>
      <c r="W11" s="3"/>
      <c r="X11" s="3"/>
      <c r="Y11" s="3"/>
      <c r="Z11" s="3"/>
      <c r="AA11" s="3"/>
      <c r="AB11" s="3"/>
      <c r="AC11" s="3"/>
      <c r="AD11" s="3"/>
      <c r="AE11" s="3"/>
      <c r="AF11" s="3"/>
    </row>
    <row r="12" spans="1:32" ht="41.25" hidden="1" customHeight="1" outlineLevel="1" x14ac:dyDescent="0.85">
      <c r="A12" s="840" t="s">
        <v>592</v>
      </c>
      <c r="B12" s="790"/>
      <c r="C12" s="790"/>
      <c r="D12" s="790"/>
      <c r="E12" s="790"/>
      <c r="F12" s="790"/>
      <c r="G12" s="791"/>
      <c r="H12" s="26"/>
      <c r="I12" s="26"/>
      <c r="J12" s="76"/>
      <c r="K12" s="76"/>
      <c r="L12" s="76"/>
      <c r="M12" s="3"/>
      <c r="N12" s="3"/>
      <c r="O12" s="3"/>
      <c r="P12" s="3"/>
      <c r="Q12" s="3"/>
      <c r="R12" s="3"/>
      <c r="S12" s="3"/>
      <c r="T12" s="3"/>
      <c r="U12" s="3"/>
      <c r="V12" s="3"/>
      <c r="W12" s="3"/>
      <c r="X12" s="3"/>
      <c r="Y12" s="3"/>
      <c r="Z12" s="3"/>
      <c r="AA12" s="3"/>
      <c r="AB12" s="3"/>
      <c r="AC12" s="3"/>
      <c r="AD12" s="3"/>
      <c r="AE12" s="3"/>
      <c r="AF12" s="3"/>
    </row>
    <row r="13" spans="1:32" ht="25.5" hidden="1" customHeight="1" outlineLevel="1" x14ac:dyDescent="0.85">
      <c r="A13" s="840" t="s">
        <v>593</v>
      </c>
      <c r="B13" s="790"/>
      <c r="C13" s="790"/>
      <c r="D13" s="790"/>
      <c r="E13" s="790"/>
      <c r="F13" s="790"/>
      <c r="G13" s="791"/>
      <c r="H13" s="26"/>
      <c r="I13" s="26"/>
      <c r="J13" s="76"/>
      <c r="K13" s="76"/>
      <c r="L13" s="76"/>
      <c r="M13" s="3"/>
      <c r="N13" s="3"/>
      <c r="O13" s="3"/>
      <c r="P13" s="3"/>
      <c r="Q13" s="3"/>
      <c r="R13" s="3"/>
      <c r="S13" s="3"/>
      <c r="T13" s="3"/>
      <c r="U13" s="3"/>
      <c r="V13" s="3"/>
      <c r="W13" s="3"/>
      <c r="X13" s="3"/>
      <c r="Y13" s="3"/>
      <c r="Z13" s="3"/>
      <c r="AA13" s="3"/>
      <c r="AB13" s="3"/>
      <c r="AC13" s="3"/>
      <c r="AD13" s="3"/>
      <c r="AE13" s="3"/>
      <c r="AF13" s="3"/>
    </row>
    <row r="14" spans="1:32" ht="43.5" hidden="1" customHeight="1" outlineLevel="1" x14ac:dyDescent="0.85">
      <c r="A14" s="784" t="s">
        <v>594</v>
      </c>
      <c r="B14" s="785"/>
      <c r="C14" s="785"/>
      <c r="D14" s="785"/>
      <c r="E14" s="785"/>
      <c r="F14" s="785"/>
      <c r="G14" s="785"/>
      <c r="H14" s="26"/>
      <c r="I14" s="26"/>
      <c r="J14" s="76"/>
      <c r="K14" s="76"/>
      <c r="L14" s="76"/>
      <c r="M14" s="3"/>
      <c r="N14" s="3"/>
      <c r="O14" s="3"/>
      <c r="P14" s="3"/>
      <c r="Q14" s="3"/>
      <c r="R14" s="3"/>
      <c r="S14" s="3"/>
      <c r="T14" s="3"/>
      <c r="U14" s="3"/>
      <c r="V14" s="3"/>
      <c r="W14" s="3"/>
      <c r="X14" s="3"/>
      <c r="Y14" s="3"/>
      <c r="Z14" s="3"/>
      <c r="AA14" s="3"/>
      <c r="AB14" s="3"/>
      <c r="AC14" s="3"/>
      <c r="AD14" s="3"/>
      <c r="AE14" s="3"/>
      <c r="AF14" s="3"/>
    </row>
    <row r="15" spans="1:32" ht="40.5" hidden="1" customHeight="1" outlineLevel="1" x14ac:dyDescent="0.85">
      <c r="A15" s="840" t="s">
        <v>595</v>
      </c>
      <c r="B15" s="790"/>
      <c r="C15" s="790"/>
      <c r="D15" s="790"/>
      <c r="E15" s="790"/>
      <c r="F15" s="790"/>
      <c r="G15" s="791"/>
      <c r="H15" s="26"/>
      <c r="I15" s="26"/>
      <c r="J15" s="76"/>
      <c r="K15" s="76"/>
      <c r="L15" s="76"/>
      <c r="M15" s="3"/>
      <c r="N15" s="3"/>
      <c r="O15" s="3"/>
      <c r="P15" s="3"/>
      <c r="Q15" s="3"/>
      <c r="R15" s="3"/>
      <c r="S15" s="3"/>
      <c r="T15" s="3"/>
      <c r="U15" s="3"/>
      <c r="V15" s="3"/>
      <c r="W15" s="3"/>
      <c r="X15" s="3"/>
      <c r="Y15" s="3"/>
      <c r="Z15" s="3"/>
      <c r="AA15" s="3"/>
      <c r="AB15" s="3"/>
      <c r="AC15" s="3"/>
      <c r="AD15" s="3"/>
      <c r="AE15" s="3"/>
      <c r="AF15" s="3"/>
    </row>
    <row r="16" spans="1:32" ht="22.5" hidden="1" customHeight="1" outlineLevel="1" x14ac:dyDescent="0.85">
      <c r="A16" s="840" t="s">
        <v>596</v>
      </c>
      <c r="B16" s="790"/>
      <c r="C16" s="790"/>
      <c r="D16" s="790"/>
      <c r="E16" s="790"/>
      <c r="F16" s="790"/>
      <c r="G16" s="791"/>
      <c r="H16" s="26"/>
      <c r="I16" s="26"/>
      <c r="J16" s="76"/>
      <c r="K16" s="76"/>
      <c r="L16" s="76"/>
      <c r="M16" s="3"/>
      <c r="N16" s="3"/>
      <c r="O16" s="3"/>
      <c r="P16" s="3"/>
      <c r="Q16" s="3"/>
      <c r="R16" s="3"/>
      <c r="S16" s="3"/>
      <c r="T16" s="3"/>
      <c r="U16" s="3"/>
      <c r="V16" s="3"/>
      <c r="W16" s="3"/>
      <c r="X16" s="3"/>
      <c r="Y16" s="3"/>
      <c r="Z16" s="3"/>
      <c r="AA16" s="3"/>
      <c r="AB16" s="3"/>
      <c r="AC16" s="3"/>
      <c r="AD16" s="3"/>
      <c r="AE16" s="3"/>
      <c r="AF16" s="3"/>
    </row>
    <row r="17" spans="1:32" ht="22.5" hidden="1" customHeight="1" outlineLevel="1" x14ac:dyDescent="0.85">
      <c r="A17" s="840" t="s">
        <v>597</v>
      </c>
      <c r="B17" s="790"/>
      <c r="C17" s="790"/>
      <c r="D17" s="790"/>
      <c r="E17" s="790"/>
      <c r="F17" s="790"/>
      <c r="G17" s="791"/>
      <c r="H17" s="26"/>
      <c r="I17" s="26"/>
      <c r="J17" s="76"/>
      <c r="K17" s="76"/>
      <c r="L17" s="76"/>
      <c r="M17" s="3"/>
      <c r="N17" s="3"/>
      <c r="O17" s="3"/>
      <c r="P17" s="3"/>
      <c r="Q17" s="3"/>
      <c r="R17" s="3"/>
      <c r="S17" s="3"/>
      <c r="T17" s="3"/>
      <c r="U17" s="3"/>
      <c r="V17" s="3"/>
      <c r="W17" s="3"/>
      <c r="X17" s="3"/>
      <c r="Y17" s="3"/>
      <c r="Z17" s="3"/>
      <c r="AA17" s="3"/>
      <c r="AB17" s="3"/>
      <c r="AC17" s="3"/>
      <c r="AD17" s="3"/>
      <c r="AE17" s="3"/>
      <c r="AF17" s="3"/>
    </row>
    <row r="18" spans="1:32" ht="36" hidden="1" customHeight="1" outlineLevel="1" x14ac:dyDescent="0.85">
      <c r="A18" s="840" t="s">
        <v>598</v>
      </c>
      <c r="B18" s="790"/>
      <c r="C18" s="790"/>
      <c r="D18" s="790"/>
      <c r="E18" s="790"/>
      <c r="F18" s="790"/>
      <c r="G18" s="791"/>
      <c r="H18" s="26"/>
      <c r="I18" s="26"/>
      <c r="J18" s="76"/>
      <c r="K18" s="76"/>
      <c r="L18" s="76"/>
      <c r="M18" s="3"/>
      <c r="N18" s="3"/>
      <c r="O18" s="3"/>
      <c r="P18" s="3"/>
      <c r="Q18" s="3"/>
      <c r="R18" s="3"/>
      <c r="S18" s="3"/>
      <c r="T18" s="3"/>
      <c r="U18" s="3"/>
      <c r="V18" s="3"/>
      <c r="W18" s="3"/>
      <c r="X18" s="3"/>
      <c r="Y18" s="3"/>
      <c r="Z18" s="3"/>
      <c r="AA18" s="3"/>
      <c r="AB18" s="3"/>
      <c r="AC18" s="3"/>
      <c r="AD18" s="3"/>
      <c r="AE18" s="3"/>
      <c r="AF18" s="3"/>
    </row>
    <row r="19" spans="1:32" ht="22.5" hidden="1" customHeight="1" outlineLevel="1" x14ac:dyDescent="0.85">
      <c r="A19" s="840" t="s">
        <v>599</v>
      </c>
      <c r="B19" s="790"/>
      <c r="C19" s="790"/>
      <c r="D19" s="790"/>
      <c r="E19" s="790"/>
      <c r="F19" s="790"/>
      <c r="G19" s="791"/>
      <c r="H19" s="26"/>
      <c r="I19" s="26"/>
      <c r="J19" s="76"/>
      <c r="K19" s="76"/>
      <c r="L19" s="76"/>
      <c r="M19" s="3"/>
      <c r="N19" s="3"/>
      <c r="O19" s="3"/>
      <c r="P19" s="3"/>
      <c r="Q19" s="3"/>
      <c r="R19" s="3"/>
      <c r="S19" s="3"/>
      <c r="T19" s="3"/>
      <c r="U19" s="3"/>
      <c r="V19" s="3"/>
      <c r="W19" s="3"/>
      <c r="X19" s="3"/>
      <c r="Y19" s="3"/>
      <c r="Z19" s="3"/>
      <c r="AA19" s="3"/>
      <c r="AB19" s="3"/>
      <c r="AC19" s="3"/>
      <c r="AD19" s="3"/>
      <c r="AE19" s="3"/>
      <c r="AF19" s="3"/>
    </row>
    <row r="20" spans="1:32" ht="93.75" hidden="1" customHeight="1" outlineLevel="1" x14ac:dyDescent="0.85">
      <c r="A20" s="840" t="s">
        <v>600</v>
      </c>
      <c r="B20" s="790"/>
      <c r="C20" s="790"/>
      <c r="D20" s="790"/>
      <c r="E20" s="790"/>
      <c r="F20" s="790"/>
      <c r="G20" s="791"/>
      <c r="H20" s="26"/>
      <c r="I20" s="26"/>
      <c r="J20" s="76"/>
      <c r="K20" s="76"/>
      <c r="L20" s="76"/>
      <c r="M20" s="3"/>
      <c r="N20" s="3"/>
      <c r="O20" s="3"/>
      <c r="P20" s="3"/>
      <c r="Q20" s="3"/>
      <c r="R20" s="3"/>
      <c r="S20" s="3"/>
      <c r="T20" s="3"/>
      <c r="U20" s="3"/>
      <c r="V20" s="3"/>
      <c r="W20" s="3"/>
      <c r="X20" s="3"/>
      <c r="Y20" s="3"/>
      <c r="Z20" s="3"/>
      <c r="AA20" s="3"/>
      <c r="AB20" s="3"/>
      <c r="AC20" s="3"/>
      <c r="AD20" s="3"/>
      <c r="AE20" s="3"/>
      <c r="AF20" s="3"/>
    </row>
    <row r="21" spans="1:32" ht="22.5" hidden="1" customHeight="1" outlineLevel="1" x14ac:dyDescent="0.85">
      <c r="A21" s="840" t="s">
        <v>601</v>
      </c>
      <c r="B21" s="790"/>
      <c r="C21" s="790"/>
      <c r="D21" s="790"/>
      <c r="E21" s="790"/>
      <c r="F21" s="790"/>
      <c r="G21" s="791"/>
      <c r="H21" s="26"/>
      <c r="I21" s="26"/>
      <c r="J21" s="76"/>
      <c r="K21" s="76"/>
      <c r="L21" s="76"/>
      <c r="M21" s="3"/>
      <c r="N21" s="3"/>
      <c r="O21" s="3"/>
      <c r="P21" s="3"/>
      <c r="Q21" s="3"/>
      <c r="R21" s="3"/>
      <c r="S21" s="3"/>
      <c r="T21" s="3"/>
      <c r="U21" s="3"/>
      <c r="V21" s="3"/>
      <c r="W21" s="3"/>
      <c r="X21" s="3"/>
      <c r="Y21" s="3"/>
      <c r="Z21" s="3"/>
      <c r="AA21" s="3"/>
      <c r="AB21" s="3"/>
      <c r="AC21" s="3"/>
      <c r="AD21" s="3"/>
      <c r="AE21" s="3"/>
      <c r="AF21" s="3"/>
    </row>
    <row r="22" spans="1:32" ht="22.5" hidden="1" customHeight="1" outlineLevel="1" x14ac:dyDescent="0.85">
      <c r="A22" s="265" t="s">
        <v>602</v>
      </c>
      <c r="B22" s="266"/>
      <c r="C22" s="266"/>
      <c r="D22" s="266"/>
      <c r="E22" s="266"/>
      <c r="F22" s="266"/>
      <c r="G22" s="266"/>
      <c r="H22" s="26"/>
      <c r="I22" s="26"/>
      <c r="J22" s="76"/>
      <c r="K22" s="76"/>
      <c r="L22" s="76"/>
      <c r="M22" s="3"/>
      <c r="N22" s="3"/>
      <c r="O22" s="3"/>
      <c r="P22" s="3"/>
      <c r="Q22" s="3"/>
      <c r="R22" s="3"/>
      <c r="S22" s="3"/>
      <c r="T22" s="3"/>
      <c r="U22" s="3"/>
      <c r="V22" s="3"/>
      <c r="W22" s="3"/>
      <c r="X22" s="3"/>
      <c r="Y22" s="3"/>
      <c r="Z22" s="3"/>
      <c r="AA22" s="3"/>
      <c r="AB22" s="3"/>
      <c r="AC22" s="3"/>
      <c r="AD22" s="3"/>
      <c r="AE22" s="3"/>
      <c r="AF22" s="3"/>
    </row>
    <row r="23" spans="1:32" ht="22.5" customHeight="1" collapsed="1" x14ac:dyDescent="0.85">
      <c r="A23" s="858" t="s">
        <v>183</v>
      </c>
      <c r="B23" s="765"/>
      <c r="C23" s="765"/>
      <c r="D23" s="765"/>
      <c r="E23" s="765"/>
      <c r="F23" s="765"/>
      <c r="G23" s="765"/>
      <c r="H23" s="765"/>
      <c r="I23" s="765"/>
      <c r="J23" s="765"/>
      <c r="K23" s="765"/>
      <c r="L23" s="762"/>
      <c r="M23" s="3"/>
      <c r="N23" s="3"/>
      <c r="O23" s="3"/>
      <c r="P23" s="3"/>
      <c r="Q23" s="3"/>
      <c r="R23" s="3"/>
      <c r="S23" s="3"/>
      <c r="T23" s="3"/>
      <c r="U23" s="3"/>
      <c r="V23" s="3"/>
      <c r="W23" s="3"/>
      <c r="X23" s="3"/>
      <c r="Y23" s="3"/>
      <c r="Z23" s="3"/>
      <c r="AA23" s="3"/>
      <c r="AB23" s="3"/>
      <c r="AC23" s="3"/>
      <c r="AD23" s="3"/>
      <c r="AE23" s="3"/>
      <c r="AF23" s="3"/>
    </row>
    <row r="24" spans="1:32" ht="22.5" hidden="1" customHeight="1" outlineLevel="1" x14ac:dyDescent="0.85">
      <c r="A24" s="839" t="s">
        <v>603</v>
      </c>
      <c r="B24" s="813"/>
      <c r="C24" s="813"/>
      <c r="D24" s="813"/>
      <c r="E24" s="813"/>
      <c r="F24" s="813"/>
      <c r="G24" s="813"/>
      <c r="H24" s="814"/>
      <c r="I24" s="77"/>
      <c r="J24" s="142"/>
      <c r="K24" s="142"/>
      <c r="L24" s="142"/>
      <c r="M24" s="3"/>
      <c r="N24" s="3"/>
      <c r="O24" s="3"/>
      <c r="P24" s="3"/>
      <c r="Q24" s="3"/>
      <c r="R24" s="3"/>
      <c r="S24" s="3"/>
      <c r="T24" s="3"/>
      <c r="U24" s="3"/>
      <c r="V24" s="3"/>
      <c r="W24" s="3"/>
      <c r="X24" s="3"/>
      <c r="Y24" s="3"/>
      <c r="Z24" s="3"/>
      <c r="AA24" s="3"/>
      <c r="AB24" s="3"/>
      <c r="AC24" s="3"/>
      <c r="AD24" s="3"/>
      <c r="AE24" s="3"/>
      <c r="AF24" s="3"/>
    </row>
    <row r="25" spans="1:32" ht="22.5" hidden="1" customHeight="1" outlineLevel="1" x14ac:dyDescent="0.85">
      <c r="A25" s="148" t="s">
        <v>604</v>
      </c>
      <c r="B25" s="148" t="s">
        <v>605</v>
      </c>
      <c r="C25" s="148" t="s">
        <v>606</v>
      </c>
      <c r="D25" s="148" t="s">
        <v>607</v>
      </c>
      <c r="E25" s="148" t="s">
        <v>608</v>
      </c>
      <c r="F25" s="849" t="s">
        <v>609</v>
      </c>
      <c r="G25" s="765"/>
      <c r="H25" s="762"/>
      <c r="I25" s="77"/>
      <c r="J25" s="142"/>
      <c r="K25" s="142"/>
      <c r="L25" s="142"/>
      <c r="M25" s="3"/>
      <c r="N25" s="3"/>
      <c r="O25" s="3"/>
      <c r="P25" s="3"/>
      <c r="Q25" s="3"/>
      <c r="R25" s="3"/>
      <c r="S25" s="3"/>
      <c r="T25" s="3"/>
      <c r="U25" s="3"/>
      <c r="V25" s="3"/>
      <c r="W25" s="3"/>
      <c r="X25" s="3"/>
      <c r="Y25" s="3"/>
      <c r="Z25" s="3"/>
      <c r="AA25" s="3"/>
      <c r="AB25" s="3"/>
      <c r="AC25" s="3"/>
      <c r="AD25" s="3"/>
      <c r="AE25" s="3"/>
      <c r="AF25" s="3"/>
    </row>
    <row r="26" spans="1:32" ht="22.5" hidden="1" customHeight="1" outlineLevel="1" x14ac:dyDescent="0.85">
      <c r="A26" s="267" t="s">
        <v>474</v>
      </c>
      <c r="B26" s="176" t="s">
        <v>610</v>
      </c>
      <c r="C26" s="268" t="s">
        <v>611</v>
      </c>
      <c r="D26" s="269">
        <v>0.25729999999999997</v>
      </c>
      <c r="E26" s="268" t="s">
        <v>612</v>
      </c>
      <c r="F26" s="863" t="s">
        <v>613</v>
      </c>
      <c r="G26" s="765"/>
      <c r="H26" s="762"/>
      <c r="I26" s="142"/>
      <c r="J26" s="142"/>
      <c r="K26" s="142"/>
      <c r="L26" s="142"/>
      <c r="M26" s="15"/>
      <c r="N26" s="15"/>
      <c r="O26" s="15"/>
      <c r="P26" s="15"/>
      <c r="Q26" s="15"/>
      <c r="R26" s="15"/>
      <c r="S26" s="15"/>
      <c r="T26" s="15"/>
      <c r="U26" s="15"/>
      <c r="V26" s="15"/>
      <c r="W26" s="15"/>
      <c r="X26" s="15"/>
      <c r="Y26" s="15"/>
      <c r="Z26" s="15"/>
      <c r="AA26" s="15"/>
      <c r="AB26" s="15"/>
      <c r="AC26" s="15"/>
      <c r="AD26" s="15"/>
      <c r="AE26" s="15"/>
      <c r="AF26" s="15"/>
    </row>
    <row r="27" spans="1:32" ht="22.5" hidden="1" customHeight="1" outlineLevel="1" x14ac:dyDescent="0.85">
      <c r="A27" s="37" t="s">
        <v>614</v>
      </c>
      <c r="B27" s="176" t="s">
        <v>615</v>
      </c>
      <c r="C27" s="268" t="s">
        <v>616</v>
      </c>
      <c r="D27" s="269">
        <f>1431/'Conversion Factors and GWP'!A3</f>
        <v>0.64909145340240049</v>
      </c>
      <c r="E27" s="268" t="s">
        <v>617</v>
      </c>
      <c r="F27" s="863" t="s">
        <v>618</v>
      </c>
      <c r="G27" s="765"/>
      <c r="H27" s="762"/>
      <c r="I27" s="142"/>
      <c r="J27" s="142"/>
      <c r="K27" s="142"/>
      <c r="L27" s="142"/>
      <c r="M27" s="15"/>
      <c r="N27" s="15"/>
      <c r="O27" s="15"/>
      <c r="P27" s="15"/>
      <c r="Q27" s="15"/>
      <c r="R27" s="15"/>
      <c r="S27" s="15"/>
      <c r="T27" s="15"/>
      <c r="U27" s="15"/>
      <c r="V27" s="15"/>
      <c r="W27" s="15"/>
      <c r="X27" s="15"/>
      <c r="Y27" s="15"/>
      <c r="Z27" s="15"/>
      <c r="AA27" s="15"/>
      <c r="AB27" s="15"/>
      <c r="AC27" s="15"/>
      <c r="AD27" s="15"/>
      <c r="AE27" s="15"/>
      <c r="AF27" s="15"/>
    </row>
    <row r="28" spans="1:32" ht="23.25" hidden="1" customHeight="1" outlineLevel="1" x14ac:dyDescent="0.85">
      <c r="A28" s="37" t="s">
        <v>32</v>
      </c>
      <c r="B28" s="176" t="s">
        <v>619</v>
      </c>
      <c r="C28" s="271" t="s">
        <v>620</v>
      </c>
      <c r="D28" s="272">
        <f>0.051/'Conversion Factors and GWP'!$A$3</f>
        <v>2.3133238381217625E-5</v>
      </c>
      <c r="E28" s="268" t="s">
        <v>621</v>
      </c>
      <c r="F28" s="834" t="s">
        <v>622</v>
      </c>
      <c r="G28" s="828"/>
      <c r="H28" s="825"/>
      <c r="I28" s="142"/>
      <c r="J28" s="142"/>
      <c r="K28" s="142"/>
      <c r="L28" s="142"/>
      <c r="M28" s="15"/>
      <c r="N28" s="15"/>
      <c r="O28" s="15"/>
      <c r="P28" s="15"/>
      <c r="Q28" s="15"/>
      <c r="R28" s="15"/>
      <c r="S28" s="15"/>
      <c r="T28" s="15"/>
      <c r="U28" s="15"/>
      <c r="V28" s="15"/>
      <c r="W28" s="15"/>
      <c r="X28" s="15"/>
      <c r="Y28" s="15"/>
      <c r="Z28" s="15"/>
      <c r="AA28" s="15"/>
      <c r="AB28" s="15"/>
      <c r="AC28" s="15"/>
      <c r="AD28" s="15"/>
      <c r="AE28" s="15"/>
      <c r="AF28" s="15"/>
    </row>
    <row r="29" spans="1:32" ht="23.25" hidden="1" customHeight="1" outlineLevel="1" x14ac:dyDescent="0.85">
      <c r="A29" s="37" t="s">
        <v>32</v>
      </c>
      <c r="B29" s="176" t="s">
        <v>619</v>
      </c>
      <c r="C29" s="271" t="s">
        <v>623</v>
      </c>
      <c r="D29" s="273">
        <f>0.007/'Conversion Factors and GWP'!$A$3</f>
        <v>3.175150366049478E-6</v>
      </c>
      <c r="E29" s="268" t="s">
        <v>624</v>
      </c>
      <c r="F29" s="810"/>
      <c r="G29" s="830"/>
      <c r="H29" s="767"/>
      <c r="I29" s="142"/>
      <c r="J29" s="142"/>
      <c r="K29" s="142"/>
      <c r="L29" s="142"/>
      <c r="M29" s="15"/>
      <c r="N29" s="15"/>
      <c r="O29" s="15"/>
      <c r="P29" s="15"/>
      <c r="Q29" s="15"/>
      <c r="R29" s="15"/>
      <c r="S29" s="15"/>
      <c r="T29" s="15"/>
      <c r="U29" s="15"/>
      <c r="V29" s="15"/>
      <c r="W29" s="15"/>
      <c r="X29" s="15"/>
      <c r="Y29" s="15"/>
      <c r="Z29" s="15"/>
      <c r="AA29" s="15"/>
      <c r="AB29" s="15"/>
      <c r="AC29" s="15"/>
      <c r="AD29" s="15"/>
      <c r="AE29" s="15"/>
      <c r="AF29" s="15"/>
    </row>
    <row r="30" spans="1:32" ht="22.5" hidden="1" customHeight="1" outlineLevel="1" x14ac:dyDescent="0.85">
      <c r="A30" s="804" t="s">
        <v>625</v>
      </c>
      <c r="B30" s="765"/>
      <c r="C30" s="765"/>
      <c r="D30" s="765"/>
      <c r="E30" s="765"/>
      <c r="F30" s="762"/>
      <c r="G30" s="274"/>
      <c r="H30" s="77"/>
      <c r="I30" s="77"/>
      <c r="J30" s="142"/>
      <c r="K30" s="142"/>
      <c r="L30" s="142"/>
      <c r="M30" s="3"/>
      <c r="N30" s="3"/>
      <c r="O30" s="3"/>
      <c r="P30" s="3"/>
      <c r="Q30" s="3"/>
      <c r="R30" s="3"/>
      <c r="S30" s="3"/>
      <c r="T30" s="3"/>
      <c r="U30" s="3"/>
      <c r="V30" s="3"/>
      <c r="W30" s="3"/>
      <c r="X30" s="3"/>
      <c r="Y30" s="3"/>
      <c r="Z30" s="3"/>
      <c r="AA30" s="3"/>
      <c r="AB30" s="3"/>
      <c r="AC30" s="3"/>
      <c r="AD30" s="3"/>
      <c r="AE30" s="3"/>
      <c r="AF30" s="3"/>
    </row>
    <row r="31" spans="1:32" ht="22.5" hidden="1" customHeight="1" outlineLevel="1" x14ac:dyDescent="0.85">
      <c r="A31" s="148" t="s">
        <v>604</v>
      </c>
      <c r="B31" s="148" t="s">
        <v>605</v>
      </c>
      <c r="C31" s="148" t="s">
        <v>607</v>
      </c>
      <c r="D31" s="849" t="s">
        <v>138</v>
      </c>
      <c r="E31" s="765"/>
      <c r="F31" s="762"/>
      <c r="G31" s="274"/>
      <c r="H31" s="77"/>
      <c r="I31" s="77"/>
      <c r="J31" s="142"/>
      <c r="K31" s="142"/>
      <c r="L31" s="142"/>
      <c r="M31" s="3"/>
      <c r="N31" s="3"/>
      <c r="O31" s="3"/>
      <c r="P31" s="3"/>
      <c r="Q31" s="3"/>
      <c r="R31" s="3"/>
      <c r="S31" s="3"/>
      <c r="T31" s="3"/>
      <c r="U31" s="3"/>
      <c r="V31" s="3"/>
      <c r="W31" s="3"/>
      <c r="X31" s="3"/>
      <c r="Y31" s="3"/>
      <c r="Z31" s="3"/>
      <c r="AA31" s="3"/>
      <c r="AB31" s="3"/>
      <c r="AC31" s="3"/>
      <c r="AD31" s="3"/>
      <c r="AE31" s="3"/>
      <c r="AF31" s="3"/>
    </row>
    <row r="32" spans="1:32" ht="22.5" hidden="1" customHeight="1" outlineLevel="1" x14ac:dyDescent="0.85">
      <c r="A32" s="37" t="s">
        <v>474</v>
      </c>
      <c r="B32" s="176" t="s">
        <v>610</v>
      </c>
      <c r="C32" s="275">
        <v>2.6800000000000001E-2</v>
      </c>
      <c r="D32" s="863" t="s">
        <v>613</v>
      </c>
      <c r="E32" s="765"/>
      <c r="F32" s="762"/>
      <c r="G32" s="274"/>
      <c r="H32" s="77"/>
      <c r="I32" s="77"/>
      <c r="J32" s="142"/>
      <c r="K32" s="142"/>
      <c r="L32" s="142"/>
      <c r="M32" s="3"/>
      <c r="N32" s="3"/>
      <c r="O32" s="3"/>
      <c r="P32" s="3"/>
      <c r="Q32" s="3"/>
      <c r="R32" s="3"/>
      <c r="S32" s="3"/>
      <c r="T32" s="3"/>
      <c r="U32" s="3"/>
      <c r="V32" s="3"/>
      <c r="W32" s="3"/>
      <c r="X32" s="3"/>
      <c r="Y32" s="3"/>
      <c r="Z32" s="3"/>
      <c r="AA32" s="3"/>
      <c r="AB32" s="3"/>
      <c r="AC32" s="3"/>
      <c r="AD32" s="3"/>
      <c r="AE32" s="3"/>
      <c r="AF32" s="3"/>
    </row>
    <row r="33" spans="1:32" ht="22.5" hidden="1" customHeight="1" outlineLevel="1" x14ac:dyDescent="0.85">
      <c r="A33" s="37" t="s">
        <v>614</v>
      </c>
      <c r="B33" s="176" t="s">
        <v>615</v>
      </c>
      <c r="C33" s="275">
        <v>3.5924471293478283E-2</v>
      </c>
      <c r="D33" s="863" t="s">
        <v>626</v>
      </c>
      <c r="E33" s="765"/>
      <c r="F33" s="762"/>
      <c r="G33" s="274"/>
      <c r="H33" s="77"/>
      <c r="I33" s="77"/>
      <c r="J33" s="142"/>
      <c r="K33" s="142"/>
      <c r="L33" s="142"/>
      <c r="M33" s="3"/>
      <c r="N33" s="3"/>
      <c r="O33" s="3"/>
      <c r="P33" s="3"/>
      <c r="Q33" s="3"/>
      <c r="R33" s="3"/>
      <c r="S33" s="3"/>
      <c r="T33" s="3"/>
      <c r="U33" s="3"/>
      <c r="V33" s="3"/>
      <c r="W33" s="3"/>
      <c r="X33" s="3"/>
      <c r="Y33" s="3"/>
      <c r="Z33" s="3"/>
      <c r="AA33" s="3"/>
      <c r="AB33" s="3"/>
      <c r="AC33" s="3"/>
      <c r="AD33" s="3"/>
      <c r="AE33" s="3"/>
      <c r="AF33" s="3"/>
    </row>
    <row r="34" spans="1:32" ht="22.5" hidden="1" customHeight="1" outlineLevel="1" x14ac:dyDescent="0.85">
      <c r="A34" s="804" t="s">
        <v>140</v>
      </c>
      <c r="B34" s="765"/>
      <c r="C34" s="765"/>
      <c r="D34" s="765"/>
      <c r="E34" s="765"/>
      <c r="F34" s="762"/>
      <c r="G34" s="276"/>
      <c r="H34" s="276"/>
      <c r="I34" s="77"/>
      <c r="J34" s="142"/>
      <c r="K34" s="142"/>
      <c r="L34" s="142"/>
      <c r="M34" s="3"/>
      <c r="N34" s="3"/>
      <c r="O34" s="3"/>
      <c r="P34" s="3"/>
      <c r="Q34" s="3"/>
      <c r="R34" s="3"/>
      <c r="S34" s="3"/>
      <c r="T34" s="3"/>
      <c r="U34" s="3"/>
      <c r="V34" s="3"/>
      <c r="W34" s="3"/>
      <c r="X34" s="3"/>
      <c r="Y34" s="3"/>
      <c r="Z34" s="3"/>
      <c r="AA34" s="3"/>
      <c r="AB34" s="3"/>
      <c r="AC34" s="3"/>
      <c r="AD34" s="3"/>
      <c r="AE34" s="3"/>
      <c r="AF34" s="3"/>
    </row>
    <row r="35" spans="1:32" ht="22.5" hidden="1" customHeight="1" outlineLevel="1" x14ac:dyDescent="0.85">
      <c r="A35" s="130" t="s">
        <v>606</v>
      </c>
      <c r="B35" s="130" t="s">
        <v>251</v>
      </c>
      <c r="C35" s="130" t="s">
        <v>608</v>
      </c>
      <c r="D35" s="849" t="s">
        <v>138</v>
      </c>
      <c r="E35" s="765"/>
      <c r="F35" s="762"/>
      <c r="G35" s="276"/>
      <c r="H35" s="276"/>
      <c r="I35" s="77"/>
      <c r="J35" s="142"/>
      <c r="K35" s="142"/>
      <c r="L35" s="142"/>
      <c r="M35" s="3"/>
      <c r="N35" s="3"/>
      <c r="O35" s="3"/>
      <c r="P35" s="3"/>
      <c r="Q35" s="3"/>
      <c r="R35" s="3"/>
      <c r="S35" s="3"/>
      <c r="T35" s="3"/>
      <c r="U35" s="3"/>
      <c r="V35" s="3"/>
      <c r="W35" s="3"/>
      <c r="X35" s="3"/>
      <c r="Y35" s="3"/>
      <c r="Z35" s="3"/>
      <c r="AA35" s="3"/>
      <c r="AB35" s="3"/>
      <c r="AC35" s="3"/>
      <c r="AD35" s="3"/>
      <c r="AE35" s="3"/>
      <c r="AF35" s="3"/>
    </row>
    <row r="36" spans="1:32" ht="22.5" hidden="1" customHeight="1" outlineLevel="1" x14ac:dyDescent="0.85">
      <c r="A36" s="268" t="s">
        <v>627</v>
      </c>
      <c r="B36" s="277">
        <f>53.06/'Conversion Factors and GWP'!A7*'Conversion Factors and GWP'!A13</f>
        <v>5.3060000000000008E-3</v>
      </c>
      <c r="C36" s="176" t="s">
        <v>628</v>
      </c>
      <c r="D36" s="859" t="s">
        <v>629</v>
      </c>
      <c r="E36" s="828"/>
      <c r="F36" s="825"/>
      <c r="G36" s="276"/>
      <c r="H36" s="278"/>
      <c r="I36" s="77"/>
      <c r="J36" s="142"/>
      <c r="K36" s="142"/>
      <c r="L36" s="142"/>
      <c r="M36" s="3"/>
      <c r="N36" s="3"/>
      <c r="O36" s="3"/>
      <c r="P36" s="3"/>
      <c r="Q36" s="3"/>
      <c r="R36" s="3"/>
      <c r="S36" s="3"/>
      <c r="T36" s="3"/>
      <c r="U36" s="3"/>
      <c r="V36" s="3"/>
      <c r="W36" s="3"/>
      <c r="X36" s="3"/>
      <c r="Y36" s="3"/>
      <c r="Z36" s="3"/>
      <c r="AA36" s="3"/>
      <c r="AB36" s="3"/>
      <c r="AC36" s="3"/>
      <c r="AD36" s="3"/>
      <c r="AE36" s="3"/>
      <c r="AF36" s="3"/>
    </row>
    <row r="37" spans="1:32" ht="22.5" hidden="1" customHeight="1" outlineLevel="1" x14ac:dyDescent="0.85">
      <c r="A37" s="271" t="s">
        <v>630</v>
      </c>
      <c r="B37" s="277">
        <f>(1*'Conversion Factors and GWP'!$A$13)/'Conversion Factors and GWP'!$A$8</f>
        <v>1.0000000000000001E-7</v>
      </c>
      <c r="C37" s="268" t="s">
        <v>631</v>
      </c>
      <c r="D37" s="809"/>
      <c r="E37" s="785"/>
      <c r="F37" s="826"/>
      <c r="G37" s="276"/>
      <c r="H37" s="276"/>
      <c r="I37" s="77"/>
      <c r="J37" s="142"/>
      <c r="K37" s="142"/>
      <c r="L37" s="142"/>
      <c r="M37" s="3"/>
      <c r="N37" s="3"/>
      <c r="O37" s="3"/>
      <c r="P37" s="3"/>
      <c r="Q37" s="3"/>
      <c r="R37" s="3"/>
      <c r="S37" s="3"/>
      <c r="T37" s="3"/>
      <c r="U37" s="3"/>
      <c r="V37" s="3"/>
      <c r="W37" s="3"/>
      <c r="X37" s="3"/>
      <c r="Y37" s="3"/>
      <c r="Z37" s="3"/>
      <c r="AA37" s="3"/>
      <c r="AB37" s="3"/>
      <c r="AC37" s="3"/>
      <c r="AD37" s="3"/>
      <c r="AE37" s="3"/>
      <c r="AF37" s="3"/>
    </row>
    <row r="38" spans="1:32" ht="22.5" hidden="1" customHeight="1" outlineLevel="1" x14ac:dyDescent="0.85">
      <c r="A38" s="271" t="s">
        <v>632</v>
      </c>
      <c r="B38" s="279">
        <f>(0.1*'Conversion Factors and GWP'!$A$13)/'Conversion Factors and GWP'!$A$8</f>
        <v>1.0000000000000002E-8</v>
      </c>
      <c r="C38" s="268" t="s">
        <v>633</v>
      </c>
      <c r="D38" s="810"/>
      <c r="E38" s="830"/>
      <c r="F38" s="767"/>
      <c r="G38" s="276"/>
      <c r="H38" s="276"/>
      <c r="I38" s="77"/>
      <c r="J38" s="142"/>
      <c r="K38" s="142"/>
      <c r="L38" s="142"/>
      <c r="M38" s="3"/>
      <c r="N38" s="3"/>
      <c r="O38" s="3"/>
      <c r="P38" s="3"/>
      <c r="Q38" s="3"/>
      <c r="R38" s="3"/>
      <c r="S38" s="3"/>
      <c r="T38" s="3"/>
      <c r="U38" s="3"/>
      <c r="V38" s="3"/>
      <c r="W38" s="3"/>
      <c r="X38" s="3"/>
      <c r="Y38" s="3"/>
      <c r="Z38" s="3"/>
      <c r="AA38" s="3"/>
      <c r="AB38" s="3"/>
      <c r="AC38" s="3"/>
      <c r="AD38" s="3"/>
      <c r="AE38" s="3"/>
      <c r="AF38" s="3"/>
    </row>
    <row r="39" spans="1:32" ht="22.5" hidden="1" customHeight="1" outlineLevel="1" x14ac:dyDescent="0.85">
      <c r="A39" s="804" t="s">
        <v>141</v>
      </c>
      <c r="B39" s="765"/>
      <c r="C39" s="765"/>
      <c r="D39" s="765"/>
      <c r="E39" s="765"/>
      <c r="F39" s="762"/>
      <c r="G39" s="15"/>
      <c r="H39" s="15"/>
      <c r="I39" s="77"/>
      <c r="J39" s="142"/>
      <c r="K39" s="142"/>
      <c r="L39" s="142"/>
      <c r="M39" s="3"/>
      <c r="N39" s="3"/>
      <c r="O39" s="3"/>
      <c r="P39" s="3"/>
      <c r="Q39" s="3"/>
      <c r="R39" s="3"/>
      <c r="S39" s="3"/>
      <c r="T39" s="3"/>
      <c r="U39" s="3"/>
      <c r="V39" s="3"/>
      <c r="W39" s="3"/>
      <c r="X39" s="3"/>
      <c r="Y39" s="3"/>
      <c r="Z39" s="3"/>
      <c r="AA39" s="3"/>
      <c r="AB39" s="3"/>
      <c r="AC39" s="3"/>
      <c r="AD39" s="3"/>
      <c r="AE39" s="3"/>
      <c r="AF39" s="3"/>
    </row>
    <row r="40" spans="1:32" ht="22.5" hidden="1" customHeight="1" outlineLevel="1" x14ac:dyDescent="0.85">
      <c r="A40" s="130" t="s">
        <v>606</v>
      </c>
      <c r="B40" s="130" t="s">
        <v>251</v>
      </c>
      <c r="C40" s="130" t="s">
        <v>608</v>
      </c>
      <c r="D40" s="849" t="s">
        <v>138</v>
      </c>
      <c r="E40" s="765"/>
      <c r="F40" s="762"/>
      <c r="G40" s="15"/>
      <c r="H40" s="15"/>
      <c r="I40" s="77"/>
      <c r="J40" s="142"/>
      <c r="K40" s="142"/>
      <c r="L40" s="142"/>
      <c r="M40" s="3"/>
      <c r="N40" s="3"/>
      <c r="O40" s="3"/>
      <c r="P40" s="3"/>
      <c r="Q40" s="3"/>
      <c r="R40" s="3"/>
      <c r="S40" s="3"/>
      <c r="T40" s="3"/>
      <c r="U40" s="3"/>
      <c r="V40" s="3"/>
      <c r="W40" s="3"/>
      <c r="X40" s="3"/>
      <c r="Y40" s="3"/>
      <c r="Z40" s="3"/>
      <c r="AA40" s="3"/>
      <c r="AB40" s="3"/>
      <c r="AC40" s="3"/>
      <c r="AD40" s="3"/>
      <c r="AE40" s="3"/>
      <c r="AF40" s="3"/>
    </row>
    <row r="41" spans="1:32" ht="36.75" hidden="1" customHeight="1" outlineLevel="1" x14ac:dyDescent="0.85">
      <c r="A41" s="280" t="s">
        <v>634</v>
      </c>
      <c r="B41" s="277">
        <f>0.00559</f>
        <v>5.5900000000000004E-3</v>
      </c>
      <c r="C41" s="281" t="s">
        <v>635</v>
      </c>
      <c r="D41" s="862" t="s">
        <v>636</v>
      </c>
      <c r="E41" s="828"/>
      <c r="F41" s="825"/>
      <c r="G41" s="15"/>
      <c r="H41" s="15"/>
      <c r="I41" s="77"/>
      <c r="J41" s="142"/>
      <c r="K41" s="142"/>
      <c r="L41" s="142"/>
      <c r="M41" s="3"/>
      <c r="N41" s="3"/>
      <c r="O41" s="3"/>
      <c r="P41" s="3"/>
      <c r="Q41" s="3"/>
      <c r="R41" s="3"/>
      <c r="S41" s="3"/>
      <c r="T41" s="3"/>
      <c r="U41" s="3"/>
      <c r="V41" s="3"/>
      <c r="W41" s="3"/>
      <c r="X41" s="3"/>
      <c r="Y41" s="3"/>
      <c r="Z41" s="3"/>
      <c r="AA41" s="3"/>
      <c r="AB41" s="3"/>
      <c r="AC41" s="3"/>
      <c r="AD41" s="3"/>
      <c r="AE41" s="3"/>
      <c r="AF41" s="3"/>
    </row>
    <row r="42" spans="1:32" ht="36.75" hidden="1" customHeight="1" outlineLevel="1" x14ac:dyDescent="0.85">
      <c r="A42" s="282" t="s">
        <v>637</v>
      </c>
      <c r="B42" s="277">
        <v>9.9999999999999995E-7</v>
      </c>
      <c r="C42" s="281" t="s">
        <v>638</v>
      </c>
      <c r="D42" s="809"/>
      <c r="E42" s="785"/>
      <c r="F42" s="826"/>
      <c r="G42" s="15"/>
      <c r="H42" s="15"/>
      <c r="I42" s="77"/>
      <c r="J42" s="142"/>
      <c r="K42" s="142"/>
      <c r="L42" s="142"/>
      <c r="M42" s="3"/>
      <c r="N42" s="3"/>
      <c r="O42" s="3"/>
      <c r="P42" s="3"/>
      <c r="Q42" s="3"/>
      <c r="R42" s="3"/>
      <c r="S42" s="3"/>
      <c r="T42" s="3"/>
      <c r="U42" s="3"/>
      <c r="V42" s="3"/>
      <c r="W42" s="3"/>
      <c r="X42" s="3"/>
      <c r="Y42" s="3"/>
      <c r="Z42" s="3"/>
      <c r="AA42" s="3"/>
      <c r="AB42" s="3"/>
      <c r="AC42" s="3"/>
      <c r="AD42" s="3"/>
      <c r="AE42" s="3"/>
      <c r="AF42" s="3"/>
    </row>
    <row r="43" spans="1:32" ht="36.75" hidden="1" customHeight="1" outlineLevel="1" x14ac:dyDescent="0.85">
      <c r="A43" s="282" t="s">
        <v>639</v>
      </c>
      <c r="B43" s="277">
        <v>1.0000000000000001E-7</v>
      </c>
      <c r="C43" s="281" t="s">
        <v>640</v>
      </c>
      <c r="D43" s="810"/>
      <c r="E43" s="830"/>
      <c r="F43" s="767"/>
      <c r="G43" s="15"/>
      <c r="H43" s="15"/>
      <c r="I43" s="77"/>
      <c r="J43" s="142"/>
      <c r="K43" s="142"/>
      <c r="L43" s="142"/>
      <c r="M43" s="3"/>
      <c r="N43" s="3"/>
      <c r="O43" s="3"/>
      <c r="P43" s="3"/>
      <c r="Q43" s="3"/>
      <c r="R43" s="3"/>
      <c r="S43" s="3"/>
      <c r="T43" s="3"/>
      <c r="U43" s="3"/>
      <c r="V43" s="3"/>
      <c r="W43" s="3"/>
      <c r="X43" s="3"/>
      <c r="Y43" s="3"/>
      <c r="Z43" s="3"/>
      <c r="AA43" s="3"/>
      <c r="AB43" s="3"/>
      <c r="AC43" s="3"/>
      <c r="AD43" s="3"/>
      <c r="AE43" s="3"/>
      <c r="AF43" s="3"/>
    </row>
    <row r="44" spans="1:32" ht="22.5" hidden="1" customHeight="1" outlineLevel="1" x14ac:dyDescent="0.85">
      <c r="A44" s="130" t="s">
        <v>641</v>
      </c>
      <c r="B44" s="130" t="s">
        <v>251</v>
      </c>
      <c r="C44" s="130" t="s">
        <v>608</v>
      </c>
      <c r="D44" s="849" t="s">
        <v>138</v>
      </c>
      <c r="E44" s="765"/>
      <c r="F44" s="762"/>
      <c r="G44" s="3"/>
      <c r="H44" s="3"/>
      <c r="I44" s="3"/>
      <c r="J44" s="3"/>
      <c r="K44" s="3"/>
      <c r="L44" s="3"/>
      <c r="M44" s="3"/>
      <c r="N44" s="3"/>
      <c r="O44" s="3"/>
      <c r="P44" s="3"/>
      <c r="Q44" s="3"/>
      <c r="R44" s="3"/>
      <c r="S44" s="3"/>
      <c r="T44" s="3"/>
      <c r="U44" s="3"/>
      <c r="V44" s="3"/>
      <c r="W44" s="3"/>
      <c r="X44" s="3"/>
      <c r="Y44" s="3"/>
      <c r="Z44" s="3"/>
      <c r="AA44" s="3"/>
      <c r="AB44" s="3"/>
      <c r="AC44" s="3"/>
      <c r="AD44" s="3"/>
      <c r="AE44" s="3"/>
      <c r="AF44" s="3"/>
    </row>
    <row r="45" spans="1:32" ht="22.5" hidden="1" customHeight="1" outlineLevel="1" x14ac:dyDescent="0.85">
      <c r="A45" s="282" t="s">
        <v>642</v>
      </c>
      <c r="B45" s="283">
        <f>B46/'Conversion Factors and GWP'!A15</f>
        <v>279.78142076502735</v>
      </c>
      <c r="C45" s="281" t="s">
        <v>643</v>
      </c>
      <c r="D45" s="856" t="s">
        <v>644</v>
      </c>
      <c r="E45" s="828"/>
      <c r="F45" s="825"/>
      <c r="G45" s="3"/>
      <c r="H45" s="3"/>
      <c r="I45" s="3"/>
      <c r="J45" s="3"/>
      <c r="K45" s="3"/>
      <c r="L45" s="3"/>
      <c r="M45" s="3"/>
      <c r="N45" s="3"/>
      <c r="O45" s="3"/>
      <c r="P45" s="3"/>
      <c r="Q45" s="3"/>
      <c r="R45" s="3"/>
      <c r="S45" s="3"/>
      <c r="T45" s="3"/>
      <c r="U45" s="3"/>
      <c r="V45" s="3"/>
      <c r="W45" s="3"/>
      <c r="X45" s="3"/>
      <c r="Y45" s="3"/>
      <c r="Z45" s="3"/>
      <c r="AA45" s="3"/>
      <c r="AB45" s="3"/>
      <c r="AC45" s="3"/>
      <c r="AD45" s="3"/>
      <c r="AE45" s="3"/>
      <c r="AF45" s="3"/>
    </row>
    <row r="46" spans="1:32" ht="22.5" hidden="1" customHeight="1" outlineLevel="1" x14ac:dyDescent="0.85">
      <c r="A46" s="282" t="s">
        <v>642</v>
      </c>
      <c r="B46" s="284">
        <v>25.6</v>
      </c>
      <c r="C46" s="281" t="s">
        <v>645</v>
      </c>
      <c r="D46" s="810"/>
      <c r="E46" s="830"/>
      <c r="F46" s="767"/>
      <c r="G46" s="3"/>
      <c r="H46" s="3"/>
      <c r="I46" s="3"/>
      <c r="J46" s="3"/>
      <c r="K46" s="3"/>
      <c r="L46" s="3"/>
      <c r="M46" s="3"/>
      <c r="N46" s="3"/>
      <c r="O46" s="3"/>
      <c r="P46" s="3"/>
      <c r="Q46" s="3"/>
      <c r="R46" s="3"/>
      <c r="S46" s="3"/>
      <c r="T46" s="3"/>
      <c r="U46" s="3"/>
      <c r="V46" s="3"/>
      <c r="W46" s="3"/>
      <c r="X46" s="3"/>
      <c r="Y46" s="3"/>
      <c r="Z46" s="3"/>
      <c r="AA46" s="3"/>
      <c r="AB46" s="3"/>
      <c r="AC46" s="3"/>
      <c r="AD46" s="3"/>
      <c r="AE46" s="3"/>
      <c r="AF46" s="3"/>
    </row>
    <row r="47" spans="1:32" ht="22.5" hidden="1" customHeight="1" outlineLevel="1" x14ac:dyDescent="0.85">
      <c r="A47" s="804" t="s">
        <v>266</v>
      </c>
      <c r="B47" s="765"/>
      <c r="C47" s="765"/>
      <c r="D47" s="765"/>
      <c r="E47" s="765"/>
      <c r="F47" s="762"/>
      <c r="G47" s="15"/>
      <c r="H47" s="15"/>
      <c r="I47" s="77"/>
      <c r="J47" s="142"/>
      <c r="K47" s="142"/>
      <c r="L47" s="142"/>
      <c r="M47" s="3"/>
      <c r="N47" s="3"/>
      <c r="O47" s="3"/>
      <c r="P47" s="3"/>
      <c r="Q47" s="3"/>
      <c r="R47" s="3"/>
      <c r="S47" s="3"/>
      <c r="T47" s="3"/>
      <c r="U47" s="3"/>
      <c r="V47" s="3"/>
      <c r="W47" s="3"/>
      <c r="X47" s="3"/>
      <c r="Y47" s="3"/>
      <c r="Z47" s="3"/>
      <c r="AA47" s="3"/>
      <c r="AB47" s="3"/>
      <c r="AC47" s="3"/>
      <c r="AD47" s="3"/>
      <c r="AE47" s="3"/>
      <c r="AF47" s="3"/>
    </row>
    <row r="48" spans="1:32" ht="22.5" hidden="1" customHeight="1" outlineLevel="1" x14ac:dyDescent="0.85">
      <c r="A48" s="130" t="s">
        <v>606</v>
      </c>
      <c r="B48" s="130" t="s">
        <v>251</v>
      </c>
      <c r="C48" s="130" t="s">
        <v>608</v>
      </c>
      <c r="D48" s="849" t="s">
        <v>138</v>
      </c>
      <c r="E48" s="765"/>
      <c r="F48" s="762"/>
      <c r="G48" s="15"/>
      <c r="H48" s="15"/>
      <c r="I48" s="77"/>
      <c r="J48" s="142"/>
      <c r="K48" s="142"/>
      <c r="L48" s="142"/>
      <c r="M48" s="3"/>
      <c r="N48" s="3"/>
      <c r="O48" s="3"/>
      <c r="P48" s="3"/>
      <c r="Q48" s="3"/>
      <c r="R48" s="3"/>
      <c r="S48" s="3"/>
      <c r="T48" s="3"/>
      <c r="U48" s="3"/>
      <c r="V48" s="3"/>
      <c r="W48" s="3"/>
      <c r="X48" s="3"/>
      <c r="Y48" s="3"/>
      <c r="Z48" s="3"/>
      <c r="AA48" s="3"/>
      <c r="AB48" s="3"/>
      <c r="AC48" s="3"/>
      <c r="AD48" s="3"/>
      <c r="AE48" s="3"/>
      <c r="AF48" s="3"/>
    </row>
    <row r="49" spans="1:32" ht="46.5" hidden="1" customHeight="1" outlineLevel="1" x14ac:dyDescent="0.85">
      <c r="A49" s="176" t="s">
        <v>646</v>
      </c>
      <c r="B49" s="285">
        <f>73.96*'Conversion Factors and GWP'!$A$14/'Conversion Factors and GWP'!$A$7</f>
        <v>1.0243460000000001E-2</v>
      </c>
      <c r="C49" s="176" t="s">
        <v>647</v>
      </c>
      <c r="D49" s="859" t="s">
        <v>648</v>
      </c>
      <c r="E49" s="828"/>
      <c r="F49" s="825"/>
      <c r="G49" s="15"/>
      <c r="H49" s="15"/>
      <c r="I49" s="77"/>
      <c r="J49" s="142"/>
      <c r="K49" s="142"/>
      <c r="L49" s="142"/>
      <c r="M49" s="3"/>
      <c r="N49" s="3"/>
      <c r="O49" s="3"/>
      <c r="P49" s="3"/>
      <c r="Q49" s="3"/>
      <c r="R49" s="3"/>
      <c r="S49" s="3"/>
      <c r="T49" s="3"/>
      <c r="U49" s="3"/>
      <c r="V49" s="3"/>
      <c r="W49" s="3"/>
      <c r="X49" s="3"/>
      <c r="Y49" s="3"/>
      <c r="Z49" s="3"/>
      <c r="AA49" s="3"/>
      <c r="AB49" s="3"/>
      <c r="AC49" s="3"/>
      <c r="AD49" s="3"/>
      <c r="AE49" s="3"/>
      <c r="AF49" s="3"/>
    </row>
    <row r="50" spans="1:32" ht="46.5" hidden="1" customHeight="1" outlineLevel="1" x14ac:dyDescent="0.85">
      <c r="A50" s="176" t="s">
        <v>649</v>
      </c>
      <c r="B50" s="277">
        <f>0.003*'Conversion Factors and GWP'!$A$14/'Conversion Factors and GWP'!$A$7</f>
        <v>4.1550000000000009E-7</v>
      </c>
      <c r="C50" s="176" t="s">
        <v>650</v>
      </c>
      <c r="D50" s="809"/>
      <c r="E50" s="785"/>
      <c r="F50" s="826"/>
      <c r="G50" s="15"/>
      <c r="H50" s="15"/>
      <c r="I50" s="77"/>
      <c r="J50" s="142"/>
      <c r="K50" s="142"/>
      <c r="L50" s="142"/>
      <c r="M50" s="3"/>
      <c r="N50" s="3"/>
      <c r="O50" s="3"/>
      <c r="P50" s="3"/>
      <c r="Q50" s="3"/>
      <c r="R50" s="3"/>
      <c r="S50" s="3"/>
      <c r="T50" s="3"/>
      <c r="U50" s="3"/>
      <c r="V50" s="3"/>
      <c r="W50" s="3"/>
      <c r="X50" s="3"/>
      <c r="Y50" s="3"/>
      <c r="Z50" s="3"/>
      <c r="AA50" s="3"/>
      <c r="AB50" s="3"/>
      <c r="AC50" s="3"/>
      <c r="AD50" s="3"/>
      <c r="AE50" s="3"/>
      <c r="AF50" s="3"/>
    </row>
    <row r="51" spans="1:32" ht="46.5" hidden="1" customHeight="1" outlineLevel="1" x14ac:dyDescent="0.85">
      <c r="A51" s="176" t="s">
        <v>651</v>
      </c>
      <c r="B51" s="277">
        <f>0.0006*'Conversion Factors and GWP'!$A$14/'Conversion Factors and GWP'!$A$7</f>
        <v>8.3099999999999996E-8</v>
      </c>
      <c r="C51" s="176" t="s">
        <v>652</v>
      </c>
      <c r="D51" s="810"/>
      <c r="E51" s="830"/>
      <c r="F51" s="767"/>
      <c r="G51" s="15"/>
      <c r="H51" s="15"/>
      <c r="I51" s="77"/>
      <c r="J51" s="142"/>
      <c r="K51" s="142"/>
      <c r="L51" s="142"/>
      <c r="M51" s="3"/>
      <c r="N51" s="3"/>
      <c r="O51" s="3"/>
      <c r="P51" s="3"/>
      <c r="Q51" s="3"/>
      <c r="R51" s="3"/>
      <c r="S51" s="3"/>
      <c r="T51" s="3"/>
      <c r="U51" s="3"/>
      <c r="V51" s="3"/>
      <c r="W51" s="3"/>
      <c r="X51" s="3"/>
      <c r="Y51" s="3"/>
      <c r="Z51" s="3"/>
      <c r="AA51" s="3"/>
      <c r="AB51" s="3"/>
      <c r="AC51" s="3"/>
      <c r="AD51" s="3"/>
      <c r="AE51" s="3"/>
      <c r="AF51" s="3"/>
    </row>
    <row r="52" spans="1:32" ht="22.5" hidden="1" customHeight="1" outlineLevel="1" x14ac:dyDescent="0.85">
      <c r="A52" s="860" t="s">
        <v>142</v>
      </c>
      <c r="B52" s="765"/>
      <c r="C52" s="765"/>
      <c r="D52" s="765"/>
      <c r="E52" s="765"/>
      <c r="F52" s="762"/>
      <c r="G52" s="3"/>
      <c r="H52" s="3"/>
      <c r="I52" s="3"/>
      <c r="J52" s="3"/>
      <c r="K52" s="3"/>
      <c r="L52" s="3"/>
      <c r="M52" s="3"/>
      <c r="N52" s="3"/>
      <c r="O52" s="3"/>
      <c r="P52" s="3"/>
      <c r="Q52" s="3"/>
      <c r="R52" s="3"/>
      <c r="S52" s="3"/>
      <c r="T52" s="3"/>
      <c r="U52" s="3"/>
      <c r="V52" s="3"/>
      <c r="W52" s="3"/>
      <c r="X52" s="3"/>
      <c r="Y52" s="3"/>
      <c r="Z52" s="3"/>
      <c r="AA52" s="3"/>
      <c r="AB52" s="3"/>
      <c r="AC52" s="3"/>
      <c r="AD52" s="3"/>
      <c r="AE52" s="3"/>
      <c r="AF52" s="3"/>
    </row>
    <row r="53" spans="1:32" ht="22.5" hidden="1" customHeight="1" outlineLevel="1" x14ac:dyDescent="0.85">
      <c r="A53" s="130" t="s">
        <v>606</v>
      </c>
      <c r="B53" s="130" t="s">
        <v>251</v>
      </c>
      <c r="C53" s="130" t="s">
        <v>608</v>
      </c>
      <c r="D53" s="849" t="s">
        <v>609</v>
      </c>
      <c r="E53" s="765"/>
      <c r="F53" s="762"/>
      <c r="G53" s="3"/>
      <c r="H53" s="3"/>
      <c r="I53" s="3"/>
      <c r="J53" s="3"/>
      <c r="K53" s="3"/>
      <c r="L53" s="3"/>
      <c r="M53" s="3"/>
      <c r="N53" s="3"/>
      <c r="O53" s="3"/>
      <c r="P53" s="3"/>
      <c r="Q53" s="3"/>
      <c r="R53" s="3"/>
      <c r="S53" s="3"/>
      <c r="T53" s="3"/>
      <c r="U53" s="3"/>
      <c r="V53" s="3"/>
      <c r="W53" s="3"/>
      <c r="X53" s="3"/>
      <c r="Y53" s="3"/>
      <c r="Z53" s="3"/>
      <c r="AA53" s="3"/>
      <c r="AB53" s="3"/>
      <c r="AC53" s="3"/>
      <c r="AD53" s="3"/>
      <c r="AE53" s="3"/>
      <c r="AF53" s="3"/>
    </row>
    <row r="54" spans="1:32" ht="22.5" hidden="1" customHeight="1" outlineLevel="1" x14ac:dyDescent="0.85">
      <c r="A54" s="176" t="s">
        <v>653</v>
      </c>
      <c r="B54" s="286">
        <v>93.8</v>
      </c>
      <c r="C54" s="176" t="s">
        <v>654</v>
      </c>
      <c r="D54" s="861" t="s">
        <v>655</v>
      </c>
      <c r="E54" s="828"/>
      <c r="F54" s="825"/>
      <c r="G54" s="3"/>
      <c r="H54" s="3"/>
      <c r="I54" s="3"/>
      <c r="J54" s="3"/>
      <c r="K54" s="3"/>
      <c r="L54" s="3"/>
      <c r="M54" s="3"/>
      <c r="N54" s="3"/>
      <c r="O54" s="3"/>
      <c r="P54" s="3"/>
      <c r="Q54" s="3"/>
      <c r="R54" s="3"/>
      <c r="S54" s="3"/>
      <c r="T54" s="3"/>
      <c r="U54" s="3"/>
      <c r="V54" s="3"/>
      <c r="W54" s="3"/>
      <c r="X54" s="3"/>
      <c r="Y54" s="3"/>
      <c r="Z54" s="3"/>
      <c r="AA54" s="3"/>
      <c r="AB54" s="3"/>
      <c r="AC54" s="3"/>
      <c r="AD54" s="3"/>
      <c r="AE54" s="3"/>
      <c r="AF54" s="3"/>
    </row>
    <row r="55" spans="1:32" ht="22.5" hidden="1" customHeight="1" outlineLevel="1" x14ac:dyDescent="0.85">
      <c r="A55" s="176" t="s">
        <v>551</v>
      </c>
      <c r="B55" s="287">
        <v>0.316</v>
      </c>
      <c r="C55" s="176" t="s">
        <v>654</v>
      </c>
      <c r="D55" s="809"/>
      <c r="E55" s="785"/>
      <c r="F55" s="826"/>
      <c r="G55" s="3"/>
      <c r="H55" s="3"/>
      <c r="I55" s="3"/>
      <c r="J55" s="3"/>
      <c r="K55" s="3"/>
      <c r="L55" s="3"/>
      <c r="M55" s="3"/>
      <c r="N55" s="3"/>
      <c r="O55" s="3"/>
      <c r="P55" s="3"/>
      <c r="Q55" s="3"/>
      <c r="R55" s="3"/>
      <c r="S55" s="3"/>
      <c r="T55" s="3"/>
      <c r="U55" s="3"/>
      <c r="V55" s="3"/>
      <c r="W55" s="3"/>
      <c r="X55" s="3"/>
      <c r="Y55" s="3"/>
      <c r="Z55" s="3"/>
      <c r="AA55" s="3"/>
      <c r="AB55" s="3"/>
      <c r="AC55" s="3"/>
      <c r="AD55" s="3"/>
      <c r="AE55" s="3"/>
      <c r="AF55" s="3"/>
    </row>
    <row r="56" spans="1:32" ht="22.5" hidden="1" customHeight="1" outlineLevel="1" x14ac:dyDescent="0.85">
      <c r="A56" s="176" t="s">
        <v>553</v>
      </c>
      <c r="B56" s="285">
        <v>4.1999999999999997E-3</v>
      </c>
      <c r="C56" s="176" t="s">
        <v>654</v>
      </c>
      <c r="D56" s="810"/>
      <c r="E56" s="830"/>
      <c r="F56" s="767"/>
      <c r="G56" s="3"/>
      <c r="H56" s="3"/>
      <c r="I56" s="3"/>
      <c r="J56" s="3"/>
      <c r="K56" s="3"/>
      <c r="L56" s="3"/>
      <c r="M56" s="3"/>
      <c r="N56" s="3"/>
      <c r="O56" s="3"/>
      <c r="P56" s="3"/>
      <c r="Q56" s="3"/>
      <c r="R56" s="3"/>
      <c r="S56" s="3"/>
      <c r="T56" s="3"/>
      <c r="U56" s="3"/>
      <c r="V56" s="3"/>
      <c r="W56" s="3"/>
      <c r="X56" s="3"/>
      <c r="Y56" s="3"/>
      <c r="Z56" s="3"/>
      <c r="AA56" s="3"/>
      <c r="AB56" s="3"/>
      <c r="AC56" s="3"/>
      <c r="AD56" s="3"/>
      <c r="AE56" s="3"/>
      <c r="AF56" s="3"/>
    </row>
    <row r="57" spans="1:32" ht="22.5" hidden="1" customHeight="1" outlineLevel="1" x14ac:dyDescent="0.85">
      <c r="A57" s="130" t="s">
        <v>656</v>
      </c>
      <c r="B57" s="130" t="s">
        <v>251</v>
      </c>
      <c r="C57" s="130" t="s">
        <v>608</v>
      </c>
      <c r="D57" s="849" t="s">
        <v>138</v>
      </c>
      <c r="E57" s="765"/>
      <c r="F57" s="762"/>
      <c r="G57" s="3"/>
      <c r="H57" s="3"/>
      <c r="I57" s="3"/>
      <c r="J57" s="3"/>
      <c r="K57" s="3"/>
      <c r="L57" s="3"/>
      <c r="M57" s="3"/>
      <c r="N57" s="3"/>
      <c r="O57" s="3"/>
      <c r="P57" s="3"/>
      <c r="Q57" s="3"/>
      <c r="R57" s="3"/>
      <c r="S57" s="3"/>
      <c r="T57" s="3"/>
      <c r="U57" s="3"/>
      <c r="V57" s="3"/>
      <c r="W57" s="3"/>
      <c r="X57" s="3"/>
      <c r="Y57" s="3"/>
      <c r="Z57" s="3"/>
      <c r="AA57" s="3"/>
      <c r="AB57" s="3"/>
      <c r="AC57" s="3"/>
      <c r="AD57" s="3"/>
      <c r="AE57" s="3"/>
      <c r="AF57" s="3"/>
    </row>
    <row r="58" spans="1:32" ht="40.5" hidden="1" customHeight="1" outlineLevel="1" x14ac:dyDescent="0.85">
      <c r="A58" s="280" t="s">
        <v>657</v>
      </c>
      <c r="B58" s="288">
        <v>69600000</v>
      </c>
      <c r="C58" s="281" t="s">
        <v>658</v>
      </c>
      <c r="D58" s="857" t="s">
        <v>659</v>
      </c>
      <c r="E58" s="765"/>
      <c r="F58" s="762"/>
      <c r="G58" s="3"/>
      <c r="H58" s="3"/>
      <c r="I58" s="3"/>
      <c r="J58" s="3"/>
      <c r="K58" s="3"/>
      <c r="L58" s="3"/>
      <c r="M58" s="3"/>
      <c r="N58" s="3"/>
      <c r="O58" s="3"/>
      <c r="P58" s="3"/>
      <c r="Q58" s="3"/>
      <c r="R58" s="3"/>
      <c r="S58" s="3"/>
      <c r="T58" s="3"/>
      <c r="U58" s="3"/>
      <c r="V58" s="3"/>
      <c r="W58" s="3"/>
      <c r="X58" s="3"/>
      <c r="Y58" s="3"/>
      <c r="Z58" s="3"/>
      <c r="AA58" s="3"/>
      <c r="AB58" s="3"/>
      <c r="AC58" s="3"/>
      <c r="AD58" s="3"/>
      <c r="AE58" s="3"/>
      <c r="AF58" s="3"/>
    </row>
    <row r="59" spans="1:32" ht="22.5" hidden="1" customHeight="1" outlineLevel="1" x14ac:dyDescent="0.85">
      <c r="A59" s="274"/>
      <c r="B59" s="274"/>
      <c r="C59" s="274"/>
      <c r="D59" s="274"/>
      <c r="E59" s="274"/>
      <c r="F59" s="274"/>
      <c r="G59" s="274"/>
      <c r="H59" s="77"/>
      <c r="I59" s="77"/>
      <c r="J59" s="142"/>
      <c r="K59" s="142"/>
      <c r="L59" s="142"/>
      <c r="M59" s="3"/>
      <c r="N59" s="3"/>
      <c r="O59" s="3"/>
      <c r="P59" s="3"/>
      <c r="Q59" s="3"/>
      <c r="R59" s="3"/>
      <c r="S59" s="3"/>
      <c r="T59" s="3"/>
      <c r="U59" s="3"/>
      <c r="V59" s="3"/>
      <c r="W59" s="3"/>
      <c r="X59" s="3"/>
      <c r="Y59" s="3"/>
      <c r="Z59" s="3"/>
      <c r="AA59" s="3"/>
      <c r="AB59" s="3"/>
      <c r="AC59" s="3"/>
      <c r="AD59" s="3"/>
      <c r="AE59" s="3"/>
      <c r="AF59" s="3"/>
    </row>
    <row r="60" spans="1:32" ht="25.5" customHeight="1" collapsed="1" x14ac:dyDescent="0.85">
      <c r="A60" s="858" t="s">
        <v>254</v>
      </c>
      <c r="B60" s="765"/>
      <c r="C60" s="765"/>
      <c r="D60" s="765"/>
      <c r="E60" s="765"/>
      <c r="F60" s="765"/>
      <c r="G60" s="765"/>
      <c r="H60" s="765"/>
      <c r="I60" s="765"/>
      <c r="J60" s="765"/>
      <c r="K60" s="765"/>
      <c r="L60" s="762"/>
      <c r="M60" s="3"/>
      <c r="N60" s="3"/>
      <c r="O60" s="3"/>
      <c r="P60" s="3"/>
      <c r="Q60" s="3"/>
      <c r="R60" s="3"/>
      <c r="S60" s="3"/>
      <c r="T60" s="3"/>
      <c r="U60" s="3"/>
      <c r="V60" s="3"/>
      <c r="W60" s="3"/>
      <c r="X60" s="3"/>
      <c r="Y60" s="3"/>
      <c r="Z60" s="3"/>
      <c r="AA60" s="3"/>
      <c r="AB60" s="3"/>
      <c r="AC60" s="3"/>
      <c r="AD60" s="3"/>
      <c r="AE60" s="3"/>
      <c r="AF60" s="3"/>
    </row>
    <row r="61" spans="1:32" ht="22.5" hidden="1" customHeight="1" outlineLevel="1" x14ac:dyDescent="0.85">
      <c r="A61" s="839" t="s">
        <v>660</v>
      </c>
      <c r="B61" s="813"/>
      <c r="C61" s="813"/>
      <c r="D61" s="813"/>
      <c r="E61" s="813"/>
      <c r="F61" s="813"/>
      <c r="G61" s="814"/>
      <c r="H61" s="779" t="s">
        <v>661</v>
      </c>
      <c r="I61" s="765"/>
      <c r="J61" s="765"/>
      <c r="K61" s="765"/>
      <c r="L61" s="762"/>
      <c r="M61" s="3"/>
      <c r="N61" s="3"/>
      <c r="O61" s="3"/>
      <c r="P61" s="3"/>
      <c r="Q61" s="3"/>
      <c r="R61" s="3"/>
      <c r="S61" s="3"/>
      <c r="T61" s="3"/>
      <c r="U61" s="3"/>
      <c r="V61" s="3"/>
      <c r="W61" s="3"/>
      <c r="X61" s="3"/>
      <c r="Y61" s="3"/>
      <c r="Z61" s="3"/>
      <c r="AA61" s="3"/>
      <c r="AB61" s="3"/>
      <c r="AC61" s="3"/>
      <c r="AD61" s="3"/>
      <c r="AE61" s="3"/>
      <c r="AF61" s="3"/>
    </row>
    <row r="62" spans="1:32" ht="22.5" hidden="1" customHeight="1" outlineLevel="1" x14ac:dyDescent="0.85">
      <c r="A62" s="289" t="s">
        <v>251</v>
      </c>
      <c r="B62" s="289" t="s">
        <v>105</v>
      </c>
      <c r="C62" s="289" t="s">
        <v>107</v>
      </c>
      <c r="D62" s="289" t="s">
        <v>108</v>
      </c>
      <c r="E62" s="289" t="s">
        <v>109</v>
      </c>
      <c r="F62" s="289" t="s">
        <v>110</v>
      </c>
      <c r="G62" s="289" t="s">
        <v>119</v>
      </c>
      <c r="H62" s="289" t="s">
        <v>251</v>
      </c>
      <c r="I62" s="289" t="s">
        <v>662</v>
      </c>
      <c r="J62" s="289" t="s">
        <v>663</v>
      </c>
      <c r="K62" s="289" t="s">
        <v>664</v>
      </c>
      <c r="L62" s="289" t="s">
        <v>665</v>
      </c>
      <c r="M62" s="3"/>
      <c r="N62" s="3"/>
      <c r="O62" s="3"/>
      <c r="P62" s="3"/>
      <c r="Q62" s="3"/>
      <c r="R62" s="3"/>
      <c r="S62" s="3"/>
      <c r="T62" s="3"/>
      <c r="U62" s="3"/>
      <c r="V62" s="3"/>
      <c r="W62" s="3"/>
      <c r="X62" s="3"/>
      <c r="Y62" s="3"/>
      <c r="Z62" s="3"/>
      <c r="AA62" s="3"/>
      <c r="AB62" s="3"/>
      <c r="AC62" s="3"/>
      <c r="AD62" s="3"/>
      <c r="AE62" s="3"/>
      <c r="AF62" s="3"/>
    </row>
    <row r="63" spans="1:32" ht="22.5" hidden="1" customHeight="1" outlineLevel="1" x14ac:dyDescent="0.85">
      <c r="A63" s="290" t="s">
        <v>662</v>
      </c>
      <c r="B63" s="150">
        <f t="shared" ref="B63:G63" si="7">SUM(B73,B82,B90)</f>
        <v>3844595669.6049995</v>
      </c>
      <c r="C63" s="150">
        <f t="shared" si="7"/>
        <v>4494326907.3659992</v>
      </c>
      <c r="D63" s="150">
        <f t="shared" si="7"/>
        <v>732472224.30999994</v>
      </c>
      <c r="E63" s="150">
        <f t="shared" si="7"/>
        <v>0</v>
      </c>
      <c r="F63" s="150">
        <f t="shared" si="7"/>
        <v>405555476.80800009</v>
      </c>
      <c r="G63" s="150">
        <f t="shared" si="7"/>
        <v>5632354608.4840002</v>
      </c>
      <c r="H63" s="150" t="s">
        <v>105</v>
      </c>
      <c r="I63" s="152">
        <f>B63/B65</f>
        <v>1</v>
      </c>
      <c r="J63" s="152">
        <f t="shared" ref="J63:J68" si="8">1-I63</f>
        <v>0</v>
      </c>
      <c r="K63" s="291">
        <f t="shared" ref="K63:K68" si="9">I63*$C$32+$C$33*J63</f>
        <v>2.6800000000000001E-2</v>
      </c>
      <c r="L63" s="40">
        <f t="shared" ref="L63:L68" si="10">I63*$D$26+$D$27*J63</f>
        <v>0.25729999999999997</v>
      </c>
      <c r="M63" s="3"/>
      <c r="N63" s="3"/>
      <c r="O63" s="3"/>
      <c r="P63" s="3"/>
      <c r="Q63" s="3"/>
      <c r="R63" s="3"/>
      <c r="S63" s="3"/>
      <c r="T63" s="3"/>
      <c r="U63" s="3"/>
      <c r="V63" s="3"/>
      <c r="W63" s="3"/>
      <c r="X63" s="3"/>
      <c r="Y63" s="3"/>
      <c r="Z63" s="3"/>
      <c r="AA63" s="3"/>
      <c r="AB63" s="3"/>
      <c r="AC63" s="3"/>
      <c r="AD63" s="3"/>
      <c r="AE63" s="3"/>
      <c r="AF63" s="3"/>
    </row>
    <row r="64" spans="1:32" ht="22.5" hidden="1" customHeight="1" outlineLevel="1" x14ac:dyDescent="0.85">
      <c r="A64" s="290" t="s">
        <v>663</v>
      </c>
      <c r="B64" s="150">
        <f>SUM(B106,B113,B129,B136,B143)</f>
        <v>0</v>
      </c>
      <c r="C64" s="150">
        <f t="shared" ref="C64:D64" si="11">SUM(C106,C113,C129,C136,C143,C159,C166,C173,C189,C196,C203)</f>
        <v>87796473.153420359</v>
      </c>
      <c r="D64" s="150">
        <f t="shared" si="11"/>
        <v>48730021</v>
      </c>
      <c r="E64" s="150">
        <f>SUM(E106,E113,E129,E136,E143,E189,E196,E203)</f>
        <v>199751798.96778044</v>
      </c>
      <c r="F64" s="150">
        <f t="shared" ref="F64:G64" si="12">SUM(F106,F113,F129,F136,F143,F159,F166,F173,F189,F196,F203)</f>
        <v>22131861.905138977</v>
      </c>
      <c r="G64" s="150">
        <f t="shared" si="12"/>
        <v>358410155.02633977</v>
      </c>
      <c r="H64" s="150" t="s">
        <v>107</v>
      </c>
      <c r="I64" s="152">
        <f>C63/C65</f>
        <v>0.98083934764247482</v>
      </c>
      <c r="J64" s="152">
        <f t="shared" si="8"/>
        <v>1.9160652357525176E-2</v>
      </c>
      <c r="K64" s="291">
        <f t="shared" si="9"/>
        <v>2.6974830822400556E-2</v>
      </c>
      <c r="L64" s="40">
        <f t="shared" si="10"/>
        <v>0.26480697983529289</v>
      </c>
      <c r="M64" s="3"/>
      <c r="N64" s="3"/>
      <c r="O64" s="3"/>
      <c r="P64" s="3"/>
      <c r="Q64" s="3"/>
      <c r="R64" s="3"/>
      <c r="S64" s="3"/>
      <c r="T64" s="3"/>
      <c r="U64" s="3"/>
      <c r="V64" s="3"/>
      <c r="W64" s="3"/>
      <c r="X64" s="3"/>
      <c r="Y64" s="3"/>
      <c r="Z64" s="3"/>
      <c r="AA64" s="3"/>
      <c r="AB64" s="3"/>
      <c r="AC64" s="3"/>
      <c r="AD64" s="3"/>
      <c r="AE64" s="3"/>
      <c r="AF64" s="3"/>
    </row>
    <row r="65" spans="1:32" ht="22.5" hidden="1" customHeight="1" outlineLevel="1" x14ac:dyDescent="0.85">
      <c r="A65" s="292" t="s">
        <v>666</v>
      </c>
      <c r="B65" s="293">
        <f t="shared" ref="B65:G65" si="13">SUM(B63:B64)</f>
        <v>3844595669.6049995</v>
      </c>
      <c r="C65" s="293">
        <f t="shared" si="13"/>
        <v>4582123380.5194197</v>
      </c>
      <c r="D65" s="293">
        <f t="shared" si="13"/>
        <v>781202245.30999994</v>
      </c>
      <c r="E65" s="293">
        <f t="shared" si="13"/>
        <v>199751798.96778044</v>
      </c>
      <c r="F65" s="293">
        <f t="shared" si="13"/>
        <v>427687338.71313906</v>
      </c>
      <c r="G65" s="293">
        <f t="shared" si="13"/>
        <v>5990764763.5103397</v>
      </c>
      <c r="H65" s="150" t="s">
        <v>108</v>
      </c>
      <c r="I65" s="152">
        <f>D63/D65</f>
        <v>0.93762176018751364</v>
      </c>
      <c r="J65" s="152">
        <f t="shared" si="8"/>
        <v>6.2378239812486358E-2</v>
      </c>
      <c r="K65" s="291">
        <f t="shared" si="9"/>
        <v>2.7369168458506735E-2</v>
      </c>
      <c r="L65" s="40">
        <f t="shared" si="10"/>
        <v>0.28173926123681747</v>
      </c>
      <c r="M65" s="3"/>
      <c r="N65" s="3"/>
      <c r="O65" s="3"/>
      <c r="P65" s="3"/>
      <c r="Q65" s="3"/>
      <c r="R65" s="3"/>
      <c r="S65" s="3"/>
      <c r="T65" s="3"/>
      <c r="U65" s="3"/>
      <c r="V65" s="3"/>
      <c r="W65" s="3"/>
      <c r="X65" s="3"/>
      <c r="Y65" s="3"/>
      <c r="Z65" s="3"/>
      <c r="AA65" s="3"/>
      <c r="AB65" s="3"/>
      <c r="AC65" s="3"/>
      <c r="AD65" s="3"/>
      <c r="AE65" s="3"/>
      <c r="AF65" s="3"/>
    </row>
    <row r="66" spans="1:32" ht="22.5" hidden="1" customHeight="1" outlineLevel="1" x14ac:dyDescent="0.85">
      <c r="A66" s="3"/>
      <c r="B66" s="3"/>
      <c r="C66" s="3"/>
      <c r="D66" s="3"/>
      <c r="E66" s="3"/>
      <c r="F66" s="3"/>
      <c r="G66" s="3"/>
      <c r="H66" s="150" t="s">
        <v>109</v>
      </c>
      <c r="I66" s="152">
        <f>E63/E65</f>
        <v>0</v>
      </c>
      <c r="J66" s="152">
        <f t="shared" si="8"/>
        <v>1</v>
      </c>
      <c r="K66" s="291">
        <f t="shared" si="9"/>
        <v>3.5924471293478283E-2</v>
      </c>
      <c r="L66" s="40">
        <f t="shared" si="10"/>
        <v>0.64909145340240049</v>
      </c>
      <c r="M66" s="3"/>
      <c r="N66" s="3"/>
      <c r="O66" s="3"/>
      <c r="P66" s="3"/>
      <c r="Q66" s="3"/>
      <c r="R66" s="3"/>
      <c r="S66" s="3"/>
      <c r="T66" s="3"/>
      <c r="U66" s="3"/>
      <c r="V66" s="3"/>
      <c r="W66" s="3"/>
      <c r="X66" s="3"/>
      <c r="Y66" s="3"/>
      <c r="Z66" s="3"/>
      <c r="AA66" s="3"/>
      <c r="AB66" s="3"/>
      <c r="AC66" s="3"/>
      <c r="AD66" s="3"/>
      <c r="AE66" s="3"/>
      <c r="AF66" s="3"/>
    </row>
    <row r="67" spans="1:32" ht="22.5" hidden="1" customHeight="1" outlineLevel="1" x14ac:dyDescent="0.85">
      <c r="A67" s="3"/>
      <c r="B67" s="3"/>
      <c r="C67" s="3"/>
      <c r="D67" s="3"/>
      <c r="E67" s="3"/>
      <c r="F67" s="3"/>
      <c r="G67" s="3"/>
      <c r="H67" s="150" t="s">
        <v>110</v>
      </c>
      <c r="I67" s="152">
        <f>F63/F65</f>
        <v>0.94825223965775762</v>
      </c>
      <c r="J67" s="152">
        <f t="shared" si="8"/>
        <v>5.1747760342242377E-2</v>
      </c>
      <c r="K67" s="291">
        <f t="shared" si="9"/>
        <v>2.7272170953744589E-2</v>
      </c>
      <c r="L67" s="40">
        <f t="shared" si="10"/>
        <v>0.27757433023480621</v>
      </c>
      <c r="M67" s="3"/>
      <c r="N67" s="3"/>
      <c r="O67" s="3"/>
      <c r="P67" s="3"/>
      <c r="Q67" s="3"/>
      <c r="R67" s="3"/>
      <c r="S67" s="3"/>
      <c r="T67" s="3"/>
      <c r="U67" s="3"/>
      <c r="V67" s="3"/>
      <c r="W67" s="3"/>
      <c r="X67" s="3"/>
      <c r="Y67" s="3"/>
      <c r="Z67" s="3"/>
      <c r="AA67" s="3"/>
      <c r="AB67" s="3"/>
      <c r="AC67" s="3"/>
      <c r="AD67" s="3"/>
      <c r="AE67" s="3"/>
      <c r="AF67" s="3"/>
    </row>
    <row r="68" spans="1:32" ht="22.5" hidden="1" customHeight="1" outlineLevel="1" x14ac:dyDescent="0.85">
      <c r="A68" s="3"/>
      <c r="B68" s="3"/>
      <c r="C68" s="3"/>
      <c r="D68" s="3"/>
      <c r="E68" s="3"/>
      <c r="F68" s="3"/>
      <c r="G68" s="3"/>
      <c r="H68" s="293" t="s">
        <v>667</v>
      </c>
      <c r="I68" s="294">
        <f>G63/G65</f>
        <v>0.94017288790749876</v>
      </c>
      <c r="J68" s="294">
        <f t="shared" si="8"/>
        <v>5.9827112092501245E-2</v>
      </c>
      <c r="K68" s="295">
        <f t="shared" si="9"/>
        <v>2.7345890766859737E-2</v>
      </c>
      <c r="L68" s="296">
        <f t="shared" si="10"/>
        <v>0.28073975119958938</v>
      </c>
      <c r="M68" s="3"/>
      <c r="N68" s="3"/>
      <c r="O68" s="3"/>
      <c r="P68" s="3"/>
      <c r="Q68" s="3"/>
      <c r="R68" s="3"/>
      <c r="S68" s="3"/>
      <c r="T68" s="3"/>
      <c r="U68" s="3"/>
      <c r="V68" s="3"/>
      <c r="W68" s="3"/>
      <c r="X68" s="3"/>
      <c r="Y68" s="3"/>
      <c r="Z68" s="3"/>
      <c r="AA68" s="3"/>
      <c r="AB68" s="3"/>
      <c r="AC68" s="3"/>
      <c r="AD68" s="3"/>
      <c r="AE68" s="3"/>
      <c r="AF68" s="3"/>
    </row>
    <row r="69" spans="1:32" ht="22.5" hidden="1" customHeight="1" outlineLevel="1" x14ac:dyDescent="0.85">
      <c r="A69" s="3"/>
      <c r="B69" s="3"/>
      <c r="C69" s="3"/>
      <c r="D69" s="3"/>
      <c r="E69" s="3"/>
      <c r="F69" s="3"/>
      <c r="G69" s="3"/>
      <c r="H69" s="15"/>
      <c r="I69" s="15"/>
      <c r="J69" s="15"/>
      <c r="K69" s="15"/>
      <c r="L69" s="15"/>
      <c r="M69" s="3"/>
      <c r="N69" s="3"/>
      <c r="O69" s="3"/>
      <c r="P69" s="3"/>
      <c r="Q69" s="3"/>
      <c r="R69" s="3"/>
      <c r="S69" s="3"/>
      <c r="T69" s="3"/>
      <c r="U69" s="3"/>
      <c r="V69" s="3"/>
      <c r="W69" s="3"/>
      <c r="X69" s="3"/>
      <c r="Y69" s="3"/>
      <c r="Z69" s="3"/>
      <c r="AA69" s="3"/>
      <c r="AB69" s="3"/>
      <c r="AC69" s="3"/>
      <c r="AD69" s="3"/>
      <c r="AE69" s="3"/>
      <c r="AF69" s="3"/>
    </row>
    <row r="70" spans="1:32" ht="22.5" hidden="1" customHeight="1" outlineLevel="1" x14ac:dyDescent="0.85">
      <c r="A70" s="297" t="s">
        <v>668</v>
      </c>
      <c r="B70" s="172"/>
      <c r="C70" s="172"/>
      <c r="D70" s="172"/>
      <c r="E70" s="172"/>
      <c r="F70" s="172"/>
      <c r="G70" s="173"/>
      <c r="H70" s="15"/>
      <c r="I70" s="15"/>
      <c r="J70" s="15"/>
      <c r="K70" s="15"/>
      <c r="L70" s="15"/>
      <c r="M70" s="3"/>
      <c r="N70" s="3"/>
      <c r="O70" s="3"/>
      <c r="P70" s="3"/>
      <c r="Q70" s="3"/>
      <c r="R70" s="3"/>
      <c r="S70" s="3"/>
      <c r="T70" s="3"/>
      <c r="U70" s="3"/>
      <c r="V70" s="3"/>
      <c r="W70" s="3"/>
      <c r="X70" s="3"/>
      <c r="Y70" s="3"/>
      <c r="Z70" s="3"/>
      <c r="AA70" s="3"/>
      <c r="AB70" s="3"/>
      <c r="AC70" s="3"/>
      <c r="AD70" s="3"/>
      <c r="AE70" s="3"/>
      <c r="AF70" s="3"/>
    </row>
    <row r="71" spans="1:32" ht="22.5" hidden="1" customHeight="1" outlineLevel="1" x14ac:dyDescent="0.85">
      <c r="A71" s="298" t="s">
        <v>669</v>
      </c>
      <c r="B71" s="299"/>
      <c r="C71" s="299"/>
      <c r="D71" s="299"/>
      <c r="E71" s="299"/>
      <c r="F71" s="299"/>
      <c r="G71" s="300"/>
      <c r="H71" s="15"/>
      <c r="I71" s="15"/>
      <c r="J71" s="15"/>
      <c r="K71" s="15"/>
      <c r="L71" s="15"/>
      <c r="M71" s="3"/>
      <c r="N71" s="3"/>
      <c r="O71" s="3"/>
      <c r="P71" s="3"/>
      <c r="Q71" s="3"/>
      <c r="R71" s="3"/>
      <c r="S71" s="3"/>
      <c r="T71" s="3"/>
      <c r="U71" s="3"/>
      <c r="V71" s="3"/>
      <c r="W71" s="3"/>
      <c r="X71" s="3"/>
      <c r="Y71" s="3"/>
      <c r="Z71" s="3"/>
      <c r="AA71" s="3"/>
      <c r="AB71" s="3"/>
      <c r="AC71" s="3"/>
      <c r="AD71" s="3"/>
      <c r="AE71" s="3"/>
      <c r="AF71" s="3"/>
    </row>
    <row r="72" spans="1:32" ht="22.5" hidden="1" customHeight="1" outlineLevel="1" x14ac:dyDescent="0.85">
      <c r="A72" s="289" t="s">
        <v>251</v>
      </c>
      <c r="B72" s="289" t="s">
        <v>105</v>
      </c>
      <c r="C72" s="289" t="s">
        <v>107</v>
      </c>
      <c r="D72" s="289" t="s">
        <v>108</v>
      </c>
      <c r="E72" s="289" t="s">
        <v>109</v>
      </c>
      <c r="F72" s="289" t="s">
        <v>110</v>
      </c>
      <c r="G72" s="289" t="s">
        <v>119</v>
      </c>
      <c r="H72" s="15"/>
      <c r="I72" s="15"/>
      <c r="J72" s="15"/>
      <c r="K72" s="15"/>
      <c r="L72" s="15"/>
      <c r="M72" s="3"/>
      <c r="N72" s="3"/>
      <c r="O72" s="3"/>
      <c r="P72" s="3"/>
      <c r="Q72" s="3"/>
      <c r="R72" s="3"/>
      <c r="S72" s="3"/>
      <c r="T72" s="3"/>
      <c r="U72" s="3"/>
      <c r="V72" s="3"/>
      <c r="W72" s="3"/>
      <c r="X72" s="3"/>
      <c r="Y72" s="3"/>
      <c r="Z72" s="3"/>
      <c r="AA72" s="3"/>
      <c r="AB72" s="3"/>
      <c r="AC72" s="3"/>
      <c r="AD72" s="3"/>
      <c r="AE72" s="3"/>
      <c r="AF72" s="3"/>
    </row>
    <row r="73" spans="1:32" ht="22.5" hidden="1" customHeight="1" outlineLevel="1" x14ac:dyDescent="0.85">
      <c r="A73" s="301" t="s">
        <v>670</v>
      </c>
      <c r="B73" s="302">
        <v>1533534496.681</v>
      </c>
      <c r="C73" s="302">
        <v>1873192786.1029997</v>
      </c>
      <c r="D73" s="302">
        <v>421958042.01300001</v>
      </c>
      <c r="E73" s="302" t="s">
        <v>106</v>
      </c>
      <c r="F73" s="302">
        <v>232092563.01200002</v>
      </c>
      <c r="G73" s="303">
        <f t="shared" ref="G73:G74" si="14">SUM(C73:F73)</f>
        <v>2527243391.1279998</v>
      </c>
      <c r="H73" s="15"/>
      <c r="I73" s="15"/>
      <c r="J73" s="15"/>
      <c r="K73" s="15"/>
      <c r="L73" s="15"/>
      <c r="M73" s="3"/>
      <c r="N73" s="3"/>
      <c r="O73" s="3"/>
      <c r="P73" s="3"/>
      <c r="Q73" s="3"/>
      <c r="R73" s="3"/>
      <c r="S73" s="3"/>
      <c r="T73" s="3"/>
      <c r="U73" s="3"/>
      <c r="V73" s="3"/>
      <c r="W73" s="3"/>
      <c r="X73" s="3"/>
      <c r="Y73" s="3"/>
      <c r="Z73" s="3"/>
      <c r="AA73" s="3"/>
      <c r="AB73" s="3"/>
      <c r="AC73" s="3"/>
      <c r="AD73" s="3"/>
      <c r="AE73" s="3"/>
      <c r="AF73" s="3"/>
    </row>
    <row r="74" spans="1:32" ht="22.5" hidden="1" customHeight="1" outlineLevel="1" x14ac:dyDescent="0.85">
      <c r="A74" s="292" t="s">
        <v>671</v>
      </c>
      <c r="B74" s="293">
        <f>B73-'On-Road Data'!G144</f>
        <v>1509268282.1700001</v>
      </c>
      <c r="C74" s="293">
        <f>C73-'On-Road Data'!G145</f>
        <v>1847632722.5529997</v>
      </c>
      <c r="D74" s="293">
        <f>D73-'On-Road Data'!G146</f>
        <v>416383054.56700003</v>
      </c>
      <c r="E74" s="293" t="s">
        <v>106</v>
      </c>
      <c r="F74" s="293">
        <f>F73-'On-Road Data'!G148</f>
        <v>230885521.73600003</v>
      </c>
      <c r="G74" s="293">
        <f t="shared" si="14"/>
        <v>2494901298.8559999</v>
      </c>
      <c r="H74" s="15"/>
      <c r="I74" s="15"/>
      <c r="J74" s="15"/>
      <c r="K74" s="15"/>
      <c r="L74" s="15"/>
      <c r="M74" s="3"/>
      <c r="N74" s="3"/>
      <c r="O74" s="3"/>
      <c r="P74" s="3"/>
      <c r="Q74" s="3"/>
      <c r="R74" s="3"/>
      <c r="S74" s="3"/>
      <c r="T74" s="3"/>
      <c r="U74" s="3"/>
      <c r="V74" s="3"/>
      <c r="W74" s="3"/>
      <c r="X74" s="3"/>
      <c r="Y74" s="3"/>
      <c r="Z74" s="3"/>
      <c r="AA74" s="3"/>
      <c r="AB74" s="3"/>
      <c r="AC74" s="3"/>
      <c r="AD74" s="3"/>
      <c r="AE74" s="3"/>
      <c r="AF74" s="3"/>
    </row>
    <row r="75" spans="1:32" ht="22.5" hidden="1" customHeight="1" outlineLevel="1" x14ac:dyDescent="0.85">
      <c r="A75" s="290" t="s">
        <v>672</v>
      </c>
      <c r="B75" s="150">
        <f>(B74/'Conversion Factors and GWP'!$A$5)*$D$26</f>
        <v>388334.72900234099</v>
      </c>
      <c r="C75" s="150">
        <f>(C74/'Conversion Factors and GWP'!$A$5)*$D$26</f>
        <v>475395.89951288677</v>
      </c>
      <c r="D75" s="150">
        <f>(D74/'Conversion Factors and GWP'!$A$5)*$D$26</f>
        <v>107135.3599400891</v>
      </c>
      <c r="E75" s="150" t="s">
        <v>106</v>
      </c>
      <c r="F75" s="150">
        <f>(F74/'Conversion Factors and GWP'!$A$5)*$D$26</f>
        <v>59406.844742672802</v>
      </c>
      <c r="G75" s="150">
        <f>(G74/'Conversion Factors and GWP'!$A$5)*$D$26</f>
        <v>641938.10419564869</v>
      </c>
      <c r="H75" s="304"/>
      <c r="I75" s="304"/>
      <c r="J75" s="304"/>
      <c r="K75" s="1"/>
      <c r="L75" s="3"/>
      <c r="M75" s="3"/>
      <c r="N75" s="3"/>
      <c r="O75" s="3"/>
      <c r="P75" s="3"/>
      <c r="Q75" s="3"/>
      <c r="R75" s="3"/>
      <c r="S75" s="3"/>
      <c r="T75" s="3"/>
      <c r="U75" s="3"/>
      <c r="V75" s="3"/>
      <c r="W75" s="3"/>
      <c r="X75" s="3"/>
      <c r="Y75" s="3"/>
      <c r="Z75" s="3"/>
      <c r="AA75" s="3"/>
      <c r="AB75" s="3"/>
      <c r="AC75" s="3"/>
      <c r="AD75" s="3"/>
      <c r="AE75" s="3"/>
      <c r="AF75" s="3"/>
    </row>
    <row r="76" spans="1:32" ht="22.5" hidden="1" customHeight="1" outlineLevel="1" x14ac:dyDescent="0.85">
      <c r="A76" s="290" t="s">
        <v>673</v>
      </c>
      <c r="B76" s="150">
        <f>(B74/'Conversion Factors and GWP'!$A$5)*$D$28</f>
        <v>34.914262952649437</v>
      </c>
      <c r="C76" s="150">
        <f>(C74/'Conversion Factors and GWP'!$A$5)*$D$28</f>
        <v>42.741728211756666</v>
      </c>
      <c r="D76" s="150">
        <f>(D74/'Conversion Factors and GWP'!$A$5)*$D$28</f>
        <v>9.632288459197957</v>
      </c>
      <c r="E76" s="150" t="s">
        <v>106</v>
      </c>
      <c r="F76" s="150">
        <f>(F74/'Conversion Factors and GWP'!$A$5)*$D$28</f>
        <v>5.3411298130906921</v>
      </c>
      <c r="G76" s="150">
        <f>(G74/'Conversion Factors and GWP'!$A$5)*$D$28</f>
        <v>57.71514648404532</v>
      </c>
      <c r="H76" s="304"/>
      <c r="I76" s="304"/>
      <c r="J76" s="304"/>
      <c r="K76" s="1"/>
      <c r="L76" s="3"/>
      <c r="M76" s="3"/>
      <c r="N76" s="3"/>
      <c r="O76" s="3"/>
      <c r="P76" s="3"/>
      <c r="Q76" s="3"/>
      <c r="R76" s="3"/>
      <c r="S76" s="3"/>
      <c r="T76" s="3"/>
      <c r="U76" s="3"/>
      <c r="V76" s="3"/>
      <c r="W76" s="3"/>
      <c r="X76" s="3"/>
      <c r="Y76" s="3"/>
      <c r="Z76" s="3"/>
      <c r="AA76" s="3"/>
      <c r="AB76" s="3"/>
      <c r="AC76" s="3"/>
      <c r="AD76" s="3"/>
      <c r="AE76" s="3"/>
      <c r="AF76" s="3"/>
    </row>
    <row r="77" spans="1:32" ht="22.5" hidden="1" customHeight="1" outlineLevel="1" x14ac:dyDescent="0.85">
      <c r="A77" s="290" t="s">
        <v>674</v>
      </c>
      <c r="B77" s="150">
        <f>(B74/'Conversion Factors and GWP'!$A$5)*$D$29</f>
        <v>4.7921537385989428</v>
      </c>
      <c r="C77" s="150">
        <f>(C74/'Conversion Factors and GWP'!$A$5)*$D$29</f>
        <v>5.8665117153391506</v>
      </c>
      <c r="D77" s="150">
        <f>(D74/'Conversion Factors and GWP'!$A$5)*$D$29</f>
        <v>1.3220788081252099</v>
      </c>
      <c r="E77" s="150" t="s">
        <v>106</v>
      </c>
      <c r="F77" s="150">
        <f>(F74/'Conversion Factors and GWP'!$A$5)*$D$29</f>
        <v>0.73309624885558522</v>
      </c>
      <c r="G77" s="150">
        <f>(G74/'Conversion Factors and GWP'!$A$5)*$D$29</f>
        <v>7.921686772319946</v>
      </c>
      <c r="H77" s="304"/>
      <c r="I77" s="304"/>
      <c r="J77" s="304"/>
      <c r="K77" s="1"/>
      <c r="L77" s="3"/>
      <c r="M77" s="3"/>
      <c r="N77" s="3"/>
      <c r="O77" s="3"/>
      <c r="P77" s="3"/>
      <c r="Q77" s="3"/>
      <c r="R77" s="3"/>
      <c r="S77" s="3"/>
      <c r="T77" s="3"/>
      <c r="U77" s="3"/>
      <c r="V77" s="3"/>
      <c r="W77" s="3"/>
      <c r="X77" s="3"/>
      <c r="Y77" s="3"/>
      <c r="Z77" s="3"/>
      <c r="AA77" s="3"/>
      <c r="AB77" s="3"/>
      <c r="AC77" s="3"/>
      <c r="AD77" s="3"/>
      <c r="AE77" s="3"/>
      <c r="AF77" s="3"/>
    </row>
    <row r="78" spans="1:32" ht="22.5" hidden="1" customHeight="1" outlineLevel="1" x14ac:dyDescent="0.85">
      <c r="A78" s="292" t="s">
        <v>675</v>
      </c>
      <c r="B78" s="293">
        <f>B75+(B76*'Conversion Factors and GWP'!$C$31)+('Conversion Factors and GWP'!$C$32*B77)</f>
        <v>390582.24910574389</v>
      </c>
      <c r="C78" s="293">
        <f>C75+(C76*'Conversion Factors and GWP'!$C$31)+('Conversion Factors and GWP'!$C$32*C77)</f>
        <v>478147.29350738082</v>
      </c>
      <c r="D78" s="293">
        <f>D75+(D76*'Conversion Factors and GWP'!$C$31)+('Conversion Factors and GWP'!$C$32*D77)</f>
        <v>107755.41490109982</v>
      </c>
      <c r="E78" s="293" t="s">
        <v>106</v>
      </c>
      <c r="F78" s="293">
        <f>F75+(F76*'Conversion Factors and GWP'!$C$31)+('Conversion Factors and GWP'!$C$32*F77)</f>
        <v>59750.666883386075</v>
      </c>
      <c r="G78" s="293">
        <f>G75+G76*'Conversion Factors and GWP'!$C$31+'Conversion Factors and GWP'!$C$32*G77</f>
        <v>645653.37529186672</v>
      </c>
      <c r="H78" s="305"/>
      <c r="I78" s="304"/>
      <c r="J78" s="304"/>
      <c r="K78" s="1"/>
      <c r="L78" s="3"/>
      <c r="M78" s="3"/>
      <c r="N78" s="3"/>
      <c r="O78" s="3"/>
      <c r="P78" s="3"/>
      <c r="Q78" s="3"/>
      <c r="R78" s="3"/>
      <c r="S78" s="3"/>
      <c r="T78" s="3"/>
      <c r="U78" s="3"/>
      <c r="V78" s="3"/>
      <c r="W78" s="3"/>
      <c r="X78" s="3"/>
      <c r="Y78" s="3"/>
      <c r="Z78" s="3"/>
      <c r="AA78" s="3"/>
      <c r="AB78" s="3"/>
      <c r="AC78" s="3"/>
      <c r="AD78" s="3"/>
      <c r="AE78" s="3"/>
      <c r="AF78" s="3"/>
    </row>
    <row r="79" spans="1:32" ht="22.5" hidden="1" customHeight="1" outlineLevel="1" x14ac:dyDescent="0.85">
      <c r="A79" s="292" t="s">
        <v>676</v>
      </c>
      <c r="B79" s="293">
        <f>B74/'City of Albuquerque Data'!$B$7</f>
        <v>5842.2911420055361</v>
      </c>
      <c r="C79" s="293">
        <f>C74/'Bernalillo County Data'!$B$7</f>
        <v>6102.4702827016054</v>
      </c>
      <c r="D79" s="293">
        <f>D74/'Sandoval County Data'!$B$7</f>
        <v>6773.2095090199273</v>
      </c>
      <c r="E79" s="293" t="s">
        <v>106</v>
      </c>
      <c r="F79" s="293">
        <f>F74/'Valencia County Data'!$B$7</f>
        <v>7531.0040360101775</v>
      </c>
      <c r="G79" s="293">
        <f>G74/'Albuquerque MSA Data'!$B$7</f>
        <v>6204.2003696705797</v>
      </c>
      <c r="H79" s="304"/>
      <c r="I79" s="304"/>
      <c r="J79" s="304"/>
      <c r="K79" s="1"/>
      <c r="L79" s="3"/>
      <c r="M79" s="3"/>
      <c r="N79" s="3"/>
      <c r="O79" s="3"/>
      <c r="P79" s="3"/>
      <c r="Q79" s="3"/>
      <c r="R79" s="3"/>
      <c r="S79" s="3"/>
      <c r="T79" s="3"/>
      <c r="U79" s="3"/>
      <c r="V79" s="3"/>
      <c r="W79" s="3"/>
      <c r="X79" s="3"/>
      <c r="Y79" s="3"/>
      <c r="Z79" s="3"/>
      <c r="AA79" s="3"/>
      <c r="AB79" s="3"/>
      <c r="AC79" s="3"/>
      <c r="AD79" s="3"/>
      <c r="AE79" s="3"/>
      <c r="AF79" s="3"/>
    </row>
    <row r="80" spans="1:32" ht="22.5" hidden="1" customHeight="1" outlineLevel="1" x14ac:dyDescent="0.85">
      <c r="A80" s="804" t="s">
        <v>677</v>
      </c>
      <c r="B80" s="765"/>
      <c r="C80" s="765"/>
      <c r="D80" s="765"/>
      <c r="E80" s="765"/>
      <c r="F80" s="765"/>
      <c r="G80" s="762"/>
      <c r="H80" s="3"/>
      <c r="I80" s="3"/>
      <c r="J80" s="3"/>
      <c r="K80" s="3"/>
      <c r="L80" s="3"/>
      <c r="M80" s="3"/>
      <c r="N80" s="3"/>
      <c r="O80" s="3"/>
      <c r="P80" s="3"/>
      <c r="Q80" s="3"/>
      <c r="R80" s="3"/>
      <c r="S80" s="3"/>
      <c r="T80" s="3"/>
      <c r="U80" s="3"/>
      <c r="V80" s="3"/>
      <c r="W80" s="3"/>
      <c r="X80" s="3"/>
      <c r="Y80" s="3"/>
      <c r="Z80" s="3"/>
      <c r="AA80" s="3"/>
      <c r="AB80" s="3"/>
      <c r="AC80" s="3"/>
      <c r="AD80" s="3"/>
      <c r="AE80" s="3"/>
      <c r="AF80" s="3"/>
    </row>
    <row r="81" spans="1:32" ht="22.5" hidden="1" customHeight="1" outlineLevel="1" x14ac:dyDescent="0.85">
      <c r="A81" s="289" t="s">
        <v>251</v>
      </c>
      <c r="B81" s="289" t="s">
        <v>105</v>
      </c>
      <c r="C81" s="289" t="s">
        <v>107</v>
      </c>
      <c r="D81" s="289" t="s">
        <v>108</v>
      </c>
      <c r="E81" s="289" t="s">
        <v>109</v>
      </c>
      <c r="F81" s="289" t="s">
        <v>110</v>
      </c>
      <c r="G81" s="289" t="s">
        <v>119</v>
      </c>
      <c r="H81" s="3"/>
      <c r="I81" s="3"/>
      <c r="J81" s="3"/>
      <c r="K81" s="3"/>
      <c r="L81" s="3"/>
      <c r="M81" s="3"/>
      <c r="N81" s="3"/>
      <c r="O81" s="3"/>
      <c r="P81" s="3"/>
      <c r="Q81" s="3"/>
      <c r="R81" s="3"/>
      <c r="S81" s="3"/>
      <c r="T81" s="3"/>
      <c r="U81" s="3"/>
      <c r="V81" s="3"/>
      <c r="W81" s="3"/>
      <c r="X81" s="3"/>
      <c r="Y81" s="3"/>
      <c r="Z81" s="3"/>
      <c r="AA81" s="3"/>
      <c r="AB81" s="3"/>
      <c r="AC81" s="3"/>
      <c r="AD81" s="3"/>
      <c r="AE81" s="3"/>
      <c r="AF81" s="3"/>
    </row>
    <row r="82" spans="1:32" ht="22.5" hidden="1" customHeight="1" outlineLevel="1" x14ac:dyDescent="0.85">
      <c r="A82" s="290" t="s">
        <v>678</v>
      </c>
      <c r="B82" s="302">
        <v>2311061172.9239993</v>
      </c>
      <c r="C82" s="306">
        <v>2449022251.777</v>
      </c>
      <c r="D82" s="306">
        <v>291814782.86699998</v>
      </c>
      <c r="E82" s="302" t="s">
        <v>106</v>
      </c>
      <c r="F82" s="306">
        <v>160494918.30600002</v>
      </c>
      <c r="G82" s="303">
        <f t="shared" ref="G82:G83" si="15">SUM(C82:F82)</f>
        <v>2901331952.9500003</v>
      </c>
      <c r="H82" s="3"/>
      <c r="I82" s="3"/>
      <c r="J82" s="3"/>
      <c r="K82" s="3"/>
      <c r="L82" s="3"/>
      <c r="M82" s="3"/>
      <c r="N82" s="3"/>
      <c r="O82" s="3"/>
      <c r="P82" s="3"/>
      <c r="Q82" s="3"/>
      <c r="R82" s="3"/>
      <c r="S82" s="3"/>
      <c r="T82" s="3"/>
      <c r="U82" s="3"/>
      <c r="V82" s="3"/>
      <c r="W82" s="3"/>
      <c r="X82" s="3"/>
      <c r="Y82" s="3"/>
      <c r="Z82" s="3"/>
      <c r="AA82" s="3"/>
      <c r="AB82" s="3"/>
      <c r="AC82" s="3"/>
      <c r="AD82" s="3"/>
      <c r="AE82" s="3"/>
      <c r="AF82" s="3"/>
    </row>
    <row r="83" spans="1:32" ht="22.5" hidden="1" customHeight="1" outlineLevel="1" x14ac:dyDescent="0.85">
      <c r="A83" s="292" t="s">
        <v>679</v>
      </c>
      <c r="B83" s="293">
        <f>B82-'On-Road Data'!H144-'Transit Data'!B72</f>
        <v>2306690320.835999</v>
      </c>
      <c r="C83" s="293">
        <f>C82-'On-Road Data'!H145-'Transit Data'!B72</f>
        <v>2444423073.388</v>
      </c>
      <c r="D83" s="293">
        <f>D82-'On-Road Data'!H146</f>
        <v>290830961.55299997</v>
      </c>
      <c r="E83" s="293" t="s">
        <v>106</v>
      </c>
      <c r="F83" s="293">
        <f>F82-'On-Road Data'!H148</f>
        <v>160281911.02200001</v>
      </c>
      <c r="G83" s="293">
        <f t="shared" si="15"/>
        <v>2895535945.9629998</v>
      </c>
      <c r="H83" s="3"/>
      <c r="I83" s="3"/>
      <c r="J83" s="3"/>
      <c r="K83" s="3"/>
      <c r="L83" s="3"/>
      <c r="M83" s="3"/>
      <c r="N83" s="3"/>
      <c r="O83" s="3"/>
      <c r="P83" s="3"/>
      <c r="Q83" s="3"/>
      <c r="R83" s="3"/>
      <c r="S83" s="3"/>
      <c r="T83" s="3"/>
      <c r="U83" s="3"/>
      <c r="V83" s="3"/>
      <c r="W83" s="3"/>
      <c r="X83" s="3"/>
      <c r="Y83" s="3"/>
      <c r="Z83" s="3"/>
      <c r="AA83" s="3"/>
      <c r="AB83" s="3"/>
      <c r="AC83" s="3"/>
      <c r="AD83" s="3"/>
      <c r="AE83" s="3"/>
      <c r="AF83" s="3"/>
    </row>
    <row r="84" spans="1:32" ht="22.5" hidden="1" customHeight="1" outlineLevel="1" x14ac:dyDescent="0.85">
      <c r="A84" s="290" t="s">
        <v>680</v>
      </c>
      <c r="B84" s="150">
        <f>(B83/'Conversion Factors and GWP'!$A$5)*$D$26</f>
        <v>593511.41955110256</v>
      </c>
      <c r="C84" s="150">
        <f>(C83/'Conversion Factors and GWP'!$A$5)*$D$26</f>
        <v>628950.05678273237</v>
      </c>
      <c r="D84" s="150">
        <f>(D83/'Conversion Factors and GWP'!$A$5)*$D$26</f>
        <v>74830.80640758689</v>
      </c>
      <c r="E84" s="150" t="s">
        <v>106</v>
      </c>
      <c r="F84" s="150">
        <f>(F83/'Conversion Factors and GWP'!$A$5)*$D$26</f>
        <v>41240.535705960603</v>
      </c>
      <c r="G84" s="150">
        <f>(G83/'Conversion Factors and GWP'!$A$5)*$D$26</f>
        <v>745021.39889627986</v>
      </c>
      <c r="H84" s="3"/>
      <c r="I84" s="3"/>
      <c r="J84" s="3"/>
      <c r="K84" s="3"/>
      <c r="L84" s="3"/>
      <c r="M84" s="3"/>
      <c r="N84" s="3"/>
      <c r="O84" s="3"/>
      <c r="P84" s="3"/>
      <c r="Q84" s="3"/>
      <c r="R84" s="3"/>
      <c r="S84" s="3"/>
      <c r="T84" s="3"/>
      <c r="U84" s="3"/>
      <c r="V84" s="3"/>
      <c r="W84" s="3"/>
      <c r="X84" s="3"/>
      <c r="Y84" s="3"/>
      <c r="Z84" s="3"/>
      <c r="AA84" s="3"/>
      <c r="AB84" s="3"/>
      <c r="AC84" s="3"/>
      <c r="AD84" s="3"/>
      <c r="AE84" s="3"/>
      <c r="AF84" s="3"/>
    </row>
    <row r="85" spans="1:32" ht="22.5" hidden="1" customHeight="1" outlineLevel="1" x14ac:dyDescent="0.85">
      <c r="A85" s="290" t="s">
        <v>681</v>
      </c>
      <c r="B85" s="150">
        <f>(B83/'Conversion Factors and GWP'!$A$5)*$D$28</f>
        <v>53.361217063546533</v>
      </c>
      <c r="C85" s="150">
        <f>(C83/'Conversion Factors and GWP'!$A$5)*$D$28</f>
        <v>56.54742166123323</v>
      </c>
      <c r="D85" s="150">
        <f>(D83/'Conversion Factors and GWP'!$A$5)*$D$28</f>
        <v>6.7278619622442868</v>
      </c>
      <c r="E85" s="150" t="s">
        <v>106</v>
      </c>
      <c r="F85" s="150">
        <f>(F83/'Conversion Factors and GWP'!$A$5)*$D$28</f>
        <v>3.707839655869039</v>
      </c>
      <c r="G85" s="150">
        <f>(G83/'Conversion Factors and GWP'!$A$5)*$D$28</f>
        <v>66.983123279346557</v>
      </c>
      <c r="H85" s="3"/>
      <c r="I85" s="3"/>
      <c r="J85" s="3"/>
      <c r="K85" s="3"/>
      <c r="L85" s="3"/>
      <c r="M85" s="3"/>
      <c r="N85" s="3"/>
      <c r="O85" s="3"/>
      <c r="P85" s="3"/>
      <c r="Q85" s="3"/>
      <c r="R85" s="3"/>
      <c r="S85" s="3"/>
      <c r="T85" s="3"/>
      <c r="U85" s="3"/>
      <c r="V85" s="3"/>
      <c r="W85" s="3"/>
      <c r="X85" s="3"/>
      <c r="Y85" s="3"/>
      <c r="Z85" s="3"/>
      <c r="AA85" s="3"/>
      <c r="AB85" s="3"/>
      <c r="AC85" s="3"/>
      <c r="AD85" s="3"/>
      <c r="AE85" s="3"/>
      <c r="AF85" s="3"/>
    </row>
    <row r="86" spans="1:32" ht="22.5" hidden="1" customHeight="1" outlineLevel="1" x14ac:dyDescent="0.85">
      <c r="A86" s="290" t="s">
        <v>682</v>
      </c>
      <c r="B86" s="150">
        <f>(B83/'Conversion Factors and GWP'!$A$5)*$D$29</f>
        <v>7.324088616565211</v>
      </c>
      <c r="C86" s="150">
        <f>(C83/'Conversion Factors and GWP'!$A$5)*$D$29</f>
        <v>7.7614108162476985</v>
      </c>
      <c r="D86" s="150">
        <f>(D83/'Conversion Factors and GWP'!$A$5)*$D$29</f>
        <v>0.92343203403352947</v>
      </c>
      <c r="E86" s="150" t="s">
        <v>106</v>
      </c>
      <c r="F86" s="150">
        <f>(F83/'Conversion Factors and GWP'!$A$5)*$D$29</f>
        <v>0.5089191684526132</v>
      </c>
      <c r="G86" s="150">
        <f>(G83/'Conversion Factors and GWP'!$A$5)*$D$29</f>
        <v>9.1937620187338407</v>
      </c>
      <c r="H86" s="3"/>
      <c r="I86" s="3"/>
      <c r="J86" s="3"/>
      <c r="K86" s="3"/>
      <c r="L86" s="3"/>
      <c r="M86" s="3"/>
      <c r="N86" s="3"/>
      <c r="O86" s="3"/>
      <c r="P86" s="3"/>
      <c r="Q86" s="3"/>
      <c r="R86" s="3"/>
      <c r="S86" s="3"/>
      <c r="T86" s="3"/>
      <c r="U86" s="3"/>
      <c r="V86" s="3"/>
      <c r="W86" s="3"/>
      <c r="X86" s="3"/>
      <c r="Y86" s="3"/>
      <c r="Z86" s="3"/>
      <c r="AA86" s="3"/>
      <c r="AB86" s="3"/>
      <c r="AC86" s="3"/>
      <c r="AD86" s="3"/>
      <c r="AE86" s="3"/>
      <c r="AF86" s="3"/>
    </row>
    <row r="87" spans="1:32" ht="22.5" hidden="1" customHeight="1" outlineLevel="1" x14ac:dyDescent="0.85">
      <c r="A87" s="292" t="s">
        <v>683</v>
      </c>
      <c r="B87" s="293">
        <f>B84+B85*'Conversion Factors and GWP'!$C$31+'Conversion Factors and GWP'!$C$32*B86</f>
        <v>596946.41711227165</v>
      </c>
      <c r="C87" s="293">
        <f>C84+C85*'Conversion Factors and GWP'!$C$31+'Conversion Factors and GWP'!$C$32*C86</f>
        <v>632590.15845555253</v>
      </c>
      <c r="D87" s="293">
        <f>D84+D85*'Conversion Factors and GWP'!$C$31+'Conversion Factors and GWP'!$C$32*D86</f>
        <v>75263.896031548618</v>
      </c>
      <c r="E87" s="293" t="s">
        <v>106</v>
      </c>
      <c r="F87" s="293">
        <f>F84+F85*'Conversion Factors and GWP'!$C$31+'Conversion Factors and GWP'!$C$32*F86</f>
        <v>41479.218795964873</v>
      </c>
      <c r="G87" s="293">
        <f>G84+G85*'Conversion Factors and GWP'!$C$31+'Conversion Factors and GWP'!$C$32*G86</f>
        <v>749333.273283066</v>
      </c>
      <c r="H87" s="58"/>
      <c r="I87" s="3"/>
      <c r="J87" s="3"/>
      <c r="K87" s="3"/>
      <c r="L87" s="3"/>
      <c r="M87" s="3"/>
      <c r="N87" s="3"/>
      <c r="O87" s="3"/>
      <c r="P87" s="3"/>
      <c r="Q87" s="3"/>
      <c r="R87" s="3"/>
      <c r="S87" s="3"/>
      <c r="T87" s="3"/>
      <c r="U87" s="3"/>
      <c r="V87" s="3"/>
      <c r="W87" s="3"/>
      <c r="X87" s="3"/>
      <c r="Y87" s="3"/>
      <c r="Z87" s="3"/>
      <c r="AA87" s="3"/>
      <c r="AB87" s="3"/>
      <c r="AC87" s="3"/>
      <c r="AD87" s="3"/>
      <c r="AE87" s="3"/>
      <c r="AF87" s="3"/>
    </row>
    <row r="88" spans="1:32" ht="22.5" hidden="1" customHeight="1" outlineLevel="1" x14ac:dyDescent="0.85">
      <c r="A88" s="804" t="s">
        <v>684</v>
      </c>
      <c r="B88" s="765"/>
      <c r="C88" s="765"/>
      <c r="D88" s="765"/>
      <c r="E88" s="765"/>
      <c r="F88" s="765"/>
      <c r="G88" s="762"/>
      <c r="H88" s="3"/>
      <c r="I88" s="3"/>
      <c r="J88" s="3"/>
      <c r="K88" s="3"/>
      <c r="L88" s="3"/>
      <c r="M88" s="3"/>
      <c r="N88" s="3"/>
      <c r="O88" s="3"/>
      <c r="P88" s="3"/>
      <c r="Q88" s="3"/>
      <c r="R88" s="3"/>
      <c r="S88" s="3"/>
      <c r="T88" s="3"/>
      <c r="U88" s="3"/>
      <c r="V88" s="3"/>
      <c r="W88" s="3"/>
      <c r="X88" s="3"/>
      <c r="Y88" s="3"/>
      <c r="Z88" s="3"/>
      <c r="AA88" s="3"/>
      <c r="AB88" s="3"/>
      <c r="AC88" s="3"/>
      <c r="AD88" s="3"/>
      <c r="AE88" s="3"/>
      <c r="AF88" s="3"/>
    </row>
    <row r="89" spans="1:32" ht="22.5" hidden="1" customHeight="1" outlineLevel="1" x14ac:dyDescent="0.85">
      <c r="A89" s="289" t="s">
        <v>251</v>
      </c>
      <c r="B89" s="289" t="s">
        <v>105</v>
      </c>
      <c r="C89" s="289" t="s">
        <v>107</v>
      </c>
      <c r="D89" s="289" t="s">
        <v>108</v>
      </c>
      <c r="E89" s="289" t="s">
        <v>109</v>
      </c>
      <c r="F89" s="289" t="s">
        <v>110</v>
      </c>
      <c r="G89" s="289" t="s">
        <v>119</v>
      </c>
      <c r="H89" s="3"/>
      <c r="I89" s="3"/>
      <c r="J89" s="3"/>
      <c r="K89" s="3"/>
      <c r="L89" s="3"/>
      <c r="M89" s="3"/>
      <c r="N89" s="3"/>
      <c r="O89" s="3"/>
      <c r="P89" s="3"/>
      <c r="Q89" s="3"/>
      <c r="R89" s="3"/>
      <c r="S89" s="3"/>
      <c r="T89" s="3"/>
      <c r="U89" s="3"/>
      <c r="V89" s="3"/>
      <c r="W89" s="3"/>
      <c r="X89" s="3"/>
      <c r="Y89" s="3"/>
      <c r="Z89" s="3"/>
      <c r="AA89" s="3"/>
      <c r="AB89" s="3"/>
      <c r="AC89" s="3"/>
      <c r="AD89" s="3"/>
      <c r="AE89" s="3"/>
      <c r="AF89" s="3"/>
    </row>
    <row r="90" spans="1:32" ht="22.5" hidden="1" customHeight="1" outlineLevel="1" x14ac:dyDescent="0.85">
      <c r="A90" s="290" t="s">
        <v>685</v>
      </c>
      <c r="B90" s="302" t="s">
        <v>106</v>
      </c>
      <c r="C90" s="306">
        <v>172111869.486</v>
      </c>
      <c r="D90" s="306">
        <v>18699399.43</v>
      </c>
      <c r="E90" s="302" t="s">
        <v>106</v>
      </c>
      <c r="F90" s="306">
        <v>12967995.49</v>
      </c>
      <c r="G90" s="303">
        <f>SUM(C90:F90)</f>
        <v>203779264.40600002</v>
      </c>
      <c r="H90" s="3"/>
      <c r="I90" s="3"/>
      <c r="J90" s="3"/>
      <c r="K90" s="3"/>
      <c r="L90" s="3"/>
      <c r="M90" s="3"/>
      <c r="N90" s="3"/>
      <c r="O90" s="3"/>
      <c r="P90" s="3"/>
      <c r="Q90" s="3"/>
      <c r="R90" s="3"/>
      <c r="S90" s="3"/>
      <c r="T90" s="3"/>
      <c r="U90" s="3"/>
      <c r="V90" s="3"/>
      <c r="W90" s="3"/>
      <c r="X90" s="3"/>
      <c r="Y90" s="3"/>
      <c r="Z90" s="3"/>
      <c r="AA90" s="3"/>
      <c r="AB90" s="3"/>
      <c r="AC90" s="3"/>
      <c r="AD90" s="3"/>
      <c r="AE90" s="3"/>
      <c r="AF90" s="3"/>
    </row>
    <row r="91" spans="1:32" ht="22.5" hidden="1" customHeight="1" outlineLevel="1" x14ac:dyDescent="0.85">
      <c r="A91" s="290" t="s">
        <v>686</v>
      </c>
      <c r="B91" s="150" t="s">
        <v>106</v>
      </c>
      <c r="C91" s="150">
        <f>(C90/'Conversion Factors and GWP'!$A$5)*$D$26</f>
        <v>44284.384018747798</v>
      </c>
      <c r="D91" s="150">
        <f>(D90/'Conversion Factors and GWP'!$A$5)*$D$26</f>
        <v>4811.3554733390001</v>
      </c>
      <c r="E91" s="150" t="s">
        <v>106</v>
      </c>
      <c r="F91" s="150">
        <f>(F90/'Conversion Factors and GWP'!$A$5)*$D$26</f>
        <v>3336.6652395769993</v>
      </c>
      <c r="G91" s="150">
        <f>(G90/'Conversion Factors and GWP'!$A$5)*$D$26</f>
        <v>52432.404731663803</v>
      </c>
      <c r="H91" s="3"/>
      <c r="I91" s="3"/>
      <c r="J91" s="3"/>
      <c r="K91" s="3"/>
      <c r="L91" s="3"/>
      <c r="M91" s="3"/>
      <c r="N91" s="3"/>
      <c r="O91" s="3"/>
      <c r="P91" s="3"/>
      <c r="Q91" s="3"/>
      <c r="R91" s="3"/>
      <c r="S91" s="3"/>
      <c r="T91" s="3"/>
      <c r="U91" s="3"/>
      <c r="V91" s="3"/>
      <c r="W91" s="3"/>
      <c r="X91" s="3"/>
      <c r="Y91" s="3"/>
      <c r="Z91" s="3"/>
      <c r="AA91" s="3"/>
      <c r="AB91" s="3"/>
      <c r="AC91" s="3"/>
      <c r="AD91" s="3"/>
      <c r="AE91" s="3"/>
      <c r="AF91" s="3"/>
    </row>
    <row r="92" spans="1:32" ht="22.5" hidden="1" customHeight="1" outlineLevel="1" x14ac:dyDescent="0.85">
      <c r="A92" s="290" t="s">
        <v>687</v>
      </c>
      <c r="B92" s="150" t="s">
        <v>106</v>
      </c>
      <c r="C92" s="150">
        <f>(C90/'Conversion Factors and GWP'!$A$5)*$D$28</f>
        <v>3.9815049050566542</v>
      </c>
      <c r="D92" s="150">
        <f>(D90/'Conversion Factors and GWP'!$A$5)*$D$28</f>
        <v>0.43257766459979502</v>
      </c>
      <c r="E92" s="150" t="s">
        <v>106</v>
      </c>
      <c r="F92" s="150">
        <f>(F90/'Conversion Factors and GWP'!$A$5)*$D$28</f>
        <v>0.29999173099672505</v>
      </c>
      <c r="G92" s="150">
        <f>(G90/'Conversion Factors and GWP'!$A$5)*$D$28</f>
        <v>4.7140743006531745</v>
      </c>
      <c r="H92" s="3"/>
      <c r="I92" s="3"/>
      <c r="J92" s="3"/>
      <c r="K92" s="3"/>
      <c r="L92" s="3"/>
      <c r="M92" s="3"/>
      <c r="N92" s="3"/>
      <c r="O92" s="3"/>
      <c r="P92" s="3"/>
      <c r="Q92" s="3"/>
      <c r="R92" s="3"/>
      <c r="S92" s="3"/>
      <c r="T92" s="3"/>
      <c r="U92" s="3"/>
      <c r="V92" s="3"/>
      <c r="W92" s="3"/>
      <c r="X92" s="3"/>
      <c r="Y92" s="3"/>
      <c r="Z92" s="3"/>
      <c r="AA92" s="3"/>
      <c r="AB92" s="3"/>
      <c r="AC92" s="3"/>
      <c r="AD92" s="3"/>
      <c r="AE92" s="3"/>
      <c r="AF92" s="3"/>
    </row>
    <row r="93" spans="1:32" ht="22.5" hidden="1" customHeight="1" outlineLevel="1" x14ac:dyDescent="0.85">
      <c r="A93" s="290" t="s">
        <v>688</v>
      </c>
      <c r="B93" s="150" t="s">
        <v>106</v>
      </c>
      <c r="C93" s="150">
        <f>(C90/'Conversion Factors and GWP'!$A$5)*$D$29</f>
        <v>0.54648106539993291</v>
      </c>
      <c r="D93" s="150">
        <f>(D90/'Conversion Factors and GWP'!$A$5)*$D$29</f>
        <v>5.9373404945069902E-2</v>
      </c>
      <c r="E93" s="150" t="s">
        <v>106</v>
      </c>
      <c r="F93" s="150">
        <f>(F90/'Conversion Factors and GWP'!$A$5)*$D$29</f>
        <v>4.1175335627001479E-2</v>
      </c>
      <c r="G93" s="150">
        <f>(G90/'Conversion Factors and GWP'!$A$5)*$D$29</f>
        <v>0.64702980597200432</v>
      </c>
      <c r="H93" s="3"/>
      <c r="I93" s="3"/>
      <c r="J93" s="3"/>
      <c r="K93" s="3"/>
      <c r="L93" s="3"/>
      <c r="M93" s="3"/>
      <c r="N93" s="3"/>
      <c r="O93" s="3"/>
      <c r="P93" s="3"/>
      <c r="Q93" s="3"/>
      <c r="R93" s="3"/>
      <c r="S93" s="3"/>
      <c r="T93" s="3"/>
      <c r="U93" s="3"/>
      <c r="V93" s="3"/>
      <c r="W93" s="3"/>
      <c r="X93" s="3"/>
      <c r="Y93" s="3"/>
      <c r="Z93" s="3"/>
      <c r="AA93" s="3"/>
      <c r="AB93" s="3"/>
      <c r="AC93" s="3"/>
      <c r="AD93" s="3"/>
      <c r="AE93" s="3"/>
      <c r="AF93" s="3"/>
    </row>
    <row r="94" spans="1:32" ht="22.5" hidden="1" customHeight="1" outlineLevel="1" x14ac:dyDescent="0.85">
      <c r="A94" s="292" t="s">
        <v>689</v>
      </c>
      <c r="B94" s="293" t="s">
        <v>106</v>
      </c>
      <c r="C94" s="293">
        <f>C91+C92*'Conversion Factors and GWP'!$C$31+'Conversion Factors and GWP'!$C$32*C93</f>
        <v>44540.683638420363</v>
      </c>
      <c r="D94" s="293">
        <f>D91+D92*'Conversion Factors and GWP'!$C$31+'Conversion Factors and GWP'!$C$32*D93</f>
        <v>4839.2016002582386</v>
      </c>
      <c r="E94" s="293" t="s">
        <v>106</v>
      </c>
      <c r="F94" s="293">
        <f>F91+F92*'Conversion Factors and GWP'!$C$31+'Conversion Factors and GWP'!$C$32*F93</f>
        <v>3355.9764719860632</v>
      </c>
      <c r="G94" s="293">
        <f>G91+G92*'Conversion Factors and GWP'!$C$31+'Conversion Factors and GWP'!$C$32*G93</f>
        <v>52735.861710664678</v>
      </c>
      <c r="H94" s="3"/>
      <c r="I94" s="3"/>
      <c r="J94" s="3"/>
      <c r="K94" s="3"/>
      <c r="L94" s="3"/>
      <c r="M94" s="3"/>
      <c r="N94" s="3"/>
      <c r="O94" s="3"/>
      <c r="P94" s="3"/>
      <c r="Q94" s="3"/>
      <c r="R94" s="3"/>
      <c r="S94" s="3"/>
      <c r="T94" s="3"/>
      <c r="U94" s="3"/>
      <c r="V94" s="3"/>
      <c r="W94" s="3"/>
      <c r="X94" s="3"/>
      <c r="Y94" s="3"/>
      <c r="Z94" s="3"/>
      <c r="AA94" s="3"/>
      <c r="AB94" s="3"/>
      <c r="AC94" s="3"/>
      <c r="AD94" s="3"/>
      <c r="AE94" s="3"/>
      <c r="AF94" s="3"/>
    </row>
    <row r="95" spans="1:32" ht="22.5" hidden="1" customHeight="1" outlineLevel="1" x14ac:dyDescent="0.85">
      <c r="A95" s="804" t="s">
        <v>690</v>
      </c>
      <c r="B95" s="765"/>
      <c r="C95" s="765"/>
      <c r="D95" s="765"/>
      <c r="E95" s="765"/>
      <c r="F95" s="765"/>
      <c r="G95" s="762"/>
      <c r="H95" s="3"/>
      <c r="I95" s="3"/>
      <c r="J95" s="3"/>
      <c r="K95" s="3"/>
      <c r="L95" s="3"/>
      <c r="M95" s="3"/>
      <c r="N95" s="3"/>
      <c r="O95" s="3"/>
      <c r="P95" s="3"/>
      <c r="Q95" s="3"/>
      <c r="R95" s="3"/>
      <c r="S95" s="3"/>
      <c r="T95" s="3"/>
      <c r="U95" s="3"/>
      <c r="V95" s="3"/>
      <c r="W95" s="3"/>
      <c r="X95" s="3"/>
      <c r="Y95" s="3"/>
      <c r="Z95" s="3"/>
      <c r="AA95" s="3"/>
      <c r="AB95" s="3"/>
      <c r="AC95" s="3"/>
      <c r="AD95" s="3"/>
      <c r="AE95" s="3"/>
      <c r="AF95" s="3"/>
    </row>
    <row r="96" spans="1:32" ht="22.5" hidden="1" customHeight="1" outlineLevel="1" x14ac:dyDescent="0.85">
      <c r="A96" s="289" t="s">
        <v>251</v>
      </c>
      <c r="B96" s="289" t="s">
        <v>105</v>
      </c>
      <c r="C96" s="289" t="s">
        <v>107</v>
      </c>
      <c r="D96" s="289" t="s">
        <v>108</v>
      </c>
      <c r="E96" s="289" t="s">
        <v>109</v>
      </c>
      <c r="F96" s="289" t="s">
        <v>110</v>
      </c>
      <c r="G96" s="289" t="s">
        <v>119</v>
      </c>
      <c r="H96" s="3"/>
      <c r="I96" s="3"/>
      <c r="J96" s="3"/>
      <c r="K96" s="3"/>
      <c r="L96" s="3"/>
      <c r="M96" s="3"/>
      <c r="N96" s="3"/>
      <c r="O96" s="3"/>
      <c r="P96" s="3"/>
      <c r="Q96" s="3"/>
      <c r="R96" s="3"/>
      <c r="S96" s="3"/>
      <c r="T96" s="3"/>
      <c r="U96" s="3"/>
      <c r="V96" s="3"/>
      <c r="W96" s="3"/>
      <c r="X96" s="3"/>
      <c r="Y96" s="3"/>
      <c r="Z96" s="3"/>
      <c r="AA96" s="3"/>
      <c r="AB96" s="3"/>
      <c r="AC96" s="3"/>
      <c r="AD96" s="3"/>
      <c r="AE96" s="3"/>
      <c r="AF96" s="3"/>
    </row>
    <row r="97" spans="1:32" ht="22.5" hidden="1" customHeight="1" outlineLevel="1" x14ac:dyDescent="0.85">
      <c r="A97" s="290" t="s">
        <v>691</v>
      </c>
      <c r="B97" s="307">
        <f>$C$32*(B74+B83)</f>
        <v>102267690.56056078</v>
      </c>
      <c r="C97" s="307">
        <f t="shared" ref="C97:D97" si="16">$C$32*(C74+C83+C90)</f>
        <v>119639693.43344361</v>
      </c>
      <c r="D97" s="307">
        <f t="shared" si="16"/>
        <v>19454479.536739998</v>
      </c>
      <c r="E97" s="307" t="s">
        <v>106</v>
      </c>
      <c r="F97" s="307">
        <f>$C$32*(F74+F83+F90)</f>
        <v>10830829.4770464</v>
      </c>
      <c r="G97" s="303">
        <f>SUM(C97:F97)</f>
        <v>149925002.44723001</v>
      </c>
      <c r="H97" s="58"/>
      <c r="I97" s="3"/>
      <c r="J97" s="3"/>
      <c r="K97" s="3"/>
      <c r="L97" s="3"/>
      <c r="M97" s="3"/>
      <c r="N97" s="3"/>
      <c r="O97" s="3"/>
      <c r="P97" s="3"/>
      <c r="Q97" s="3"/>
      <c r="R97" s="3"/>
      <c r="S97" s="3"/>
      <c r="T97" s="3"/>
      <c r="U97" s="3"/>
      <c r="V97" s="3"/>
      <c r="W97" s="3"/>
      <c r="X97" s="3"/>
      <c r="Y97" s="3"/>
      <c r="Z97" s="3"/>
      <c r="AA97" s="3"/>
      <c r="AB97" s="3"/>
      <c r="AC97" s="3"/>
      <c r="AD97" s="3"/>
      <c r="AE97" s="3"/>
      <c r="AF97" s="3"/>
    </row>
    <row r="98" spans="1:32" ht="22.5" hidden="1" customHeight="1" outlineLevel="1" x14ac:dyDescent="0.85">
      <c r="A98" s="290" t="s">
        <v>692</v>
      </c>
      <c r="B98" s="178">
        <f>(B97/'Conversion Factors and GWP'!$A$5)*$D$26</f>
        <v>26313.476781232286</v>
      </c>
      <c r="C98" s="178">
        <f>(C97/'Conversion Factors and GWP'!$A$5)*$D$26</f>
        <v>30783.293120425038</v>
      </c>
      <c r="D98" s="178">
        <f>(D97/'Conversion Factors and GWP'!$A$5)*$D$26</f>
        <v>5005.6375848032003</v>
      </c>
      <c r="E98" s="307" t="s">
        <v>106</v>
      </c>
      <c r="F98" s="178">
        <f>(F97/'Conversion Factors and GWP'!$A$5)*$D$26</f>
        <v>2786.7724244440383</v>
      </c>
      <c r="G98" s="178">
        <f>(G97/'Conversion Factors and GWP'!$A$5)*$D$26</f>
        <v>38575.703129672278</v>
      </c>
      <c r="H98" s="3"/>
      <c r="I98" s="3"/>
      <c r="J98" s="3"/>
      <c r="K98" s="3"/>
      <c r="L98" s="3"/>
      <c r="M98" s="3"/>
      <c r="N98" s="3"/>
      <c r="O98" s="3"/>
      <c r="P98" s="3"/>
      <c r="Q98" s="3"/>
      <c r="R98" s="3"/>
      <c r="S98" s="3"/>
      <c r="T98" s="3"/>
      <c r="U98" s="3"/>
      <c r="V98" s="3"/>
      <c r="W98" s="3"/>
      <c r="X98" s="3"/>
      <c r="Y98" s="3"/>
      <c r="Z98" s="3"/>
      <c r="AA98" s="3"/>
      <c r="AB98" s="3"/>
      <c r="AC98" s="3"/>
      <c r="AD98" s="3"/>
      <c r="AE98" s="3"/>
      <c r="AF98" s="3"/>
    </row>
    <row r="99" spans="1:32" ht="22.5" hidden="1" customHeight="1" outlineLevel="1" x14ac:dyDescent="0.85">
      <c r="A99" s="290" t="s">
        <v>693</v>
      </c>
      <c r="B99" s="308">
        <f>(B97/'Conversion Factors and GWP'!$A$5)*$D$28</f>
        <v>2.3657828644340517</v>
      </c>
      <c r="C99" s="308">
        <f>(C97/'Conversion Factors and GWP'!$A$5)*$D$28</f>
        <v>2.7676535480516478</v>
      </c>
      <c r="D99" s="308">
        <f>(D97/'Conversion Factors and GWP'!$A$5)*$D$28</f>
        <v>0.45004511270592656</v>
      </c>
      <c r="E99" s="307" t="s">
        <v>106</v>
      </c>
      <c r="F99" s="308">
        <f>(F97/'Conversion Factors and GWP'!$A$5)*$D$28</f>
        <v>0.25055216015883297</v>
      </c>
      <c r="G99" s="308">
        <f>(G97/'Conversion Factors and GWP'!$A$5)*$D$28</f>
        <v>3.4682508209164076</v>
      </c>
      <c r="H99" s="3"/>
      <c r="I99" s="3"/>
      <c r="J99" s="3"/>
      <c r="K99" s="3"/>
      <c r="L99" s="3"/>
      <c r="M99" s="3"/>
      <c r="N99" s="3"/>
      <c r="O99" s="3"/>
      <c r="P99" s="3"/>
      <c r="Q99" s="3"/>
      <c r="R99" s="3"/>
      <c r="S99" s="3"/>
      <c r="T99" s="3"/>
      <c r="U99" s="3"/>
      <c r="V99" s="3"/>
      <c r="W99" s="3"/>
      <c r="X99" s="3"/>
      <c r="Y99" s="3"/>
      <c r="Z99" s="3"/>
      <c r="AA99" s="3"/>
      <c r="AB99" s="3"/>
      <c r="AC99" s="3"/>
      <c r="AD99" s="3"/>
      <c r="AE99" s="3"/>
      <c r="AF99" s="3"/>
    </row>
    <row r="100" spans="1:32" ht="22.5" hidden="1" customHeight="1" outlineLevel="1" x14ac:dyDescent="0.85">
      <c r="A100" s="290" t="s">
        <v>694</v>
      </c>
      <c r="B100" s="309">
        <f>(B97/'Conversion Factors and GWP'!$A$5)*$D$29</f>
        <v>0.32471529511839931</v>
      </c>
      <c r="C100" s="309">
        <f>(C97/'Conversion Factors and GWP'!$A$5)*$D$29</f>
        <v>0.37987401639924578</v>
      </c>
      <c r="D100" s="309">
        <f>(D97/'Conversion Factors and GWP'!$A$5)*$D$29</f>
        <v>6.1770897822382077E-2</v>
      </c>
      <c r="E100" s="307" t="s">
        <v>106</v>
      </c>
      <c r="F100" s="309">
        <f>(F97/'Conversion Factors and GWP'!$A$5)*$D$29</f>
        <v>3.4389512178663352E-2</v>
      </c>
      <c r="G100" s="309">
        <f>(G97/'Conversion Factors and GWP'!$A$5)*$D$29</f>
        <v>0.47603442640029126</v>
      </c>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row>
    <row r="101" spans="1:32" ht="22.5" hidden="1" customHeight="1" outlineLevel="1" x14ac:dyDescent="0.85">
      <c r="A101" s="292" t="s">
        <v>695</v>
      </c>
      <c r="B101" s="293">
        <f>B98+B99*'Conversion Factors and GWP'!$C$31+'Conversion Factors and GWP'!$C$32*B100</f>
        <v>26465.768254642815</v>
      </c>
      <c r="C101" s="293">
        <f>C98+C99*'Conversion Factors and GWP'!$C$31+'Conversion Factors and GWP'!$C$32*C100</f>
        <v>30961.454034116283</v>
      </c>
      <c r="D101" s="293">
        <f>D98+D99*'Conversion Factors and GWP'!$C$31+'Conversion Factors and GWP'!$C$32*D100</f>
        <v>5034.6081358818974</v>
      </c>
      <c r="E101" s="293" t="s">
        <v>106</v>
      </c>
      <c r="F101" s="293">
        <f>F98+F99*'Conversion Factors and GWP'!$C$31+'Conversion Factors and GWP'!$C$32*F100</f>
        <v>2802.9011056558315</v>
      </c>
      <c r="G101" s="293">
        <f>G98+G99*'Conversion Factors and GWP'!$C$31+'Conversion Factors and GWP'!$C$32*G100</f>
        <v>38798.963275654009</v>
      </c>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row>
    <row r="102" spans="1:32" ht="22.5" hidden="1" customHeight="1" outlineLevel="1" x14ac:dyDescent="0.8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row>
    <row r="103" spans="1:32" ht="22.5" hidden="1" customHeight="1" outlineLevel="1" x14ac:dyDescent="0.85">
      <c r="A103" s="297" t="s">
        <v>696</v>
      </c>
      <c r="B103" s="172"/>
      <c r="C103" s="172"/>
      <c r="D103" s="172"/>
      <c r="E103" s="172"/>
      <c r="F103" s="172"/>
      <c r="G103" s="17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row>
    <row r="104" spans="1:32" ht="22.5" hidden="1" customHeight="1" outlineLevel="1" x14ac:dyDescent="0.85">
      <c r="A104" s="804" t="s">
        <v>697</v>
      </c>
      <c r="B104" s="765"/>
      <c r="C104" s="765"/>
      <c r="D104" s="765"/>
      <c r="E104" s="765"/>
      <c r="F104" s="765"/>
      <c r="G104" s="762"/>
      <c r="H104" s="3"/>
      <c r="I104" s="15"/>
      <c r="J104" s="15"/>
      <c r="K104" s="3"/>
      <c r="L104" s="3"/>
      <c r="M104" s="3"/>
      <c r="N104" s="3"/>
      <c r="O104" s="3"/>
      <c r="P104" s="3"/>
      <c r="Q104" s="3"/>
      <c r="R104" s="3"/>
      <c r="S104" s="3"/>
      <c r="T104" s="3"/>
      <c r="U104" s="3"/>
      <c r="V104" s="3"/>
      <c r="W104" s="3"/>
      <c r="X104" s="3"/>
      <c r="Y104" s="3"/>
      <c r="Z104" s="3"/>
      <c r="AA104" s="3"/>
      <c r="AB104" s="3"/>
      <c r="AC104" s="3"/>
      <c r="AD104" s="3"/>
      <c r="AE104" s="3"/>
      <c r="AF104" s="3"/>
    </row>
    <row r="105" spans="1:32" ht="22.5" hidden="1" customHeight="1" outlineLevel="1" x14ac:dyDescent="0.85">
      <c r="A105" s="289" t="s">
        <v>251</v>
      </c>
      <c r="B105" s="289" t="s">
        <v>105</v>
      </c>
      <c r="C105" s="289" t="s">
        <v>107</v>
      </c>
      <c r="D105" s="289" t="s">
        <v>108</v>
      </c>
      <c r="E105" s="289" t="s">
        <v>109</v>
      </c>
      <c r="F105" s="289" t="s">
        <v>110</v>
      </c>
      <c r="G105" s="289" t="s">
        <v>119</v>
      </c>
      <c r="H105" s="3"/>
      <c r="I105" s="58"/>
      <c r="J105" s="3"/>
      <c r="K105" s="3"/>
      <c r="L105" s="3"/>
      <c r="M105" s="3"/>
      <c r="N105" s="3"/>
      <c r="O105" s="3"/>
      <c r="P105" s="3"/>
      <c r="Q105" s="3"/>
      <c r="R105" s="3"/>
      <c r="S105" s="3"/>
      <c r="T105" s="3"/>
      <c r="U105" s="3"/>
      <c r="V105" s="3"/>
      <c r="W105" s="3"/>
      <c r="X105" s="3"/>
      <c r="Y105" s="3"/>
      <c r="Z105" s="3"/>
      <c r="AA105" s="3"/>
      <c r="AB105" s="3"/>
      <c r="AC105" s="3"/>
      <c r="AD105" s="3"/>
      <c r="AE105" s="3"/>
      <c r="AF105" s="3"/>
    </row>
    <row r="106" spans="1:32" ht="22.5" hidden="1" customHeight="1" outlineLevel="1" x14ac:dyDescent="0.85">
      <c r="A106" s="301" t="s">
        <v>670</v>
      </c>
      <c r="B106" s="302" t="s">
        <v>106</v>
      </c>
      <c r="C106" s="302" t="s">
        <v>106</v>
      </c>
      <c r="D106" s="302">
        <v>25899314</v>
      </c>
      <c r="E106" s="302" t="s">
        <v>106</v>
      </c>
      <c r="F106" s="302" t="s">
        <v>106</v>
      </c>
      <c r="G106" s="303">
        <f>SUM(C106:F106)</f>
        <v>25899314</v>
      </c>
      <c r="H106" s="58"/>
      <c r="I106" s="58"/>
      <c r="J106" s="3"/>
      <c r="K106" s="3"/>
      <c r="L106" s="3"/>
      <c r="M106" s="3"/>
      <c r="N106" s="3"/>
      <c r="O106" s="3"/>
      <c r="P106" s="3"/>
      <c r="Q106" s="3"/>
      <c r="R106" s="3"/>
      <c r="S106" s="3"/>
      <c r="T106" s="3"/>
      <c r="U106" s="3"/>
      <c r="V106" s="3"/>
      <c r="W106" s="3"/>
      <c r="X106" s="3"/>
      <c r="Y106" s="3"/>
      <c r="Z106" s="3"/>
      <c r="AA106" s="3"/>
      <c r="AB106" s="3"/>
      <c r="AC106" s="3"/>
      <c r="AD106" s="3"/>
      <c r="AE106" s="3"/>
      <c r="AF106" s="3"/>
    </row>
    <row r="107" spans="1:32" ht="22.5" hidden="1" customHeight="1" outlineLevel="1" x14ac:dyDescent="0.85">
      <c r="A107" s="290" t="s">
        <v>698</v>
      </c>
      <c r="B107" s="150" t="s">
        <v>106</v>
      </c>
      <c r="C107" s="150" t="s">
        <v>106</v>
      </c>
      <c r="D107" s="150">
        <f>(D106/'Conversion Factors and GWP'!$A$5)*$D$27</f>
        <v>16811.023366385136</v>
      </c>
      <c r="E107" s="150" t="s">
        <v>106</v>
      </c>
      <c r="F107" s="150" t="s">
        <v>106</v>
      </c>
      <c r="G107" s="150">
        <f>(G106/'Conversion Factors and GWP'!$A$5)*$D$27</f>
        <v>16811.023366385136</v>
      </c>
      <c r="H107" s="15"/>
      <c r="I107" s="101"/>
      <c r="J107" s="15"/>
      <c r="K107" s="3"/>
      <c r="L107" s="3"/>
      <c r="M107" s="3"/>
      <c r="N107" s="3"/>
      <c r="O107" s="3"/>
      <c r="P107" s="3"/>
      <c r="Q107" s="3"/>
      <c r="R107" s="3"/>
      <c r="S107" s="3"/>
      <c r="T107" s="3"/>
      <c r="U107" s="3"/>
      <c r="V107" s="3"/>
      <c r="W107" s="3"/>
      <c r="X107" s="3"/>
      <c r="Y107" s="3"/>
      <c r="Z107" s="3"/>
      <c r="AA107" s="3"/>
      <c r="AB107" s="3"/>
      <c r="AC107" s="3"/>
      <c r="AD107" s="3"/>
      <c r="AE107" s="3"/>
      <c r="AF107" s="3"/>
    </row>
    <row r="108" spans="1:32" ht="22.5" hidden="1" customHeight="1" outlineLevel="1" x14ac:dyDescent="0.85">
      <c r="A108" s="290" t="s">
        <v>699</v>
      </c>
      <c r="B108" s="150" t="s">
        <v>106</v>
      </c>
      <c r="C108" s="150" t="s">
        <v>106</v>
      </c>
      <c r="D108" s="150">
        <f>(D106/'Conversion Factors and GWP'!$A$5)*$D$28</f>
        <v>0.59913500467200698</v>
      </c>
      <c r="E108" s="150" t="s">
        <v>106</v>
      </c>
      <c r="F108" s="150" t="s">
        <v>106</v>
      </c>
      <c r="G108" s="150">
        <f>(G106/'Conversion Factors and GWP'!$A$5)*$D$28</f>
        <v>0.59913500467200698</v>
      </c>
      <c r="H108" s="15"/>
      <c r="I108" s="15"/>
      <c r="J108" s="15"/>
      <c r="K108" s="3"/>
      <c r="L108" s="3"/>
      <c r="M108" s="3"/>
      <c r="N108" s="3"/>
      <c r="O108" s="3"/>
      <c r="P108" s="3"/>
      <c r="Q108" s="3"/>
      <c r="R108" s="3"/>
      <c r="S108" s="3"/>
      <c r="T108" s="3"/>
      <c r="U108" s="3"/>
      <c r="V108" s="3"/>
      <c r="W108" s="3"/>
      <c r="X108" s="3"/>
      <c r="Y108" s="3"/>
      <c r="Z108" s="3"/>
      <c r="AA108" s="3"/>
      <c r="AB108" s="3"/>
      <c r="AC108" s="3"/>
      <c r="AD108" s="3"/>
      <c r="AE108" s="3"/>
      <c r="AF108" s="3"/>
    </row>
    <row r="109" spans="1:32" ht="22.5" hidden="1" customHeight="1" outlineLevel="1" x14ac:dyDescent="0.85">
      <c r="A109" s="290" t="s">
        <v>700</v>
      </c>
      <c r="B109" s="150" t="s">
        <v>106</v>
      </c>
      <c r="C109" s="150" t="s">
        <v>106</v>
      </c>
      <c r="D109" s="133">
        <f>(D106/'Conversion Factors and GWP'!$A$5)*$D$29</f>
        <v>8.2234216327530363E-2</v>
      </c>
      <c r="E109" s="150" t="s">
        <v>106</v>
      </c>
      <c r="F109" s="150" t="s">
        <v>106</v>
      </c>
      <c r="G109" s="133">
        <f>(G106/'Conversion Factors and GWP'!$A$5)*$D$29</f>
        <v>8.2234216327530363E-2</v>
      </c>
      <c r="H109" s="15"/>
      <c r="I109" s="15"/>
      <c r="J109" s="15"/>
      <c r="K109" s="3"/>
      <c r="L109" s="3"/>
      <c r="M109" s="3"/>
      <c r="N109" s="3"/>
      <c r="O109" s="3"/>
      <c r="P109" s="3"/>
      <c r="Q109" s="3"/>
      <c r="R109" s="3"/>
      <c r="S109" s="3"/>
      <c r="T109" s="3"/>
      <c r="U109" s="3"/>
      <c r="V109" s="3"/>
      <c r="W109" s="3"/>
      <c r="X109" s="3"/>
      <c r="Y109" s="3"/>
      <c r="Z109" s="3"/>
      <c r="AA109" s="3"/>
      <c r="AB109" s="3"/>
      <c r="AC109" s="3"/>
      <c r="AD109" s="3"/>
      <c r="AE109" s="3"/>
      <c r="AF109" s="3"/>
    </row>
    <row r="110" spans="1:32" ht="22.5" hidden="1" customHeight="1" outlineLevel="1" x14ac:dyDescent="0.85">
      <c r="A110" s="292" t="s">
        <v>701</v>
      </c>
      <c r="B110" s="293" t="s">
        <v>106</v>
      </c>
      <c r="C110" s="293" t="s">
        <v>106</v>
      </c>
      <c r="D110" s="293">
        <f>D107+(D108*'Conversion Factors and GWP'!$C$31)+('Conversion Factors and GWP'!$C$32*D109)</f>
        <v>16849.591213842745</v>
      </c>
      <c r="E110" s="293" t="s">
        <v>106</v>
      </c>
      <c r="F110" s="293" t="s">
        <v>106</v>
      </c>
      <c r="G110" s="293">
        <f>SUM(B110:F110)</f>
        <v>16849.591213842745</v>
      </c>
      <c r="H110" s="15"/>
      <c r="I110" s="15"/>
      <c r="J110" s="15"/>
      <c r="K110" s="3"/>
      <c r="L110" s="3"/>
      <c r="M110" s="3"/>
      <c r="N110" s="3"/>
      <c r="O110" s="3"/>
      <c r="P110" s="3"/>
      <c r="Q110" s="3"/>
      <c r="R110" s="3"/>
      <c r="S110" s="3"/>
      <c r="T110" s="3"/>
      <c r="U110" s="3"/>
      <c r="V110" s="3"/>
      <c r="W110" s="3"/>
      <c r="X110" s="3"/>
      <c r="Y110" s="3"/>
      <c r="Z110" s="3"/>
      <c r="AA110" s="3"/>
      <c r="AB110" s="3"/>
      <c r="AC110" s="3"/>
      <c r="AD110" s="3"/>
      <c r="AE110" s="3"/>
      <c r="AF110" s="3"/>
    </row>
    <row r="111" spans="1:32" ht="22.5" hidden="1" customHeight="1" outlineLevel="1" x14ac:dyDescent="0.85">
      <c r="A111" s="804" t="s">
        <v>702</v>
      </c>
      <c r="B111" s="765"/>
      <c r="C111" s="765"/>
      <c r="D111" s="765"/>
      <c r="E111" s="765"/>
      <c r="F111" s="765"/>
      <c r="G111" s="762"/>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row>
    <row r="112" spans="1:32" ht="22.5" hidden="1" customHeight="1" outlineLevel="1" x14ac:dyDescent="0.85">
      <c r="A112" s="289" t="s">
        <v>251</v>
      </c>
      <c r="B112" s="289" t="s">
        <v>105</v>
      </c>
      <c r="C112" s="289" t="s">
        <v>107</v>
      </c>
      <c r="D112" s="289" t="s">
        <v>108</v>
      </c>
      <c r="E112" s="289" t="s">
        <v>109</v>
      </c>
      <c r="F112" s="289" t="s">
        <v>110</v>
      </c>
      <c r="G112" s="289" t="s">
        <v>119</v>
      </c>
      <c r="H112" s="3"/>
      <c r="I112" s="3"/>
      <c r="J112" s="3"/>
      <c r="K112" s="1"/>
      <c r="L112" s="3"/>
      <c r="M112" s="3"/>
      <c r="N112" s="3"/>
      <c r="O112" s="3"/>
      <c r="P112" s="3"/>
      <c r="Q112" s="3"/>
      <c r="R112" s="3"/>
      <c r="S112" s="3"/>
      <c r="T112" s="3"/>
      <c r="U112" s="3"/>
      <c r="V112" s="3"/>
      <c r="W112" s="3"/>
      <c r="X112" s="3"/>
      <c r="Y112" s="3"/>
      <c r="Z112" s="3"/>
      <c r="AA112" s="3"/>
      <c r="AB112" s="3"/>
      <c r="AC112" s="3"/>
      <c r="AD112" s="3"/>
      <c r="AE112" s="3"/>
      <c r="AF112" s="3"/>
    </row>
    <row r="113" spans="1:32" ht="22.5" hidden="1" customHeight="1" outlineLevel="1" x14ac:dyDescent="0.85">
      <c r="A113" s="290" t="s">
        <v>678</v>
      </c>
      <c r="B113" s="302" t="s">
        <v>106</v>
      </c>
      <c r="C113" s="302" t="s">
        <v>106</v>
      </c>
      <c r="D113" s="306">
        <v>22830707</v>
      </c>
      <c r="E113" s="302" t="s">
        <v>106</v>
      </c>
      <c r="F113" s="302" t="s">
        <v>106</v>
      </c>
      <c r="G113" s="303">
        <f>SUM(C113:F113)</f>
        <v>22830707</v>
      </c>
      <c r="H113" s="58"/>
      <c r="I113" s="3"/>
      <c r="J113" s="3"/>
      <c r="K113" s="3"/>
      <c r="L113" s="3"/>
      <c r="M113" s="3"/>
      <c r="N113" s="3"/>
      <c r="O113" s="3"/>
      <c r="P113" s="3"/>
      <c r="Q113" s="3"/>
      <c r="R113" s="3"/>
      <c r="S113" s="3"/>
      <c r="T113" s="3"/>
      <c r="U113" s="3"/>
      <c r="V113" s="3"/>
      <c r="W113" s="3"/>
      <c r="X113" s="3"/>
      <c r="Y113" s="3"/>
      <c r="Z113" s="3"/>
      <c r="AA113" s="3"/>
      <c r="AB113" s="3"/>
      <c r="AC113" s="3"/>
      <c r="AD113" s="3"/>
      <c r="AE113" s="3"/>
      <c r="AF113" s="3"/>
    </row>
    <row r="114" spans="1:32" ht="22.5" hidden="1" customHeight="1" outlineLevel="1" x14ac:dyDescent="0.85">
      <c r="A114" s="290" t="s">
        <v>703</v>
      </c>
      <c r="B114" s="150" t="s">
        <v>106</v>
      </c>
      <c r="C114" s="150" t="s">
        <v>106</v>
      </c>
      <c r="D114" s="150">
        <f>(D113/'Conversion Factors and GWP'!$A$5)*$D$27</f>
        <v>14819.216788834357</v>
      </c>
      <c r="E114" s="150" t="s">
        <v>106</v>
      </c>
      <c r="F114" s="150" t="s">
        <v>106</v>
      </c>
      <c r="G114" s="150">
        <f>(G113/'Conversion Factors and GWP'!$A$5)*$D$27</f>
        <v>14819.216788834357</v>
      </c>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row>
    <row r="115" spans="1:32" ht="22.5" hidden="1" customHeight="1" outlineLevel="1" x14ac:dyDescent="0.85">
      <c r="A115" s="290" t="s">
        <v>704</v>
      </c>
      <c r="B115" s="150" t="s">
        <v>106</v>
      </c>
      <c r="C115" s="150" t="s">
        <v>106</v>
      </c>
      <c r="D115" s="150">
        <f>(D113/'Conversion Factors and GWP'!$A$5)*$D$28</f>
        <v>0.52814818744273384</v>
      </c>
      <c r="E115" s="150" t="s">
        <v>106</v>
      </c>
      <c r="F115" s="150" t="s">
        <v>106</v>
      </c>
      <c r="G115" s="150">
        <f>(G113/'Conversion Factors and GWP'!$A$5)*$D$28</f>
        <v>0.52814818744273384</v>
      </c>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row>
    <row r="116" spans="1:32" ht="22.5" hidden="1" customHeight="1" outlineLevel="1" x14ac:dyDescent="0.85">
      <c r="A116" s="290" t="s">
        <v>705</v>
      </c>
      <c r="B116" s="150" t="s">
        <v>106</v>
      </c>
      <c r="C116" s="150" t="s">
        <v>106</v>
      </c>
      <c r="D116" s="310">
        <f>(D113/'Conversion Factors and GWP'!$A$5)*$D$29</f>
        <v>7.2490927688218382E-2</v>
      </c>
      <c r="E116" s="150" t="s">
        <v>106</v>
      </c>
      <c r="F116" s="150" t="s">
        <v>106</v>
      </c>
      <c r="G116" s="133">
        <f>(G113/'Conversion Factors and GWP'!$A$5)*$D$29</f>
        <v>7.2490927688218382E-2</v>
      </c>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row>
    <row r="117" spans="1:32" ht="22.5" hidden="1" customHeight="1" outlineLevel="1" x14ac:dyDescent="0.85">
      <c r="A117" s="292" t="s">
        <v>706</v>
      </c>
      <c r="B117" s="293" t="s">
        <v>106</v>
      </c>
      <c r="C117" s="293" t="s">
        <v>106</v>
      </c>
      <c r="D117" s="293">
        <f>D114+D115*'Conversion Factors and GWP'!$C$31+'Conversion Factors and GWP'!$C$32*D116</f>
        <v>14853.215033920131</v>
      </c>
      <c r="E117" s="293" t="s">
        <v>106</v>
      </c>
      <c r="F117" s="293" t="s">
        <v>106</v>
      </c>
      <c r="G117" s="293">
        <f>G114+G115*'Conversion Factors and GWP'!$C$31+'Conversion Factors and GWP'!$C$32*G116</f>
        <v>14853.215033920131</v>
      </c>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row>
    <row r="118" spans="1:32" ht="22.5" hidden="1" customHeight="1" outlineLevel="1" x14ac:dyDescent="0.85">
      <c r="A118" s="804" t="s">
        <v>707</v>
      </c>
      <c r="B118" s="765"/>
      <c r="C118" s="765"/>
      <c r="D118" s="765"/>
      <c r="E118" s="765"/>
      <c r="F118" s="765"/>
      <c r="G118" s="762"/>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row>
    <row r="119" spans="1:32" ht="22.5" hidden="1" customHeight="1" outlineLevel="1" x14ac:dyDescent="0.85">
      <c r="A119" s="289" t="s">
        <v>251</v>
      </c>
      <c r="B119" s="289" t="s">
        <v>105</v>
      </c>
      <c r="C119" s="289" t="s">
        <v>107</v>
      </c>
      <c r="D119" s="289" t="s">
        <v>108</v>
      </c>
      <c r="E119" s="289" t="s">
        <v>109</v>
      </c>
      <c r="F119" s="289" t="s">
        <v>110</v>
      </c>
      <c r="G119" s="289" t="s">
        <v>119</v>
      </c>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row>
    <row r="120" spans="1:32" ht="22.5" hidden="1" customHeight="1" outlineLevel="1" x14ac:dyDescent="0.85">
      <c r="A120" s="290" t="s">
        <v>691</v>
      </c>
      <c r="B120" s="307" t="s">
        <v>106</v>
      </c>
      <c r="C120" s="307" t="s">
        <v>106</v>
      </c>
      <c r="D120" s="307">
        <f>$C$33*(D113+D106)</f>
        <v>1750600.2405450938</v>
      </c>
      <c r="E120" s="307" t="s">
        <v>106</v>
      </c>
      <c r="F120" s="307" t="s">
        <v>106</v>
      </c>
      <c r="G120" s="303">
        <f>SUM(B120:F120)</f>
        <v>1750600.2405450938</v>
      </c>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row>
    <row r="121" spans="1:32" ht="22.5" hidden="1" customHeight="1" outlineLevel="1" x14ac:dyDescent="0.85">
      <c r="A121" s="290" t="s">
        <v>708</v>
      </c>
      <c r="B121" s="307" t="s">
        <v>106</v>
      </c>
      <c r="C121" s="307" t="s">
        <v>106</v>
      </c>
      <c r="D121" s="178">
        <f>(D120/'Conversion Factors and GWP'!$A$5)*$D$27</f>
        <v>1136.2996544620069</v>
      </c>
      <c r="E121" s="307" t="s">
        <v>106</v>
      </c>
      <c r="F121" s="307" t="s">
        <v>106</v>
      </c>
      <c r="G121" s="178">
        <f>(G120/'Conversion Factors and GWP'!$A$5)*$D$27</f>
        <v>1136.2996544620069</v>
      </c>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row>
    <row r="122" spans="1:32" ht="22.5" hidden="1" customHeight="1" outlineLevel="1" x14ac:dyDescent="0.85">
      <c r="A122" s="290" t="s">
        <v>709</v>
      </c>
      <c r="B122" s="307" t="s">
        <v>106</v>
      </c>
      <c r="C122" s="307" t="s">
        <v>106</v>
      </c>
      <c r="D122" s="309">
        <f>(D120/'Conversion Factors and GWP'!$A$5)*$D$28</f>
        <v>4.049705267474657E-2</v>
      </c>
      <c r="E122" s="307" t="s">
        <v>106</v>
      </c>
      <c r="F122" s="307" t="s">
        <v>106</v>
      </c>
      <c r="G122" s="309">
        <f>(G120/'Conversion Factors and GWP'!$A$5)*$D$28</f>
        <v>4.049705267474657E-2</v>
      </c>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row>
    <row r="123" spans="1:32" ht="22.5" hidden="1" customHeight="1" outlineLevel="1" x14ac:dyDescent="0.85">
      <c r="A123" s="290" t="s">
        <v>710</v>
      </c>
      <c r="B123" s="307" t="s">
        <v>106</v>
      </c>
      <c r="C123" s="307" t="s">
        <v>106</v>
      </c>
      <c r="D123" s="311">
        <f>(D120/'Conversion Factors and GWP'!$A$5)*$D$29</f>
        <v>5.5584189945730592E-3</v>
      </c>
      <c r="E123" s="307" t="s">
        <v>106</v>
      </c>
      <c r="F123" s="307" t="s">
        <v>106</v>
      </c>
      <c r="G123" s="311">
        <f>(G120/'Conversion Factors and GWP'!$A$5)*$D$29</f>
        <v>5.5584189945730592E-3</v>
      </c>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row>
    <row r="124" spans="1:32" ht="22.5" hidden="1" customHeight="1" outlineLevel="1" x14ac:dyDescent="0.85">
      <c r="A124" s="292" t="s">
        <v>711</v>
      </c>
      <c r="B124" s="293" t="s">
        <v>106</v>
      </c>
      <c r="C124" s="293" t="s">
        <v>106</v>
      </c>
      <c r="D124" s="293">
        <f>D121+D122*'Conversion Factors and GWP'!$C$31+'Conversion Factors and GWP'!$C$32*D123</f>
        <v>1138.9065529704617</v>
      </c>
      <c r="E124" s="293" t="s">
        <v>106</v>
      </c>
      <c r="F124" s="293" t="s">
        <v>106</v>
      </c>
      <c r="G124" s="293">
        <f>G121+G122*'Conversion Factors and GWP'!$C$31+'Conversion Factors and GWP'!$C$32*G123</f>
        <v>1138.9065529704617</v>
      </c>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row>
    <row r="125" spans="1:32" ht="22.5" hidden="1" customHeight="1" outlineLevel="1" x14ac:dyDescent="0.8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row>
    <row r="126" spans="1:32" ht="22.5" hidden="1" customHeight="1" outlineLevel="1" x14ac:dyDescent="0.85">
      <c r="A126" s="297" t="s">
        <v>712</v>
      </c>
      <c r="B126" s="172"/>
      <c r="C126" s="172"/>
      <c r="D126" s="172"/>
      <c r="E126" s="172"/>
      <c r="F126" s="172"/>
      <c r="G126" s="17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row>
    <row r="127" spans="1:32" ht="22.5" hidden="1" customHeight="1" outlineLevel="1" x14ac:dyDescent="0.85">
      <c r="A127" s="804" t="s">
        <v>713</v>
      </c>
      <c r="B127" s="765"/>
      <c r="C127" s="765"/>
      <c r="D127" s="765"/>
      <c r="E127" s="765"/>
      <c r="F127" s="765"/>
      <c r="G127" s="762"/>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row>
    <row r="128" spans="1:32" ht="22.5" hidden="1" customHeight="1" outlineLevel="1" x14ac:dyDescent="0.85">
      <c r="A128" s="289" t="s">
        <v>251</v>
      </c>
      <c r="B128" s="289" t="s">
        <v>105</v>
      </c>
      <c r="C128" s="289" t="s">
        <v>107</v>
      </c>
      <c r="D128" s="289" t="s">
        <v>108</v>
      </c>
      <c r="E128" s="289" t="s">
        <v>109</v>
      </c>
      <c r="F128" s="289" t="s">
        <v>110</v>
      </c>
      <c r="G128" s="289" t="s">
        <v>119</v>
      </c>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row>
    <row r="129" spans="1:32" ht="22.5" hidden="1" customHeight="1" outlineLevel="1" x14ac:dyDescent="0.85">
      <c r="A129" s="301" t="s">
        <v>670</v>
      </c>
      <c r="B129" s="302" t="s">
        <v>106</v>
      </c>
      <c r="C129" s="302" t="s">
        <v>106</v>
      </c>
      <c r="D129" s="302" t="s">
        <v>106</v>
      </c>
      <c r="E129" s="302">
        <f>45.0171095382846*'Conversion Factors and GWP'!$A$5</f>
        <v>45017.109538284603</v>
      </c>
      <c r="F129" s="302">
        <f>4006.52274890733*'Conversion Factors and GWP'!$A$5</f>
        <v>4006522.74890733</v>
      </c>
      <c r="G129" s="303">
        <f>SUM(C129:F129)</f>
        <v>4051539.8584456146</v>
      </c>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row>
    <row r="130" spans="1:32" ht="22.5" hidden="1" customHeight="1" outlineLevel="1" x14ac:dyDescent="0.85">
      <c r="A130" s="290" t="s">
        <v>714</v>
      </c>
      <c r="B130" s="150" t="s">
        <v>106</v>
      </c>
      <c r="C130" s="150" t="s">
        <v>106</v>
      </c>
      <c r="D130" s="150" t="s">
        <v>106</v>
      </c>
      <c r="E130" s="150">
        <f>(E129/'Conversion Factors and GWP'!$A$5)*$D$27</f>
        <v>29.220221058180218</v>
      </c>
      <c r="F130" s="150">
        <f>(F129/'Conversion Factors and GWP'!$A$5)*$D$27</f>
        <v>2600.5996741780395</v>
      </c>
      <c r="G130" s="150">
        <f>(G129/'Conversion Factors and GWP'!$A$5)*$D$27</f>
        <v>2629.81989523622</v>
      </c>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row>
    <row r="131" spans="1:32" ht="22.5" hidden="1" customHeight="1" outlineLevel="1" x14ac:dyDescent="0.85">
      <c r="A131" s="290" t="s">
        <v>715</v>
      </c>
      <c r="B131" s="150" t="s">
        <v>106</v>
      </c>
      <c r="C131" s="150" t="s">
        <v>106</v>
      </c>
      <c r="D131" s="150" t="s">
        <v>106</v>
      </c>
      <c r="E131" s="312">
        <f>(E129/'Conversion Factors and GWP'!$A$5)*$D$28</f>
        <v>1.0413915261825234E-3</v>
      </c>
      <c r="F131" s="310">
        <f>(F129/'Conversion Factors and GWP'!$A$5)*$D$28</f>
        <v>9.2683845830244596E-2</v>
      </c>
      <c r="G131" s="310">
        <f>(G129/'Conversion Factors and GWP'!$A$5)*$D$28</f>
        <v>9.3725237356427113E-2</v>
      </c>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row>
    <row r="132" spans="1:32" ht="22.5" hidden="1" customHeight="1" outlineLevel="1" x14ac:dyDescent="0.85">
      <c r="A132" s="290" t="s">
        <v>716</v>
      </c>
      <c r="B132" s="150" t="s">
        <v>106</v>
      </c>
      <c r="C132" s="150" t="s">
        <v>106</v>
      </c>
      <c r="D132" s="150" t="s">
        <v>106</v>
      </c>
      <c r="E132" s="313">
        <f>(E129/'Conversion Factors and GWP'!$A$5)*$D$29</f>
        <v>1.4293609182897379E-4</v>
      </c>
      <c r="F132" s="310">
        <f>(F129/'Conversion Factors and GWP'!$A$5)*$D$29</f>
        <v>1.272131217277867E-2</v>
      </c>
      <c r="G132" s="310">
        <f>(G129/'Conversion Factors and GWP'!$A$5)*$D$29</f>
        <v>1.2864248264607645E-2</v>
      </c>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row>
    <row r="133" spans="1:32" ht="22.5" hidden="1" customHeight="1" outlineLevel="1" x14ac:dyDescent="0.85">
      <c r="A133" s="292" t="s">
        <v>717</v>
      </c>
      <c r="B133" s="293" t="s">
        <v>106</v>
      </c>
      <c r="C133" s="293" t="s">
        <v>106</v>
      </c>
      <c r="D133" s="293" t="s">
        <v>106</v>
      </c>
      <c r="E133" s="293">
        <f>E130+E131*'Conversion Factors and GWP'!$C$31+'Conversion Factors and GWP'!$C$32*E132</f>
        <v>29.287258085248006</v>
      </c>
      <c r="F133" s="293">
        <f>F130+F131*'Conversion Factors and GWP'!$C$31+'Conversion Factors and GWP'!$C$32*F132</f>
        <v>2606.5659695870727</v>
      </c>
      <c r="G133" s="293">
        <f>G130+G131*'Conversion Factors and GWP'!$C$31+'Conversion Factors and GWP'!$C$32*G132</f>
        <v>2635.8532276723213</v>
      </c>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row>
    <row r="134" spans="1:32" ht="22.5" hidden="1" customHeight="1" outlineLevel="1" x14ac:dyDescent="0.85">
      <c r="A134" s="804" t="s">
        <v>718</v>
      </c>
      <c r="B134" s="765"/>
      <c r="C134" s="765"/>
      <c r="D134" s="765"/>
      <c r="E134" s="765"/>
      <c r="F134" s="765"/>
      <c r="G134" s="762"/>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row>
    <row r="135" spans="1:32" ht="22.5" hidden="1" customHeight="1" outlineLevel="1" x14ac:dyDescent="0.85">
      <c r="A135" s="289" t="s">
        <v>251</v>
      </c>
      <c r="B135" s="289" t="s">
        <v>105</v>
      </c>
      <c r="C135" s="289" t="s">
        <v>107</v>
      </c>
      <c r="D135" s="289" t="s">
        <v>108</v>
      </c>
      <c r="E135" s="289" t="s">
        <v>109</v>
      </c>
      <c r="F135" s="289" t="s">
        <v>110</v>
      </c>
      <c r="G135" s="289" t="s">
        <v>119</v>
      </c>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row>
    <row r="136" spans="1:32" ht="22.5" hidden="1" customHeight="1" outlineLevel="1" x14ac:dyDescent="0.85">
      <c r="A136" s="290" t="s">
        <v>678</v>
      </c>
      <c r="B136" s="302" t="s">
        <v>106</v>
      </c>
      <c r="C136" s="302" t="s">
        <v>106</v>
      </c>
      <c r="D136" s="302" t="s">
        <v>106</v>
      </c>
      <c r="E136" s="302">
        <f>23.0018090746897*'Conversion Factors and GWP'!$A$5</f>
        <v>23001.8090746897</v>
      </c>
      <c r="F136" s="302">
        <f>2047.16100764738*'Conversion Factors and GWP'!$A$5</f>
        <v>2047161.00764738</v>
      </c>
      <c r="G136" s="303">
        <f>SUM(C136:F136)</f>
        <v>2070162.8167220696</v>
      </c>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row>
    <row r="137" spans="1:32" ht="22.5" hidden="1" customHeight="1" outlineLevel="1" x14ac:dyDescent="0.85">
      <c r="A137" s="290" t="s">
        <v>719</v>
      </c>
      <c r="B137" s="150" t="s">
        <v>106</v>
      </c>
      <c r="C137" s="150" t="s">
        <v>106</v>
      </c>
      <c r="D137" s="150" t="s">
        <v>106</v>
      </c>
      <c r="E137" s="150">
        <f>(E136/'Conversion Factors and GWP'!$A$5)*$D$27</f>
        <v>14.930277683174861</v>
      </c>
      <c r="F137" s="150">
        <f>(F136/'Conversion Factors and GWP'!$A$5)*$D$27</f>
        <v>1328.7947138025606</v>
      </c>
      <c r="G137" s="150">
        <f>(G136/'Conversion Factors and GWP'!$A$5)*$D$27</f>
        <v>1343.7249914857355</v>
      </c>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row>
    <row r="138" spans="1:32" ht="22.5" hidden="1" customHeight="1" outlineLevel="1" x14ac:dyDescent="0.85">
      <c r="A138" s="290" t="s">
        <v>720</v>
      </c>
      <c r="B138" s="150" t="s">
        <v>106</v>
      </c>
      <c r="C138" s="150" t="s">
        <v>106</v>
      </c>
      <c r="D138" s="150" t="s">
        <v>106</v>
      </c>
      <c r="E138" s="313">
        <f>(E136/'Conversion Factors and GWP'!$A$5)*$D$28</f>
        <v>5.3210633252405166E-4</v>
      </c>
      <c r="F138" s="310">
        <f>(F136/'Conversion Factors and GWP'!$A$5)*$D$28</f>
        <v>4.735746359464052E-2</v>
      </c>
      <c r="G138" s="310">
        <f>(G136/'Conversion Factors and GWP'!$A$5)*$D$28</f>
        <v>4.7889569927164567E-2</v>
      </c>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row>
    <row r="139" spans="1:32" ht="22.5" hidden="1" customHeight="1" outlineLevel="1" x14ac:dyDescent="0.85">
      <c r="A139" s="290" t="s">
        <v>721</v>
      </c>
      <c r="B139" s="150" t="s">
        <v>106</v>
      </c>
      <c r="C139" s="150" t="s">
        <v>106</v>
      </c>
      <c r="D139" s="150" t="s">
        <v>106</v>
      </c>
      <c r="E139" s="314">
        <f>(E136/'Conversion Factors and GWP'!$A$5)*$D$29</f>
        <v>7.3034202503301202E-5</v>
      </c>
      <c r="F139" s="310">
        <f>(F136/'Conversion Factors and GWP'!$A$5)*$D$29</f>
        <v>6.5000440227937972E-3</v>
      </c>
      <c r="G139" s="310">
        <f>(G136/'Conversion Factors and GWP'!$A$5)*$D$29</f>
        <v>6.5730782252970982E-3</v>
      </c>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row>
    <row r="140" spans="1:32" ht="22.5" hidden="1" customHeight="1" outlineLevel="1" x14ac:dyDescent="0.85">
      <c r="A140" s="292" t="s">
        <v>722</v>
      </c>
      <c r="B140" s="293" t="s">
        <v>106</v>
      </c>
      <c r="C140" s="293" t="s">
        <v>106</v>
      </c>
      <c r="D140" s="293" t="s">
        <v>106</v>
      </c>
      <c r="E140" s="293">
        <f>E137+E138*'Conversion Factors and GWP'!$C$31+'Conversion Factors and GWP'!$C$32*E139</f>
        <v>14.96453072414891</v>
      </c>
      <c r="F140" s="293">
        <f>F137+F138*'Conversion Factors and GWP'!$C$31+'Conversion Factors and GWP'!$C$32*F139</f>
        <v>1331.843234449251</v>
      </c>
      <c r="G140" s="293">
        <f>G137+G138*'Conversion Factors and GWP'!$C$31+'Conversion Factors and GWP'!$C$32*G139</f>
        <v>1346.8077651733997</v>
      </c>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row>
    <row r="141" spans="1:32" ht="22.5" hidden="1" customHeight="1" outlineLevel="1" x14ac:dyDescent="0.85">
      <c r="A141" s="804" t="s">
        <v>723</v>
      </c>
      <c r="B141" s="765"/>
      <c r="C141" s="765"/>
      <c r="D141" s="765"/>
      <c r="E141" s="765"/>
      <c r="F141" s="765"/>
      <c r="G141" s="762"/>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row>
    <row r="142" spans="1:32" ht="22.5" hidden="1" customHeight="1" outlineLevel="1" x14ac:dyDescent="0.85">
      <c r="A142" s="289" t="s">
        <v>251</v>
      </c>
      <c r="B142" s="289" t="s">
        <v>105</v>
      </c>
      <c r="C142" s="289" t="s">
        <v>107</v>
      </c>
      <c r="D142" s="289" t="s">
        <v>108</v>
      </c>
      <c r="E142" s="289" t="s">
        <v>109</v>
      </c>
      <c r="F142" s="289" t="s">
        <v>110</v>
      </c>
      <c r="G142" s="289" t="s">
        <v>119</v>
      </c>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row>
    <row r="143" spans="1:32" ht="22.5" hidden="1" customHeight="1" outlineLevel="1" x14ac:dyDescent="0.85">
      <c r="A143" s="290" t="s">
        <v>685</v>
      </c>
      <c r="B143" s="302" t="s">
        <v>106</v>
      </c>
      <c r="C143" s="302" t="s">
        <v>106</v>
      </c>
      <c r="D143" s="302" t="s">
        <v>106</v>
      </c>
      <c r="E143" s="302">
        <f>46.7037039224601*'Conversion Factors and GWP'!$A$5</f>
        <v>46703.703922460103</v>
      </c>
      <c r="F143" s="302">
        <f>4156.62964909895*'Conversion Factors and GWP'!$A$5</f>
        <v>4156629.64909895</v>
      </c>
      <c r="G143" s="303">
        <f>SUM(C143:F143)</f>
        <v>4203333.3530214103</v>
      </c>
      <c r="H143" s="58"/>
      <c r="I143" s="3"/>
      <c r="J143" s="3"/>
      <c r="K143" s="3"/>
      <c r="L143" s="3"/>
      <c r="M143" s="3"/>
      <c r="N143" s="3"/>
      <c r="O143" s="3"/>
      <c r="P143" s="3"/>
      <c r="Q143" s="3"/>
      <c r="R143" s="3"/>
      <c r="S143" s="3"/>
      <c r="T143" s="3"/>
      <c r="U143" s="3"/>
      <c r="V143" s="3"/>
      <c r="W143" s="3"/>
      <c r="X143" s="3"/>
      <c r="Y143" s="3"/>
      <c r="Z143" s="3"/>
      <c r="AA143" s="3"/>
      <c r="AB143" s="3"/>
      <c r="AC143" s="3"/>
      <c r="AD143" s="3"/>
      <c r="AE143" s="3"/>
      <c r="AF143" s="3"/>
    </row>
    <row r="144" spans="1:32" ht="22.5" hidden="1" customHeight="1" outlineLevel="1" x14ac:dyDescent="0.85">
      <c r="A144" s="290" t="s">
        <v>724</v>
      </c>
      <c r="B144" s="150" t="s">
        <v>106</v>
      </c>
      <c r="C144" s="150" t="s">
        <v>106</v>
      </c>
      <c r="D144" s="150" t="s">
        <v>106</v>
      </c>
      <c r="E144" s="150">
        <f>(E143/'Conversion Factors and GWP'!$A$5)*$D$27</f>
        <v>30.31497505830502</v>
      </c>
      <c r="F144" s="150">
        <f>(F143/'Conversion Factors and GWP'!$A$5)*$D$27</f>
        <v>2698.0327801891472</v>
      </c>
      <c r="G144" s="150">
        <f>(G143/'Conversion Factors and GWP'!$A$5)*$D$27</f>
        <v>2728.3477552474528</v>
      </c>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row>
    <row r="145" spans="1:32" ht="22.5" hidden="1" customHeight="1" outlineLevel="1" x14ac:dyDescent="0.85">
      <c r="A145" s="290" t="s">
        <v>725</v>
      </c>
      <c r="B145" s="150" t="s">
        <v>106</v>
      </c>
      <c r="C145" s="150" t="s">
        <v>106</v>
      </c>
      <c r="D145" s="150" t="s">
        <v>106</v>
      </c>
      <c r="E145" s="312">
        <f>(E143/'Conversion Factors and GWP'!$A$5)*$D$28</f>
        <v>1.0804079161240781E-3</v>
      </c>
      <c r="F145" s="133">
        <f>(F143/'Conversion Factors and GWP'!$A$5)*$D$28</f>
        <v>9.615630453504298E-2</v>
      </c>
      <c r="G145" s="133">
        <f>(G143/'Conversion Factors and GWP'!$A$5)*$D$28</f>
        <v>9.7236712451167065E-2</v>
      </c>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row>
    <row r="146" spans="1:32" ht="22.5" hidden="1" customHeight="1" outlineLevel="1" x14ac:dyDescent="0.85">
      <c r="A146" s="290" t="s">
        <v>726</v>
      </c>
      <c r="B146" s="150" t="s">
        <v>106</v>
      </c>
      <c r="C146" s="150" t="s">
        <v>106</v>
      </c>
      <c r="D146" s="150" t="s">
        <v>106</v>
      </c>
      <c r="E146" s="312">
        <f>(E143/'Conversion Factors and GWP'!$A$5)*$D$29</f>
        <v>1.4829128260526563E-4</v>
      </c>
      <c r="F146" s="310">
        <f>(F143/'Conversion Factors and GWP'!$A$5)*$D$29</f>
        <v>1.3197924151868644E-2</v>
      </c>
      <c r="G146" s="310">
        <f>(G143/'Conversion Factors and GWP'!$A$5)*$D$29</f>
        <v>1.3346215434473912E-2</v>
      </c>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row>
    <row r="147" spans="1:32" ht="22.5" hidden="1" customHeight="1" outlineLevel="1" x14ac:dyDescent="0.85">
      <c r="A147" s="292" t="s">
        <v>727</v>
      </c>
      <c r="B147" s="293" t="s">
        <v>106</v>
      </c>
      <c r="C147" s="293" t="s">
        <v>106</v>
      </c>
      <c r="D147" s="293" t="s">
        <v>106</v>
      </c>
      <c r="E147" s="293">
        <f>E144+E145*'Conversion Factors and GWP'!$C$31+'Conversion Factors and GWP'!$C$32*E146</f>
        <v>30.384523669846889</v>
      </c>
      <c r="F147" s="293">
        <f>F144+F145*'Conversion Factors and GWP'!$C$31+'Conversion Factors and GWP'!$C$32*F146</f>
        <v>2704.2226066163735</v>
      </c>
      <c r="G147" s="293">
        <f>G144+G145*'Conversion Factors and GWP'!$C$31+'Conversion Factors and GWP'!$C$32*G146</f>
        <v>2734.607130286221</v>
      </c>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row>
    <row r="148" spans="1:32" ht="22.5" hidden="1" customHeight="1" outlineLevel="1" x14ac:dyDescent="0.85">
      <c r="A148" s="804" t="s">
        <v>728</v>
      </c>
      <c r="B148" s="765"/>
      <c r="C148" s="765"/>
      <c r="D148" s="765"/>
      <c r="E148" s="765"/>
      <c r="F148" s="765"/>
      <c r="G148" s="762"/>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row>
    <row r="149" spans="1:32" ht="22.5" hidden="1" customHeight="1" outlineLevel="1" x14ac:dyDescent="0.85">
      <c r="A149" s="289" t="s">
        <v>251</v>
      </c>
      <c r="B149" s="289" t="s">
        <v>105</v>
      </c>
      <c r="C149" s="289" t="s">
        <v>107</v>
      </c>
      <c r="D149" s="289" t="s">
        <v>108</v>
      </c>
      <c r="E149" s="289" t="s">
        <v>109</v>
      </c>
      <c r="F149" s="289" t="s">
        <v>110</v>
      </c>
      <c r="G149" s="289" t="s">
        <v>119</v>
      </c>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row>
    <row r="150" spans="1:32" ht="22.5" hidden="1" customHeight="1" outlineLevel="1" x14ac:dyDescent="0.85">
      <c r="A150" s="290" t="s">
        <v>691</v>
      </c>
      <c r="B150" s="307" t="s">
        <v>106</v>
      </c>
      <c r="C150" s="307" t="s">
        <v>106</v>
      </c>
      <c r="D150" s="307" t="s">
        <v>106</v>
      </c>
      <c r="E150" s="307">
        <f t="shared" ref="E150:F150" si="17">$C$33*(E136+E129+E143)</f>
        <v>4121.3495599867583</v>
      </c>
      <c r="F150" s="307">
        <f t="shared" si="17"/>
        <v>366800.11083882139</v>
      </c>
      <c r="G150" s="303">
        <f>SUM(C150:F150)</f>
        <v>370921.46039880812</v>
      </c>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row>
    <row r="151" spans="1:32" ht="22.5" hidden="1" customHeight="1" outlineLevel="1" x14ac:dyDescent="0.85">
      <c r="A151" s="290" t="s">
        <v>729</v>
      </c>
      <c r="B151" s="307" t="s">
        <v>106</v>
      </c>
      <c r="C151" s="307" t="s">
        <v>106</v>
      </c>
      <c r="D151" s="307" t="s">
        <v>106</v>
      </c>
      <c r="E151" s="178">
        <f>(E150/'Conversion Factors and GWP'!$A$5)*$D$27</f>
        <v>2.6751327758711487</v>
      </c>
      <c r="F151" s="178">
        <f>(F150/'Conversion Factors and GWP'!$A$5)*$D$27</f>
        <v>238.08681705253218</v>
      </c>
      <c r="G151" s="178">
        <f>(G150/'Conversion Factors and GWP'!$A$5)*$D$27</f>
        <v>240.76194982840329</v>
      </c>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row>
    <row r="152" spans="1:32" ht="22.5" hidden="1" customHeight="1" outlineLevel="1" x14ac:dyDescent="0.85">
      <c r="A152" s="290" t="s">
        <v>730</v>
      </c>
      <c r="B152" s="307" t="s">
        <v>106</v>
      </c>
      <c r="C152" s="307" t="s">
        <v>106</v>
      </c>
      <c r="D152" s="307" t="s">
        <v>106</v>
      </c>
      <c r="E152" s="315">
        <f>(E150/'Conversion Factors and GWP'!$A$5)*$D$28</f>
        <v>9.5340161823500054E-5</v>
      </c>
      <c r="F152" s="311">
        <f>(F150/'Conversion Factors and GWP'!$A$5)*$D$28</f>
        <v>8.4852744022915032E-3</v>
      </c>
      <c r="G152" s="311">
        <f>(G150/'Conversion Factors and GWP'!$A$5)*$D$28</f>
        <v>8.5806145641150015E-3</v>
      </c>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row>
    <row r="153" spans="1:32" ht="22.5" hidden="1" customHeight="1" outlineLevel="1" x14ac:dyDescent="0.85">
      <c r="A153" s="290" t="s">
        <v>731</v>
      </c>
      <c r="B153" s="307" t="s">
        <v>106</v>
      </c>
      <c r="C153" s="307" t="s">
        <v>106</v>
      </c>
      <c r="D153" s="307" t="s">
        <v>106</v>
      </c>
      <c r="E153" s="316">
        <f>(E150/'Conversion Factors and GWP'!$A$5)*$D$29</f>
        <v>1.3085904564009812E-5</v>
      </c>
      <c r="F153" s="311">
        <f>(F150/'Conversion Factors and GWP'!$A$5)*$D$29</f>
        <v>1.164645506196873E-3</v>
      </c>
      <c r="G153" s="311">
        <f>(G150/'Conversion Factors and GWP'!$A$5)*$D$29</f>
        <v>1.1777314107608826E-3</v>
      </c>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row>
    <row r="154" spans="1:32" ht="22.5" hidden="1" customHeight="1" outlineLevel="1" x14ac:dyDescent="0.85">
      <c r="A154" s="292" t="s">
        <v>732</v>
      </c>
      <c r="B154" s="293" t="s">
        <v>106</v>
      </c>
      <c r="C154" s="293" t="s">
        <v>106</v>
      </c>
      <c r="D154" s="293" t="s">
        <v>106</v>
      </c>
      <c r="E154" s="293">
        <f>E151+E152*'Conversion Factors and GWP'!$C$31+'Conversion Factors and GWP'!$C$32*E153</f>
        <v>2.6812700651116694</v>
      </c>
      <c r="F154" s="293">
        <f>F151+F152*'Conversion Factors and GWP'!$C$31+'Conversion Factors and GWP'!$C$32*F153</f>
        <v>238.63303579493851</v>
      </c>
      <c r="G154" s="293">
        <f>G151+G152*'Conversion Factors and GWP'!$C$31+'Conversion Factors and GWP'!$C$32*G153</f>
        <v>241.31430586005015</v>
      </c>
      <c r="H154" s="317"/>
      <c r="I154" s="317"/>
      <c r="J154" s="317"/>
      <c r="K154" s="1"/>
      <c r="L154" s="3"/>
      <c r="M154" s="3"/>
      <c r="N154" s="3"/>
      <c r="O154" s="3"/>
      <c r="P154" s="3"/>
      <c r="Q154" s="3"/>
      <c r="R154" s="3"/>
      <c r="S154" s="3"/>
      <c r="T154" s="3"/>
      <c r="U154" s="3"/>
      <c r="V154" s="3"/>
      <c r="W154" s="3"/>
      <c r="X154" s="3"/>
      <c r="Y154" s="3"/>
      <c r="Z154" s="3"/>
      <c r="AA154" s="3"/>
      <c r="AB154" s="3"/>
      <c r="AC154" s="3"/>
      <c r="AD154" s="3"/>
      <c r="AE154" s="3"/>
      <c r="AF154" s="3"/>
    </row>
    <row r="155" spans="1:32" ht="22.5" hidden="1" customHeight="1" outlineLevel="1" x14ac:dyDescent="0.8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row>
    <row r="156" spans="1:32" ht="22.5" hidden="1" customHeight="1" outlineLevel="1" x14ac:dyDescent="0.85">
      <c r="A156" s="297" t="s">
        <v>733</v>
      </c>
      <c r="B156" s="172"/>
      <c r="C156" s="172"/>
      <c r="D156" s="172"/>
      <c r="E156" s="172"/>
      <c r="F156" s="172"/>
      <c r="G156" s="17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row>
    <row r="157" spans="1:32" ht="22.5" hidden="1" customHeight="1" outlineLevel="1" x14ac:dyDescent="0.85">
      <c r="A157" s="804" t="s">
        <v>734</v>
      </c>
      <c r="B157" s="765"/>
      <c r="C157" s="765"/>
      <c r="D157" s="765"/>
      <c r="E157" s="765"/>
      <c r="F157" s="765"/>
      <c r="G157" s="762"/>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row>
    <row r="158" spans="1:32" ht="22.5" hidden="1" customHeight="1" outlineLevel="1" x14ac:dyDescent="0.85">
      <c r="A158" s="289" t="s">
        <v>251</v>
      </c>
      <c r="B158" s="289" t="s">
        <v>105</v>
      </c>
      <c r="C158" s="289" t="s">
        <v>107</v>
      </c>
      <c r="D158" s="289" t="s">
        <v>108</v>
      </c>
      <c r="E158" s="289" t="s">
        <v>109</v>
      </c>
      <c r="F158" s="289" t="s">
        <v>110</v>
      </c>
      <c r="G158" s="289" t="s">
        <v>119</v>
      </c>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row>
    <row r="159" spans="1:32" ht="22.5" hidden="1" customHeight="1" outlineLevel="1" x14ac:dyDescent="0.85">
      <c r="A159" s="301" t="s">
        <v>670</v>
      </c>
      <c r="B159" s="302" t="s">
        <v>106</v>
      </c>
      <c r="C159" s="302">
        <f>10854.1668166342*'Conversion Factors and GWP'!$A$5</f>
        <v>10854166.816634201</v>
      </c>
      <c r="D159" s="302" t="s">
        <v>106</v>
      </c>
      <c r="E159" s="302" t="s">
        <v>106</v>
      </c>
      <c r="F159" s="302">
        <f>3056.53337556418*'Conversion Factors and GWP'!$A$5</f>
        <v>3056533.3755641798</v>
      </c>
      <c r="G159" s="303">
        <f>SUM(C159:F159)</f>
        <v>13910700.192198381</v>
      </c>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row>
    <row r="160" spans="1:32" ht="22.5" hidden="1" customHeight="1" outlineLevel="1" x14ac:dyDescent="0.85">
      <c r="A160" s="290" t="s">
        <v>735</v>
      </c>
      <c r="B160" s="150" t="s">
        <v>106</v>
      </c>
      <c r="C160" s="150">
        <f>(C159/'Conversion Factors and GWP'!$A$5)*$D$27</f>
        <v>7045.3469144811997</v>
      </c>
      <c r="D160" s="150" t="s">
        <v>106</v>
      </c>
      <c r="E160" s="150" t="s">
        <v>106</v>
      </c>
      <c r="F160" s="150">
        <f>(F159/'Conversion Factors and GWP'!$A$5)*$D$27</f>
        <v>1983.9696911178987</v>
      </c>
      <c r="G160" s="150">
        <f>(G159/'Conversion Factors and GWP'!$A$5)*$D$27</f>
        <v>9029.3166055990987</v>
      </c>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row>
    <row r="161" spans="1:32" ht="22.5" hidden="1" customHeight="1" outlineLevel="1" x14ac:dyDescent="0.85">
      <c r="A161" s="290" t="s">
        <v>736</v>
      </c>
      <c r="B161" s="150" t="s">
        <v>106</v>
      </c>
      <c r="C161" s="133">
        <f>(C159/'Conversion Factors and GWP'!$A$5)*$D$28</f>
        <v>0.25109202839870104</v>
      </c>
      <c r="D161" s="150" t="s">
        <v>106</v>
      </c>
      <c r="E161" s="150" t="s">
        <v>106</v>
      </c>
      <c r="F161" s="310">
        <f>(F159/'Conversion Factors and GWP'!$A$5)*$D$28</f>
        <v>7.0707515197073953E-2</v>
      </c>
      <c r="G161" s="133">
        <f>(G159/'Conversion Factors and GWP'!$A$5)*$D$28</f>
        <v>0.32179954359577501</v>
      </c>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row>
    <row r="162" spans="1:32" ht="22.5" hidden="1" customHeight="1" outlineLevel="1" x14ac:dyDescent="0.85">
      <c r="A162" s="290" t="s">
        <v>737</v>
      </c>
      <c r="B162" s="150" t="s">
        <v>106</v>
      </c>
      <c r="C162" s="310">
        <f>(C159/'Conversion Factors and GWP'!$A$5)*$D$29</f>
        <v>3.4463611740998178E-2</v>
      </c>
      <c r="D162" s="150" t="s">
        <v>106</v>
      </c>
      <c r="E162" s="150" t="s">
        <v>106</v>
      </c>
      <c r="F162" s="310">
        <f>(F159/'Conversion Factors and GWP'!$A$5)*$D$29</f>
        <v>9.704953066265053E-3</v>
      </c>
      <c r="G162" s="310">
        <f>(G159/'Conversion Factors and GWP'!$A$5)*$D$29</f>
        <v>4.4168564807263236E-2</v>
      </c>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row>
    <row r="163" spans="1:32" ht="22.5" hidden="1" customHeight="1" outlineLevel="1" x14ac:dyDescent="0.85">
      <c r="A163" s="292" t="s">
        <v>738</v>
      </c>
      <c r="B163" s="293" t="s">
        <v>106</v>
      </c>
      <c r="C163" s="293">
        <f>C160+C161*'Conversion Factors and GWP'!$C$31+'Conversion Factors and GWP'!$C$32*C162</f>
        <v>7061.5103483877283</v>
      </c>
      <c r="D163" s="293" t="s">
        <v>106</v>
      </c>
      <c r="E163" s="293" t="s">
        <v>106</v>
      </c>
      <c r="F163" s="293">
        <f>F160+F161*'Conversion Factors and GWP'!$C$31+'Conversion Factors and GWP'!$C$32*F162</f>
        <v>1988.5213141059769</v>
      </c>
      <c r="G163" s="293">
        <f>G160+G161*'Conversion Factors and GWP'!$C$31+'Conversion Factors and GWP'!$C$32*G162</f>
        <v>9050.0316624937059</v>
      </c>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row>
    <row r="164" spans="1:32" ht="22.5" hidden="1" customHeight="1" outlineLevel="1" x14ac:dyDescent="0.85">
      <c r="A164" s="804" t="s">
        <v>739</v>
      </c>
      <c r="B164" s="765"/>
      <c r="C164" s="765"/>
      <c r="D164" s="765"/>
      <c r="E164" s="765"/>
      <c r="F164" s="765"/>
      <c r="G164" s="762"/>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row>
    <row r="165" spans="1:32" ht="22.5" hidden="1" customHeight="1" outlineLevel="1" x14ac:dyDescent="0.85">
      <c r="A165" s="289" t="s">
        <v>251</v>
      </c>
      <c r="B165" s="289" t="s">
        <v>105</v>
      </c>
      <c r="C165" s="289" t="s">
        <v>107</v>
      </c>
      <c r="D165" s="289" t="s">
        <v>108</v>
      </c>
      <c r="E165" s="289" t="s">
        <v>109</v>
      </c>
      <c r="F165" s="289" t="s">
        <v>110</v>
      </c>
      <c r="G165" s="289" t="s">
        <v>119</v>
      </c>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row>
    <row r="166" spans="1:32" ht="22.5" hidden="1" customHeight="1" outlineLevel="1" x14ac:dyDescent="0.85">
      <c r="A166" s="290" t="s">
        <v>678</v>
      </c>
      <c r="B166" s="302" t="s">
        <v>106</v>
      </c>
      <c r="C166" s="302">
        <f>8585.72261533699*'Conversion Factors and GWP'!$A$5</f>
        <v>8585722.61533699</v>
      </c>
      <c r="D166" s="302" t="s">
        <v>106</v>
      </c>
      <c r="E166" s="302" t="s">
        <v>106</v>
      </c>
      <c r="F166" s="302">
        <f>2417.7394884789*'Conversion Factors and GWP'!$A$5</f>
        <v>2417739.4884788999</v>
      </c>
      <c r="G166" s="303">
        <f>SUM(C166:F166)</f>
        <v>11003462.103815891</v>
      </c>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row>
    <row r="167" spans="1:32" ht="22.5" hidden="1" customHeight="1" outlineLevel="1" x14ac:dyDescent="0.85">
      <c r="A167" s="290" t="s">
        <v>740</v>
      </c>
      <c r="B167" s="150" t="s">
        <v>106</v>
      </c>
      <c r="C167" s="150">
        <f>(C166/'Conversion Factors and GWP'!$A$5)*$D$27</f>
        <v>5572.9191708989456</v>
      </c>
      <c r="D167" s="150" t="s">
        <v>106</v>
      </c>
      <c r="E167" s="150" t="s">
        <v>106</v>
      </c>
      <c r="F167" s="150">
        <f>(F166/'Conversion Factors and GWP'!$A$5)*$D$27</f>
        <v>1569.3340385251456</v>
      </c>
      <c r="G167" s="150">
        <f>(G166/'Conversion Factors and GWP'!$A$5)*$D$27</f>
        <v>7142.2532094240923</v>
      </c>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row>
    <row r="168" spans="1:32" ht="22.5" hidden="1" customHeight="1" outlineLevel="1" x14ac:dyDescent="0.85">
      <c r="A168" s="290" t="s">
        <v>741</v>
      </c>
      <c r="B168" s="150" t="s">
        <v>106</v>
      </c>
      <c r="C168" s="133">
        <f>(C166/'Conversion Factors and GWP'!$A$5)*$D$28</f>
        <v>0.19861556793560184</v>
      </c>
      <c r="D168" s="150" t="s">
        <v>106</v>
      </c>
      <c r="E168" s="150" t="s">
        <v>106</v>
      </c>
      <c r="F168" s="310">
        <f>(F166/'Conversion Factors and GWP'!$A$5)*$D$28</f>
        <v>5.593014393066556E-2</v>
      </c>
      <c r="G168" s="133">
        <f>(G166/'Conversion Factors and GWP'!$A$5)*$D$28</f>
        <v>0.2545457118662674</v>
      </c>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row>
    <row r="169" spans="1:32" ht="22.5" hidden="1" customHeight="1" outlineLevel="1" x14ac:dyDescent="0.85">
      <c r="A169" s="290" t="s">
        <v>742</v>
      </c>
      <c r="B169" s="150" t="s">
        <v>106</v>
      </c>
      <c r="C169" s="310">
        <f>(C166/'Conversion Factors and GWP'!$A$5)*$D$29</f>
        <v>2.7260960304886526E-2</v>
      </c>
      <c r="D169" s="150" t="s">
        <v>106</v>
      </c>
      <c r="E169" s="150" t="s">
        <v>106</v>
      </c>
      <c r="F169" s="310">
        <f>(F166/'Conversion Factors and GWP'!$A$5)*$D$29</f>
        <v>7.6766864218560573E-3</v>
      </c>
      <c r="G169" s="310">
        <f>(G166/'Conversion Factors and GWP'!$A$5)*$D$29</f>
        <v>3.4937646726742586E-2</v>
      </c>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row>
    <row r="170" spans="1:32" ht="22.5" hidden="1" customHeight="1" outlineLevel="1" x14ac:dyDescent="0.85">
      <c r="A170" s="292" t="s">
        <v>743</v>
      </c>
      <c r="B170" s="293" t="s">
        <v>106</v>
      </c>
      <c r="C170" s="293">
        <f>C167+C168*'Conversion Factors and GWP'!$C$31+'Conversion Factors and GWP'!$C$32*C169</f>
        <v>5585.7045612819375</v>
      </c>
      <c r="D170" s="293" t="s">
        <v>106</v>
      </c>
      <c r="E170" s="293" t="s">
        <v>106</v>
      </c>
      <c r="F170" s="293">
        <f>F167+F168*'Conversion Factors and GWP'!$C$31+'Conversion Factors and GWP'!$C$32*F169</f>
        <v>1572.9344044569962</v>
      </c>
      <c r="G170" s="293">
        <f>G167+G168*'Conversion Factors and GWP'!$C$31+'Conversion Factors and GWP'!$C$32*G169</f>
        <v>7158.6389657389345</v>
      </c>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row>
    <row r="171" spans="1:32" ht="22.5" hidden="1" customHeight="1" outlineLevel="1" x14ac:dyDescent="0.85">
      <c r="A171" s="804" t="s">
        <v>744</v>
      </c>
      <c r="B171" s="765"/>
      <c r="C171" s="765"/>
      <c r="D171" s="765"/>
      <c r="E171" s="765"/>
      <c r="F171" s="765"/>
      <c r="G171" s="762"/>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row>
    <row r="172" spans="1:32" ht="22.5" hidden="1" customHeight="1" outlineLevel="1" x14ac:dyDescent="0.85">
      <c r="A172" s="289" t="s">
        <v>251</v>
      </c>
      <c r="B172" s="289" t="s">
        <v>105</v>
      </c>
      <c r="C172" s="289" t="s">
        <v>107</v>
      </c>
      <c r="D172" s="289" t="s">
        <v>108</v>
      </c>
      <c r="E172" s="289" t="s">
        <v>109</v>
      </c>
      <c r="F172" s="289" t="s">
        <v>110</v>
      </c>
      <c r="G172" s="289" t="s">
        <v>119</v>
      </c>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row>
    <row r="173" spans="1:32" ht="22.5" hidden="1" customHeight="1" outlineLevel="1" x14ac:dyDescent="0.85">
      <c r="A173" s="290" t="s">
        <v>685</v>
      </c>
      <c r="B173" s="302" t="s">
        <v>106</v>
      </c>
      <c r="C173" s="302">
        <f>22046.7322684442*'Conversion Factors and GWP'!$A$5</f>
        <v>22046732.268444199</v>
      </c>
      <c r="D173" s="302" t="s">
        <v>106</v>
      </c>
      <c r="E173" s="302" t="s">
        <v>106</v>
      </c>
      <c r="F173" s="302">
        <f>6208.35980679389*'Conversion Factors and GWP'!$A$5</f>
        <v>6208359.80679389</v>
      </c>
      <c r="G173" s="303">
        <f>SUM(C173:F173)</f>
        <v>28255092.07523809</v>
      </c>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row>
    <row r="174" spans="1:32" ht="22.5" hidden="1" customHeight="1" outlineLevel="1" x14ac:dyDescent="0.85">
      <c r="A174" s="290" t="s">
        <v>745</v>
      </c>
      <c r="B174" s="150" t="s">
        <v>106</v>
      </c>
      <c r="C174" s="150">
        <f>(C173/'Conversion Factors and GWP'!$A$5)*$D$27</f>
        <v>14310.345490898048</v>
      </c>
      <c r="D174" s="150" t="s">
        <v>106</v>
      </c>
      <c r="E174" s="150" t="s">
        <v>106</v>
      </c>
      <c r="F174" s="150">
        <f>(F173/'Conversion Factors and GWP'!$A$5)*$D$27</f>
        <v>4029.7932902368925</v>
      </c>
      <c r="G174" s="150">
        <f>(G173/'Conversion Factors and GWP'!$A$5)*$D$27</f>
        <v>18340.138781134941</v>
      </c>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row>
    <row r="175" spans="1:32" ht="22.5" hidden="1" customHeight="1" outlineLevel="1" x14ac:dyDescent="0.85">
      <c r="A175" s="290" t="s">
        <v>746</v>
      </c>
      <c r="B175" s="150" t="s">
        <v>106</v>
      </c>
      <c r="C175" s="312">
        <f>(C173/'Conversion Factors and GWP'!$A$5)*$D$28</f>
        <v>0.51001231309280248</v>
      </c>
      <c r="D175" s="150" t="s">
        <v>106</v>
      </c>
      <c r="E175" s="150" t="s">
        <v>106</v>
      </c>
      <c r="F175" s="312">
        <f>(F173/'Conversion Factors and GWP'!$A$5)*$D$28</f>
        <v>0.14361946736693326</v>
      </c>
      <c r="G175" s="150">
        <f>(G173/'Conversion Factors and GWP'!$A$5)*$D$28</f>
        <v>0.6536317804597358</v>
      </c>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row>
    <row r="176" spans="1:32" ht="22.5" hidden="1" customHeight="1" outlineLevel="1" x14ac:dyDescent="0.85">
      <c r="A176" s="290" t="s">
        <v>747</v>
      </c>
      <c r="B176" s="150" t="s">
        <v>106</v>
      </c>
      <c r="C176" s="312">
        <f>(C173/'Conversion Factors and GWP'!$A$5)*$D$29</f>
        <v>7.0001690032345437E-2</v>
      </c>
      <c r="D176" s="150" t="s">
        <v>106</v>
      </c>
      <c r="E176" s="150" t="s">
        <v>106</v>
      </c>
      <c r="F176" s="312">
        <f>(F173/'Conversion Factors and GWP'!$A$5)*$D$29</f>
        <v>1.9712475913108488E-2</v>
      </c>
      <c r="G176" s="150">
        <f>(G173/'Conversion Factors and GWP'!$A$5)*$D$29</f>
        <v>8.9714165945453936E-2</v>
      </c>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row>
    <row r="177" spans="1:32" ht="22.5" hidden="1" customHeight="1" outlineLevel="1" x14ac:dyDescent="0.85">
      <c r="A177" s="292" t="s">
        <v>748</v>
      </c>
      <c r="B177" s="293" t="s">
        <v>106</v>
      </c>
      <c r="C177" s="293">
        <f>C174+C175*'Conversion Factors and GWP'!$C$31+'Conversion Factors and GWP'!$C$32*C176</f>
        <v>14343.176283523218</v>
      </c>
      <c r="D177" s="293" t="s">
        <v>106</v>
      </c>
      <c r="E177" s="293" t="s">
        <v>106</v>
      </c>
      <c r="F177" s="293">
        <f>F174+F175*'Conversion Factors and GWP'!$C$31+'Conversion Factors and GWP'!$C$32*F176</f>
        <v>4039.0384414401406</v>
      </c>
      <c r="G177" s="293">
        <f>G174+G175*'Conversion Factors and GWP'!$C$31+'Conversion Factors and GWP'!$C$32*G176</f>
        <v>18382.21472496336</v>
      </c>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row>
    <row r="178" spans="1:32" ht="22.5" hidden="1" customHeight="1" outlineLevel="1" x14ac:dyDescent="0.85">
      <c r="A178" s="804" t="s">
        <v>749</v>
      </c>
      <c r="B178" s="765"/>
      <c r="C178" s="765"/>
      <c r="D178" s="765"/>
      <c r="E178" s="765"/>
      <c r="F178" s="765"/>
      <c r="G178" s="762"/>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row>
    <row r="179" spans="1:32" ht="22.5" hidden="1" customHeight="1" outlineLevel="1" x14ac:dyDescent="0.85">
      <c r="A179" s="289" t="s">
        <v>251</v>
      </c>
      <c r="B179" s="289" t="s">
        <v>105</v>
      </c>
      <c r="C179" s="289" t="s">
        <v>107</v>
      </c>
      <c r="D179" s="289" t="s">
        <v>108</v>
      </c>
      <c r="E179" s="289" t="s">
        <v>109</v>
      </c>
      <c r="F179" s="289" t="s">
        <v>110</v>
      </c>
      <c r="G179" s="289" t="s">
        <v>119</v>
      </c>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row>
    <row r="180" spans="1:32" ht="22.5" hidden="1" customHeight="1" outlineLevel="1" x14ac:dyDescent="0.85">
      <c r="A180" s="290" t="s">
        <v>691</v>
      </c>
      <c r="B180" s="307" t="s">
        <v>106</v>
      </c>
      <c r="C180" s="307">
        <f>$C$33*(C166+C159+C173)</f>
        <v>1490384.9503399658</v>
      </c>
      <c r="D180" s="150" t="s">
        <v>106</v>
      </c>
      <c r="E180" s="150" t="s">
        <v>106</v>
      </c>
      <c r="F180" s="307">
        <f>$C$33*(F166+F159+F173)</f>
        <v>419692.40201573423</v>
      </c>
      <c r="G180" s="303">
        <f>SUM(C180:F180)</f>
        <v>1910077.3523557</v>
      </c>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row>
    <row r="181" spans="1:32" ht="22.5" hidden="1" customHeight="1" outlineLevel="1" x14ac:dyDescent="0.85">
      <c r="A181" s="290" t="s">
        <v>750</v>
      </c>
      <c r="B181" s="307" t="s">
        <v>106</v>
      </c>
      <c r="C181" s="178">
        <f>(C180/'Conversion Factors and GWP'!$A$5)*$D$27</f>
        <v>967.39613354523294</v>
      </c>
      <c r="D181" s="150" t="s">
        <v>106</v>
      </c>
      <c r="E181" s="150" t="s">
        <v>106</v>
      </c>
      <c r="F181" s="178">
        <f>(F180/'Conversion Factors and GWP'!$A$5)*$D$27</f>
        <v>272.4187512063375</v>
      </c>
      <c r="G181" s="178">
        <f>(G180/'Conversion Factors and GWP'!$A$5)*$D$27</f>
        <v>1239.8148847515704</v>
      </c>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row>
    <row r="182" spans="1:32" ht="22.5" hidden="1" customHeight="1" outlineLevel="1" x14ac:dyDescent="0.85">
      <c r="A182" s="290" t="s">
        <v>751</v>
      </c>
      <c r="B182" s="307" t="s">
        <v>106</v>
      </c>
      <c r="C182" s="309">
        <f>(C180/'Conversion Factors and GWP'!$A$5)*$D$28</f>
        <v>3.4477430335993618E-2</v>
      </c>
      <c r="D182" s="150" t="s">
        <v>106</v>
      </c>
      <c r="E182" s="150" t="s">
        <v>106</v>
      </c>
      <c r="F182" s="309">
        <f>(F180/'Conversion Factors and GWP'!$A$5)*$D$28</f>
        <v>9.7088443826157996E-3</v>
      </c>
      <c r="G182" s="309">
        <f>(G180/'Conversion Factors and GWP'!$A$5)*$D$28</f>
        <v>4.418627471860942E-2</v>
      </c>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row>
    <row r="183" spans="1:32" ht="22.5" hidden="1" customHeight="1" outlineLevel="1" x14ac:dyDescent="0.85">
      <c r="A183" s="290" t="s">
        <v>752</v>
      </c>
      <c r="B183" s="307" t="s">
        <v>106</v>
      </c>
      <c r="C183" s="311">
        <f>(C180/'Conversion Factors and GWP'!$A$5)*$D$29</f>
        <v>4.7321963206265758E-3</v>
      </c>
      <c r="D183" s="150" t="s">
        <v>106</v>
      </c>
      <c r="E183" s="150" t="s">
        <v>106</v>
      </c>
      <c r="F183" s="311">
        <f>(F180/'Conversion Factors and GWP'!$A$5)*$D$29</f>
        <v>1.3325864838884432E-3</v>
      </c>
      <c r="G183" s="309">
        <f>(G180/'Conversion Factors and GWP'!$A$5)*$D$29</f>
        <v>6.0647828045150183E-3</v>
      </c>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row>
    <row r="184" spans="1:32" ht="22.5" hidden="1" customHeight="1" outlineLevel="1" x14ac:dyDescent="0.85">
      <c r="A184" s="292" t="s">
        <v>753</v>
      </c>
      <c r="B184" s="293" t="s">
        <v>106</v>
      </c>
      <c r="C184" s="293">
        <f>C181+C182*'Conversion Factors and GWP'!$C$31+'Conversion Factors and GWP'!$C$32*C183</f>
        <v>969.61553361960682</v>
      </c>
      <c r="D184" s="293" t="s">
        <v>106</v>
      </c>
      <c r="E184" s="293" t="s">
        <v>106</v>
      </c>
      <c r="F184" s="293">
        <f>F181+F182*'Conversion Factors and GWP'!$C$31+'Conversion Factors and GWP'!$C$32*F183</f>
        <v>273.0437342672812</v>
      </c>
      <c r="G184" s="293">
        <f>G181+G182*'Conversion Factors and GWP'!$C$31+'Conversion Factors and GWP'!$C$32*G183</f>
        <v>1242.6592678868878</v>
      </c>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row>
    <row r="185" spans="1:32" ht="22.5" hidden="1" customHeight="1" outlineLevel="1" x14ac:dyDescent="0.8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row>
    <row r="186" spans="1:32" ht="22.5" hidden="1" customHeight="1" outlineLevel="1" x14ac:dyDescent="0.85">
      <c r="A186" s="297" t="s">
        <v>754</v>
      </c>
      <c r="B186" s="172"/>
      <c r="C186" s="172"/>
      <c r="D186" s="172"/>
      <c r="E186" s="172"/>
      <c r="F186" s="172"/>
      <c r="G186" s="17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row>
    <row r="187" spans="1:32" ht="22.5" hidden="1" customHeight="1" outlineLevel="1" x14ac:dyDescent="0.85">
      <c r="A187" s="804" t="s">
        <v>755</v>
      </c>
      <c r="B187" s="765"/>
      <c r="C187" s="765"/>
      <c r="D187" s="765"/>
      <c r="E187" s="765"/>
      <c r="F187" s="765"/>
      <c r="G187" s="762"/>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row>
    <row r="188" spans="1:32" ht="22.5" hidden="1" customHeight="1" outlineLevel="1" x14ac:dyDescent="0.85">
      <c r="A188" s="289" t="s">
        <v>251</v>
      </c>
      <c r="B188" s="289" t="s">
        <v>105</v>
      </c>
      <c r="C188" s="289" t="s">
        <v>107</v>
      </c>
      <c r="D188" s="289" t="s">
        <v>108</v>
      </c>
      <c r="E188" s="289" t="s">
        <v>109</v>
      </c>
      <c r="F188" s="289" t="s">
        <v>110</v>
      </c>
      <c r="G188" s="289" t="s">
        <v>119</v>
      </c>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row>
    <row r="189" spans="1:32" ht="22.5" hidden="1" customHeight="1" outlineLevel="1" x14ac:dyDescent="0.85">
      <c r="A189" s="301" t="s">
        <v>670</v>
      </c>
      <c r="B189" s="302" t="s">
        <v>106</v>
      </c>
      <c r="C189" s="302">
        <f>24227.8620635046*'Conversion Factors and GWP'!$A$5</f>
        <v>24227862.063504599</v>
      </c>
      <c r="D189" s="302" t="s">
        <v>106</v>
      </c>
      <c r="E189" s="302">
        <f>104473.541056299*'Conversion Factors and GWP'!$A$5-'On-Road Data'!G147</f>
        <v>104425314.521299</v>
      </c>
      <c r="F189" s="302">
        <f>124.993269459181*'Conversion Factors and GWP'!$A$5</f>
        <v>124993.269459181</v>
      </c>
      <c r="G189" s="303">
        <f>SUM(C189:F189)</f>
        <v>128778169.8542628</v>
      </c>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row>
    <row r="190" spans="1:32" ht="22.5" hidden="1" customHeight="1" outlineLevel="1" x14ac:dyDescent="0.85">
      <c r="A190" s="290" t="s">
        <v>756</v>
      </c>
      <c r="B190" s="150" t="s">
        <v>106</v>
      </c>
      <c r="C190" s="150">
        <f>(C189/'Conversion Factors and GWP'!$A$5)*$D$27</f>
        <v>15726.098199633081</v>
      </c>
      <c r="D190" s="150" t="s">
        <v>106</v>
      </c>
      <c r="E190" s="150">
        <f>(E189/'Conversion Factors and GWP'!$A$5)*$D$27</f>
        <v>67781.579174632774</v>
      </c>
      <c r="F190" s="150">
        <f>(F189/'Conversion Factors and GWP'!$A$5)*$D$27</f>
        <v>81.132062938777665</v>
      </c>
      <c r="G190" s="150">
        <f>(G189/'Conversion Factors and GWP'!$A$5)*$D$27</f>
        <v>83588.809437204633</v>
      </c>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row>
    <row r="191" spans="1:32" ht="22.5" hidden="1" customHeight="1" outlineLevel="1" x14ac:dyDescent="0.85">
      <c r="A191" s="290" t="s">
        <v>757</v>
      </c>
      <c r="B191" s="150" t="s">
        <v>106</v>
      </c>
      <c r="C191" s="133">
        <f>(C189/'Conversion Factors and GWP'!$A$5)*$D$28</f>
        <v>0.56046890858231102</v>
      </c>
      <c r="D191" s="150" t="s">
        <v>106</v>
      </c>
      <c r="E191" s="312">
        <f>(E189/'Conversion Factors and GWP'!$A$5)*$D$28</f>
        <v>2.4156956938548362</v>
      </c>
      <c r="F191" s="312">
        <f>(F189/'Conversion Factors and GWP'!$A$5)*$D$28</f>
        <v>2.8914990984470024E-3</v>
      </c>
      <c r="G191" s="150">
        <f>(G189/'Conversion Factors and GWP'!$A$5)*$D$28</f>
        <v>2.9790561015355945</v>
      </c>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row>
    <row r="192" spans="1:32" ht="22.5" hidden="1" customHeight="1" outlineLevel="1" x14ac:dyDescent="0.85">
      <c r="A192" s="290" t="s">
        <v>758</v>
      </c>
      <c r="B192" s="150" t="s">
        <v>106</v>
      </c>
      <c r="C192" s="133">
        <f>(C189/'Conversion Factors and GWP'!$A$5)*$D$29</f>
        <v>7.6927105099532891E-2</v>
      </c>
      <c r="D192" s="150" t="s">
        <v>106</v>
      </c>
      <c r="E192" s="312">
        <f>(E189/'Conversion Factors and GWP'!$A$5)*$D$29</f>
        <v>0.33156607562713442</v>
      </c>
      <c r="F192" s="313">
        <f>(F189/'Conversion Factors and GWP'!$A$5)*$D$29</f>
        <v>3.9687242527703959E-4</v>
      </c>
      <c r="G192" s="133">
        <f>(G189/'Conversion Factors and GWP'!$A$5)*$D$29</f>
        <v>0.40889005315194438</v>
      </c>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row>
    <row r="193" spans="1:32" ht="22.5" hidden="1" customHeight="1" outlineLevel="1" x14ac:dyDescent="0.85">
      <c r="A193" s="292" t="s">
        <v>759</v>
      </c>
      <c r="B193" s="293" t="s">
        <v>106</v>
      </c>
      <c r="C193" s="293">
        <f>C190+C191*'Conversion Factors and GWP'!$C$31+'Conversion Factors and GWP'!$C$32*C192</f>
        <v>15762.177011924761</v>
      </c>
      <c r="D193" s="293" t="s">
        <v>106</v>
      </c>
      <c r="E193" s="293">
        <f>E190+E191*'Conversion Factors and GWP'!$C$31+'Conversion Factors and GWP'!$C$32*E192</f>
        <v>67937.083664101898</v>
      </c>
      <c r="F193" s="293">
        <f>F190+F191*'Conversion Factors and GWP'!$C$31+'Conversion Factors and GWP'!$C$32*F192</f>
        <v>81.318196106232605</v>
      </c>
      <c r="G193" s="293">
        <f>G190+G191*'Conversion Factors and GWP'!$C$31+'Conversion Factors and GWP'!$C$32*G192</f>
        <v>83780.578872132901</v>
      </c>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row>
    <row r="194" spans="1:32" ht="22.5" hidden="1" customHeight="1" outlineLevel="1" x14ac:dyDescent="0.85">
      <c r="A194" s="804" t="s">
        <v>760</v>
      </c>
      <c r="B194" s="765"/>
      <c r="C194" s="765"/>
      <c r="D194" s="765"/>
      <c r="E194" s="765"/>
      <c r="F194" s="765"/>
      <c r="G194" s="762"/>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row>
    <row r="195" spans="1:32" ht="22.5" hidden="1" customHeight="1" outlineLevel="1" x14ac:dyDescent="0.85">
      <c r="A195" s="289" t="s">
        <v>251</v>
      </c>
      <c r="B195" s="289" t="s">
        <v>105</v>
      </c>
      <c r="C195" s="289" t="s">
        <v>107</v>
      </c>
      <c r="D195" s="289" t="s">
        <v>108</v>
      </c>
      <c r="E195" s="289" t="s">
        <v>109</v>
      </c>
      <c r="F195" s="289" t="s">
        <v>110</v>
      </c>
      <c r="G195" s="289" t="s">
        <v>119</v>
      </c>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row>
    <row r="196" spans="1:32" ht="22.5" hidden="1" customHeight="1" outlineLevel="1" x14ac:dyDescent="0.85">
      <c r="A196" s="290" t="s">
        <v>678</v>
      </c>
      <c r="B196" s="302" t="s">
        <v>106</v>
      </c>
      <c r="C196" s="302">
        <f>8986.29075936337*'Conversion Factors and GWP'!$A$5</f>
        <v>8986290.75936337</v>
      </c>
      <c r="D196" s="302" t="s">
        <v>106</v>
      </c>
      <c r="E196" s="302">
        <f>38749.9984163433*'Conversion Factors and GWP'!$A$5-'On-Road Data'!H147</f>
        <v>38741487.851343296</v>
      </c>
      <c r="F196" s="302">
        <f>46.3609153535513*'Conversion Factors and GWP'!$A$5</f>
        <v>46360.915353551296</v>
      </c>
      <c r="G196" s="303">
        <f>SUM(C196:F196)</f>
        <v>47774139.526060216</v>
      </c>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row>
    <row r="197" spans="1:32" ht="22.5" hidden="1" customHeight="1" outlineLevel="1" x14ac:dyDescent="0.85">
      <c r="A197" s="290" t="s">
        <v>761</v>
      </c>
      <c r="B197" s="150" t="s">
        <v>106</v>
      </c>
      <c r="C197" s="150">
        <f>(C196/'Conversion Factors and GWP'!$A$5)*$D$27</f>
        <v>5832.9245296917306</v>
      </c>
      <c r="D197" s="150" t="s">
        <v>106</v>
      </c>
      <c r="E197" s="150">
        <f>(E196/'Conversion Factors and GWP'!$A$5)*$D$27</f>
        <v>25146.768656399865</v>
      </c>
      <c r="F197" s="150">
        <f>(F196/'Conversion Factors and GWP'!$A$5)*$D$27</f>
        <v>30.092473927902276</v>
      </c>
      <c r="G197" s="150">
        <f>(G196/'Conversion Factors and GWP'!$A$5)*$D$27</f>
        <v>31009.785660019494</v>
      </c>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row>
    <row r="198" spans="1:32" ht="22.5" hidden="1" customHeight="1" outlineLevel="1" x14ac:dyDescent="0.85">
      <c r="A198" s="290" t="s">
        <v>762</v>
      </c>
      <c r="B198" s="150" t="s">
        <v>106</v>
      </c>
      <c r="C198" s="133">
        <f>(C196/'Conversion Factors and GWP'!$A$5)*$D$28</f>
        <v>0.20788200629928599</v>
      </c>
      <c r="D198" s="150" t="s">
        <v>106</v>
      </c>
      <c r="E198" s="133">
        <f>(E196/'Conversion Factors and GWP'!$A$5)*$D$28</f>
        <v>0.89621607370817113</v>
      </c>
      <c r="F198" s="312">
        <f>(F196/'Conversion Factors and GWP'!$A$5)*$D$28</f>
        <v>1.0724781064451543E-3</v>
      </c>
      <c r="G198" s="150">
        <f>(G196/'Conversion Factors and GWP'!$A$5)*$D$28</f>
        <v>1.1051705581139022</v>
      </c>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row>
    <row r="199" spans="1:32" ht="22.5" hidden="1" customHeight="1" outlineLevel="1" x14ac:dyDescent="0.85">
      <c r="A199" s="290" t="s">
        <v>763</v>
      </c>
      <c r="B199" s="150" t="s">
        <v>106</v>
      </c>
      <c r="C199" s="310">
        <f>(C196/'Conversion Factors and GWP'!$A$5)*$D$29</f>
        <v>2.8532824394019645E-2</v>
      </c>
      <c r="D199" s="150" t="s">
        <v>106</v>
      </c>
      <c r="E199" s="133">
        <f>(E196/'Conversion Factors and GWP'!$A$5)*$D$29</f>
        <v>0.12301004933249408</v>
      </c>
      <c r="F199" s="313">
        <f>(F196/'Conversion Factors and GWP'!$A$5)*$D$29</f>
        <v>1.4720287735521726E-4</v>
      </c>
      <c r="G199" s="133">
        <f>(G196/'Conversion Factors and GWP'!$A$5)*$D$29</f>
        <v>0.15169007660386893</v>
      </c>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row>
    <row r="200" spans="1:32" ht="22.5" hidden="1" customHeight="1" outlineLevel="1" x14ac:dyDescent="0.85">
      <c r="A200" s="292" t="s">
        <v>764</v>
      </c>
      <c r="B200" s="293" t="s">
        <v>106</v>
      </c>
      <c r="C200" s="293">
        <f>C197+C198*'Conversion Factors and GWP'!$C$31+'Conversion Factors and GWP'!$C$32*C199</f>
        <v>5846.3064243325261</v>
      </c>
      <c r="D200" s="293" t="s">
        <v>106</v>
      </c>
      <c r="E200" s="293">
        <f>E197+E198*'Conversion Factors and GWP'!$C$31+'Conversion Factors and GWP'!$C$32*E199</f>
        <v>25204.460369536802</v>
      </c>
      <c r="F200" s="293">
        <f>F197+F198*'Conversion Factors and GWP'!$C$31+'Conversion Factors and GWP'!$C$32*F199</f>
        <v>30.161512077381872</v>
      </c>
      <c r="G200" s="293">
        <f>G197+G198*'Conversion Factors and GWP'!$C$31+'Conversion Factors and GWP'!$C$32*G199</f>
        <v>31080.928305946705</v>
      </c>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row>
    <row r="201" spans="1:32" ht="22.5" hidden="1" customHeight="1" outlineLevel="1" x14ac:dyDescent="0.85">
      <c r="A201" s="804" t="s">
        <v>765</v>
      </c>
      <c r="B201" s="765"/>
      <c r="C201" s="765"/>
      <c r="D201" s="765"/>
      <c r="E201" s="765"/>
      <c r="F201" s="765"/>
      <c r="G201" s="762"/>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row>
    <row r="202" spans="1:32" ht="22.5" hidden="1" customHeight="1" outlineLevel="1" x14ac:dyDescent="0.85">
      <c r="A202" s="289" t="s">
        <v>251</v>
      </c>
      <c r="B202" s="289" t="s">
        <v>105</v>
      </c>
      <c r="C202" s="289" t="s">
        <v>107</v>
      </c>
      <c r="D202" s="289" t="s">
        <v>108</v>
      </c>
      <c r="E202" s="289" t="s">
        <v>109</v>
      </c>
      <c r="F202" s="289" t="s">
        <v>110</v>
      </c>
      <c r="G202" s="289" t="s">
        <v>119</v>
      </c>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row>
    <row r="203" spans="1:32" ht="22.5" hidden="1" customHeight="1" outlineLevel="1" x14ac:dyDescent="0.85">
      <c r="A203" s="290" t="s">
        <v>685</v>
      </c>
      <c r="B203" s="302" t="s">
        <v>106</v>
      </c>
      <c r="C203" s="302">
        <f>13095.698630137*'Conversion Factors and GWP'!$A$5</f>
        <v>13095698.630137</v>
      </c>
      <c r="D203" s="302" t="s">
        <v>106</v>
      </c>
      <c r="E203" s="302">
        <f>56470.2739726027*'Conversion Factors and GWP'!$A$5</f>
        <v>56470273.972602703</v>
      </c>
      <c r="F203" s="302">
        <f>67.5616438356164*'Conversion Factors and GWP'!$A$5</f>
        <v>67561.6438356164</v>
      </c>
      <c r="G203" s="303">
        <f>SUM(C203:F203)</f>
        <v>69633534.246575326</v>
      </c>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row>
    <row r="204" spans="1:32" ht="22.5" hidden="1" customHeight="1" outlineLevel="1" x14ac:dyDescent="0.85">
      <c r="A204" s="290" t="s">
        <v>766</v>
      </c>
      <c r="B204" s="150" t="s">
        <v>106</v>
      </c>
      <c r="C204" s="150">
        <f>(C203/'Conversion Factors and GWP'!$A$5)*$D$27</f>
        <v>8500.3060571554506</v>
      </c>
      <c r="D204" s="150" t="s">
        <v>106</v>
      </c>
      <c r="E204" s="150">
        <f>(E203/'Conversion Factors and GWP'!$A$5)*$D$27</f>
        <v>36654.372206908432</v>
      </c>
      <c r="F204" s="150">
        <f>(F203/'Conversion Factors and GWP'!$A$5)*$D$27</f>
        <v>43.853685591515578</v>
      </c>
      <c r="G204" s="150">
        <f>(G203/'Conversion Factors and GWP'!$A$5)*$D$27</f>
        <v>45198.5319496554</v>
      </c>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row>
    <row r="205" spans="1:32" ht="22.5" hidden="1" customHeight="1" outlineLevel="1" x14ac:dyDescent="0.85">
      <c r="A205" s="290" t="s">
        <v>767</v>
      </c>
      <c r="B205" s="150" t="s">
        <v>106</v>
      </c>
      <c r="C205" s="133">
        <f>(C203/'Conversion Factors and GWP'!$A$5)*$D$28</f>
        <v>0.3029459181795443</v>
      </c>
      <c r="D205" s="150" t="s">
        <v>106</v>
      </c>
      <c r="E205" s="150">
        <f>(E203/'Conversion Factors and GWP'!$A$5)*$D$28</f>
        <v>1.3063403092608874</v>
      </c>
      <c r="F205" s="312">
        <f>(F203/'Conversion Factors and GWP'!$A$5)*$D$28</f>
        <v>1.5629196122762363E-3</v>
      </c>
      <c r="G205" s="150">
        <f>(G203/'Conversion Factors and GWP'!$A$5)*$D$28</f>
        <v>1.6108491470527082</v>
      </c>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row>
    <row r="206" spans="1:32" ht="22.5" hidden="1" customHeight="1" outlineLevel="1" x14ac:dyDescent="0.85">
      <c r="A206" s="290" t="s">
        <v>768</v>
      </c>
      <c r="B206" s="150" t="s">
        <v>106</v>
      </c>
      <c r="C206" s="310">
        <f>(C203/'Conversion Factors and GWP'!$A$5)*$D$29</f>
        <v>4.1580812299153141E-2</v>
      </c>
      <c r="D206" s="150" t="s">
        <v>106</v>
      </c>
      <c r="E206" s="133">
        <f>(E203/'Conversion Factors and GWP'!$A$5)*$D$29</f>
        <v>0.17930161107502376</v>
      </c>
      <c r="F206" s="313">
        <f>(F203/'Conversion Factors and GWP'!$A$5)*$D$29</f>
        <v>2.1451837815556185E-4</v>
      </c>
      <c r="G206" s="133">
        <f>(G203/'Conversion Factors and GWP'!$A$5)*$D$29</f>
        <v>0.22109694175233249</v>
      </c>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row>
    <row r="207" spans="1:32" ht="22.5" hidden="1" customHeight="1" outlineLevel="1" x14ac:dyDescent="0.85">
      <c r="A207" s="292" t="s">
        <v>769</v>
      </c>
      <c r="B207" s="293" t="s">
        <v>106</v>
      </c>
      <c r="C207" s="293">
        <f>C204+C205*'Conversion Factors and GWP'!$C$31+'Conversion Factors and GWP'!$C$32*C206</f>
        <v>8519.8074581237543</v>
      </c>
      <c r="D207" s="293" t="s">
        <v>106</v>
      </c>
      <c r="E207" s="293">
        <f>E204+E205*'Conversion Factors and GWP'!$C$31+'Conversion Factors and GWP'!$C$32*E206</f>
        <v>36738.464662502622</v>
      </c>
      <c r="F207" s="293">
        <f>F204+F205*'Conversion Factors and GWP'!$C$31+'Conversion Factors and GWP'!$C$32*F206</f>
        <v>43.954294710870535</v>
      </c>
      <c r="G207" s="293">
        <f>G204+G205*'Conversion Factors and GWP'!$C$31+'Conversion Factors and GWP'!$C$32*G206</f>
        <v>45302.226415337245</v>
      </c>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row>
    <row r="208" spans="1:32" ht="22.5" hidden="1" customHeight="1" outlineLevel="1" x14ac:dyDescent="0.85">
      <c r="A208" s="804" t="s">
        <v>770</v>
      </c>
      <c r="B208" s="765"/>
      <c r="C208" s="765"/>
      <c r="D208" s="765"/>
      <c r="E208" s="765"/>
      <c r="F208" s="765"/>
      <c r="G208" s="762"/>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row>
    <row r="209" spans="1:32" ht="22.5" hidden="1" customHeight="1" outlineLevel="1" x14ac:dyDescent="0.85">
      <c r="A209" s="289" t="s">
        <v>251</v>
      </c>
      <c r="B209" s="289" t="s">
        <v>105</v>
      </c>
      <c r="C209" s="289" t="s">
        <v>107</v>
      </c>
      <c r="D209" s="289" t="s">
        <v>108</v>
      </c>
      <c r="E209" s="289" t="s">
        <v>109</v>
      </c>
      <c r="F209" s="289" t="s">
        <v>110</v>
      </c>
      <c r="G209" s="289" t="s">
        <v>119</v>
      </c>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row>
    <row r="210" spans="1:32" ht="22.5" hidden="1" customHeight="1" outlineLevel="1" x14ac:dyDescent="0.85">
      <c r="A210" s="290" t="s">
        <v>691</v>
      </c>
      <c r="B210" s="307" t="s">
        <v>106</v>
      </c>
      <c r="C210" s="307">
        <f>$C$33*(C196+C189+C203)</f>
        <v>1663656.9291287207</v>
      </c>
      <c r="D210" s="307" t="s">
        <v>106</v>
      </c>
      <c r="E210" s="307">
        <f t="shared" ref="E210:F210" si="18">$C$33*(E196+E189+E203)</f>
        <v>7171856.4182786867</v>
      </c>
      <c r="F210" s="307">
        <f t="shared" si="18"/>
        <v>8582.9248278351788</v>
      </c>
      <c r="G210" s="303">
        <f>SUM(C210:F210)</f>
        <v>8844096.2722352426</v>
      </c>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row>
    <row r="211" spans="1:32" ht="22.5" hidden="1" customHeight="1" outlineLevel="1" x14ac:dyDescent="0.85">
      <c r="A211" s="290" t="s">
        <v>771</v>
      </c>
      <c r="B211" s="307" t="s">
        <v>106</v>
      </c>
      <c r="C211" s="178">
        <f>(C210/'Conversion Factors and GWP'!$A$5)*$D$27</f>
        <v>1079.8654940911356</v>
      </c>
      <c r="D211" s="307" t="s">
        <v>106</v>
      </c>
      <c r="E211" s="178">
        <f>(E210/'Conversion Factors and GWP'!$A$5)*$D$27</f>
        <v>4655.190706133847</v>
      </c>
      <c r="F211" s="178">
        <f>(F210/'Conversion Factors and GWP'!$A$5)*$D$27</f>
        <v>5.5711031509430837</v>
      </c>
      <c r="G211" s="178">
        <f>(G210/'Conversion Factors and GWP'!$A$5)*$D$27</f>
        <v>5740.6273033759262</v>
      </c>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row>
    <row r="212" spans="1:32" ht="22.5" hidden="1" customHeight="1" outlineLevel="1" x14ac:dyDescent="0.85">
      <c r="A212" s="290" t="s">
        <v>772</v>
      </c>
      <c r="B212" s="307" t="s">
        <v>106</v>
      </c>
      <c r="C212" s="309">
        <f>(C210/'Conversion Factors and GWP'!$A$5)*$D$28</f>
        <v>3.848577232609917E-2</v>
      </c>
      <c r="D212" s="307" t="s">
        <v>106</v>
      </c>
      <c r="E212" s="308">
        <f>(E210/'Conversion Factors and GWP'!$A$5)*$D$28</f>
        <v>0.16590826415990648</v>
      </c>
      <c r="F212" s="315">
        <f>(F210/'Conversion Factors and GWP'!$A$5)*$D$28</f>
        <v>1.9855084605038242E-4</v>
      </c>
      <c r="G212" s="308">
        <f>(G210/'Conversion Factors and GWP'!$A$5)*$D$28</f>
        <v>0.20459258733205604</v>
      </c>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row>
    <row r="213" spans="1:32" ht="22.5" hidden="1" customHeight="1" outlineLevel="1" x14ac:dyDescent="0.85">
      <c r="A213" s="290" t="s">
        <v>773</v>
      </c>
      <c r="B213" s="307" t="s">
        <v>106</v>
      </c>
      <c r="C213" s="311">
        <f>(C210/'Conversion Factors and GWP'!$A$5)*$D$29</f>
        <v>5.2823609075038072E-3</v>
      </c>
      <c r="D213" s="307" t="s">
        <v>106</v>
      </c>
      <c r="E213" s="309">
        <f>(E210/'Conversion Factors and GWP'!$A$5)*$D$29</f>
        <v>2.2771722531751869E-2</v>
      </c>
      <c r="F213" s="316">
        <f>(F210/'Conversion Factors and GWP'!$A$5)*$D$29</f>
        <v>2.7252076908876019E-5</v>
      </c>
      <c r="G213" s="309">
        <f>(G210/'Conversion Factors and GWP'!$A$5)*$D$29</f>
        <v>2.8081335516164558E-2</v>
      </c>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row>
    <row r="214" spans="1:32" ht="22.5" hidden="1" customHeight="1" outlineLevel="1" x14ac:dyDescent="0.85">
      <c r="A214" s="292" t="s">
        <v>774</v>
      </c>
      <c r="B214" s="293" t="s">
        <v>106</v>
      </c>
      <c r="C214" s="293">
        <f>C211+C212*'Conversion Factors and GWP'!$C$31+'Conversion Factors and GWP'!$C$32*C213</f>
        <v>1082.3429213567547</v>
      </c>
      <c r="D214" s="293" t="s">
        <v>106</v>
      </c>
      <c r="E214" s="293">
        <f>E211+E212*'Conversion Factors and GWP'!$C$31+'Conversion Factors and GWP'!$C$32*E213</f>
        <v>4665.8706440012393</v>
      </c>
      <c r="F214" s="293">
        <f>F211+F212*'Conversion Factors and GWP'!$C$31+'Conversion Factors and GWP'!$C$32*F213</f>
        <v>5.583884375013346</v>
      </c>
      <c r="G214" s="293">
        <f>G211+G212*'Conversion Factors and GWP'!$C$31+'Conversion Factors and GWP'!$C$32*G213</f>
        <v>5753.7974497330069</v>
      </c>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row>
    <row r="215" spans="1:32" ht="22.5" hidden="1" customHeight="1" outlineLevel="1" x14ac:dyDescent="0.8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row>
    <row r="216" spans="1:32" ht="22.5" hidden="1" customHeight="1" outlineLevel="1" x14ac:dyDescent="0.85">
      <c r="A216" s="297" t="s">
        <v>140</v>
      </c>
      <c r="B216" s="172"/>
      <c r="C216" s="172"/>
      <c r="D216" s="172"/>
      <c r="E216" s="172"/>
      <c r="F216" s="172"/>
      <c r="G216" s="173"/>
      <c r="H216" s="317"/>
      <c r="I216" s="317"/>
      <c r="J216" s="317"/>
      <c r="K216" s="3"/>
      <c r="L216" s="3"/>
      <c r="M216" s="3"/>
      <c r="N216" s="3"/>
      <c r="O216" s="3"/>
      <c r="P216" s="3"/>
      <c r="Q216" s="3"/>
      <c r="R216" s="3"/>
      <c r="S216" s="3"/>
      <c r="T216" s="3"/>
      <c r="U216" s="3"/>
      <c r="V216" s="3"/>
      <c r="W216" s="3"/>
      <c r="X216" s="3"/>
      <c r="Y216" s="3"/>
      <c r="Z216" s="3"/>
      <c r="AA216" s="3"/>
      <c r="AB216" s="3"/>
      <c r="AC216" s="3"/>
      <c r="AD216" s="3"/>
      <c r="AE216" s="3"/>
      <c r="AF216" s="3"/>
    </row>
    <row r="217" spans="1:32" ht="22.5" hidden="1" customHeight="1" outlineLevel="1" x14ac:dyDescent="0.85">
      <c r="A217" s="804" t="s">
        <v>775</v>
      </c>
      <c r="B217" s="765"/>
      <c r="C217" s="765"/>
      <c r="D217" s="765"/>
      <c r="E217" s="765"/>
      <c r="F217" s="765"/>
      <c r="G217" s="762"/>
      <c r="H217" s="317"/>
      <c r="I217" s="317"/>
      <c r="J217" s="317"/>
      <c r="K217" s="3"/>
      <c r="L217" s="3"/>
      <c r="M217" s="3"/>
      <c r="N217" s="3"/>
      <c r="O217" s="3"/>
      <c r="P217" s="3"/>
      <c r="Q217" s="3"/>
      <c r="R217" s="3"/>
      <c r="S217" s="3"/>
      <c r="T217" s="3"/>
      <c r="U217" s="3"/>
      <c r="V217" s="3"/>
      <c r="W217" s="3"/>
      <c r="X217" s="3"/>
      <c r="Y217" s="3"/>
      <c r="Z217" s="3"/>
      <c r="AA217" s="3"/>
      <c r="AB217" s="3"/>
      <c r="AC217" s="3"/>
      <c r="AD217" s="3"/>
      <c r="AE217" s="3"/>
      <c r="AF217" s="3"/>
    </row>
    <row r="218" spans="1:32" ht="22.5" hidden="1" customHeight="1" outlineLevel="1" x14ac:dyDescent="0.85">
      <c r="A218" s="289" t="s">
        <v>251</v>
      </c>
      <c r="B218" s="289" t="s">
        <v>105</v>
      </c>
      <c r="C218" s="289" t="s">
        <v>107</v>
      </c>
      <c r="D218" s="289" t="s">
        <v>108</v>
      </c>
      <c r="E218" s="289" t="s">
        <v>109</v>
      </c>
      <c r="F218" s="289" t="s">
        <v>110</v>
      </c>
      <c r="G218" s="289" t="s">
        <v>119</v>
      </c>
      <c r="H218" s="317"/>
      <c r="I218" s="317"/>
      <c r="J218" s="317"/>
      <c r="K218" s="3"/>
      <c r="L218" s="3"/>
      <c r="M218" s="3"/>
      <c r="N218" s="3"/>
      <c r="O218" s="3"/>
      <c r="P218" s="3"/>
      <c r="Q218" s="3"/>
      <c r="R218" s="3"/>
      <c r="S218" s="3"/>
      <c r="T218" s="3"/>
      <c r="U218" s="3"/>
      <c r="V218" s="3"/>
      <c r="W218" s="3"/>
      <c r="X218" s="3"/>
      <c r="Y218" s="3"/>
      <c r="Z218" s="3"/>
      <c r="AA218" s="3"/>
      <c r="AB218" s="3"/>
      <c r="AC218" s="3"/>
      <c r="AD218" s="3"/>
      <c r="AE218" s="3"/>
      <c r="AF218" s="3"/>
    </row>
    <row r="219" spans="1:32" ht="22.5" hidden="1" customHeight="1" outlineLevel="1" x14ac:dyDescent="0.85">
      <c r="A219" s="290" t="s">
        <v>776</v>
      </c>
      <c r="B219" s="306">
        <v>144222069.34799999</v>
      </c>
      <c r="C219" s="306">
        <v>145714597.18199995</v>
      </c>
      <c r="D219" s="306">
        <v>33884872.677999996</v>
      </c>
      <c r="E219" s="306">
        <v>1588322.7769616765</v>
      </c>
      <c r="F219" s="306">
        <v>13523439.43000002</v>
      </c>
      <c r="G219" s="303">
        <f>SUM(C219:F219)</f>
        <v>194711232.06696165</v>
      </c>
      <c r="H219" s="317"/>
      <c r="I219" s="317"/>
      <c r="J219" s="317"/>
      <c r="K219" s="3"/>
      <c r="L219" s="3"/>
      <c r="M219" s="3"/>
      <c r="N219" s="3"/>
      <c r="O219" s="3"/>
      <c r="P219" s="3"/>
      <c r="Q219" s="3"/>
      <c r="R219" s="3"/>
      <c r="S219" s="3"/>
      <c r="T219" s="3"/>
      <c r="U219" s="3"/>
      <c r="V219" s="3"/>
      <c r="W219" s="3"/>
      <c r="X219" s="3"/>
      <c r="Y219" s="3"/>
      <c r="Z219" s="3"/>
      <c r="AA219" s="3"/>
      <c r="AB219" s="3"/>
      <c r="AC219" s="3"/>
      <c r="AD219" s="3"/>
      <c r="AE219" s="3"/>
      <c r="AF219" s="3"/>
    </row>
    <row r="220" spans="1:32" ht="22.5" hidden="1" customHeight="1" outlineLevel="1" x14ac:dyDescent="0.85">
      <c r="A220" s="290" t="s">
        <v>777</v>
      </c>
      <c r="B220" s="178">
        <f t="shared" ref="B220:G220" si="19">SUM(B219)*$B$36</f>
        <v>765242.2999604881</v>
      </c>
      <c r="C220" s="178">
        <f t="shared" si="19"/>
        <v>773161.6526476919</v>
      </c>
      <c r="D220" s="178">
        <f t="shared" si="19"/>
        <v>179793.13442946802</v>
      </c>
      <c r="E220" s="178">
        <f t="shared" si="19"/>
        <v>8427.6406545586578</v>
      </c>
      <c r="F220" s="178">
        <f t="shared" si="19"/>
        <v>71755.369615580115</v>
      </c>
      <c r="G220" s="178">
        <f t="shared" si="19"/>
        <v>1033137.7973472987</v>
      </c>
      <c r="H220" s="317"/>
      <c r="I220" s="317"/>
      <c r="J220" s="317"/>
      <c r="K220" s="3"/>
      <c r="L220" s="3"/>
      <c r="M220" s="3"/>
      <c r="N220" s="3"/>
      <c r="O220" s="3"/>
      <c r="P220" s="3"/>
      <c r="Q220" s="3"/>
      <c r="R220" s="3"/>
      <c r="S220" s="3"/>
      <c r="T220" s="3"/>
      <c r="U220" s="3"/>
      <c r="V220" s="3"/>
      <c r="W220" s="3"/>
      <c r="X220" s="3"/>
      <c r="Y220" s="3"/>
      <c r="Z220" s="3"/>
      <c r="AA220" s="3"/>
      <c r="AB220" s="3"/>
      <c r="AC220" s="3"/>
      <c r="AD220" s="3"/>
      <c r="AE220" s="3"/>
      <c r="AF220" s="3"/>
    </row>
    <row r="221" spans="1:32" ht="22.5" hidden="1" customHeight="1" outlineLevel="1" x14ac:dyDescent="0.85">
      <c r="A221" s="290" t="s">
        <v>778</v>
      </c>
      <c r="B221" s="178">
        <f t="shared" ref="B221:G221" si="20">SUM(B219)*$B$37</f>
        <v>14.4222069348</v>
      </c>
      <c r="C221" s="178">
        <f t="shared" si="20"/>
        <v>14.571459718199996</v>
      </c>
      <c r="D221" s="178">
        <f t="shared" si="20"/>
        <v>3.3884872678</v>
      </c>
      <c r="E221" s="178">
        <f t="shared" si="20"/>
        <v>0.15883227769616767</v>
      </c>
      <c r="F221" s="178">
        <f t="shared" si="20"/>
        <v>1.3523439430000022</v>
      </c>
      <c r="G221" s="178">
        <f t="shared" si="20"/>
        <v>19.471123206696166</v>
      </c>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row>
    <row r="222" spans="1:32" ht="22.5" hidden="1" customHeight="1" outlineLevel="1" x14ac:dyDescent="0.85">
      <c r="A222" s="290" t="s">
        <v>779</v>
      </c>
      <c r="B222" s="178">
        <f t="shared" ref="B222:G222" si="21">SUM(B219)*$B$38</f>
        <v>1.4422206934800001</v>
      </c>
      <c r="C222" s="178">
        <f t="shared" si="21"/>
        <v>1.4571459718199997</v>
      </c>
      <c r="D222" s="308">
        <f t="shared" si="21"/>
        <v>0.33884872678</v>
      </c>
      <c r="E222" s="309">
        <f t="shared" si="21"/>
        <v>1.5883227769616769E-2</v>
      </c>
      <c r="F222" s="308">
        <f t="shared" si="21"/>
        <v>0.13523439430000023</v>
      </c>
      <c r="G222" s="178">
        <f t="shared" si="21"/>
        <v>1.9471123206696168</v>
      </c>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row>
    <row r="223" spans="1:32" ht="22.5" hidden="1" customHeight="1" outlineLevel="1" x14ac:dyDescent="0.85">
      <c r="A223" s="292" t="s">
        <v>780</v>
      </c>
      <c r="B223" s="293">
        <f>B220+B221*'Conversion Factors and GWP'!$C$31+'Conversion Factors and GWP'!$C$32*B222</f>
        <v>766028.3102384347</v>
      </c>
      <c r="C223" s="293">
        <f>C220+C221*'Conversion Factors and GWP'!$C$31+'Conversion Factors and GWP'!$C$32*C222</f>
        <v>773955.79720233369</v>
      </c>
      <c r="D223" s="293">
        <f>D220+D221*'Conversion Factors and GWP'!$C$31+'Conversion Factors and GWP'!$C$32*D222</f>
        <v>179977.8069855631</v>
      </c>
      <c r="E223" s="293">
        <f>E220+E221*'Conversion Factors and GWP'!$C$31+'Conversion Factors and GWP'!$C$32*E222</f>
        <v>8436.2970136930981</v>
      </c>
      <c r="F223" s="293">
        <f>F220+F221*'Conversion Factors and GWP'!$C$31+'Conversion Factors and GWP'!$C$32*F222</f>
        <v>71829.072360473627</v>
      </c>
      <c r="G223" s="293">
        <f>G220+G221*'Conversion Factors and GWP'!$C$31+'Conversion Factors and GWP'!$C$32*G222</f>
        <v>1034198.9735620636</v>
      </c>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row>
    <row r="224" spans="1:32" ht="22.5" hidden="1" customHeight="1" outlineLevel="1" x14ac:dyDescent="0.85">
      <c r="A224" s="292" t="s">
        <v>676</v>
      </c>
      <c r="B224" s="293">
        <f>B219/'City of Albuquerque Data'!$B$7</f>
        <v>558.27537634466876</v>
      </c>
      <c r="C224" s="293">
        <f>C219/'Bernalillo County Data'!$B$7</f>
        <v>481.27476213470362</v>
      </c>
      <c r="D224" s="293">
        <f>D219/'Sandoval County Data'!$B$7</f>
        <v>551.19760354615687</v>
      </c>
      <c r="E224" s="293">
        <f>E219/'Torrance County Data'!$B$7</f>
        <v>219.68503139165651</v>
      </c>
      <c r="F224" s="293">
        <f>F219/'Valencia County Data'!$B$7</f>
        <v>441.1063810424692</v>
      </c>
      <c r="G224" s="293">
        <f>G219/'Albuquerque MSA Data'!$B$7</f>
        <v>484.19851259157252</v>
      </c>
      <c r="H224" s="318"/>
      <c r="I224" s="318"/>
      <c r="J224" s="318"/>
      <c r="K224" s="1"/>
      <c r="L224" s="3"/>
      <c r="M224" s="3"/>
      <c r="N224" s="3"/>
      <c r="O224" s="3"/>
      <c r="P224" s="3"/>
      <c r="Q224" s="3"/>
      <c r="R224" s="3"/>
      <c r="S224" s="3"/>
      <c r="T224" s="3"/>
      <c r="U224" s="3"/>
      <c r="V224" s="3"/>
      <c r="W224" s="3"/>
      <c r="X224" s="3"/>
      <c r="Y224" s="3"/>
      <c r="Z224" s="3"/>
      <c r="AA224" s="3"/>
      <c r="AB224" s="3"/>
      <c r="AC224" s="3"/>
      <c r="AD224" s="3"/>
      <c r="AE224" s="3"/>
      <c r="AF224" s="3"/>
    </row>
    <row r="225" spans="1:32" ht="22.5" hidden="1" customHeight="1" outlineLevel="1" x14ac:dyDescent="0.85">
      <c r="A225" s="804" t="s">
        <v>781</v>
      </c>
      <c r="B225" s="765"/>
      <c r="C225" s="765"/>
      <c r="D225" s="765"/>
      <c r="E225" s="765"/>
      <c r="F225" s="765"/>
      <c r="G225" s="762"/>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row>
    <row r="226" spans="1:32" ht="22.5" hidden="1" customHeight="1" outlineLevel="1" x14ac:dyDescent="0.85">
      <c r="A226" s="289" t="s">
        <v>251</v>
      </c>
      <c r="B226" s="289" t="s">
        <v>105</v>
      </c>
      <c r="C226" s="289" t="s">
        <v>107</v>
      </c>
      <c r="D226" s="289" t="s">
        <v>108</v>
      </c>
      <c r="E226" s="289" t="s">
        <v>109</v>
      </c>
      <c r="F226" s="289" t="s">
        <v>110</v>
      </c>
      <c r="G226" s="289" t="s">
        <v>119</v>
      </c>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row>
    <row r="227" spans="1:32" ht="22.5" hidden="1" customHeight="1" outlineLevel="1" x14ac:dyDescent="0.85">
      <c r="A227" s="290" t="s">
        <v>782</v>
      </c>
      <c r="B227" s="306">
        <v>237413155.7720001</v>
      </c>
      <c r="C227" s="306">
        <v>239911070.9730002</v>
      </c>
      <c r="D227" s="306">
        <v>16869613.509000003</v>
      </c>
      <c r="E227" s="306">
        <v>3064343.7624351447</v>
      </c>
      <c r="F227" s="306">
        <v>5308414.0830000052</v>
      </c>
      <c r="G227" s="303">
        <f>SUM(C227:F227)</f>
        <v>265153442.32743534</v>
      </c>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row>
    <row r="228" spans="1:32" ht="22.5" hidden="1" customHeight="1" outlineLevel="1" x14ac:dyDescent="0.85">
      <c r="A228" s="290" t="s">
        <v>783</v>
      </c>
      <c r="B228" s="178">
        <f t="shared" ref="B228:F228" si="22">B227*$B$36</f>
        <v>1259714.2045262328</v>
      </c>
      <c r="C228" s="178">
        <f t="shared" si="22"/>
        <v>1272968.1425827392</v>
      </c>
      <c r="D228" s="178">
        <f t="shared" si="22"/>
        <v>89510.169278754038</v>
      </c>
      <c r="E228" s="178">
        <f t="shared" si="22"/>
        <v>16259.408003480881</v>
      </c>
      <c r="F228" s="178">
        <f t="shared" si="22"/>
        <v>28166.445124398033</v>
      </c>
      <c r="G228" s="178">
        <f>SUM(G227)*$B$36</f>
        <v>1406904.1649893722</v>
      </c>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row>
    <row r="229" spans="1:32" ht="22.5" hidden="1" customHeight="1" outlineLevel="1" x14ac:dyDescent="0.85">
      <c r="A229" s="290" t="s">
        <v>784</v>
      </c>
      <c r="B229" s="178">
        <f t="shared" ref="B229:G229" si="23">SUM(B227)*$B$37</f>
        <v>23.741315577200012</v>
      </c>
      <c r="C229" s="178">
        <f t="shared" si="23"/>
        <v>23.991107097300024</v>
      </c>
      <c r="D229" s="178">
        <f t="shared" si="23"/>
        <v>1.6869613509000005</v>
      </c>
      <c r="E229" s="178">
        <f t="shared" si="23"/>
        <v>0.30643437624351449</v>
      </c>
      <c r="F229" s="178">
        <f t="shared" si="23"/>
        <v>0.53084140830000059</v>
      </c>
      <c r="G229" s="178">
        <f t="shared" si="23"/>
        <v>26.515344232743537</v>
      </c>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row>
    <row r="230" spans="1:32" ht="22.5" hidden="1" customHeight="1" outlineLevel="1" x14ac:dyDescent="0.85">
      <c r="A230" s="290" t="s">
        <v>785</v>
      </c>
      <c r="B230" s="178">
        <f t="shared" ref="B230:G230" si="24">SUM(B227)*$B$38</f>
        <v>2.3741315577200015</v>
      </c>
      <c r="C230" s="178">
        <f t="shared" si="24"/>
        <v>2.3991107097300026</v>
      </c>
      <c r="D230" s="308">
        <f t="shared" si="24"/>
        <v>0.16869613509000006</v>
      </c>
      <c r="E230" s="309">
        <f t="shared" si="24"/>
        <v>3.0643437624351452E-2</v>
      </c>
      <c r="F230" s="308">
        <f t="shared" si="24"/>
        <v>5.3084140830000064E-2</v>
      </c>
      <c r="G230" s="178">
        <f t="shared" si="24"/>
        <v>2.6515344232743541</v>
      </c>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row>
    <row r="231" spans="1:32" ht="22.5" hidden="1" customHeight="1" outlineLevel="1" x14ac:dyDescent="0.85">
      <c r="A231" s="292" t="s">
        <v>786</v>
      </c>
      <c r="B231" s="293">
        <f>B228+B229*'Conversion Factors and GWP'!$C$31+'Conversion Factors and GWP'!$C$32*B230</f>
        <v>1261008.1062251902</v>
      </c>
      <c r="C231" s="293">
        <f>C228+C229*'Conversion Factors and GWP'!$C$31+'Conversion Factors and GWP'!$C$32*C230</f>
        <v>1274275.6579195422</v>
      </c>
      <c r="D231" s="293">
        <f>D228+D229*'Conversion Factors and GWP'!$C$31+'Conversion Factors and GWP'!$C$32*D230</f>
        <v>89602.10867237809</v>
      </c>
      <c r="E231" s="293">
        <f>E228+E229*'Conversion Factors and GWP'!$C$31+'Conversion Factors and GWP'!$C$32*E230</f>
        <v>16276.108676986152</v>
      </c>
      <c r="F231" s="293">
        <f>F228+F229*'Conversion Factors and GWP'!$C$31+'Conversion Factors and GWP'!$C$32*F230</f>
        <v>28195.375981150384</v>
      </c>
      <c r="G231" s="293">
        <f>G228+G229*'Conversion Factors and GWP'!$C$31+'Conversion Factors and GWP'!$C$32*G230</f>
        <v>1408349.2512500568</v>
      </c>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row>
    <row r="232" spans="1:32" ht="22.5" hidden="1" customHeight="1" outlineLevel="1" x14ac:dyDescent="0.85">
      <c r="A232" s="292" t="s">
        <v>787</v>
      </c>
      <c r="B232" s="319">
        <f>B227/'City of Albuquerque Data'!B9</f>
        <v>1.5686242267396029</v>
      </c>
      <c r="C232" s="319">
        <f>C227/'Bernalillo County Data'!B9</f>
        <v>0.46869146029646658</v>
      </c>
      <c r="D232" s="319">
        <f>D227/'Sandoval County Data'!B9</f>
        <v>0.2925997031441227</v>
      </c>
      <c r="E232" s="319">
        <f>E227/'Torrance County Data'!B9</f>
        <v>0.7284037914667334</v>
      </c>
      <c r="F232" s="319">
        <f>F227/'Valencia County Data'!B9</f>
        <v>0.15147512891359902</v>
      </c>
      <c r="G232" s="319">
        <f>G227/'Albuquerque MSA Data'!B9</f>
        <v>0.43554875042568381</v>
      </c>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row>
    <row r="233" spans="1:32" ht="22.5" hidden="1" customHeight="1" outlineLevel="1" x14ac:dyDescent="0.85">
      <c r="A233" s="297" t="s">
        <v>266</v>
      </c>
      <c r="B233" s="172"/>
      <c r="C233" s="172"/>
      <c r="D233" s="172"/>
      <c r="E233" s="172"/>
      <c r="F233" s="172"/>
      <c r="G233" s="17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row>
    <row r="234" spans="1:32" ht="22.5" hidden="1" customHeight="1" outlineLevel="1" x14ac:dyDescent="0.85">
      <c r="A234" s="804" t="s">
        <v>788</v>
      </c>
      <c r="B234" s="765"/>
      <c r="C234" s="765"/>
      <c r="D234" s="765"/>
      <c r="E234" s="765"/>
      <c r="F234" s="765"/>
      <c r="G234" s="762"/>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row>
    <row r="235" spans="1:32" ht="22.5" hidden="1" customHeight="1" outlineLevel="1" x14ac:dyDescent="0.85">
      <c r="A235" s="289" t="s">
        <v>251</v>
      </c>
      <c r="B235" s="289" t="s">
        <v>105</v>
      </c>
      <c r="C235" s="289" t="s">
        <v>107</v>
      </c>
      <c r="D235" s="289" t="s">
        <v>108</v>
      </c>
      <c r="E235" s="289" t="s">
        <v>109</v>
      </c>
      <c r="F235" s="289" t="s">
        <v>110</v>
      </c>
      <c r="G235" s="289" t="s">
        <v>119</v>
      </c>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row>
    <row r="236" spans="1:32" ht="22.5" hidden="1" customHeight="1" outlineLevel="1" x14ac:dyDescent="0.85">
      <c r="A236" s="290" t="s">
        <v>789</v>
      </c>
      <c r="B236" s="306">
        <v>0</v>
      </c>
      <c r="C236" s="306">
        <v>0</v>
      </c>
      <c r="D236" s="306">
        <v>0</v>
      </c>
      <c r="E236" s="306">
        <v>0</v>
      </c>
      <c r="F236" s="306">
        <v>0</v>
      </c>
      <c r="G236" s="303">
        <f>SUM(C236:F236)</f>
        <v>0</v>
      </c>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row>
    <row r="237" spans="1:32" ht="22.5" hidden="1" customHeight="1" outlineLevel="1" x14ac:dyDescent="0.85">
      <c r="A237" s="290" t="s">
        <v>790</v>
      </c>
      <c r="B237" s="178">
        <f t="shared" ref="B237:G237" si="25">SUM(B236)*$B$49</f>
        <v>0</v>
      </c>
      <c r="C237" s="178">
        <f t="shared" si="25"/>
        <v>0</v>
      </c>
      <c r="D237" s="178">
        <f t="shared" si="25"/>
        <v>0</v>
      </c>
      <c r="E237" s="178">
        <f t="shared" si="25"/>
        <v>0</v>
      </c>
      <c r="F237" s="178">
        <f t="shared" si="25"/>
        <v>0</v>
      </c>
      <c r="G237" s="178">
        <f t="shared" si="25"/>
        <v>0</v>
      </c>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row>
    <row r="238" spans="1:32" ht="22.5" hidden="1" customHeight="1" outlineLevel="1" x14ac:dyDescent="0.85">
      <c r="A238" s="290" t="s">
        <v>791</v>
      </c>
      <c r="B238" s="178">
        <f t="shared" ref="B238:G238" si="26">SUM(B236)*$B$50</f>
        <v>0</v>
      </c>
      <c r="C238" s="178">
        <f t="shared" si="26"/>
        <v>0</v>
      </c>
      <c r="D238" s="178">
        <f t="shared" si="26"/>
        <v>0</v>
      </c>
      <c r="E238" s="178">
        <f t="shared" si="26"/>
        <v>0</v>
      </c>
      <c r="F238" s="178">
        <f t="shared" si="26"/>
        <v>0</v>
      </c>
      <c r="G238" s="178">
        <f t="shared" si="26"/>
        <v>0</v>
      </c>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row>
    <row r="239" spans="1:32" ht="22.5" hidden="1" customHeight="1" outlineLevel="1" x14ac:dyDescent="0.85">
      <c r="A239" s="290" t="s">
        <v>792</v>
      </c>
      <c r="B239" s="178">
        <f t="shared" ref="B239:G239" si="27">SUM(B236)*$B$51</f>
        <v>0</v>
      </c>
      <c r="C239" s="178">
        <f t="shared" si="27"/>
        <v>0</v>
      </c>
      <c r="D239" s="178">
        <f t="shared" si="27"/>
        <v>0</v>
      </c>
      <c r="E239" s="178">
        <f t="shared" si="27"/>
        <v>0</v>
      </c>
      <c r="F239" s="178">
        <f t="shared" si="27"/>
        <v>0</v>
      </c>
      <c r="G239" s="178">
        <f t="shared" si="27"/>
        <v>0</v>
      </c>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row>
    <row r="240" spans="1:32" ht="22.5" hidden="1" customHeight="1" outlineLevel="1" x14ac:dyDescent="0.85">
      <c r="A240" s="292" t="s">
        <v>793</v>
      </c>
      <c r="B240" s="293">
        <f>B237+B238*'Conversion Factors and GWP'!$C$31+'Conversion Factors and GWP'!$C$32*B239</f>
        <v>0</v>
      </c>
      <c r="C240" s="293">
        <f>C237+C238*'Conversion Factors and GWP'!$C$31+'Conversion Factors and GWP'!$C$32*C239</f>
        <v>0</v>
      </c>
      <c r="D240" s="293">
        <f>D237+D238*'Conversion Factors and GWP'!$C$31+'Conversion Factors and GWP'!$C$32*D239</f>
        <v>0</v>
      </c>
      <c r="E240" s="293">
        <f>E237+E238*'Conversion Factors and GWP'!$C$31+'Conversion Factors and GWP'!$C$32*E239</f>
        <v>0</v>
      </c>
      <c r="F240" s="293">
        <f>F237+F238*'Conversion Factors and GWP'!$C$31+'Conversion Factors and GWP'!$C$32*F239</f>
        <v>0</v>
      </c>
      <c r="G240" s="293">
        <f>G237+G238*'Conversion Factors and GWP'!$C$31+'Conversion Factors and GWP'!$C$32*G239</f>
        <v>0</v>
      </c>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row>
    <row r="241" spans="1:32" ht="22.5" hidden="1" customHeight="1" outlineLevel="1" x14ac:dyDescent="0.85">
      <c r="A241" s="297" t="s">
        <v>141</v>
      </c>
      <c r="B241" s="172"/>
      <c r="C241" s="172"/>
      <c r="D241" s="172"/>
      <c r="E241" s="172"/>
      <c r="F241" s="172"/>
      <c r="G241" s="17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row>
    <row r="242" spans="1:32" ht="22.5" hidden="1" customHeight="1" outlineLevel="1" x14ac:dyDescent="0.85">
      <c r="A242" s="804" t="s">
        <v>794</v>
      </c>
      <c r="B242" s="765"/>
      <c r="C242" s="765"/>
      <c r="D242" s="765"/>
      <c r="E242" s="765"/>
      <c r="F242" s="765"/>
      <c r="G242" s="762"/>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row>
    <row r="243" spans="1:32" ht="22.5" hidden="1" customHeight="1" outlineLevel="1" x14ac:dyDescent="0.85">
      <c r="A243" s="289" t="s">
        <v>251</v>
      </c>
      <c r="B243" s="289" t="s">
        <v>105</v>
      </c>
      <c r="C243" s="289" t="s">
        <v>107</v>
      </c>
      <c r="D243" s="289" t="s">
        <v>108</v>
      </c>
      <c r="E243" s="289" t="s">
        <v>109</v>
      </c>
      <c r="F243" s="289" t="s">
        <v>110</v>
      </c>
      <c r="G243" s="289" t="s">
        <v>119</v>
      </c>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row>
    <row r="244" spans="1:32" ht="22.5" hidden="1" customHeight="1" outlineLevel="1" x14ac:dyDescent="0.85">
      <c r="A244" s="290" t="s">
        <v>795</v>
      </c>
      <c r="B244" s="306">
        <v>397065</v>
      </c>
      <c r="C244" s="306">
        <f>429179+85</f>
        <v>429264</v>
      </c>
      <c r="D244" s="306">
        <v>209154.8</v>
      </c>
      <c r="E244" s="306">
        <v>3473.4</v>
      </c>
      <c r="F244" s="306">
        <v>58551.400000000009</v>
      </c>
      <c r="G244" s="303">
        <f>SUM(C244:F244)</f>
        <v>700443.60000000009</v>
      </c>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row>
    <row r="245" spans="1:32" ht="22.5" hidden="1" customHeight="1" outlineLevel="1" x14ac:dyDescent="0.85">
      <c r="A245" s="290" t="s">
        <v>796</v>
      </c>
      <c r="B245" s="178">
        <f t="shared" ref="B245:G245" si="28">SUM(B244)*$B$41</f>
        <v>2219.5933500000001</v>
      </c>
      <c r="C245" s="178">
        <f t="shared" si="28"/>
        <v>2399.5857599999999</v>
      </c>
      <c r="D245" s="178">
        <f t="shared" si="28"/>
        <v>1169.175332</v>
      </c>
      <c r="E245" s="178">
        <f t="shared" si="28"/>
        <v>19.416306000000002</v>
      </c>
      <c r="F245" s="178">
        <f t="shared" si="28"/>
        <v>327.30232600000005</v>
      </c>
      <c r="G245" s="178">
        <f t="shared" si="28"/>
        <v>3915.4797240000007</v>
      </c>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row>
    <row r="246" spans="1:32" ht="22.5" hidden="1" customHeight="1" outlineLevel="1" x14ac:dyDescent="0.85">
      <c r="A246" s="290" t="s">
        <v>797</v>
      </c>
      <c r="B246" s="308">
        <f t="shared" ref="B246:G246" si="29">SUM(B244)*$B$42</f>
        <v>0.397065</v>
      </c>
      <c r="C246" s="308">
        <f t="shared" si="29"/>
        <v>0.42926399999999998</v>
      </c>
      <c r="D246" s="308">
        <f t="shared" si="29"/>
        <v>0.20915479999999997</v>
      </c>
      <c r="E246" s="309">
        <f t="shared" si="29"/>
        <v>3.4733999999999998E-3</v>
      </c>
      <c r="F246" s="308">
        <f t="shared" si="29"/>
        <v>5.8551400000000003E-2</v>
      </c>
      <c r="G246" s="178">
        <f t="shared" si="29"/>
        <v>0.70044360000000006</v>
      </c>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row>
    <row r="247" spans="1:32" ht="22.5" hidden="1" customHeight="1" outlineLevel="1" x14ac:dyDescent="0.85">
      <c r="A247" s="290" t="s">
        <v>798</v>
      </c>
      <c r="B247" s="309">
        <f t="shared" ref="B247:G247" si="30">SUM(B244)*$B$43</f>
        <v>3.9706500000000006E-2</v>
      </c>
      <c r="C247" s="309">
        <f t="shared" si="30"/>
        <v>4.2926400000000003E-2</v>
      </c>
      <c r="D247" s="309">
        <f t="shared" si="30"/>
        <v>2.091548E-2</v>
      </c>
      <c r="E247" s="311">
        <f t="shared" si="30"/>
        <v>3.4734000000000002E-4</v>
      </c>
      <c r="F247" s="309">
        <f t="shared" si="30"/>
        <v>5.8551400000000017E-3</v>
      </c>
      <c r="G247" s="308">
        <f t="shared" si="30"/>
        <v>7.0044360000000014E-2</v>
      </c>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row>
    <row r="248" spans="1:32" ht="22.5" hidden="1" customHeight="1" outlineLevel="1" x14ac:dyDescent="0.85">
      <c r="A248" s="292" t="s">
        <v>799</v>
      </c>
      <c r="B248" s="293">
        <f>B245+B246*'Conversion Factors and GWP'!$C$31+'Conversion Factors and GWP'!$C$32*B247</f>
        <v>2241.2333925000003</v>
      </c>
      <c r="C248" s="293">
        <f>C245+C246*'Conversion Factors and GWP'!$C$31+'Conversion Factors and GWP'!$C$32*C247</f>
        <v>2422.9806480000002</v>
      </c>
      <c r="D248" s="293">
        <f>D245+D246*'Conversion Factors and GWP'!$C$31+'Conversion Factors and GWP'!$C$32*D247</f>
        <v>1180.5742685999999</v>
      </c>
      <c r="E248" s="293">
        <f>E245+E246*'Conversion Factors and GWP'!$C$31+'Conversion Factors and GWP'!$C$32*E247</f>
        <v>19.605606300000002</v>
      </c>
      <c r="F248" s="293">
        <f>F245+F246*'Conversion Factors and GWP'!$C$31+'Conversion Factors and GWP'!$C$32*F247</f>
        <v>330.49337730000008</v>
      </c>
      <c r="G248" s="293">
        <f>G245+G246*'Conversion Factors and GWP'!$C$31+'Conversion Factors and GWP'!$C$32*G247</f>
        <v>3953.6539002000009</v>
      </c>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row>
    <row r="249" spans="1:32" ht="22.5" hidden="1" customHeight="1" outlineLevel="1" x14ac:dyDescent="0.85">
      <c r="A249" s="804" t="s">
        <v>800</v>
      </c>
      <c r="B249" s="765"/>
      <c r="C249" s="765"/>
      <c r="D249" s="765"/>
      <c r="E249" s="765"/>
      <c r="F249" s="765"/>
      <c r="G249" s="762"/>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row>
    <row r="250" spans="1:32" ht="22.5" hidden="1" customHeight="1" outlineLevel="1" x14ac:dyDescent="0.85">
      <c r="A250" s="289" t="s">
        <v>251</v>
      </c>
      <c r="B250" s="289" t="s">
        <v>105</v>
      </c>
      <c r="C250" s="289" t="s">
        <v>107</v>
      </c>
      <c r="D250" s="289" t="s">
        <v>108</v>
      </c>
      <c r="E250" s="289" t="s">
        <v>109</v>
      </c>
      <c r="F250" s="289" t="s">
        <v>110</v>
      </c>
      <c r="G250" s="289" t="s">
        <v>119</v>
      </c>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row>
    <row r="251" spans="1:32" ht="22.5" hidden="1" customHeight="1" outlineLevel="1" x14ac:dyDescent="0.85">
      <c r="A251" s="290" t="s">
        <v>801</v>
      </c>
      <c r="B251" s="306">
        <v>2472</v>
      </c>
      <c r="C251" s="306">
        <v>9186</v>
      </c>
      <c r="D251" s="306">
        <v>3118</v>
      </c>
      <c r="E251" s="306">
        <v>661</v>
      </c>
      <c r="F251" s="306">
        <v>3885</v>
      </c>
      <c r="G251" s="303">
        <f>SUM(B251:F251)</f>
        <v>19322</v>
      </c>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row>
    <row r="252" spans="1:32" ht="22.5" hidden="1" customHeight="1" outlineLevel="1" x14ac:dyDescent="0.85">
      <c r="A252" s="290" t="s">
        <v>802</v>
      </c>
      <c r="B252" s="178">
        <f t="shared" ref="B252:F252" si="31">B251*($B$45)</f>
        <v>691619.67213114758</v>
      </c>
      <c r="C252" s="178">
        <f t="shared" si="31"/>
        <v>2570072.1311475411</v>
      </c>
      <c r="D252" s="178">
        <f t="shared" si="31"/>
        <v>872358.46994535532</v>
      </c>
      <c r="E252" s="178">
        <f t="shared" si="31"/>
        <v>184935.51912568309</v>
      </c>
      <c r="F252" s="178">
        <f t="shared" si="31"/>
        <v>1086950.8196721312</v>
      </c>
      <c r="G252" s="307">
        <f t="shared" ref="G252:G255" si="32">SUM(C252:F252)</f>
        <v>4714316.9398907106</v>
      </c>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row>
    <row r="253" spans="1:32" ht="22.5" hidden="1" customHeight="1" outlineLevel="1" x14ac:dyDescent="0.85">
      <c r="A253" s="290" t="s">
        <v>803</v>
      </c>
      <c r="B253" s="178">
        <f t="shared" ref="B253:F253" si="33">SUM(B252)*$B$41</f>
        <v>3866.1539672131153</v>
      </c>
      <c r="C253" s="178">
        <f t="shared" si="33"/>
        <v>14366.703213114755</v>
      </c>
      <c r="D253" s="178">
        <f t="shared" si="33"/>
        <v>4876.4838469945362</v>
      </c>
      <c r="E253" s="178">
        <f t="shared" si="33"/>
        <v>1033.7895519125684</v>
      </c>
      <c r="F253" s="178">
        <f t="shared" si="33"/>
        <v>6076.0550819672135</v>
      </c>
      <c r="G253" s="307">
        <f t="shared" si="32"/>
        <v>26353.031693989073</v>
      </c>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row>
    <row r="254" spans="1:32" ht="22.5" hidden="1" customHeight="1" outlineLevel="1" x14ac:dyDescent="0.85">
      <c r="A254" s="290" t="s">
        <v>804</v>
      </c>
      <c r="B254" s="308">
        <f t="shared" ref="B254:F254" si="34">SUM(B252)*$B$42</f>
        <v>0.6916196721311475</v>
      </c>
      <c r="C254" s="308">
        <f t="shared" si="34"/>
        <v>2.570072131147541</v>
      </c>
      <c r="D254" s="308">
        <f t="shared" si="34"/>
        <v>0.87235846994535526</v>
      </c>
      <c r="E254" s="309">
        <f t="shared" si="34"/>
        <v>0.18493551912568307</v>
      </c>
      <c r="F254" s="308">
        <f t="shared" si="34"/>
        <v>1.0869508196721311</v>
      </c>
      <c r="G254" s="307">
        <f t="shared" si="32"/>
        <v>4.7143169398907103</v>
      </c>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row>
    <row r="255" spans="1:32" ht="22.5" hidden="1" customHeight="1" outlineLevel="1" x14ac:dyDescent="0.85">
      <c r="A255" s="290" t="s">
        <v>805</v>
      </c>
      <c r="B255" s="309">
        <f t="shared" ref="B255:F255" si="35">SUM(B252)*$B$43</f>
        <v>6.9161967213114767E-2</v>
      </c>
      <c r="C255" s="309">
        <f t="shared" si="35"/>
        <v>0.25700721311475411</v>
      </c>
      <c r="D255" s="309">
        <f t="shared" si="35"/>
        <v>8.7235846994535543E-2</v>
      </c>
      <c r="E255" s="311">
        <f t="shared" si="35"/>
        <v>1.849355191256831E-2</v>
      </c>
      <c r="F255" s="309">
        <f t="shared" si="35"/>
        <v>0.10869508196721313</v>
      </c>
      <c r="G255" s="307">
        <f t="shared" si="32"/>
        <v>0.47143169398907103</v>
      </c>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row>
    <row r="256" spans="1:32" ht="22.5" hidden="1" customHeight="1" outlineLevel="1" x14ac:dyDescent="0.85">
      <c r="A256" s="292" t="s">
        <v>806</v>
      </c>
      <c r="B256" s="293">
        <f>B253+B254*'Conversion Factors and GWP'!$C$31+'Conversion Factors and GWP'!$C$32*B255</f>
        <v>3903.847239344263</v>
      </c>
      <c r="C256" s="293">
        <f>C253+C254*'Conversion Factors and GWP'!$C$31+'Conversion Factors and GWP'!$C$32*C255</f>
        <v>14506.772144262297</v>
      </c>
      <c r="D256" s="293">
        <f>D253+D254*'Conversion Factors and GWP'!$C$31+'Conversion Factors and GWP'!$C$32*D255</f>
        <v>4924.027383606558</v>
      </c>
      <c r="E256" s="293">
        <f>E253+E254*'Conversion Factors and GWP'!$C$31+'Conversion Factors and GWP'!$C$32*E255</f>
        <v>1043.8685377049183</v>
      </c>
      <c r="F256" s="293">
        <f>F253+F254*'Conversion Factors and GWP'!$C$31+'Conversion Factors and GWP'!$C$32*F255</f>
        <v>6135.2939016393448</v>
      </c>
      <c r="G256" s="293">
        <f>G253+G254*'Conversion Factors and GWP'!$C$31+'Conversion Factors and GWP'!$C$32*G255</f>
        <v>26609.961967213116</v>
      </c>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row>
    <row r="257" spans="1:32" ht="22.5" hidden="1" customHeight="1" outlineLevel="1" x14ac:dyDescent="0.85">
      <c r="A257" s="297" t="s">
        <v>142</v>
      </c>
      <c r="B257" s="172"/>
      <c r="C257" s="172"/>
      <c r="D257" s="172"/>
      <c r="E257" s="172"/>
      <c r="F257" s="172"/>
      <c r="G257" s="17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row>
    <row r="258" spans="1:32" ht="22.5" hidden="1" customHeight="1" outlineLevel="1" x14ac:dyDescent="0.85">
      <c r="A258" s="804" t="s">
        <v>142</v>
      </c>
      <c r="B258" s="765"/>
      <c r="C258" s="765"/>
      <c r="D258" s="765"/>
      <c r="E258" s="765"/>
      <c r="F258" s="765"/>
      <c r="G258" s="762"/>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row>
    <row r="259" spans="1:32" ht="22.5" hidden="1" customHeight="1" outlineLevel="1" x14ac:dyDescent="0.85">
      <c r="A259" s="289" t="s">
        <v>251</v>
      </c>
      <c r="B259" s="289" t="s">
        <v>105</v>
      </c>
      <c r="C259" s="289" t="s">
        <v>107</v>
      </c>
      <c r="D259" s="289" t="s">
        <v>108</v>
      </c>
      <c r="E259" s="289" t="s">
        <v>109</v>
      </c>
      <c r="F259" s="289" t="s">
        <v>110</v>
      </c>
      <c r="G259" s="289" t="s">
        <v>119</v>
      </c>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row>
    <row r="260" spans="1:32" ht="22.5" hidden="1" customHeight="1" outlineLevel="1" x14ac:dyDescent="0.85">
      <c r="A260" s="290" t="s">
        <v>807</v>
      </c>
      <c r="B260" s="302">
        <v>1620</v>
      </c>
      <c r="C260" s="302">
        <v>4303</v>
      </c>
      <c r="D260" s="302">
        <v>2492</v>
      </c>
      <c r="E260" s="302">
        <v>1287</v>
      </c>
      <c r="F260" s="302">
        <v>2245</v>
      </c>
      <c r="G260" s="303">
        <f>SUM(C260:F260)</f>
        <v>10327</v>
      </c>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row>
    <row r="261" spans="1:32" ht="22.5" hidden="1" customHeight="1" outlineLevel="1" x14ac:dyDescent="0.85">
      <c r="A261" s="290" t="s">
        <v>808</v>
      </c>
      <c r="B261" s="178">
        <f>(B260*$B$58)/'Conversion Factors and GWP'!$A$18</f>
        <v>112752</v>
      </c>
      <c r="C261" s="178">
        <f>(C260*$B$58)/'Conversion Factors and GWP'!$A$18</f>
        <v>299488.8</v>
      </c>
      <c r="D261" s="178">
        <f>(D260*$B$58)/'Conversion Factors and GWP'!$A$18</f>
        <v>173443.20000000001</v>
      </c>
      <c r="E261" s="178">
        <f>(E260*$B$58)/'Conversion Factors and GWP'!$A$18</f>
        <v>89575.2</v>
      </c>
      <c r="F261" s="178">
        <f>(F260*$B$58)/'Conversion Factors and GWP'!$A$18</f>
        <v>156252</v>
      </c>
      <c r="G261" s="178">
        <f>(G260*$B$58)/'Conversion Factors and GWP'!$A$18</f>
        <v>718759.2</v>
      </c>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row>
    <row r="262" spans="1:32" ht="22.5" hidden="1" customHeight="1" outlineLevel="1" x14ac:dyDescent="0.85">
      <c r="A262" s="290" t="s">
        <v>809</v>
      </c>
      <c r="B262" s="178">
        <f>(B261*$B$54)/'Conversion Factors and GWP'!$A$7</f>
        <v>10576.1376</v>
      </c>
      <c r="C262" s="178">
        <f>(C261*$B$54)/'Conversion Factors and GWP'!$A$7</f>
        <v>28092.049439999999</v>
      </c>
      <c r="D262" s="178">
        <f>(D261*$B$54)/'Conversion Factors and GWP'!$A$7</f>
        <v>16268.972159999999</v>
      </c>
      <c r="E262" s="178">
        <f>(E261*$B$54)/'Conversion Factors and GWP'!$A$7</f>
        <v>8402.1537599999992</v>
      </c>
      <c r="F262" s="178">
        <f>(F261*$B$54)/'Conversion Factors and GWP'!$A$7</f>
        <v>14656.437599999999</v>
      </c>
      <c r="G262" s="178">
        <f>(G261*$B$54)/'Conversion Factors and GWP'!$A$7</f>
        <v>67419.612959999999</v>
      </c>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row>
    <row r="263" spans="1:32" ht="22.5" hidden="1" customHeight="1" outlineLevel="1" x14ac:dyDescent="0.85">
      <c r="A263" s="290" t="s">
        <v>810</v>
      </c>
      <c r="B263" s="308">
        <f>(B260*$B$55)/'Conversion Factors and GWP'!$A$7</f>
        <v>0.51192000000000004</v>
      </c>
      <c r="C263" s="308">
        <f>(C260*$B$55)/'Conversion Factors and GWP'!$A$7</f>
        <v>1.359748</v>
      </c>
      <c r="D263" s="308">
        <f>(D260*$B$55)/'Conversion Factors and GWP'!$A$7</f>
        <v>0.78747199999999995</v>
      </c>
      <c r="E263" s="308">
        <f>(E260*$B$55)/'Conversion Factors and GWP'!$A$7</f>
        <v>0.406692</v>
      </c>
      <c r="F263" s="308">
        <f>(F260*$B$55)/'Conversion Factors and GWP'!$A$7</f>
        <v>0.70941999999999994</v>
      </c>
      <c r="G263" s="178">
        <f>(G260*$B$55)/'Conversion Factors and GWP'!$A$7</f>
        <v>3.2633319999999997</v>
      </c>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row>
    <row r="264" spans="1:32" ht="22.5" hidden="1" customHeight="1" outlineLevel="1" x14ac:dyDescent="0.85">
      <c r="A264" s="290" t="s">
        <v>811</v>
      </c>
      <c r="B264" s="309">
        <f>(B260*$B$56)/'Conversion Factors and GWP'!$A$7</f>
        <v>6.8039999999999993E-3</v>
      </c>
      <c r="C264" s="309">
        <f>(C260*$B$56)/'Conversion Factors and GWP'!$A$7</f>
        <v>1.8072599999999998E-2</v>
      </c>
      <c r="D264" s="309">
        <f>(D260*$B$56)/'Conversion Factors and GWP'!$A$7</f>
        <v>1.0466400000000001E-2</v>
      </c>
      <c r="E264" s="309">
        <f>(E260*$B$56)/'Conversion Factors and GWP'!$A$7</f>
        <v>5.4053999999999994E-3</v>
      </c>
      <c r="F264" s="309">
        <f>(F260*$B$56)/'Conversion Factors and GWP'!$A$7</f>
        <v>9.4289999999999999E-3</v>
      </c>
      <c r="G264" s="309">
        <f>(G260*$B$56)/'Conversion Factors and GWP'!$A$7</f>
        <v>4.3373399999999999E-2</v>
      </c>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row>
    <row r="265" spans="1:32" ht="22.5" hidden="1" customHeight="1" outlineLevel="1" x14ac:dyDescent="0.85">
      <c r="A265" s="292" t="s">
        <v>812</v>
      </c>
      <c r="B265" s="293">
        <f>(B263*'Conversion Factors and GWP'!$C$31)+('Conversion Factors and GWP'!$C$32*'Energy Data'!B264)</f>
        <v>16.13682</v>
      </c>
      <c r="C265" s="293">
        <f>(C263*'Conversion Factors and GWP'!$C$31)+('Conversion Factors and GWP'!$C$32*'Energy Data'!C264)</f>
        <v>42.862183000000002</v>
      </c>
      <c r="D265" s="293">
        <f>(D263*'Conversion Factors and GWP'!$C$31)+('Conversion Factors and GWP'!$C$32*'Energy Data'!D264)</f>
        <v>24.822811999999999</v>
      </c>
      <c r="E265" s="293">
        <f>(E263*'Conversion Factors and GWP'!$C$31)+('Conversion Factors and GWP'!$C$32*'Energy Data'!E264)</f>
        <v>12.819806999999999</v>
      </c>
      <c r="F265" s="293">
        <f>(F263*'Conversion Factors and GWP'!$C$31)+('Conversion Factors and GWP'!$C$32*'Energy Data'!F264)</f>
        <v>22.362445000000001</v>
      </c>
      <c r="G265" s="293">
        <f>(G263*'Conversion Factors and GWP'!$C$31)+('Conversion Factors and GWP'!$C$32*'Energy Data'!G264)</f>
        <v>102.86724699999999</v>
      </c>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row>
    <row r="266" spans="1:32" ht="22.5" customHeight="1" collapsed="1" x14ac:dyDescent="0.8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row>
    <row r="267" spans="1:32" ht="22.5" customHeight="1" x14ac:dyDescent="0.8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row>
    <row r="268" spans="1:32" ht="22.5" customHeight="1" x14ac:dyDescent="0.8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row>
    <row r="269" spans="1:32" ht="22.5" customHeight="1" x14ac:dyDescent="0.8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row>
    <row r="270" spans="1:32" ht="22.5" customHeight="1" x14ac:dyDescent="0.8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row>
    <row r="271" spans="1:32" ht="22.5" customHeight="1" x14ac:dyDescent="0.8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row>
    <row r="272" spans="1:32" ht="22.5" customHeight="1" x14ac:dyDescent="0.8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row>
    <row r="273" spans="1:32" ht="22.5" customHeight="1" x14ac:dyDescent="0.8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row>
    <row r="274" spans="1:32" ht="22.5" customHeight="1" x14ac:dyDescent="0.8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row>
    <row r="275" spans="1:32" ht="22.5" customHeight="1" x14ac:dyDescent="0.8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row>
    <row r="276" spans="1:32" ht="22.5" customHeight="1" x14ac:dyDescent="0.8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row>
    <row r="277" spans="1:32" ht="22.5" customHeight="1" x14ac:dyDescent="0.8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row>
    <row r="278" spans="1:32" ht="22.5" customHeight="1" x14ac:dyDescent="0.8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row>
    <row r="279" spans="1:32" ht="22.5" customHeight="1" x14ac:dyDescent="0.8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row>
    <row r="280" spans="1:32" ht="22.5" customHeight="1" x14ac:dyDescent="0.8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row>
    <row r="281" spans="1:32" ht="22.5" customHeight="1" x14ac:dyDescent="0.8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row>
    <row r="282" spans="1:32" ht="22.5" customHeight="1" x14ac:dyDescent="0.8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row>
    <row r="283" spans="1:32" ht="22.5" customHeight="1" x14ac:dyDescent="0.8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row>
    <row r="284" spans="1:32" ht="22.5" customHeight="1" x14ac:dyDescent="0.8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row>
    <row r="285" spans="1:32" ht="22.5" customHeight="1" x14ac:dyDescent="0.8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row>
    <row r="286" spans="1:32" ht="22.5" customHeight="1" x14ac:dyDescent="0.8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row>
    <row r="287" spans="1:32" ht="22.5" customHeight="1" x14ac:dyDescent="0.8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row>
    <row r="288" spans="1:32" ht="22.5" customHeight="1" x14ac:dyDescent="0.8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row>
    <row r="289" spans="1:32" ht="22.5" customHeight="1" x14ac:dyDescent="0.8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row>
    <row r="290" spans="1:32" ht="22.5" customHeight="1" x14ac:dyDescent="0.8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row>
    <row r="291" spans="1:32" ht="22.5" customHeight="1" x14ac:dyDescent="0.8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row>
    <row r="292" spans="1:32" ht="22.5" customHeight="1" x14ac:dyDescent="0.8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row>
    <row r="293" spans="1:32" ht="22.5" customHeight="1" x14ac:dyDescent="0.8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row>
    <row r="294" spans="1:32" ht="22.5" customHeight="1" x14ac:dyDescent="0.8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row>
    <row r="295" spans="1:32" ht="22.5" customHeight="1" x14ac:dyDescent="0.8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row>
    <row r="296" spans="1:32" ht="22.5" customHeight="1" x14ac:dyDescent="0.8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row>
    <row r="297" spans="1:32" ht="22.5" customHeight="1" x14ac:dyDescent="0.8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row>
    <row r="298" spans="1:32" ht="22.5" customHeight="1" x14ac:dyDescent="0.8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row>
    <row r="299" spans="1:32" ht="22.5" customHeight="1" x14ac:dyDescent="0.8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row>
    <row r="300" spans="1:32" ht="22.5" customHeight="1" x14ac:dyDescent="0.8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row>
    <row r="301" spans="1:32" ht="22.5" customHeight="1" x14ac:dyDescent="0.8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row>
    <row r="302" spans="1:32" ht="22.5" customHeight="1" x14ac:dyDescent="0.8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row>
    <row r="303" spans="1:32" ht="22.5" customHeight="1" x14ac:dyDescent="0.8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row>
    <row r="304" spans="1:32" ht="22.5" customHeight="1" x14ac:dyDescent="0.8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row>
    <row r="305" spans="1:32" ht="22.5" customHeight="1" x14ac:dyDescent="0.8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row>
    <row r="306" spans="1:32" ht="22.5" customHeight="1" x14ac:dyDescent="0.8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row>
    <row r="307" spans="1:32" ht="22.5" customHeight="1" x14ac:dyDescent="0.8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row>
    <row r="308" spans="1:32" ht="22.5" customHeight="1" x14ac:dyDescent="0.8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row>
    <row r="309" spans="1:32" ht="22.5" customHeight="1" x14ac:dyDescent="0.8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row>
    <row r="310" spans="1:32" ht="22.5" customHeight="1" x14ac:dyDescent="0.8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row>
    <row r="311" spans="1:32" ht="22.5" customHeight="1" x14ac:dyDescent="0.8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row>
    <row r="312" spans="1:32" ht="22.5" customHeight="1" x14ac:dyDescent="0.8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row>
    <row r="313" spans="1:32" ht="22.5" customHeight="1" x14ac:dyDescent="0.8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row>
    <row r="314" spans="1:32" ht="22.5" customHeight="1" x14ac:dyDescent="0.8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row>
    <row r="315" spans="1:32" ht="22.5" customHeight="1" x14ac:dyDescent="0.8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row>
    <row r="316" spans="1:32" ht="22.5" customHeight="1" x14ac:dyDescent="0.8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row>
    <row r="317" spans="1:32" ht="22.5" customHeight="1" x14ac:dyDescent="0.8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row>
    <row r="318" spans="1:32" ht="22.5" customHeight="1" x14ac:dyDescent="0.8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row>
    <row r="319" spans="1:32" ht="22.5" customHeight="1" x14ac:dyDescent="0.8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row>
    <row r="320" spans="1:32" ht="22.5" customHeight="1" x14ac:dyDescent="0.8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row>
    <row r="321" spans="1:32" ht="22.5" customHeight="1" x14ac:dyDescent="0.8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row>
    <row r="322" spans="1:32" ht="22.5" customHeight="1" x14ac:dyDescent="0.8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row>
    <row r="323" spans="1:32" ht="22.5" customHeight="1" x14ac:dyDescent="0.8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row>
    <row r="324" spans="1:32" ht="22.5" customHeight="1" x14ac:dyDescent="0.8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row>
    <row r="325" spans="1:32" ht="22.5" customHeight="1" x14ac:dyDescent="0.8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row>
    <row r="326" spans="1:32" ht="22.5" customHeight="1" x14ac:dyDescent="0.8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row>
    <row r="327" spans="1:32" ht="22.5" customHeight="1" x14ac:dyDescent="0.8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row>
    <row r="328" spans="1:32" ht="22.5" customHeight="1" x14ac:dyDescent="0.8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row>
    <row r="329" spans="1:32" ht="22.5" customHeight="1" x14ac:dyDescent="0.8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row>
    <row r="330" spans="1:32" ht="22.5" customHeight="1" x14ac:dyDescent="0.8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row>
    <row r="331" spans="1:32" ht="22.5" customHeight="1" x14ac:dyDescent="0.8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row>
    <row r="332" spans="1:32" ht="22.5" customHeight="1" x14ac:dyDescent="0.8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row>
    <row r="333" spans="1:32" ht="22.5" customHeight="1" x14ac:dyDescent="0.8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row>
    <row r="334" spans="1:32" ht="22.5" customHeight="1" x14ac:dyDescent="0.8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row>
    <row r="335" spans="1:32" ht="22.5" customHeight="1" x14ac:dyDescent="0.8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row>
    <row r="336" spans="1:32" ht="22.5" customHeight="1" x14ac:dyDescent="0.8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row>
    <row r="337" spans="1:32" ht="22.5" customHeight="1" x14ac:dyDescent="0.8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row>
    <row r="338" spans="1:32" ht="22.5" customHeight="1" x14ac:dyDescent="0.8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row>
    <row r="339" spans="1:32" ht="22.5" customHeight="1" x14ac:dyDescent="0.8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row>
    <row r="340" spans="1:32" ht="22.5" customHeight="1" x14ac:dyDescent="0.8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row>
    <row r="341" spans="1:32" ht="22.5" customHeight="1" x14ac:dyDescent="0.8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row>
    <row r="342" spans="1:32" ht="22.5" customHeight="1" x14ac:dyDescent="0.8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row>
    <row r="343" spans="1:32" ht="22.5" customHeight="1" x14ac:dyDescent="0.8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row>
    <row r="344" spans="1:32" ht="22.5" customHeight="1" x14ac:dyDescent="0.8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row>
    <row r="345" spans="1:32" ht="22.5" customHeight="1" x14ac:dyDescent="0.8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row>
    <row r="346" spans="1:32" ht="22.5" customHeight="1" x14ac:dyDescent="0.8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row>
    <row r="347" spans="1:32" ht="22.5" customHeight="1" x14ac:dyDescent="0.8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row>
    <row r="348" spans="1:32" ht="22.5" customHeight="1" x14ac:dyDescent="0.8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row>
    <row r="349" spans="1:32" ht="22.5" customHeight="1" x14ac:dyDescent="0.8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row>
    <row r="350" spans="1:32" ht="22.5" customHeight="1" x14ac:dyDescent="0.8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row>
    <row r="351" spans="1:32" ht="22.5" customHeight="1" x14ac:dyDescent="0.8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row>
    <row r="352" spans="1:32" ht="22.5" customHeight="1" x14ac:dyDescent="0.8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row>
    <row r="353" spans="1:32" ht="22.5" customHeight="1" x14ac:dyDescent="0.8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c r="AF353" s="3"/>
    </row>
    <row r="354" spans="1:32" ht="22.5" customHeight="1" x14ac:dyDescent="0.8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c r="AA354" s="3"/>
      <c r="AB354" s="3"/>
      <c r="AC354" s="3"/>
      <c r="AD354" s="3"/>
      <c r="AE354" s="3"/>
      <c r="AF354" s="3"/>
    </row>
    <row r="355" spans="1:32" ht="22.5" customHeight="1" x14ac:dyDescent="0.8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c r="AA355" s="3"/>
      <c r="AB355" s="3"/>
      <c r="AC355" s="3"/>
      <c r="AD355" s="3"/>
      <c r="AE355" s="3"/>
      <c r="AF355" s="3"/>
    </row>
    <row r="356" spans="1:32" ht="22.5" customHeight="1" x14ac:dyDescent="0.8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c r="AA356" s="3"/>
      <c r="AB356" s="3"/>
      <c r="AC356" s="3"/>
      <c r="AD356" s="3"/>
      <c r="AE356" s="3"/>
      <c r="AF356" s="3"/>
    </row>
    <row r="357" spans="1:32" ht="22.5" customHeight="1" x14ac:dyDescent="0.8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c r="AA357" s="3"/>
      <c r="AB357" s="3"/>
      <c r="AC357" s="3"/>
      <c r="AD357" s="3"/>
      <c r="AE357" s="3"/>
      <c r="AF357" s="3"/>
    </row>
    <row r="358" spans="1:32" ht="22.5" customHeight="1" x14ac:dyDescent="0.8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c r="AF358" s="3"/>
    </row>
    <row r="359" spans="1:32" ht="22.5" customHeight="1" x14ac:dyDescent="0.8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row>
    <row r="360" spans="1:32" ht="22.5" customHeight="1" x14ac:dyDescent="0.8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c r="AA360" s="3"/>
      <c r="AB360" s="3"/>
      <c r="AC360" s="3"/>
      <c r="AD360" s="3"/>
      <c r="AE360" s="3"/>
      <c r="AF360" s="3"/>
    </row>
    <row r="361" spans="1:32" ht="22.5" customHeight="1" x14ac:dyDescent="0.8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c r="AA361" s="3"/>
      <c r="AB361" s="3"/>
      <c r="AC361" s="3"/>
      <c r="AD361" s="3"/>
      <c r="AE361" s="3"/>
      <c r="AF361" s="3"/>
    </row>
    <row r="362" spans="1:32" ht="22.5" customHeight="1" x14ac:dyDescent="0.8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c r="AA362" s="3"/>
      <c r="AB362" s="3"/>
      <c r="AC362" s="3"/>
      <c r="AD362" s="3"/>
      <c r="AE362" s="3"/>
      <c r="AF362" s="3"/>
    </row>
    <row r="363" spans="1:32" ht="22.5" customHeight="1" x14ac:dyDescent="0.8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row>
    <row r="364" spans="1:32" ht="22.5" customHeight="1" x14ac:dyDescent="0.8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c r="AF364" s="3"/>
    </row>
    <row r="365" spans="1:32" ht="22.5" customHeight="1" x14ac:dyDescent="0.8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c r="AF365" s="3"/>
    </row>
    <row r="366" spans="1:32" ht="22.5" customHeight="1" x14ac:dyDescent="0.8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c r="AA366" s="3"/>
      <c r="AB366" s="3"/>
      <c r="AC366" s="3"/>
      <c r="AD366" s="3"/>
      <c r="AE366" s="3"/>
      <c r="AF366" s="3"/>
    </row>
    <row r="367" spans="1:32" ht="22.5" customHeight="1" x14ac:dyDescent="0.8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c r="AA367" s="3"/>
      <c r="AB367" s="3"/>
      <c r="AC367" s="3"/>
      <c r="AD367" s="3"/>
      <c r="AE367" s="3"/>
      <c r="AF367" s="3"/>
    </row>
    <row r="368" spans="1:32" ht="22.5" customHeight="1" x14ac:dyDescent="0.8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c r="AA368" s="3"/>
      <c r="AB368" s="3"/>
      <c r="AC368" s="3"/>
      <c r="AD368" s="3"/>
      <c r="AE368" s="3"/>
      <c r="AF368" s="3"/>
    </row>
    <row r="369" spans="1:32" ht="22.5" customHeight="1" x14ac:dyDescent="0.8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c r="AA369" s="3"/>
      <c r="AB369" s="3"/>
      <c r="AC369" s="3"/>
      <c r="AD369" s="3"/>
      <c r="AE369" s="3"/>
      <c r="AF369" s="3"/>
    </row>
    <row r="370" spans="1:32" ht="22.5" customHeight="1" x14ac:dyDescent="0.8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c r="AF370" s="3"/>
    </row>
    <row r="371" spans="1:32" ht="22.5" customHeight="1" x14ac:dyDescent="0.8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c r="AA371" s="3"/>
      <c r="AB371" s="3"/>
      <c r="AC371" s="3"/>
      <c r="AD371" s="3"/>
      <c r="AE371" s="3"/>
      <c r="AF371" s="3"/>
    </row>
    <row r="372" spans="1:32" ht="22.5" customHeight="1" x14ac:dyDescent="0.8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c r="AA372" s="3"/>
      <c r="AB372" s="3"/>
      <c r="AC372" s="3"/>
      <c r="AD372" s="3"/>
      <c r="AE372" s="3"/>
      <c r="AF372" s="3"/>
    </row>
    <row r="373" spans="1:32" ht="22.5" customHeight="1" x14ac:dyDescent="0.8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c r="AA373" s="3"/>
      <c r="AB373" s="3"/>
      <c r="AC373" s="3"/>
      <c r="AD373" s="3"/>
      <c r="AE373" s="3"/>
      <c r="AF373" s="3"/>
    </row>
    <row r="374" spans="1:32" ht="22.5" customHeight="1" x14ac:dyDescent="0.8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c r="AA374" s="3"/>
      <c r="AB374" s="3"/>
      <c r="AC374" s="3"/>
      <c r="AD374" s="3"/>
      <c r="AE374" s="3"/>
      <c r="AF374" s="3"/>
    </row>
    <row r="375" spans="1:32" ht="22.5" customHeight="1" x14ac:dyDescent="0.8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c r="AF375" s="3"/>
    </row>
    <row r="376" spans="1:32" ht="22.5" customHeight="1" x14ac:dyDescent="0.8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3"/>
    </row>
    <row r="377" spans="1:32" ht="22.5" customHeight="1" x14ac:dyDescent="0.8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c r="AF377" s="3"/>
    </row>
    <row r="378" spans="1:32" ht="22.5" customHeight="1" x14ac:dyDescent="0.8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c r="AF378" s="3"/>
    </row>
    <row r="379" spans="1:32" ht="22.5" customHeight="1" x14ac:dyDescent="0.8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c r="AF379" s="3"/>
    </row>
    <row r="380" spans="1:32" ht="22.5" customHeight="1" x14ac:dyDescent="0.8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row>
    <row r="381" spans="1:32" ht="22.5" customHeight="1" x14ac:dyDescent="0.8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
      <c r="AF381" s="3"/>
    </row>
    <row r="382" spans="1:32" ht="22.5" customHeight="1" x14ac:dyDescent="0.8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c r="AA382" s="3"/>
      <c r="AB382" s="3"/>
      <c r="AC382" s="3"/>
      <c r="AD382" s="3"/>
      <c r="AE382" s="3"/>
      <c r="AF382" s="3"/>
    </row>
    <row r="383" spans="1:32" ht="22.5" customHeight="1" x14ac:dyDescent="0.8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c r="AA383" s="3"/>
      <c r="AB383" s="3"/>
      <c r="AC383" s="3"/>
      <c r="AD383" s="3"/>
      <c r="AE383" s="3"/>
      <c r="AF383" s="3"/>
    </row>
    <row r="384" spans="1:32" ht="22.5" customHeight="1" x14ac:dyDescent="0.8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c r="AA384" s="3"/>
      <c r="AB384" s="3"/>
      <c r="AC384" s="3"/>
      <c r="AD384" s="3"/>
      <c r="AE384" s="3"/>
      <c r="AF384" s="3"/>
    </row>
    <row r="385" spans="1:32" ht="22.5" customHeight="1" x14ac:dyDescent="0.8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c r="AA385" s="3"/>
      <c r="AB385" s="3"/>
      <c r="AC385" s="3"/>
      <c r="AD385" s="3"/>
      <c r="AE385" s="3"/>
      <c r="AF385" s="3"/>
    </row>
    <row r="386" spans="1:32" ht="22.5" customHeight="1" x14ac:dyDescent="0.8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c r="AA386" s="3"/>
      <c r="AB386" s="3"/>
      <c r="AC386" s="3"/>
      <c r="AD386" s="3"/>
      <c r="AE386" s="3"/>
      <c r="AF386" s="3"/>
    </row>
    <row r="387" spans="1:32" ht="22.5" customHeight="1" x14ac:dyDescent="0.8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c r="AA387" s="3"/>
      <c r="AB387" s="3"/>
      <c r="AC387" s="3"/>
      <c r="AD387" s="3"/>
      <c r="AE387" s="3"/>
      <c r="AF387" s="3"/>
    </row>
    <row r="388" spans="1:32" ht="22.5" customHeight="1" x14ac:dyDescent="0.8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row>
    <row r="389" spans="1:32" ht="22.5" customHeight="1" x14ac:dyDescent="0.8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row>
    <row r="390" spans="1:32" ht="22.5" customHeight="1" x14ac:dyDescent="0.8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3"/>
    </row>
    <row r="391" spans="1:32" ht="22.5" customHeight="1" x14ac:dyDescent="0.8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c r="AF391" s="3"/>
    </row>
    <row r="392" spans="1:32" ht="22.5" customHeight="1" x14ac:dyDescent="0.8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
      <c r="AF392" s="3"/>
    </row>
    <row r="393" spans="1:32" ht="22.5" customHeight="1" x14ac:dyDescent="0.8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c r="AA393" s="3"/>
      <c r="AB393" s="3"/>
      <c r="AC393" s="3"/>
      <c r="AD393" s="3"/>
      <c r="AE393" s="3"/>
      <c r="AF393" s="3"/>
    </row>
    <row r="394" spans="1:32" ht="22.5" customHeight="1" x14ac:dyDescent="0.8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c r="AA394" s="3"/>
      <c r="AB394" s="3"/>
      <c r="AC394" s="3"/>
      <c r="AD394" s="3"/>
      <c r="AE394" s="3"/>
      <c r="AF394" s="3"/>
    </row>
    <row r="395" spans="1:32" ht="22.5" customHeight="1" x14ac:dyDescent="0.8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c r="AF395" s="3"/>
    </row>
    <row r="396" spans="1:32" ht="22.5" customHeight="1" x14ac:dyDescent="0.8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c r="AA396" s="3"/>
      <c r="AB396" s="3"/>
      <c r="AC396" s="3"/>
      <c r="AD396" s="3"/>
      <c r="AE396" s="3"/>
      <c r="AF396" s="3"/>
    </row>
    <row r="397" spans="1:32" ht="22.5" customHeight="1" x14ac:dyDescent="0.8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c r="AA397" s="3"/>
      <c r="AB397" s="3"/>
      <c r="AC397" s="3"/>
      <c r="AD397" s="3"/>
      <c r="AE397" s="3"/>
      <c r="AF397" s="3"/>
    </row>
    <row r="398" spans="1:32" ht="22.5" customHeight="1" x14ac:dyDescent="0.8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c r="AA398" s="3"/>
      <c r="AB398" s="3"/>
      <c r="AC398" s="3"/>
      <c r="AD398" s="3"/>
      <c r="AE398" s="3"/>
      <c r="AF398" s="3"/>
    </row>
    <row r="399" spans="1:32" ht="22.5" customHeight="1" x14ac:dyDescent="0.8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c r="AA399" s="3"/>
      <c r="AB399" s="3"/>
      <c r="AC399" s="3"/>
      <c r="AD399" s="3"/>
      <c r="AE399" s="3"/>
      <c r="AF399" s="3"/>
    </row>
    <row r="400" spans="1:32" ht="22.5" customHeight="1" x14ac:dyDescent="0.8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
      <c r="AF400" s="3"/>
    </row>
    <row r="401" spans="1:32" ht="22.5" customHeight="1" x14ac:dyDescent="0.8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c r="AA401" s="3"/>
      <c r="AB401" s="3"/>
      <c r="AC401" s="3"/>
      <c r="AD401" s="3"/>
      <c r="AE401" s="3"/>
      <c r="AF401" s="3"/>
    </row>
    <row r="402" spans="1:32" ht="22.5" customHeight="1" x14ac:dyDescent="0.8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c r="AA402" s="3"/>
      <c r="AB402" s="3"/>
      <c r="AC402" s="3"/>
      <c r="AD402" s="3"/>
      <c r="AE402" s="3"/>
      <c r="AF402" s="3"/>
    </row>
    <row r="403" spans="1:32" ht="22.5" customHeight="1" x14ac:dyDescent="0.8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c r="AA403" s="3"/>
      <c r="AB403" s="3"/>
      <c r="AC403" s="3"/>
      <c r="AD403" s="3"/>
      <c r="AE403" s="3"/>
      <c r="AF403" s="3"/>
    </row>
    <row r="404" spans="1:32" ht="22.5" customHeight="1" x14ac:dyDescent="0.8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c r="AA404" s="3"/>
      <c r="AB404" s="3"/>
      <c r="AC404" s="3"/>
      <c r="AD404" s="3"/>
      <c r="AE404" s="3"/>
      <c r="AF404" s="3"/>
    </row>
    <row r="405" spans="1:32" ht="22.5" customHeight="1" x14ac:dyDescent="0.8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c r="AA405" s="3"/>
      <c r="AB405" s="3"/>
      <c r="AC405" s="3"/>
      <c r="AD405" s="3"/>
      <c r="AE405" s="3"/>
      <c r="AF405" s="3"/>
    </row>
    <row r="406" spans="1:32" ht="22.5" customHeight="1" x14ac:dyDescent="0.8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row>
    <row r="407" spans="1:32" ht="22.5" customHeight="1" x14ac:dyDescent="0.8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row>
    <row r="408" spans="1:32" ht="22.5" customHeight="1" x14ac:dyDescent="0.8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c r="AA408" s="3"/>
      <c r="AB408" s="3"/>
      <c r="AC408" s="3"/>
      <c r="AD408" s="3"/>
      <c r="AE408" s="3"/>
      <c r="AF408" s="3"/>
    </row>
    <row r="409" spans="1:32" ht="22.5" customHeight="1" x14ac:dyDescent="0.8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c r="AA409" s="3"/>
      <c r="AB409" s="3"/>
      <c r="AC409" s="3"/>
      <c r="AD409" s="3"/>
      <c r="AE409" s="3"/>
      <c r="AF409" s="3"/>
    </row>
    <row r="410" spans="1:32" ht="22.5" customHeight="1" x14ac:dyDescent="0.8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c r="AA410" s="3"/>
      <c r="AB410" s="3"/>
      <c r="AC410" s="3"/>
      <c r="AD410" s="3"/>
      <c r="AE410" s="3"/>
      <c r="AF410" s="3"/>
    </row>
    <row r="411" spans="1:32" ht="22.5" customHeight="1" x14ac:dyDescent="0.8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c r="AA411" s="3"/>
      <c r="AB411" s="3"/>
      <c r="AC411" s="3"/>
      <c r="AD411" s="3"/>
      <c r="AE411" s="3"/>
      <c r="AF411" s="3"/>
    </row>
    <row r="412" spans="1:32" ht="22.5" customHeight="1" x14ac:dyDescent="0.8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c r="AA412" s="3"/>
      <c r="AB412" s="3"/>
      <c r="AC412" s="3"/>
      <c r="AD412" s="3"/>
      <c r="AE412" s="3"/>
      <c r="AF412" s="3"/>
    </row>
    <row r="413" spans="1:32" ht="22.5" customHeight="1" x14ac:dyDescent="0.8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c r="AA413" s="3"/>
      <c r="AB413" s="3"/>
      <c r="AC413" s="3"/>
      <c r="AD413" s="3"/>
      <c r="AE413" s="3"/>
      <c r="AF413" s="3"/>
    </row>
    <row r="414" spans="1:32" ht="22.5" customHeight="1" x14ac:dyDescent="0.8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c r="AA414" s="3"/>
      <c r="AB414" s="3"/>
      <c r="AC414" s="3"/>
      <c r="AD414" s="3"/>
      <c r="AE414" s="3"/>
      <c r="AF414" s="3"/>
    </row>
    <row r="415" spans="1:32" ht="22.5" customHeight="1" x14ac:dyDescent="0.8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c r="AA415" s="3"/>
      <c r="AB415" s="3"/>
      <c r="AC415" s="3"/>
      <c r="AD415" s="3"/>
      <c r="AE415" s="3"/>
      <c r="AF415" s="3"/>
    </row>
    <row r="416" spans="1:32" ht="22.5" customHeight="1" x14ac:dyDescent="0.8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c r="AA416" s="3"/>
      <c r="AB416" s="3"/>
      <c r="AC416" s="3"/>
      <c r="AD416" s="3"/>
      <c r="AE416" s="3"/>
      <c r="AF416" s="3"/>
    </row>
    <row r="417" spans="1:32" ht="22.5" customHeight="1" x14ac:dyDescent="0.8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row>
    <row r="418" spans="1:32" ht="22.5" customHeight="1" x14ac:dyDescent="0.8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row>
    <row r="419" spans="1:32" ht="22.5" customHeight="1" x14ac:dyDescent="0.8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row>
    <row r="420" spans="1:32" ht="22.5" customHeight="1" x14ac:dyDescent="0.8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row>
    <row r="421" spans="1:32" ht="22.5" customHeight="1" x14ac:dyDescent="0.8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c r="AA421" s="3"/>
      <c r="AB421" s="3"/>
      <c r="AC421" s="3"/>
      <c r="AD421" s="3"/>
      <c r="AE421" s="3"/>
      <c r="AF421" s="3"/>
    </row>
    <row r="422" spans="1:32" ht="22.5" customHeight="1" x14ac:dyDescent="0.8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c r="AA422" s="3"/>
      <c r="AB422" s="3"/>
      <c r="AC422" s="3"/>
      <c r="AD422" s="3"/>
      <c r="AE422" s="3"/>
      <c r="AF422" s="3"/>
    </row>
    <row r="423" spans="1:32" ht="22.5" customHeight="1" x14ac:dyDescent="0.8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c r="AA423" s="3"/>
      <c r="AB423" s="3"/>
      <c r="AC423" s="3"/>
      <c r="AD423" s="3"/>
      <c r="AE423" s="3"/>
      <c r="AF423" s="3"/>
    </row>
    <row r="424" spans="1:32" ht="22.5" customHeight="1" x14ac:dyDescent="0.8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c r="AA424" s="3"/>
      <c r="AB424" s="3"/>
      <c r="AC424" s="3"/>
      <c r="AD424" s="3"/>
      <c r="AE424" s="3"/>
      <c r="AF424" s="3"/>
    </row>
    <row r="425" spans="1:32" ht="22.5" customHeight="1" x14ac:dyDescent="0.8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row>
    <row r="426" spans="1:32" ht="22.5" customHeight="1" x14ac:dyDescent="0.8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c r="AA426" s="3"/>
      <c r="AB426" s="3"/>
      <c r="AC426" s="3"/>
      <c r="AD426" s="3"/>
      <c r="AE426" s="3"/>
      <c r="AF426" s="3"/>
    </row>
    <row r="427" spans="1:32" ht="22.5" customHeight="1" x14ac:dyDescent="0.8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c r="AA427" s="3"/>
      <c r="AB427" s="3"/>
      <c r="AC427" s="3"/>
      <c r="AD427" s="3"/>
      <c r="AE427" s="3"/>
      <c r="AF427" s="3"/>
    </row>
    <row r="428" spans="1:32" ht="22.5" customHeight="1" x14ac:dyDescent="0.8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c r="AA428" s="3"/>
      <c r="AB428" s="3"/>
      <c r="AC428" s="3"/>
      <c r="AD428" s="3"/>
      <c r="AE428" s="3"/>
      <c r="AF428" s="3"/>
    </row>
    <row r="429" spans="1:32" ht="22.5" customHeight="1" x14ac:dyDescent="0.8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c r="AA429" s="3"/>
      <c r="AB429" s="3"/>
      <c r="AC429" s="3"/>
      <c r="AD429" s="3"/>
      <c r="AE429" s="3"/>
      <c r="AF429" s="3"/>
    </row>
    <row r="430" spans="1:32" ht="22.5" customHeight="1" x14ac:dyDescent="0.8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row>
    <row r="431" spans="1:32" ht="22.5" customHeight="1" x14ac:dyDescent="0.8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row>
    <row r="432" spans="1:32" ht="22.5" customHeight="1" x14ac:dyDescent="0.8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row>
    <row r="433" spans="1:32" ht="22.5" customHeight="1" x14ac:dyDescent="0.8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row>
    <row r="434" spans="1:32" ht="22.5" customHeight="1" x14ac:dyDescent="0.8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row>
    <row r="435" spans="1:32" ht="22.5" customHeight="1" x14ac:dyDescent="0.8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row>
    <row r="436" spans="1:32" ht="22.5" customHeight="1" x14ac:dyDescent="0.8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c r="AF436" s="3"/>
    </row>
    <row r="437" spans="1:32" ht="22.5" customHeight="1" x14ac:dyDescent="0.8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c r="AA437" s="3"/>
      <c r="AB437" s="3"/>
      <c r="AC437" s="3"/>
      <c r="AD437" s="3"/>
      <c r="AE437" s="3"/>
      <c r="AF437" s="3"/>
    </row>
    <row r="438" spans="1:32" ht="22.5" customHeight="1" x14ac:dyDescent="0.8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c r="AA438" s="3"/>
      <c r="AB438" s="3"/>
      <c r="AC438" s="3"/>
      <c r="AD438" s="3"/>
      <c r="AE438" s="3"/>
      <c r="AF438" s="3"/>
    </row>
    <row r="439" spans="1:32" ht="22.5" customHeight="1" x14ac:dyDescent="0.8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c r="AA439" s="3"/>
      <c r="AB439" s="3"/>
      <c r="AC439" s="3"/>
      <c r="AD439" s="3"/>
      <c r="AE439" s="3"/>
      <c r="AF439" s="3"/>
    </row>
    <row r="440" spans="1:32" ht="22.5" customHeight="1" x14ac:dyDescent="0.8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c r="AA440" s="3"/>
      <c r="AB440" s="3"/>
      <c r="AC440" s="3"/>
      <c r="AD440" s="3"/>
      <c r="AE440" s="3"/>
      <c r="AF440" s="3"/>
    </row>
    <row r="441" spans="1:32" ht="22.5" customHeight="1" x14ac:dyDescent="0.8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row>
    <row r="442" spans="1:32" ht="22.5" customHeight="1" x14ac:dyDescent="0.8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row>
    <row r="443" spans="1:32" ht="22.5" customHeight="1" x14ac:dyDescent="0.8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c r="AF443" s="3"/>
    </row>
    <row r="444" spans="1:32" ht="22.5" customHeight="1" x14ac:dyDescent="0.8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row>
    <row r="445" spans="1:32" ht="22.5" customHeight="1" x14ac:dyDescent="0.8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row>
    <row r="446" spans="1:32" ht="22.5" customHeight="1" x14ac:dyDescent="0.8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row>
    <row r="447" spans="1:32" ht="22.5" customHeight="1" x14ac:dyDescent="0.8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row>
    <row r="448" spans="1:32" ht="22.5" customHeight="1" x14ac:dyDescent="0.8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c r="AA448" s="3"/>
      <c r="AB448" s="3"/>
      <c r="AC448" s="3"/>
      <c r="AD448" s="3"/>
      <c r="AE448" s="3"/>
      <c r="AF448" s="3"/>
    </row>
    <row r="449" spans="1:32" ht="22.5" customHeight="1" x14ac:dyDescent="0.8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c r="AA449" s="3"/>
      <c r="AB449" s="3"/>
      <c r="AC449" s="3"/>
      <c r="AD449" s="3"/>
      <c r="AE449" s="3"/>
      <c r="AF449" s="3"/>
    </row>
    <row r="450" spans="1:32" ht="22.5" customHeight="1" x14ac:dyDescent="0.8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c r="AA450" s="3"/>
      <c r="AB450" s="3"/>
      <c r="AC450" s="3"/>
      <c r="AD450" s="3"/>
      <c r="AE450" s="3"/>
      <c r="AF450" s="3"/>
    </row>
    <row r="451" spans="1:32" ht="22.5" customHeight="1" x14ac:dyDescent="0.8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c r="AA451" s="3"/>
      <c r="AB451" s="3"/>
      <c r="AC451" s="3"/>
      <c r="AD451" s="3"/>
      <c r="AE451" s="3"/>
      <c r="AF451" s="3"/>
    </row>
    <row r="452" spans="1:32" ht="22.5" customHeight="1" x14ac:dyDescent="0.8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row>
    <row r="453" spans="1:32" ht="22.5" customHeight="1" x14ac:dyDescent="0.8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row>
    <row r="454" spans="1:32" ht="22.5" customHeight="1" x14ac:dyDescent="0.8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row>
    <row r="455" spans="1:32" ht="22.5" customHeight="1" x14ac:dyDescent="0.8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c r="AA455" s="3"/>
      <c r="AB455" s="3"/>
      <c r="AC455" s="3"/>
      <c r="AD455" s="3"/>
      <c r="AE455" s="3"/>
      <c r="AF455" s="3"/>
    </row>
    <row r="456" spans="1:32" ht="22.5" customHeight="1" x14ac:dyDescent="0.8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c r="AA456" s="3"/>
      <c r="AB456" s="3"/>
      <c r="AC456" s="3"/>
      <c r="AD456" s="3"/>
      <c r="AE456" s="3"/>
      <c r="AF456" s="3"/>
    </row>
    <row r="457" spans="1:32" ht="22.5" customHeight="1" x14ac:dyDescent="0.8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row>
    <row r="458" spans="1:32" ht="22.5" customHeight="1" x14ac:dyDescent="0.8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row>
    <row r="459" spans="1:32" ht="22.5" customHeight="1" x14ac:dyDescent="0.8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row>
    <row r="460" spans="1:32" ht="22.5" customHeight="1" x14ac:dyDescent="0.8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c r="AA460" s="3"/>
      <c r="AB460" s="3"/>
      <c r="AC460" s="3"/>
      <c r="AD460" s="3"/>
      <c r="AE460" s="3"/>
      <c r="AF460" s="3"/>
    </row>
    <row r="461" spans="1:32" ht="22.5" customHeight="1" x14ac:dyDescent="0.8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c r="AA461" s="3"/>
      <c r="AB461" s="3"/>
      <c r="AC461" s="3"/>
      <c r="AD461" s="3"/>
      <c r="AE461" s="3"/>
      <c r="AF461" s="3"/>
    </row>
    <row r="462" spans="1:32" ht="22.5" customHeight="1" x14ac:dyDescent="0.8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row>
    <row r="463" spans="1:32" ht="22.5" customHeight="1" x14ac:dyDescent="0.8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row>
    <row r="464" spans="1:32" ht="22.5" customHeight="1" x14ac:dyDescent="0.8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c r="AA464" s="3"/>
      <c r="AB464" s="3"/>
      <c r="AC464" s="3"/>
      <c r="AD464" s="3"/>
      <c r="AE464" s="3"/>
      <c r="AF464" s="3"/>
    </row>
    <row r="465" spans="1:32" ht="22.5" customHeight="1" x14ac:dyDescent="0.8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c r="AA465" s="3"/>
      <c r="AB465" s="3"/>
      <c r="AC465" s="3"/>
      <c r="AD465" s="3"/>
      <c r="AE465" s="3"/>
      <c r="AF465" s="3"/>
    </row>
    <row r="466" spans="1:32" ht="22.5" customHeight="1" x14ac:dyDescent="0.8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c r="AA466" s="3"/>
      <c r="AB466" s="3"/>
      <c r="AC466" s="3"/>
      <c r="AD466" s="3"/>
      <c r="AE466" s="3"/>
      <c r="AF466" s="3"/>
    </row>
    <row r="467" spans="1:32" ht="22.5" customHeight="1" x14ac:dyDescent="0.8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row>
    <row r="468" spans="1:32" ht="22.5" customHeight="1" x14ac:dyDescent="0.8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c r="AA468" s="3"/>
      <c r="AB468" s="3"/>
      <c r="AC468" s="3"/>
      <c r="AD468" s="3"/>
      <c r="AE468" s="3"/>
      <c r="AF468" s="3"/>
    </row>
    <row r="469" spans="1:32" ht="22.5" customHeight="1" x14ac:dyDescent="0.8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c r="AA469" s="3"/>
      <c r="AB469" s="3"/>
      <c r="AC469" s="3"/>
      <c r="AD469" s="3"/>
      <c r="AE469" s="3"/>
      <c r="AF469" s="3"/>
    </row>
    <row r="470" spans="1:32" ht="22.5" customHeight="1" x14ac:dyDescent="0.8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row>
    <row r="471" spans="1:32" ht="22.5" customHeight="1" x14ac:dyDescent="0.8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row>
    <row r="472" spans="1:32" ht="22.5" customHeight="1" x14ac:dyDescent="0.8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row>
    <row r="473" spans="1:32" ht="22.5" customHeight="1" x14ac:dyDescent="0.8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row>
    <row r="474" spans="1:32" ht="22.5" customHeight="1" x14ac:dyDescent="0.8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c r="AA474" s="3"/>
      <c r="AB474" s="3"/>
      <c r="AC474" s="3"/>
      <c r="AD474" s="3"/>
      <c r="AE474" s="3"/>
      <c r="AF474" s="3"/>
    </row>
    <row r="475" spans="1:32" ht="22.5" customHeight="1" x14ac:dyDescent="0.8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c r="AA475" s="3"/>
      <c r="AB475" s="3"/>
      <c r="AC475" s="3"/>
      <c r="AD475" s="3"/>
      <c r="AE475" s="3"/>
      <c r="AF475" s="3"/>
    </row>
    <row r="476" spans="1:32" ht="22.5" customHeight="1" x14ac:dyDescent="0.8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c r="AA476" s="3"/>
      <c r="AB476" s="3"/>
      <c r="AC476" s="3"/>
      <c r="AD476" s="3"/>
      <c r="AE476" s="3"/>
      <c r="AF476" s="3"/>
    </row>
    <row r="477" spans="1:32" ht="22.5" customHeight="1" x14ac:dyDescent="0.8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c r="AA477" s="3"/>
      <c r="AB477" s="3"/>
      <c r="AC477" s="3"/>
      <c r="AD477" s="3"/>
      <c r="AE477" s="3"/>
      <c r="AF477" s="3"/>
    </row>
    <row r="478" spans="1:32" ht="22.5" customHeight="1" x14ac:dyDescent="0.8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c r="AA478" s="3"/>
      <c r="AB478" s="3"/>
      <c r="AC478" s="3"/>
      <c r="AD478" s="3"/>
      <c r="AE478" s="3"/>
      <c r="AF478" s="3"/>
    </row>
    <row r="479" spans="1:32" ht="22.5" customHeight="1" x14ac:dyDescent="0.8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c r="AA479" s="3"/>
      <c r="AB479" s="3"/>
      <c r="AC479" s="3"/>
      <c r="AD479" s="3"/>
      <c r="AE479" s="3"/>
      <c r="AF479" s="3"/>
    </row>
    <row r="480" spans="1:32" ht="22.5" customHeight="1" x14ac:dyDescent="0.8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row>
    <row r="481" spans="1:32" ht="22.5" customHeight="1" x14ac:dyDescent="0.8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row>
    <row r="482" spans="1:32" ht="22.5" customHeight="1" x14ac:dyDescent="0.8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row>
    <row r="483" spans="1:32" ht="22.5" customHeight="1" x14ac:dyDescent="0.8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row>
    <row r="484" spans="1:32" ht="22.5" customHeight="1" x14ac:dyDescent="0.8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c r="AF484" s="3"/>
    </row>
    <row r="485" spans="1:32" ht="22.5" customHeight="1" x14ac:dyDescent="0.8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c r="AF485" s="3"/>
    </row>
    <row r="486" spans="1:32" ht="22.5" customHeight="1" x14ac:dyDescent="0.8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
      <c r="AF486" s="3"/>
    </row>
    <row r="487" spans="1:32" ht="22.5" customHeight="1" x14ac:dyDescent="0.8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row>
    <row r="488" spans="1:32" ht="22.5" customHeight="1" x14ac:dyDescent="0.8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row>
    <row r="489" spans="1:32" ht="22.5" customHeight="1" x14ac:dyDescent="0.8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row>
    <row r="490" spans="1:32" ht="22.5" customHeight="1" x14ac:dyDescent="0.8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row>
    <row r="491" spans="1:32" ht="22.5" customHeight="1" x14ac:dyDescent="0.8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row>
    <row r="492" spans="1:32" ht="22.5" customHeight="1" x14ac:dyDescent="0.8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c r="AA492" s="3"/>
      <c r="AB492" s="3"/>
      <c r="AC492" s="3"/>
      <c r="AD492" s="3"/>
      <c r="AE492" s="3"/>
      <c r="AF492" s="3"/>
    </row>
    <row r="493" spans="1:32" ht="22.5" customHeight="1" x14ac:dyDescent="0.8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c r="AF493" s="3"/>
    </row>
    <row r="494" spans="1:32" ht="22.5" customHeight="1" x14ac:dyDescent="0.8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c r="AA494" s="3"/>
      <c r="AB494" s="3"/>
      <c r="AC494" s="3"/>
      <c r="AD494" s="3"/>
      <c r="AE494" s="3"/>
      <c r="AF494" s="3"/>
    </row>
    <row r="495" spans="1:32" ht="22.5" customHeight="1" x14ac:dyDescent="0.8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c r="AA495" s="3"/>
      <c r="AB495" s="3"/>
      <c r="AC495" s="3"/>
      <c r="AD495" s="3"/>
      <c r="AE495" s="3"/>
      <c r="AF495" s="3"/>
    </row>
    <row r="496" spans="1:32" ht="22.5" customHeight="1" x14ac:dyDescent="0.8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c r="AA496" s="3"/>
      <c r="AB496" s="3"/>
      <c r="AC496" s="3"/>
      <c r="AD496" s="3"/>
      <c r="AE496" s="3"/>
      <c r="AF496" s="3"/>
    </row>
    <row r="497" spans="1:32" ht="22.5" customHeight="1" x14ac:dyDescent="0.8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c r="AA497" s="3"/>
      <c r="AB497" s="3"/>
      <c r="AC497" s="3"/>
      <c r="AD497" s="3"/>
      <c r="AE497" s="3"/>
      <c r="AF497" s="3"/>
    </row>
    <row r="498" spans="1:32" ht="22.5" customHeight="1" x14ac:dyDescent="0.8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c r="AA498" s="3"/>
      <c r="AB498" s="3"/>
      <c r="AC498" s="3"/>
      <c r="AD498" s="3"/>
      <c r="AE498" s="3"/>
      <c r="AF498" s="3"/>
    </row>
    <row r="499" spans="1:32" ht="22.5" customHeight="1" x14ac:dyDescent="0.8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c r="AA499" s="3"/>
      <c r="AB499" s="3"/>
      <c r="AC499" s="3"/>
      <c r="AD499" s="3"/>
      <c r="AE499" s="3"/>
      <c r="AF499" s="3"/>
    </row>
    <row r="500" spans="1:32" ht="22.5" customHeight="1" x14ac:dyDescent="0.8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c r="AA500" s="3"/>
      <c r="AB500" s="3"/>
      <c r="AC500" s="3"/>
      <c r="AD500" s="3"/>
      <c r="AE500" s="3"/>
      <c r="AF500" s="3"/>
    </row>
    <row r="501" spans="1:32" ht="22.5" customHeight="1" x14ac:dyDescent="0.8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c r="AF501" s="3"/>
    </row>
    <row r="502" spans="1:32" ht="22.5" customHeight="1" x14ac:dyDescent="0.8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c r="AA502" s="3"/>
      <c r="AB502" s="3"/>
      <c r="AC502" s="3"/>
      <c r="AD502" s="3"/>
      <c r="AE502" s="3"/>
      <c r="AF502" s="3"/>
    </row>
    <row r="503" spans="1:32" ht="22.5" customHeight="1" x14ac:dyDescent="0.8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c r="AA503" s="3"/>
      <c r="AB503" s="3"/>
      <c r="AC503" s="3"/>
      <c r="AD503" s="3"/>
      <c r="AE503" s="3"/>
      <c r="AF503" s="3"/>
    </row>
    <row r="504" spans="1:32" ht="22.5" customHeight="1" x14ac:dyDescent="0.8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c r="AA504" s="3"/>
      <c r="AB504" s="3"/>
      <c r="AC504" s="3"/>
      <c r="AD504" s="3"/>
      <c r="AE504" s="3"/>
      <c r="AF504" s="3"/>
    </row>
    <row r="505" spans="1:32" ht="22.5" customHeight="1" x14ac:dyDescent="0.8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c r="AA505" s="3"/>
      <c r="AB505" s="3"/>
      <c r="AC505" s="3"/>
      <c r="AD505" s="3"/>
      <c r="AE505" s="3"/>
      <c r="AF505" s="3"/>
    </row>
    <row r="506" spans="1:32" ht="22.5" customHeight="1" x14ac:dyDescent="0.8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c r="AA506" s="3"/>
      <c r="AB506" s="3"/>
      <c r="AC506" s="3"/>
      <c r="AD506" s="3"/>
      <c r="AE506" s="3"/>
      <c r="AF506" s="3"/>
    </row>
    <row r="507" spans="1:32" ht="22.5" customHeight="1" x14ac:dyDescent="0.8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c r="AA507" s="3"/>
      <c r="AB507" s="3"/>
      <c r="AC507" s="3"/>
      <c r="AD507" s="3"/>
      <c r="AE507" s="3"/>
      <c r="AF507" s="3"/>
    </row>
    <row r="508" spans="1:32" ht="22.5" customHeight="1" x14ac:dyDescent="0.8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c r="AA508" s="3"/>
      <c r="AB508" s="3"/>
      <c r="AC508" s="3"/>
      <c r="AD508" s="3"/>
      <c r="AE508" s="3"/>
      <c r="AF508" s="3"/>
    </row>
    <row r="509" spans="1:32" ht="22.5" customHeight="1" x14ac:dyDescent="0.8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c r="AA509" s="3"/>
      <c r="AB509" s="3"/>
      <c r="AC509" s="3"/>
      <c r="AD509" s="3"/>
      <c r="AE509" s="3"/>
      <c r="AF509" s="3"/>
    </row>
    <row r="510" spans="1:32" ht="22.5" customHeight="1" x14ac:dyDescent="0.8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c r="AF510" s="3"/>
    </row>
    <row r="511" spans="1:32" ht="22.5" customHeight="1" x14ac:dyDescent="0.8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c r="AA511" s="3"/>
      <c r="AB511" s="3"/>
      <c r="AC511" s="3"/>
      <c r="AD511" s="3"/>
      <c r="AE511" s="3"/>
      <c r="AF511" s="3"/>
    </row>
    <row r="512" spans="1:32" ht="22.5" customHeight="1" x14ac:dyDescent="0.8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c r="AA512" s="3"/>
      <c r="AB512" s="3"/>
      <c r="AC512" s="3"/>
      <c r="AD512" s="3"/>
      <c r="AE512" s="3"/>
      <c r="AF512" s="3"/>
    </row>
    <row r="513" spans="1:32" ht="22.5" customHeight="1" x14ac:dyDescent="0.8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c r="AA513" s="3"/>
      <c r="AB513" s="3"/>
      <c r="AC513" s="3"/>
      <c r="AD513" s="3"/>
      <c r="AE513" s="3"/>
      <c r="AF513" s="3"/>
    </row>
    <row r="514" spans="1:32" ht="22.5" customHeight="1" x14ac:dyDescent="0.8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c r="AA514" s="3"/>
      <c r="AB514" s="3"/>
      <c r="AC514" s="3"/>
      <c r="AD514" s="3"/>
      <c r="AE514" s="3"/>
      <c r="AF514" s="3"/>
    </row>
    <row r="515" spans="1:32" ht="22.5" customHeight="1" x14ac:dyDescent="0.8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c r="AA515" s="3"/>
      <c r="AB515" s="3"/>
      <c r="AC515" s="3"/>
      <c r="AD515" s="3"/>
      <c r="AE515" s="3"/>
      <c r="AF515" s="3"/>
    </row>
    <row r="516" spans="1:32" ht="22.5" customHeight="1" x14ac:dyDescent="0.8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c r="AA516" s="3"/>
      <c r="AB516" s="3"/>
      <c r="AC516" s="3"/>
      <c r="AD516" s="3"/>
      <c r="AE516" s="3"/>
      <c r="AF516" s="3"/>
    </row>
    <row r="517" spans="1:32" ht="22.5" customHeight="1" x14ac:dyDescent="0.8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c r="AA517" s="3"/>
      <c r="AB517" s="3"/>
      <c r="AC517" s="3"/>
      <c r="AD517" s="3"/>
      <c r="AE517" s="3"/>
      <c r="AF517" s="3"/>
    </row>
    <row r="518" spans="1:32" ht="22.5" customHeight="1" x14ac:dyDescent="0.8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c r="AA518" s="3"/>
      <c r="AB518" s="3"/>
      <c r="AC518" s="3"/>
      <c r="AD518" s="3"/>
      <c r="AE518" s="3"/>
      <c r="AF518" s="3"/>
    </row>
    <row r="519" spans="1:32" ht="22.5" customHeight="1" x14ac:dyDescent="0.8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c r="AA519" s="3"/>
      <c r="AB519" s="3"/>
      <c r="AC519" s="3"/>
      <c r="AD519" s="3"/>
      <c r="AE519" s="3"/>
      <c r="AF519" s="3"/>
    </row>
    <row r="520" spans="1:32" ht="22.5" customHeight="1" x14ac:dyDescent="0.8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c r="AA520" s="3"/>
      <c r="AB520" s="3"/>
      <c r="AC520" s="3"/>
      <c r="AD520" s="3"/>
      <c r="AE520" s="3"/>
      <c r="AF520" s="3"/>
    </row>
    <row r="521" spans="1:32" ht="22.5" customHeight="1" x14ac:dyDescent="0.8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c r="AA521" s="3"/>
      <c r="AB521" s="3"/>
      <c r="AC521" s="3"/>
      <c r="AD521" s="3"/>
      <c r="AE521" s="3"/>
      <c r="AF521" s="3"/>
    </row>
    <row r="522" spans="1:32" ht="22.5" customHeight="1" x14ac:dyDescent="0.8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c r="AF522" s="3"/>
    </row>
    <row r="523" spans="1:32" ht="22.5" customHeight="1" x14ac:dyDescent="0.8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c r="AA523" s="3"/>
      <c r="AB523" s="3"/>
      <c r="AC523" s="3"/>
      <c r="AD523" s="3"/>
      <c r="AE523" s="3"/>
      <c r="AF523" s="3"/>
    </row>
    <row r="524" spans="1:32" ht="22.5" customHeight="1" x14ac:dyDescent="0.8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c r="AA524" s="3"/>
      <c r="AB524" s="3"/>
      <c r="AC524" s="3"/>
      <c r="AD524" s="3"/>
      <c r="AE524" s="3"/>
      <c r="AF524" s="3"/>
    </row>
    <row r="525" spans="1:32" ht="22.5" customHeight="1" x14ac:dyDescent="0.8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c r="AA525" s="3"/>
      <c r="AB525" s="3"/>
      <c r="AC525" s="3"/>
      <c r="AD525" s="3"/>
      <c r="AE525" s="3"/>
      <c r="AF525" s="3"/>
    </row>
    <row r="526" spans="1:32" ht="22.5" customHeight="1" x14ac:dyDescent="0.8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c r="AA526" s="3"/>
      <c r="AB526" s="3"/>
      <c r="AC526" s="3"/>
      <c r="AD526" s="3"/>
      <c r="AE526" s="3"/>
      <c r="AF526" s="3"/>
    </row>
    <row r="527" spans="1:32" ht="22.5" customHeight="1" x14ac:dyDescent="0.8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c r="AA527" s="3"/>
      <c r="AB527" s="3"/>
      <c r="AC527" s="3"/>
      <c r="AD527" s="3"/>
      <c r="AE527" s="3"/>
      <c r="AF527" s="3"/>
    </row>
    <row r="528" spans="1:32" ht="22.5" customHeight="1" x14ac:dyDescent="0.8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c r="AA528" s="3"/>
      <c r="AB528" s="3"/>
      <c r="AC528" s="3"/>
      <c r="AD528" s="3"/>
      <c r="AE528" s="3"/>
      <c r="AF528" s="3"/>
    </row>
    <row r="529" spans="1:32" ht="22.5" customHeight="1" x14ac:dyDescent="0.8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c r="AA529" s="3"/>
      <c r="AB529" s="3"/>
      <c r="AC529" s="3"/>
      <c r="AD529" s="3"/>
      <c r="AE529" s="3"/>
      <c r="AF529" s="3"/>
    </row>
    <row r="530" spans="1:32" ht="22.5" customHeight="1" x14ac:dyDescent="0.8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c r="AA530" s="3"/>
      <c r="AB530" s="3"/>
      <c r="AC530" s="3"/>
      <c r="AD530" s="3"/>
      <c r="AE530" s="3"/>
      <c r="AF530" s="3"/>
    </row>
    <row r="531" spans="1:32" ht="22.5" customHeight="1" x14ac:dyDescent="0.8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c r="AA531" s="3"/>
      <c r="AB531" s="3"/>
      <c r="AC531" s="3"/>
      <c r="AD531" s="3"/>
      <c r="AE531" s="3"/>
      <c r="AF531" s="3"/>
    </row>
    <row r="532" spans="1:32" ht="22.5" customHeight="1" x14ac:dyDescent="0.8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c r="AA532" s="3"/>
      <c r="AB532" s="3"/>
      <c r="AC532" s="3"/>
      <c r="AD532" s="3"/>
      <c r="AE532" s="3"/>
      <c r="AF532" s="3"/>
    </row>
    <row r="533" spans="1:32" ht="22.5" customHeight="1" x14ac:dyDescent="0.8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c r="AA533" s="3"/>
      <c r="AB533" s="3"/>
      <c r="AC533" s="3"/>
      <c r="AD533" s="3"/>
      <c r="AE533" s="3"/>
      <c r="AF533" s="3"/>
    </row>
    <row r="534" spans="1:32" ht="22.5" customHeight="1" x14ac:dyDescent="0.8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c r="AA534" s="3"/>
      <c r="AB534" s="3"/>
      <c r="AC534" s="3"/>
      <c r="AD534" s="3"/>
      <c r="AE534" s="3"/>
      <c r="AF534" s="3"/>
    </row>
    <row r="535" spans="1:32" ht="22.5" customHeight="1" x14ac:dyDescent="0.8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c r="AA535" s="3"/>
      <c r="AB535" s="3"/>
      <c r="AC535" s="3"/>
      <c r="AD535" s="3"/>
      <c r="AE535" s="3"/>
      <c r="AF535" s="3"/>
    </row>
    <row r="536" spans="1:32" ht="22.5" customHeight="1" x14ac:dyDescent="0.8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c r="AF536" s="3"/>
    </row>
    <row r="537" spans="1:32" ht="22.5" customHeight="1" x14ac:dyDescent="0.8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c r="AA537" s="3"/>
      <c r="AB537" s="3"/>
      <c r="AC537" s="3"/>
      <c r="AD537" s="3"/>
      <c r="AE537" s="3"/>
      <c r="AF537" s="3"/>
    </row>
    <row r="538" spans="1:32" ht="22.5" customHeight="1" x14ac:dyDescent="0.8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c r="AA538" s="3"/>
      <c r="AB538" s="3"/>
      <c r="AC538" s="3"/>
      <c r="AD538" s="3"/>
      <c r="AE538" s="3"/>
      <c r="AF538" s="3"/>
    </row>
    <row r="539" spans="1:32" ht="22.5" customHeight="1" x14ac:dyDescent="0.8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c r="AA539" s="3"/>
      <c r="AB539" s="3"/>
      <c r="AC539" s="3"/>
      <c r="AD539" s="3"/>
      <c r="AE539" s="3"/>
      <c r="AF539" s="3"/>
    </row>
    <row r="540" spans="1:32" ht="22.5" customHeight="1" x14ac:dyDescent="0.8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c r="AA540" s="3"/>
      <c r="AB540" s="3"/>
      <c r="AC540" s="3"/>
      <c r="AD540" s="3"/>
      <c r="AE540" s="3"/>
      <c r="AF540" s="3"/>
    </row>
    <row r="541" spans="1:32" ht="22.5" customHeight="1" x14ac:dyDescent="0.8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c r="AA541" s="3"/>
      <c r="AB541" s="3"/>
      <c r="AC541" s="3"/>
      <c r="AD541" s="3"/>
      <c r="AE541" s="3"/>
      <c r="AF541" s="3"/>
    </row>
    <row r="542" spans="1:32" ht="22.5" customHeight="1" x14ac:dyDescent="0.8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c r="AA542" s="3"/>
      <c r="AB542" s="3"/>
      <c r="AC542" s="3"/>
      <c r="AD542" s="3"/>
      <c r="AE542" s="3"/>
      <c r="AF542" s="3"/>
    </row>
    <row r="543" spans="1:32" ht="22.5" customHeight="1" x14ac:dyDescent="0.8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c r="AF543" s="3"/>
    </row>
    <row r="544" spans="1:32" ht="22.5" customHeight="1" x14ac:dyDescent="0.8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c r="AA544" s="3"/>
      <c r="AB544" s="3"/>
      <c r="AC544" s="3"/>
      <c r="AD544" s="3"/>
      <c r="AE544" s="3"/>
      <c r="AF544" s="3"/>
    </row>
    <row r="545" spans="1:32" ht="22.5" customHeight="1" x14ac:dyDescent="0.8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c r="AA545" s="3"/>
      <c r="AB545" s="3"/>
      <c r="AC545" s="3"/>
      <c r="AD545" s="3"/>
      <c r="AE545" s="3"/>
      <c r="AF545" s="3"/>
    </row>
    <row r="546" spans="1:32" ht="22.5" customHeight="1" x14ac:dyDescent="0.8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c r="AF546" s="3"/>
    </row>
    <row r="547" spans="1:32" ht="22.5" customHeight="1" x14ac:dyDescent="0.8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c r="AA547" s="3"/>
      <c r="AB547" s="3"/>
      <c r="AC547" s="3"/>
      <c r="AD547" s="3"/>
      <c r="AE547" s="3"/>
      <c r="AF547" s="3"/>
    </row>
    <row r="548" spans="1:32" ht="22.5" customHeight="1" x14ac:dyDescent="0.8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c r="AA548" s="3"/>
      <c r="AB548" s="3"/>
      <c r="AC548" s="3"/>
      <c r="AD548" s="3"/>
      <c r="AE548" s="3"/>
      <c r="AF548" s="3"/>
    </row>
    <row r="549" spans="1:32" ht="22.5" customHeight="1" x14ac:dyDescent="0.8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c r="AA549" s="3"/>
      <c r="AB549" s="3"/>
      <c r="AC549" s="3"/>
      <c r="AD549" s="3"/>
      <c r="AE549" s="3"/>
      <c r="AF549" s="3"/>
    </row>
    <row r="550" spans="1:32" ht="22.5" customHeight="1" x14ac:dyDescent="0.8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c r="AA550" s="3"/>
      <c r="AB550" s="3"/>
      <c r="AC550" s="3"/>
      <c r="AD550" s="3"/>
      <c r="AE550" s="3"/>
      <c r="AF550" s="3"/>
    </row>
    <row r="551" spans="1:32" ht="22.5" customHeight="1" x14ac:dyDescent="0.8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c r="AA551" s="3"/>
      <c r="AB551" s="3"/>
      <c r="AC551" s="3"/>
      <c r="AD551" s="3"/>
      <c r="AE551" s="3"/>
      <c r="AF551" s="3"/>
    </row>
    <row r="552" spans="1:32" ht="22.5" customHeight="1" x14ac:dyDescent="0.8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c r="AA552" s="3"/>
      <c r="AB552" s="3"/>
      <c r="AC552" s="3"/>
      <c r="AD552" s="3"/>
      <c r="AE552" s="3"/>
      <c r="AF552" s="3"/>
    </row>
    <row r="553" spans="1:32" ht="22.5" customHeight="1" x14ac:dyDescent="0.8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c r="AA553" s="3"/>
      <c r="AB553" s="3"/>
      <c r="AC553" s="3"/>
      <c r="AD553" s="3"/>
      <c r="AE553" s="3"/>
      <c r="AF553" s="3"/>
    </row>
    <row r="554" spans="1:32" ht="22.5" customHeight="1" x14ac:dyDescent="0.8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c r="AA554" s="3"/>
      <c r="AB554" s="3"/>
      <c r="AC554" s="3"/>
      <c r="AD554" s="3"/>
      <c r="AE554" s="3"/>
      <c r="AF554" s="3"/>
    </row>
    <row r="555" spans="1:32" ht="22.5" customHeight="1" x14ac:dyDescent="0.8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c r="AA555" s="3"/>
      <c r="AB555" s="3"/>
      <c r="AC555" s="3"/>
      <c r="AD555" s="3"/>
      <c r="AE555" s="3"/>
      <c r="AF555" s="3"/>
    </row>
    <row r="556" spans="1:32" ht="22.5" customHeight="1" x14ac:dyDescent="0.8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c r="AA556" s="3"/>
      <c r="AB556" s="3"/>
      <c r="AC556" s="3"/>
      <c r="AD556" s="3"/>
      <c r="AE556" s="3"/>
      <c r="AF556" s="3"/>
    </row>
    <row r="557" spans="1:32" ht="22.5" customHeight="1" x14ac:dyDescent="0.8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c r="AA557" s="3"/>
      <c r="AB557" s="3"/>
      <c r="AC557" s="3"/>
      <c r="AD557" s="3"/>
      <c r="AE557" s="3"/>
      <c r="AF557" s="3"/>
    </row>
    <row r="558" spans="1:32" ht="22.5" customHeight="1" x14ac:dyDescent="0.8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c r="AA558" s="3"/>
      <c r="AB558" s="3"/>
      <c r="AC558" s="3"/>
      <c r="AD558" s="3"/>
      <c r="AE558" s="3"/>
      <c r="AF558" s="3"/>
    </row>
    <row r="559" spans="1:32" ht="22.5" customHeight="1" x14ac:dyDescent="0.8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c r="AA559" s="3"/>
      <c r="AB559" s="3"/>
      <c r="AC559" s="3"/>
      <c r="AD559" s="3"/>
      <c r="AE559" s="3"/>
      <c r="AF559" s="3"/>
    </row>
    <row r="560" spans="1:32" ht="22.5" customHeight="1" x14ac:dyDescent="0.8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c r="AA560" s="3"/>
      <c r="AB560" s="3"/>
      <c r="AC560" s="3"/>
      <c r="AD560" s="3"/>
      <c r="AE560" s="3"/>
      <c r="AF560" s="3"/>
    </row>
    <row r="561" spans="1:32" ht="22.5" customHeight="1" x14ac:dyDescent="0.8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c r="AA561" s="3"/>
      <c r="AB561" s="3"/>
      <c r="AC561" s="3"/>
      <c r="AD561" s="3"/>
      <c r="AE561" s="3"/>
      <c r="AF561" s="3"/>
    </row>
    <row r="562" spans="1:32" ht="22.5" customHeight="1" x14ac:dyDescent="0.8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c r="AA562" s="3"/>
      <c r="AB562" s="3"/>
      <c r="AC562" s="3"/>
      <c r="AD562" s="3"/>
      <c r="AE562" s="3"/>
      <c r="AF562" s="3"/>
    </row>
    <row r="563" spans="1:32" ht="22.5" customHeight="1" x14ac:dyDescent="0.8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c r="AA563" s="3"/>
      <c r="AB563" s="3"/>
      <c r="AC563" s="3"/>
      <c r="AD563" s="3"/>
      <c r="AE563" s="3"/>
      <c r="AF563" s="3"/>
    </row>
    <row r="564" spans="1:32" ht="22.5" customHeight="1" x14ac:dyDescent="0.8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c r="AA564" s="3"/>
      <c r="AB564" s="3"/>
      <c r="AC564" s="3"/>
      <c r="AD564" s="3"/>
      <c r="AE564" s="3"/>
      <c r="AF564" s="3"/>
    </row>
    <row r="565" spans="1:32" ht="22.5" customHeight="1" x14ac:dyDescent="0.8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c r="AA565" s="3"/>
      <c r="AB565" s="3"/>
      <c r="AC565" s="3"/>
      <c r="AD565" s="3"/>
      <c r="AE565" s="3"/>
      <c r="AF565" s="3"/>
    </row>
    <row r="566" spans="1:32" ht="22.5" customHeight="1" x14ac:dyDescent="0.8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c r="AA566" s="3"/>
      <c r="AB566" s="3"/>
      <c r="AC566" s="3"/>
      <c r="AD566" s="3"/>
      <c r="AE566" s="3"/>
      <c r="AF566" s="3"/>
    </row>
    <row r="567" spans="1:32" ht="22.5" customHeight="1" x14ac:dyDescent="0.8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c r="AA567" s="3"/>
      <c r="AB567" s="3"/>
      <c r="AC567" s="3"/>
      <c r="AD567" s="3"/>
      <c r="AE567" s="3"/>
      <c r="AF567" s="3"/>
    </row>
    <row r="568" spans="1:32" ht="22.5" customHeight="1" x14ac:dyDescent="0.8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c r="AA568" s="3"/>
      <c r="AB568" s="3"/>
      <c r="AC568" s="3"/>
      <c r="AD568" s="3"/>
      <c r="AE568" s="3"/>
      <c r="AF568" s="3"/>
    </row>
    <row r="569" spans="1:32" ht="22.5" customHeight="1" x14ac:dyDescent="0.8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c r="AA569" s="3"/>
      <c r="AB569" s="3"/>
      <c r="AC569" s="3"/>
      <c r="AD569" s="3"/>
      <c r="AE569" s="3"/>
      <c r="AF569" s="3"/>
    </row>
    <row r="570" spans="1:32" ht="22.5" customHeight="1" x14ac:dyDescent="0.8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c r="AA570" s="3"/>
      <c r="AB570" s="3"/>
      <c r="AC570" s="3"/>
      <c r="AD570" s="3"/>
      <c r="AE570" s="3"/>
      <c r="AF570" s="3"/>
    </row>
    <row r="571" spans="1:32" ht="22.5" customHeight="1" x14ac:dyDescent="0.8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c r="AA571" s="3"/>
      <c r="AB571" s="3"/>
      <c r="AC571" s="3"/>
      <c r="AD571" s="3"/>
      <c r="AE571" s="3"/>
      <c r="AF571" s="3"/>
    </row>
    <row r="572" spans="1:32" ht="22.5" customHeight="1" x14ac:dyDescent="0.8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c r="AA572" s="3"/>
      <c r="AB572" s="3"/>
      <c r="AC572" s="3"/>
      <c r="AD572" s="3"/>
      <c r="AE572" s="3"/>
      <c r="AF572" s="3"/>
    </row>
    <row r="573" spans="1:32" ht="22.5" customHeight="1" x14ac:dyDescent="0.8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c r="AA573" s="3"/>
      <c r="AB573" s="3"/>
      <c r="AC573" s="3"/>
      <c r="AD573" s="3"/>
      <c r="AE573" s="3"/>
      <c r="AF573" s="3"/>
    </row>
    <row r="574" spans="1:32" ht="22.5" customHeight="1" x14ac:dyDescent="0.8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c r="AA574" s="3"/>
      <c r="AB574" s="3"/>
      <c r="AC574" s="3"/>
      <c r="AD574" s="3"/>
      <c r="AE574" s="3"/>
      <c r="AF574" s="3"/>
    </row>
    <row r="575" spans="1:32" ht="22.5" customHeight="1" x14ac:dyDescent="0.8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c r="AA575" s="3"/>
      <c r="AB575" s="3"/>
      <c r="AC575" s="3"/>
      <c r="AD575" s="3"/>
      <c r="AE575" s="3"/>
      <c r="AF575" s="3"/>
    </row>
    <row r="576" spans="1:32" ht="22.5" customHeight="1" x14ac:dyDescent="0.8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c r="AA576" s="3"/>
      <c r="AB576" s="3"/>
      <c r="AC576" s="3"/>
      <c r="AD576" s="3"/>
      <c r="AE576" s="3"/>
      <c r="AF576" s="3"/>
    </row>
    <row r="577" spans="1:32" ht="22.5" customHeight="1" x14ac:dyDescent="0.8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c r="AA577" s="3"/>
      <c r="AB577" s="3"/>
      <c r="AC577" s="3"/>
      <c r="AD577" s="3"/>
      <c r="AE577" s="3"/>
      <c r="AF577" s="3"/>
    </row>
    <row r="578" spans="1:32" ht="22.5" customHeight="1" x14ac:dyDescent="0.8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c r="AA578" s="3"/>
      <c r="AB578" s="3"/>
      <c r="AC578" s="3"/>
      <c r="AD578" s="3"/>
      <c r="AE578" s="3"/>
      <c r="AF578" s="3"/>
    </row>
    <row r="579" spans="1:32" ht="22.5" customHeight="1" x14ac:dyDescent="0.8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c r="AA579" s="3"/>
      <c r="AB579" s="3"/>
      <c r="AC579" s="3"/>
      <c r="AD579" s="3"/>
      <c r="AE579" s="3"/>
      <c r="AF579" s="3"/>
    </row>
    <row r="580" spans="1:32" ht="22.5" customHeight="1" x14ac:dyDescent="0.8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c r="AA580" s="3"/>
      <c r="AB580" s="3"/>
      <c r="AC580" s="3"/>
      <c r="AD580" s="3"/>
      <c r="AE580" s="3"/>
      <c r="AF580" s="3"/>
    </row>
    <row r="581" spans="1:32" ht="22.5" customHeight="1" x14ac:dyDescent="0.8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c r="AA581" s="3"/>
      <c r="AB581" s="3"/>
      <c r="AC581" s="3"/>
      <c r="AD581" s="3"/>
      <c r="AE581" s="3"/>
      <c r="AF581" s="3"/>
    </row>
    <row r="582" spans="1:32" ht="22.5" customHeight="1" x14ac:dyDescent="0.8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c r="AA582" s="3"/>
      <c r="AB582" s="3"/>
      <c r="AC582" s="3"/>
      <c r="AD582" s="3"/>
      <c r="AE582" s="3"/>
      <c r="AF582" s="3"/>
    </row>
    <row r="583" spans="1:32" ht="22.5" customHeight="1" x14ac:dyDescent="0.8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c r="AA583" s="3"/>
      <c r="AB583" s="3"/>
      <c r="AC583" s="3"/>
      <c r="AD583" s="3"/>
      <c r="AE583" s="3"/>
      <c r="AF583" s="3"/>
    </row>
    <row r="584" spans="1:32" ht="22.5" customHeight="1" x14ac:dyDescent="0.8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c r="AA584" s="3"/>
      <c r="AB584" s="3"/>
      <c r="AC584" s="3"/>
      <c r="AD584" s="3"/>
      <c r="AE584" s="3"/>
      <c r="AF584" s="3"/>
    </row>
    <row r="585" spans="1:32" ht="22.5" customHeight="1" x14ac:dyDescent="0.8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c r="AA585" s="3"/>
      <c r="AB585" s="3"/>
      <c r="AC585" s="3"/>
      <c r="AD585" s="3"/>
      <c r="AE585" s="3"/>
      <c r="AF585" s="3"/>
    </row>
    <row r="586" spans="1:32" ht="22.5" customHeight="1" x14ac:dyDescent="0.8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c r="AA586" s="3"/>
      <c r="AB586" s="3"/>
      <c r="AC586" s="3"/>
      <c r="AD586" s="3"/>
      <c r="AE586" s="3"/>
      <c r="AF586" s="3"/>
    </row>
    <row r="587" spans="1:32" ht="22.5" customHeight="1" x14ac:dyDescent="0.8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c r="AA587" s="3"/>
      <c r="AB587" s="3"/>
      <c r="AC587" s="3"/>
      <c r="AD587" s="3"/>
      <c r="AE587" s="3"/>
      <c r="AF587" s="3"/>
    </row>
    <row r="588" spans="1:32" ht="22.5" customHeight="1" x14ac:dyDescent="0.8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c r="AA588" s="3"/>
      <c r="AB588" s="3"/>
      <c r="AC588" s="3"/>
      <c r="AD588" s="3"/>
      <c r="AE588" s="3"/>
      <c r="AF588" s="3"/>
    </row>
    <row r="589" spans="1:32" ht="22.5" customHeight="1" x14ac:dyDescent="0.8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c r="AA589" s="3"/>
      <c r="AB589" s="3"/>
      <c r="AC589" s="3"/>
      <c r="AD589" s="3"/>
      <c r="AE589" s="3"/>
      <c r="AF589" s="3"/>
    </row>
    <row r="590" spans="1:32" ht="22.5" customHeight="1" x14ac:dyDescent="0.8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c r="AA590" s="3"/>
      <c r="AB590" s="3"/>
      <c r="AC590" s="3"/>
      <c r="AD590" s="3"/>
      <c r="AE590" s="3"/>
      <c r="AF590" s="3"/>
    </row>
    <row r="591" spans="1:32" ht="22.5" customHeight="1" x14ac:dyDescent="0.8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c r="AA591" s="3"/>
      <c r="AB591" s="3"/>
      <c r="AC591" s="3"/>
      <c r="AD591" s="3"/>
      <c r="AE591" s="3"/>
      <c r="AF591" s="3"/>
    </row>
    <row r="592" spans="1:32" ht="22.5" customHeight="1" x14ac:dyDescent="0.8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c r="AA592" s="3"/>
      <c r="AB592" s="3"/>
      <c r="AC592" s="3"/>
      <c r="AD592" s="3"/>
      <c r="AE592" s="3"/>
      <c r="AF592" s="3"/>
    </row>
    <row r="593" spans="1:32" ht="22.5" customHeight="1" x14ac:dyDescent="0.8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c r="AA593" s="3"/>
      <c r="AB593" s="3"/>
      <c r="AC593" s="3"/>
      <c r="AD593" s="3"/>
      <c r="AE593" s="3"/>
      <c r="AF593" s="3"/>
    </row>
    <row r="594" spans="1:32" ht="22.5" customHeight="1" x14ac:dyDescent="0.8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c r="AA594" s="3"/>
      <c r="AB594" s="3"/>
      <c r="AC594" s="3"/>
      <c r="AD594" s="3"/>
      <c r="AE594" s="3"/>
      <c r="AF594" s="3"/>
    </row>
    <row r="595" spans="1:32" ht="22.5" customHeight="1" x14ac:dyDescent="0.8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c r="AA595" s="3"/>
      <c r="AB595" s="3"/>
      <c r="AC595" s="3"/>
      <c r="AD595" s="3"/>
      <c r="AE595" s="3"/>
      <c r="AF595" s="3"/>
    </row>
    <row r="596" spans="1:32" ht="22.5" customHeight="1" x14ac:dyDescent="0.8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c r="AA596" s="3"/>
      <c r="AB596" s="3"/>
      <c r="AC596" s="3"/>
      <c r="AD596" s="3"/>
      <c r="AE596" s="3"/>
      <c r="AF596" s="3"/>
    </row>
    <row r="597" spans="1:32" ht="22.5" customHeight="1" x14ac:dyDescent="0.8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c r="AA597" s="3"/>
      <c r="AB597" s="3"/>
      <c r="AC597" s="3"/>
      <c r="AD597" s="3"/>
      <c r="AE597" s="3"/>
      <c r="AF597" s="3"/>
    </row>
    <row r="598" spans="1:32" ht="22.5" customHeight="1" x14ac:dyDescent="0.8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c r="AA598" s="3"/>
      <c r="AB598" s="3"/>
      <c r="AC598" s="3"/>
      <c r="AD598" s="3"/>
      <c r="AE598" s="3"/>
      <c r="AF598" s="3"/>
    </row>
    <row r="599" spans="1:32" ht="22.5" customHeight="1" x14ac:dyDescent="0.8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c r="AA599" s="3"/>
      <c r="AB599" s="3"/>
      <c r="AC599" s="3"/>
      <c r="AD599" s="3"/>
      <c r="AE599" s="3"/>
      <c r="AF599" s="3"/>
    </row>
    <row r="600" spans="1:32" ht="22.5" customHeight="1" x14ac:dyDescent="0.8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c r="AA600" s="3"/>
      <c r="AB600" s="3"/>
      <c r="AC600" s="3"/>
      <c r="AD600" s="3"/>
      <c r="AE600" s="3"/>
      <c r="AF600" s="3"/>
    </row>
    <row r="601" spans="1:32" ht="22.5" customHeight="1" x14ac:dyDescent="0.8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c r="AA601" s="3"/>
      <c r="AB601" s="3"/>
      <c r="AC601" s="3"/>
      <c r="AD601" s="3"/>
      <c r="AE601" s="3"/>
      <c r="AF601" s="3"/>
    </row>
    <row r="602" spans="1:32" ht="22.5" customHeight="1" x14ac:dyDescent="0.8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c r="AA602" s="3"/>
      <c r="AB602" s="3"/>
      <c r="AC602" s="3"/>
      <c r="AD602" s="3"/>
      <c r="AE602" s="3"/>
      <c r="AF602" s="3"/>
    </row>
    <row r="603" spans="1:32" ht="22.5" customHeight="1" x14ac:dyDescent="0.8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c r="AA603" s="3"/>
      <c r="AB603" s="3"/>
      <c r="AC603" s="3"/>
      <c r="AD603" s="3"/>
      <c r="AE603" s="3"/>
      <c r="AF603" s="3"/>
    </row>
    <row r="604" spans="1:32" ht="22.5" customHeight="1" x14ac:dyDescent="0.8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c r="AA604" s="3"/>
      <c r="AB604" s="3"/>
      <c r="AC604" s="3"/>
      <c r="AD604" s="3"/>
      <c r="AE604" s="3"/>
      <c r="AF604" s="3"/>
    </row>
    <row r="605" spans="1:32" ht="22.5" customHeight="1" x14ac:dyDescent="0.8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c r="AA605" s="3"/>
      <c r="AB605" s="3"/>
      <c r="AC605" s="3"/>
      <c r="AD605" s="3"/>
      <c r="AE605" s="3"/>
      <c r="AF605" s="3"/>
    </row>
    <row r="606" spans="1:32" ht="22.5" customHeight="1" x14ac:dyDescent="0.8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c r="AA606" s="3"/>
      <c r="AB606" s="3"/>
      <c r="AC606" s="3"/>
      <c r="AD606" s="3"/>
      <c r="AE606" s="3"/>
      <c r="AF606" s="3"/>
    </row>
    <row r="607" spans="1:32" ht="22.5" customHeight="1" x14ac:dyDescent="0.8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c r="AA607" s="3"/>
      <c r="AB607" s="3"/>
      <c r="AC607" s="3"/>
      <c r="AD607" s="3"/>
      <c r="AE607" s="3"/>
      <c r="AF607" s="3"/>
    </row>
    <row r="608" spans="1:32" ht="22.5" customHeight="1" x14ac:dyDescent="0.8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c r="AA608" s="3"/>
      <c r="AB608" s="3"/>
      <c r="AC608" s="3"/>
      <c r="AD608" s="3"/>
      <c r="AE608" s="3"/>
      <c r="AF608" s="3"/>
    </row>
    <row r="609" spans="1:32" ht="22.5" customHeight="1" x14ac:dyDescent="0.8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c r="AA609" s="3"/>
      <c r="AB609" s="3"/>
      <c r="AC609" s="3"/>
      <c r="AD609" s="3"/>
      <c r="AE609" s="3"/>
      <c r="AF609" s="3"/>
    </row>
    <row r="610" spans="1:32" ht="22.5" customHeight="1" x14ac:dyDescent="0.8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c r="AA610" s="3"/>
      <c r="AB610" s="3"/>
      <c r="AC610" s="3"/>
      <c r="AD610" s="3"/>
      <c r="AE610" s="3"/>
      <c r="AF610" s="3"/>
    </row>
    <row r="611" spans="1:32" ht="22.5" customHeight="1" x14ac:dyDescent="0.8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c r="AA611" s="3"/>
      <c r="AB611" s="3"/>
      <c r="AC611" s="3"/>
      <c r="AD611" s="3"/>
      <c r="AE611" s="3"/>
      <c r="AF611" s="3"/>
    </row>
    <row r="612" spans="1:32" ht="22.5" customHeight="1" x14ac:dyDescent="0.8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c r="AA612" s="3"/>
      <c r="AB612" s="3"/>
      <c r="AC612" s="3"/>
      <c r="AD612" s="3"/>
      <c r="AE612" s="3"/>
      <c r="AF612" s="3"/>
    </row>
    <row r="613" spans="1:32" ht="22.5" customHeight="1" x14ac:dyDescent="0.8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c r="AA613" s="3"/>
      <c r="AB613" s="3"/>
      <c r="AC613" s="3"/>
      <c r="AD613" s="3"/>
      <c r="AE613" s="3"/>
      <c r="AF613" s="3"/>
    </row>
    <row r="614" spans="1:32" ht="22.5" customHeight="1" x14ac:dyDescent="0.8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c r="AA614" s="3"/>
      <c r="AB614" s="3"/>
      <c r="AC614" s="3"/>
      <c r="AD614" s="3"/>
      <c r="AE614" s="3"/>
      <c r="AF614" s="3"/>
    </row>
    <row r="615" spans="1:32" ht="22.5" customHeight="1" x14ac:dyDescent="0.8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c r="AA615" s="3"/>
      <c r="AB615" s="3"/>
      <c r="AC615" s="3"/>
      <c r="AD615" s="3"/>
      <c r="AE615" s="3"/>
      <c r="AF615" s="3"/>
    </row>
    <row r="616" spans="1:32" ht="22.5" customHeight="1" x14ac:dyDescent="0.8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c r="AA616" s="3"/>
      <c r="AB616" s="3"/>
      <c r="AC616" s="3"/>
      <c r="AD616" s="3"/>
      <c r="AE616" s="3"/>
      <c r="AF616" s="3"/>
    </row>
    <row r="617" spans="1:32" ht="22.5" customHeight="1" x14ac:dyDescent="0.8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c r="AA617" s="3"/>
      <c r="AB617" s="3"/>
      <c r="AC617" s="3"/>
      <c r="AD617" s="3"/>
      <c r="AE617" s="3"/>
      <c r="AF617" s="3"/>
    </row>
    <row r="618" spans="1:32" ht="22.5" customHeight="1" x14ac:dyDescent="0.8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c r="AA618" s="3"/>
      <c r="AB618" s="3"/>
      <c r="AC618" s="3"/>
      <c r="AD618" s="3"/>
      <c r="AE618" s="3"/>
      <c r="AF618" s="3"/>
    </row>
    <row r="619" spans="1:32" ht="22.5" customHeight="1" x14ac:dyDescent="0.8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c r="AA619" s="3"/>
      <c r="AB619" s="3"/>
      <c r="AC619" s="3"/>
      <c r="AD619" s="3"/>
      <c r="AE619" s="3"/>
      <c r="AF619" s="3"/>
    </row>
    <row r="620" spans="1:32" ht="22.5" customHeight="1" x14ac:dyDescent="0.8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c r="AA620" s="3"/>
      <c r="AB620" s="3"/>
      <c r="AC620" s="3"/>
      <c r="AD620" s="3"/>
      <c r="AE620" s="3"/>
      <c r="AF620" s="3"/>
    </row>
    <row r="621" spans="1:32" ht="22.5" customHeight="1" x14ac:dyDescent="0.8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c r="AA621" s="3"/>
      <c r="AB621" s="3"/>
      <c r="AC621" s="3"/>
      <c r="AD621" s="3"/>
      <c r="AE621" s="3"/>
      <c r="AF621" s="3"/>
    </row>
    <row r="622" spans="1:32" ht="22.5" customHeight="1" x14ac:dyDescent="0.8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c r="AA622" s="3"/>
      <c r="AB622" s="3"/>
      <c r="AC622" s="3"/>
      <c r="AD622" s="3"/>
      <c r="AE622" s="3"/>
      <c r="AF622" s="3"/>
    </row>
    <row r="623" spans="1:32" ht="22.5" customHeight="1" x14ac:dyDescent="0.8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c r="AA623" s="3"/>
      <c r="AB623" s="3"/>
      <c r="AC623" s="3"/>
      <c r="AD623" s="3"/>
      <c r="AE623" s="3"/>
      <c r="AF623" s="3"/>
    </row>
    <row r="624" spans="1:32" ht="22.5" customHeight="1" x14ac:dyDescent="0.8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c r="AA624" s="3"/>
      <c r="AB624" s="3"/>
      <c r="AC624" s="3"/>
      <c r="AD624" s="3"/>
      <c r="AE624" s="3"/>
      <c r="AF624" s="3"/>
    </row>
    <row r="625" spans="1:32" ht="22.5" customHeight="1" x14ac:dyDescent="0.8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c r="AA625" s="3"/>
      <c r="AB625" s="3"/>
      <c r="AC625" s="3"/>
      <c r="AD625" s="3"/>
      <c r="AE625" s="3"/>
      <c r="AF625" s="3"/>
    </row>
    <row r="626" spans="1:32" ht="22.5" customHeight="1" x14ac:dyDescent="0.8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c r="AA626" s="3"/>
      <c r="AB626" s="3"/>
      <c r="AC626" s="3"/>
      <c r="AD626" s="3"/>
      <c r="AE626" s="3"/>
      <c r="AF626" s="3"/>
    </row>
    <row r="627" spans="1:32" ht="22.5" customHeight="1" x14ac:dyDescent="0.8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c r="AA627" s="3"/>
      <c r="AB627" s="3"/>
      <c r="AC627" s="3"/>
      <c r="AD627" s="3"/>
      <c r="AE627" s="3"/>
      <c r="AF627" s="3"/>
    </row>
    <row r="628" spans="1:32" ht="22.5" customHeight="1" x14ac:dyDescent="0.8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c r="AA628" s="3"/>
      <c r="AB628" s="3"/>
      <c r="AC628" s="3"/>
      <c r="AD628" s="3"/>
      <c r="AE628" s="3"/>
      <c r="AF628" s="3"/>
    </row>
    <row r="629" spans="1:32" ht="22.5" customHeight="1" x14ac:dyDescent="0.8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c r="AA629" s="3"/>
      <c r="AB629" s="3"/>
      <c r="AC629" s="3"/>
      <c r="AD629" s="3"/>
      <c r="AE629" s="3"/>
      <c r="AF629" s="3"/>
    </row>
    <row r="630" spans="1:32" ht="22.5" customHeight="1" x14ac:dyDescent="0.8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c r="AA630" s="3"/>
      <c r="AB630" s="3"/>
      <c r="AC630" s="3"/>
      <c r="AD630" s="3"/>
      <c r="AE630" s="3"/>
      <c r="AF630" s="3"/>
    </row>
    <row r="631" spans="1:32" ht="22.5" customHeight="1" x14ac:dyDescent="0.8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c r="AA631" s="3"/>
      <c r="AB631" s="3"/>
      <c r="AC631" s="3"/>
      <c r="AD631" s="3"/>
      <c r="AE631" s="3"/>
      <c r="AF631" s="3"/>
    </row>
    <row r="632" spans="1:32" ht="22.5" customHeight="1" x14ac:dyDescent="0.8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c r="AA632" s="3"/>
      <c r="AB632" s="3"/>
      <c r="AC632" s="3"/>
      <c r="AD632" s="3"/>
      <c r="AE632" s="3"/>
      <c r="AF632" s="3"/>
    </row>
    <row r="633" spans="1:32" ht="22.5" customHeight="1" x14ac:dyDescent="0.8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c r="AA633" s="3"/>
      <c r="AB633" s="3"/>
      <c r="AC633" s="3"/>
      <c r="AD633" s="3"/>
      <c r="AE633" s="3"/>
      <c r="AF633" s="3"/>
    </row>
    <row r="634" spans="1:32" ht="22.5" customHeight="1" x14ac:dyDescent="0.8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c r="AA634" s="3"/>
      <c r="AB634" s="3"/>
      <c r="AC634" s="3"/>
      <c r="AD634" s="3"/>
      <c r="AE634" s="3"/>
      <c r="AF634" s="3"/>
    </row>
    <row r="635" spans="1:32" ht="22.5" customHeight="1" x14ac:dyDescent="0.8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c r="AA635" s="3"/>
      <c r="AB635" s="3"/>
      <c r="AC635" s="3"/>
      <c r="AD635" s="3"/>
      <c r="AE635" s="3"/>
      <c r="AF635" s="3"/>
    </row>
    <row r="636" spans="1:32" ht="22.5" customHeight="1" x14ac:dyDescent="0.8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c r="AA636" s="3"/>
      <c r="AB636" s="3"/>
      <c r="AC636" s="3"/>
      <c r="AD636" s="3"/>
      <c r="AE636" s="3"/>
      <c r="AF636" s="3"/>
    </row>
    <row r="637" spans="1:32" ht="22.5" customHeight="1" x14ac:dyDescent="0.8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c r="AA637" s="3"/>
      <c r="AB637" s="3"/>
      <c r="AC637" s="3"/>
      <c r="AD637" s="3"/>
      <c r="AE637" s="3"/>
      <c r="AF637" s="3"/>
    </row>
    <row r="638" spans="1:32" ht="22.5" customHeight="1" x14ac:dyDescent="0.8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c r="AA638" s="3"/>
      <c r="AB638" s="3"/>
      <c r="AC638" s="3"/>
      <c r="AD638" s="3"/>
      <c r="AE638" s="3"/>
      <c r="AF638" s="3"/>
    </row>
    <row r="639" spans="1:32" ht="22.5" customHeight="1" x14ac:dyDescent="0.8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c r="AA639" s="3"/>
      <c r="AB639" s="3"/>
      <c r="AC639" s="3"/>
      <c r="AD639" s="3"/>
      <c r="AE639" s="3"/>
      <c r="AF639" s="3"/>
    </row>
    <row r="640" spans="1:32" ht="22.5" customHeight="1" x14ac:dyDescent="0.8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c r="AA640" s="3"/>
      <c r="AB640" s="3"/>
      <c r="AC640" s="3"/>
      <c r="AD640" s="3"/>
      <c r="AE640" s="3"/>
      <c r="AF640" s="3"/>
    </row>
    <row r="641" spans="1:32" ht="22.5" customHeight="1" x14ac:dyDescent="0.8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c r="AA641" s="3"/>
      <c r="AB641" s="3"/>
      <c r="AC641" s="3"/>
      <c r="AD641" s="3"/>
      <c r="AE641" s="3"/>
      <c r="AF641" s="3"/>
    </row>
    <row r="642" spans="1:32" ht="22.5" customHeight="1" x14ac:dyDescent="0.8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c r="AA642" s="3"/>
      <c r="AB642" s="3"/>
      <c r="AC642" s="3"/>
      <c r="AD642" s="3"/>
      <c r="AE642" s="3"/>
      <c r="AF642" s="3"/>
    </row>
    <row r="643" spans="1:32" ht="22.5" customHeight="1" x14ac:dyDescent="0.8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c r="AA643" s="3"/>
      <c r="AB643" s="3"/>
      <c r="AC643" s="3"/>
      <c r="AD643" s="3"/>
      <c r="AE643" s="3"/>
      <c r="AF643" s="3"/>
    </row>
    <row r="644" spans="1:32" ht="22.5" customHeight="1" x14ac:dyDescent="0.8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c r="AA644" s="3"/>
      <c r="AB644" s="3"/>
      <c r="AC644" s="3"/>
      <c r="AD644" s="3"/>
      <c r="AE644" s="3"/>
      <c r="AF644" s="3"/>
    </row>
    <row r="645" spans="1:32" ht="22.5" customHeight="1" x14ac:dyDescent="0.8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c r="AA645" s="3"/>
      <c r="AB645" s="3"/>
      <c r="AC645" s="3"/>
      <c r="AD645" s="3"/>
      <c r="AE645" s="3"/>
      <c r="AF645" s="3"/>
    </row>
    <row r="646" spans="1:32" ht="22.5" customHeight="1" x14ac:dyDescent="0.8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c r="AA646" s="3"/>
      <c r="AB646" s="3"/>
      <c r="AC646" s="3"/>
      <c r="AD646" s="3"/>
      <c r="AE646" s="3"/>
      <c r="AF646" s="3"/>
    </row>
    <row r="647" spans="1:32" ht="22.5" customHeight="1" x14ac:dyDescent="0.8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c r="AA647" s="3"/>
      <c r="AB647" s="3"/>
      <c r="AC647" s="3"/>
      <c r="AD647" s="3"/>
      <c r="AE647" s="3"/>
      <c r="AF647" s="3"/>
    </row>
    <row r="648" spans="1:32" ht="22.5" customHeight="1" x14ac:dyDescent="0.8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c r="AA648" s="3"/>
      <c r="AB648" s="3"/>
      <c r="AC648" s="3"/>
      <c r="AD648" s="3"/>
      <c r="AE648" s="3"/>
      <c r="AF648" s="3"/>
    </row>
    <row r="649" spans="1:32" ht="22.5" customHeight="1" x14ac:dyDescent="0.8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c r="AA649" s="3"/>
      <c r="AB649" s="3"/>
      <c r="AC649" s="3"/>
      <c r="AD649" s="3"/>
      <c r="AE649" s="3"/>
      <c r="AF649" s="3"/>
    </row>
    <row r="650" spans="1:32" ht="22.5" customHeight="1" x14ac:dyDescent="0.8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c r="AA650" s="3"/>
      <c r="AB650" s="3"/>
      <c r="AC650" s="3"/>
      <c r="AD650" s="3"/>
      <c r="AE650" s="3"/>
      <c r="AF650" s="3"/>
    </row>
    <row r="651" spans="1:32" ht="22.5" customHeight="1" x14ac:dyDescent="0.8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c r="AA651" s="3"/>
      <c r="AB651" s="3"/>
      <c r="AC651" s="3"/>
      <c r="AD651" s="3"/>
      <c r="AE651" s="3"/>
      <c r="AF651" s="3"/>
    </row>
    <row r="652" spans="1:32" ht="22.5" customHeight="1" x14ac:dyDescent="0.8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c r="AA652" s="3"/>
      <c r="AB652" s="3"/>
      <c r="AC652" s="3"/>
      <c r="AD652" s="3"/>
      <c r="AE652" s="3"/>
      <c r="AF652" s="3"/>
    </row>
    <row r="653" spans="1:32" ht="22.5" customHeight="1" x14ac:dyDescent="0.8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c r="AA653" s="3"/>
      <c r="AB653" s="3"/>
      <c r="AC653" s="3"/>
      <c r="AD653" s="3"/>
      <c r="AE653" s="3"/>
      <c r="AF653" s="3"/>
    </row>
    <row r="654" spans="1:32" ht="22.5" customHeight="1" x14ac:dyDescent="0.8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c r="AA654" s="3"/>
      <c r="AB654" s="3"/>
      <c r="AC654" s="3"/>
      <c r="AD654" s="3"/>
      <c r="AE654" s="3"/>
      <c r="AF654" s="3"/>
    </row>
    <row r="655" spans="1:32" ht="22.5" customHeight="1" x14ac:dyDescent="0.8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c r="AA655" s="3"/>
      <c r="AB655" s="3"/>
      <c r="AC655" s="3"/>
      <c r="AD655" s="3"/>
      <c r="AE655" s="3"/>
      <c r="AF655" s="3"/>
    </row>
    <row r="656" spans="1:32" ht="22.5" customHeight="1" x14ac:dyDescent="0.8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c r="AA656" s="3"/>
      <c r="AB656" s="3"/>
      <c r="AC656" s="3"/>
      <c r="AD656" s="3"/>
      <c r="AE656" s="3"/>
      <c r="AF656" s="3"/>
    </row>
    <row r="657" spans="1:32" ht="22.5" customHeight="1" x14ac:dyDescent="0.8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c r="AA657" s="3"/>
      <c r="AB657" s="3"/>
      <c r="AC657" s="3"/>
      <c r="AD657" s="3"/>
      <c r="AE657" s="3"/>
      <c r="AF657" s="3"/>
    </row>
    <row r="658" spans="1:32" ht="22.5" customHeight="1" x14ac:dyDescent="0.8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c r="AA658" s="3"/>
      <c r="AB658" s="3"/>
      <c r="AC658" s="3"/>
      <c r="AD658" s="3"/>
      <c r="AE658" s="3"/>
      <c r="AF658" s="3"/>
    </row>
    <row r="659" spans="1:32" ht="22.5" customHeight="1" x14ac:dyDescent="0.8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c r="AA659" s="3"/>
      <c r="AB659" s="3"/>
      <c r="AC659" s="3"/>
      <c r="AD659" s="3"/>
      <c r="AE659" s="3"/>
      <c r="AF659" s="3"/>
    </row>
    <row r="660" spans="1:32" ht="22.5" customHeight="1" x14ac:dyDescent="0.8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c r="AA660" s="3"/>
      <c r="AB660" s="3"/>
      <c r="AC660" s="3"/>
      <c r="AD660" s="3"/>
      <c r="AE660" s="3"/>
      <c r="AF660" s="3"/>
    </row>
    <row r="661" spans="1:32" ht="22.5" customHeight="1" x14ac:dyDescent="0.8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c r="AA661" s="3"/>
      <c r="AB661" s="3"/>
      <c r="AC661" s="3"/>
      <c r="AD661" s="3"/>
      <c r="AE661" s="3"/>
      <c r="AF661" s="3"/>
    </row>
    <row r="662" spans="1:32" ht="22.5" customHeight="1" x14ac:dyDescent="0.8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c r="AA662" s="3"/>
      <c r="AB662" s="3"/>
      <c r="AC662" s="3"/>
      <c r="AD662" s="3"/>
      <c r="AE662" s="3"/>
      <c r="AF662" s="3"/>
    </row>
    <row r="663" spans="1:32" ht="22.5" customHeight="1" x14ac:dyDescent="0.8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c r="AA663" s="3"/>
      <c r="AB663" s="3"/>
      <c r="AC663" s="3"/>
      <c r="AD663" s="3"/>
      <c r="AE663" s="3"/>
      <c r="AF663" s="3"/>
    </row>
    <row r="664" spans="1:32" ht="22.5" customHeight="1" x14ac:dyDescent="0.8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c r="AA664" s="3"/>
      <c r="AB664" s="3"/>
      <c r="AC664" s="3"/>
      <c r="AD664" s="3"/>
      <c r="AE664" s="3"/>
      <c r="AF664" s="3"/>
    </row>
    <row r="665" spans="1:32" ht="22.5" customHeight="1" x14ac:dyDescent="0.8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c r="AA665" s="3"/>
      <c r="AB665" s="3"/>
      <c r="AC665" s="3"/>
      <c r="AD665" s="3"/>
      <c r="AE665" s="3"/>
      <c r="AF665" s="3"/>
    </row>
    <row r="666" spans="1:32" ht="22.5" customHeight="1" x14ac:dyDescent="0.8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c r="AA666" s="3"/>
      <c r="AB666" s="3"/>
      <c r="AC666" s="3"/>
      <c r="AD666" s="3"/>
      <c r="AE666" s="3"/>
      <c r="AF666" s="3"/>
    </row>
    <row r="667" spans="1:32" ht="22.5" customHeight="1" x14ac:dyDescent="0.8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c r="AA667" s="3"/>
      <c r="AB667" s="3"/>
      <c r="AC667" s="3"/>
      <c r="AD667" s="3"/>
      <c r="AE667" s="3"/>
      <c r="AF667" s="3"/>
    </row>
    <row r="668" spans="1:32" ht="22.5" customHeight="1" x14ac:dyDescent="0.8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c r="AA668" s="3"/>
      <c r="AB668" s="3"/>
      <c r="AC668" s="3"/>
      <c r="AD668" s="3"/>
      <c r="AE668" s="3"/>
      <c r="AF668" s="3"/>
    </row>
    <row r="669" spans="1:32" ht="22.5" customHeight="1" x14ac:dyDescent="0.8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c r="AA669" s="3"/>
      <c r="AB669" s="3"/>
      <c r="AC669" s="3"/>
      <c r="AD669" s="3"/>
      <c r="AE669" s="3"/>
      <c r="AF669" s="3"/>
    </row>
    <row r="670" spans="1:32" ht="22.5" customHeight="1" x14ac:dyDescent="0.8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c r="AA670" s="3"/>
      <c r="AB670" s="3"/>
      <c r="AC670" s="3"/>
      <c r="AD670" s="3"/>
      <c r="AE670" s="3"/>
      <c r="AF670" s="3"/>
    </row>
    <row r="671" spans="1:32" ht="22.5" customHeight="1" x14ac:dyDescent="0.8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c r="AA671" s="3"/>
      <c r="AB671" s="3"/>
      <c r="AC671" s="3"/>
      <c r="AD671" s="3"/>
      <c r="AE671" s="3"/>
      <c r="AF671" s="3"/>
    </row>
    <row r="672" spans="1:32" ht="22.5" customHeight="1" x14ac:dyDescent="0.8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c r="AA672" s="3"/>
      <c r="AB672" s="3"/>
      <c r="AC672" s="3"/>
      <c r="AD672" s="3"/>
      <c r="AE672" s="3"/>
      <c r="AF672" s="3"/>
    </row>
    <row r="673" spans="1:32" ht="22.5" customHeight="1" x14ac:dyDescent="0.8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c r="AA673" s="3"/>
      <c r="AB673" s="3"/>
      <c r="AC673" s="3"/>
      <c r="AD673" s="3"/>
      <c r="AE673" s="3"/>
      <c r="AF673" s="3"/>
    </row>
    <row r="674" spans="1:32" ht="22.5" customHeight="1" x14ac:dyDescent="0.8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c r="AA674" s="3"/>
      <c r="AB674" s="3"/>
      <c r="AC674" s="3"/>
      <c r="AD674" s="3"/>
      <c r="AE674" s="3"/>
      <c r="AF674" s="3"/>
    </row>
    <row r="675" spans="1:32" ht="22.5" customHeight="1" x14ac:dyDescent="0.8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c r="AA675" s="3"/>
      <c r="AB675" s="3"/>
      <c r="AC675" s="3"/>
      <c r="AD675" s="3"/>
      <c r="AE675" s="3"/>
      <c r="AF675" s="3"/>
    </row>
    <row r="676" spans="1:32" ht="22.5" customHeight="1" x14ac:dyDescent="0.8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c r="AA676" s="3"/>
      <c r="AB676" s="3"/>
      <c r="AC676" s="3"/>
      <c r="AD676" s="3"/>
      <c r="AE676" s="3"/>
      <c r="AF676" s="3"/>
    </row>
    <row r="677" spans="1:32" ht="22.5" customHeight="1" x14ac:dyDescent="0.8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c r="AA677" s="3"/>
      <c r="AB677" s="3"/>
      <c r="AC677" s="3"/>
      <c r="AD677" s="3"/>
      <c r="AE677" s="3"/>
      <c r="AF677" s="3"/>
    </row>
    <row r="678" spans="1:32" ht="22.5" customHeight="1" x14ac:dyDescent="0.8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c r="AA678" s="3"/>
      <c r="AB678" s="3"/>
      <c r="AC678" s="3"/>
      <c r="AD678" s="3"/>
      <c r="AE678" s="3"/>
      <c r="AF678" s="3"/>
    </row>
    <row r="679" spans="1:32" ht="22.5" customHeight="1" x14ac:dyDescent="0.8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c r="AA679" s="3"/>
      <c r="AB679" s="3"/>
      <c r="AC679" s="3"/>
      <c r="AD679" s="3"/>
      <c r="AE679" s="3"/>
      <c r="AF679" s="3"/>
    </row>
    <row r="680" spans="1:32" ht="22.5" customHeight="1" x14ac:dyDescent="0.8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c r="AA680" s="3"/>
      <c r="AB680" s="3"/>
      <c r="AC680" s="3"/>
      <c r="AD680" s="3"/>
      <c r="AE680" s="3"/>
      <c r="AF680" s="3"/>
    </row>
    <row r="681" spans="1:32" ht="22.5" customHeight="1" x14ac:dyDescent="0.8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c r="AA681" s="3"/>
      <c r="AB681" s="3"/>
      <c r="AC681" s="3"/>
      <c r="AD681" s="3"/>
      <c r="AE681" s="3"/>
      <c r="AF681" s="3"/>
    </row>
    <row r="682" spans="1:32" ht="22.5" customHeight="1" x14ac:dyDescent="0.8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c r="AA682" s="3"/>
      <c r="AB682" s="3"/>
      <c r="AC682" s="3"/>
      <c r="AD682" s="3"/>
      <c r="AE682" s="3"/>
      <c r="AF682" s="3"/>
    </row>
    <row r="683" spans="1:32" ht="22.5" customHeight="1" x14ac:dyDescent="0.8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c r="AA683" s="3"/>
      <c r="AB683" s="3"/>
      <c r="AC683" s="3"/>
      <c r="AD683" s="3"/>
      <c r="AE683" s="3"/>
      <c r="AF683" s="3"/>
    </row>
    <row r="684" spans="1:32" ht="22.5" customHeight="1" x14ac:dyDescent="0.8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c r="AA684" s="3"/>
      <c r="AB684" s="3"/>
      <c r="AC684" s="3"/>
      <c r="AD684" s="3"/>
      <c r="AE684" s="3"/>
      <c r="AF684" s="3"/>
    </row>
    <row r="685" spans="1:32" ht="22.5" customHeight="1" x14ac:dyDescent="0.8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c r="AA685" s="3"/>
      <c r="AB685" s="3"/>
      <c r="AC685" s="3"/>
      <c r="AD685" s="3"/>
      <c r="AE685" s="3"/>
      <c r="AF685" s="3"/>
    </row>
    <row r="686" spans="1:32" ht="22.5" customHeight="1" x14ac:dyDescent="0.8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c r="AA686" s="3"/>
      <c r="AB686" s="3"/>
      <c r="AC686" s="3"/>
      <c r="AD686" s="3"/>
      <c r="AE686" s="3"/>
      <c r="AF686" s="3"/>
    </row>
    <row r="687" spans="1:32" ht="22.5" customHeight="1" x14ac:dyDescent="0.8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c r="AA687" s="3"/>
      <c r="AB687" s="3"/>
      <c r="AC687" s="3"/>
      <c r="AD687" s="3"/>
      <c r="AE687" s="3"/>
      <c r="AF687" s="3"/>
    </row>
    <row r="688" spans="1:32" ht="22.5" customHeight="1" x14ac:dyDescent="0.8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c r="AA688" s="3"/>
      <c r="AB688" s="3"/>
      <c r="AC688" s="3"/>
      <c r="AD688" s="3"/>
      <c r="AE688" s="3"/>
      <c r="AF688" s="3"/>
    </row>
    <row r="689" spans="1:32" ht="22.5" customHeight="1" x14ac:dyDescent="0.8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c r="AA689" s="3"/>
      <c r="AB689" s="3"/>
      <c r="AC689" s="3"/>
      <c r="AD689" s="3"/>
      <c r="AE689" s="3"/>
      <c r="AF689" s="3"/>
    </row>
    <row r="690" spans="1:32" ht="22.5" customHeight="1" x14ac:dyDescent="0.8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c r="AA690" s="3"/>
      <c r="AB690" s="3"/>
      <c r="AC690" s="3"/>
      <c r="AD690" s="3"/>
      <c r="AE690" s="3"/>
      <c r="AF690" s="3"/>
    </row>
    <row r="691" spans="1:32" ht="22.5" customHeight="1" x14ac:dyDescent="0.8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c r="AA691" s="3"/>
      <c r="AB691" s="3"/>
      <c r="AC691" s="3"/>
      <c r="AD691" s="3"/>
      <c r="AE691" s="3"/>
      <c r="AF691" s="3"/>
    </row>
    <row r="692" spans="1:32" ht="22.5" customHeight="1" x14ac:dyDescent="0.8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c r="AA692" s="3"/>
      <c r="AB692" s="3"/>
      <c r="AC692" s="3"/>
      <c r="AD692" s="3"/>
      <c r="AE692" s="3"/>
      <c r="AF692" s="3"/>
    </row>
    <row r="693" spans="1:32" ht="22.5" customHeight="1" x14ac:dyDescent="0.8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c r="AA693" s="3"/>
      <c r="AB693" s="3"/>
      <c r="AC693" s="3"/>
      <c r="AD693" s="3"/>
      <c r="AE693" s="3"/>
      <c r="AF693" s="3"/>
    </row>
    <row r="694" spans="1:32" ht="22.5" customHeight="1" x14ac:dyDescent="0.8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c r="AA694" s="3"/>
      <c r="AB694" s="3"/>
      <c r="AC694" s="3"/>
      <c r="AD694" s="3"/>
      <c r="AE694" s="3"/>
      <c r="AF694" s="3"/>
    </row>
    <row r="695" spans="1:32" ht="22.5" customHeight="1" x14ac:dyDescent="0.8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c r="AA695" s="3"/>
      <c r="AB695" s="3"/>
      <c r="AC695" s="3"/>
      <c r="AD695" s="3"/>
      <c r="AE695" s="3"/>
      <c r="AF695" s="3"/>
    </row>
    <row r="696" spans="1:32" ht="22.5" customHeight="1" x14ac:dyDescent="0.8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c r="AA696" s="3"/>
      <c r="AB696" s="3"/>
      <c r="AC696" s="3"/>
      <c r="AD696" s="3"/>
      <c r="AE696" s="3"/>
      <c r="AF696" s="3"/>
    </row>
    <row r="697" spans="1:32" ht="22.5" customHeight="1" x14ac:dyDescent="0.8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c r="AA697" s="3"/>
      <c r="AB697" s="3"/>
      <c r="AC697" s="3"/>
      <c r="AD697" s="3"/>
      <c r="AE697" s="3"/>
      <c r="AF697" s="3"/>
    </row>
    <row r="698" spans="1:32" ht="22.5" customHeight="1" x14ac:dyDescent="0.8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c r="AA698" s="3"/>
      <c r="AB698" s="3"/>
      <c r="AC698" s="3"/>
      <c r="AD698" s="3"/>
      <c r="AE698" s="3"/>
      <c r="AF698" s="3"/>
    </row>
    <row r="699" spans="1:32" ht="22.5" customHeight="1" x14ac:dyDescent="0.8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c r="AA699" s="3"/>
      <c r="AB699" s="3"/>
      <c r="AC699" s="3"/>
      <c r="AD699" s="3"/>
      <c r="AE699" s="3"/>
      <c r="AF699" s="3"/>
    </row>
    <row r="700" spans="1:32" ht="22.5" customHeight="1" x14ac:dyDescent="0.8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c r="AA700" s="3"/>
      <c r="AB700" s="3"/>
      <c r="AC700" s="3"/>
      <c r="AD700" s="3"/>
      <c r="AE700" s="3"/>
      <c r="AF700" s="3"/>
    </row>
    <row r="701" spans="1:32" ht="22.5" customHeight="1" x14ac:dyDescent="0.8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c r="AA701" s="3"/>
      <c r="AB701" s="3"/>
      <c r="AC701" s="3"/>
      <c r="AD701" s="3"/>
      <c r="AE701" s="3"/>
      <c r="AF701" s="3"/>
    </row>
    <row r="702" spans="1:32" ht="22.5" customHeight="1" x14ac:dyDescent="0.8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c r="AA702" s="3"/>
      <c r="AB702" s="3"/>
      <c r="AC702" s="3"/>
      <c r="AD702" s="3"/>
      <c r="AE702" s="3"/>
      <c r="AF702" s="3"/>
    </row>
    <row r="703" spans="1:32" ht="22.5" customHeight="1" x14ac:dyDescent="0.8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c r="AA703" s="3"/>
      <c r="AB703" s="3"/>
      <c r="AC703" s="3"/>
      <c r="AD703" s="3"/>
      <c r="AE703" s="3"/>
      <c r="AF703" s="3"/>
    </row>
    <row r="704" spans="1:32" ht="22.5" customHeight="1" x14ac:dyDescent="0.8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c r="AA704" s="3"/>
      <c r="AB704" s="3"/>
      <c r="AC704" s="3"/>
      <c r="AD704" s="3"/>
      <c r="AE704" s="3"/>
      <c r="AF704" s="3"/>
    </row>
    <row r="705" spans="1:32" ht="22.5" customHeight="1" x14ac:dyDescent="0.8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c r="AA705" s="3"/>
      <c r="AB705" s="3"/>
      <c r="AC705" s="3"/>
      <c r="AD705" s="3"/>
      <c r="AE705" s="3"/>
      <c r="AF705" s="3"/>
    </row>
    <row r="706" spans="1:32" ht="22.5" customHeight="1" x14ac:dyDescent="0.8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c r="AA706" s="3"/>
      <c r="AB706" s="3"/>
      <c r="AC706" s="3"/>
      <c r="AD706" s="3"/>
      <c r="AE706" s="3"/>
      <c r="AF706" s="3"/>
    </row>
    <row r="707" spans="1:32" ht="22.5" customHeight="1" x14ac:dyDescent="0.8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c r="AA707" s="3"/>
      <c r="AB707" s="3"/>
      <c r="AC707" s="3"/>
      <c r="AD707" s="3"/>
      <c r="AE707" s="3"/>
      <c r="AF707" s="3"/>
    </row>
    <row r="708" spans="1:32" ht="22.5" customHeight="1" x14ac:dyDescent="0.8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c r="AA708" s="3"/>
      <c r="AB708" s="3"/>
      <c r="AC708" s="3"/>
      <c r="AD708" s="3"/>
      <c r="AE708" s="3"/>
      <c r="AF708" s="3"/>
    </row>
    <row r="709" spans="1:32" ht="22.5" customHeight="1" x14ac:dyDescent="0.8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c r="AA709" s="3"/>
      <c r="AB709" s="3"/>
      <c r="AC709" s="3"/>
      <c r="AD709" s="3"/>
      <c r="AE709" s="3"/>
      <c r="AF709" s="3"/>
    </row>
    <row r="710" spans="1:32" ht="22.5" customHeight="1" x14ac:dyDescent="0.8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c r="AA710" s="3"/>
      <c r="AB710" s="3"/>
      <c r="AC710" s="3"/>
      <c r="AD710" s="3"/>
      <c r="AE710" s="3"/>
      <c r="AF710" s="3"/>
    </row>
    <row r="711" spans="1:32" ht="22.5" customHeight="1" x14ac:dyDescent="0.8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c r="AA711" s="3"/>
      <c r="AB711" s="3"/>
      <c r="AC711" s="3"/>
      <c r="AD711" s="3"/>
      <c r="AE711" s="3"/>
      <c r="AF711" s="3"/>
    </row>
    <row r="712" spans="1:32" ht="22.5" customHeight="1" x14ac:dyDescent="0.8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c r="AA712" s="3"/>
      <c r="AB712" s="3"/>
      <c r="AC712" s="3"/>
      <c r="AD712" s="3"/>
      <c r="AE712" s="3"/>
      <c r="AF712" s="3"/>
    </row>
    <row r="713" spans="1:32" ht="22.5" customHeight="1" x14ac:dyDescent="0.8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c r="AA713" s="3"/>
      <c r="AB713" s="3"/>
      <c r="AC713" s="3"/>
      <c r="AD713" s="3"/>
      <c r="AE713" s="3"/>
      <c r="AF713" s="3"/>
    </row>
    <row r="714" spans="1:32" ht="22.5" customHeight="1" x14ac:dyDescent="0.8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c r="AA714" s="3"/>
      <c r="AB714" s="3"/>
      <c r="AC714" s="3"/>
      <c r="AD714" s="3"/>
      <c r="AE714" s="3"/>
      <c r="AF714" s="3"/>
    </row>
    <row r="715" spans="1:32" ht="22.5" customHeight="1" x14ac:dyDescent="0.8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c r="AA715" s="3"/>
      <c r="AB715" s="3"/>
      <c r="AC715" s="3"/>
      <c r="AD715" s="3"/>
      <c r="AE715" s="3"/>
      <c r="AF715" s="3"/>
    </row>
    <row r="716" spans="1:32" ht="22.5" customHeight="1" x14ac:dyDescent="0.8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c r="AA716" s="3"/>
      <c r="AB716" s="3"/>
      <c r="AC716" s="3"/>
      <c r="AD716" s="3"/>
      <c r="AE716" s="3"/>
      <c r="AF716" s="3"/>
    </row>
    <row r="717" spans="1:32" ht="22.5" customHeight="1" x14ac:dyDescent="0.8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c r="AA717" s="3"/>
      <c r="AB717" s="3"/>
      <c r="AC717" s="3"/>
      <c r="AD717" s="3"/>
      <c r="AE717" s="3"/>
      <c r="AF717" s="3"/>
    </row>
    <row r="718" spans="1:32" ht="22.5" customHeight="1" x14ac:dyDescent="0.8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c r="AA718" s="3"/>
      <c r="AB718" s="3"/>
      <c r="AC718" s="3"/>
      <c r="AD718" s="3"/>
      <c r="AE718" s="3"/>
      <c r="AF718" s="3"/>
    </row>
    <row r="719" spans="1:32" ht="22.5" customHeight="1" x14ac:dyDescent="0.8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c r="AA719" s="3"/>
      <c r="AB719" s="3"/>
      <c r="AC719" s="3"/>
      <c r="AD719" s="3"/>
      <c r="AE719" s="3"/>
      <c r="AF719" s="3"/>
    </row>
    <row r="720" spans="1:32" ht="22.5" customHeight="1" x14ac:dyDescent="0.8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c r="AA720" s="3"/>
      <c r="AB720" s="3"/>
      <c r="AC720" s="3"/>
      <c r="AD720" s="3"/>
      <c r="AE720" s="3"/>
      <c r="AF720" s="3"/>
    </row>
    <row r="721" spans="1:32" ht="22.5" customHeight="1" x14ac:dyDescent="0.8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c r="AA721" s="3"/>
      <c r="AB721" s="3"/>
      <c r="AC721" s="3"/>
      <c r="AD721" s="3"/>
      <c r="AE721" s="3"/>
      <c r="AF721" s="3"/>
    </row>
    <row r="722" spans="1:32" ht="22.5" customHeight="1" x14ac:dyDescent="0.8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c r="AA722" s="3"/>
      <c r="AB722" s="3"/>
      <c r="AC722" s="3"/>
      <c r="AD722" s="3"/>
      <c r="AE722" s="3"/>
      <c r="AF722" s="3"/>
    </row>
    <row r="723" spans="1:32" ht="22.5" customHeight="1" x14ac:dyDescent="0.8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c r="AA723" s="3"/>
      <c r="AB723" s="3"/>
      <c r="AC723" s="3"/>
      <c r="AD723" s="3"/>
      <c r="AE723" s="3"/>
      <c r="AF723" s="3"/>
    </row>
    <row r="724" spans="1:32" ht="22.5" customHeight="1" x14ac:dyDescent="0.8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c r="AA724" s="3"/>
      <c r="AB724" s="3"/>
      <c r="AC724" s="3"/>
      <c r="AD724" s="3"/>
      <c r="AE724" s="3"/>
      <c r="AF724" s="3"/>
    </row>
    <row r="725" spans="1:32" ht="22.5" customHeight="1" x14ac:dyDescent="0.8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c r="AA725" s="3"/>
      <c r="AB725" s="3"/>
      <c r="AC725" s="3"/>
      <c r="AD725" s="3"/>
      <c r="AE725" s="3"/>
      <c r="AF725" s="3"/>
    </row>
    <row r="726" spans="1:32" ht="22.5" customHeight="1" x14ac:dyDescent="0.8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c r="AA726" s="3"/>
      <c r="AB726" s="3"/>
      <c r="AC726" s="3"/>
      <c r="AD726" s="3"/>
      <c r="AE726" s="3"/>
      <c r="AF726" s="3"/>
    </row>
    <row r="727" spans="1:32" ht="22.5" customHeight="1" x14ac:dyDescent="0.8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c r="AA727" s="3"/>
      <c r="AB727" s="3"/>
      <c r="AC727" s="3"/>
      <c r="AD727" s="3"/>
      <c r="AE727" s="3"/>
      <c r="AF727" s="3"/>
    </row>
    <row r="728" spans="1:32" ht="22.5" customHeight="1" x14ac:dyDescent="0.8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c r="AA728" s="3"/>
      <c r="AB728" s="3"/>
      <c r="AC728" s="3"/>
      <c r="AD728" s="3"/>
      <c r="AE728" s="3"/>
      <c r="AF728" s="3"/>
    </row>
    <row r="729" spans="1:32" ht="22.5" customHeight="1" x14ac:dyDescent="0.8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c r="AA729" s="3"/>
      <c r="AB729" s="3"/>
      <c r="AC729" s="3"/>
      <c r="AD729" s="3"/>
      <c r="AE729" s="3"/>
      <c r="AF729" s="3"/>
    </row>
    <row r="730" spans="1:32" ht="22.5" customHeight="1" x14ac:dyDescent="0.8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c r="AA730" s="3"/>
      <c r="AB730" s="3"/>
      <c r="AC730" s="3"/>
      <c r="AD730" s="3"/>
      <c r="AE730" s="3"/>
      <c r="AF730" s="3"/>
    </row>
    <row r="731" spans="1:32" ht="22.5" customHeight="1" x14ac:dyDescent="0.8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c r="AA731" s="3"/>
      <c r="AB731" s="3"/>
      <c r="AC731" s="3"/>
      <c r="AD731" s="3"/>
      <c r="AE731" s="3"/>
      <c r="AF731" s="3"/>
    </row>
    <row r="732" spans="1:32" ht="22.5" customHeight="1" x14ac:dyDescent="0.8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c r="AA732" s="3"/>
      <c r="AB732" s="3"/>
      <c r="AC732" s="3"/>
      <c r="AD732" s="3"/>
      <c r="AE732" s="3"/>
      <c r="AF732" s="3"/>
    </row>
    <row r="733" spans="1:32" ht="22.5" customHeight="1" x14ac:dyDescent="0.8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c r="AA733" s="3"/>
      <c r="AB733" s="3"/>
      <c r="AC733" s="3"/>
      <c r="AD733" s="3"/>
      <c r="AE733" s="3"/>
      <c r="AF733" s="3"/>
    </row>
    <row r="734" spans="1:32" ht="22.5" customHeight="1" x14ac:dyDescent="0.8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c r="AA734" s="3"/>
      <c r="AB734" s="3"/>
      <c r="AC734" s="3"/>
      <c r="AD734" s="3"/>
      <c r="AE734" s="3"/>
      <c r="AF734" s="3"/>
    </row>
    <row r="735" spans="1:32" ht="22.5" customHeight="1" x14ac:dyDescent="0.8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c r="AA735" s="3"/>
      <c r="AB735" s="3"/>
      <c r="AC735" s="3"/>
      <c r="AD735" s="3"/>
      <c r="AE735" s="3"/>
      <c r="AF735" s="3"/>
    </row>
    <row r="736" spans="1:32" ht="22.5" customHeight="1" x14ac:dyDescent="0.8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c r="AA736" s="3"/>
      <c r="AB736" s="3"/>
      <c r="AC736" s="3"/>
      <c r="AD736" s="3"/>
      <c r="AE736" s="3"/>
      <c r="AF736" s="3"/>
    </row>
    <row r="737" spans="1:32" ht="22.5" customHeight="1" x14ac:dyDescent="0.8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c r="AA737" s="3"/>
      <c r="AB737" s="3"/>
      <c r="AC737" s="3"/>
      <c r="AD737" s="3"/>
      <c r="AE737" s="3"/>
      <c r="AF737" s="3"/>
    </row>
    <row r="738" spans="1:32" ht="22.5" customHeight="1" x14ac:dyDescent="0.8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c r="AA738" s="3"/>
      <c r="AB738" s="3"/>
      <c r="AC738" s="3"/>
      <c r="AD738" s="3"/>
      <c r="AE738" s="3"/>
      <c r="AF738" s="3"/>
    </row>
    <row r="739" spans="1:32" ht="22.5" customHeight="1" x14ac:dyDescent="0.8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c r="AA739" s="3"/>
      <c r="AB739" s="3"/>
      <c r="AC739" s="3"/>
      <c r="AD739" s="3"/>
      <c r="AE739" s="3"/>
      <c r="AF739" s="3"/>
    </row>
    <row r="740" spans="1:32" ht="22.5" customHeight="1" x14ac:dyDescent="0.8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c r="AA740" s="3"/>
      <c r="AB740" s="3"/>
      <c r="AC740" s="3"/>
      <c r="AD740" s="3"/>
      <c r="AE740" s="3"/>
      <c r="AF740" s="3"/>
    </row>
    <row r="741" spans="1:32" ht="22.5" customHeight="1" x14ac:dyDescent="0.8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c r="AA741" s="3"/>
      <c r="AB741" s="3"/>
      <c r="AC741" s="3"/>
      <c r="AD741" s="3"/>
      <c r="AE741" s="3"/>
      <c r="AF741" s="3"/>
    </row>
    <row r="742" spans="1:32" ht="22.5" customHeight="1" x14ac:dyDescent="0.8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c r="AA742" s="3"/>
      <c r="AB742" s="3"/>
      <c r="AC742" s="3"/>
      <c r="AD742" s="3"/>
      <c r="AE742" s="3"/>
      <c r="AF742" s="3"/>
    </row>
    <row r="743" spans="1:32" ht="22.5" customHeight="1" x14ac:dyDescent="0.8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c r="AA743" s="3"/>
      <c r="AB743" s="3"/>
      <c r="AC743" s="3"/>
      <c r="AD743" s="3"/>
      <c r="AE743" s="3"/>
      <c r="AF743" s="3"/>
    </row>
    <row r="744" spans="1:32" ht="22.5" customHeight="1" x14ac:dyDescent="0.8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c r="AA744" s="3"/>
      <c r="AB744" s="3"/>
      <c r="AC744" s="3"/>
      <c r="AD744" s="3"/>
      <c r="AE744" s="3"/>
      <c r="AF744" s="3"/>
    </row>
    <row r="745" spans="1:32" ht="22.5" customHeight="1" x14ac:dyDescent="0.8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c r="AA745" s="3"/>
      <c r="AB745" s="3"/>
      <c r="AC745" s="3"/>
      <c r="AD745" s="3"/>
      <c r="AE745" s="3"/>
      <c r="AF745" s="3"/>
    </row>
    <row r="746" spans="1:32" ht="22.5" customHeight="1" x14ac:dyDescent="0.8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c r="AA746" s="3"/>
      <c r="AB746" s="3"/>
      <c r="AC746" s="3"/>
      <c r="AD746" s="3"/>
      <c r="AE746" s="3"/>
      <c r="AF746" s="3"/>
    </row>
    <row r="747" spans="1:32" ht="22.5" customHeight="1" x14ac:dyDescent="0.8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c r="AA747" s="3"/>
      <c r="AB747" s="3"/>
      <c r="AC747" s="3"/>
      <c r="AD747" s="3"/>
      <c r="AE747" s="3"/>
      <c r="AF747" s="3"/>
    </row>
    <row r="748" spans="1:32" ht="22.5" customHeight="1" x14ac:dyDescent="0.8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c r="AA748" s="3"/>
      <c r="AB748" s="3"/>
      <c r="AC748" s="3"/>
      <c r="AD748" s="3"/>
      <c r="AE748" s="3"/>
      <c r="AF748" s="3"/>
    </row>
    <row r="749" spans="1:32" ht="22.5" customHeight="1" x14ac:dyDescent="0.8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c r="AA749" s="3"/>
      <c r="AB749" s="3"/>
      <c r="AC749" s="3"/>
      <c r="AD749" s="3"/>
      <c r="AE749" s="3"/>
      <c r="AF749" s="3"/>
    </row>
    <row r="750" spans="1:32" ht="22.5" customHeight="1" x14ac:dyDescent="0.8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c r="AA750" s="3"/>
      <c r="AB750" s="3"/>
      <c r="AC750" s="3"/>
      <c r="AD750" s="3"/>
      <c r="AE750" s="3"/>
      <c r="AF750" s="3"/>
    </row>
    <row r="751" spans="1:32" ht="22.5" customHeight="1" x14ac:dyDescent="0.8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c r="AA751" s="3"/>
      <c r="AB751" s="3"/>
      <c r="AC751" s="3"/>
      <c r="AD751" s="3"/>
      <c r="AE751" s="3"/>
      <c r="AF751" s="3"/>
    </row>
    <row r="752" spans="1:32" ht="22.5" customHeight="1" x14ac:dyDescent="0.8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c r="AA752" s="3"/>
      <c r="AB752" s="3"/>
      <c r="AC752" s="3"/>
      <c r="AD752" s="3"/>
      <c r="AE752" s="3"/>
      <c r="AF752" s="3"/>
    </row>
    <row r="753" spans="1:32" ht="22.5" customHeight="1" x14ac:dyDescent="0.8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c r="AA753" s="3"/>
      <c r="AB753" s="3"/>
      <c r="AC753" s="3"/>
      <c r="AD753" s="3"/>
      <c r="AE753" s="3"/>
      <c r="AF753" s="3"/>
    </row>
    <row r="754" spans="1:32" ht="22.5" customHeight="1" x14ac:dyDescent="0.8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c r="AA754" s="3"/>
      <c r="AB754" s="3"/>
      <c r="AC754" s="3"/>
      <c r="AD754" s="3"/>
      <c r="AE754" s="3"/>
      <c r="AF754" s="3"/>
    </row>
    <row r="755" spans="1:32" ht="22.5" customHeight="1" x14ac:dyDescent="0.8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c r="AA755" s="3"/>
      <c r="AB755" s="3"/>
      <c r="AC755" s="3"/>
      <c r="AD755" s="3"/>
      <c r="AE755" s="3"/>
      <c r="AF755" s="3"/>
    </row>
    <row r="756" spans="1:32" ht="22.5" customHeight="1" x14ac:dyDescent="0.8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c r="AA756" s="3"/>
      <c r="AB756" s="3"/>
      <c r="AC756" s="3"/>
      <c r="AD756" s="3"/>
      <c r="AE756" s="3"/>
      <c r="AF756" s="3"/>
    </row>
    <row r="757" spans="1:32" ht="22.5" customHeight="1" x14ac:dyDescent="0.8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c r="AA757" s="3"/>
      <c r="AB757" s="3"/>
      <c r="AC757" s="3"/>
      <c r="AD757" s="3"/>
      <c r="AE757" s="3"/>
      <c r="AF757" s="3"/>
    </row>
    <row r="758" spans="1:32" ht="22.5" customHeight="1" x14ac:dyDescent="0.8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c r="AA758" s="3"/>
      <c r="AB758" s="3"/>
      <c r="AC758" s="3"/>
      <c r="AD758" s="3"/>
      <c r="AE758" s="3"/>
      <c r="AF758" s="3"/>
    </row>
    <row r="759" spans="1:32" ht="22.5" customHeight="1" x14ac:dyDescent="0.8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c r="AA759" s="3"/>
      <c r="AB759" s="3"/>
      <c r="AC759" s="3"/>
      <c r="AD759" s="3"/>
      <c r="AE759" s="3"/>
      <c r="AF759" s="3"/>
    </row>
    <row r="760" spans="1:32" ht="22.5" customHeight="1" x14ac:dyDescent="0.8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c r="AA760" s="3"/>
      <c r="AB760" s="3"/>
      <c r="AC760" s="3"/>
      <c r="AD760" s="3"/>
      <c r="AE760" s="3"/>
      <c r="AF760" s="3"/>
    </row>
    <row r="761" spans="1:32" ht="22.5" customHeight="1" x14ac:dyDescent="0.8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c r="AA761" s="3"/>
      <c r="AB761" s="3"/>
      <c r="AC761" s="3"/>
      <c r="AD761" s="3"/>
      <c r="AE761" s="3"/>
      <c r="AF761" s="3"/>
    </row>
    <row r="762" spans="1:32" ht="22.5" customHeight="1" x14ac:dyDescent="0.8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c r="AA762" s="3"/>
      <c r="AB762" s="3"/>
      <c r="AC762" s="3"/>
      <c r="AD762" s="3"/>
      <c r="AE762" s="3"/>
      <c r="AF762" s="3"/>
    </row>
    <row r="763" spans="1:32" ht="22.5" customHeight="1" x14ac:dyDescent="0.8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c r="AA763" s="3"/>
      <c r="AB763" s="3"/>
      <c r="AC763" s="3"/>
      <c r="AD763" s="3"/>
      <c r="AE763" s="3"/>
      <c r="AF763" s="3"/>
    </row>
    <row r="764" spans="1:32" ht="22.5" customHeight="1" x14ac:dyDescent="0.8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c r="AA764" s="3"/>
      <c r="AB764" s="3"/>
      <c r="AC764" s="3"/>
      <c r="AD764" s="3"/>
      <c r="AE764" s="3"/>
      <c r="AF764" s="3"/>
    </row>
    <row r="765" spans="1:32" ht="22.5" customHeight="1" x14ac:dyDescent="0.8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c r="AA765" s="3"/>
      <c r="AB765" s="3"/>
      <c r="AC765" s="3"/>
      <c r="AD765" s="3"/>
      <c r="AE765" s="3"/>
      <c r="AF765" s="3"/>
    </row>
    <row r="766" spans="1:32" ht="22.5" customHeight="1" x14ac:dyDescent="0.8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c r="AA766" s="3"/>
      <c r="AB766" s="3"/>
      <c r="AC766" s="3"/>
      <c r="AD766" s="3"/>
      <c r="AE766" s="3"/>
      <c r="AF766" s="3"/>
    </row>
    <row r="767" spans="1:32" ht="22.5" customHeight="1" x14ac:dyDescent="0.8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c r="AA767" s="3"/>
      <c r="AB767" s="3"/>
      <c r="AC767" s="3"/>
      <c r="AD767" s="3"/>
      <c r="AE767" s="3"/>
      <c r="AF767" s="3"/>
    </row>
    <row r="768" spans="1:32" ht="22.5" customHeight="1" x14ac:dyDescent="0.8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c r="AA768" s="3"/>
      <c r="AB768" s="3"/>
      <c r="AC768" s="3"/>
      <c r="AD768" s="3"/>
      <c r="AE768" s="3"/>
      <c r="AF768" s="3"/>
    </row>
    <row r="769" spans="1:32" ht="22.5" customHeight="1" x14ac:dyDescent="0.8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c r="AA769" s="3"/>
      <c r="AB769" s="3"/>
      <c r="AC769" s="3"/>
      <c r="AD769" s="3"/>
      <c r="AE769" s="3"/>
      <c r="AF769" s="3"/>
    </row>
    <row r="770" spans="1:32" ht="22.5" customHeight="1" x14ac:dyDescent="0.8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c r="AA770" s="3"/>
      <c r="AB770" s="3"/>
      <c r="AC770" s="3"/>
      <c r="AD770" s="3"/>
      <c r="AE770" s="3"/>
      <c r="AF770" s="3"/>
    </row>
    <row r="771" spans="1:32" ht="22.5" customHeight="1" x14ac:dyDescent="0.8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c r="AA771" s="3"/>
      <c r="AB771" s="3"/>
      <c r="AC771" s="3"/>
      <c r="AD771" s="3"/>
      <c r="AE771" s="3"/>
      <c r="AF771" s="3"/>
    </row>
    <row r="772" spans="1:32" ht="22.5" customHeight="1" x14ac:dyDescent="0.8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c r="AA772" s="3"/>
      <c r="AB772" s="3"/>
      <c r="AC772" s="3"/>
      <c r="AD772" s="3"/>
      <c r="AE772" s="3"/>
      <c r="AF772" s="3"/>
    </row>
    <row r="773" spans="1:32" ht="22.5" customHeight="1" x14ac:dyDescent="0.8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c r="AA773" s="3"/>
      <c r="AB773" s="3"/>
      <c r="AC773" s="3"/>
      <c r="AD773" s="3"/>
      <c r="AE773" s="3"/>
      <c r="AF773" s="3"/>
    </row>
    <row r="774" spans="1:32" ht="22.5" customHeight="1" x14ac:dyDescent="0.8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c r="AA774" s="3"/>
      <c r="AB774" s="3"/>
      <c r="AC774" s="3"/>
      <c r="AD774" s="3"/>
      <c r="AE774" s="3"/>
      <c r="AF774" s="3"/>
    </row>
    <row r="775" spans="1:32" ht="22.5" customHeight="1" x14ac:dyDescent="0.8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c r="AA775" s="3"/>
      <c r="AB775" s="3"/>
      <c r="AC775" s="3"/>
      <c r="AD775" s="3"/>
      <c r="AE775" s="3"/>
      <c r="AF775" s="3"/>
    </row>
    <row r="776" spans="1:32" ht="22.5" customHeight="1" x14ac:dyDescent="0.8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c r="AA776" s="3"/>
      <c r="AB776" s="3"/>
      <c r="AC776" s="3"/>
      <c r="AD776" s="3"/>
      <c r="AE776" s="3"/>
      <c r="AF776" s="3"/>
    </row>
    <row r="777" spans="1:32" ht="22.5" customHeight="1" x14ac:dyDescent="0.8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c r="AA777" s="3"/>
      <c r="AB777" s="3"/>
      <c r="AC777" s="3"/>
      <c r="AD777" s="3"/>
      <c r="AE777" s="3"/>
      <c r="AF777" s="3"/>
    </row>
    <row r="778" spans="1:32" ht="22.5" customHeight="1" x14ac:dyDescent="0.8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c r="AA778" s="3"/>
      <c r="AB778" s="3"/>
      <c r="AC778" s="3"/>
      <c r="AD778" s="3"/>
      <c r="AE778" s="3"/>
      <c r="AF778" s="3"/>
    </row>
    <row r="779" spans="1:32" ht="22.5" customHeight="1" x14ac:dyDescent="0.8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c r="AA779" s="3"/>
      <c r="AB779" s="3"/>
      <c r="AC779" s="3"/>
      <c r="AD779" s="3"/>
      <c r="AE779" s="3"/>
      <c r="AF779" s="3"/>
    </row>
    <row r="780" spans="1:32" ht="22.5" customHeight="1" x14ac:dyDescent="0.8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c r="AA780" s="3"/>
      <c r="AB780" s="3"/>
      <c r="AC780" s="3"/>
      <c r="AD780" s="3"/>
      <c r="AE780" s="3"/>
      <c r="AF780" s="3"/>
    </row>
    <row r="781" spans="1:32" ht="22.5" customHeight="1" x14ac:dyDescent="0.8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c r="AA781" s="3"/>
      <c r="AB781" s="3"/>
      <c r="AC781" s="3"/>
      <c r="AD781" s="3"/>
      <c r="AE781" s="3"/>
      <c r="AF781" s="3"/>
    </row>
    <row r="782" spans="1:32" ht="22.5" customHeight="1" x14ac:dyDescent="0.8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c r="AA782" s="3"/>
      <c r="AB782" s="3"/>
      <c r="AC782" s="3"/>
      <c r="AD782" s="3"/>
      <c r="AE782" s="3"/>
      <c r="AF782" s="3"/>
    </row>
    <row r="783" spans="1:32" ht="22.5" customHeight="1" x14ac:dyDescent="0.8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c r="AA783" s="3"/>
      <c r="AB783" s="3"/>
      <c r="AC783" s="3"/>
      <c r="AD783" s="3"/>
      <c r="AE783" s="3"/>
      <c r="AF783" s="3"/>
    </row>
    <row r="784" spans="1:32" ht="22.5" customHeight="1" x14ac:dyDescent="0.8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c r="AA784" s="3"/>
      <c r="AB784" s="3"/>
      <c r="AC784" s="3"/>
      <c r="AD784" s="3"/>
      <c r="AE784" s="3"/>
      <c r="AF784" s="3"/>
    </row>
    <row r="785" spans="1:32" ht="22.5" customHeight="1" x14ac:dyDescent="0.8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c r="AA785" s="3"/>
      <c r="AB785" s="3"/>
      <c r="AC785" s="3"/>
      <c r="AD785" s="3"/>
      <c r="AE785" s="3"/>
      <c r="AF785" s="3"/>
    </row>
    <row r="786" spans="1:32" ht="22.5" customHeight="1" x14ac:dyDescent="0.8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c r="AA786" s="3"/>
      <c r="AB786" s="3"/>
      <c r="AC786" s="3"/>
      <c r="AD786" s="3"/>
      <c r="AE786" s="3"/>
      <c r="AF786" s="3"/>
    </row>
    <row r="787" spans="1:32" ht="22.5" customHeight="1" x14ac:dyDescent="0.8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c r="AA787" s="3"/>
      <c r="AB787" s="3"/>
      <c r="AC787" s="3"/>
      <c r="AD787" s="3"/>
      <c r="AE787" s="3"/>
      <c r="AF787" s="3"/>
    </row>
    <row r="788" spans="1:32" ht="22.5" customHeight="1" x14ac:dyDescent="0.8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c r="AA788" s="3"/>
      <c r="AB788" s="3"/>
      <c r="AC788" s="3"/>
      <c r="AD788" s="3"/>
      <c r="AE788" s="3"/>
      <c r="AF788" s="3"/>
    </row>
    <row r="789" spans="1:32" ht="22.5" customHeight="1" x14ac:dyDescent="0.8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c r="AA789" s="3"/>
      <c r="AB789" s="3"/>
      <c r="AC789" s="3"/>
      <c r="AD789" s="3"/>
      <c r="AE789" s="3"/>
      <c r="AF789" s="3"/>
    </row>
    <row r="790" spans="1:32" ht="22.5" customHeight="1" x14ac:dyDescent="0.8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c r="AA790" s="3"/>
      <c r="AB790" s="3"/>
      <c r="AC790" s="3"/>
      <c r="AD790" s="3"/>
      <c r="AE790" s="3"/>
      <c r="AF790" s="3"/>
    </row>
    <row r="791" spans="1:32" ht="22.5" customHeight="1" x14ac:dyDescent="0.8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c r="AA791" s="3"/>
      <c r="AB791" s="3"/>
      <c r="AC791" s="3"/>
      <c r="AD791" s="3"/>
      <c r="AE791" s="3"/>
      <c r="AF791" s="3"/>
    </row>
    <row r="792" spans="1:32" ht="22.5" customHeight="1" x14ac:dyDescent="0.8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c r="AA792" s="3"/>
      <c r="AB792" s="3"/>
      <c r="AC792" s="3"/>
      <c r="AD792" s="3"/>
      <c r="AE792" s="3"/>
      <c r="AF792" s="3"/>
    </row>
    <row r="793" spans="1:32" ht="22.5" customHeight="1" x14ac:dyDescent="0.8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c r="AA793" s="3"/>
      <c r="AB793" s="3"/>
      <c r="AC793" s="3"/>
      <c r="AD793" s="3"/>
      <c r="AE793" s="3"/>
      <c r="AF793" s="3"/>
    </row>
    <row r="794" spans="1:32" ht="22.5" customHeight="1" x14ac:dyDescent="0.8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c r="AA794" s="3"/>
      <c r="AB794" s="3"/>
      <c r="AC794" s="3"/>
      <c r="AD794" s="3"/>
      <c r="AE794" s="3"/>
      <c r="AF794" s="3"/>
    </row>
    <row r="795" spans="1:32" ht="22.5" customHeight="1" x14ac:dyDescent="0.8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c r="AA795" s="3"/>
      <c r="AB795" s="3"/>
      <c r="AC795" s="3"/>
      <c r="AD795" s="3"/>
      <c r="AE795" s="3"/>
      <c r="AF795" s="3"/>
    </row>
    <row r="796" spans="1:32" ht="22.5" customHeight="1" x14ac:dyDescent="0.8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c r="AA796" s="3"/>
      <c r="AB796" s="3"/>
      <c r="AC796" s="3"/>
      <c r="AD796" s="3"/>
      <c r="AE796" s="3"/>
      <c r="AF796" s="3"/>
    </row>
    <row r="797" spans="1:32" ht="22.5" customHeight="1" x14ac:dyDescent="0.8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c r="AA797" s="3"/>
      <c r="AB797" s="3"/>
      <c r="AC797" s="3"/>
      <c r="AD797" s="3"/>
      <c r="AE797" s="3"/>
      <c r="AF797" s="3"/>
    </row>
    <row r="798" spans="1:32" ht="22.5" customHeight="1" x14ac:dyDescent="0.8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c r="AA798" s="3"/>
      <c r="AB798" s="3"/>
      <c r="AC798" s="3"/>
      <c r="AD798" s="3"/>
      <c r="AE798" s="3"/>
      <c r="AF798" s="3"/>
    </row>
    <row r="799" spans="1:32" ht="22.5" customHeight="1" x14ac:dyDescent="0.8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c r="AA799" s="3"/>
      <c r="AB799" s="3"/>
      <c r="AC799" s="3"/>
      <c r="AD799" s="3"/>
      <c r="AE799" s="3"/>
      <c r="AF799" s="3"/>
    </row>
    <row r="800" spans="1:32" ht="22.5" customHeight="1" x14ac:dyDescent="0.8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c r="AA800" s="3"/>
      <c r="AB800" s="3"/>
      <c r="AC800" s="3"/>
      <c r="AD800" s="3"/>
      <c r="AE800" s="3"/>
      <c r="AF800" s="3"/>
    </row>
    <row r="801" spans="1:32" ht="22.5" customHeight="1" x14ac:dyDescent="0.8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c r="AA801" s="3"/>
      <c r="AB801" s="3"/>
      <c r="AC801" s="3"/>
      <c r="AD801" s="3"/>
      <c r="AE801" s="3"/>
      <c r="AF801" s="3"/>
    </row>
    <row r="802" spans="1:32" ht="22.5" customHeight="1" x14ac:dyDescent="0.8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c r="AA802" s="3"/>
      <c r="AB802" s="3"/>
      <c r="AC802" s="3"/>
      <c r="AD802" s="3"/>
      <c r="AE802" s="3"/>
      <c r="AF802" s="3"/>
    </row>
    <row r="803" spans="1:32" ht="22.5" customHeight="1" x14ac:dyDescent="0.8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c r="AA803" s="3"/>
      <c r="AB803" s="3"/>
      <c r="AC803" s="3"/>
      <c r="AD803" s="3"/>
      <c r="AE803" s="3"/>
      <c r="AF803" s="3"/>
    </row>
    <row r="804" spans="1:32" ht="22.5" customHeight="1" x14ac:dyDescent="0.8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c r="AA804" s="3"/>
      <c r="AB804" s="3"/>
      <c r="AC804" s="3"/>
      <c r="AD804" s="3"/>
      <c r="AE804" s="3"/>
      <c r="AF804" s="3"/>
    </row>
    <row r="805" spans="1:32" ht="22.5" customHeight="1" x14ac:dyDescent="0.8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c r="AA805" s="3"/>
      <c r="AB805" s="3"/>
      <c r="AC805" s="3"/>
      <c r="AD805" s="3"/>
      <c r="AE805" s="3"/>
      <c r="AF805" s="3"/>
    </row>
    <row r="806" spans="1:32" ht="22.5" customHeight="1" x14ac:dyDescent="0.8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c r="AA806" s="3"/>
      <c r="AB806" s="3"/>
      <c r="AC806" s="3"/>
      <c r="AD806" s="3"/>
      <c r="AE806" s="3"/>
      <c r="AF806" s="3"/>
    </row>
    <row r="807" spans="1:32" ht="22.5" customHeight="1" x14ac:dyDescent="0.8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c r="AA807" s="3"/>
      <c r="AB807" s="3"/>
      <c r="AC807" s="3"/>
      <c r="AD807" s="3"/>
      <c r="AE807" s="3"/>
      <c r="AF807" s="3"/>
    </row>
    <row r="808" spans="1:32" ht="22.5" customHeight="1" x14ac:dyDescent="0.8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c r="AA808" s="3"/>
      <c r="AB808" s="3"/>
      <c r="AC808" s="3"/>
      <c r="AD808" s="3"/>
      <c r="AE808" s="3"/>
      <c r="AF808" s="3"/>
    </row>
    <row r="809" spans="1:32" ht="22.5" customHeight="1" x14ac:dyDescent="0.8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c r="AA809" s="3"/>
      <c r="AB809" s="3"/>
      <c r="AC809" s="3"/>
      <c r="AD809" s="3"/>
      <c r="AE809" s="3"/>
      <c r="AF809" s="3"/>
    </row>
    <row r="810" spans="1:32" ht="22.5" customHeight="1" x14ac:dyDescent="0.8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c r="AA810" s="3"/>
      <c r="AB810" s="3"/>
      <c r="AC810" s="3"/>
      <c r="AD810" s="3"/>
      <c r="AE810" s="3"/>
      <c r="AF810" s="3"/>
    </row>
    <row r="811" spans="1:32" ht="22.5" customHeight="1" x14ac:dyDescent="0.8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c r="AA811" s="3"/>
      <c r="AB811" s="3"/>
      <c r="AC811" s="3"/>
      <c r="AD811" s="3"/>
      <c r="AE811" s="3"/>
      <c r="AF811" s="3"/>
    </row>
    <row r="812" spans="1:32" ht="22.5" customHeight="1" x14ac:dyDescent="0.8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c r="AA812" s="3"/>
      <c r="AB812" s="3"/>
      <c r="AC812" s="3"/>
      <c r="AD812" s="3"/>
      <c r="AE812" s="3"/>
      <c r="AF812" s="3"/>
    </row>
    <row r="813" spans="1:32" ht="22.5" customHeight="1" x14ac:dyDescent="0.8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c r="AA813" s="3"/>
      <c r="AB813" s="3"/>
      <c r="AC813" s="3"/>
      <c r="AD813" s="3"/>
      <c r="AE813" s="3"/>
      <c r="AF813" s="3"/>
    </row>
    <row r="814" spans="1:32" ht="22.5" customHeight="1" x14ac:dyDescent="0.8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c r="AA814" s="3"/>
      <c r="AB814" s="3"/>
      <c r="AC814" s="3"/>
      <c r="AD814" s="3"/>
      <c r="AE814" s="3"/>
      <c r="AF814" s="3"/>
    </row>
    <row r="815" spans="1:32" ht="22.5" customHeight="1" x14ac:dyDescent="0.8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c r="AA815" s="3"/>
      <c r="AB815" s="3"/>
      <c r="AC815" s="3"/>
      <c r="AD815" s="3"/>
      <c r="AE815" s="3"/>
      <c r="AF815" s="3"/>
    </row>
    <row r="816" spans="1:32" ht="22.5" customHeight="1" x14ac:dyDescent="0.8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c r="AA816" s="3"/>
      <c r="AB816" s="3"/>
      <c r="AC816" s="3"/>
      <c r="AD816" s="3"/>
      <c r="AE816" s="3"/>
      <c r="AF816" s="3"/>
    </row>
    <row r="817" spans="1:32" ht="22.5" customHeight="1" x14ac:dyDescent="0.8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c r="AA817" s="3"/>
      <c r="AB817" s="3"/>
      <c r="AC817" s="3"/>
      <c r="AD817" s="3"/>
      <c r="AE817" s="3"/>
      <c r="AF817" s="3"/>
    </row>
    <row r="818" spans="1:32" ht="22.5" customHeight="1" x14ac:dyDescent="0.8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c r="AA818" s="3"/>
      <c r="AB818" s="3"/>
      <c r="AC818" s="3"/>
      <c r="AD818" s="3"/>
      <c r="AE818" s="3"/>
      <c r="AF818" s="3"/>
    </row>
    <row r="819" spans="1:32" ht="22.5" customHeight="1" x14ac:dyDescent="0.8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c r="AA819" s="3"/>
      <c r="AB819" s="3"/>
      <c r="AC819" s="3"/>
      <c r="AD819" s="3"/>
      <c r="AE819" s="3"/>
      <c r="AF819" s="3"/>
    </row>
    <row r="820" spans="1:32" ht="22.5" customHeight="1" x14ac:dyDescent="0.8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c r="AA820" s="3"/>
      <c r="AB820" s="3"/>
      <c r="AC820" s="3"/>
      <c r="AD820" s="3"/>
      <c r="AE820" s="3"/>
      <c r="AF820" s="3"/>
    </row>
    <row r="821" spans="1:32" ht="22.5" customHeight="1" x14ac:dyDescent="0.8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c r="AA821" s="3"/>
      <c r="AB821" s="3"/>
      <c r="AC821" s="3"/>
      <c r="AD821" s="3"/>
      <c r="AE821" s="3"/>
      <c r="AF821" s="3"/>
    </row>
    <row r="822" spans="1:32" ht="22.5" customHeight="1" x14ac:dyDescent="0.8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c r="AA822" s="3"/>
      <c r="AB822" s="3"/>
      <c r="AC822" s="3"/>
      <c r="AD822" s="3"/>
      <c r="AE822" s="3"/>
      <c r="AF822" s="3"/>
    </row>
    <row r="823" spans="1:32" ht="22.5" customHeight="1" x14ac:dyDescent="0.8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c r="AA823" s="3"/>
      <c r="AB823" s="3"/>
      <c r="AC823" s="3"/>
      <c r="AD823" s="3"/>
      <c r="AE823" s="3"/>
      <c r="AF823" s="3"/>
    </row>
    <row r="824" spans="1:32" ht="22.5" customHeight="1" x14ac:dyDescent="0.8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c r="AA824" s="3"/>
      <c r="AB824" s="3"/>
      <c r="AC824" s="3"/>
      <c r="AD824" s="3"/>
      <c r="AE824" s="3"/>
      <c r="AF824" s="3"/>
    </row>
    <row r="825" spans="1:32" ht="22.5" customHeight="1" x14ac:dyDescent="0.8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c r="AA825" s="3"/>
      <c r="AB825" s="3"/>
      <c r="AC825" s="3"/>
      <c r="AD825" s="3"/>
      <c r="AE825" s="3"/>
      <c r="AF825" s="3"/>
    </row>
    <row r="826" spans="1:32" ht="22.5" customHeight="1" x14ac:dyDescent="0.8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c r="AA826" s="3"/>
      <c r="AB826" s="3"/>
      <c r="AC826" s="3"/>
      <c r="AD826" s="3"/>
      <c r="AE826" s="3"/>
      <c r="AF826" s="3"/>
    </row>
    <row r="827" spans="1:32" ht="22.5" customHeight="1" x14ac:dyDescent="0.8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c r="AA827" s="3"/>
      <c r="AB827" s="3"/>
      <c r="AC827" s="3"/>
      <c r="AD827" s="3"/>
      <c r="AE827" s="3"/>
      <c r="AF827" s="3"/>
    </row>
    <row r="828" spans="1:32" ht="22.5" customHeight="1" x14ac:dyDescent="0.8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c r="AA828" s="3"/>
      <c r="AB828" s="3"/>
      <c r="AC828" s="3"/>
      <c r="AD828" s="3"/>
      <c r="AE828" s="3"/>
      <c r="AF828" s="3"/>
    </row>
    <row r="829" spans="1:32" ht="22.5" customHeight="1" x14ac:dyDescent="0.8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c r="AA829" s="3"/>
      <c r="AB829" s="3"/>
      <c r="AC829" s="3"/>
      <c r="AD829" s="3"/>
      <c r="AE829" s="3"/>
      <c r="AF829" s="3"/>
    </row>
    <row r="830" spans="1:32" ht="22.5" customHeight="1" x14ac:dyDescent="0.8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c r="AA830" s="3"/>
      <c r="AB830" s="3"/>
      <c r="AC830" s="3"/>
      <c r="AD830" s="3"/>
      <c r="AE830" s="3"/>
      <c r="AF830" s="3"/>
    </row>
    <row r="831" spans="1:32" ht="22.5" customHeight="1" x14ac:dyDescent="0.8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c r="AA831" s="3"/>
      <c r="AB831" s="3"/>
      <c r="AC831" s="3"/>
      <c r="AD831" s="3"/>
      <c r="AE831" s="3"/>
      <c r="AF831" s="3"/>
    </row>
    <row r="832" spans="1:32" ht="22.5" customHeight="1" x14ac:dyDescent="0.8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c r="AA832" s="3"/>
      <c r="AB832" s="3"/>
      <c r="AC832" s="3"/>
      <c r="AD832" s="3"/>
      <c r="AE832" s="3"/>
      <c r="AF832" s="3"/>
    </row>
    <row r="833" spans="1:32" ht="22.5" customHeight="1" x14ac:dyDescent="0.8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c r="AA833" s="3"/>
      <c r="AB833" s="3"/>
      <c r="AC833" s="3"/>
      <c r="AD833" s="3"/>
      <c r="AE833" s="3"/>
      <c r="AF833" s="3"/>
    </row>
    <row r="834" spans="1:32" ht="22.5" customHeight="1" x14ac:dyDescent="0.8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c r="AA834" s="3"/>
      <c r="AB834" s="3"/>
      <c r="AC834" s="3"/>
      <c r="AD834" s="3"/>
      <c r="AE834" s="3"/>
      <c r="AF834" s="3"/>
    </row>
    <row r="835" spans="1:32" ht="22.5" customHeight="1" x14ac:dyDescent="0.8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c r="AA835" s="3"/>
      <c r="AB835" s="3"/>
      <c r="AC835" s="3"/>
      <c r="AD835" s="3"/>
      <c r="AE835" s="3"/>
      <c r="AF835" s="3"/>
    </row>
    <row r="836" spans="1:32" ht="22.5" customHeight="1" x14ac:dyDescent="0.8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c r="AA836" s="3"/>
      <c r="AB836" s="3"/>
      <c r="AC836" s="3"/>
      <c r="AD836" s="3"/>
      <c r="AE836" s="3"/>
      <c r="AF836" s="3"/>
    </row>
    <row r="837" spans="1:32" ht="22.5" customHeight="1" x14ac:dyDescent="0.8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c r="AA837" s="3"/>
      <c r="AB837" s="3"/>
      <c r="AC837" s="3"/>
      <c r="AD837" s="3"/>
      <c r="AE837" s="3"/>
      <c r="AF837" s="3"/>
    </row>
    <row r="838" spans="1:32" ht="22.5" customHeight="1" x14ac:dyDescent="0.8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c r="AA838" s="3"/>
      <c r="AB838" s="3"/>
      <c r="AC838" s="3"/>
      <c r="AD838" s="3"/>
      <c r="AE838" s="3"/>
      <c r="AF838" s="3"/>
    </row>
    <row r="839" spans="1:32" ht="22.5" customHeight="1" x14ac:dyDescent="0.8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c r="AA839" s="3"/>
      <c r="AB839" s="3"/>
      <c r="AC839" s="3"/>
      <c r="AD839" s="3"/>
      <c r="AE839" s="3"/>
      <c r="AF839" s="3"/>
    </row>
    <row r="840" spans="1:32" ht="22.5" customHeight="1" x14ac:dyDescent="0.8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c r="AA840" s="3"/>
      <c r="AB840" s="3"/>
      <c r="AC840" s="3"/>
      <c r="AD840" s="3"/>
      <c r="AE840" s="3"/>
      <c r="AF840" s="3"/>
    </row>
    <row r="841" spans="1:32" ht="22.5" customHeight="1" x14ac:dyDescent="0.8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c r="AA841" s="3"/>
      <c r="AB841" s="3"/>
      <c r="AC841" s="3"/>
      <c r="AD841" s="3"/>
      <c r="AE841" s="3"/>
      <c r="AF841" s="3"/>
    </row>
    <row r="842" spans="1:32" ht="22.5" customHeight="1" x14ac:dyDescent="0.8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c r="AA842" s="3"/>
      <c r="AB842" s="3"/>
      <c r="AC842" s="3"/>
      <c r="AD842" s="3"/>
      <c r="AE842" s="3"/>
      <c r="AF842" s="3"/>
    </row>
    <row r="843" spans="1:32" ht="22.5" customHeight="1" x14ac:dyDescent="0.8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c r="AA843" s="3"/>
      <c r="AB843" s="3"/>
      <c r="AC843" s="3"/>
      <c r="AD843" s="3"/>
      <c r="AE843" s="3"/>
      <c r="AF843" s="3"/>
    </row>
    <row r="844" spans="1:32" ht="22.5" customHeight="1" x14ac:dyDescent="0.8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c r="AA844" s="3"/>
      <c r="AB844" s="3"/>
      <c r="AC844" s="3"/>
      <c r="AD844" s="3"/>
      <c r="AE844" s="3"/>
      <c r="AF844" s="3"/>
    </row>
    <row r="845" spans="1:32" ht="22.5" customHeight="1" x14ac:dyDescent="0.8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c r="AA845" s="3"/>
      <c r="AB845" s="3"/>
      <c r="AC845" s="3"/>
      <c r="AD845" s="3"/>
      <c r="AE845" s="3"/>
      <c r="AF845" s="3"/>
    </row>
    <row r="846" spans="1:32" ht="22.5" customHeight="1" x14ac:dyDescent="0.8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c r="AA846" s="3"/>
      <c r="AB846" s="3"/>
      <c r="AC846" s="3"/>
      <c r="AD846" s="3"/>
      <c r="AE846" s="3"/>
      <c r="AF846" s="3"/>
    </row>
    <row r="847" spans="1:32" ht="22.5" customHeight="1" x14ac:dyDescent="0.8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c r="AA847" s="3"/>
      <c r="AB847" s="3"/>
      <c r="AC847" s="3"/>
      <c r="AD847" s="3"/>
      <c r="AE847" s="3"/>
      <c r="AF847" s="3"/>
    </row>
    <row r="848" spans="1:32" ht="22.5" customHeight="1" x14ac:dyDescent="0.8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c r="AA848" s="3"/>
      <c r="AB848" s="3"/>
      <c r="AC848" s="3"/>
      <c r="AD848" s="3"/>
      <c r="AE848" s="3"/>
      <c r="AF848" s="3"/>
    </row>
    <row r="849" spans="1:32" ht="22.5" customHeight="1" x14ac:dyDescent="0.8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c r="AA849" s="3"/>
      <c r="AB849" s="3"/>
      <c r="AC849" s="3"/>
      <c r="AD849" s="3"/>
      <c r="AE849" s="3"/>
      <c r="AF849" s="3"/>
    </row>
    <row r="850" spans="1:32" ht="22.5" customHeight="1" x14ac:dyDescent="0.8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c r="AA850" s="3"/>
      <c r="AB850" s="3"/>
      <c r="AC850" s="3"/>
      <c r="AD850" s="3"/>
      <c r="AE850" s="3"/>
      <c r="AF850" s="3"/>
    </row>
    <row r="851" spans="1:32" ht="22.5" customHeight="1" x14ac:dyDescent="0.8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c r="AA851" s="3"/>
      <c r="AB851" s="3"/>
      <c r="AC851" s="3"/>
      <c r="AD851" s="3"/>
      <c r="AE851" s="3"/>
      <c r="AF851" s="3"/>
    </row>
    <row r="852" spans="1:32" ht="22.5" customHeight="1" x14ac:dyDescent="0.8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c r="AA852" s="3"/>
      <c r="AB852" s="3"/>
      <c r="AC852" s="3"/>
      <c r="AD852" s="3"/>
      <c r="AE852" s="3"/>
      <c r="AF852" s="3"/>
    </row>
    <row r="853" spans="1:32" ht="22.5" customHeight="1" x14ac:dyDescent="0.8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c r="AA853" s="3"/>
      <c r="AB853" s="3"/>
      <c r="AC853" s="3"/>
      <c r="AD853" s="3"/>
      <c r="AE853" s="3"/>
      <c r="AF853" s="3"/>
    </row>
    <row r="854" spans="1:32" ht="22.5" customHeight="1" x14ac:dyDescent="0.8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c r="AA854" s="3"/>
      <c r="AB854" s="3"/>
      <c r="AC854" s="3"/>
      <c r="AD854" s="3"/>
      <c r="AE854" s="3"/>
      <c r="AF854" s="3"/>
    </row>
    <row r="855" spans="1:32" ht="22.5" customHeight="1" x14ac:dyDescent="0.8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c r="AA855" s="3"/>
      <c r="AB855" s="3"/>
      <c r="AC855" s="3"/>
      <c r="AD855" s="3"/>
      <c r="AE855" s="3"/>
      <c r="AF855" s="3"/>
    </row>
    <row r="856" spans="1:32" ht="22.5" customHeight="1" x14ac:dyDescent="0.8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c r="AA856" s="3"/>
      <c r="AB856" s="3"/>
      <c r="AC856" s="3"/>
      <c r="AD856" s="3"/>
      <c r="AE856" s="3"/>
      <c r="AF856" s="3"/>
    </row>
    <row r="857" spans="1:32" ht="22.5" customHeight="1" x14ac:dyDescent="0.8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c r="AA857" s="3"/>
      <c r="AB857" s="3"/>
      <c r="AC857" s="3"/>
      <c r="AD857" s="3"/>
      <c r="AE857" s="3"/>
      <c r="AF857" s="3"/>
    </row>
    <row r="858" spans="1:32" ht="22.5" customHeight="1" x14ac:dyDescent="0.8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c r="AA858" s="3"/>
      <c r="AB858" s="3"/>
      <c r="AC858" s="3"/>
      <c r="AD858" s="3"/>
      <c r="AE858" s="3"/>
      <c r="AF858" s="3"/>
    </row>
    <row r="859" spans="1:32" ht="22.5" customHeight="1" x14ac:dyDescent="0.8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c r="AA859" s="3"/>
      <c r="AB859" s="3"/>
      <c r="AC859" s="3"/>
      <c r="AD859" s="3"/>
      <c r="AE859" s="3"/>
      <c r="AF859" s="3"/>
    </row>
    <row r="860" spans="1:32" ht="22.5" customHeight="1" x14ac:dyDescent="0.8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c r="AA860" s="3"/>
      <c r="AB860" s="3"/>
      <c r="AC860" s="3"/>
      <c r="AD860" s="3"/>
      <c r="AE860" s="3"/>
      <c r="AF860" s="3"/>
    </row>
    <row r="861" spans="1:32" ht="22.5" customHeight="1" x14ac:dyDescent="0.8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c r="AA861" s="3"/>
      <c r="AB861" s="3"/>
      <c r="AC861" s="3"/>
      <c r="AD861" s="3"/>
      <c r="AE861" s="3"/>
      <c r="AF861" s="3"/>
    </row>
    <row r="862" spans="1:32" ht="22.5" customHeight="1" x14ac:dyDescent="0.8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c r="AA862" s="3"/>
      <c r="AB862" s="3"/>
      <c r="AC862" s="3"/>
      <c r="AD862" s="3"/>
      <c r="AE862" s="3"/>
      <c r="AF862" s="3"/>
    </row>
    <row r="863" spans="1:32" ht="22.5" customHeight="1" x14ac:dyDescent="0.8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c r="AA863" s="3"/>
      <c r="AB863" s="3"/>
      <c r="AC863" s="3"/>
      <c r="AD863" s="3"/>
      <c r="AE863" s="3"/>
      <c r="AF863" s="3"/>
    </row>
    <row r="864" spans="1:32" ht="22.5" customHeight="1" x14ac:dyDescent="0.8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c r="AA864" s="3"/>
      <c r="AB864" s="3"/>
      <c r="AC864" s="3"/>
      <c r="AD864" s="3"/>
      <c r="AE864" s="3"/>
      <c r="AF864" s="3"/>
    </row>
    <row r="865" spans="1:32" ht="22.5" customHeight="1" x14ac:dyDescent="0.8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c r="AA865" s="3"/>
      <c r="AB865" s="3"/>
      <c r="AC865" s="3"/>
      <c r="AD865" s="3"/>
      <c r="AE865" s="3"/>
      <c r="AF865" s="3"/>
    </row>
    <row r="866" spans="1:32" ht="22.5" customHeight="1" x14ac:dyDescent="0.8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c r="AA866" s="3"/>
      <c r="AB866" s="3"/>
      <c r="AC866" s="3"/>
      <c r="AD866" s="3"/>
      <c r="AE866" s="3"/>
      <c r="AF866" s="3"/>
    </row>
    <row r="867" spans="1:32" ht="22.5" customHeight="1" x14ac:dyDescent="0.8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c r="AA867" s="3"/>
      <c r="AB867" s="3"/>
      <c r="AC867" s="3"/>
      <c r="AD867" s="3"/>
      <c r="AE867" s="3"/>
      <c r="AF867" s="3"/>
    </row>
    <row r="868" spans="1:32" ht="22.5" customHeight="1" x14ac:dyDescent="0.8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c r="AA868" s="3"/>
      <c r="AB868" s="3"/>
      <c r="AC868" s="3"/>
      <c r="AD868" s="3"/>
      <c r="AE868" s="3"/>
      <c r="AF868" s="3"/>
    </row>
    <row r="869" spans="1:32" ht="22.5" customHeight="1" x14ac:dyDescent="0.8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c r="AA869" s="3"/>
      <c r="AB869" s="3"/>
      <c r="AC869" s="3"/>
      <c r="AD869" s="3"/>
      <c r="AE869" s="3"/>
      <c r="AF869" s="3"/>
    </row>
    <row r="870" spans="1:32" ht="22.5" customHeight="1" x14ac:dyDescent="0.8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c r="AA870" s="3"/>
      <c r="AB870" s="3"/>
      <c r="AC870" s="3"/>
      <c r="AD870" s="3"/>
      <c r="AE870" s="3"/>
      <c r="AF870" s="3"/>
    </row>
    <row r="871" spans="1:32" ht="22.5" customHeight="1" x14ac:dyDescent="0.8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c r="AA871" s="3"/>
      <c r="AB871" s="3"/>
      <c r="AC871" s="3"/>
      <c r="AD871" s="3"/>
      <c r="AE871" s="3"/>
      <c r="AF871" s="3"/>
    </row>
    <row r="872" spans="1:32" ht="22.5" customHeight="1" x14ac:dyDescent="0.8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c r="AA872" s="3"/>
      <c r="AB872" s="3"/>
      <c r="AC872" s="3"/>
      <c r="AD872" s="3"/>
      <c r="AE872" s="3"/>
      <c r="AF872" s="3"/>
    </row>
    <row r="873" spans="1:32" ht="22.5" customHeight="1" x14ac:dyDescent="0.8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c r="AA873" s="3"/>
      <c r="AB873" s="3"/>
      <c r="AC873" s="3"/>
      <c r="AD873" s="3"/>
      <c r="AE873" s="3"/>
      <c r="AF873" s="3"/>
    </row>
    <row r="874" spans="1:32" ht="22.5" customHeight="1" x14ac:dyDescent="0.8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c r="AA874" s="3"/>
      <c r="AB874" s="3"/>
      <c r="AC874" s="3"/>
      <c r="AD874" s="3"/>
      <c r="AE874" s="3"/>
      <c r="AF874" s="3"/>
    </row>
    <row r="875" spans="1:32" ht="22.5" customHeight="1" x14ac:dyDescent="0.8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c r="AA875" s="3"/>
      <c r="AB875" s="3"/>
      <c r="AC875" s="3"/>
      <c r="AD875" s="3"/>
      <c r="AE875" s="3"/>
      <c r="AF875" s="3"/>
    </row>
    <row r="876" spans="1:32" ht="22.5" customHeight="1" x14ac:dyDescent="0.8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c r="AA876" s="3"/>
      <c r="AB876" s="3"/>
      <c r="AC876" s="3"/>
      <c r="AD876" s="3"/>
      <c r="AE876" s="3"/>
      <c r="AF876" s="3"/>
    </row>
    <row r="877" spans="1:32" ht="22.5" customHeight="1" x14ac:dyDescent="0.8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c r="AA877" s="3"/>
      <c r="AB877" s="3"/>
      <c r="AC877" s="3"/>
      <c r="AD877" s="3"/>
      <c r="AE877" s="3"/>
      <c r="AF877" s="3"/>
    </row>
    <row r="878" spans="1:32" ht="22.5" customHeight="1" x14ac:dyDescent="0.8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c r="AA878" s="3"/>
      <c r="AB878" s="3"/>
      <c r="AC878" s="3"/>
      <c r="AD878" s="3"/>
      <c r="AE878" s="3"/>
      <c r="AF878" s="3"/>
    </row>
    <row r="879" spans="1:32" ht="22.5" customHeight="1" x14ac:dyDescent="0.8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c r="AA879" s="3"/>
      <c r="AB879" s="3"/>
      <c r="AC879" s="3"/>
      <c r="AD879" s="3"/>
      <c r="AE879" s="3"/>
      <c r="AF879" s="3"/>
    </row>
    <row r="880" spans="1:32" ht="22.5" customHeight="1" x14ac:dyDescent="0.8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c r="AA880" s="3"/>
      <c r="AB880" s="3"/>
      <c r="AC880" s="3"/>
      <c r="AD880" s="3"/>
      <c r="AE880" s="3"/>
      <c r="AF880" s="3"/>
    </row>
    <row r="881" spans="1:32" ht="22.5" customHeight="1" x14ac:dyDescent="0.8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c r="AA881" s="3"/>
      <c r="AB881" s="3"/>
      <c r="AC881" s="3"/>
      <c r="AD881" s="3"/>
      <c r="AE881" s="3"/>
      <c r="AF881" s="3"/>
    </row>
    <row r="882" spans="1:32" ht="22.5" customHeight="1" x14ac:dyDescent="0.8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c r="AA882" s="3"/>
      <c r="AB882" s="3"/>
      <c r="AC882" s="3"/>
      <c r="AD882" s="3"/>
      <c r="AE882" s="3"/>
      <c r="AF882" s="3"/>
    </row>
    <row r="883" spans="1:32" ht="22.5" customHeight="1" x14ac:dyDescent="0.8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c r="AA883" s="3"/>
      <c r="AB883" s="3"/>
      <c r="AC883" s="3"/>
      <c r="AD883" s="3"/>
      <c r="AE883" s="3"/>
      <c r="AF883" s="3"/>
    </row>
    <row r="884" spans="1:32" ht="22.5" customHeight="1" x14ac:dyDescent="0.8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c r="AA884" s="3"/>
      <c r="AB884" s="3"/>
      <c r="AC884" s="3"/>
      <c r="AD884" s="3"/>
      <c r="AE884" s="3"/>
      <c r="AF884" s="3"/>
    </row>
    <row r="885" spans="1:32" ht="22.5" customHeight="1" x14ac:dyDescent="0.8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c r="AA885" s="3"/>
      <c r="AB885" s="3"/>
      <c r="AC885" s="3"/>
      <c r="AD885" s="3"/>
      <c r="AE885" s="3"/>
      <c r="AF885" s="3"/>
    </row>
    <row r="886" spans="1:32" ht="22.5" customHeight="1" x14ac:dyDescent="0.8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c r="AA886" s="3"/>
      <c r="AB886" s="3"/>
      <c r="AC886" s="3"/>
      <c r="AD886" s="3"/>
      <c r="AE886" s="3"/>
      <c r="AF886" s="3"/>
    </row>
    <row r="887" spans="1:32" ht="22.5" customHeight="1" x14ac:dyDescent="0.8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c r="AA887" s="3"/>
      <c r="AB887" s="3"/>
      <c r="AC887" s="3"/>
      <c r="AD887" s="3"/>
      <c r="AE887" s="3"/>
      <c r="AF887" s="3"/>
    </row>
    <row r="888" spans="1:32" ht="22.5" customHeight="1" x14ac:dyDescent="0.8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c r="AA888" s="3"/>
      <c r="AB888" s="3"/>
      <c r="AC888" s="3"/>
      <c r="AD888" s="3"/>
      <c r="AE888" s="3"/>
      <c r="AF888" s="3"/>
    </row>
    <row r="889" spans="1:32" ht="22.5" customHeight="1" x14ac:dyDescent="0.8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c r="AA889" s="3"/>
      <c r="AB889" s="3"/>
      <c r="AC889" s="3"/>
      <c r="AD889" s="3"/>
      <c r="AE889" s="3"/>
      <c r="AF889" s="3"/>
    </row>
    <row r="890" spans="1:32" ht="22.5" customHeight="1" x14ac:dyDescent="0.8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c r="AA890" s="3"/>
      <c r="AB890" s="3"/>
      <c r="AC890" s="3"/>
      <c r="AD890" s="3"/>
      <c r="AE890" s="3"/>
      <c r="AF890" s="3"/>
    </row>
    <row r="891" spans="1:32" ht="22.5" customHeight="1" x14ac:dyDescent="0.8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c r="AA891" s="3"/>
      <c r="AB891" s="3"/>
      <c r="AC891" s="3"/>
      <c r="AD891" s="3"/>
      <c r="AE891" s="3"/>
      <c r="AF891" s="3"/>
    </row>
    <row r="892" spans="1:32" ht="22.5" customHeight="1" x14ac:dyDescent="0.8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c r="AA892" s="3"/>
      <c r="AB892" s="3"/>
      <c r="AC892" s="3"/>
      <c r="AD892" s="3"/>
      <c r="AE892" s="3"/>
      <c r="AF892" s="3"/>
    </row>
    <row r="893" spans="1:32" ht="22.5" customHeight="1" x14ac:dyDescent="0.8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c r="AA893" s="3"/>
      <c r="AB893" s="3"/>
      <c r="AC893" s="3"/>
      <c r="AD893" s="3"/>
      <c r="AE893" s="3"/>
      <c r="AF893" s="3"/>
    </row>
    <row r="894" spans="1:32" ht="22.5" customHeight="1" x14ac:dyDescent="0.8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c r="AA894" s="3"/>
      <c r="AB894" s="3"/>
      <c r="AC894" s="3"/>
      <c r="AD894" s="3"/>
      <c r="AE894" s="3"/>
      <c r="AF894" s="3"/>
    </row>
    <row r="895" spans="1:32" ht="22.5" customHeight="1" x14ac:dyDescent="0.8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c r="AA895" s="3"/>
      <c r="AB895" s="3"/>
      <c r="AC895" s="3"/>
      <c r="AD895" s="3"/>
      <c r="AE895" s="3"/>
      <c r="AF895" s="3"/>
    </row>
    <row r="896" spans="1:32" ht="22.5" customHeight="1" x14ac:dyDescent="0.8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c r="AA896" s="3"/>
      <c r="AB896" s="3"/>
      <c r="AC896" s="3"/>
      <c r="AD896" s="3"/>
      <c r="AE896" s="3"/>
      <c r="AF896" s="3"/>
    </row>
    <row r="897" spans="1:32" ht="22.5" customHeight="1" x14ac:dyDescent="0.8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c r="AA897" s="3"/>
      <c r="AB897" s="3"/>
      <c r="AC897" s="3"/>
      <c r="AD897" s="3"/>
      <c r="AE897" s="3"/>
      <c r="AF897" s="3"/>
    </row>
    <row r="898" spans="1:32" ht="22.5" customHeight="1" x14ac:dyDescent="0.8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c r="AA898" s="3"/>
      <c r="AB898" s="3"/>
      <c r="AC898" s="3"/>
      <c r="AD898" s="3"/>
      <c r="AE898" s="3"/>
      <c r="AF898" s="3"/>
    </row>
    <row r="899" spans="1:32" ht="22.5" customHeight="1" x14ac:dyDescent="0.8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c r="AA899" s="3"/>
      <c r="AB899" s="3"/>
      <c r="AC899" s="3"/>
      <c r="AD899" s="3"/>
      <c r="AE899" s="3"/>
      <c r="AF899" s="3"/>
    </row>
    <row r="900" spans="1:32" ht="22.5" customHeight="1" x14ac:dyDescent="0.8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c r="AA900" s="3"/>
      <c r="AB900" s="3"/>
      <c r="AC900" s="3"/>
      <c r="AD900" s="3"/>
      <c r="AE900" s="3"/>
      <c r="AF900" s="3"/>
    </row>
    <row r="901" spans="1:32" ht="22.5" customHeight="1" x14ac:dyDescent="0.8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row>
    <row r="902" spans="1:32" ht="22.5" customHeight="1" x14ac:dyDescent="0.8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c r="AA902" s="3"/>
      <c r="AB902" s="3"/>
      <c r="AC902" s="3"/>
      <c r="AD902" s="3"/>
      <c r="AE902" s="3"/>
      <c r="AF902" s="3"/>
    </row>
    <row r="903" spans="1:32" ht="22.5" customHeight="1" x14ac:dyDescent="0.8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c r="AA903" s="3"/>
      <c r="AB903" s="3"/>
      <c r="AC903" s="3"/>
      <c r="AD903" s="3"/>
      <c r="AE903" s="3"/>
      <c r="AF903" s="3"/>
    </row>
    <row r="904" spans="1:32" ht="22.5" customHeight="1" x14ac:dyDescent="0.8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c r="AA904" s="3"/>
      <c r="AB904" s="3"/>
      <c r="AC904" s="3"/>
      <c r="AD904" s="3"/>
      <c r="AE904" s="3"/>
      <c r="AF904" s="3"/>
    </row>
    <row r="905" spans="1:32" ht="22.5" customHeight="1" x14ac:dyDescent="0.8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c r="AA905" s="3"/>
      <c r="AB905" s="3"/>
      <c r="AC905" s="3"/>
      <c r="AD905" s="3"/>
      <c r="AE905" s="3"/>
      <c r="AF905" s="3"/>
    </row>
    <row r="906" spans="1:32" ht="22.5" customHeight="1" x14ac:dyDescent="0.8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c r="AA906" s="3"/>
      <c r="AB906" s="3"/>
      <c r="AC906" s="3"/>
      <c r="AD906" s="3"/>
      <c r="AE906" s="3"/>
      <c r="AF906" s="3"/>
    </row>
    <row r="907" spans="1:32" ht="22.5" customHeight="1" x14ac:dyDescent="0.8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c r="AA907" s="3"/>
      <c r="AB907" s="3"/>
      <c r="AC907" s="3"/>
      <c r="AD907" s="3"/>
      <c r="AE907" s="3"/>
      <c r="AF907" s="3"/>
    </row>
    <row r="908" spans="1:32" ht="22.5" customHeight="1" x14ac:dyDescent="0.8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c r="AA908" s="3"/>
      <c r="AB908" s="3"/>
      <c r="AC908" s="3"/>
      <c r="AD908" s="3"/>
      <c r="AE908" s="3"/>
      <c r="AF908" s="3"/>
    </row>
    <row r="909" spans="1:32" ht="22.5" customHeight="1" x14ac:dyDescent="0.8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c r="AA909" s="3"/>
      <c r="AB909" s="3"/>
      <c r="AC909" s="3"/>
      <c r="AD909" s="3"/>
      <c r="AE909" s="3"/>
      <c r="AF909" s="3"/>
    </row>
    <row r="910" spans="1:32" ht="22.5" customHeight="1" x14ac:dyDescent="0.8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c r="AA910" s="3"/>
      <c r="AB910" s="3"/>
      <c r="AC910" s="3"/>
      <c r="AD910" s="3"/>
      <c r="AE910" s="3"/>
      <c r="AF910" s="3"/>
    </row>
    <row r="911" spans="1:32" ht="22.5" customHeight="1" x14ac:dyDescent="0.8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c r="AA911" s="3"/>
      <c r="AB911" s="3"/>
      <c r="AC911" s="3"/>
      <c r="AD911" s="3"/>
      <c r="AE911" s="3"/>
      <c r="AF911" s="3"/>
    </row>
    <row r="912" spans="1:32" ht="22.5" customHeight="1" x14ac:dyDescent="0.8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row>
    <row r="913" spans="1:32" ht="22.5" customHeight="1" x14ac:dyDescent="0.8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row>
    <row r="914" spans="1:32" ht="22.5" customHeight="1" x14ac:dyDescent="0.8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row>
    <row r="915" spans="1:32" ht="22.5" customHeight="1" x14ac:dyDescent="0.8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c r="AA915" s="3"/>
      <c r="AB915" s="3"/>
      <c r="AC915" s="3"/>
      <c r="AD915" s="3"/>
      <c r="AE915" s="3"/>
      <c r="AF915" s="3"/>
    </row>
    <row r="916" spans="1:32" ht="22.5" customHeight="1" x14ac:dyDescent="0.8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c r="AA916" s="3"/>
      <c r="AB916" s="3"/>
      <c r="AC916" s="3"/>
      <c r="AD916" s="3"/>
      <c r="AE916" s="3"/>
      <c r="AF916" s="3"/>
    </row>
    <row r="917" spans="1:32" ht="22.5" customHeight="1" x14ac:dyDescent="0.8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c r="AA917" s="3"/>
      <c r="AB917" s="3"/>
      <c r="AC917" s="3"/>
      <c r="AD917" s="3"/>
      <c r="AE917" s="3"/>
      <c r="AF917" s="3"/>
    </row>
    <row r="918" spans="1:32" ht="22.5" customHeight="1" x14ac:dyDescent="0.8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c r="AA918" s="3"/>
      <c r="AB918" s="3"/>
      <c r="AC918" s="3"/>
      <c r="AD918" s="3"/>
      <c r="AE918" s="3"/>
      <c r="AF918" s="3"/>
    </row>
    <row r="919" spans="1:32" ht="22.5" customHeight="1" x14ac:dyDescent="0.8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c r="AA919" s="3"/>
      <c r="AB919" s="3"/>
      <c r="AC919" s="3"/>
      <c r="AD919" s="3"/>
      <c r="AE919" s="3"/>
      <c r="AF919" s="3"/>
    </row>
    <row r="920" spans="1:32" ht="22.5" customHeight="1" x14ac:dyDescent="0.8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c r="AA920" s="3"/>
      <c r="AB920" s="3"/>
      <c r="AC920" s="3"/>
      <c r="AD920" s="3"/>
      <c r="AE920" s="3"/>
      <c r="AF920" s="3"/>
    </row>
    <row r="921" spans="1:32" ht="22.5" customHeight="1" x14ac:dyDescent="0.8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c r="AA921" s="3"/>
      <c r="AB921" s="3"/>
      <c r="AC921" s="3"/>
      <c r="AD921" s="3"/>
      <c r="AE921" s="3"/>
      <c r="AF921" s="3"/>
    </row>
    <row r="922" spans="1:32" ht="22.5" customHeight="1" x14ac:dyDescent="0.8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c r="AA922" s="3"/>
      <c r="AB922" s="3"/>
      <c r="AC922" s="3"/>
      <c r="AD922" s="3"/>
      <c r="AE922" s="3"/>
      <c r="AF922" s="3"/>
    </row>
    <row r="923" spans="1:32" ht="22.5" customHeight="1" x14ac:dyDescent="0.8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c r="AA923" s="3"/>
      <c r="AB923" s="3"/>
      <c r="AC923" s="3"/>
      <c r="AD923" s="3"/>
      <c r="AE923" s="3"/>
      <c r="AF923" s="3"/>
    </row>
    <row r="924" spans="1:32" ht="22.5" customHeight="1" x14ac:dyDescent="0.8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c r="AA924" s="3"/>
      <c r="AB924" s="3"/>
      <c r="AC924" s="3"/>
      <c r="AD924" s="3"/>
      <c r="AE924" s="3"/>
      <c r="AF924" s="3"/>
    </row>
    <row r="925" spans="1:32" ht="22.5" customHeight="1" x14ac:dyDescent="0.8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c r="AA925" s="3"/>
      <c r="AB925" s="3"/>
      <c r="AC925" s="3"/>
      <c r="AD925" s="3"/>
      <c r="AE925" s="3"/>
      <c r="AF925" s="3"/>
    </row>
    <row r="926" spans="1:32" ht="22.5" customHeight="1" x14ac:dyDescent="0.8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c r="AA926" s="3"/>
      <c r="AB926" s="3"/>
      <c r="AC926" s="3"/>
      <c r="AD926" s="3"/>
      <c r="AE926" s="3"/>
      <c r="AF926" s="3"/>
    </row>
    <row r="927" spans="1:32" ht="22.5" customHeight="1" x14ac:dyDescent="0.8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c r="AA927" s="3"/>
      <c r="AB927" s="3"/>
      <c r="AC927" s="3"/>
      <c r="AD927" s="3"/>
      <c r="AE927" s="3"/>
      <c r="AF927" s="3"/>
    </row>
    <row r="928" spans="1:32" ht="22.5" customHeight="1" x14ac:dyDescent="0.8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c r="AA928" s="3"/>
      <c r="AB928" s="3"/>
      <c r="AC928" s="3"/>
      <c r="AD928" s="3"/>
      <c r="AE928" s="3"/>
      <c r="AF928" s="3"/>
    </row>
    <row r="929" spans="1:32" ht="22.5" customHeight="1" x14ac:dyDescent="0.8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row>
    <row r="930" spans="1:32" ht="22.5" customHeight="1" x14ac:dyDescent="0.8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c r="AA930" s="3"/>
      <c r="AB930" s="3"/>
      <c r="AC930" s="3"/>
      <c r="AD930" s="3"/>
      <c r="AE930" s="3"/>
      <c r="AF930" s="3"/>
    </row>
    <row r="931" spans="1:32" ht="22.5" customHeight="1" x14ac:dyDescent="0.8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c r="AA931" s="3"/>
      <c r="AB931" s="3"/>
      <c r="AC931" s="3"/>
      <c r="AD931" s="3"/>
      <c r="AE931" s="3"/>
      <c r="AF931" s="3"/>
    </row>
    <row r="932" spans="1:32" ht="22.5" customHeight="1" x14ac:dyDescent="0.8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c r="AA932" s="3"/>
      <c r="AB932" s="3"/>
      <c r="AC932" s="3"/>
      <c r="AD932" s="3"/>
      <c r="AE932" s="3"/>
      <c r="AF932" s="3"/>
    </row>
    <row r="933" spans="1:32" ht="22.5" customHeight="1" x14ac:dyDescent="0.8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c r="AA933" s="3"/>
      <c r="AB933" s="3"/>
      <c r="AC933" s="3"/>
      <c r="AD933" s="3"/>
      <c r="AE933" s="3"/>
      <c r="AF933" s="3"/>
    </row>
    <row r="934" spans="1:32" ht="22.5" customHeight="1" x14ac:dyDescent="0.8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c r="AA934" s="3"/>
      <c r="AB934" s="3"/>
      <c r="AC934" s="3"/>
      <c r="AD934" s="3"/>
      <c r="AE934" s="3"/>
      <c r="AF934" s="3"/>
    </row>
    <row r="935" spans="1:32" ht="22.5" customHeight="1" x14ac:dyDescent="0.8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c r="AA935" s="3"/>
      <c r="AB935" s="3"/>
      <c r="AC935" s="3"/>
      <c r="AD935" s="3"/>
      <c r="AE935" s="3"/>
      <c r="AF935" s="3"/>
    </row>
    <row r="936" spans="1:32" ht="22.5" customHeight="1" x14ac:dyDescent="0.8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c r="AA936" s="3"/>
      <c r="AB936" s="3"/>
      <c r="AC936" s="3"/>
      <c r="AD936" s="3"/>
      <c r="AE936" s="3"/>
      <c r="AF936" s="3"/>
    </row>
    <row r="937" spans="1:32" ht="22.5" customHeight="1" x14ac:dyDescent="0.8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c r="AF937" s="3"/>
    </row>
    <row r="938" spans="1:32" ht="22.5" customHeight="1" x14ac:dyDescent="0.8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c r="AA938" s="3"/>
      <c r="AB938" s="3"/>
      <c r="AC938" s="3"/>
      <c r="AD938" s="3"/>
      <c r="AE938" s="3"/>
      <c r="AF938" s="3"/>
    </row>
    <row r="939" spans="1:32" ht="22.5" customHeight="1" x14ac:dyDescent="0.8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c r="AA939" s="3"/>
      <c r="AB939" s="3"/>
      <c r="AC939" s="3"/>
      <c r="AD939" s="3"/>
      <c r="AE939" s="3"/>
      <c r="AF939" s="3"/>
    </row>
    <row r="940" spans="1:32" ht="22.5" customHeight="1" x14ac:dyDescent="0.8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c r="AA940" s="3"/>
      <c r="AB940" s="3"/>
      <c r="AC940" s="3"/>
      <c r="AD940" s="3"/>
      <c r="AE940" s="3"/>
      <c r="AF940" s="3"/>
    </row>
    <row r="941" spans="1:32" ht="22.5" customHeight="1" x14ac:dyDescent="0.8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c r="AF941" s="3"/>
    </row>
    <row r="942" spans="1:32" ht="22.5" customHeight="1" x14ac:dyDescent="0.8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row>
    <row r="943" spans="1:32" ht="22.5" customHeight="1" x14ac:dyDescent="0.8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c r="AA943" s="3"/>
      <c r="AB943" s="3"/>
      <c r="AC943" s="3"/>
      <c r="AD943" s="3"/>
      <c r="AE943" s="3"/>
      <c r="AF943" s="3"/>
    </row>
    <row r="944" spans="1:32" ht="22.5" customHeight="1" x14ac:dyDescent="0.8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c r="AA944" s="3"/>
      <c r="AB944" s="3"/>
      <c r="AC944" s="3"/>
      <c r="AD944" s="3"/>
      <c r="AE944" s="3"/>
      <c r="AF944" s="3"/>
    </row>
    <row r="945" spans="1:32" ht="22.5" customHeight="1" x14ac:dyDescent="0.8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c r="AA945" s="3"/>
      <c r="AB945" s="3"/>
      <c r="AC945" s="3"/>
      <c r="AD945" s="3"/>
      <c r="AE945" s="3"/>
      <c r="AF945" s="3"/>
    </row>
    <row r="946" spans="1:32" ht="22.5" customHeight="1" x14ac:dyDescent="0.8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c r="AA946" s="3"/>
      <c r="AB946" s="3"/>
      <c r="AC946" s="3"/>
      <c r="AD946" s="3"/>
      <c r="AE946" s="3"/>
      <c r="AF946" s="3"/>
    </row>
    <row r="947" spans="1:32" ht="22.5" customHeight="1" x14ac:dyDescent="0.8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c r="AA947" s="3"/>
      <c r="AB947" s="3"/>
      <c r="AC947" s="3"/>
      <c r="AD947" s="3"/>
      <c r="AE947" s="3"/>
      <c r="AF947" s="3"/>
    </row>
    <row r="948" spans="1:32" ht="22.5" customHeight="1" x14ac:dyDescent="0.8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c r="AA948" s="3"/>
      <c r="AB948" s="3"/>
      <c r="AC948" s="3"/>
      <c r="AD948" s="3"/>
      <c r="AE948" s="3"/>
      <c r="AF948" s="3"/>
    </row>
    <row r="949" spans="1:32" ht="22.5" customHeight="1" x14ac:dyDescent="0.8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c r="AA949" s="3"/>
      <c r="AB949" s="3"/>
      <c r="AC949" s="3"/>
      <c r="AD949" s="3"/>
      <c r="AE949" s="3"/>
      <c r="AF949" s="3"/>
    </row>
    <row r="950" spans="1:32" ht="22.5" customHeight="1" x14ac:dyDescent="0.8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c r="AF950" s="3"/>
    </row>
    <row r="951" spans="1:32" ht="22.5" customHeight="1" x14ac:dyDescent="0.8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c r="AA951" s="3"/>
      <c r="AB951" s="3"/>
      <c r="AC951" s="3"/>
      <c r="AD951" s="3"/>
      <c r="AE951" s="3"/>
      <c r="AF951" s="3"/>
    </row>
    <row r="952" spans="1:32" ht="22.5" customHeight="1" x14ac:dyDescent="0.8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c r="AA952" s="3"/>
      <c r="AB952" s="3"/>
      <c r="AC952" s="3"/>
      <c r="AD952" s="3"/>
      <c r="AE952" s="3"/>
      <c r="AF952" s="3"/>
    </row>
    <row r="953" spans="1:32" ht="22.5" customHeight="1" x14ac:dyDescent="0.8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c r="AA953" s="3"/>
      <c r="AB953" s="3"/>
      <c r="AC953" s="3"/>
      <c r="AD953" s="3"/>
      <c r="AE953" s="3"/>
      <c r="AF953" s="3"/>
    </row>
    <row r="954" spans="1:32" ht="22.5" customHeight="1" x14ac:dyDescent="0.8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c r="AA954" s="3"/>
      <c r="AB954" s="3"/>
      <c r="AC954" s="3"/>
      <c r="AD954" s="3"/>
      <c r="AE954" s="3"/>
      <c r="AF954" s="3"/>
    </row>
    <row r="955" spans="1:32" ht="22.5" customHeight="1" x14ac:dyDescent="0.8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c r="AA955" s="3"/>
      <c r="AB955" s="3"/>
      <c r="AC955" s="3"/>
      <c r="AD955" s="3"/>
      <c r="AE955" s="3"/>
      <c r="AF955" s="3"/>
    </row>
    <row r="956" spans="1:32" ht="22.5" customHeight="1" x14ac:dyDescent="0.8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c r="AA956" s="3"/>
      <c r="AB956" s="3"/>
      <c r="AC956" s="3"/>
      <c r="AD956" s="3"/>
      <c r="AE956" s="3"/>
      <c r="AF956" s="3"/>
    </row>
    <row r="957" spans="1:32" ht="22.5" customHeight="1" x14ac:dyDescent="0.8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c r="AA957" s="3"/>
      <c r="AB957" s="3"/>
      <c r="AC957" s="3"/>
      <c r="AD957" s="3"/>
      <c r="AE957" s="3"/>
      <c r="AF957" s="3"/>
    </row>
    <row r="958" spans="1:32" ht="22.5" customHeight="1" x14ac:dyDescent="0.8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c r="AA958" s="3"/>
      <c r="AB958" s="3"/>
      <c r="AC958" s="3"/>
      <c r="AD958" s="3"/>
      <c r="AE958" s="3"/>
      <c r="AF958" s="3"/>
    </row>
    <row r="959" spans="1:32" ht="22.5" customHeight="1" x14ac:dyDescent="0.8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c r="AA959" s="3"/>
      <c r="AB959" s="3"/>
      <c r="AC959" s="3"/>
      <c r="AD959" s="3"/>
      <c r="AE959" s="3"/>
      <c r="AF959" s="3"/>
    </row>
    <row r="960" spans="1:32" ht="22.5" customHeight="1" x14ac:dyDescent="0.8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c r="AA960" s="3"/>
      <c r="AB960" s="3"/>
      <c r="AC960" s="3"/>
      <c r="AD960" s="3"/>
      <c r="AE960" s="3"/>
      <c r="AF960" s="3"/>
    </row>
    <row r="961" spans="1:32" ht="22.5" customHeight="1" x14ac:dyDescent="0.8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c r="AA961" s="3"/>
      <c r="AB961" s="3"/>
      <c r="AC961" s="3"/>
      <c r="AD961" s="3"/>
      <c r="AE961" s="3"/>
      <c r="AF961" s="3"/>
    </row>
    <row r="962" spans="1:32" ht="22.5" customHeight="1" x14ac:dyDescent="0.8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c r="AA962" s="3"/>
      <c r="AB962" s="3"/>
      <c r="AC962" s="3"/>
      <c r="AD962" s="3"/>
      <c r="AE962" s="3"/>
      <c r="AF962" s="3"/>
    </row>
    <row r="963" spans="1:32" ht="22.5" customHeight="1" x14ac:dyDescent="0.8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c r="AA963" s="3"/>
      <c r="AB963" s="3"/>
      <c r="AC963" s="3"/>
      <c r="AD963" s="3"/>
      <c r="AE963" s="3"/>
      <c r="AF963" s="3"/>
    </row>
    <row r="964" spans="1:32" ht="22.5" customHeight="1" x14ac:dyDescent="0.8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c r="AA964" s="3"/>
      <c r="AB964" s="3"/>
      <c r="AC964" s="3"/>
      <c r="AD964" s="3"/>
      <c r="AE964" s="3"/>
      <c r="AF964" s="3"/>
    </row>
    <row r="965" spans="1:32" ht="22.5" customHeight="1" x14ac:dyDescent="0.8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c r="AA965" s="3"/>
      <c r="AB965" s="3"/>
      <c r="AC965" s="3"/>
      <c r="AD965" s="3"/>
      <c r="AE965" s="3"/>
      <c r="AF965" s="3"/>
    </row>
    <row r="966" spans="1:32" ht="22.5" customHeight="1" x14ac:dyDescent="0.8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c r="AA966" s="3"/>
      <c r="AB966" s="3"/>
      <c r="AC966" s="3"/>
      <c r="AD966" s="3"/>
      <c r="AE966" s="3"/>
      <c r="AF966" s="3"/>
    </row>
    <row r="967" spans="1:32" ht="22.5" customHeight="1" x14ac:dyDescent="0.8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c r="AA967" s="3"/>
      <c r="AB967" s="3"/>
      <c r="AC967" s="3"/>
      <c r="AD967" s="3"/>
      <c r="AE967" s="3"/>
      <c r="AF967" s="3"/>
    </row>
    <row r="968" spans="1:32" ht="22.5" customHeight="1" x14ac:dyDescent="0.8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c r="AA968" s="3"/>
      <c r="AB968" s="3"/>
      <c r="AC968" s="3"/>
      <c r="AD968" s="3"/>
      <c r="AE968" s="3"/>
      <c r="AF968" s="3"/>
    </row>
    <row r="969" spans="1:32" ht="22.5" customHeight="1" x14ac:dyDescent="0.8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c r="AA969" s="3"/>
      <c r="AB969" s="3"/>
      <c r="AC969" s="3"/>
      <c r="AD969" s="3"/>
      <c r="AE969" s="3"/>
      <c r="AF969" s="3"/>
    </row>
    <row r="970" spans="1:32" ht="22.5" customHeight="1" x14ac:dyDescent="0.8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c r="AA970" s="3"/>
      <c r="AB970" s="3"/>
      <c r="AC970" s="3"/>
      <c r="AD970" s="3"/>
      <c r="AE970" s="3"/>
      <c r="AF970" s="3"/>
    </row>
    <row r="971" spans="1:32" ht="22.5" customHeight="1" x14ac:dyDescent="0.8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c r="AA971" s="3"/>
      <c r="AB971" s="3"/>
      <c r="AC971" s="3"/>
      <c r="AD971" s="3"/>
      <c r="AE971" s="3"/>
      <c r="AF971" s="3"/>
    </row>
    <row r="972" spans="1:32" ht="22.5" customHeight="1" x14ac:dyDescent="0.8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c r="AA972" s="3"/>
      <c r="AB972" s="3"/>
      <c r="AC972" s="3"/>
      <c r="AD972" s="3"/>
      <c r="AE972" s="3"/>
      <c r="AF972" s="3"/>
    </row>
    <row r="973" spans="1:32" ht="22.5" customHeight="1" x14ac:dyDescent="0.8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c r="AA973" s="3"/>
      <c r="AB973" s="3"/>
      <c r="AC973" s="3"/>
      <c r="AD973" s="3"/>
      <c r="AE973" s="3"/>
      <c r="AF973" s="3"/>
    </row>
    <row r="974" spans="1:32" ht="22.5" customHeight="1" x14ac:dyDescent="0.8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c r="AA974" s="3"/>
      <c r="AB974" s="3"/>
      <c r="AC974" s="3"/>
      <c r="AD974" s="3"/>
      <c r="AE974" s="3"/>
      <c r="AF974" s="3"/>
    </row>
    <row r="975" spans="1:32" ht="22.5" customHeight="1" x14ac:dyDescent="0.8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c r="AA975" s="3"/>
      <c r="AB975" s="3"/>
      <c r="AC975" s="3"/>
      <c r="AD975" s="3"/>
      <c r="AE975" s="3"/>
      <c r="AF975" s="3"/>
    </row>
    <row r="976" spans="1:32" ht="22.5" customHeight="1" x14ac:dyDescent="0.8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c r="AA976" s="3"/>
      <c r="AB976" s="3"/>
      <c r="AC976" s="3"/>
      <c r="AD976" s="3"/>
      <c r="AE976" s="3"/>
      <c r="AF976" s="3"/>
    </row>
    <row r="977" spans="1:32" ht="22.5" customHeight="1" x14ac:dyDescent="0.8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c r="AA977" s="3"/>
      <c r="AB977" s="3"/>
      <c r="AC977" s="3"/>
      <c r="AD977" s="3"/>
      <c r="AE977" s="3"/>
      <c r="AF977" s="3"/>
    </row>
    <row r="978" spans="1:32" ht="22.5" customHeight="1" x14ac:dyDescent="0.8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c r="AA978" s="3"/>
      <c r="AB978" s="3"/>
      <c r="AC978" s="3"/>
      <c r="AD978" s="3"/>
      <c r="AE978" s="3"/>
      <c r="AF978" s="3"/>
    </row>
    <row r="979" spans="1:32" ht="22.5" customHeight="1" x14ac:dyDescent="0.8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c r="AA979" s="3"/>
      <c r="AB979" s="3"/>
      <c r="AC979" s="3"/>
      <c r="AD979" s="3"/>
      <c r="AE979" s="3"/>
      <c r="AF979" s="3"/>
    </row>
    <row r="980" spans="1:32" ht="22.5" customHeight="1" x14ac:dyDescent="0.8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c r="AA980" s="3"/>
      <c r="AB980" s="3"/>
      <c r="AC980" s="3"/>
      <c r="AD980" s="3"/>
      <c r="AE980" s="3"/>
      <c r="AF980" s="3"/>
    </row>
    <row r="981" spans="1:32" ht="22.5" customHeight="1" x14ac:dyDescent="0.8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c r="AA981" s="3"/>
      <c r="AB981" s="3"/>
      <c r="AC981" s="3"/>
      <c r="AD981" s="3"/>
      <c r="AE981" s="3"/>
      <c r="AF981" s="3"/>
    </row>
    <row r="982" spans="1:32" ht="22.5" customHeight="1" x14ac:dyDescent="0.8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c r="AA982" s="3"/>
      <c r="AB982" s="3"/>
      <c r="AC982" s="3"/>
      <c r="AD982" s="3"/>
      <c r="AE982" s="3"/>
      <c r="AF982" s="3"/>
    </row>
    <row r="983" spans="1:32" ht="22.5" customHeight="1" x14ac:dyDescent="0.8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c r="AA983" s="3"/>
      <c r="AB983" s="3"/>
      <c r="AC983" s="3"/>
      <c r="AD983" s="3"/>
      <c r="AE983" s="3"/>
      <c r="AF983" s="3"/>
    </row>
    <row r="984" spans="1:32" ht="22.5" customHeight="1" x14ac:dyDescent="0.8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c r="AA984" s="3"/>
      <c r="AB984" s="3"/>
      <c r="AC984" s="3"/>
      <c r="AD984" s="3"/>
      <c r="AE984" s="3"/>
      <c r="AF984" s="3"/>
    </row>
    <row r="985" spans="1:32" ht="22.5" customHeight="1" x14ac:dyDescent="0.8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c r="AA985" s="3"/>
      <c r="AB985" s="3"/>
      <c r="AC985" s="3"/>
      <c r="AD985" s="3"/>
      <c r="AE985" s="3"/>
      <c r="AF985" s="3"/>
    </row>
    <row r="986" spans="1:32" ht="22.5" customHeight="1" x14ac:dyDescent="0.8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c r="AA986" s="3"/>
      <c r="AB986" s="3"/>
      <c r="AC986" s="3"/>
      <c r="AD986" s="3"/>
      <c r="AE986" s="3"/>
      <c r="AF986" s="3"/>
    </row>
    <row r="987" spans="1:32" ht="22.5" customHeight="1" x14ac:dyDescent="0.8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c r="AA987" s="3"/>
      <c r="AB987" s="3"/>
      <c r="AC987" s="3"/>
      <c r="AD987" s="3"/>
      <c r="AE987" s="3"/>
      <c r="AF987" s="3"/>
    </row>
    <row r="988" spans="1:32" ht="22.5" customHeight="1" x14ac:dyDescent="0.8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c r="AA988" s="3"/>
      <c r="AB988" s="3"/>
      <c r="AC988" s="3"/>
      <c r="AD988" s="3"/>
      <c r="AE988" s="3"/>
      <c r="AF988" s="3"/>
    </row>
    <row r="989" spans="1:32" ht="22.5" customHeight="1" x14ac:dyDescent="0.8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c r="AA989" s="3"/>
      <c r="AB989" s="3"/>
      <c r="AC989" s="3"/>
      <c r="AD989" s="3"/>
      <c r="AE989" s="3"/>
      <c r="AF989" s="3"/>
    </row>
    <row r="990" spans="1:32" ht="22.5" customHeight="1" x14ac:dyDescent="0.8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c r="AA990" s="3"/>
      <c r="AB990" s="3"/>
      <c r="AC990" s="3"/>
      <c r="AD990" s="3"/>
      <c r="AE990" s="3"/>
      <c r="AF990" s="3"/>
    </row>
    <row r="991" spans="1:32" ht="22.5" customHeight="1" x14ac:dyDescent="0.8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c r="AA991" s="3"/>
      <c r="AB991" s="3"/>
      <c r="AC991" s="3"/>
      <c r="AD991" s="3"/>
      <c r="AE991" s="3"/>
      <c r="AF991" s="3"/>
    </row>
    <row r="992" spans="1:32" ht="22.5" customHeight="1" x14ac:dyDescent="0.8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c r="AA992" s="3"/>
      <c r="AB992" s="3"/>
      <c r="AC992" s="3"/>
      <c r="AD992" s="3"/>
      <c r="AE992" s="3"/>
      <c r="AF992" s="3"/>
    </row>
    <row r="993" spans="1:32" ht="22.5" customHeight="1" x14ac:dyDescent="0.8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c r="AA993" s="3"/>
      <c r="AB993" s="3"/>
      <c r="AC993" s="3"/>
      <c r="AD993" s="3"/>
      <c r="AE993" s="3"/>
      <c r="AF993" s="3"/>
    </row>
    <row r="994" spans="1:32" ht="22.5" customHeight="1" x14ac:dyDescent="0.8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c r="AA994" s="3"/>
      <c r="AB994" s="3"/>
      <c r="AC994" s="3"/>
      <c r="AD994" s="3"/>
      <c r="AE994" s="3"/>
      <c r="AF994" s="3"/>
    </row>
    <row r="995" spans="1:32" ht="22.5" customHeight="1" x14ac:dyDescent="0.8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c r="AA995" s="3"/>
      <c r="AB995" s="3"/>
      <c r="AC995" s="3"/>
      <c r="AD995" s="3"/>
      <c r="AE995" s="3"/>
      <c r="AF995" s="3"/>
    </row>
    <row r="996" spans="1:32" ht="22.5" customHeight="1" x14ac:dyDescent="0.8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c r="AA996" s="3"/>
      <c r="AB996" s="3"/>
      <c r="AC996" s="3"/>
      <c r="AD996" s="3"/>
      <c r="AE996" s="3"/>
      <c r="AF996" s="3"/>
    </row>
    <row r="997" spans="1:32" ht="22.5" customHeight="1" x14ac:dyDescent="0.8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c r="AA997" s="3"/>
      <c r="AB997" s="3"/>
      <c r="AC997" s="3"/>
      <c r="AD997" s="3"/>
      <c r="AE997" s="3"/>
      <c r="AF997" s="3"/>
    </row>
    <row r="998" spans="1:32" ht="22.5" customHeight="1" x14ac:dyDescent="0.8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c r="AA998" s="3"/>
      <c r="AB998" s="3"/>
      <c r="AC998" s="3"/>
      <c r="AD998" s="3"/>
      <c r="AE998" s="3"/>
      <c r="AF998" s="3"/>
    </row>
    <row r="999" spans="1:32" ht="22.5" customHeight="1" x14ac:dyDescent="0.8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c r="AA999" s="3"/>
      <c r="AB999" s="3"/>
      <c r="AC999" s="3"/>
      <c r="AD999" s="3"/>
      <c r="AE999" s="3"/>
      <c r="AF999" s="3"/>
    </row>
    <row r="1000" spans="1:32" ht="22.5" customHeight="1" x14ac:dyDescent="0.8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c r="AA1000" s="3"/>
      <c r="AB1000" s="3"/>
      <c r="AC1000" s="3"/>
      <c r="AD1000" s="3"/>
      <c r="AE1000" s="3"/>
      <c r="AF1000" s="3"/>
    </row>
  </sheetData>
  <mergeCells count="63">
    <mergeCell ref="A80:G80"/>
    <mergeCell ref="A88:G88"/>
    <mergeCell ref="A95:G95"/>
    <mergeCell ref="A104:G104"/>
    <mergeCell ref="A111:G111"/>
    <mergeCell ref="A118:G118"/>
    <mergeCell ref="A127:G127"/>
    <mergeCell ref="A134:G134"/>
    <mergeCell ref="A141:G141"/>
    <mergeCell ref="A148:G148"/>
    <mergeCell ref="A157:G157"/>
    <mergeCell ref="A164:G164"/>
    <mergeCell ref="A171:G171"/>
    <mergeCell ref="A178:G178"/>
    <mergeCell ref="A12:G12"/>
    <mergeCell ref="A13:G13"/>
    <mergeCell ref="A14:G14"/>
    <mergeCell ref="A15:G15"/>
    <mergeCell ref="A16:G16"/>
    <mergeCell ref="A17:G17"/>
    <mergeCell ref="A18:G18"/>
    <mergeCell ref="A19:G19"/>
    <mergeCell ref="A20:G20"/>
    <mergeCell ref="A21:G21"/>
    <mergeCell ref="A23:L23"/>
    <mergeCell ref="A24:H24"/>
    <mergeCell ref="F25:H25"/>
    <mergeCell ref="F26:H26"/>
    <mergeCell ref="F27:H27"/>
    <mergeCell ref="F28:H29"/>
    <mergeCell ref="A30:F30"/>
    <mergeCell ref="D31:F31"/>
    <mergeCell ref="D32:F32"/>
    <mergeCell ref="D33:F33"/>
    <mergeCell ref="A34:F34"/>
    <mergeCell ref="D35:F35"/>
    <mergeCell ref="D36:F38"/>
    <mergeCell ref="A39:F39"/>
    <mergeCell ref="D40:F40"/>
    <mergeCell ref="D41:F43"/>
    <mergeCell ref="D44:F44"/>
    <mergeCell ref="D45:F46"/>
    <mergeCell ref="D58:F58"/>
    <mergeCell ref="A60:L60"/>
    <mergeCell ref="A61:G61"/>
    <mergeCell ref="H61:L61"/>
    <mergeCell ref="A47:F47"/>
    <mergeCell ref="D48:F48"/>
    <mergeCell ref="D49:F51"/>
    <mergeCell ref="A52:F52"/>
    <mergeCell ref="D53:F53"/>
    <mergeCell ref="D54:F56"/>
    <mergeCell ref="D57:F57"/>
    <mergeCell ref="A242:G242"/>
    <mergeCell ref="A249:G249"/>
    <mergeCell ref="A258:G258"/>
    <mergeCell ref="A187:G187"/>
    <mergeCell ref="A194:G194"/>
    <mergeCell ref="A201:G201"/>
    <mergeCell ref="A208:G208"/>
    <mergeCell ref="A217:G217"/>
    <mergeCell ref="A225:G225"/>
    <mergeCell ref="A234:G234"/>
  </mergeCells>
  <pageMargins left="0.7" right="0.7" top="0.75" bottom="0.75" header="0" footer="0"/>
  <pageSetup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005569"/>
  </sheetPr>
  <dimension ref="A1:Z1000"/>
  <sheetViews>
    <sheetView workbookViewId="0"/>
  </sheetViews>
  <sheetFormatPr defaultColWidth="11.23046875" defaultRowHeight="15" customHeight="1" outlineLevelRow="1" x14ac:dyDescent="0.85"/>
  <cols>
    <col min="1" max="1" width="44.3828125" customWidth="1"/>
    <col min="2" max="7" width="24.765625" customWidth="1"/>
    <col min="8" max="13" width="22.3828125" customWidth="1"/>
    <col min="14" max="26" width="8.61328125" customWidth="1"/>
  </cols>
  <sheetData>
    <row r="1" spans="1:26" ht="22.5" customHeight="1" x14ac:dyDescent="0.85">
      <c r="A1" s="786" t="s">
        <v>61</v>
      </c>
      <c r="B1" s="765"/>
      <c r="C1" s="765"/>
      <c r="D1" s="765"/>
      <c r="E1" s="765"/>
      <c r="F1" s="765"/>
      <c r="G1" s="765"/>
      <c r="H1" s="765"/>
      <c r="I1" s="765"/>
      <c r="J1" s="765"/>
      <c r="K1" s="765"/>
      <c r="L1" s="765"/>
      <c r="M1" s="765"/>
      <c r="N1" s="765"/>
      <c r="O1" s="765"/>
      <c r="P1" s="762"/>
      <c r="Q1" s="320"/>
      <c r="R1" s="320"/>
      <c r="S1" s="320"/>
      <c r="T1" s="320"/>
      <c r="U1" s="320"/>
      <c r="V1" s="320"/>
      <c r="W1" s="320"/>
      <c r="X1" s="320"/>
      <c r="Y1" s="320"/>
      <c r="Z1" s="320"/>
    </row>
    <row r="2" spans="1:26" ht="22.5" customHeight="1" x14ac:dyDescent="0.9">
      <c r="A2" s="858" t="s">
        <v>581</v>
      </c>
      <c r="B2" s="765"/>
      <c r="C2" s="765"/>
      <c r="D2" s="765"/>
      <c r="E2" s="765"/>
      <c r="F2" s="765"/>
      <c r="G2" s="765"/>
      <c r="H2" s="765"/>
      <c r="I2" s="765"/>
      <c r="J2" s="765"/>
      <c r="K2" s="765"/>
      <c r="L2" s="765"/>
      <c r="M2" s="765"/>
      <c r="N2" s="765"/>
      <c r="O2" s="765"/>
      <c r="P2" s="762"/>
      <c r="Q2" s="321"/>
      <c r="R2" s="321"/>
      <c r="S2" s="321"/>
      <c r="T2" s="321"/>
      <c r="U2" s="321"/>
      <c r="V2" s="321"/>
      <c r="W2" s="321"/>
      <c r="X2" s="321"/>
      <c r="Y2" s="321"/>
      <c r="Z2" s="321"/>
    </row>
    <row r="3" spans="1:26" ht="52.5" hidden="1" customHeight="1" outlineLevel="1" x14ac:dyDescent="0.85">
      <c r="A3" s="148" t="s">
        <v>582</v>
      </c>
      <c r="B3" s="257" t="s">
        <v>813</v>
      </c>
      <c r="C3" s="257" t="s">
        <v>814</v>
      </c>
      <c r="D3" s="3"/>
      <c r="E3" s="15"/>
      <c r="F3" s="15"/>
      <c r="G3" s="15"/>
      <c r="H3" s="15"/>
      <c r="I3" s="15"/>
      <c r="J3" s="15"/>
      <c r="K3" s="15"/>
      <c r="L3" s="15"/>
      <c r="M3" s="15"/>
      <c r="N3" s="15"/>
      <c r="O3" s="15"/>
      <c r="P3" s="15"/>
      <c r="Q3" s="3"/>
      <c r="R3" s="3"/>
      <c r="S3" s="3"/>
      <c r="T3" s="3"/>
      <c r="U3" s="3"/>
      <c r="V3" s="3"/>
      <c r="W3" s="3"/>
      <c r="X3" s="3"/>
      <c r="Y3" s="3"/>
      <c r="Z3" s="3"/>
    </row>
    <row r="4" spans="1:26" ht="22.5" hidden="1" customHeight="1" outlineLevel="1" x14ac:dyDescent="0.85">
      <c r="A4" s="89" t="s">
        <v>105</v>
      </c>
      <c r="B4" s="109">
        <f>C29</f>
        <v>-23485.366486469422</v>
      </c>
      <c r="C4" s="258" t="s">
        <v>106</v>
      </c>
      <c r="D4" s="15"/>
      <c r="E4" s="15"/>
      <c r="F4" s="15"/>
      <c r="G4" s="15"/>
      <c r="H4" s="15"/>
      <c r="I4" s="15"/>
      <c r="J4" s="15"/>
      <c r="K4" s="15"/>
      <c r="L4" s="15"/>
      <c r="M4" s="15"/>
      <c r="N4" s="15"/>
      <c r="O4" s="15"/>
      <c r="P4" s="15"/>
      <c r="Q4" s="15"/>
      <c r="R4" s="15"/>
      <c r="S4" s="15"/>
      <c r="T4" s="15"/>
      <c r="U4" s="15"/>
      <c r="V4" s="15"/>
      <c r="W4" s="15"/>
      <c r="X4" s="15"/>
      <c r="Y4" s="15"/>
      <c r="Z4" s="15"/>
    </row>
    <row r="5" spans="1:26" ht="22.5" hidden="1" customHeight="1" outlineLevel="1" x14ac:dyDescent="0.85">
      <c r="A5" s="89" t="s">
        <v>126</v>
      </c>
      <c r="B5" s="109">
        <f>E29</f>
        <v>-29329.33361059663</v>
      </c>
      <c r="C5" s="258">
        <f t="shared" ref="C5:C8" si="0">B5/$B$10</f>
        <v>0.97254820888801996</v>
      </c>
      <c r="D5" s="15"/>
      <c r="E5" s="15"/>
      <c r="F5" s="15"/>
      <c r="G5" s="15"/>
      <c r="H5" s="15"/>
      <c r="I5" s="15"/>
      <c r="J5" s="15"/>
      <c r="K5" s="15"/>
      <c r="L5" s="15"/>
      <c r="M5" s="15"/>
      <c r="N5" s="15"/>
      <c r="O5" s="15"/>
      <c r="P5" s="15"/>
      <c r="Q5" s="15"/>
      <c r="R5" s="15"/>
      <c r="S5" s="15"/>
      <c r="T5" s="15"/>
      <c r="U5" s="15"/>
      <c r="V5" s="15"/>
      <c r="W5" s="15"/>
      <c r="X5" s="15"/>
      <c r="Y5" s="15"/>
      <c r="Z5" s="15"/>
    </row>
    <row r="6" spans="1:26" ht="22.5" hidden="1" customHeight="1" outlineLevel="1" x14ac:dyDescent="0.85">
      <c r="A6" s="89" t="s">
        <v>127</v>
      </c>
      <c r="B6" s="109">
        <f>G29</f>
        <v>-633.8204646418526</v>
      </c>
      <c r="C6" s="258">
        <f t="shared" si="0"/>
        <v>2.1017216614198649E-2</v>
      </c>
      <c r="D6" s="15"/>
      <c r="E6" s="15"/>
      <c r="F6" s="15"/>
      <c r="G6" s="15"/>
      <c r="H6" s="15"/>
      <c r="I6" s="15"/>
      <c r="J6" s="15"/>
      <c r="K6" s="15"/>
      <c r="L6" s="15"/>
      <c r="M6" s="15"/>
      <c r="N6" s="15"/>
      <c r="O6" s="15"/>
      <c r="P6" s="15"/>
      <c r="Q6" s="15"/>
      <c r="R6" s="15"/>
      <c r="S6" s="15"/>
      <c r="T6" s="15"/>
      <c r="U6" s="15"/>
      <c r="V6" s="15"/>
      <c r="W6" s="15"/>
      <c r="X6" s="15"/>
      <c r="Y6" s="15"/>
      <c r="Z6" s="15"/>
    </row>
    <row r="7" spans="1:26" ht="22.5" hidden="1" customHeight="1" outlineLevel="1" x14ac:dyDescent="0.85">
      <c r="A7" s="89" t="s">
        <v>128</v>
      </c>
      <c r="B7" s="109">
        <f>I29</f>
        <v>0</v>
      </c>
      <c r="C7" s="258">
        <f t="shared" si="0"/>
        <v>0</v>
      </c>
      <c r="D7" s="15"/>
      <c r="E7" s="15"/>
      <c r="F7" s="15"/>
      <c r="G7" s="15"/>
      <c r="H7" s="15"/>
      <c r="I7" s="15"/>
      <c r="J7" s="15"/>
      <c r="K7" s="15"/>
      <c r="L7" s="15"/>
      <c r="M7" s="15"/>
      <c r="N7" s="15"/>
      <c r="O7" s="15"/>
      <c r="P7" s="15"/>
      <c r="Q7" s="15"/>
      <c r="R7" s="15"/>
      <c r="S7" s="15"/>
      <c r="T7" s="15"/>
      <c r="U7" s="15"/>
      <c r="V7" s="15"/>
      <c r="W7" s="15"/>
      <c r="X7" s="15"/>
      <c r="Y7" s="15"/>
      <c r="Z7" s="15"/>
    </row>
    <row r="8" spans="1:26" ht="22.5" hidden="1" customHeight="1" outlineLevel="1" x14ac:dyDescent="0.85">
      <c r="A8" s="89" t="s">
        <v>129</v>
      </c>
      <c r="B8" s="109">
        <f>K29</f>
        <v>-194.04876834172327</v>
      </c>
      <c r="C8" s="258">
        <f t="shared" si="0"/>
        <v>6.4345744977814456E-3</v>
      </c>
      <c r="D8" s="15"/>
      <c r="E8" s="15"/>
      <c r="F8" s="15"/>
      <c r="G8" s="15"/>
      <c r="H8" s="15"/>
      <c r="I8" s="15"/>
      <c r="J8" s="15"/>
      <c r="K8" s="15"/>
      <c r="L8" s="15"/>
      <c r="M8" s="15"/>
      <c r="N8" s="15"/>
      <c r="O8" s="15"/>
      <c r="P8" s="15"/>
      <c r="Q8" s="15"/>
      <c r="R8" s="15"/>
      <c r="S8" s="15"/>
      <c r="T8" s="15"/>
      <c r="U8" s="15"/>
      <c r="V8" s="15"/>
      <c r="W8" s="15"/>
      <c r="X8" s="15"/>
      <c r="Y8" s="15"/>
      <c r="Z8" s="15"/>
    </row>
    <row r="9" spans="1:26" ht="22.5" hidden="1" customHeight="1" outlineLevel="1" x14ac:dyDescent="0.85">
      <c r="A9" s="322" t="s">
        <v>590</v>
      </c>
      <c r="B9" s="323">
        <f>B4</f>
        <v>-23485.366486469422</v>
      </c>
      <c r="C9" s="323" t="s">
        <v>106</v>
      </c>
      <c r="D9" s="1"/>
      <c r="E9" s="15"/>
      <c r="F9" s="15"/>
      <c r="G9" s="15"/>
      <c r="H9" s="15"/>
      <c r="I9" s="15"/>
      <c r="J9" s="15"/>
      <c r="K9" s="15"/>
      <c r="L9" s="15"/>
      <c r="M9" s="15"/>
      <c r="N9" s="15"/>
      <c r="O9" s="15"/>
      <c r="P9" s="15"/>
      <c r="Q9" s="1"/>
      <c r="R9" s="1"/>
      <c r="S9" s="1"/>
      <c r="T9" s="1"/>
      <c r="U9" s="1"/>
      <c r="V9" s="1"/>
      <c r="W9" s="1"/>
      <c r="X9" s="1"/>
      <c r="Y9" s="1"/>
      <c r="Z9" s="1"/>
    </row>
    <row r="10" spans="1:26" ht="22.5" hidden="1" customHeight="1" outlineLevel="1" x14ac:dyDescent="0.85">
      <c r="A10" s="322" t="s">
        <v>111</v>
      </c>
      <c r="B10" s="323">
        <f t="shared" ref="B10:C10" si="1">SUM(B5:B8)</f>
        <v>-30157.202843580206</v>
      </c>
      <c r="C10" s="324">
        <f t="shared" si="1"/>
        <v>1</v>
      </c>
      <c r="D10" s="1"/>
      <c r="E10" s="15"/>
      <c r="F10" s="15"/>
      <c r="G10" s="15"/>
      <c r="H10" s="15"/>
      <c r="I10" s="15"/>
      <c r="J10" s="15"/>
      <c r="K10" s="15"/>
      <c r="L10" s="15"/>
      <c r="M10" s="15"/>
      <c r="N10" s="15"/>
      <c r="O10" s="15"/>
      <c r="P10" s="15"/>
      <c r="Q10" s="1"/>
      <c r="R10" s="1"/>
      <c r="S10" s="1"/>
      <c r="T10" s="1"/>
      <c r="U10" s="1"/>
      <c r="V10" s="1"/>
      <c r="W10" s="1"/>
      <c r="X10" s="1"/>
      <c r="Y10" s="1"/>
      <c r="Z10" s="1"/>
    </row>
    <row r="11" spans="1:26" ht="25.5" customHeight="1" collapsed="1" x14ac:dyDescent="0.85">
      <c r="A11" s="858" t="s">
        <v>591</v>
      </c>
      <c r="B11" s="765"/>
      <c r="C11" s="765"/>
      <c r="D11" s="765"/>
      <c r="E11" s="765"/>
      <c r="F11" s="765"/>
      <c r="G11" s="765"/>
      <c r="H11" s="765"/>
      <c r="I11" s="765"/>
      <c r="J11" s="765"/>
      <c r="K11" s="765"/>
      <c r="L11" s="765"/>
      <c r="M11" s="765"/>
      <c r="N11" s="765"/>
      <c r="O11" s="765"/>
      <c r="P11" s="762"/>
      <c r="Q11" s="3"/>
      <c r="R11" s="3"/>
      <c r="S11" s="3"/>
      <c r="T11" s="3"/>
      <c r="U11" s="3"/>
      <c r="V11" s="3"/>
      <c r="W11" s="3"/>
      <c r="X11" s="3"/>
      <c r="Y11" s="3"/>
      <c r="Z11" s="3"/>
    </row>
    <row r="12" spans="1:26" ht="22.5" hidden="1" customHeight="1" outlineLevel="1" x14ac:dyDescent="0.85">
      <c r="A12" s="840" t="s">
        <v>815</v>
      </c>
      <c r="B12" s="790"/>
      <c r="C12" s="790"/>
      <c r="D12" s="790"/>
      <c r="E12" s="790"/>
      <c r="F12" s="790"/>
      <c r="G12" s="790"/>
      <c r="H12" s="790"/>
      <c r="I12" s="790"/>
      <c r="J12" s="790"/>
      <c r="K12" s="790"/>
      <c r="L12" s="790"/>
      <c r="M12" s="790"/>
      <c r="N12" s="790"/>
      <c r="O12" s="791"/>
      <c r="P12" s="325"/>
      <c r="Q12" s="15"/>
      <c r="R12" s="15"/>
      <c r="S12" s="15"/>
      <c r="T12" s="15"/>
      <c r="U12" s="15"/>
      <c r="V12" s="15"/>
      <c r="W12" s="15"/>
      <c r="X12" s="15"/>
      <c r="Y12" s="15"/>
      <c r="Z12" s="15"/>
    </row>
    <row r="13" spans="1:26" ht="22.5" hidden="1" customHeight="1" outlineLevel="1" x14ac:dyDescent="0.85">
      <c r="A13" s="840" t="s">
        <v>816</v>
      </c>
      <c r="B13" s="790"/>
      <c r="C13" s="790"/>
      <c r="D13" s="790"/>
      <c r="E13" s="790"/>
      <c r="F13" s="790"/>
      <c r="G13" s="790"/>
      <c r="H13" s="790"/>
      <c r="I13" s="790"/>
      <c r="J13" s="790"/>
      <c r="K13" s="790"/>
      <c r="L13" s="790"/>
      <c r="M13" s="790"/>
      <c r="N13" s="790"/>
      <c r="O13" s="791"/>
      <c r="P13" s="325"/>
      <c r="Q13" s="15"/>
      <c r="R13" s="15"/>
      <c r="S13" s="15"/>
      <c r="T13" s="15"/>
      <c r="U13" s="15"/>
      <c r="V13" s="15"/>
      <c r="W13" s="15"/>
      <c r="X13" s="15"/>
      <c r="Y13" s="15"/>
      <c r="Z13" s="15"/>
    </row>
    <row r="14" spans="1:26" ht="25.5" hidden="1" customHeight="1" outlineLevel="1" x14ac:dyDescent="0.85">
      <c r="A14" s="858" t="s">
        <v>183</v>
      </c>
      <c r="B14" s="765"/>
      <c r="C14" s="765"/>
      <c r="D14" s="765"/>
      <c r="E14" s="765"/>
      <c r="F14" s="765"/>
      <c r="G14" s="765"/>
      <c r="H14" s="765"/>
      <c r="I14" s="765"/>
      <c r="J14" s="765"/>
      <c r="K14" s="765"/>
      <c r="L14" s="765"/>
      <c r="M14" s="765"/>
      <c r="N14" s="765"/>
      <c r="O14" s="765"/>
      <c r="P14" s="762"/>
      <c r="Q14" s="15"/>
      <c r="R14" s="15"/>
      <c r="S14" s="15"/>
      <c r="T14" s="15"/>
      <c r="U14" s="15"/>
      <c r="V14" s="15"/>
      <c r="W14" s="15"/>
      <c r="X14" s="15"/>
      <c r="Y14" s="15"/>
      <c r="Z14" s="15"/>
    </row>
    <row r="15" spans="1:26" ht="25.5" hidden="1" customHeight="1" outlineLevel="1" x14ac:dyDescent="0.85">
      <c r="A15" s="839" t="s">
        <v>603</v>
      </c>
      <c r="B15" s="813"/>
      <c r="C15" s="813"/>
      <c r="D15" s="813"/>
      <c r="E15" s="813"/>
      <c r="F15" s="813"/>
      <c r="G15" s="813"/>
      <c r="H15" s="814"/>
      <c r="I15" s="15"/>
      <c r="J15" s="15"/>
      <c r="K15" s="15"/>
      <c r="L15" s="15"/>
      <c r="M15" s="15"/>
      <c r="N15" s="15"/>
      <c r="O15" s="15"/>
      <c r="P15" s="15"/>
      <c r="Q15" s="15"/>
      <c r="R15" s="15"/>
      <c r="S15" s="15"/>
      <c r="T15" s="15"/>
      <c r="U15" s="15"/>
      <c r="V15" s="15"/>
      <c r="W15" s="15"/>
      <c r="X15" s="15"/>
      <c r="Y15" s="15"/>
      <c r="Z15" s="15"/>
    </row>
    <row r="16" spans="1:26" ht="25.5" hidden="1" customHeight="1" outlineLevel="1" x14ac:dyDescent="0.85">
      <c r="A16" s="326" t="s">
        <v>604</v>
      </c>
      <c r="B16" s="326" t="s">
        <v>605</v>
      </c>
      <c r="C16" s="326" t="s">
        <v>606</v>
      </c>
      <c r="D16" s="326" t="s">
        <v>607</v>
      </c>
      <c r="E16" s="326" t="s">
        <v>608</v>
      </c>
      <c r="F16" s="864" t="s">
        <v>609</v>
      </c>
      <c r="G16" s="765"/>
      <c r="H16" s="762"/>
      <c r="I16" s="15"/>
      <c r="J16" s="15"/>
      <c r="K16" s="15"/>
      <c r="L16" s="15"/>
      <c r="M16" s="15"/>
      <c r="N16" s="15"/>
      <c r="O16" s="15"/>
      <c r="P16" s="15"/>
      <c r="Q16" s="15"/>
      <c r="R16" s="15"/>
      <c r="S16" s="15"/>
      <c r="T16" s="15"/>
      <c r="U16" s="15"/>
      <c r="V16" s="15"/>
      <c r="W16" s="15"/>
      <c r="X16" s="15"/>
      <c r="Y16" s="15"/>
      <c r="Z16" s="15"/>
    </row>
    <row r="17" spans="1:26" ht="22.5" hidden="1" customHeight="1" outlineLevel="1" x14ac:dyDescent="0.85">
      <c r="A17" s="267" t="s">
        <v>474</v>
      </c>
      <c r="B17" s="176" t="str">
        <f>'Energy Data'!B26</f>
        <v>Bernalillo, Sandoval, and Valencia Counties</v>
      </c>
      <c r="C17" s="268" t="s">
        <v>817</v>
      </c>
      <c r="D17" s="327">
        <f>'Energy Data'!D26</f>
        <v>0.25729999999999997</v>
      </c>
      <c r="E17" s="268" t="s">
        <v>818</v>
      </c>
      <c r="F17" s="863" t="str">
        <f>'Energy Data'!F26</f>
        <v>Email from Alaric Babej. PDF on file.</v>
      </c>
      <c r="G17" s="765"/>
      <c r="H17" s="762"/>
      <c r="I17" s="15"/>
      <c r="J17" s="15"/>
      <c r="K17" s="15"/>
      <c r="L17" s="15"/>
      <c r="M17" s="15"/>
      <c r="N17" s="15"/>
      <c r="O17" s="15"/>
      <c r="P17" s="15"/>
      <c r="Q17" s="15"/>
      <c r="R17" s="15"/>
      <c r="S17" s="15"/>
      <c r="T17" s="15"/>
      <c r="U17" s="15"/>
      <c r="V17" s="15"/>
      <c r="W17" s="15"/>
      <c r="X17" s="15"/>
      <c r="Y17" s="15"/>
      <c r="Z17" s="15"/>
    </row>
    <row r="18" spans="1:26" ht="22.5" hidden="1" customHeight="1" outlineLevel="1" x14ac:dyDescent="0.85">
      <c r="A18" s="267" t="s">
        <v>614</v>
      </c>
      <c r="B18" s="176" t="str">
        <f>'Energy Data'!B27</f>
        <v>Sandoval, Torrance, and Valencia Counties</v>
      </c>
      <c r="C18" s="268" t="s">
        <v>819</v>
      </c>
      <c r="D18" s="327">
        <f>'Energy Data'!D27</f>
        <v>0.64909145340240049</v>
      </c>
      <c r="E18" s="268" t="s">
        <v>820</v>
      </c>
      <c r="F18" s="863" t="s">
        <v>821</v>
      </c>
      <c r="G18" s="765"/>
      <c r="H18" s="762"/>
      <c r="I18" s="15"/>
      <c r="J18" s="15"/>
      <c r="K18" s="15"/>
      <c r="L18" s="15"/>
      <c r="M18" s="15"/>
      <c r="N18" s="15"/>
      <c r="O18" s="15"/>
      <c r="P18" s="15"/>
      <c r="Q18" s="15"/>
      <c r="R18" s="15"/>
      <c r="S18" s="15"/>
      <c r="T18" s="15"/>
      <c r="U18" s="15"/>
      <c r="V18" s="15"/>
      <c r="W18" s="15"/>
      <c r="X18" s="15"/>
      <c r="Y18" s="15"/>
      <c r="Z18" s="15"/>
    </row>
    <row r="19" spans="1:26" ht="22.5" hidden="1" customHeight="1" outlineLevel="1" x14ac:dyDescent="0.85">
      <c r="A19" s="328" t="s">
        <v>106</v>
      </c>
      <c r="B19" s="176" t="s">
        <v>619</v>
      </c>
      <c r="C19" s="268" t="s">
        <v>822</v>
      </c>
      <c r="D19" s="329">
        <f>'Energy Data'!D28</f>
        <v>2.3133238381217625E-5</v>
      </c>
      <c r="E19" s="268" t="s">
        <v>823</v>
      </c>
      <c r="F19" s="834" t="s">
        <v>622</v>
      </c>
      <c r="G19" s="828"/>
      <c r="H19" s="825"/>
      <c r="I19" s="15"/>
      <c r="J19" s="15"/>
      <c r="K19" s="15"/>
      <c r="L19" s="15"/>
      <c r="M19" s="15"/>
      <c r="N19" s="15"/>
      <c r="O19" s="15"/>
      <c r="P19" s="15"/>
      <c r="Q19" s="15"/>
      <c r="R19" s="15"/>
      <c r="S19" s="15"/>
      <c r="T19" s="15"/>
      <c r="U19" s="15"/>
      <c r="V19" s="15"/>
      <c r="W19" s="15"/>
      <c r="X19" s="15"/>
      <c r="Y19" s="15"/>
      <c r="Z19" s="15"/>
    </row>
    <row r="20" spans="1:26" ht="22.5" hidden="1" customHeight="1" outlineLevel="1" x14ac:dyDescent="0.85">
      <c r="A20" s="328" t="s">
        <v>106</v>
      </c>
      <c r="B20" s="176" t="s">
        <v>619</v>
      </c>
      <c r="C20" s="268" t="s">
        <v>824</v>
      </c>
      <c r="D20" s="329">
        <f>'Energy Data'!D29</f>
        <v>3.175150366049478E-6</v>
      </c>
      <c r="E20" s="268" t="s">
        <v>825</v>
      </c>
      <c r="F20" s="810"/>
      <c r="G20" s="830"/>
      <c r="H20" s="767"/>
      <c r="I20" s="15"/>
      <c r="J20" s="15"/>
      <c r="K20" s="15"/>
      <c r="L20" s="15"/>
      <c r="M20" s="15"/>
      <c r="N20" s="15"/>
      <c r="O20" s="15"/>
      <c r="P20" s="15"/>
      <c r="Q20" s="15"/>
      <c r="R20" s="15"/>
      <c r="S20" s="15"/>
      <c r="T20" s="15"/>
      <c r="U20" s="15"/>
      <c r="V20" s="15"/>
      <c r="W20" s="15"/>
      <c r="X20" s="15"/>
      <c r="Y20" s="15"/>
      <c r="Z20" s="15"/>
    </row>
    <row r="21" spans="1:26" ht="25.5" hidden="1" customHeight="1" outlineLevel="1" x14ac:dyDescent="0.85">
      <c r="A21" s="330"/>
      <c r="B21" s="36"/>
      <c r="C21" s="36"/>
      <c r="D21" s="36"/>
      <c r="E21" s="36"/>
      <c r="F21" s="36"/>
      <c r="G21" s="36"/>
      <c r="H21" s="15"/>
      <c r="I21" s="15"/>
      <c r="J21" s="15"/>
      <c r="K21" s="15"/>
      <c r="L21" s="15"/>
      <c r="M21" s="15"/>
      <c r="N21" s="15"/>
      <c r="O21" s="15"/>
      <c r="P21" s="15"/>
      <c r="Q21" s="15"/>
      <c r="R21" s="15"/>
      <c r="S21" s="15"/>
      <c r="T21" s="15"/>
      <c r="U21" s="15"/>
      <c r="V21" s="15"/>
      <c r="W21" s="15"/>
      <c r="X21" s="15"/>
      <c r="Y21" s="15"/>
      <c r="Z21" s="15"/>
    </row>
    <row r="22" spans="1:26" ht="22.5" customHeight="1" collapsed="1" x14ac:dyDescent="0.85">
      <c r="A22" s="858" t="s">
        <v>254</v>
      </c>
      <c r="B22" s="765"/>
      <c r="C22" s="765"/>
      <c r="D22" s="765"/>
      <c r="E22" s="765"/>
      <c r="F22" s="765"/>
      <c r="G22" s="765"/>
      <c r="H22" s="765"/>
      <c r="I22" s="765"/>
      <c r="J22" s="765"/>
      <c r="K22" s="765"/>
      <c r="L22" s="765"/>
      <c r="M22" s="765"/>
      <c r="N22" s="765"/>
      <c r="O22" s="765"/>
      <c r="P22" s="762"/>
      <c r="Q22" s="15"/>
      <c r="R22" s="15"/>
      <c r="S22" s="15"/>
      <c r="T22" s="15"/>
      <c r="U22" s="15"/>
      <c r="V22" s="15"/>
      <c r="W22" s="15"/>
      <c r="X22" s="15"/>
      <c r="Y22" s="15"/>
      <c r="Z22" s="15"/>
    </row>
    <row r="23" spans="1:26" ht="22.5" hidden="1" customHeight="1" outlineLevel="1" x14ac:dyDescent="0.85">
      <c r="A23" s="326"/>
      <c r="B23" s="842" t="s">
        <v>105</v>
      </c>
      <c r="C23" s="814"/>
      <c r="D23" s="842" t="s">
        <v>107</v>
      </c>
      <c r="E23" s="814"/>
      <c r="F23" s="842" t="s">
        <v>108</v>
      </c>
      <c r="G23" s="814"/>
      <c r="H23" s="842" t="s">
        <v>109</v>
      </c>
      <c r="I23" s="814"/>
      <c r="J23" s="842" t="s">
        <v>110</v>
      </c>
      <c r="K23" s="814"/>
      <c r="L23" s="842" t="s">
        <v>826</v>
      </c>
      <c r="M23" s="814"/>
      <c r="N23" s="26"/>
      <c r="O23" s="26"/>
      <c r="P23" s="26"/>
      <c r="Q23" s="26"/>
      <c r="R23" s="26"/>
      <c r="S23" s="26"/>
      <c r="T23" s="26"/>
      <c r="U23" s="26"/>
      <c r="V23" s="26"/>
      <c r="W23" s="26"/>
      <c r="X23" s="26"/>
      <c r="Y23" s="26"/>
      <c r="Z23" s="26"/>
    </row>
    <row r="24" spans="1:26" ht="22.5" hidden="1" customHeight="1" outlineLevel="1" x14ac:dyDescent="0.85">
      <c r="A24" s="331" t="s">
        <v>474</v>
      </c>
      <c r="B24" s="332" t="s">
        <v>476</v>
      </c>
      <c r="C24" s="332" t="s">
        <v>827</v>
      </c>
      <c r="D24" s="332" t="s">
        <v>476</v>
      </c>
      <c r="E24" s="332" t="s">
        <v>827</v>
      </c>
      <c r="F24" s="332" t="s">
        <v>476</v>
      </c>
      <c r="G24" s="332" t="s">
        <v>827</v>
      </c>
      <c r="H24" s="332" t="s">
        <v>476</v>
      </c>
      <c r="I24" s="332" t="s">
        <v>827</v>
      </c>
      <c r="J24" s="332" t="s">
        <v>476</v>
      </c>
      <c r="K24" s="332" t="s">
        <v>827</v>
      </c>
      <c r="L24" s="332" t="s">
        <v>476</v>
      </c>
      <c r="M24" s="332" t="s">
        <v>827</v>
      </c>
      <c r="N24" s="26"/>
      <c r="O24" s="26"/>
      <c r="P24" s="26"/>
      <c r="Q24" s="26"/>
      <c r="R24" s="26"/>
      <c r="S24" s="26"/>
      <c r="T24" s="26"/>
      <c r="U24" s="26"/>
      <c r="V24" s="26"/>
      <c r="W24" s="26"/>
      <c r="X24" s="26"/>
      <c r="Y24" s="26"/>
      <c r="Z24" s="26"/>
    </row>
    <row r="25" spans="1:26" ht="22.5" hidden="1" customHeight="1" outlineLevel="1" x14ac:dyDescent="0.85">
      <c r="A25" s="333" t="s">
        <v>475</v>
      </c>
      <c r="B25" s="259">
        <f>(B34)/'Conversion Factors and GWP'!$A$5</f>
        <v>83345.870955788952</v>
      </c>
      <c r="C25" s="109">
        <f>-((B25*$D$17)+(B25*$D$19*'Conversion Factors and GWP'!$C$31)+('Renewable Energy Data '!B25*'Renewable Energy Data '!$D$20*'Conversion Factors and GWP'!$C$32))</f>
        <v>-21569.006727408596</v>
      </c>
      <c r="D25" s="259">
        <f>(C34)/'Conversion Factors and GWP'!$A$5</f>
        <v>105927.83478718037</v>
      </c>
      <c r="E25" s="109">
        <f>-((D25*$D$17)+(D25*$D$19*'Conversion Factors and GWP'!$C$31)+('Renewable Energy Data '!D25*'Renewable Energy Data '!$D$20*'Conversion Factors and GWP'!$C$32))</f>
        <v>-27412.9738515358</v>
      </c>
      <c r="F25" s="259" t="s">
        <v>106</v>
      </c>
      <c r="G25" s="109" t="s">
        <v>106</v>
      </c>
      <c r="H25" s="259" t="s">
        <v>106</v>
      </c>
      <c r="I25" s="259" t="s">
        <v>106</v>
      </c>
      <c r="J25" s="259" t="s">
        <v>106</v>
      </c>
      <c r="K25" s="109" t="s">
        <v>106</v>
      </c>
      <c r="L25" s="259">
        <f>(G34)/'Conversion Factors and GWP'!$A$5</f>
        <v>105927.83478718037</v>
      </c>
      <c r="M25" s="109">
        <f>SUM(E25)</f>
        <v>-27412.9738515358</v>
      </c>
      <c r="N25" s="142"/>
      <c r="O25" s="142"/>
      <c r="P25" s="142"/>
      <c r="Q25" s="142"/>
      <c r="R25" s="142"/>
      <c r="S25" s="142"/>
      <c r="T25" s="142"/>
      <c r="U25" s="142"/>
      <c r="V25" s="142"/>
      <c r="W25" s="142"/>
      <c r="X25" s="142"/>
      <c r="Y25" s="142"/>
      <c r="Z25" s="142"/>
    </row>
    <row r="26" spans="1:26" ht="22.5" hidden="1" customHeight="1" outlineLevel="1" x14ac:dyDescent="0.85">
      <c r="A26" s="333" t="s">
        <v>477</v>
      </c>
      <c r="B26" s="259">
        <f>(B35)/'Conversion Factors and GWP'!$A$5</f>
        <v>7405.1009952436598</v>
      </c>
      <c r="C26" s="109">
        <f>-((B26*$D$17)+(B26*$D$19*'Conversion Factors and GWP'!$C$31)+('Renewable Energy Data '!B26*'Renewable Energy Data '!$D$20*'Conversion Factors and GWP'!$C$32))</f>
        <v>-1916.3597590608279</v>
      </c>
      <c r="D26" s="259">
        <f>(C35)/'Conversion Factors and GWP'!$A$5</f>
        <v>7405.1009952436598</v>
      </c>
      <c r="E26" s="109">
        <f>-((D26*$D$17)+(D26*$D$19*'Conversion Factors and GWP'!$C$31)+('Renewable Energy Data '!D26*'Renewable Energy Data '!$D$20*'Conversion Factors and GWP'!$C$32))</f>
        <v>-1916.3597590608279</v>
      </c>
      <c r="F26" s="259">
        <f>(D35)/'Conversion Factors and GWP'!$A$5</f>
        <v>1503.5558040565847</v>
      </c>
      <c r="G26" s="109">
        <f>-((F26*$D$17)+(F26*$D$19*'Conversion Factors and GWP'!$C$31)+('Renewable Energy Data '!F26*'Renewable Energy Data '!$D$20*'Conversion Factors and GWP'!$C$32))</f>
        <v>-389.10392177596185</v>
      </c>
      <c r="H26" s="259" t="s">
        <v>106</v>
      </c>
      <c r="I26" s="259" t="s">
        <v>106</v>
      </c>
      <c r="J26" s="259">
        <f>(F35)/'Conversion Factors and GWP'!$A$5</f>
        <v>749.83349069974429</v>
      </c>
      <c r="K26" s="109">
        <f>-((J26*$D$17)+(J26*$D$19*'Conversion Factors and GWP'!$C$31)+('Renewable Energy Data '!J26*'Renewable Energy Data '!$D$20*'Conversion Factors and GWP'!$C$32))</f>
        <v>-194.04876834172327</v>
      </c>
      <c r="L26" s="259">
        <f>(G35)/'Conversion Factors and GWP'!$A$5</f>
        <v>9658.4902899999906</v>
      </c>
      <c r="M26" s="109">
        <f>SUM(E26,K26,G26)</f>
        <v>-2499.5124491785127</v>
      </c>
      <c r="N26" s="142"/>
      <c r="O26" s="142"/>
      <c r="P26" s="142"/>
      <c r="Q26" s="142"/>
      <c r="R26" s="142"/>
      <c r="S26" s="142"/>
      <c r="T26" s="142"/>
      <c r="U26" s="142"/>
      <c r="V26" s="142"/>
      <c r="W26" s="142"/>
      <c r="X26" s="142"/>
      <c r="Y26" s="142"/>
      <c r="Z26" s="142"/>
    </row>
    <row r="27" spans="1:26" ht="22.5" hidden="1" customHeight="1" outlineLevel="1" x14ac:dyDescent="0.85">
      <c r="A27" s="334" t="s">
        <v>478</v>
      </c>
      <c r="B27" s="332" t="s">
        <v>476</v>
      </c>
      <c r="C27" s="332" t="s">
        <v>827</v>
      </c>
      <c r="D27" s="332" t="s">
        <v>476</v>
      </c>
      <c r="E27" s="332" t="s">
        <v>827</v>
      </c>
      <c r="F27" s="332" t="s">
        <v>476</v>
      </c>
      <c r="G27" s="332" t="s">
        <v>827</v>
      </c>
      <c r="H27" s="332" t="s">
        <v>476</v>
      </c>
      <c r="I27" s="332" t="s">
        <v>827</v>
      </c>
      <c r="J27" s="332" t="s">
        <v>476</v>
      </c>
      <c r="K27" s="332" t="s">
        <v>827</v>
      </c>
      <c r="L27" s="332" t="s">
        <v>476</v>
      </c>
      <c r="M27" s="332" t="s">
        <v>827</v>
      </c>
      <c r="N27" s="142"/>
      <c r="O27" s="142"/>
      <c r="P27" s="142"/>
      <c r="Q27" s="142"/>
      <c r="R27" s="142"/>
      <c r="S27" s="142"/>
      <c r="T27" s="142"/>
      <c r="U27" s="142"/>
      <c r="V27" s="142"/>
      <c r="W27" s="142"/>
      <c r="X27" s="142"/>
      <c r="Y27" s="142"/>
      <c r="Z27" s="142"/>
    </row>
    <row r="28" spans="1:26" ht="22.5" hidden="1" customHeight="1" outlineLevel="1" x14ac:dyDescent="0.85">
      <c r="A28" s="280" t="s">
        <v>479</v>
      </c>
      <c r="B28" s="259" t="s">
        <v>106</v>
      </c>
      <c r="C28" s="259" t="s">
        <v>106</v>
      </c>
      <c r="D28" s="259" t="s">
        <v>106</v>
      </c>
      <c r="E28" s="259" t="s">
        <v>106</v>
      </c>
      <c r="F28" s="259">
        <f>(D39)/'Conversion Factors and GWP'!$A$5</f>
        <v>376.15100000000001</v>
      </c>
      <c r="G28" s="109">
        <f>-((F28*$D$18)+(F28*$D$19*'Conversion Factors and GWP'!$C$31)+('Renewable Energy Data '!F28*'Renewable Energy Data '!$D$20*'Conversion Factors and GWP'!$C$32))</f>
        <v>-244.71654286589074</v>
      </c>
      <c r="H28" s="259" t="s">
        <v>106</v>
      </c>
      <c r="I28" s="259" t="s">
        <v>106</v>
      </c>
      <c r="J28" s="259" t="s">
        <v>106</v>
      </c>
      <c r="K28" s="259" t="s">
        <v>106</v>
      </c>
      <c r="L28" s="259">
        <f>(G39)/'Conversion Factors and GWP'!$A$5</f>
        <v>376.15100000000001</v>
      </c>
      <c r="M28" s="109">
        <f>G28</f>
        <v>-244.71654286589074</v>
      </c>
      <c r="N28" s="142"/>
      <c r="O28" s="142"/>
      <c r="P28" s="142"/>
      <c r="Q28" s="142"/>
      <c r="R28" s="142"/>
      <c r="S28" s="142"/>
      <c r="T28" s="142"/>
      <c r="U28" s="142"/>
      <c r="V28" s="142"/>
      <c r="W28" s="142"/>
      <c r="X28" s="142"/>
      <c r="Y28" s="142"/>
      <c r="Z28" s="142"/>
    </row>
    <row r="29" spans="1:26" ht="22.5" hidden="1" customHeight="1" outlineLevel="1" x14ac:dyDescent="0.85">
      <c r="A29" s="335" t="s">
        <v>119</v>
      </c>
      <c r="B29" s="336">
        <f t="shared" ref="B29:M29" si="2">SUM(B25:B28)</f>
        <v>90750.97195103261</v>
      </c>
      <c r="C29" s="323">
        <f t="shared" si="2"/>
        <v>-23485.366486469422</v>
      </c>
      <c r="D29" s="336">
        <f t="shared" si="2"/>
        <v>113332.93578242403</v>
      </c>
      <c r="E29" s="323">
        <f t="shared" si="2"/>
        <v>-29329.33361059663</v>
      </c>
      <c r="F29" s="336">
        <f t="shared" si="2"/>
        <v>1879.7068040565848</v>
      </c>
      <c r="G29" s="323">
        <f t="shared" si="2"/>
        <v>-633.8204646418526</v>
      </c>
      <c r="H29" s="336">
        <f t="shared" si="2"/>
        <v>0</v>
      </c>
      <c r="I29" s="336">
        <f t="shared" si="2"/>
        <v>0</v>
      </c>
      <c r="J29" s="336">
        <f t="shared" si="2"/>
        <v>749.83349069974429</v>
      </c>
      <c r="K29" s="323">
        <f t="shared" si="2"/>
        <v>-194.04876834172327</v>
      </c>
      <c r="L29" s="336">
        <f t="shared" si="2"/>
        <v>115962.47607718036</v>
      </c>
      <c r="M29" s="323">
        <f t="shared" si="2"/>
        <v>-30157.202843580206</v>
      </c>
      <c r="N29" s="142"/>
      <c r="O29" s="142"/>
      <c r="P29" s="142"/>
      <c r="Q29" s="142"/>
      <c r="R29" s="142"/>
      <c r="S29" s="142"/>
      <c r="T29" s="142"/>
      <c r="U29" s="142"/>
      <c r="V29" s="142"/>
      <c r="W29" s="142"/>
      <c r="X29" s="142"/>
      <c r="Y29" s="142"/>
      <c r="Z29" s="142"/>
    </row>
    <row r="30" spans="1:26" ht="22.5" customHeight="1" collapsed="1" x14ac:dyDescent="0.85">
      <c r="A30" s="858" t="s">
        <v>828</v>
      </c>
      <c r="B30" s="765"/>
      <c r="C30" s="765"/>
      <c r="D30" s="765"/>
      <c r="E30" s="765"/>
      <c r="F30" s="765"/>
      <c r="G30" s="765"/>
      <c r="H30" s="765"/>
      <c r="I30" s="765"/>
      <c r="J30" s="765"/>
      <c r="K30" s="765"/>
      <c r="L30" s="765"/>
      <c r="M30" s="765"/>
      <c r="N30" s="765"/>
      <c r="O30" s="765"/>
      <c r="P30" s="762"/>
      <c r="Q30" s="34"/>
      <c r="R30" s="34"/>
      <c r="S30" s="34"/>
      <c r="T30" s="34"/>
      <c r="U30" s="34"/>
      <c r="V30" s="34"/>
      <c r="W30" s="34"/>
      <c r="X30" s="34"/>
      <c r="Y30" s="34"/>
      <c r="Z30" s="34"/>
    </row>
    <row r="31" spans="1:26" ht="22.5" hidden="1" customHeight="1" outlineLevel="1" x14ac:dyDescent="0.85">
      <c r="A31" s="298" t="s">
        <v>474</v>
      </c>
      <c r="B31" s="299"/>
      <c r="C31" s="299"/>
      <c r="D31" s="299"/>
      <c r="E31" s="299"/>
      <c r="F31" s="299"/>
      <c r="G31" s="300"/>
      <c r="H31" s="1"/>
      <c r="I31" s="1"/>
      <c r="J31" s="1"/>
      <c r="K31" s="1"/>
      <c r="L31" s="1"/>
      <c r="M31" s="1"/>
      <c r="N31" s="1"/>
      <c r="O31" s="1"/>
      <c r="P31" s="34"/>
      <c r="Q31" s="34"/>
      <c r="R31" s="34"/>
      <c r="S31" s="34"/>
      <c r="T31" s="34"/>
      <c r="U31" s="34"/>
      <c r="V31" s="34"/>
      <c r="W31" s="34"/>
      <c r="X31" s="34"/>
      <c r="Y31" s="34"/>
      <c r="Z31" s="34"/>
    </row>
    <row r="32" spans="1:26" ht="22.5" hidden="1" customHeight="1" outlineLevel="1" x14ac:dyDescent="0.85">
      <c r="A32" s="326"/>
      <c r="B32" s="337" t="s">
        <v>105</v>
      </c>
      <c r="C32" s="337" t="s">
        <v>107</v>
      </c>
      <c r="D32" s="337" t="s">
        <v>108</v>
      </c>
      <c r="E32" s="337" t="s">
        <v>109</v>
      </c>
      <c r="F32" s="337" t="s">
        <v>110</v>
      </c>
      <c r="G32" s="289" t="s">
        <v>119</v>
      </c>
      <c r="H32" s="1"/>
      <c r="I32" s="1"/>
      <c r="J32" s="1"/>
      <c r="K32" s="1"/>
      <c r="L32" s="1"/>
      <c r="M32" s="1"/>
      <c r="N32" s="1"/>
      <c r="O32" s="1"/>
      <c r="P32" s="1"/>
      <c r="Q32" s="1"/>
      <c r="R32" s="1"/>
      <c r="S32" s="1"/>
      <c r="T32" s="1"/>
      <c r="U32" s="1"/>
      <c r="V32" s="1"/>
      <c r="W32" s="1"/>
      <c r="X32" s="1"/>
      <c r="Y32" s="1"/>
      <c r="Z32" s="1"/>
    </row>
    <row r="33" spans="1:26" ht="22.5" hidden="1" customHeight="1" outlineLevel="1" x14ac:dyDescent="0.85">
      <c r="A33" s="338" t="s">
        <v>829</v>
      </c>
      <c r="B33" s="339" t="s">
        <v>830</v>
      </c>
      <c r="C33" s="339" t="s">
        <v>830</v>
      </c>
      <c r="D33" s="339" t="s">
        <v>830</v>
      </c>
      <c r="E33" s="339" t="s">
        <v>830</v>
      </c>
      <c r="F33" s="339" t="s">
        <v>830</v>
      </c>
      <c r="G33" s="339" t="s">
        <v>830</v>
      </c>
      <c r="H33" s="1"/>
      <c r="I33" s="1"/>
      <c r="J33" s="1"/>
      <c r="K33" s="1"/>
      <c r="L33" s="1"/>
      <c r="M33" s="1"/>
      <c r="N33" s="1"/>
      <c r="O33" s="1"/>
      <c r="P33" s="1"/>
      <c r="Q33" s="1"/>
      <c r="R33" s="1"/>
      <c r="S33" s="1"/>
      <c r="T33" s="1"/>
      <c r="U33" s="1"/>
      <c r="V33" s="1"/>
      <c r="W33" s="1"/>
      <c r="X33" s="1"/>
      <c r="Y33" s="1"/>
      <c r="Z33" s="1"/>
    </row>
    <row r="34" spans="1:26" ht="22.5" hidden="1" customHeight="1" outlineLevel="1" x14ac:dyDescent="0.85">
      <c r="A34" s="333" t="s">
        <v>475</v>
      </c>
      <c r="B34" s="136">
        <v>83345870.955788955</v>
      </c>
      <c r="C34" s="136">
        <v>105927834.78718036</v>
      </c>
      <c r="D34" s="136" t="s">
        <v>106</v>
      </c>
      <c r="E34" s="136" t="s">
        <v>106</v>
      </c>
      <c r="F34" s="136" t="s">
        <v>106</v>
      </c>
      <c r="G34" s="340">
        <f>C34</f>
        <v>105927834.78718036</v>
      </c>
      <c r="H34" s="1"/>
      <c r="I34" s="1"/>
      <c r="J34" s="1"/>
      <c r="K34" s="1"/>
      <c r="L34" s="1"/>
      <c r="M34" s="1"/>
      <c r="N34" s="1"/>
      <c r="O34" s="1"/>
      <c r="P34" s="1"/>
      <c r="Q34" s="1"/>
      <c r="R34" s="1"/>
      <c r="S34" s="1"/>
      <c r="T34" s="1"/>
      <c r="U34" s="1"/>
      <c r="V34" s="1"/>
      <c r="W34" s="1"/>
      <c r="X34" s="1"/>
      <c r="Y34" s="1"/>
      <c r="Z34" s="1"/>
    </row>
    <row r="35" spans="1:26" ht="22.5" hidden="1" customHeight="1" outlineLevel="1" x14ac:dyDescent="0.85">
      <c r="A35" s="333" t="s">
        <v>477</v>
      </c>
      <c r="B35" s="136">
        <v>7405100.9952436602</v>
      </c>
      <c r="C35" s="259">
        <f>B35</f>
        <v>7405100.9952436602</v>
      </c>
      <c r="D35" s="136">
        <v>1503555.8040565848</v>
      </c>
      <c r="E35" s="136" t="s">
        <v>106</v>
      </c>
      <c r="F35" s="136">
        <v>749833.49069974432</v>
      </c>
      <c r="G35" s="340">
        <f>C35+D35+F35</f>
        <v>9658490.2899999898</v>
      </c>
      <c r="H35" s="1"/>
      <c r="I35" s="1"/>
      <c r="J35" s="1"/>
      <c r="K35" s="1"/>
      <c r="L35" s="1"/>
      <c r="M35" s="1"/>
      <c r="N35" s="1"/>
      <c r="O35" s="1"/>
      <c r="P35" s="1"/>
      <c r="Q35" s="1"/>
      <c r="R35" s="1"/>
      <c r="S35" s="1"/>
      <c r="T35" s="1"/>
      <c r="U35" s="1"/>
      <c r="V35" s="1"/>
      <c r="W35" s="1"/>
      <c r="X35" s="1"/>
      <c r="Y35" s="1"/>
      <c r="Z35" s="1"/>
    </row>
    <row r="36" spans="1:26" ht="22.5" hidden="1" customHeight="1" outlineLevel="1" x14ac:dyDescent="0.85">
      <c r="A36" s="334" t="s">
        <v>478</v>
      </c>
      <c r="B36" s="341"/>
      <c r="C36" s="341"/>
      <c r="D36" s="341"/>
      <c r="E36" s="341"/>
      <c r="F36" s="341"/>
      <c r="G36" s="342"/>
      <c r="H36" s="1"/>
      <c r="I36" s="1"/>
      <c r="J36" s="1"/>
      <c r="K36" s="1"/>
      <c r="L36" s="1"/>
      <c r="M36" s="1"/>
      <c r="N36" s="1"/>
      <c r="O36" s="3"/>
      <c r="P36" s="3"/>
      <c r="Q36" s="3"/>
      <c r="R36" s="3"/>
      <c r="S36" s="3"/>
      <c r="T36" s="3"/>
      <c r="U36" s="3"/>
      <c r="V36" s="3"/>
      <c r="W36" s="3"/>
      <c r="X36" s="3"/>
      <c r="Y36" s="3"/>
      <c r="Z36" s="3"/>
    </row>
    <row r="37" spans="1:26" ht="22.5" hidden="1" customHeight="1" outlineLevel="1" x14ac:dyDescent="0.85">
      <c r="A37" s="343"/>
      <c r="B37" s="337" t="s">
        <v>105</v>
      </c>
      <c r="C37" s="337" t="s">
        <v>107</v>
      </c>
      <c r="D37" s="344" t="s">
        <v>108</v>
      </c>
      <c r="E37" s="337" t="s">
        <v>109</v>
      </c>
      <c r="F37" s="337" t="s">
        <v>110</v>
      </c>
      <c r="G37" s="289" t="s">
        <v>119</v>
      </c>
      <c r="H37" s="1"/>
      <c r="I37" s="1"/>
      <c r="J37" s="1"/>
      <c r="K37" s="1"/>
      <c r="L37" s="1"/>
      <c r="M37" s="1"/>
      <c r="N37" s="1"/>
      <c r="O37" s="3"/>
      <c r="P37" s="3"/>
      <c r="Q37" s="3"/>
      <c r="R37" s="3"/>
      <c r="S37" s="3"/>
      <c r="T37" s="3"/>
      <c r="U37" s="3"/>
      <c r="V37" s="3"/>
      <c r="W37" s="3"/>
      <c r="X37" s="3"/>
      <c r="Y37" s="3"/>
      <c r="Z37" s="3"/>
    </row>
    <row r="38" spans="1:26" ht="22.5" hidden="1" customHeight="1" outlineLevel="1" x14ac:dyDescent="0.85">
      <c r="A38" s="338" t="s">
        <v>829</v>
      </c>
      <c r="B38" s="339" t="s">
        <v>830</v>
      </c>
      <c r="C38" s="339" t="s">
        <v>830</v>
      </c>
      <c r="D38" s="339" t="s">
        <v>830</v>
      </c>
      <c r="E38" s="339" t="s">
        <v>830</v>
      </c>
      <c r="F38" s="339" t="s">
        <v>830</v>
      </c>
      <c r="G38" s="339" t="s">
        <v>830</v>
      </c>
      <c r="H38" s="15"/>
      <c r="I38" s="15"/>
      <c r="J38" s="15"/>
      <c r="K38" s="15"/>
      <c r="L38" s="15"/>
      <c r="M38" s="15"/>
      <c r="N38" s="15"/>
      <c r="O38" s="15"/>
      <c r="P38" s="15"/>
      <c r="Q38" s="15"/>
      <c r="R38" s="15"/>
      <c r="S38" s="15"/>
      <c r="T38" s="15"/>
      <c r="U38" s="15"/>
      <c r="V38" s="15"/>
      <c r="W38" s="15"/>
      <c r="X38" s="15"/>
      <c r="Y38" s="15"/>
      <c r="Z38" s="15"/>
    </row>
    <row r="39" spans="1:26" ht="22.5" hidden="1" customHeight="1" outlineLevel="1" x14ac:dyDescent="0.85">
      <c r="A39" s="280" t="s">
        <v>479</v>
      </c>
      <c r="B39" s="345" t="s">
        <v>106</v>
      </c>
      <c r="C39" s="345" t="s">
        <v>106</v>
      </c>
      <c r="D39" s="345">
        <v>376151</v>
      </c>
      <c r="E39" s="345" t="s">
        <v>106</v>
      </c>
      <c r="F39" s="345" t="s">
        <v>106</v>
      </c>
      <c r="G39" s="340">
        <f>D39</f>
        <v>376151</v>
      </c>
      <c r="H39" s="15"/>
      <c r="I39" s="15"/>
      <c r="J39" s="15"/>
      <c r="K39" s="15"/>
      <c r="L39" s="15"/>
      <c r="M39" s="15"/>
      <c r="N39" s="15"/>
      <c r="O39" s="15"/>
      <c r="P39" s="15"/>
      <c r="Q39" s="15"/>
      <c r="R39" s="15"/>
      <c r="S39" s="15"/>
      <c r="T39" s="15"/>
      <c r="U39" s="15"/>
      <c r="V39" s="15"/>
      <c r="W39" s="15"/>
      <c r="X39" s="15"/>
      <c r="Y39" s="15"/>
      <c r="Z39" s="15"/>
    </row>
    <row r="40" spans="1:26" ht="22.5" customHeight="1" collapsed="1" x14ac:dyDescent="0.85">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22.5" customHeight="1" x14ac:dyDescent="0.85">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22.5" customHeight="1" x14ac:dyDescent="0.85">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22.5" customHeight="1" x14ac:dyDescent="0.85">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22.5" customHeight="1" x14ac:dyDescent="0.85">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22.5" customHeight="1" x14ac:dyDescent="0.85">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22.5" customHeight="1" x14ac:dyDescent="0.85">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22.5" customHeight="1" x14ac:dyDescent="0.85">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22.5" customHeight="1" x14ac:dyDescent="0.85">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22.5" customHeight="1" x14ac:dyDescent="0.85">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22.5" customHeight="1" x14ac:dyDescent="0.85">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22.5" customHeight="1" x14ac:dyDescent="0.85">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22.5" customHeight="1" x14ac:dyDescent="0.85">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22.5" customHeight="1" x14ac:dyDescent="0.85">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22.5" customHeight="1" x14ac:dyDescent="0.85">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22.5" customHeight="1" x14ac:dyDescent="0.85">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22.5" customHeight="1" x14ac:dyDescent="0.85">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22.5" customHeight="1" x14ac:dyDescent="0.85">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22.5" customHeight="1" x14ac:dyDescent="0.85">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22.5" customHeight="1" x14ac:dyDescent="0.85">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22.5" customHeight="1" x14ac:dyDescent="0.85">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22.5" customHeight="1" x14ac:dyDescent="0.85">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22.5" customHeight="1" x14ac:dyDescent="0.85">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22.5" customHeight="1" x14ac:dyDescent="0.85">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22.5" customHeight="1" x14ac:dyDescent="0.85">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22.5" customHeight="1" x14ac:dyDescent="0.85">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22.5" customHeight="1" x14ac:dyDescent="0.85">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22.5" customHeight="1" x14ac:dyDescent="0.85">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22.5" customHeight="1" x14ac:dyDescent="0.85">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22.5" customHeight="1" x14ac:dyDescent="0.85">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22.5" customHeight="1" x14ac:dyDescent="0.85">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22.5" customHeight="1" x14ac:dyDescent="0.85">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22.5" customHeight="1" x14ac:dyDescent="0.85">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22.5" customHeight="1" x14ac:dyDescent="0.85">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22.5" customHeight="1" x14ac:dyDescent="0.85">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22.5" customHeight="1" x14ac:dyDescent="0.85">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22.5" customHeight="1" x14ac:dyDescent="0.85">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22.5" customHeight="1" x14ac:dyDescent="0.85">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22.5" customHeight="1" x14ac:dyDescent="0.85">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22.5" customHeight="1" x14ac:dyDescent="0.85">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22.5" customHeight="1" x14ac:dyDescent="0.85">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22.5" customHeight="1" x14ac:dyDescent="0.85">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22.5" customHeight="1" x14ac:dyDescent="0.85">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22.5" customHeight="1" x14ac:dyDescent="0.85">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22.5" customHeight="1" x14ac:dyDescent="0.85">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22.5" customHeight="1" x14ac:dyDescent="0.85">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22.5" customHeight="1" x14ac:dyDescent="0.85">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22.5" customHeight="1" x14ac:dyDescent="0.85">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22.5" customHeight="1" x14ac:dyDescent="0.85">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22.5" customHeight="1" x14ac:dyDescent="0.85">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22.5" customHeight="1" x14ac:dyDescent="0.85">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22.5" customHeight="1" x14ac:dyDescent="0.85">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22.5" customHeight="1" x14ac:dyDescent="0.85">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22.5" customHeight="1" x14ac:dyDescent="0.85">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22.5" customHeight="1" x14ac:dyDescent="0.85">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22.5" customHeight="1" x14ac:dyDescent="0.85">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22.5" customHeight="1" x14ac:dyDescent="0.85">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22.5" customHeight="1" x14ac:dyDescent="0.85">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22.5" customHeight="1" x14ac:dyDescent="0.85">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22.5" customHeight="1" x14ac:dyDescent="0.85">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22.5" customHeight="1" x14ac:dyDescent="0.8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22.5" customHeight="1" x14ac:dyDescent="0.8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22.5" customHeight="1" x14ac:dyDescent="0.8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22.5" customHeight="1" x14ac:dyDescent="0.8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22.5" customHeight="1" x14ac:dyDescent="0.8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22.5" customHeight="1" x14ac:dyDescent="0.8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22.5" customHeight="1" x14ac:dyDescent="0.8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22.5" customHeight="1" x14ac:dyDescent="0.8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22.5" customHeight="1" x14ac:dyDescent="0.8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22.5" customHeight="1" x14ac:dyDescent="0.8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22.5" customHeight="1" x14ac:dyDescent="0.8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22.5" customHeight="1" x14ac:dyDescent="0.8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22.5" customHeight="1" x14ac:dyDescent="0.8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22.5" customHeight="1" x14ac:dyDescent="0.8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22.5" customHeight="1" x14ac:dyDescent="0.8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22.5" customHeight="1" x14ac:dyDescent="0.8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22.5" customHeight="1" x14ac:dyDescent="0.8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22.5" customHeight="1" x14ac:dyDescent="0.8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22.5" customHeight="1" x14ac:dyDescent="0.8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22.5" customHeight="1" x14ac:dyDescent="0.8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22.5" customHeight="1" x14ac:dyDescent="0.8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22.5" customHeight="1" x14ac:dyDescent="0.8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22.5" customHeight="1" x14ac:dyDescent="0.8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22.5" customHeight="1" x14ac:dyDescent="0.8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22.5" customHeight="1" x14ac:dyDescent="0.8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22.5" customHeight="1" x14ac:dyDescent="0.8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22.5" customHeight="1" x14ac:dyDescent="0.8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22.5" customHeight="1" x14ac:dyDescent="0.8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22.5" customHeight="1" x14ac:dyDescent="0.8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22.5" customHeight="1" x14ac:dyDescent="0.8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22.5" customHeight="1" x14ac:dyDescent="0.8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22.5" customHeight="1" x14ac:dyDescent="0.8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22.5" customHeight="1" x14ac:dyDescent="0.8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22.5" customHeight="1" x14ac:dyDescent="0.8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22.5" customHeight="1" x14ac:dyDescent="0.8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22.5" customHeight="1" x14ac:dyDescent="0.8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22.5" customHeight="1" x14ac:dyDescent="0.8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22.5" customHeight="1" x14ac:dyDescent="0.8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22.5" customHeight="1" x14ac:dyDescent="0.8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22.5" customHeight="1" x14ac:dyDescent="0.8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22.5" customHeight="1" x14ac:dyDescent="0.8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22.5" customHeight="1" x14ac:dyDescent="0.8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22.5" customHeight="1" x14ac:dyDescent="0.8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22.5" customHeight="1" x14ac:dyDescent="0.8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22.5" customHeight="1" x14ac:dyDescent="0.8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22.5" customHeight="1" x14ac:dyDescent="0.8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22.5" customHeight="1" x14ac:dyDescent="0.8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22.5" customHeight="1" x14ac:dyDescent="0.8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22.5" customHeight="1" x14ac:dyDescent="0.8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22.5" customHeight="1" x14ac:dyDescent="0.8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22.5" customHeight="1" x14ac:dyDescent="0.8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22.5" customHeight="1" x14ac:dyDescent="0.8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22.5" customHeight="1" x14ac:dyDescent="0.8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22.5" customHeight="1" x14ac:dyDescent="0.8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22.5" customHeight="1" x14ac:dyDescent="0.8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22.5" customHeight="1" x14ac:dyDescent="0.8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22.5" customHeight="1" x14ac:dyDescent="0.8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22.5" customHeight="1" x14ac:dyDescent="0.8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22.5" customHeight="1" x14ac:dyDescent="0.8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22.5" customHeight="1" x14ac:dyDescent="0.8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22.5" customHeight="1" x14ac:dyDescent="0.8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22.5" customHeight="1" x14ac:dyDescent="0.8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22.5" customHeight="1" x14ac:dyDescent="0.8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22.5" customHeight="1" x14ac:dyDescent="0.8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22.5" customHeight="1" x14ac:dyDescent="0.8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22.5" customHeight="1" x14ac:dyDescent="0.8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22.5" customHeight="1" x14ac:dyDescent="0.8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22.5" customHeight="1" x14ac:dyDescent="0.8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22.5" customHeight="1" x14ac:dyDescent="0.8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22.5" customHeight="1" x14ac:dyDescent="0.8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22.5" customHeight="1" x14ac:dyDescent="0.8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22.5" customHeight="1" x14ac:dyDescent="0.8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22.5" customHeight="1" x14ac:dyDescent="0.8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22.5" customHeight="1" x14ac:dyDescent="0.8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22.5" customHeight="1" x14ac:dyDescent="0.8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22.5" customHeight="1" x14ac:dyDescent="0.8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22.5" customHeight="1" x14ac:dyDescent="0.8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22.5" customHeight="1" x14ac:dyDescent="0.8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22.5" customHeight="1" x14ac:dyDescent="0.8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22.5" customHeight="1" x14ac:dyDescent="0.8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22.5" customHeight="1" x14ac:dyDescent="0.8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22.5" customHeight="1" x14ac:dyDescent="0.8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22.5" customHeight="1" x14ac:dyDescent="0.8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22.5" customHeight="1" x14ac:dyDescent="0.8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22.5" customHeight="1" x14ac:dyDescent="0.8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22.5" customHeight="1" x14ac:dyDescent="0.8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22.5" customHeight="1" x14ac:dyDescent="0.8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22.5" customHeight="1" x14ac:dyDescent="0.8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22.5" customHeight="1" x14ac:dyDescent="0.8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22.5" customHeight="1" x14ac:dyDescent="0.8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22.5" customHeight="1" x14ac:dyDescent="0.8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22.5" customHeight="1" x14ac:dyDescent="0.8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22.5" customHeight="1" x14ac:dyDescent="0.8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22.5" customHeight="1" x14ac:dyDescent="0.8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22.5" customHeight="1" x14ac:dyDescent="0.8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22.5" customHeight="1" x14ac:dyDescent="0.8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22.5" customHeight="1" x14ac:dyDescent="0.8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22.5" customHeight="1" x14ac:dyDescent="0.8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22.5" customHeight="1" x14ac:dyDescent="0.8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22.5" customHeight="1" x14ac:dyDescent="0.8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22.5" customHeight="1" x14ac:dyDescent="0.8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22.5" customHeight="1" x14ac:dyDescent="0.8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22.5" customHeight="1" x14ac:dyDescent="0.8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22.5" customHeight="1" x14ac:dyDescent="0.8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22.5" customHeight="1" x14ac:dyDescent="0.8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22.5" customHeight="1" x14ac:dyDescent="0.8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22.5" customHeight="1" x14ac:dyDescent="0.8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22.5" customHeight="1" x14ac:dyDescent="0.8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22.5" customHeight="1" x14ac:dyDescent="0.8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22.5" customHeight="1" x14ac:dyDescent="0.8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22.5" customHeight="1" x14ac:dyDescent="0.8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22.5" customHeight="1" x14ac:dyDescent="0.8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22.5" customHeight="1" x14ac:dyDescent="0.8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22.5" customHeight="1" x14ac:dyDescent="0.8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22.5" customHeight="1" x14ac:dyDescent="0.8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22.5" customHeight="1" x14ac:dyDescent="0.8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22.5" customHeight="1" x14ac:dyDescent="0.8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22.5" customHeight="1" x14ac:dyDescent="0.8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22.5" customHeight="1" x14ac:dyDescent="0.8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22.5" customHeight="1" x14ac:dyDescent="0.8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22.5" customHeight="1" x14ac:dyDescent="0.8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22.5" customHeight="1" x14ac:dyDescent="0.8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22.5" customHeight="1" x14ac:dyDescent="0.8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22.5" customHeight="1" x14ac:dyDescent="0.8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22.5" customHeight="1" x14ac:dyDescent="0.8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22.5" customHeight="1" x14ac:dyDescent="0.8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22.5" customHeight="1" x14ac:dyDescent="0.8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22.5" customHeight="1" x14ac:dyDescent="0.8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22.5" customHeight="1" x14ac:dyDescent="0.8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22.5" customHeight="1" x14ac:dyDescent="0.8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22.5" customHeight="1" x14ac:dyDescent="0.8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22.5" customHeight="1" x14ac:dyDescent="0.8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22.5" customHeight="1" x14ac:dyDescent="0.8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22.5" customHeight="1" x14ac:dyDescent="0.8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22.5" customHeight="1" x14ac:dyDescent="0.8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22.5" customHeight="1" x14ac:dyDescent="0.8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22.5" customHeight="1" x14ac:dyDescent="0.8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22.5" customHeight="1" x14ac:dyDescent="0.8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22.5" customHeight="1" x14ac:dyDescent="0.8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22.5" customHeight="1" x14ac:dyDescent="0.8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22.5" customHeight="1" x14ac:dyDescent="0.8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22.5" customHeight="1" x14ac:dyDescent="0.8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22.5" customHeight="1" x14ac:dyDescent="0.8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22.5" customHeight="1" x14ac:dyDescent="0.8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22.5" customHeight="1" x14ac:dyDescent="0.8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22.5" customHeight="1" x14ac:dyDescent="0.8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22.5" customHeight="1" x14ac:dyDescent="0.8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22.5" customHeight="1" x14ac:dyDescent="0.8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22.5" customHeight="1" x14ac:dyDescent="0.8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22.5" customHeight="1" x14ac:dyDescent="0.8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22.5" customHeight="1" x14ac:dyDescent="0.8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22.5" customHeight="1" x14ac:dyDescent="0.8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22.5" customHeight="1" x14ac:dyDescent="0.8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22.5" customHeight="1" x14ac:dyDescent="0.8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22.5" customHeight="1" x14ac:dyDescent="0.8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22.5" customHeight="1" x14ac:dyDescent="0.8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22.5" customHeight="1" x14ac:dyDescent="0.8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22.5" customHeight="1" x14ac:dyDescent="0.8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22.5" customHeight="1" x14ac:dyDescent="0.8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22.5" customHeight="1" x14ac:dyDescent="0.8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22.5" customHeight="1" x14ac:dyDescent="0.8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22.5" customHeight="1" x14ac:dyDescent="0.8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22.5" customHeight="1" x14ac:dyDescent="0.8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22.5" customHeight="1" x14ac:dyDescent="0.8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22.5" customHeight="1" x14ac:dyDescent="0.8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22.5" customHeight="1" x14ac:dyDescent="0.8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22.5" customHeight="1" x14ac:dyDescent="0.8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22.5" customHeight="1" x14ac:dyDescent="0.8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22.5" customHeight="1" x14ac:dyDescent="0.8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22.5" customHeight="1" x14ac:dyDescent="0.8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22.5" customHeight="1" x14ac:dyDescent="0.8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22.5" customHeight="1" x14ac:dyDescent="0.8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22.5" customHeight="1" x14ac:dyDescent="0.8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22.5" customHeight="1" x14ac:dyDescent="0.8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22.5" customHeight="1" x14ac:dyDescent="0.8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22.5" customHeight="1" x14ac:dyDescent="0.8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22.5" customHeight="1" x14ac:dyDescent="0.8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22.5" customHeight="1" x14ac:dyDescent="0.8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22.5" customHeight="1" x14ac:dyDescent="0.8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22.5" customHeight="1" x14ac:dyDescent="0.8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22.5" customHeight="1" x14ac:dyDescent="0.8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22.5" customHeight="1" x14ac:dyDescent="0.8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22.5" customHeight="1" x14ac:dyDescent="0.8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22.5" customHeight="1" x14ac:dyDescent="0.8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22.5" customHeight="1" x14ac:dyDescent="0.8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22.5" customHeight="1" x14ac:dyDescent="0.8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22.5" customHeight="1" x14ac:dyDescent="0.8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22.5" customHeight="1" x14ac:dyDescent="0.8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22.5" customHeight="1" x14ac:dyDescent="0.8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22.5" customHeight="1" x14ac:dyDescent="0.8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22.5" customHeight="1" x14ac:dyDescent="0.8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22.5" customHeight="1" x14ac:dyDescent="0.8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22.5" customHeight="1" x14ac:dyDescent="0.8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22.5" customHeight="1" x14ac:dyDescent="0.8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22.5" customHeight="1" x14ac:dyDescent="0.8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22.5" customHeight="1" x14ac:dyDescent="0.8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22.5" customHeight="1" x14ac:dyDescent="0.8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22.5" customHeight="1" x14ac:dyDescent="0.8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22.5" customHeight="1" x14ac:dyDescent="0.8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22.5" customHeight="1" x14ac:dyDescent="0.8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22.5" customHeight="1" x14ac:dyDescent="0.8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22.5" customHeight="1" x14ac:dyDescent="0.8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22.5" customHeight="1" x14ac:dyDescent="0.8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22.5" customHeight="1" x14ac:dyDescent="0.8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22.5" customHeight="1" x14ac:dyDescent="0.8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22.5" customHeight="1" x14ac:dyDescent="0.8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22.5" customHeight="1" x14ac:dyDescent="0.8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22.5" customHeight="1" x14ac:dyDescent="0.8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22.5" customHeight="1" x14ac:dyDescent="0.8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22.5" customHeight="1" x14ac:dyDescent="0.8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22.5" customHeight="1" x14ac:dyDescent="0.8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22.5" customHeight="1" x14ac:dyDescent="0.8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22.5" customHeight="1" x14ac:dyDescent="0.8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22.5" customHeight="1" x14ac:dyDescent="0.8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22.5" customHeight="1" x14ac:dyDescent="0.8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22.5" customHeight="1" x14ac:dyDescent="0.8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22.5" customHeight="1" x14ac:dyDescent="0.8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22.5" customHeight="1" x14ac:dyDescent="0.8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22.5" customHeight="1" x14ac:dyDescent="0.8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22.5" customHeight="1" x14ac:dyDescent="0.8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22.5" customHeight="1" x14ac:dyDescent="0.8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22.5" customHeight="1" x14ac:dyDescent="0.8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22.5" customHeight="1" x14ac:dyDescent="0.8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22.5" customHeight="1" x14ac:dyDescent="0.8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22.5" customHeight="1" x14ac:dyDescent="0.8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22.5" customHeight="1" x14ac:dyDescent="0.8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22.5" customHeight="1" x14ac:dyDescent="0.8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22.5" customHeight="1" x14ac:dyDescent="0.8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22.5" customHeight="1" x14ac:dyDescent="0.8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22.5" customHeight="1" x14ac:dyDescent="0.8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22.5" customHeight="1" x14ac:dyDescent="0.8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22.5" customHeight="1" x14ac:dyDescent="0.8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22.5" customHeight="1" x14ac:dyDescent="0.8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22.5" customHeight="1" x14ac:dyDescent="0.8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22.5" customHeight="1" x14ac:dyDescent="0.8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22.5" customHeight="1" x14ac:dyDescent="0.8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22.5" customHeight="1" x14ac:dyDescent="0.8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22.5" customHeight="1" x14ac:dyDescent="0.8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22.5" customHeight="1" x14ac:dyDescent="0.8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22.5" customHeight="1" x14ac:dyDescent="0.8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22.5" customHeight="1" x14ac:dyDescent="0.8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22.5" customHeight="1" x14ac:dyDescent="0.8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22.5" customHeight="1" x14ac:dyDescent="0.8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22.5" customHeight="1" x14ac:dyDescent="0.8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22.5" customHeight="1" x14ac:dyDescent="0.8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22.5" customHeight="1" x14ac:dyDescent="0.8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22.5" customHeight="1" x14ac:dyDescent="0.8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22.5" customHeight="1" x14ac:dyDescent="0.8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22.5" customHeight="1" x14ac:dyDescent="0.8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22.5" customHeight="1" x14ac:dyDescent="0.8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22.5" customHeight="1" x14ac:dyDescent="0.8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22.5" customHeight="1" x14ac:dyDescent="0.8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22.5" customHeight="1" x14ac:dyDescent="0.8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22.5" customHeight="1" x14ac:dyDescent="0.8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22.5" customHeight="1" x14ac:dyDescent="0.8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22.5" customHeight="1" x14ac:dyDescent="0.8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22.5" customHeight="1" x14ac:dyDescent="0.8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22.5" customHeight="1" x14ac:dyDescent="0.8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22.5" customHeight="1" x14ac:dyDescent="0.8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22.5" customHeight="1" x14ac:dyDescent="0.8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22.5" customHeight="1" x14ac:dyDescent="0.8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22.5" customHeight="1" x14ac:dyDescent="0.8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22.5" customHeight="1" x14ac:dyDescent="0.8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22.5" customHeight="1" x14ac:dyDescent="0.8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22.5" customHeight="1" x14ac:dyDescent="0.8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22.5" customHeight="1" x14ac:dyDescent="0.8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22.5" customHeight="1" x14ac:dyDescent="0.8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22.5" customHeight="1" x14ac:dyDescent="0.8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22.5" customHeight="1" x14ac:dyDescent="0.8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22.5" customHeight="1" x14ac:dyDescent="0.8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22.5" customHeight="1" x14ac:dyDescent="0.8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22.5" customHeight="1" x14ac:dyDescent="0.8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22.5" customHeight="1" x14ac:dyDescent="0.8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22.5" customHeight="1" x14ac:dyDescent="0.8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22.5" customHeight="1" x14ac:dyDescent="0.8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22.5" customHeight="1" x14ac:dyDescent="0.8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22.5" customHeight="1" x14ac:dyDescent="0.8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22.5" customHeight="1" x14ac:dyDescent="0.8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22.5" customHeight="1" x14ac:dyDescent="0.8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22.5" customHeight="1" x14ac:dyDescent="0.8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22.5" customHeight="1" x14ac:dyDescent="0.8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22.5" customHeight="1" x14ac:dyDescent="0.8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22.5" customHeight="1" x14ac:dyDescent="0.8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22.5" customHeight="1" x14ac:dyDescent="0.8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22.5" customHeight="1" x14ac:dyDescent="0.8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22.5" customHeight="1" x14ac:dyDescent="0.8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22.5" customHeight="1" x14ac:dyDescent="0.8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22.5" customHeight="1" x14ac:dyDescent="0.8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22.5" customHeight="1" x14ac:dyDescent="0.8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22.5" customHeight="1" x14ac:dyDescent="0.8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22.5" customHeight="1" x14ac:dyDescent="0.8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22.5" customHeight="1" x14ac:dyDescent="0.8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22.5" customHeight="1" x14ac:dyDescent="0.8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22.5" customHeight="1" x14ac:dyDescent="0.8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22.5" customHeight="1" x14ac:dyDescent="0.8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22.5" customHeight="1" x14ac:dyDescent="0.8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22.5" customHeight="1" x14ac:dyDescent="0.8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22.5" customHeight="1" x14ac:dyDescent="0.8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22.5" customHeight="1" x14ac:dyDescent="0.8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22.5" customHeight="1" x14ac:dyDescent="0.8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22.5" customHeight="1" x14ac:dyDescent="0.8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22.5" customHeight="1" x14ac:dyDescent="0.8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22.5" customHeight="1" x14ac:dyDescent="0.8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22.5" customHeight="1" x14ac:dyDescent="0.8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22.5" customHeight="1" x14ac:dyDescent="0.8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22.5" customHeight="1" x14ac:dyDescent="0.8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22.5" customHeight="1" x14ac:dyDescent="0.8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22.5" customHeight="1" x14ac:dyDescent="0.8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22.5" customHeight="1" x14ac:dyDescent="0.8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22.5" customHeight="1" x14ac:dyDescent="0.8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22.5" customHeight="1" x14ac:dyDescent="0.8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22.5" customHeight="1" x14ac:dyDescent="0.8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22.5" customHeight="1" x14ac:dyDescent="0.8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22.5" customHeight="1" x14ac:dyDescent="0.8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22.5" customHeight="1" x14ac:dyDescent="0.8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22.5" customHeight="1" x14ac:dyDescent="0.8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22.5" customHeight="1" x14ac:dyDescent="0.8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22.5" customHeight="1" x14ac:dyDescent="0.8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22.5" customHeight="1" x14ac:dyDescent="0.8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22.5" customHeight="1" x14ac:dyDescent="0.8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22.5" customHeight="1" x14ac:dyDescent="0.8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22.5" customHeight="1" x14ac:dyDescent="0.8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22.5" customHeight="1" x14ac:dyDescent="0.8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22.5" customHeight="1" x14ac:dyDescent="0.8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22.5" customHeight="1" x14ac:dyDescent="0.8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22.5" customHeight="1" x14ac:dyDescent="0.8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22.5" customHeight="1" x14ac:dyDescent="0.8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22.5" customHeight="1" x14ac:dyDescent="0.8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22.5" customHeight="1" x14ac:dyDescent="0.8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22.5" customHeight="1" x14ac:dyDescent="0.8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22.5" customHeight="1" x14ac:dyDescent="0.8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22.5" customHeight="1" x14ac:dyDescent="0.8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22.5" customHeight="1" x14ac:dyDescent="0.8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22.5" customHeight="1" x14ac:dyDescent="0.8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22.5" customHeight="1" x14ac:dyDescent="0.8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22.5" customHeight="1" x14ac:dyDescent="0.8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22.5" customHeight="1" x14ac:dyDescent="0.8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22.5" customHeight="1" x14ac:dyDescent="0.8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22.5" customHeight="1" x14ac:dyDescent="0.8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22.5" customHeight="1" x14ac:dyDescent="0.8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22.5" customHeight="1" x14ac:dyDescent="0.8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22.5" customHeight="1" x14ac:dyDescent="0.8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22.5" customHeight="1" x14ac:dyDescent="0.8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22.5" customHeight="1" x14ac:dyDescent="0.8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22.5" customHeight="1" x14ac:dyDescent="0.8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22.5" customHeight="1" x14ac:dyDescent="0.8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22.5" customHeight="1" x14ac:dyDescent="0.8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22.5" customHeight="1" x14ac:dyDescent="0.8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22.5" customHeight="1" x14ac:dyDescent="0.8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22.5" customHeight="1" x14ac:dyDescent="0.8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22.5" customHeight="1" x14ac:dyDescent="0.8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22.5" customHeight="1" x14ac:dyDescent="0.8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22.5" customHeight="1" x14ac:dyDescent="0.8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22.5" customHeight="1" x14ac:dyDescent="0.8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22.5" customHeight="1" x14ac:dyDescent="0.8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22.5" customHeight="1" x14ac:dyDescent="0.8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22.5" customHeight="1" x14ac:dyDescent="0.8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22.5" customHeight="1" x14ac:dyDescent="0.8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22.5" customHeight="1" x14ac:dyDescent="0.8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22.5" customHeight="1" x14ac:dyDescent="0.8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22.5" customHeight="1" x14ac:dyDescent="0.8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22.5" customHeight="1" x14ac:dyDescent="0.8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22.5" customHeight="1" x14ac:dyDescent="0.8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22.5" customHeight="1" x14ac:dyDescent="0.8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22.5" customHeight="1" x14ac:dyDescent="0.8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22.5" customHeight="1" x14ac:dyDescent="0.8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22.5" customHeight="1" x14ac:dyDescent="0.8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22.5" customHeight="1" x14ac:dyDescent="0.8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22.5" customHeight="1" x14ac:dyDescent="0.8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22.5" customHeight="1" x14ac:dyDescent="0.8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22.5" customHeight="1" x14ac:dyDescent="0.8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22.5" customHeight="1" x14ac:dyDescent="0.8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22.5" customHeight="1" x14ac:dyDescent="0.8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22.5" customHeight="1" x14ac:dyDescent="0.8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22.5" customHeight="1" x14ac:dyDescent="0.8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22.5" customHeight="1" x14ac:dyDescent="0.8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22.5" customHeight="1" x14ac:dyDescent="0.8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22.5" customHeight="1" x14ac:dyDescent="0.8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22.5" customHeight="1" x14ac:dyDescent="0.8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22.5" customHeight="1" x14ac:dyDescent="0.8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22.5" customHeight="1" x14ac:dyDescent="0.8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22.5" customHeight="1" x14ac:dyDescent="0.8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22.5" customHeight="1" x14ac:dyDescent="0.8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22.5" customHeight="1" x14ac:dyDescent="0.8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22.5" customHeight="1" x14ac:dyDescent="0.8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22.5" customHeight="1" x14ac:dyDescent="0.8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22.5" customHeight="1" x14ac:dyDescent="0.8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22.5" customHeight="1" x14ac:dyDescent="0.8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22.5" customHeight="1" x14ac:dyDescent="0.8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22.5" customHeight="1" x14ac:dyDescent="0.8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22.5" customHeight="1" x14ac:dyDescent="0.8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22.5" customHeight="1" x14ac:dyDescent="0.8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22.5" customHeight="1" x14ac:dyDescent="0.8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22.5" customHeight="1" x14ac:dyDescent="0.8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22.5" customHeight="1" x14ac:dyDescent="0.8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22.5" customHeight="1" x14ac:dyDescent="0.8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22.5" customHeight="1" x14ac:dyDescent="0.8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22.5" customHeight="1" x14ac:dyDescent="0.8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22.5" customHeight="1" x14ac:dyDescent="0.8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22.5" customHeight="1" x14ac:dyDescent="0.8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22.5" customHeight="1" x14ac:dyDescent="0.8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22.5" customHeight="1" x14ac:dyDescent="0.8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22.5" customHeight="1" x14ac:dyDescent="0.8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22.5" customHeight="1" x14ac:dyDescent="0.8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22.5" customHeight="1" x14ac:dyDescent="0.8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22.5" customHeight="1" x14ac:dyDescent="0.8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22.5" customHeight="1" x14ac:dyDescent="0.8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22.5" customHeight="1" x14ac:dyDescent="0.8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22.5" customHeight="1" x14ac:dyDescent="0.8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22.5" customHeight="1" x14ac:dyDescent="0.8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22.5" customHeight="1" x14ac:dyDescent="0.8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22.5" customHeight="1" x14ac:dyDescent="0.8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22.5" customHeight="1" x14ac:dyDescent="0.8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22.5" customHeight="1" x14ac:dyDescent="0.8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22.5" customHeight="1" x14ac:dyDescent="0.8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22.5" customHeight="1" x14ac:dyDescent="0.8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22.5" customHeight="1" x14ac:dyDescent="0.8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22.5" customHeight="1" x14ac:dyDescent="0.8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22.5" customHeight="1" x14ac:dyDescent="0.8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22.5" customHeight="1" x14ac:dyDescent="0.8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22.5" customHeight="1" x14ac:dyDescent="0.8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22.5" customHeight="1" x14ac:dyDescent="0.8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22.5" customHeight="1" x14ac:dyDescent="0.8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22.5" customHeight="1" x14ac:dyDescent="0.8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22.5" customHeight="1" x14ac:dyDescent="0.8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22.5" customHeight="1" x14ac:dyDescent="0.8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22.5" customHeight="1" x14ac:dyDescent="0.8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22.5" customHeight="1" x14ac:dyDescent="0.8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22.5" customHeight="1" x14ac:dyDescent="0.8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22.5" customHeight="1" x14ac:dyDescent="0.8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22.5" customHeight="1" x14ac:dyDescent="0.8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22.5" customHeight="1" x14ac:dyDescent="0.8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22.5" customHeight="1" x14ac:dyDescent="0.8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22.5" customHeight="1" x14ac:dyDescent="0.8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22.5" customHeight="1" x14ac:dyDescent="0.8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22.5" customHeight="1" x14ac:dyDescent="0.8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22.5" customHeight="1" x14ac:dyDescent="0.8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22.5" customHeight="1" x14ac:dyDescent="0.8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22.5" customHeight="1" x14ac:dyDescent="0.8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22.5" customHeight="1" x14ac:dyDescent="0.8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22.5" customHeight="1" x14ac:dyDescent="0.8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22.5" customHeight="1" x14ac:dyDescent="0.8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22.5" customHeight="1" x14ac:dyDescent="0.8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22.5" customHeight="1" x14ac:dyDescent="0.8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22.5" customHeight="1" x14ac:dyDescent="0.8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22.5" customHeight="1" x14ac:dyDescent="0.8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22.5" customHeight="1" x14ac:dyDescent="0.8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22.5" customHeight="1" x14ac:dyDescent="0.8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22.5" customHeight="1" x14ac:dyDescent="0.8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22.5" customHeight="1" x14ac:dyDescent="0.8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22.5" customHeight="1" x14ac:dyDescent="0.8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22.5" customHeight="1" x14ac:dyDescent="0.8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22.5" customHeight="1" x14ac:dyDescent="0.8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22.5" customHeight="1" x14ac:dyDescent="0.8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22.5" customHeight="1" x14ac:dyDescent="0.8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22.5" customHeight="1" x14ac:dyDescent="0.8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22.5" customHeight="1" x14ac:dyDescent="0.8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22.5" customHeight="1" x14ac:dyDescent="0.8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22.5" customHeight="1" x14ac:dyDescent="0.8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22.5" customHeight="1" x14ac:dyDescent="0.8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22.5" customHeight="1" x14ac:dyDescent="0.8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22.5" customHeight="1" x14ac:dyDescent="0.8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22.5" customHeight="1" x14ac:dyDescent="0.8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22.5" customHeight="1" x14ac:dyDescent="0.8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22.5" customHeight="1" x14ac:dyDescent="0.8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22.5" customHeight="1" x14ac:dyDescent="0.8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22.5" customHeight="1" x14ac:dyDescent="0.8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22.5" customHeight="1" x14ac:dyDescent="0.8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22.5" customHeight="1" x14ac:dyDescent="0.8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22.5" customHeight="1" x14ac:dyDescent="0.8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22.5" customHeight="1" x14ac:dyDescent="0.8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22.5" customHeight="1" x14ac:dyDescent="0.8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22.5" customHeight="1" x14ac:dyDescent="0.8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22.5" customHeight="1" x14ac:dyDescent="0.8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22.5" customHeight="1" x14ac:dyDescent="0.8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22.5" customHeight="1" x14ac:dyDescent="0.8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22.5" customHeight="1" x14ac:dyDescent="0.8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22.5" customHeight="1" x14ac:dyDescent="0.8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22.5" customHeight="1" x14ac:dyDescent="0.8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22.5" customHeight="1" x14ac:dyDescent="0.8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22.5" customHeight="1" x14ac:dyDescent="0.8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22.5" customHeight="1" x14ac:dyDescent="0.8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22.5" customHeight="1" x14ac:dyDescent="0.8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22.5" customHeight="1" x14ac:dyDescent="0.8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22.5" customHeight="1" x14ac:dyDescent="0.8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22.5" customHeight="1" x14ac:dyDescent="0.8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22.5" customHeight="1" x14ac:dyDescent="0.8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22.5" customHeight="1" x14ac:dyDescent="0.8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22.5" customHeight="1" x14ac:dyDescent="0.8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22.5" customHeight="1" x14ac:dyDescent="0.8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22.5" customHeight="1" x14ac:dyDescent="0.8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22.5" customHeight="1" x14ac:dyDescent="0.8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22.5" customHeight="1" x14ac:dyDescent="0.8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22.5" customHeight="1" x14ac:dyDescent="0.8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22.5" customHeight="1" x14ac:dyDescent="0.8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22.5" customHeight="1" x14ac:dyDescent="0.8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22.5" customHeight="1" x14ac:dyDescent="0.8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22.5" customHeight="1" x14ac:dyDescent="0.8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22.5" customHeight="1" x14ac:dyDescent="0.8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22.5" customHeight="1" x14ac:dyDescent="0.8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22.5" customHeight="1" x14ac:dyDescent="0.8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22.5" customHeight="1" x14ac:dyDescent="0.8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22.5" customHeight="1" x14ac:dyDescent="0.8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22.5" customHeight="1" x14ac:dyDescent="0.8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22.5" customHeight="1" x14ac:dyDescent="0.8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22.5" customHeight="1" x14ac:dyDescent="0.8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22.5" customHeight="1" x14ac:dyDescent="0.8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22.5" customHeight="1" x14ac:dyDescent="0.8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22.5" customHeight="1" x14ac:dyDescent="0.8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22.5" customHeight="1" x14ac:dyDescent="0.8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22.5" customHeight="1" x14ac:dyDescent="0.8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22.5" customHeight="1" x14ac:dyDescent="0.8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22.5" customHeight="1" x14ac:dyDescent="0.8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22.5" customHeight="1" x14ac:dyDescent="0.8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22.5" customHeight="1" x14ac:dyDescent="0.8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22.5" customHeight="1" x14ac:dyDescent="0.8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22.5" customHeight="1" x14ac:dyDescent="0.8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22.5" customHeight="1" x14ac:dyDescent="0.8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22.5" customHeight="1" x14ac:dyDescent="0.8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22.5" customHeight="1" x14ac:dyDescent="0.8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22.5" customHeight="1" x14ac:dyDescent="0.8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22.5" customHeight="1" x14ac:dyDescent="0.8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22.5" customHeight="1" x14ac:dyDescent="0.8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22.5" customHeight="1" x14ac:dyDescent="0.8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22.5" customHeight="1" x14ac:dyDescent="0.8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22.5" customHeight="1" x14ac:dyDescent="0.8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22.5" customHeight="1" x14ac:dyDescent="0.8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22.5" customHeight="1" x14ac:dyDescent="0.8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22.5" customHeight="1" x14ac:dyDescent="0.8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22.5" customHeight="1" x14ac:dyDescent="0.8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22.5" customHeight="1" x14ac:dyDescent="0.8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22.5" customHeight="1" x14ac:dyDescent="0.8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22.5" customHeight="1" x14ac:dyDescent="0.8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22.5" customHeight="1" x14ac:dyDescent="0.8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22.5" customHeight="1" x14ac:dyDescent="0.8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22.5" customHeight="1" x14ac:dyDescent="0.8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22.5" customHeight="1" x14ac:dyDescent="0.8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22.5" customHeight="1" x14ac:dyDescent="0.8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22.5" customHeight="1" x14ac:dyDescent="0.8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22.5" customHeight="1" x14ac:dyDescent="0.8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22.5" customHeight="1" x14ac:dyDescent="0.8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22.5" customHeight="1" x14ac:dyDescent="0.8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22.5" customHeight="1" x14ac:dyDescent="0.8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22.5" customHeight="1" x14ac:dyDescent="0.8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22.5" customHeight="1" x14ac:dyDescent="0.8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22.5" customHeight="1" x14ac:dyDescent="0.8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22.5" customHeight="1" x14ac:dyDescent="0.8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22.5" customHeight="1" x14ac:dyDescent="0.8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22.5" customHeight="1" x14ac:dyDescent="0.8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22.5" customHeight="1" x14ac:dyDescent="0.8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22.5" customHeight="1" x14ac:dyDescent="0.8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22.5" customHeight="1" x14ac:dyDescent="0.8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22.5" customHeight="1" x14ac:dyDescent="0.8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22.5" customHeight="1" x14ac:dyDescent="0.8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22.5" customHeight="1" x14ac:dyDescent="0.8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22.5" customHeight="1" x14ac:dyDescent="0.8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22.5" customHeight="1" x14ac:dyDescent="0.8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22.5" customHeight="1" x14ac:dyDescent="0.8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22.5" customHeight="1" x14ac:dyDescent="0.8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22.5" customHeight="1" x14ac:dyDescent="0.8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22.5" customHeight="1" x14ac:dyDescent="0.8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22.5" customHeight="1" x14ac:dyDescent="0.8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22.5" customHeight="1" x14ac:dyDescent="0.8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22.5" customHeight="1" x14ac:dyDescent="0.8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22.5" customHeight="1" x14ac:dyDescent="0.8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22.5" customHeight="1" x14ac:dyDescent="0.8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22.5" customHeight="1" x14ac:dyDescent="0.8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22.5" customHeight="1" x14ac:dyDescent="0.8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22.5" customHeight="1" x14ac:dyDescent="0.8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22.5" customHeight="1" x14ac:dyDescent="0.8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22.5" customHeight="1" x14ac:dyDescent="0.8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22.5" customHeight="1" x14ac:dyDescent="0.8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22.5" customHeight="1" x14ac:dyDescent="0.8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22.5" customHeight="1" x14ac:dyDescent="0.8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22.5" customHeight="1" x14ac:dyDescent="0.8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22.5" customHeight="1" x14ac:dyDescent="0.8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22.5" customHeight="1" x14ac:dyDescent="0.8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22.5" customHeight="1" x14ac:dyDescent="0.8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22.5" customHeight="1" x14ac:dyDescent="0.8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22.5" customHeight="1" x14ac:dyDescent="0.8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22.5" customHeight="1" x14ac:dyDescent="0.8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22.5" customHeight="1" x14ac:dyDescent="0.8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22.5" customHeight="1" x14ac:dyDescent="0.8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22.5" customHeight="1" x14ac:dyDescent="0.8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22.5" customHeight="1" x14ac:dyDescent="0.8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22.5" customHeight="1" x14ac:dyDescent="0.8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22.5" customHeight="1" x14ac:dyDescent="0.8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22.5" customHeight="1" x14ac:dyDescent="0.8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22.5" customHeight="1" x14ac:dyDescent="0.8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22.5" customHeight="1" x14ac:dyDescent="0.8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22.5" customHeight="1" x14ac:dyDescent="0.8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22.5" customHeight="1" x14ac:dyDescent="0.8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22.5" customHeight="1" x14ac:dyDescent="0.8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22.5" customHeight="1" x14ac:dyDescent="0.8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22.5" customHeight="1" x14ac:dyDescent="0.8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22.5" customHeight="1" x14ac:dyDescent="0.8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22.5" customHeight="1" x14ac:dyDescent="0.8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22.5" customHeight="1" x14ac:dyDescent="0.8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22.5" customHeight="1" x14ac:dyDescent="0.8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22.5" customHeight="1" x14ac:dyDescent="0.8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22.5" customHeight="1" x14ac:dyDescent="0.8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22.5" customHeight="1" x14ac:dyDescent="0.8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22.5" customHeight="1" x14ac:dyDescent="0.8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22.5" customHeight="1" x14ac:dyDescent="0.8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22.5" customHeight="1" x14ac:dyDescent="0.8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22.5" customHeight="1" x14ac:dyDescent="0.8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22.5" customHeight="1" x14ac:dyDescent="0.8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22.5" customHeight="1" x14ac:dyDescent="0.8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22.5" customHeight="1" x14ac:dyDescent="0.8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22.5" customHeight="1" x14ac:dyDescent="0.8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22.5" customHeight="1" x14ac:dyDescent="0.8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22.5" customHeight="1" x14ac:dyDescent="0.8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22.5" customHeight="1" x14ac:dyDescent="0.8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22.5" customHeight="1" x14ac:dyDescent="0.8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22.5" customHeight="1" x14ac:dyDescent="0.8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22.5" customHeight="1" x14ac:dyDescent="0.8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22.5" customHeight="1" x14ac:dyDescent="0.8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22.5" customHeight="1" x14ac:dyDescent="0.8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22.5" customHeight="1" x14ac:dyDescent="0.8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22.5" customHeight="1" x14ac:dyDescent="0.8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22.5" customHeight="1" x14ac:dyDescent="0.8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22.5" customHeight="1" x14ac:dyDescent="0.8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22.5" customHeight="1" x14ac:dyDescent="0.8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22.5" customHeight="1" x14ac:dyDescent="0.8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22.5" customHeight="1" x14ac:dyDescent="0.8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22.5" customHeight="1" x14ac:dyDescent="0.8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22.5" customHeight="1" x14ac:dyDescent="0.8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22.5" customHeight="1" x14ac:dyDescent="0.8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22.5" customHeight="1" x14ac:dyDescent="0.8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22.5" customHeight="1" x14ac:dyDescent="0.8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22.5" customHeight="1" x14ac:dyDescent="0.8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22.5" customHeight="1" x14ac:dyDescent="0.8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22.5" customHeight="1" x14ac:dyDescent="0.8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22.5" customHeight="1" x14ac:dyDescent="0.8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22.5" customHeight="1" x14ac:dyDescent="0.8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22.5" customHeight="1" x14ac:dyDescent="0.8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22.5" customHeight="1" x14ac:dyDescent="0.8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22.5" customHeight="1" x14ac:dyDescent="0.8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22.5" customHeight="1" x14ac:dyDescent="0.8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22.5" customHeight="1" x14ac:dyDescent="0.8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22.5" customHeight="1" x14ac:dyDescent="0.8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22.5" customHeight="1" x14ac:dyDescent="0.8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22.5" customHeight="1" x14ac:dyDescent="0.8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22.5" customHeight="1" x14ac:dyDescent="0.8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22.5" customHeight="1" x14ac:dyDescent="0.8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22.5" customHeight="1" x14ac:dyDescent="0.8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22.5" customHeight="1" x14ac:dyDescent="0.8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22.5" customHeight="1" x14ac:dyDescent="0.8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22.5" customHeight="1" x14ac:dyDescent="0.8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22.5" customHeight="1" x14ac:dyDescent="0.8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22.5" customHeight="1" x14ac:dyDescent="0.8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22.5" customHeight="1" x14ac:dyDescent="0.8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22.5" customHeight="1" x14ac:dyDescent="0.8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22.5" customHeight="1" x14ac:dyDescent="0.8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22.5" customHeight="1" x14ac:dyDescent="0.8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22.5" customHeight="1" x14ac:dyDescent="0.8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22.5" customHeight="1" x14ac:dyDescent="0.8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22.5" customHeight="1" x14ac:dyDescent="0.8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22.5" customHeight="1" x14ac:dyDescent="0.8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22.5" customHeight="1" x14ac:dyDescent="0.8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22.5" customHeight="1" x14ac:dyDescent="0.8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22.5" customHeight="1" x14ac:dyDescent="0.8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22.5" customHeight="1" x14ac:dyDescent="0.8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22.5" customHeight="1" x14ac:dyDescent="0.8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22.5" customHeight="1" x14ac:dyDescent="0.8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22.5" customHeight="1" x14ac:dyDescent="0.8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22.5" customHeight="1" x14ac:dyDescent="0.8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22.5" customHeight="1" x14ac:dyDescent="0.8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22.5" customHeight="1" x14ac:dyDescent="0.8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22.5" customHeight="1" x14ac:dyDescent="0.8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22.5" customHeight="1" x14ac:dyDescent="0.8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22.5" customHeight="1" x14ac:dyDescent="0.8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22.5" customHeight="1" x14ac:dyDescent="0.8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22.5" customHeight="1" x14ac:dyDescent="0.8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22.5" customHeight="1" x14ac:dyDescent="0.8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22.5" customHeight="1" x14ac:dyDescent="0.8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22.5" customHeight="1" x14ac:dyDescent="0.8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22.5" customHeight="1" x14ac:dyDescent="0.8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22.5" customHeight="1" x14ac:dyDescent="0.8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22.5" customHeight="1" x14ac:dyDescent="0.8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22.5" customHeight="1" x14ac:dyDescent="0.8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22.5" customHeight="1" x14ac:dyDescent="0.8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22.5" customHeight="1" x14ac:dyDescent="0.8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22.5" customHeight="1" x14ac:dyDescent="0.8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22.5" customHeight="1" x14ac:dyDescent="0.8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22.5" customHeight="1" x14ac:dyDescent="0.8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22.5" customHeight="1" x14ac:dyDescent="0.8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22.5" customHeight="1" x14ac:dyDescent="0.8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22.5" customHeight="1" x14ac:dyDescent="0.8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22.5" customHeight="1" x14ac:dyDescent="0.8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22.5" customHeight="1" x14ac:dyDescent="0.8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22.5" customHeight="1" x14ac:dyDescent="0.8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22.5" customHeight="1" x14ac:dyDescent="0.8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22.5" customHeight="1" x14ac:dyDescent="0.8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22.5" customHeight="1" x14ac:dyDescent="0.8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22.5" customHeight="1" x14ac:dyDescent="0.8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22.5" customHeight="1" x14ac:dyDescent="0.8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22.5" customHeight="1" x14ac:dyDescent="0.8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22.5" customHeight="1" x14ac:dyDescent="0.8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22.5" customHeight="1" x14ac:dyDescent="0.8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22.5" customHeight="1" x14ac:dyDescent="0.8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22.5" customHeight="1" x14ac:dyDescent="0.8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22.5" customHeight="1" x14ac:dyDescent="0.8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22.5" customHeight="1" x14ac:dyDescent="0.8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22.5" customHeight="1" x14ac:dyDescent="0.8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22.5" customHeight="1" x14ac:dyDescent="0.8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22.5" customHeight="1" x14ac:dyDescent="0.8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22.5" customHeight="1" x14ac:dyDescent="0.8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22.5" customHeight="1" x14ac:dyDescent="0.8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22.5" customHeight="1" x14ac:dyDescent="0.8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22.5" customHeight="1" x14ac:dyDescent="0.8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22.5" customHeight="1" x14ac:dyDescent="0.8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22.5" customHeight="1" x14ac:dyDescent="0.8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22.5" customHeight="1" x14ac:dyDescent="0.8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22.5" customHeight="1" x14ac:dyDescent="0.8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22.5" customHeight="1" x14ac:dyDescent="0.8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22.5" customHeight="1" x14ac:dyDescent="0.8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22.5" customHeight="1" x14ac:dyDescent="0.8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22.5" customHeight="1" x14ac:dyDescent="0.8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22.5" customHeight="1" x14ac:dyDescent="0.8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22.5" customHeight="1" x14ac:dyDescent="0.8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22.5" customHeight="1" x14ac:dyDescent="0.8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22.5" customHeight="1" x14ac:dyDescent="0.8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22.5" customHeight="1" x14ac:dyDescent="0.8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22.5" customHeight="1" x14ac:dyDescent="0.8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22.5" customHeight="1" x14ac:dyDescent="0.8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22.5" customHeight="1" x14ac:dyDescent="0.8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22.5" customHeight="1" x14ac:dyDescent="0.8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22.5" customHeight="1" x14ac:dyDescent="0.8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22.5" customHeight="1" x14ac:dyDescent="0.8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22.5" customHeight="1" x14ac:dyDescent="0.8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22.5" customHeight="1" x14ac:dyDescent="0.8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22.5" customHeight="1" x14ac:dyDescent="0.8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22.5" customHeight="1" x14ac:dyDescent="0.8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22.5" customHeight="1" x14ac:dyDescent="0.8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22.5" customHeight="1" x14ac:dyDescent="0.8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22.5" customHeight="1" x14ac:dyDescent="0.8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22.5" customHeight="1" x14ac:dyDescent="0.8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22.5" customHeight="1" x14ac:dyDescent="0.8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22.5" customHeight="1" x14ac:dyDescent="0.8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22.5" customHeight="1" x14ac:dyDescent="0.8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22.5" customHeight="1" x14ac:dyDescent="0.8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22.5" customHeight="1" x14ac:dyDescent="0.8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22.5" customHeight="1" x14ac:dyDescent="0.8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22.5" customHeight="1" x14ac:dyDescent="0.8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22.5" customHeight="1" x14ac:dyDescent="0.8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22.5" customHeight="1" x14ac:dyDescent="0.8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22.5" customHeight="1" x14ac:dyDescent="0.8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22.5" customHeight="1" x14ac:dyDescent="0.8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22.5" customHeight="1" x14ac:dyDescent="0.8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22.5" customHeight="1" x14ac:dyDescent="0.8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22.5" customHeight="1" x14ac:dyDescent="0.8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22.5" customHeight="1" x14ac:dyDescent="0.8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22.5" customHeight="1" x14ac:dyDescent="0.8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22.5" customHeight="1" x14ac:dyDescent="0.8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22.5" customHeight="1" x14ac:dyDescent="0.8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22.5" customHeight="1" x14ac:dyDescent="0.8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22.5" customHeight="1" x14ac:dyDescent="0.8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22.5" customHeight="1" x14ac:dyDescent="0.8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22.5" customHeight="1" x14ac:dyDescent="0.8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22.5" customHeight="1" x14ac:dyDescent="0.8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22.5" customHeight="1" x14ac:dyDescent="0.8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22.5" customHeight="1" x14ac:dyDescent="0.8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22.5" customHeight="1" x14ac:dyDescent="0.8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22.5" customHeight="1" x14ac:dyDescent="0.8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22.5" customHeight="1" x14ac:dyDescent="0.8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22.5" customHeight="1" x14ac:dyDescent="0.8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22.5" customHeight="1" x14ac:dyDescent="0.8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22.5" customHeight="1" x14ac:dyDescent="0.8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22.5" customHeight="1" x14ac:dyDescent="0.8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22.5" customHeight="1" x14ac:dyDescent="0.8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22.5" customHeight="1" x14ac:dyDescent="0.8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22.5" customHeight="1" x14ac:dyDescent="0.8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22.5" customHeight="1" x14ac:dyDescent="0.8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22.5" customHeight="1" x14ac:dyDescent="0.8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22.5" customHeight="1" x14ac:dyDescent="0.8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22.5" customHeight="1" x14ac:dyDescent="0.8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22.5" customHeight="1" x14ac:dyDescent="0.8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22.5" customHeight="1" x14ac:dyDescent="0.8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22.5" customHeight="1" x14ac:dyDescent="0.8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22.5" customHeight="1" x14ac:dyDescent="0.8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22.5" customHeight="1" x14ac:dyDescent="0.8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22.5" customHeight="1" x14ac:dyDescent="0.8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22.5" customHeight="1" x14ac:dyDescent="0.8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22.5" customHeight="1" x14ac:dyDescent="0.8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22.5" customHeight="1" x14ac:dyDescent="0.8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22.5" customHeight="1" x14ac:dyDescent="0.8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22.5" customHeight="1" x14ac:dyDescent="0.8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22.5" customHeight="1" x14ac:dyDescent="0.8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22.5" customHeight="1" x14ac:dyDescent="0.8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22.5" customHeight="1" x14ac:dyDescent="0.8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22.5" customHeight="1" x14ac:dyDescent="0.8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22.5" customHeight="1" x14ac:dyDescent="0.8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22.5" customHeight="1" x14ac:dyDescent="0.8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22.5" customHeight="1" x14ac:dyDescent="0.8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22.5" customHeight="1" x14ac:dyDescent="0.8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22.5" customHeight="1" x14ac:dyDescent="0.8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22.5" customHeight="1" x14ac:dyDescent="0.8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22.5" customHeight="1" x14ac:dyDescent="0.8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22.5" customHeight="1" x14ac:dyDescent="0.8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22.5" customHeight="1" x14ac:dyDescent="0.8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22.5" customHeight="1" x14ac:dyDescent="0.8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22.5" customHeight="1" x14ac:dyDescent="0.8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22.5" customHeight="1" x14ac:dyDescent="0.8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22.5" customHeight="1" x14ac:dyDescent="0.8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22.5" customHeight="1" x14ac:dyDescent="0.8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22.5" customHeight="1" x14ac:dyDescent="0.8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22.5" customHeight="1" x14ac:dyDescent="0.8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22.5" customHeight="1" x14ac:dyDescent="0.8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22.5" customHeight="1" x14ac:dyDescent="0.8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22.5" customHeight="1" x14ac:dyDescent="0.8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22.5" customHeight="1" x14ac:dyDescent="0.8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22.5" customHeight="1" x14ac:dyDescent="0.8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22.5" customHeight="1" x14ac:dyDescent="0.8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22.5" customHeight="1" x14ac:dyDescent="0.8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22.5" customHeight="1" x14ac:dyDescent="0.8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22.5" customHeight="1" x14ac:dyDescent="0.8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22.5" customHeight="1" x14ac:dyDescent="0.8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22.5" customHeight="1" x14ac:dyDescent="0.8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22.5" customHeight="1" x14ac:dyDescent="0.8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22.5" customHeight="1" x14ac:dyDescent="0.8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22.5" customHeight="1" x14ac:dyDescent="0.8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22.5" customHeight="1" x14ac:dyDescent="0.8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22.5" customHeight="1" x14ac:dyDescent="0.8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22.5" customHeight="1" x14ac:dyDescent="0.8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22.5" customHeight="1" x14ac:dyDescent="0.8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22.5" customHeight="1" x14ac:dyDescent="0.8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22.5" customHeight="1" x14ac:dyDescent="0.8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22.5" customHeight="1" x14ac:dyDescent="0.8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22.5" customHeight="1" x14ac:dyDescent="0.8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22.5" customHeight="1" x14ac:dyDescent="0.8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22.5" customHeight="1" x14ac:dyDescent="0.8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22.5" customHeight="1" x14ac:dyDescent="0.8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22.5" customHeight="1" x14ac:dyDescent="0.8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22.5" customHeight="1" x14ac:dyDescent="0.8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22.5" customHeight="1" x14ac:dyDescent="0.8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22.5" customHeight="1" x14ac:dyDescent="0.8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22.5" customHeight="1" x14ac:dyDescent="0.8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22.5" customHeight="1" x14ac:dyDescent="0.8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22.5" customHeight="1" x14ac:dyDescent="0.8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22.5" customHeight="1" x14ac:dyDescent="0.8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22.5" customHeight="1" x14ac:dyDescent="0.8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22.5" customHeight="1" x14ac:dyDescent="0.8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22.5" customHeight="1" x14ac:dyDescent="0.8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22.5" customHeight="1" x14ac:dyDescent="0.8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22.5" customHeight="1" x14ac:dyDescent="0.8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22.5" customHeight="1" x14ac:dyDescent="0.8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22.5" customHeight="1" x14ac:dyDescent="0.8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22.5" customHeight="1" x14ac:dyDescent="0.8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22.5" customHeight="1" x14ac:dyDescent="0.8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22.5" customHeight="1" x14ac:dyDescent="0.8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22.5" customHeight="1" x14ac:dyDescent="0.8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22.5" customHeight="1" x14ac:dyDescent="0.8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22.5" customHeight="1" x14ac:dyDescent="0.8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22.5" customHeight="1" x14ac:dyDescent="0.8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22.5" customHeight="1" x14ac:dyDescent="0.8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22.5" customHeight="1" x14ac:dyDescent="0.8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22.5" customHeight="1" x14ac:dyDescent="0.8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22.5" customHeight="1" x14ac:dyDescent="0.8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22.5" customHeight="1" x14ac:dyDescent="0.8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22.5" customHeight="1" x14ac:dyDescent="0.8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22.5" customHeight="1" x14ac:dyDescent="0.8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22.5" customHeight="1" x14ac:dyDescent="0.8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22.5" customHeight="1" x14ac:dyDescent="0.8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22.5" customHeight="1" x14ac:dyDescent="0.8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22.5" customHeight="1" x14ac:dyDescent="0.8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22.5" customHeight="1" x14ac:dyDescent="0.8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22.5" customHeight="1" x14ac:dyDescent="0.8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22.5" customHeight="1" x14ac:dyDescent="0.8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22.5" customHeight="1" x14ac:dyDescent="0.8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22.5" customHeight="1" x14ac:dyDescent="0.8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22.5" customHeight="1" x14ac:dyDescent="0.8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22.5" customHeight="1" x14ac:dyDescent="0.8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22.5" customHeight="1" x14ac:dyDescent="0.8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22.5" customHeight="1" x14ac:dyDescent="0.8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22.5" customHeight="1" x14ac:dyDescent="0.8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22.5" customHeight="1" x14ac:dyDescent="0.8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22.5" customHeight="1" x14ac:dyDescent="0.8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22.5" customHeight="1" x14ac:dyDescent="0.8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22.5" customHeight="1" x14ac:dyDescent="0.8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22.5" customHeight="1" x14ac:dyDescent="0.8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22.5" customHeight="1" x14ac:dyDescent="0.8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22.5" customHeight="1" x14ac:dyDescent="0.8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22.5" customHeight="1" x14ac:dyDescent="0.8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22.5" customHeight="1" x14ac:dyDescent="0.8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22.5" customHeight="1" x14ac:dyDescent="0.8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22.5" customHeight="1" x14ac:dyDescent="0.8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22.5" customHeight="1" x14ac:dyDescent="0.8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22.5" customHeight="1" x14ac:dyDescent="0.8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22.5" customHeight="1" x14ac:dyDescent="0.8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22.5" customHeight="1" x14ac:dyDescent="0.8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22.5" customHeight="1" x14ac:dyDescent="0.8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22.5" customHeight="1" x14ac:dyDescent="0.8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22.5" customHeight="1" x14ac:dyDescent="0.8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22.5" customHeight="1" x14ac:dyDescent="0.8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22.5" customHeight="1" x14ac:dyDescent="0.8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22.5" customHeight="1" x14ac:dyDescent="0.8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22.5" customHeight="1" x14ac:dyDescent="0.8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22.5" customHeight="1" x14ac:dyDescent="0.8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22.5" customHeight="1" x14ac:dyDescent="0.8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22.5" customHeight="1" x14ac:dyDescent="0.8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19">
    <mergeCell ref="A1:P1"/>
    <mergeCell ref="A2:P2"/>
    <mergeCell ref="A11:P11"/>
    <mergeCell ref="A12:O12"/>
    <mergeCell ref="A13:O13"/>
    <mergeCell ref="A30:P30"/>
    <mergeCell ref="A14:P14"/>
    <mergeCell ref="A15:H15"/>
    <mergeCell ref="F23:G23"/>
    <mergeCell ref="H23:I23"/>
    <mergeCell ref="J23:K23"/>
    <mergeCell ref="L23:M23"/>
    <mergeCell ref="F16:H16"/>
    <mergeCell ref="F17:H17"/>
    <mergeCell ref="F18:H18"/>
    <mergeCell ref="F19:H20"/>
    <mergeCell ref="A22:P22"/>
    <mergeCell ref="B23:C23"/>
    <mergeCell ref="D23:E23"/>
  </mergeCells>
  <pageMargins left="0.7" right="0.7" top="0.75" bottom="0.75" header="0" footer="0"/>
  <pageSetup orientation="portrai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005569"/>
  </sheetPr>
  <dimension ref="A1:Z1000"/>
  <sheetViews>
    <sheetView workbookViewId="0"/>
  </sheetViews>
  <sheetFormatPr defaultColWidth="11.23046875" defaultRowHeight="15" customHeight="1" outlineLevelRow="1" x14ac:dyDescent="0.85"/>
  <cols>
    <col min="1" max="1" width="38.61328125" customWidth="1"/>
    <col min="2" max="8" width="20" customWidth="1"/>
    <col min="9" max="11" width="20.3046875" customWidth="1"/>
    <col min="12" max="26" width="8.61328125" customWidth="1"/>
  </cols>
  <sheetData>
    <row r="1" spans="1:26" ht="22.5" customHeight="1" x14ac:dyDescent="0.85">
      <c r="A1" s="786" t="s">
        <v>831</v>
      </c>
      <c r="B1" s="765"/>
      <c r="C1" s="765"/>
      <c r="D1" s="765"/>
      <c r="E1" s="765"/>
      <c r="F1" s="765"/>
      <c r="G1" s="765"/>
      <c r="H1" s="762"/>
      <c r="I1" s="346"/>
      <c r="J1" s="346"/>
      <c r="K1" s="346"/>
      <c r="L1" s="346"/>
      <c r="M1" s="320"/>
      <c r="N1" s="320"/>
      <c r="O1" s="320"/>
      <c r="P1" s="320"/>
      <c r="Q1" s="320"/>
      <c r="R1" s="320"/>
      <c r="S1" s="320"/>
      <c r="T1" s="320"/>
      <c r="U1" s="320"/>
      <c r="V1" s="320"/>
      <c r="W1" s="320"/>
      <c r="X1" s="320"/>
      <c r="Y1" s="320"/>
      <c r="Z1" s="320"/>
    </row>
    <row r="2" spans="1:26" ht="22.5" customHeight="1" x14ac:dyDescent="0.9">
      <c r="A2" s="858" t="s">
        <v>581</v>
      </c>
      <c r="B2" s="765"/>
      <c r="C2" s="765"/>
      <c r="D2" s="765"/>
      <c r="E2" s="765"/>
      <c r="F2" s="765"/>
      <c r="G2" s="765"/>
      <c r="H2" s="762"/>
      <c r="I2" s="346"/>
      <c r="J2" s="346"/>
      <c r="K2" s="346"/>
      <c r="L2" s="346"/>
      <c r="M2" s="321"/>
      <c r="N2" s="321"/>
      <c r="O2" s="321"/>
      <c r="P2" s="321"/>
      <c r="Q2" s="321"/>
      <c r="R2" s="321"/>
      <c r="S2" s="321"/>
      <c r="T2" s="321"/>
      <c r="U2" s="321"/>
      <c r="V2" s="321"/>
      <c r="W2" s="321"/>
      <c r="X2" s="321"/>
      <c r="Y2" s="321"/>
      <c r="Z2" s="321"/>
    </row>
    <row r="3" spans="1:26" ht="47.25" hidden="1" customHeight="1" outlineLevel="1" x14ac:dyDescent="0.85">
      <c r="A3" s="148" t="s">
        <v>582</v>
      </c>
      <c r="B3" s="257" t="s">
        <v>832</v>
      </c>
      <c r="C3" s="257" t="s">
        <v>833</v>
      </c>
      <c r="D3" s="243" t="s">
        <v>120</v>
      </c>
      <c r="E3" s="148" t="s">
        <v>121</v>
      </c>
      <c r="F3" s="148" t="s">
        <v>122</v>
      </c>
      <c r="G3" s="3"/>
      <c r="H3" s="3"/>
      <c r="I3" s="346"/>
      <c r="J3" s="346"/>
      <c r="K3" s="346"/>
      <c r="L3" s="346"/>
      <c r="M3" s="3"/>
      <c r="N3" s="3"/>
      <c r="O3" s="3"/>
      <c r="P3" s="3"/>
      <c r="Q3" s="3"/>
      <c r="R3" s="3"/>
      <c r="S3" s="3"/>
      <c r="T3" s="3"/>
      <c r="U3" s="3"/>
      <c r="V3" s="3"/>
      <c r="W3" s="3"/>
      <c r="X3" s="3"/>
      <c r="Y3" s="3"/>
      <c r="Z3" s="3"/>
    </row>
    <row r="4" spans="1:26" ht="22.5" hidden="1" customHeight="1" outlineLevel="1" x14ac:dyDescent="0.85">
      <c r="A4" s="89" t="s">
        <v>105</v>
      </c>
      <c r="B4" s="103">
        <f>SUM(B30:B31)</f>
        <v>66013.197738110437</v>
      </c>
      <c r="C4" s="258" t="s">
        <v>106</v>
      </c>
      <c r="D4" s="103">
        <f t="shared" ref="D4:D8" si="0">B4</f>
        <v>66013.197738110437</v>
      </c>
      <c r="E4" s="268" t="s">
        <v>106</v>
      </c>
      <c r="F4" s="268" t="s">
        <v>106</v>
      </c>
      <c r="G4" s="15"/>
      <c r="H4" s="15"/>
      <c r="I4" s="346"/>
      <c r="J4" s="346"/>
      <c r="K4" s="346"/>
      <c r="L4" s="346"/>
      <c r="M4" s="15"/>
      <c r="N4" s="15"/>
      <c r="O4" s="15"/>
      <c r="P4" s="15"/>
      <c r="Q4" s="15"/>
      <c r="R4" s="15"/>
      <c r="S4" s="15"/>
      <c r="T4" s="15"/>
      <c r="U4" s="15"/>
      <c r="V4" s="15"/>
      <c r="W4" s="15"/>
      <c r="X4" s="15"/>
      <c r="Y4" s="15"/>
      <c r="Z4" s="15"/>
    </row>
    <row r="5" spans="1:26" ht="22.5" hidden="1" customHeight="1" outlineLevel="1" x14ac:dyDescent="0.85">
      <c r="A5" s="89" t="s">
        <v>126</v>
      </c>
      <c r="B5" s="103">
        <f>SUM(C30:C31)</f>
        <v>66703.442997963735</v>
      </c>
      <c r="C5" s="258">
        <f t="shared" ref="C5:C8" si="1">B5/$B$10</f>
        <v>0.83856336358698702</v>
      </c>
      <c r="D5" s="103">
        <f t="shared" si="0"/>
        <v>66703.442997963735</v>
      </c>
      <c r="E5" s="268" t="s">
        <v>106</v>
      </c>
      <c r="F5" s="268" t="s">
        <v>106</v>
      </c>
      <c r="G5" s="15"/>
      <c r="H5" s="15"/>
      <c r="I5" s="346"/>
      <c r="J5" s="346"/>
      <c r="K5" s="346"/>
      <c r="L5" s="346"/>
      <c r="M5" s="15"/>
      <c r="N5" s="15"/>
      <c r="O5" s="15"/>
      <c r="P5" s="15"/>
      <c r="Q5" s="15"/>
      <c r="R5" s="15"/>
      <c r="S5" s="15"/>
      <c r="T5" s="15"/>
      <c r="U5" s="15"/>
      <c r="V5" s="15"/>
      <c r="W5" s="15"/>
      <c r="X5" s="15"/>
      <c r="Y5" s="15"/>
      <c r="Z5" s="15"/>
    </row>
    <row r="6" spans="1:26" ht="22.5" hidden="1" customHeight="1" outlineLevel="1" x14ac:dyDescent="0.85">
      <c r="A6" s="89" t="s">
        <v>127</v>
      </c>
      <c r="B6" s="103">
        <f>SUM(D30:D31)</f>
        <v>8779.2365909229611</v>
      </c>
      <c r="C6" s="258">
        <f t="shared" si="1"/>
        <v>0.11036830835906103</v>
      </c>
      <c r="D6" s="103">
        <f t="shared" si="0"/>
        <v>8779.2365909229611</v>
      </c>
      <c r="E6" s="268" t="s">
        <v>106</v>
      </c>
      <c r="F6" s="268" t="s">
        <v>106</v>
      </c>
      <c r="G6" s="15"/>
      <c r="H6" s="15"/>
      <c r="I6" s="346"/>
      <c r="J6" s="346"/>
      <c r="K6" s="346"/>
      <c r="L6" s="346"/>
      <c r="M6" s="15"/>
      <c r="N6" s="15"/>
      <c r="O6" s="15"/>
      <c r="P6" s="15"/>
      <c r="Q6" s="15"/>
      <c r="R6" s="15"/>
      <c r="S6" s="15"/>
      <c r="T6" s="15"/>
      <c r="U6" s="15"/>
      <c r="V6" s="15"/>
      <c r="W6" s="15"/>
      <c r="X6" s="15"/>
      <c r="Y6" s="15"/>
      <c r="Z6" s="15"/>
    </row>
    <row r="7" spans="1:26" ht="22.5" hidden="1" customHeight="1" outlineLevel="1" x14ac:dyDescent="0.85">
      <c r="A7" s="89" t="s">
        <v>128</v>
      </c>
      <c r="B7" s="103">
        <f>SUM(E30:E31)</f>
        <v>804.79310099878001</v>
      </c>
      <c r="C7" s="258">
        <f t="shared" si="1"/>
        <v>1.0117468895657164E-2</v>
      </c>
      <c r="D7" s="103">
        <f t="shared" si="0"/>
        <v>804.79310099878001</v>
      </c>
      <c r="E7" s="268" t="s">
        <v>106</v>
      </c>
      <c r="F7" s="268" t="s">
        <v>106</v>
      </c>
      <c r="G7" s="15"/>
      <c r="H7" s="15"/>
      <c r="I7" s="346"/>
      <c r="J7" s="346"/>
      <c r="K7" s="346"/>
      <c r="L7" s="346"/>
      <c r="M7" s="15"/>
      <c r="N7" s="15"/>
      <c r="O7" s="15"/>
      <c r="P7" s="15"/>
      <c r="Q7" s="15"/>
      <c r="R7" s="15"/>
      <c r="S7" s="15"/>
      <c r="T7" s="15"/>
      <c r="U7" s="15"/>
      <c r="V7" s="15"/>
      <c r="W7" s="15"/>
      <c r="X7" s="15"/>
      <c r="Y7" s="15"/>
      <c r="Z7" s="15"/>
    </row>
    <row r="8" spans="1:26" ht="22.5" hidden="1" customHeight="1" outlineLevel="1" x14ac:dyDescent="0.85">
      <c r="A8" s="89" t="s">
        <v>129</v>
      </c>
      <c r="B8" s="103">
        <f>SUM(F30:F31)</f>
        <v>3257.4321967735245</v>
      </c>
      <c r="C8" s="258">
        <f t="shared" si="1"/>
        <v>4.0950859158294751E-2</v>
      </c>
      <c r="D8" s="103">
        <f t="shared" si="0"/>
        <v>3257.4321967735245</v>
      </c>
      <c r="E8" s="268" t="s">
        <v>106</v>
      </c>
      <c r="F8" s="268" t="s">
        <v>106</v>
      </c>
      <c r="G8" s="15"/>
      <c r="H8" s="15"/>
      <c r="I8" s="346"/>
      <c r="J8" s="346"/>
      <c r="K8" s="346"/>
      <c r="L8" s="346"/>
      <c r="M8" s="15"/>
      <c r="N8" s="15"/>
      <c r="O8" s="15"/>
      <c r="P8" s="15"/>
      <c r="Q8" s="15"/>
      <c r="R8" s="15"/>
      <c r="S8" s="15"/>
      <c r="T8" s="15"/>
      <c r="U8" s="15"/>
      <c r="V8" s="15"/>
      <c r="W8" s="15"/>
      <c r="X8" s="15"/>
      <c r="Y8" s="15"/>
      <c r="Z8" s="15"/>
    </row>
    <row r="9" spans="1:26" ht="22.5" hidden="1" customHeight="1" outlineLevel="1" x14ac:dyDescent="0.85">
      <c r="A9" s="322" t="s">
        <v>590</v>
      </c>
      <c r="B9" s="347">
        <f t="shared" ref="B9:F9" si="2">B4</f>
        <v>66013.197738110437</v>
      </c>
      <c r="C9" s="324" t="str">
        <f t="shared" si="2"/>
        <v>N/A</v>
      </c>
      <c r="D9" s="347">
        <f t="shared" si="2"/>
        <v>66013.197738110437</v>
      </c>
      <c r="E9" s="347" t="str">
        <f t="shared" si="2"/>
        <v>N/A</v>
      </c>
      <c r="F9" s="347" t="str">
        <f t="shared" si="2"/>
        <v>N/A</v>
      </c>
      <c r="G9" s="1"/>
      <c r="H9" s="1"/>
      <c r="I9" s="346"/>
      <c r="J9" s="346"/>
      <c r="K9" s="346"/>
      <c r="L9" s="346"/>
      <c r="M9" s="1"/>
      <c r="N9" s="1"/>
      <c r="O9" s="1"/>
      <c r="P9" s="1"/>
      <c r="Q9" s="1"/>
      <c r="R9" s="1"/>
      <c r="S9" s="1"/>
      <c r="T9" s="1"/>
      <c r="U9" s="1"/>
      <c r="V9" s="1"/>
      <c r="W9" s="1"/>
      <c r="X9" s="1"/>
      <c r="Y9" s="1"/>
      <c r="Z9" s="1"/>
    </row>
    <row r="10" spans="1:26" ht="22.5" hidden="1" customHeight="1" outlineLevel="1" x14ac:dyDescent="0.85">
      <c r="A10" s="322" t="s">
        <v>111</v>
      </c>
      <c r="B10" s="347">
        <f t="shared" ref="B10:D10" si="3">SUM(B5:B8)</f>
        <v>79544.904886659002</v>
      </c>
      <c r="C10" s="324">
        <f t="shared" si="3"/>
        <v>1</v>
      </c>
      <c r="D10" s="347">
        <f t="shared" si="3"/>
        <v>79544.904886659002</v>
      </c>
      <c r="E10" s="347" t="str">
        <f t="shared" ref="E10:F10" si="4">E5</f>
        <v>N/A</v>
      </c>
      <c r="F10" s="347" t="str">
        <f t="shared" si="4"/>
        <v>N/A</v>
      </c>
      <c r="G10" s="1"/>
      <c r="H10" s="1"/>
      <c r="I10" s="346"/>
      <c r="J10" s="346"/>
      <c r="K10" s="346"/>
      <c r="L10" s="346"/>
      <c r="M10" s="1"/>
      <c r="N10" s="1"/>
      <c r="O10" s="1"/>
      <c r="P10" s="1"/>
      <c r="Q10" s="1"/>
      <c r="R10" s="1"/>
      <c r="S10" s="1"/>
      <c r="T10" s="1"/>
      <c r="U10" s="1"/>
      <c r="V10" s="1"/>
      <c r="W10" s="1"/>
      <c r="X10" s="1"/>
      <c r="Y10" s="1"/>
      <c r="Z10" s="1"/>
    </row>
    <row r="11" spans="1:26" ht="25.5" customHeight="1" collapsed="1" x14ac:dyDescent="0.85">
      <c r="A11" s="858" t="s">
        <v>591</v>
      </c>
      <c r="B11" s="765"/>
      <c r="C11" s="765"/>
      <c r="D11" s="765"/>
      <c r="E11" s="765"/>
      <c r="F11" s="765"/>
      <c r="G11" s="765"/>
      <c r="H11" s="762"/>
      <c r="I11" s="346"/>
      <c r="J11" s="346"/>
      <c r="K11" s="346"/>
      <c r="L11" s="346"/>
      <c r="M11" s="3"/>
      <c r="N11" s="3"/>
      <c r="O11" s="3"/>
      <c r="P11" s="3"/>
      <c r="Q11" s="3"/>
      <c r="R11" s="3"/>
      <c r="S11" s="3"/>
      <c r="T11" s="3"/>
      <c r="U11" s="3"/>
      <c r="V11" s="3"/>
      <c r="W11" s="3"/>
      <c r="X11" s="3"/>
      <c r="Y11" s="3"/>
      <c r="Z11" s="3"/>
    </row>
    <row r="12" spans="1:26" ht="41.25" hidden="1" customHeight="1" outlineLevel="1" x14ac:dyDescent="0.85">
      <c r="A12" s="865" t="s">
        <v>834</v>
      </c>
      <c r="B12" s="769"/>
      <c r="C12" s="769"/>
      <c r="D12" s="769"/>
      <c r="E12" s="769"/>
      <c r="F12" s="769"/>
      <c r="G12" s="769"/>
      <c r="H12" s="795"/>
      <c r="I12" s="346"/>
      <c r="J12" s="346"/>
      <c r="K12" s="346"/>
      <c r="L12" s="346"/>
      <c r="M12" s="15"/>
      <c r="N12" s="15"/>
      <c r="O12" s="15"/>
      <c r="P12" s="15"/>
      <c r="Q12" s="15"/>
      <c r="R12" s="15"/>
      <c r="S12" s="15"/>
      <c r="T12" s="15"/>
      <c r="U12" s="15"/>
      <c r="V12" s="15"/>
      <c r="W12" s="15"/>
      <c r="X12" s="15"/>
      <c r="Y12" s="15"/>
      <c r="Z12" s="15"/>
    </row>
    <row r="13" spans="1:26" ht="22.5" customHeight="1" collapsed="1" x14ac:dyDescent="0.85">
      <c r="A13" s="858" t="s">
        <v>183</v>
      </c>
      <c r="B13" s="765"/>
      <c r="C13" s="765"/>
      <c r="D13" s="765"/>
      <c r="E13" s="765"/>
      <c r="F13" s="765"/>
      <c r="G13" s="765"/>
      <c r="H13" s="762"/>
      <c r="I13" s="346"/>
      <c r="J13" s="346"/>
      <c r="K13" s="346"/>
      <c r="L13" s="346"/>
      <c r="M13" s="15"/>
      <c r="N13" s="15"/>
      <c r="O13" s="15"/>
      <c r="P13" s="15"/>
      <c r="Q13" s="15"/>
      <c r="R13" s="15"/>
      <c r="S13" s="15"/>
      <c r="T13" s="15"/>
      <c r="U13" s="15"/>
      <c r="V13" s="15"/>
      <c r="W13" s="15"/>
      <c r="X13" s="15"/>
      <c r="Y13" s="15"/>
      <c r="Z13" s="15"/>
    </row>
    <row r="14" spans="1:26" ht="22.5" hidden="1" customHeight="1" outlineLevel="1" x14ac:dyDescent="0.85">
      <c r="A14" s="804" t="s">
        <v>835</v>
      </c>
      <c r="B14" s="762"/>
      <c r="C14" s="26"/>
      <c r="D14" s="26"/>
      <c r="E14" s="26"/>
      <c r="F14" s="26"/>
      <c r="G14" s="3"/>
      <c r="H14" s="3"/>
      <c r="I14" s="346"/>
      <c r="J14" s="348"/>
      <c r="K14" s="15"/>
      <c r="L14" s="15"/>
      <c r="M14" s="15"/>
      <c r="N14" s="15"/>
      <c r="O14" s="15"/>
      <c r="P14" s="15"/>
      <c r="Q14" s="15"/>
      <c r="R14" s="15"/>
      <c r="S14" s="15"/>
      <c r="T14" s="15"/>
      <c r="U14" s="15"/>
      <c r="V14" s="15"/>
      <c r="W14" s="15"/>
      <c r="X14" s="15"/>
      <c r="Y14" s="15"/>
      <c r="Z14" s="15"/>
    </row>
    <row r="15" spans="1:26" ht="22.5" hidden="1" customHeight="1" outlineLevel="1" x14ac:dyDescent="0.85">
      <c r="A15" s="267" t="s">
        <v>836</v>
      </c>
      <c r="B15" s="349">
        <v>1028</v>
      </c>
      <c r="C15" s="76"/>
      <c r="D15" s="76"/>
      <c r="E15" s="76"/>
      <c r="F15" s="76"/>
      <c r="G15" s="15"/>
      <c r="H15" s="15"/>
      <c r="I15" s="346"/>
      <c r="J15" s="348"/>
      <c r="K15" s="15"/>
      <c r="L15" s="15"/>
      <c r="M15" s="15"/>
      <c r="N15" s="15"/>
      <c r="O15" s="15"/>
      <c r="P15" s="15"/>
      <c r="Q15" s="15"/>
      <c r="R15" s="15"/>
      <c r="S15" s="15"/>
      <c r="T15" s="15"/>
      <c r="U15" s="15"/>
      <c r="V15" s="15"/>
      <c r="W15" s="15"/>
      <c r="X15" s="15"/>
      <c r="Y15" s="15"/>
      <c r="Z15" s="15"/>
    </row>
    <row r="16" spans="1:26" ht="22.5" hidden="1" customHeight="1" outlineLevel="1" x14ac:dyDescent="0.85">
      <c r="A16" s="267" t="s">
        <v>837</v>
      </c>
      <c r="B16" s="350">
        <v>3.0000000000000001E-3</v>
      </c>
      <c r="C16" s="15"/>
      <c r="D16" s="15"/>
      <c r="E16" s="15"/>
      <c r="F16" s="15"/>
      <c r="G16" s="15"/>
      <c r="H16" s="15"/>
      <c r="I16" s="346"/>
      <c r="J16" s="348"/>
      <c r="K16" s="15"/>
      <c r="L16" s="15"/>
      <c r="M16" s="15"/>
      <c r="N16" s="15"/>
      <c r="O16" s="15"/>
      <c r="P16" s="15"/>
      <c r="Q16" s="15"/>
      <c r="R16" s="15"/>
      <c r="S16" s="15"/>
      <c r="T16" s="15"/>
      <c r="U16" s="15"/>
      <c r="V16" s="15"/>
      <c r="W16" s="15"/>
      <c r="X16" s="15"/>
      <c r="Y16" s="15"/>
      <c r="Z16" s="15"/>
    </row>
    <row r="17" spans="1:26" ht="22.5" hidden="1" customHeight="1" outlineLevel="1" x14ac:dyDescent="0.85">
      <c r="A17" s="267" t="s">
        <v>838</v>
      </c>
      <c r="B17" s="285">
        <v>0.8</v>
      </c>
      <c r="C17" s="15"/>
      <c r="D17" s="15"/>
      <c r="E17" s="15"/>
      <c r="F17" s="15"/>
      <c r="G17" s="15"/>
      <c r="H17" s="15"/>
      <c r="I17" s="346"/>
      <c r="J17" s="348"/>
      <c r="K17" s="15"/>
      <c r="L17" s="15"/>
      <c r="M17" s="15"/>
      <c r="N17" s="15"/>
      <c r="O17" s="15"/>
      <c r="P17" s="15"/>
      <c r="Q17" s="15"/>
      <c r="R17" s="15"/>
      <c r="S17" s="15"/>
      <c r="T17" s="15"/>
      <c r="U17" s="15"/>
      <c r="V17" s="15"/>
      <c r="W17" s="15"/>
      <c r="X17" s="15"/>
      <c r="Y17" s="15"/>
      <c r="Z17" s="15"/>
    </row>
    <row r="18" spans="1:26" ht="22.5" hidden="1" customHeight="1" outlineLevel="1" x14ac:dyDescent="0.85">
      <c r="A18" s="267" t="s">
        <v>839</v>
      </c>
      <c r="B18" s="350">
        <v>0.93400000000000005</v>
      </c>
      <c r="C18" s="15"/>
      <c r="D18" s="15"/>
      <c r="E18" s="15"/>
      <c r="F18" s="15"/>
      <c r="G18" s="15"/>
      <c r="H18" s="15"/>
      <c r="I18" s="346"/>
      <c r="J18" s="348"/>
      <c r="K18" s="15"/>
      <c r="L18" s="15"/>
      <c r="M18" s="15"/>
      <c r="N18" s="15"/>
      <c r="O18" s="15"/>
      <c r="P18" s="15"/>
      <c r="Q18" s="15"/>
      <c r="R18" s="15"/>
      <c r="S18" s="15"/>
      <c r="T18" s="15"/>
      <c r="U18" s="15"/>
      <c r="V18" s="15"/>
      <c r="W18" s="15"/>
      <c r="X18" s="15"/>
      <c r="Y18" s="15"/>
      <c r="Z18" s="15"/>
    </row>
    <row r="19" spans="1:26" ht="22.5" hidden="1" customHeight="1" outlineLevel="1" x14ac:dyDescent="0.85">
      <c r="A19" s="267" t="s">
        <v>840</v>
      </c>
      <c r="B19" s="350">
        <v>0.01</v>
      </c>
      <c r="C19" s="15"/>
      <c r="D19" s="15"/>
      <c r="E19" s="15"/>
      <c r="F19" s="15"/>
      <c r="G19" s="15"/>
      <c r="H19" s="15"/>
      <c r="I19" s="346"/>
      <c r="J19" s="348"/>
      <c r="K19" s="15"/>
      <c r="L19" s="15"/>
      <c r="M19" s="15"/>
      <c r="N19" s="15"/>
      <c r="O19" s="15"/>
      <c r="P19" s="15"/>
      <c r="Q19" s="15"/>
      <c r="R19" s="15"/>
      <c r="S19" s="15"/>
      <c r="T19" s="15"/>
      <c r="U19" s="15"/>
      <c r="V19" s="15"/>
      <c r="W19" s="15"/>
      <c r="X19" s="15"/>
      <c r="Y19" s="15"/>
      <c r="Z19" s="15"/>
    </row>
    <row r="20" spans="1:26" ht="22.5" hidden="1" customHeight="1" outlineLevel="1" x14ac:dyDescent="0.85">
      <c r="A20" s="351" t="s">
        <v>841</v>
      </c>
      <c r="B20" s="352">
        <v>2.8320000000000001E-2</v>
      </c>
      <c r="C20" s="15"/>
      <c r="D20" s="15"/>
      <c r="E20" s="15"/>
      <c r="F20" s="15"/>
      <c r="G20" s="15"/>
      <c r="H20" s="15"/>
      <c r="I20" s="346"/>
      <c r="J20" s="348"/>
      <c r="K20" s="15"/>
      <c r="L20" s="15"/>
      <c r="M20" s="15"/>
      <c r="N20" s="15"/>
      <c r="O20" s="15"/>
      <c r="P20" s="15"/>
      <c r="Q20" s="15"/>
      <c r="R20" s="15"/>
      <c r="S20" s="15"/>
      <c r="T20" s="15"/>
      <c r="U20" s="15"/>
      <c r="V20" s="15"/>
      <c r="W20" s="15"/>
      <c r="X20" s="15"/>
      <c r="Y20" s="15"/>
      <c r="Z20" s="15"/>
    </row>
    <row r="21" spans="1:26" ht="24.75" customHeight="1" collapsed="1" x14ac:dyDescent="0.85">
      <c r="A21" s="858" t="s">
        <v>254</v>
      </c>
      <c r="B21" s="765"/>
      <c r="C21" s="765"/>
      <c r="D21" s="765"/>
      <c r="E21" s="765"/>
      <c r="F21" s="765"/>
      <c r="G21" s="765"/>
      <c r="H21" s="762"/>
      <c r="I21" s="3"/>
      <c r="J21" s="3"/>
      <c r="K21" s="3"/>
      <c r="L21" s="3"/>
      <c r="M21" s="3"/>
      <c r="N21" s="3"/>
      <c r="O21" s="3"/>
      <c r="P21" s="3"/>
      <c r="Q21" s="3"/>
      <c r="R21" s="3"/>
      <c r="S21" s="3"/>
      <c r="T21" s="3"/>
      <c r="U21" s="3"/>
      <c r="V21" s="3"/>
      <c r="W21" s="3"/>
      <c r="X21" s="3"/>
      <c r="Y21" s="3"/>
      <c r="Z21" s="3"/>
    </row>
    <row r="22" spans="1:26" ht="22.5" hidden="1" customHeight="1" outlineLevel="1" x14ac:dyDescent="0.85">
      <c r="A22" s="839" t="s">
        <v>842</v>
      </c>
      <c r="B22" s="813"/>
      <c r="C22" s="813"/>
      <c r="D22" s="813"/>
      <c r="E22" s="813"/>
      <c r="F22" s="813"/>
      <c r="G22" s="814"/>
      <c r="H22" s="3"/>
      <c r="I22" s="353"/>
      <c r="J22" s="353"/>
      <c r="K22" s="353"/>
      <c r="L22" s="353"/>
      <c r="M22" s="353"/>
      <c r="N22" s="353"/>
      <c r="O22" s="353"/>
      <c r="P22" s="353"/>
      <c r="Q22" s="353"/>
      <c r="R22" s="353"/>
      <c r="S22" s="353"/>
      <c r="T22" s="353"/>
      <c r="U22" s="353"/>
      <c r="V22" s="353"/>
      <c r="W22" s="353"/>
      <c r="X22" s="353"/>
      <c r="Y22" s="353"/>
      <c r="Z22" s="353"/>
    </row>
    <row r="23" spans="1:26" ht="22.5" hidden="1" customHeight="1" outlineLevel="1" x14ac:dyDescent="0.85">
      <c r="A23" s="130" t="s">
        <v>251</v>
      </c>
      <c r="B23" s="130" t="s">
        <v>105</v>
      </c>
      <c r="C23" s="130" t="s">
        <v>107</v>
      </c>
      <c r="D23" s="130" t="s">
        <v>108</v>
      </c>
      <c r="E23" s="130" t="s">
        <v>109</v>
      </c>
      <c r="F23" s="130" t="s">
        <v>110</v>
      </c>
      <c r="G23" s="130" t="s">
        <v>826</v>
      </c>
      <c r="H23" s="3"/>
      <c r="I23" s="3"/>
      <c r="J23" s="3"/>
      <c r="K23" s="3"/>
      <c r="L23" s="3"/>
      <c r="M23" s="3"/>
      <c r="N23" s="3"/>
      <c r="O23" s="3"/>
      <c r="P23" s="3"/>
      <c r="Q23" s="3"/>
      <c r="R23" s="3"/>
      <c r="S23" s="3"/>
      <c r="T23" s="3"/>
      <c r="U23" s="3"/>
      <c r="V23" s="3"/>
      <c r="W23" s="3"/>
      <c r="X23" s="3"/>
      <c r="Y23" s="3"/>
      <c r="Z23" s="3"/>
    </row>
    <row r="24" spans="1:26" ht="22.5" hidden="1" customHeight="1" outlineLevel="1" x14ac:dyDescent="0.85">
      <c r="A24" s="86" t="s">
        <v>843</v>
      </c>
      <c r="B24" s="150">
        <f>SUM('Energy Data'!B227)</f>
        <v>237413155.7720001</v>
      </c>
      <c r="C24" s="150">
        <f>SUM('Energy Data'!C227)</f>
        <v>239911070.9730002</v>
      </c>
      <c r="D24" s="150">
        <f>SUM('Energy Data'!D227)</f>
        <v>16869613.509000003</v>
      </c>
      <c r="E24" s="150">
        <f>SUM('Energy Data'!E227)</f>
        <v>3064343.7624351447</v>
      </c>
      <c r="F24" s="150">
        <f>SUM('Energy Data'!F227)</f>
        <v>5308414.0830000052</v>
      </c>
      <c r="G24" s="307">
        <f t="shared" ref="G24:G29" si="5">SUM(C24:F24)</f>
        <v>265153442.32743534</v>
      </c>
      <c r="H24" s="15"/>
      <c r="I24" s="15"/>
      <c r="J24" s="15"/>
      <c r="K24" s="15"/>
      <c r="L24" s="15"/>
      <c r="M24" s="15"/>
      <c r="N24" s="15"/>
      <c r="O24" s="15"/>
      <c r="P24" s="15"/>
      <c r="Q24" s="15"/>
      <c r="R24" s="15"/>
      <c r="S24" s="15"/>
      <c r="T24" s="15"/>
      <c r="U24" s="15"/>
      <c r="V24" s="15"/>
      <c r="W24" s="15"/>
      <c r="X24" s="15"/>
      <c r="Y24" s="15"/>
      <c r="Z24" s="15"/>
    </row>
    <row r="25" spans="1:26" ht="22.5" hidden="1" customHeight="1" outlineLevel="1" x14ac:dyDescent="0.85">
      <c r="A25" s="86" t="s">
        <v>844</v>
      </c>
      <c r="B25" s="150">
        <f>SUM('Energy Data'!B219)</f>
        <v>144222069.34799999</v>
      </c>
      <c r="C25" s="150">
        <f>SUM('Energy Data'!C219)</f>
        <v>145714597.18199995</v>
      </c>
      <c r="D25" s="150">
        <f>SUM('Energy Data'!D219)</f>
        <v>33884872.677999996</v>
      </c>
      <c r="E25" s="150">
        <f>SUM('Energy Data'!E219)</f>
        <v>1588322.7769616765</v>
      </c>
      <c r="F25" s="150">
        <f>SUM('Energy Data'!F219)</f>
        <v>13523439.43000002</v>
      </c>
      <c r="G25" s="307">
        <f t="shared" si="5"/>
        <v>194711232.06696165</v>
      </c>
      <c r="H25" s="15"/>
      <c r="I25" s="15"/>
      <c r="J25" s="15"/>
      <c r="K25" s="15"/>
      <c r="L25" s="15"/>
      <c r="M25" s="15"/>
      <c r="N25" s="15"/>
      <c r="O25" s="15"/>
      <c r="P25" s="15"/>
      <c r="Q25" s="15"/>
      <c r="R25" s="15"/>
      <c r="S25" s="15"/>
      <c r="T25" s="15"/>
      <c r="U25" s="15"/>
      <c r="V25" s="15"/>
      <c r="W25" s="15"/>
      <c r="X25" s="15"/>
      <c r="Y25" s="15"/>
      <c r="Z25" s="15"/>
    </row>
    <row r="26" spans="1:26" ht="22.5" hidden="1" customHeight="1" outlineLevel="1" x14ac:dyDescent="0.85">
      <c r="A26" s="86" t="s">
        <v>845</v>
      </c>
      <c r="B26" s="310">
        <f t="shared" ref="B26:F26" si="6">100000/$B$15*$B$20*$B$17/1000*$B$16*B24*$B$19</f>
        <v>15.696981878902047</v>
      </c>
      <c r="C26" s="310">
        <f t="shared" si="6"/>
        <v>15.862135867600077</v>
      </c>
      <c r="D26" s="310">
        <f t="shared" si="6"/>
        <v>1.1153637071787086</v>
      </c>
      <c r="E26" s="150">
        <f t="shared" si="6"/>
        <v>0.2026043938182801</v>
      </c>
      <c r="F26" s="310">
        <f t="shared" si="6"/>
        <v>0.35097498870947902</v>
      </c>
      <c r="G26" s="307">
        <f t="shared" si="5"/>
        <v>17.531078957306544</v>
      </c>
      <c r="H26" s="15"/>
      <c r="I26" s="15"/>
      <c r="J26" s="15"/>
      <c r="K26" s="15"/>
      <c r="L26" s="15"/>
      <c r="M26" s="15"/>
      <c r="N26" s="15"/>
      <c r="O26" s="15"/>
      <c r="P26" s="15"/>
      <c r="Q26" s="15"/>
      <c r="R26" s="15"/>
      <c r="S26" s="15"/>
      <c r="T26" s="15"/>
      <c r="U26" s="15"/>
      <c r="V26" s="15"/>
      <c r="W26" s="15"/>
      <c r="X26" s="15"/>
      <c r="Y26" s="15"/>
      <c r="Z26" s="15"/>
    </row>
    <row r="27" spans="1:26" ht="22.5" hidden="1" customHeight="1" outlineLevel="1" x14ac:dyDescent="0.85">
      <c r="A27" s="86" t="s">
        <v>846</v>
      </c>
      <c r="B27" s="310">
        <f t="shared" ref="B27:F27" si="7">100000/$B$15*$B$20*$B$17/1000*$B$16*B25*$B$19</f>
        <v>9.535491837981386</v>
      </c>
      <c r="C27" s="310">
        <f t="shared" si="7"/>
        <v>9.634172900064371</v>
      </c>
      <c r="D27" s="310">
        <f t="shared" si="7"/>
        <v>2.2403570293563271</v>
      </c>
      <c r="E27" s="150">
        <f t="shared" si="7"/>
        <v>0.10501471060752067</v>
      </c>
      <c r="F27" s="310">
        <f t="shared" si="7"/>
        <v>0.89412561398661627</v>
      </c>
      <c r="G27" s="307">
        <f t="shared" si="5"/>
        <v>12.873670254014835</v>
      </c>
      <c r="H27" s="15"/>
      <c r="I27" s="15"/>
      <c r="J27" s="15"/>
      <c r="K27" s="15"/>
      <c r="L27" s="15"/>
      <c r="M27" s="15"/>
      <c r="N27" s="15"/>
      <c r="O27" s="15"/>
      <c r="P27" s="15"/>
      <c r="Q27" s="15"/>
      <c r="R27" s="15"/>
      <c r="S27" s="15"/>
      <c r="T27" s="15"/>
      <c r="U27" s="15"/>
      <c r="V27" s="15"/>
      <c r="W27" s="15"/>
      <c r="X27" s="15"/>
      <c r="Y27" s="15"/>
      <c r="Z27" s="15"/>
    </row>
    <row r="28" spans="1:26" ht="22.5" hidden="1" customHeight="1" outlineLevel="1" x14ac:dyDescent="0.85">
      <c r="A28" s="86" t="s">
        <v>847</v>
      </c>
      <c r="B28" s="310">
        <f t="shared" ref="B28:F28" si="8">100000/$B$15*$B$20*$B$17/1000*$B$16*B24*$B$18</f>
        <v>1466.0981074894512</v>
      </c>
      <c r="C28" s="310">
        <f t="shared" si="8"/>
        <v>1481.5234900338473</v>
      </c>
      <c r="D28" s="310">
        <f t="shared" si="8"/>
        <v>104.17497025049138</v>
      </c>
      <c r="E28" s="150">
        <f t="shared" si="8"/>
        <v>18.923250382627362</v>
      </c>
      <c r="F28" s="310">
        <f t="shared" si="8"/>
        <v>32.781063945465341</v>
      </c>
      <c r="G28" s="307">
        <f t="shared" si="5"/>
        <v>1637.4027746124316</v>
      </c>
      <c r="H28" s="15"/>
      <c r="I28" s="15"/>
      <c r="J28" s="15"/>
      <c r="K28" s="15"/>
      <c r="L28" s="15"/>
      <c r="M28" s="15"/>
      <c r="N28" s="15"/>
      <c r="O28" s="15"/>
      <c r="P28" s="15"/>
      <c r="Q28" s="15"/>
      <c r="R28" s="15"/>
      <c r="S28" s="15"/>
      <c r="T28" s="15"/>
      <c r="U28" s="15"/>
      <c r="V28" s="15"/>
      <c r="W28" s="15"/>
      <c r="X28" s="15"/>
      <c r="Y28" s="15"/>
      <c r="Z28" s="15"/>
    </row>
    <row r="29" spans="1:26" ht="22.5" hidden="1" customHeight="1" outlineLevel="1" x14ac:dyDescent="0.85">
      <c r="A29" s="86" t="s">
        <v>848</v>
      </c>
      <c r="B29" s="310">
        <f t="shared" ref="B29:F29" si="9">100000/$B$15*$B$20*$B$17/1000*$B$16*B25*$B$18</f>
        <v>890.6149376674615</v>
      </c>
      <c r="C29" s="310">
        <f t="shared" si="9"/>
        <v>899.83174886601239</v>
      </c>
      <c r="D29" s="310">
        <f t="shared" si="9"/>
        <v>209.24934654188095</v>
      </c>
      <c r="E29" s="150">
        <f t="shared" si="9"/>
        <v>9.8083739707424318</v>
      </c>
      <c r="F29" s="310">
        <f t="shared" si="9"/>
        <v>83.51133234634996</v>
      </c>
      <c r="G29" s="307">
        <f t="shared" si="5"/>
        <v>1202.4008017249857</v>
      </c>
      <c r="H29" s="15"/>
      <c r="I29" s="15"/>
      <c r="J29" s="15"/>
      <c r="K29" s="15"/>
      <c r="L29" s="15"/>
      <c r="M29" s="15"/>
      <c r="N29" s="15"/>
      <c r="O29" s="15"/>
      <c r="P29" s="15"/>
      <c r="Q29" s="15"/>
      <c r="R29" s="15"/>
      <c r="S29" s="15"/>
      <c r="T29" s="15"/>
      <c r="U29" s="15"/>
      <c r="V29" s="15"/>
      <c r="W29" s="15"/>
      <c r="X29" s="15"/>
      <c r="Y29" s="15"/>
      <c r="Z29" s="15"/>
    </row>
    <row r="30" spans="1:26" ht="22.5" hidden="1" customHeight="1" outlineLevel="1" x14ac:dyDescent="0.85">
      <c r="A30" s="292" t="s">
        <v>849</v>
      </c>
      <c r="B30" s="293">
        <f>B28*'Conversion Factors and GWP'!$C$31+B26</f>
        <v>41066.443991583532</v>
      </c>
      <c r="C30" s="293">
        <f>C28*'Conversion Factors and GWP'!$C$31+C26</f>
        <v>41498.519856815328</v>
      </c>
      <c r="D30" s="293">
        <f>D28*'Conversion Factors and GWP'!$C$31+D26</f>
        <v>2918.0145307209377</v>
      </c>
      <c r="E30" s="293">
        <f>E28*'Conversion Factors and GWP'!$C$31+E26</f>
        <v>530.05361510738442</v>
      </c>
      <c r="F30" s="293">
        <f>F28*'Conversion Factors and GWP'!$C$31+F26</f>
        <v>918.22076546173901</v>
      </c>
      <c r="G30" s="293">
        <f>G28*'Conversion Factors and GWP'!$C$31+G26</f>
        <v>45864.808768105388</v>
      </c>
      <c r="H30" s="15"/>
      <c r="I30" s="3"/>
      <c r="J30" s="3"/>
      <c r="K30" s="3"/>
      <c r="L30" s="3"/>
      <c r="M30" s="3"/>
      <c r="N30" s="3"/>
      <c r="O30" s="3"/>
      <c r="P30" s="3"/>
      <c r="Q30" s="3"/>
      <c r="R30" s="3"/>
      <c r="S30" s="3"/>
      <c r="T30" s="3"/>
      <c r="U30" s="3"/>
      <c r="V30" s="3"/>
      <c r="W30" s="3"/>
      <c r="X30" s="3"/>
      <c r="Y30" s="3"/>
      <c r="Z30" s="3"/>
    </row>
    <row r="31" spans="1:26" ht="22.5" hidden="1" customHeight="1" outlineLevel="1" x14ac:dyDescent="0.85">
      <c r="A31" s="292" t="s">
        <v>850</v>
      </c>
      <c r="B31" s="293">
        <f>B29*'Conversion Factors and GWP'!$C$31+B27</f>
        <v>24946.753746526905</v>
      </c>
      <c r="C31" s="293">
        <f>C29*'Conversion Factors and GWP'!$C$31+C27</f>
        <v>25204.923141148411</v>
      </c>
      <c r="D31" s="293">
        <f>D29*'Conversion Factors and GWP'!$C$31+D27</f>
        <v>5861.2220602020234</v>
      </c>
      <c r="E31" s="293">
        <f>E29*'Conversion Factors and GWP'!$C$31+E27</f>
        <v>274.73948589139559</v>
      </c>
      <c r="F31" s="293">
        <f>F29*'Conversion Factors and GWP'!$C$31+F27</f>
        <v>2339.2114313117854</v>
      </c>
      <c r="G31" s="293">
        <f>G29*'Conversion Factors and GWP'!$C$31+G27</f>
        <v>33680.096118553614</v>
      </c>
      <c r="H31" s="15"/>
      <c r="I31" s="3"/>
      <c r="J31" s="3"/>
      <c r="K31" s="3"/>
      <c r="L31" s="3"/>
      <c r="M31" s="3"/>
      <c r="N31" s="3"/>
      <c r="O31" s="3"/>
      <c r="P31" s="3"/>
      <c r="Q31" s="3"/>
      <c r="R31" s="3"/>
      <c r="S31" s="3"/>
      <c r="T31" s="3"/>
      <c r="U31" s="3"/>
      <c r="V31" s="3"/>
      <c r="W31" s="3"/>
      <c r="X31" s="3"/>
      <c r="Y31" s="3"/>
      <c r="Z31" s="3"/>
    </row>
    <row r="32" spans="1:26" ht="22.5" customHeight="1" collapsed="1" x14ac:dyDescent="0.85">
      <c r="A32" s="3"/>
      <c r="B32" s="3"/>
      <c r="C32" s="3"/>
      <c r="D32" s="3"/>
      <c r="E32" s="3"/>
      <c r="F32" s="3"/>
      <c r="G32" s="15"/>
      <c r="H32" s="15"/>
      <c r="I32" s="3"/>
      <c r="J32" s="3"/>
      <c r="K32" s="3"/>
      <c r="L32" s="3"/>
      <c r="M32" s="3"/>
      <c r="N32" s="3"/>
      <c r="O32" s="3"/>
      <c r="P32" s="3"/>
      <c r="Q32" s="3"/>
      <c r="R32" s="3"/>
      <c r="S32" s="3"/>
      <c r="T32" s="3"/>
      <c r="U32" s="3"/>
      <c r="V32" s="3"/>
      <c r="W32" s="3"/>
      <c r="X32" s="3"/>
      <c r="Y32" s="3"/>
      <c r="Z32" s="3"/>
    </row>
    <row r="33" spans="1:26" ht="22.5" customHeight="1" x14ac:dyDescent="0.85">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22.5" customHeight="1" x14ac:dyDescent="0.85">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22.5" customHeight="1" x14ac:dyDescent="0.85">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22.5" customHeight="1" x14ac:dyDescent="0.85">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22.5" customHeight="1" x14ac:dyDescent="0.85">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22.5" customHeight="1" x14ac:dyDescent="0.85">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22.5" customHeight="1" x14ac:dyDescent="0.85">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22.5" customHeight="1" x14ac:dyDescent="0.85">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22.5" customHeight="1" x14ac:dyDescent="0.85">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22.5" customHeight="1" x14ac:dyDescent="0.85">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22.5" customHeight="1" x14ac:dyDescent="0.85">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22.5" customHeight="1" x14ac:dyDescent="0.85">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22.5" customHeight="1" x14ac:dyDescent="0.85">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22.5" customHeight="1" x14ac:dyDescent="0.85">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22.5" customHeight="1" x14ac:dyDescent="0.85">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22.5" customHeight="1" x14ac:dyDescent="0.85">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22.5" customHeight="1" x14ac:dyDescent="0.85">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22.5" customHeight="1" x14ac:dyDescent="0.85">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22.5" customHeight="1" x14ac:dyDescent="0.85">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22.5" customHeight="1" x14ac:dyDescent="0.85">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22.5" customHeight="1" x14ac:dyDescent="0.85">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22.5" customHeight="1" x14ac:dyDescent="0.85">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22.5" customHeight="1" x14ac:dyDescent="0.85">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22.5" customHeight="1" x14ac:dyDescent="0.85">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22.5" customHeight="1" x14ac:dyDescent="0.85">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22.5" customHeight="1" x14ac:dyDescent="0.85">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22.5" customHeight="1" x14ac:dyDescent="0.85">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22.5" customHeight="1" x14ac:dyDescent="0.85">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22.5" customHeight="1" x14ac:dyDescent="0.85">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22.5" customHeight="1" x14ac:dyDescent="0.85">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22.5" customHeight="1" x14ac:dyDescent="0.85">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22.5" customHeight="1" x14ac:dyDescent="0.85">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22.5" customHeight="1" x14ac:dyDescent="0.85">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22.5" customHeight="1" x14ac:dyDescent="0.85">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22.5" customHeight="1" x14ac:dyDescent="0.85">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22.5" customHeight="1" x14ac:dyDescent="0.85">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22.5" customHeight="1" x14ac:dyDescent="0.85">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22.5" customHeight="1" x14ac:dyDescent="0.85">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22.5" customHeight="1" x14ac:dyDescent="0.85">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22.5" customHeight="1" x14ac:dyDescent="0.85">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22.5" customHeight="1" x14ac:dyDescent="0.85">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22.5" customHeight="1" x14ac:dyDescent="0.85">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22.5" customHeight="1" x14ac:dyDescent="0.85">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22.5" customHeight="1" x14ac:dyDescent="0.85">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22.5" customHeight="1" x14ac:dyDescent="0.85">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22.5" customHeight="1" x14ac:dyDescent="0.85">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22.5" customHeight="1" x14ac:dyDescent="0.85">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22.5" customHeight="1" x14ac:dyDescent="0.85">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22.5" customHeight="1" x14ac:dyDescent="0.85">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22.5" customHeight="1" x14ac:dyDescent="0.85">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22.5" customHeight="1" x14ac:dyDescent="0.85">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22.5" customHeight="1" x14ac:dyDescent="0.85">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22.5" customHeight="1" x14ac:dyDescent="0.85">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22.5" customHeight="1" x14ac:dyDescent="0.85">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22.5" customHeight="1" x14ac:dyDescent="0.85">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22.5" customHeight="1" x14ac:dyDescent="0.85">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22.5" customHeight="1" x14ac:dyDescent="0.85">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22.5" customHeight="1" x14ac:dyDescent="0.85">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22.5" customHeight="1" x14ac:dyDescent="0.85">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22.5" customHeight="1" x14ac:dyDescent="0.85">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22.5" customHeight="1" x14ac:dyDescent="0.85">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22.5" customHeight="1" x14ac:dyDescent="0.85">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22.5" customHeight="1" x14ac:dyDescent="0.85">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22.5" customHeight="1" x14ac:dyDescent="0.85">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22.5" customHeight="1" x14ac:dyDescent="0.85">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22.5" customHeight="1" x14ac:dyDescent="0.85">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22.5" customHeight="1" x14ac:dyDescent="0.85">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22.5" customHeight="1" x14ac:dyDescent="0.8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22.5" customHeight="1" x14ac:dyDescent="0.8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22.5" customHeight="1" x14ac:dyDescent="0.8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22.5" customHeight="1" x14ac:dyDescent="0.8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22.5" customHeight="1" x14ac:dyDescent="0.8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22.5" customHeight="1" x14ac:dyDescent="0.8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22.5" customHeight="1" x14ac:dyDescent="0.8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22.5" customHeight="1" x14ac:dyDescent="0.8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22.5" customHeight="1" x14ac:dyDescent="0.8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22.5" customHeight="1" x14ac:dyDescent="0.8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22.5" customHeight="1" x14ac:dyDescent="0.8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22.5" customHeight="1" x14ac:dyDescent="0.8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22.5" customHeight="1" x14ac:dyDescent="0.8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22.5" customHeight="1" x14ac:dyDescent="0.8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22.5" customHeight="1" x14ac:dyDescent="0.8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22.5" customHeight="1" x14ac:dyDescent="0.8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22.5" customHeight="1" x14ac:dyDescent="0.8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22.5" customHeight="1" x14ac:dyDescent="0.8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22.5" customHeight="1" x14ac:dyDescent="0.8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22.5" customHeight="1" x14ac:dyDescent="0.8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22.5" customHeight="1" x14ac:dyDescent="0.8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22.5" customHeight="1" x14ac:dyDescent="0.8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22.5" customHeight="1" x14ac:dyDescent="0.8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22.5" customHeight="1" x14ac:dyDescent="0.8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22.5" customHeight="1" x14ac:dyDescent="0.8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22.5" customHeight="1" x14ac:dyDescent="0.8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22.5" customHeight="1" x14ac:dyDescent="0.8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22.5" customHeight="1" x14ac:dyDescent="0.8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22.5" customHeight="1" x14ac:dyDescent="0.8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22.5" customHeight="1" x14ac:dyDescent="0.8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22.5" customHeight="1" x14ac:dyDescent="0.8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22.5" customHeight="1" x14ac:dyDescent="0.8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22.5" customHeight="1" x14ac:dyDescent="0.8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22.5" customHeight="1" x14ac:dyDescent="0.8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22.5" customHeight="1" x14ac:dyDescent="0.8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22.5" customHeight="1" x14ac:dyDescent="0.8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22.5" customHeight="1" x14ac:dyDescent="0.8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22.5" customHeight="1" x14ac:dyDescent="0.8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22.5" customHeight="1" x14ac:dyDescent="0.8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22.5" customHeight="1" x14ac:dyDescent="0.8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22.5" customHeight="1" x14ac:dyDescent="0.8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22.5" customHeight="1" x14ac:dyDescent="0.8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22.5" customHeight="1" x14ac:dyDescent="0.8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22.5" customHeight="1" x14ac:dyDescent="0.8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22.5" customHeight="1" x14ac:dyDescent="0.8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22.5" customHeight="1" x14ac:dyDescent="0.8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22.5" customHeight="1" x14ac:dyDescent="0.8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22.5" customHeight="1" x14ac:dyDescent="0.8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22.5" customHeight="1" x14ac:dyDescent="0.8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22.5" customHeight="1" x14ac:dyDescent="0.8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22.5" customHeight="1" x14ac:dyDescent="0.8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22.5" customHeight="1" x14ac:dyDescent="0.8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22.5" customHeight="1" x14ac:dyDescent="0.8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22.5" customHeight="1" x14ac:dyDescent="0.8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22.5" customHeight="1" x14ac:dyDescent="0.8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22.5" customHeight="1" x14ac:dyDescent="0.8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22.5" customHeight="1" x14ac:dyDescent="0.8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22.5" customHeight="1" x14ac:dyDescent="0.8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22.5" customHeight="1" x14ac:dyDescent="0.8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22.5" customHeight="1" x14ac:dyDescent="0.8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22.5" customHeight="1" x14ac:dyDescent="0.8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22.5" customHeight="1" x14ac:dyDescent="0.8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22.5" customHeight="1" x14ac:dyDescent="0.8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22.5" customHeight="1" x14ac:dyDescent="0.8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22.5" customHeight="1" x14ac:dyDescent="0.8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22.5" customHeight="1" x14ac:dyDescent="0.8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22.5" customHeight="1" x14ac:dyDescent="0.8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22.5" customHeight="1" x14ac:dyDescent="0.8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22.5" customHeight="1" x14ac:dyDescent="0.8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22.5" customHeight="1" x14ac:dyDescent="0.8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22.5" customHeight="1" x14ac:dyDescent="0.8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22.5" customHeight="1" x14ac:dyDescent="0.8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22.5" customHeight="1" x14ac:dyDescent="0.8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22.5" customHeight="1" x14ac:dyDescent="0.8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22.5" customHeight="1" x14ac:dyDescent="0.8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22.5" customHeight="1" x14ac:dyDescent="0.8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22.5" customHeight="1" x14ac:dyDescent="0.8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22.5" customHeight="1" x14ac:dyDescent="0.8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22.5" customHeight="1" x14ac:dyDescent="0.8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22.5" customHeight="1" x14ac:dyDescent="0.8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22.5" customHeight="1" x14ac:dyDescent="0.8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22.5" customHeight="1" x14ac:dyDescent="0.8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22.5" customHeight="1" x14ac:dyDescent="0.8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22.5" customHeight="1" x14ac:dyDescent="0.8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22.5" customHeight="1" x14ac:dyDescent="0.8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22.5" customHeight="1" x14ac:dyDescent="0.8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22.5" customHeight="1" x14ac:dyDescent="0.8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22.5" customHeight="1" x14ac:dyDescent="0.8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22.5" customHeight="1" x14ac:dyDescent="0.8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22.5" customHeight="1" x14ac:dyDescent="0.8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22.5" customHeight="1" x14ac:dyDescent="0.8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22.5" customHeight="1" x14ac:dyDescent="0.8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22.5" customHeight="1" x14ac:dyDescent="0.8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22.5" customHeight="1" x14ac:dyDescent="0.8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22.5" customHeight="1" x14ac:dyDescent="0.8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22.5" customHeight="1" x14ac:dyDescent="0.8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22.5" customHeight="1" x14ac:dyDescent="0.8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22.5" customHeight="1" x14ac:dyDescent="0.8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22.5" customHeight="1" x14ac:dyDescent="0.8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22.5" customHeight="1" x14ac:dyDescent="0.8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22.5" customHeight="1" x14ac:dyDescent="0.8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22.5" customHeight="1" x14ac:dyDescent="0.8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22.5" customHeight="1" x14ac:dyDescent="0.8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22.5" customHeight="1" x14ac:dyDescent="0.8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22.5" customHeight="1" x14ac:dyDescent="0.8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22.5" customHeight="1" x14ac:dyDescent="0.8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22.5" customHeight="1" x14ac:dyDescent="0.8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22.5" customHeight="1" x14ac:dyDescent="0.8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22.5" customHeight="1" x14ac:dyDescent="0.8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22.5" customHeight="1" x14ac:dyDescent="0.8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22.5" customHeight="1" x14ac:dyDescent="0.8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22.5" customHeight="1" x14ac:dyDescent="0.8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22.5" customHeight="1" x14ac:dyDescent="0.8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22.5" customHeight="1" x14ac:dyDescent="0.8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22.5" customHeight="1" x14ac:dyDescent="0.8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22.5" customHeight="1" x14ac:dyDescent="0.8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22.5" customHeight="1" x14ac:dyDescent="0.8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22.5" customHeight="1" x14ac:dyDescent="0.8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22.5" customHeight="1" x14ac:dyDescent="0.8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22.5" customHeight="1" x14ac:dyDescent="0.8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22.5" customHeight="1" x14ac:dyDescent="0.8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22.5" customHeight="1" x14ac:dyDescent="0.8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22.5" customHeight="1" x14ac:dyDescent="0.8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22.5" customHeight="1" x14ac:dyDescent="0.8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22.5" customHeight="1" x14ac:dyDescent="0.8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22.5" customHeight="1" x14ac:dyDescent="0.8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22.5" customHeight="1" x14ac:dyDescent="0.8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22.5" customHeight="1" x14ac:dyDescent="0.8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22.5" customHeight="1" x14ac:dyDescent="0.8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22.5" customHeight="1" x14ac:dyDescent="0.8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22.5" customHeight="1" x14ac:dyDescent="0.8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22.5" customHeight="1" x14ac:dyDescent="0.8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22.5" customHeight="1" x14ac:dyDescent="0.8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22.5" customHeight="1" x14ac:dyDescent="0.8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22.5" customHeight="1" x14ac:dyDescent="0.8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22.5" customHeight="1" x14ac:dyDescent="0.8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22.5" customHeight="1" x14ac:dyDescent="0.8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22.5" customHeight="1" x14ac:dyDescent="0.8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22.5" customHeight="1" x14ac:dyDescent="0.8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22.5" customHeight="1" x14ac:dyDescent="0.8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22.5" customHeight="1" x14ac:dyDescent="0.8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22.5" customHeight="1" x14ac:dyDescent="0.8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22.5" customHeight="1" x14ac:dyDescent="0.8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22.5" customHeight="1" x14ac:dyDescent="0.8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22.5" customHeight="1" x14ac:dyDescent="0.8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22.5" customHeight="1" x14ac:dyDescent="0.8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22.5" customHeight="1" x14ac:dyDescent="0.8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22.5" customHeight="1" x14ac:dyDescent="0.8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22.5" customHeight="1" x14ac:dyDescent="0.8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22.5" customHeight="1" x14ac:dyDescent="0.8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22.5" customHeight="1" x14ac:dyDescent="0.8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22.5" customHeight="1" x14ac:dyDescent="0.8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22.5" customHeight="1" x14ac:dyDescent="0.8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22.5" customHeight="1" x14ac:dyDescent="0.8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22.5" customHeight="1" x14ac:dyDescent="0.8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22.5" customHeight="1" x14ac:dyDescent="0.8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22.5" customHeight="1" x14ac:dyDescent="0.8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22.5" customHeight="1" x14ac:dyDescent="0.8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22.5" customHeight="1" x14ac:dyDescent="0.8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22.5" customHeight="1" x14ac:dyDescent="0.8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22.5" customHeight="1" x14ac:dyDescent="0.8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22.5" customHeight="1" x14ac:dyDescent="0.8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22.5" customHeight="1" x14ac:dyDescent="0.8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22.5" customHeight="1" x14ac:dyDescent="0.8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22.5" customHeight="1" x14ac:dyDescent="0.8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22.5" customHeight="1" x14ac:dyDescent="0.8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22.5" customHeight="1" x14ac:dyDescent="0.8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22.5" customHeight="1" x14ac:dyDescent="0.8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22.5" customHeight="1" x14ac:dyDescent="0.8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22.5" customHeight="1" x14ac:dyDescent="0.8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22.5" customHeight="1" x14ac:dyDescent="0.8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22.5" customHeight="1" x14ac:dyDescent="0.8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22.5" customHeight="1" x14ac:dyDescent="0.8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22.5" customHeight="1" x14ac:dyDescent="0.8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22.5" customHeight="1" x14ac:dyDescent="0.8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22.5" customHeight="1" x14ac:dyDescent="0.8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22.5" customHeight="1" x14ac:dyDescent="0.8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22.5" customHeight="1" x14ac:dyDescent="0.8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22.5" customHeight="1" x14ac:dyDescent="0.8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22.5" customHeight="1" x14ac:dyDescent="0.8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22.5" customHeight="1" x14ac:dyDescent="0.8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22.5" customHeight="1" x14ac:dyDescent="0.8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22.5" customHeight="1" x14ac:dyDescent="0.8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22.5" customHeight="1" x14ac:dyDescent="0.8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22.5" customHeight="1" x14ac:dyDescent="0.8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22.5" customHeight="1" x14ac:dyDescent="0.8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22.5" customHeight="1" x14ac:dyDescent="0.8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22.5" customHeight="1" x14ac:dyDescent="0.8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22.5" customHeight="1" x14ac:dyDescent="0.8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22.5" customHeight="1" x14ac:dyDescent="0.8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22.5" customHeight="1" x14ac:dyDescent="0.8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22.5" customHeight="1" x14ac:dyDescent="0.8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22.5" customHeight="1" x14ac:dyDescent="0.8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22.5" customHeight="1" x14ac:dyDescent="0.8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22.5" customHeight="1" x14ac:dyDescent="0.8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22.5" customHeight="1" x14ac:dyDescent="0.8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22.5" customHeight="1" x14ac:dyDescent="0.8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22.5" customHeight="1" x14ac:dyDescent="0.8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22.5" customHeight="1" x14ac:dyDescent="0.8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22.5" customHeight="1" x14ac:dyDescent="0.8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22.5" customHeight="1" x14ac:dyDescent="0.8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22.5" customHeight="1" x14ac:dyDescent="0.8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22.5" customHeight="1" x14ac:dyDescent="0.8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22.5" customHeight="1" x14ac:dyDescent="0.8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22.5" customHeight="1" x14ac:dyDescent="0.8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22.5" customHeight="1" x14ac:dyDescent="0.8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22.5" customHeight="1" x14ac:dyDescent="0.8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22.5" customHeight="1" x14ac:dyDescent="0.8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22.5" customHeight="1" x14ac:dyDescent="0.8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22.5" customHeight="1" x14ac:dyDescent="0.8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22.5" customHeight="1" x14ac:dyDescent="0.8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22.5" customHeight="1" x14ac:dyDescent="0.8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22.5" customHeight="1" x14ac:dyDescent="0.8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22.5" customHeight="1" x14ac:dyDescent="0.8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22.5" customHeight="1" x14ac:dyDescent="0.8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22.5" customHeight="1" x14ac:dyDescent="0.8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22.5" customHeight="1" x14ac:dyDescent="0.8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22.5" customHeight="1" x14ac:dyDescent="0.8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22.5" customHeight="1" x14ac:dyDescent="0.8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22.5" customHeight="1" x14ac:dyDescent="0.8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22.5" customHeight="1" x14ac:dyDescent="0.8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22.5" customHeight="1" x14ac:dyDescent="0.8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22.5" customHeight="1" x14ac:dyDescent="0.8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22.5" customHeight="1" x14ac:dyDescent="0.8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22.5" customHeight="1" x14ac:dyDescent="0.8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22.5" customHeight="1" x14ac:dyDescent="0.8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22.5" customHeight="1" x14ac:dyDescent="0.8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22.5" customHeight="1" x14ac:dyDescent="0.8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22.5" customHeight="1" x14ac:dyDescent="0.8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22.5" customHeight="1" x14ac:dyDescent="0.8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22.5" customHeight="1" x14ac:dyDescent="0.8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22.5" customHeight="1" x14ac:dyDescent="0.8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22.5" customHeight="1" x14ac:dyDescent="0.8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22.5" customHeight="1" x14ac:dyDescent="0.8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22.5" customHeight="1" x14ac:dyDescent="0.8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22.5" customHeight="1" x14ac:dyDescent="0.8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22.5" customHeight="1" x14ac:dyDescent="0.8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22.5" customHeight="1" x14ac:dyDescent="0.8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22.5" customHeight="1" x14ac:dyDescent="0.8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22.5" customHeight="1" x14ac:dyDescent="0.8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22.5" customHeight="1" x14ac:dyDescent="0.8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22.5" customHeight="1" x14ac:dyDescent="0.8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22.5" customHeight="1" x14ac:dyDescent="0.8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22.5" customHeight="1" x14ac:dyDescent="0.8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22.5" customHeight="1" x14ac:dyDescent="0.8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22.5" customHeight="1" x14ac:dyDescent="0.8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22.5" customHeight="1" x14ac:dyDescent="0.8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22.5" customHeight="1" x14ac:dyDescent="0.8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22.5" customHeight="1" x14ac:dyDescent="0.8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22.5" customHeight="1" x14ac:dyDescent="0.8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22.5" customHeight="1" x14ac:dyDescent="0.8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22.5" customHeight="1" x14ac:dyDescent="0.8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22.5" customHeight="1" x14ac:dyDescent="0.8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22.5" customHeight="1" x14ac:dyDescent="0.8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22.5" customHeight="1" x14ac:dyDescent="0.8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22.5" customHeight="1" x14ac:dyDescent="0.8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22.5" customHeight="1" x14ac:dyDescent="0.8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22.5" customHeight="1" x14ac:dyDescent="0.8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22.5" customHeight="1" x14ac:dyDescent="0.8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22.5" customHeight="1" x14ac:dyDescent="0.8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22.5" customHeight="1" x14ac:dyDescent="0.8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22.5" customHeight="1" x14ac:dyDescent="0.8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22.5" customHeight="1" x14ac:dyDescent="0.8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22.5" customHeight="1" x14ac:dyDescent="0.8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22.5" customHeight="1" x14ac:dyDescent="0.8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22.5" customHeight="1" x14ac:dyDescent="0.8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22.5" customHeight="1" x14ac:dyDescent="0.8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22.5" customHeight="1" x14ac:dyDescent="0.8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22.5" customHeight="1" x14ac:dyDescent="0.8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22.5" customHeight="1" x14ac:dyDescent="0.8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22.5" customHeight="1" x14ac:dyDescent="0.8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22.5" customHeight="1" x14ac:dyDescent="0.8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22.5" customHeight="1" x14ac:dyDescent="0.8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22.5" customHeight="1" x14ac:dyDescent="0.8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22.5" customHeight="1" x14ac:dyDescent="0.8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22.5" customHeight="1" x14ac:dyDescent="0.8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22.5" customHeight="1" x14ac:dyDescent="0.8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22.5" customHeight="1" x14ac:dyDescent="0.8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22.5" customHeight="1" x14ac:dyDescent="0.8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22.5" customHeight="1" x14ac:dyDescent="0.8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22.5" customHeight="1" x14ac:dyDescent="0.8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22.5" customHeight="1" x14ac:dyDescent="0.8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22.5" customHeight="1" x14ac:dyDescent="0.8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22.5" customHeight="1" x14ac:dyDescent="0.8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22.5" customHeight="1" x14ac:dyDescent="0.8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22.5" customHeight="1" x14ac:dyDescent="0.8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22.5" customHeight="1" x14ac:dyDescent="0.8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22.5" customHeight="1" x14ac:dyDescent="0.8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22.5" customHeight="1" x14ac:dyDescent="0.8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22.5" customHeight="1" x14ac:dyDescent="0.8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22.5" customHeight="1" x14ac:dyDescent="0.8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22.5" customHeight="1" x14ac:dyDescent="0.8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22.5" customHeight="1" x14ac:dyDescent="0.8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22.5" customHeight="1" x14ac:dyDescent="0.8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22.5" customHeight="1" x14ac:dyDescent="0.8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22.5" customHeight="1" x14ac:dyDescent="0.8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22.5" customHeight="1" x14ac:dyDescent="0.8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22.5" customHeight="1" x14ac:dyDescent="0.8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22.5" customHeight="1" x14ac:dyDescent="0.8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22.5" customHeight="1" x14ac:dyDescent="0.8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22.5" customHeight="1" x14ac:dyDescent="0.8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22.5" customHeight="1" x14ac:dyDescent="0.8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22.5" customHeight="1" x14ac:dyDescent="0.8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22.5" customHeight="1" x14ac:dyDescent="0.8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22.5" customHeight="1" x14ac:dyDescent="0.8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22.5" customHeight="1" x14ac:dyDescent="0.8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22.5" customHeight="1" x14ac:dyDescent="0.8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22.5" customHeight="1" x14ac:dyDescent="0.8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22.5" customHeight="1" x14ac:dyDescent="0.8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22.5" customHeight="1" x14ac:dyDescent="0.8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22.5" customHeight="1" x14ac:dyDescent="0.8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22.5" customHeight="1" x14ac:dyDescent="0.8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22.5" customHeight="1" x14ac:dyDescent="0.8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22.5" customHeight="1" x14ac:dyDescent="0.8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22.5" customHeight="1" x14ac:dyDescent="0.8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22.5" customHeight="1" x14ac:dyDescent="0.8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22.5" customHeight="1" x14ac:dyDescent="0.8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22.5" customHeight="1" x14ac:dyDescent="0.8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22.5" customHeight="1" x14ac:dyDescent="0.8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22.5" customHeight="1" x14ac:dyDescent="0.8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22.5" customHeight="1" x14ac:dyDescent="0.8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22.5" customHeight="1" x14ac:dyDescent="0.8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22.5" customHeight="1" x14ac:dyDescent="0.8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22.5" customHeight="1" x14ac:dyDescent="0.8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22.5" customHeight="1" x14ac:dyDescent="0.8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22.5" customHeight="1" x14ac:dyDescent="0.8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22.5" customHeight="1" x14ac:dyDescent="0.8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22.5" customHeight="1" x14ac:dyDescent="0.8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22.5" customHeight="1" x14ac:dyDescent="0.8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22.5" customHeight="1" x14ac:dyDescent="0.8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22.5" customHeight="1" x14ac:dyDescent="0.8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22.5" customHeight="1" x14ac:dyDescent="0.8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22.5" customHeight="1" x14ac:dyDescent="0.8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22.5" customHeight="1" x14ac:dyDescent="0.8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22.5" customHeight="1" x14ac:dyDescent="0.8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22.5" customHeight="1" x14ac:dyDescent="0.8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22.5" customHeight="1" x14ac:dyDescent="0.8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22.5" customHeight="1" x14ac:dyDescent="0.8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22.5" customHeight="1" x14ac:dyDescent="0.8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22.5" customHeight="1" x14ac:dyDescent="0.8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22.5" customHeight="1" x14ac:dyDescent="0.8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22.5" customHeight="1" x14ac:dyDescent="0.8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22.5" customHeight="1" x14ac:dyDescent="0.8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22.5" customHeight="1" x14ac:dyDescent="0.8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22.5" customHeight="1" x14ac:dyDescent="0.8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22.5" customHeight="1" x14ac:dyDescent="0.8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22.5" customHeight="1" x14ac:dyDescent="0.8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22.5" customHeight="1" x14ac:dyDescent="0.8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22.5" customHeight="1" x14ac:dyDescent="0.8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22.5" customHeight="1" x14ac:dyDescent="0.8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22.5" customHeight="1" x14ac:dyDescent="0.8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22.5" customHeight="1" x14ac:dyDescent="0.8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22.5" customHeight="1" x14ac:dyDescent="0.8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22.5" customHeight="1" x14ac:dyDescent="0.8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22.5" customHeight="1" x14ac:dyDescent="0.8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22.5" customHeight="1" x14ac:dyDescent="0.8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22.5" customHeight="1" x14ac:dyDescent="0.8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22.5" customHeight="1" x14ac:dyDescent="0.8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22.5" customHeight="1" x14ac:dyDescent="0.8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22.5" customHeight="1" x14ac:dyDescent="0.8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22.5" customHeight="1" x14ac:dyDescent="0.8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22.5" customHeight="1" x14ac:dyDescent="0.8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22.5" customHeight="1" x14ac:dyDescent="0.8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22.5" customHeight="1" x14ac:dyDescent="0.8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22.5" customHeight="1" x14ac:dyDescent="0.8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22.5" customHeight="1" x14ac:dyDescent="0.8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22.5" customHeight="1" x14ac:dyDescent="0.8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22.5" customHeight="1" x14ac:dyDescent="0.8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22.5" customHeight="1" x14ac:dyDescent="0.8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22.5" customHeight="1" x14ac:dyDescent="0.8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22.5" customHeight="1" x14ac:dyDescent="0.8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22.5" customHeight="1" x14ac:dyDescent="0.8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22.5" customHeight="1" x14ac:dyDescent="0.8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22.5" customHeight="1" x14ac:dyDescent="0.8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22.5" customHeight="1" x14ac:dyDescent="0.8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22.5" customHeight="1" x14ac:dyDescent="0.8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22.5" customHeight="1" x14ac:dyDescent="0.8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22.5" customHeight="1" x14ac:dyDescent="0.8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22.5" customHeight="1" x14ac:dyDescent="0.8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22.5" customHeight="1" x14ac:dyDescent="0.8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22.5" customHeight="1" x14ac:dyDescent="0.8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22.5" customHeight="1" x14ac:dyDescent="0.8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22.5" customHeight="1" x14ac:dyDescent="0.8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22.5" customHeight="1" x14ac:dyDescent="0.8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22.5" customHeight="1" x14ac:dyDescent="0.8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22.5" customHeight="1" x14ac:dyDescent="0.8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22.5" customHeight="1" x14ac:dyDescent="0.8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22.5" customHeight="1" x14ac:dyDescent="0.8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22.5" customHeight="1" x14ac:dyDescent="0.8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22.5" customHeight="1" x14ac:dyDescent="0.8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22.5" customHeight="1" x14ac:dyDescent="0.8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22.5" customHeight="1" x14ac:dyDescent="0.8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22.5" customHeight="1" x14ac:dyDescent="0.8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22.5" customHeight="1" x14ac:dyDescent="0.8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22.5" customHeight="1" x14ac:dyDescent="0.8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22.5" customHeight="1" x14ac:dyDescent="0.8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22.5" customHeight="1" x14ac:dyDescent="0.8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22.5" customHeight="1" x14ac:dyDescent="0.8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22.5" customHeight="1" x14ac:dyDescent="0.8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22.5" customHeight="1" x14ac:dyDescent="0.8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22.5" customHeight="1" x14ac:dyDescent="0.8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22.5" customHeight="1" x14ac:dyDescent="0.8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22.5" customHeight="1" x14ac:dyDescent="0.8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22.5" customHeight="1" x14ac:dyDescent="0.8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22.5" customHeight="1" x14ac:dyDescent="0.8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22.5" customHeight="1" x14ac:dyDescent="0.8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22.5" customHeight="1" x14ac:dyDescent="0.8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22.5" customHeight="1" x14ac:dyDescent="0.8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22.5" customHeight="1" x14ac:dyDescent="0.8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22.5" customHeight="1" x14ac:dyDescent="0.8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22.5" customHeight="1" x14ac:dyDescent="0.8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22.5" customHeight="1" x14ac:dyDescent="0.8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22.5" customHeight="1" x14ac:dyDescent="0.8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22.5" customHeight="1" x14ac:dyDescent="0.8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22.5" customHeight="1" x14ac:dyDescent="0.8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22.5" customHeight="1" x14ac:dyDescent="0.8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22.5" customHeight="1" x14ac:dyDescent="0.8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22.5" customHeight="1" x14ac:dyDescent="0.8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22.5" customHeight="1" x14ac:dyDescent="0.8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22.5" customHeight="1" x14ac:dyDescent="0.8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22.5" customHeight="1" x14ac:dyDescent="0.8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22.5" customHeight="1" x14ac:dyDescent="0.8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22.5" customHeight="1" x14ac:dyDescent="0.8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22.5" customHeight="1" x14ac:dyDescent="0.8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22.5" customHeight="1" x14ac:dyDescent="0.8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22.5" customHeight="1" x14ac:dyDescent="0.8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22.5" customHeight="1" x14ac:dyDescent="0.8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22.5" customHeight="1" x14ac:dyDescent="0.8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22.5" customHeight="1" x14ac:dyDescent="0.8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22.5" customHeight="1" x14ac:dyDescent="0.8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22.5" customHeight="1" x14ac:dyDescent="0.8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22.5" customHeight="1" x14ac:dyDescent="0.8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22.5" customHeight="1" x14ac:dyDescent="0.8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22.5" customHeight="1" x14ac:dyDescent="0.8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22.5" customHeight="1" x14ac:dyDescent="0.8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22.5" customHeight="1" x14ac:dyDescent="0.8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22.5" customHeight="1" x14ac:dyDescent="0.8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22.5" customHeight="1" x14ac:dyDescent="0.8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22.5" customHeight="1" x14ac:dyDescent="0.8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22.5" customHeight="1" x14ac:dyDescent="0.8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22.5" customHeight="1" x14ac:dyDescent="0.8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22.5" customHeight="1" x14ac:dyDescent="0.8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22.5" customHeight="1" x14ac:dyDescent="0.8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22.5" customHeight="1" x14ac:dyDescent="0.8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22.5" customHeight="1" x14ac:dyDescent="0.8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22.5" customHeight="1" x14ac:dyDescent="0.8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22.5" customHeight="1" x14ac:dyDescent="0.8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22.5" customHeight="1" x14ac:dyDescent="0.8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22.5" customHeight="1" x14ac:dyDescent="0.8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22.5" customHeight="1" x14ac:dyDescent="0.8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22.5" customHeight="1" x14ac:dyDescent="0.8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22.5" customHeight="1" x14ac:dyDescent="0.8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22.5" customHeight="1" x14ac:dyDescent="0.8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22.5" customHeight="1" x14ac:dyDescent="0.8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22.5" customHeight="1" x14ac:dyDescent="0.8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22.5" customHeight="1" x14ac:dyDescent="0.8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22.5" customHeight="1" x14ac:dyDescent="0.8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22.5" customHeight="1" x14ac:dyDescent="0.8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22.5" customHeight="1" x14ac:dyDescent="0.8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22.5" customHeight="1" x14ac:dyDescent="0.8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22.5" customHeight="1" x14ac:dyDescent="0.8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22.5" customHeight="1" x14ac:dyDescent="0.8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22.5" customHeight="1" x14ac:dyDescent="0.8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22.5" customHeight="1" x14ac:dyDescent="0.8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22.5" customHeight="1" x14ac:dyDescent="0.8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22.5" customHeight="1" x14ac:dyDescent="0.8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22.5" customHeight="1" x14ac:dyDescent="0.8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22.5" customHeight="1" x14ac:dyDescent="0.8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22.5" customHeight="1" x14ac:dyDescent="0.8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22.5" customHeight="1" x14ac:dyDescent="0.8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22.5" customHeight="1" x14ac:dyDescent="0.8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22.5" customHeight="1" x14ac:dyDescent="0.8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22.5" customHeight="1" x14ac:dyDescent="0.8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22.5" customHeight="1" x14ac:dyDescent="0.8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22.5" customHeight="1" x14ac:dyDescent="0.8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22.5" customHeight="1" x14ac:dyDescent="0.8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22.5" customHeight="1" x14ac:dyDescent="0.8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22.5" customHeight="1" x14ac:dyDescent="0.8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22.5" customHeight="1" x14ac:dyDescent="0.8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22.5" customHeight="1" x14ac:dyDescent="0.8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22.5" customHeight="1" x14ac:dyDescent="0.8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22.5" customHeight="1" x14ac:dyDescent="0.8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22.5" customHeight="1" x14ac:dyDescent="0.8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22.5" customHeight="1" x14ac:dyDescent="0.8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22.5" customHeight="1" x14ac:dyDescent="0.8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22.5" customHeight="1" x14ac:dyDescent="0.8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22.5" customHeight="1" x14ac:dyDescent="0.8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22.5" customHeight="1" x14ac:dyDescent="0.8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22.5" customHeight="1" x14ac:dyDescent="0.8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22.5" customHeight="1" x14ac:dyDescent="0.8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22.5" customHeight="1" x14ac:dyDescent="0.8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22.5" customHeight="1" x14ac:dyDescent="0.8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22.5" customHeight="1" x14ac:dyDescent="0.8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22.5" customHeight="1" x14ac:dyDescent="0.8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22.5" customHeight="1" x14ac:dyDescent="0.8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22.5" customHeight="1" x14ac:dyDescent="0.8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22.5" customHeight="1" x14ac:dyDescent="0.8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22.5" customHeight="1" x14ac:dyDescent="0.8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22.5" customHeight="1" x14ac:dyDescent="0.8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22.5" customHeight="1" x14ac:dyDescent="0.8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22.5" customHeight="1" x14ac:dyDescent="0.8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22.5" customHeight="1" x14ac:dyDescent="0.8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22.5" customHeight="1" x14ac:dyDescent="0.8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22.5" customHeight="1" x14ac:dyDescent="0.8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22.5" customHeight="1" x14ac:dyDescent="0.8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22.5" customHeight="1" x14ac:dyDescent="0.8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22.5" customHeight="1" x14ac:dyDescent="0.8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22.5" customHeight="1" x14ac:dyDescent="0.8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22.5" customHeight="1" x14ac:dyDescent="0.8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22.5" customHeight="1" x14ac:dyDescent="0.8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22.5" customHeight="1" x14ac:dyDescent="0.8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22.5" customHeight="1" x14ac:dyDescent="0.8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22.5" customHeight="1" x14ac:dyDescent="0.8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22.5" customHeight="1" x14ac:dyDescent="0.8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22.5" customHeight="1" x14ac:dyDescent="0.8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22.5" customHeight="1" x14ac:dyDescent="0.8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22.5" customHeight="1" x14ac:dyDescent="0.8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22.5" customHeight="1" x14ac:dyDescent="0.8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22.5" customHeight="1" x14ac:dyDescent="0.8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22.5" customHeight="1" x14ac:dyDescent="0.8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22.5" customHeight="1" x14ac:dyDescent="0.8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22.5" customHeight="1" x14ac:dyDescent="0.8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22.5" customHeight="1" x14ac:dyDescent="0.8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22.5" customHeight="1" x14ac:dyDescent="0.8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22.5" customHeight="1" x14ac:dyDescent="0.8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22.5" customHeight="1" x14ac:dyDescent="0.8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22.5" customHeight="1" x14ac:dyDescent="0.8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22.5" customHeight="1" x14ac:dyDescent="0.8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22.5" customHeight="1" x14ac:dyDescent="0.8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22.5" customHeight="1" x14ac:dyDescent="0.8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22.5" customHeight="1" x14ac:dyDescent="0.8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22.5" customHeight="1" x14ac:dyDescent="0.8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22.5" customHeight="1" x14ac:dyDescent="0.8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22.5" customHeight="1" x14ac:dyDescent="0.8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22.5" customHeight="1" x14ac:dyDescent="0.8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22.5" customHeight="1" x14ac:dyDescent="0.8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22.5" customHeight="1" x14ac:dyDescent="0.8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22.5" customHeight="1" x14ac:dyDescent="0.8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22.5" customHeight="1" x14ac:dyDescent="0.8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22.5" customHeight="1" x14ac:dyDescent="0.8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22.5" customHeight="1" x14ac:dyDescent="0.8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22.5" customHeight="1" x14ac:dyDescent="0.8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22.5" customHeight="1" x14ac:dyDescent="0.8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22.5" customHeight="1" x14ac:dyDescent="0.8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22.5" customHeight="1" x14ac:dyDescent="0.8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22.5" customHeight="1" x14ac:dyDescent="0.8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22.5" customHeight="1" x14ac:dyDescent="0.8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22.5" customHeight="1" x14ac:dyDescent="0.8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22.5" customHeight="1" x14ac:dyDescent="0.8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22.5" customHeight="1" x14ac:dyDescent="0.8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22.5" customHeight="1" x14ac:dyDescent="0.8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22.5" customHeight="1" x14ac:dyDescent="0.8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22.5" customHeight="1" x14ac:dyDescent="0.8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22.5" customHeight="1" x14ac:dyDescent="0.8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22.5" customHeight="1" x14ac:dyDescent="0.8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22.5" customHeight="1" x14ac:dyDescent="0.8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22.5" customHeight="1" x14ac:dyDescent="0.8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22.5" customHeight="1" x14ac:dyDescent="0.8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22.5" customHeight="1" x14ac:dyDescent="0.8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22.5" customHeight="1" x14ac:dyDescent="0.8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22.5" customHeight="1" x14ac:dyDescent="0.8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22.5" customHeight="1" x14ac:dyDescent="0.8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22.5" customHeight="1" x14ac:dyDescent="0.8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22.5" customHeight="1" x14ac:dyDescent="0.8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22.5" customHeight="1" x14ac:dyDescent="0.8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22.5" customHeight="1" x14ac:dyDescent="0.8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22.5" customHeight="1" x14ac:dyDescent="0.8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22.5" customHeight="1" x14ac:dyDescent="0.8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22.5" customHeight="1" x14ac:dyDescent="0.8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22.5" customHeight="1" x14ac:dyDescent="0.8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22.5" customHeight="1" x14ac:dyDescent="0.8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22.5" customHeight="1" x14ac:dyDescent="0.8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22.5" customHeight="1" x14ac:dyDescent="0.8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22.5" customHeight="1" x14ac:dyDescent="0.8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22.5" customHeight="1" x14ac:dyDescent="0.8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22.5" customHeight="1" x14ac:dyDescent="0.8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22.5" customHeight="1" x14ac:dyDescent="0.8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22.5" customHeight="1" x14ac:dyDescent="0.8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22.5" customHeight="1" x14ac:dyDescent="0.8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22.5" customHeight="1" x14ac:dyDescent="0.8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22.5" customHeight="1" x14ac:dyDescent="0.8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22.5" customHeight="1" x14ac:dyDescent="0.8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22.5" customHeight="1" x14ac:dyDescent="0.8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22.5" customHeight="1" x14ac:dyDescent="0.8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22.5" customHeight="1" x14ac:dyDescent="0.8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22.5" customHeight="1" x14ac:dyDescent="0.8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22.5" customHeight="1" x14ac:dyDescent="0.8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22.5" customHeight="1" x14ac:dyDescent="0.8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22.5" customHeight="1" x14ac:dyDescent="0.8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22.5" customHeight="1" x14ac:dyDescent="0.8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22.5" customHeight="1" x14ac:dyDescent="0.8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22.5" customHeight="1" x14ac:dyDescent="0.8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22.5" customHeight="1" x14ac:dyDescent="0.8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22.5" customHeight="1" x14ac:dyDescent="0.8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22.5" customHeight="1" x14ac:dyDescent="0.8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22.5" customHeight="1" x14ac:dyDescent="0.8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22.5" customHeight="1" x14ac:dyDescent="0.8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22.5" customHeight="1" x14ac:dyDescent="0.8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22.5" customHeight="1" x14ac:dyDescent="0.8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22.5" customHeight="1" x14ac:dyDescent="0.8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22.5" customHeight="1" x14ac:dyDescent="0.8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22.5" customHeight="1" x14ac:dyDescent="0.8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22.5" customHeight="1" x14ac:dyDescent="0.8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22.5" customHeight="1" x14ac:dyDescent="0.8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22.5" customHeight="1" x14ac:dyDescent="0.8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22.5" customHeight="1" x14ac:dyDescent="0.8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22.5" customHeight="1" x14ac:dyDescent="0.8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22.5" customHeight="1" x14ac:dyDescent="0.8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22.5" customHeight="1" x14ac:dyDescent="0.8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22.5" customHeight="1" x14ac:dyDescent="0.8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22.5" customHeight="1" x14ac:dyDescent="0.8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22.5" customHeight="1" x14ac:dyDescent="0.8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22.5" customHeight="1" x14ac:dyDescent="0.8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22.5" customHeight="1" x14ac:dyDescent="0.8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22.5" customHeight="1" x14ac:dyDescent="0.8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22.5" customHeight="1" x14ac:dyDescent="0.8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22.5" customHeight="1" x14ac:dyDescent="0.8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22.5" customHeight="1" x14ac:dyDescent="0.8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22.5" customHeight="1" x14ac:dyDescent="0.8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22.5" customHeight="1" x14ac:dyDescent="0.8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22.5" customHeight="1" x14ac:dyDescent="0.8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22.5" customHeight="1" x14ac:dyDescent="0.8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22.5" customHeight="1" x14ac:dyDescent="0.8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22.5" customHeight="1" x14ac:dyDescent="0.8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22.5" customHeight="1" x14ac:dyDescent="0.8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22.5" customHeight="1" x14ac:dyDescent="0.8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22.5" customHeight="1" x14ac:dyDescent="0.8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22.5" customHeight="1" x14ac:dyDescent="0.8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22.5" customHeight="1" x14ac:dyDescent="0.8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22.5" customHeight="1" x14ac:dyDescent="0.8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22.5" customHeight="1" x14ac:dyDescent="0.8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22.5" customHeight="1" x14ac:dyDescent="0.8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22.5" customHeight="1" x14ac:dyDescent="0.8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22.5" customHeight="1" x14ac:dyDescent="0.8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22.5" customHeight="1" x14ac:dyDescent="0.8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22.5" customHeight="1" x14ac:dyDescent="0.8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22.5" customHeight="1" x14ac:dyDescent="0.8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22.5" customHeight="1" x14ac:dyDescent="0.8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22.5" customHeight="1" x14ac:dyDescent="0.8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22.5" customHeight="1" x14ac:dyDescent="0.8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22.5" customHeight="1" x14ac:dyDescent="0.8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22.5" customHeight="1" x14ac:dyDescent="0.8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22.5" customHeight="1" x14ac:dyDescent="0.8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22.5" customHeight="1" x14ac:dyDescent="0.8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22.5" customHeight="1" x14ac:dyDescent="0.8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22.5" customHeight="1" x14ac:dyDescent="0.8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22.5" customHeight="1" x14ac:dyDescent="0.8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22.5" customHeight="1" x14ac:dyDescent="0.8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22.5" customHeight="1" x14ac:dyDescent="0.8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22.5" customHeight="1" x14ac:dyDescent="0.8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22.5" customHeight="1" x14ac:dyDescent="0.8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22.5" customHeight="1" x14ac:dyDescent="0.8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22.5" customHeight="1" x14ac:dyDescent="0.8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22.5" customHeight="1" x14ac:dyDescent="0.8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22.5" customHeight="1" x14ac:dyDescent="0.8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22.5" customHeight="1" x14ac:dyDescent="0.8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22.5" customHeight="1" x14ac:dyDescent="0.8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22.5" customHeight="1" x14ac:dyDescent="0.8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22.5" customHeight="1" x14ac:dyDescent="0.8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22.5" customHeight="1" x14ac:dyDescent="0.8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22.5" customHeight="1" x14ac:dyDescent="0.8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22.5" customHeight="1" x14ac:dyDescent="0.8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22.5" customHeight="1" x14ac:dyDescent="0.8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22.5" customHeight="1" x14ac:dyDescent="0.8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22.5" customHeight="1" x14ac:dyDescent="0.8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22.5" customHeight="1" x14ac:dyDescent="0.8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22.5" customHeight="1" x14ac:dyDescent="0.8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22.5" customHeight="1" x14ac:dyDescent="0.8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22.5" customHeight="1" x14ac:dyDescent="0.8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22.5" customHeight="1" x14ac:dyDescent="0.8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22.5" customHeight="1" x14ac:dyDescent="0.8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22.5" customHeight="1" x14ac:dyDescent="0.8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22.5" customHeight="1" x14ac:dyDescent="0.8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22.5" customHeight="1" x14ac:dyDescent="0.8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22.5" customHeight="1" x14ac:dyDescent="0.8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22.5" customHeight="1" x14ac:dyDescent="0.8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22.5" customHeight="1" x14ac:dyDescent="0.8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22.5" customHeight="1" x14ac:dyDescent="0.8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22.5" customHeight="1" x14ac:dyDescent="0.8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22.5" customHeight="1" x14ac:dyDescent="0.8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22.5" customHeight="1" x14ac:dyDescent="0.8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22.5" customHeight="1" x14ac:dyDescent="0.8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22.5" customHeight="1" x14ac:dyDescent="0.8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22.5" customHeight="1" x14ac:dyDescent="0.8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22.5" customHeight="1" x14ac:dyDescent="0.8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22.5" customHeight="1" x14ac:dyDescent="0.8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22.5" customHeight="1" x14ac:dyDescent="0.8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22.5" customHeight="1" x14ac:dyDescent="0.8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22.5" customHeight="1" x14ac:dyDescent="0.8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22.5" customHeight="1" x14ac:dyDescent="0.8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22.5" customHeight="1" x14ac:dyDescent="0.8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22.5" customHeight="1" x14ac:dyDescent="0.8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22.5" customHeight="1" x14ac:dyDescent="0.8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22.5" customHeight="1" x14ac:dyDescent="0.8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22.5" customHeight="1" x14ac:dyDescent="0.8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22.5" customHeight="1" x14ac:dyDescent="0.8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22.5" customHeight="1" x14ac:dyDescent="0.8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22.5" customHeight="1" x14ac:dyDescent="0.8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22.5" customHeight="1" x14ac:dyDescent="0.8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22.5" customHeight="1" x14ac:dyDescent="0.8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22.5" customHeight="1" x14ac:dyDescent="0.8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22.5" customHeight="1" x14ac:dyDescent="0.8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22.5" customHeight="1" x14ac:dyDescent="0.8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22.5" customHeight="1" x14ac:dyDescent="0.8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22.5" customHeight="1" x14ac:dyDescent="0.8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22.5" customHeight="1" x14ac:dyDescent="0.8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22.5" customHeight="1" x14ac:dyDescent="0.8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22.5" customHeight="1" x14ac:dyDescent="0.8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22.5" customHeight="1" x14ac:dyDescent="0.8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22.5" customHeight="1" x14ac:dyDescent="0.8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22.5" customHeight="1" x14ac:dyDescent="0.8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22.5" customHeight="1" x14ac:dyDescent="0.8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22.5" customHeight="1" x14ac:dyDescent="0.8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22.5" customHeight="1" x14ac:dyDescent="0.8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22.5" customHeight="1" x14ac:dyDescent="0.8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22.5" customHeight="1" x14ac:dyDescent="0.8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22.5" customHeight="1" x14ac:dyDescent="0.8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22.5" customHeight="1" x14ac:dyDescent="0.8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22.5" customHeight="1" x14ac:dyDescent="0.8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22.5" customHeight="1" x14ac:dyDescent="0.8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22.5" customHeight="1" x14ac:dyDescent="0.8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22.5" customHeight="1" x14ac:dyDescent="0.8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22.5" customHeight="1" x14ac:dyDescent="0.8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22.5" customHeight="1" x14ac:dyDescent="0.8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22.5" customHeight="1" x14ac:dyDescent="0.8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22.5" customHeight="1" x14ac:dyDescent="0.8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22.5" customHeight="1" x14ac:dyDescent="0.8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22.5" customHeight="1" x14ac:dyDescent="0.8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22.5" customHeight="1" x14ac:dyDescent="0.8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22.5" customHeight="1" x14ac:dyDescent="0.8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22.5" customHeight="1" x14ac:dyDescent="0.8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22.5" customHeight="1" x14ac:dyDescent="0.8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22.5" customHeight="1" x14ac:dyDescent="0.8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22.5" customHeight="1" x14ac:dyDescent="0.8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22.5" customHeight="1" x14ac:dyDescent="0.8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22.5" customHeight="1" x14ac:dyDescent="0.8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22.5" customHeight="1" x14ac:dyDescent="0.8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22.5" customHeight="1" x14ac:dyDescent="0.8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22.5" customHeight="1" x14ac:dyDescent="0.8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22.5" customHeight="1" x14ac:dyDescent="0.8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22.5" customHeight="1" x14ac:dyDescent="0.8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22.5" customHeight="1" x14ac:dyDescent="0.8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22.5" customHeight="1" x14ac:dyDescent="0.8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22.5" customHeight="1" x14ac:dyDescent="0.8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22.5" customHeight="1" x14ac:dyDescent="0.8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22.5" customHeight="1" x14ac:dyDescent="0.8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22.5" customHeight="1" x14ac:dyDescent="0.8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22.5" customHeight="1" x14ac:dyDescent="0.8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22.5" customHeight="1" x14ac:dyDescent="0.8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22.5" customHeight="1" x14ac:dyDescent="0.8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22.5" customHeight="1" x14ac:dyDescent="0.8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22.5" customHeight="1" x14ac:dyDescent="0.8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22.5" customHeight="1" x14ac:dyDescent="0.8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22.5" customHeight="1" x14ac:dyDescent="0.8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22.5" customHeight="1" x14ac:dyDescent="0.8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22.5" customHeight="1" x14ac:dyDescent="0.8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22.5" customHeight="1" x14ac:dyDescent="0.8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22.5" customHeight="1" x14ac:dyDescent="0.8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22.5" customHeight="1" x14ac:dyDescent="0.8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22.5" customHeight="1" x14ac:dyDescent="0.8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22.5" customHeight="1" x14ac:dyDescent="0.8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22.5" customHeight="1" x14ac:dyDescent="0.8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22.5" customHeight="1" x14ac:dyDescent="0.8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22.5" customHeight="1" x14ac:dyDescent="0.8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22.5" customHeight="1" x14ac:dyDescent="0.8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22.5" customHeight="1" x14ac:dyDescent="0.8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22.5" customHeight="1" x14ac:dyDescent="0.8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22.5" customHeight="1" x14ac:dyDescent="0.8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22.5" customHeight="1" x14ac:dyDescent="0.8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22.5" customHeight="1" x14ac:dyDescent="0.8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22.5" customHeight="1" x14ac:dyDescent="0.8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22.5" customHeight="1" x14ac:dyDescent="0.8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22.5" customHeight="1" x14ac:dyDescent="0.8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22.5" customHeight="1" x14ac:dyDescent="0.8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22.5" customHeight="1" x14ac:dyDescent="0.8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22.5" customHeight="1" x14ac:dyDescent="0.8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22.5" customHeight="1" x14ac:dyDescent="0.8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22.5" customHeight="1" x14ac:dyDescent="0.8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22.5" customHeight="1" x14ac:dyDescent="0.8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22.5" customHeight="1" x14ac:dyDescent="0.8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22.5" customHeight="1" x14ac:dyDescent="0.8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22.5" customHeight="1" x14ac:dyDescent="0.8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22.5" customHeight="1" x14ac:dyDescent="0.8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22.5" customHeight="1" x14ac:dyDescent="0.8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22.5" customHeight="1" x14ac:dyDescent="0.8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22.5" customHeight="1" x14ac:dyDescent="0.8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22.5" customHeight="1" x14ac:dyDescent="0.8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22.5" customHeight="1" x14ac:dyDescent="0.8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22.5" customHeight="1" x14ac:dyDescent="0.8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22.5" customHeight="1" x14ac:dyDescent="0.8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22.5" customHeight="1" x14ac:dyDescent="0.8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22.5" customHeight="1" x14ac:dyDescent="0.8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22.5" customHeight="1" x14ac:dyDescent="0.8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22.5" customHeight="1" x14ac:dyDescent="0.8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22.5" customHeight="1" x14ac:dyDescent="0.8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22.5" customHeight="1" x14ac:dyDescent="0.8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22.5" customHeight="1" x14ac:dyDescent="0.8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22.5" customHeight="1" x14ac:dyDescent="0.8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22.5" customHeight="1" x14ac:dyDescent="0.8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22.5" customHeight="1" x14ac:dyDescent="0.8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22.5" customHeight="1" x14ac:dyDescent="0.8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22.5" customHeight="1" x14ac:dyDescent="0.8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22.5" customHeight="1" x14ac:dyDescent="0.8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22.5" customHeight="1" x14ac:dyDescent="0.8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22.5" customHeight="1" x14ac:dyDescent="0.8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22.5" customHeight="1" x14ac:dyDescent="0.8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22.5" customHeight="1" x14ac:dyDescent="0.8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22.5" customHeight="1" x14ac:dyDescent="0.8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22.5" customHeight="1" x14ac:dyDescent="0.8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22.5" customHeight="1" x14ac:dyDescent="0.8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22.5" customHeight="1" x14ac:dyDescent="0.8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22.5" customHeight="1" x14ac:dyDescent="0.8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22.5" customHeight="1" x14ac:dyDescent="0.8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22.5" customHeight="1" x14ac:dyDescent="0.8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22.5" customHeight="1" x14ac:dyDescent="0.8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22.5" customHeight="1" x14ac:dyDescent="0.8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22.5" customHeight="1" x14ac:dyDescent="0.8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22.5" customHeight="1" x14ac:dyDescent="0.8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22.5" customHeight="1" x14ac:dyDescent="0.8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22.5" customHeight="1" x14ac:dyDescent="0.8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22.5" customHeight="1" x14ac:dyDescent="0.8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22.5" customHeight="1" x14ac:dyDescent="0.8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22.5" customHeight="1" x14ac:dyDescent="0.8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22.5" customHeight="1" x14ac:dyDescent="0.8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22.5" customHeight="1" x14ac:dyDescent="0.8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22.5" customHeight="1" x14ac:dyDescent="0.8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22.5" customHeight="1" x14ac:dyDescent="0.8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22.5" customHeight="1" x14ac:dyDescent="0.8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22.5" customHeight="1" x14ac:dyDescent="0.8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22.5" customHeight="1" x14ac:dyDescent="0.8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22.5" customHeight="1" x14ac:dyDescent="0.8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22.5" customHeight="1" x14ac:dyDescent="0.8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22.5" customHeight="1" x14ac:dyDescent="0.8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22.5" customHeight="1" x14ac:dyDescent="0.8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22.5" customHeight="1" x14ac:dyDescent="0.8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22.5" customHeight="1" x14ac:dyDescent="0.8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22.5" customHeight="1" x14ac:dyDescent="0.8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22.5" customHeight="1" x14ac:dyDescent="0.8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22.5" customHeight="1" x14ac:dyDescent="0.8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22.5" customHeight="1" x14ac:dyDescent="0.8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22.5" customHeight="1" x14ac:dyDescent="0.8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22.5" customHeight="1" x14ac:dyDescent="0.8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22.5" customHeight="1" x14ac:dyDescent="0.8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22.5" customHeight="1" x14ac:dyDescent="0.8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22.5" customHeight="1" x14ac:dyDescent="0.8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22.5" customHeight="1" x14ac:dyDescent="0.8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22.5" customHeight="1" x14ac:dyDescent="0.8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22.5" customHeight="1" x14ac:dyDescent="0.8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22.5" customHeight="1" x14ac:dyDescent="0.8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22.5" customHeight="1" x14ac:dyDescent="0.8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22.5" customHeight="1" x14ac:dyDescent="0.8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22.5" customHeight="1" x14ac:dyDescent="0.8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22.5" customHeight="1" x14ac:dyDescent="0.8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22.5" customHeight="1" x14ac:dyDescent="0.8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22.5" customHeight="1" x14ac:dyDescent="0.8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22.5" customHeight="1" x14ac:dyDescent="0.8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22.5" customHeight="1" x14ac:dyDescent="0.8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22.5" customHeight="1" x14ac:dyDescent="0.8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22.5" customHeight="1" x14ac:dyDescent="0.8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22.5" customHeight="1" x14ac:dyDescent="0.8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22.5" customHeight="1" x14ac:dyDescent="0.8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22.5" customHeight="1" x14ac:dyDescent="0.8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22.5" customHeight="1" x14ac:dyDescent="0.8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22.5" customHeight="1" x14ac:dyDescent="0.8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22.5" customHeight="1" x14ac:dyDescent="0.8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22.5" customHeight="1" x14ac:dyDescent="0.8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22.5" customHeight="1" x14ac:dyDescent="0.8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22.5" customHeight="1" x14ac:dyDescent="0.8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22.5" customHeight="1" x14ac:dyDescent="0.8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22.5" customHeight="1" x14ac:dyDescent="0.8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22.5" customHeight="1" x14ac:dyDescent="0.8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22.5" customHeight="1" x14ac:dyDescent="0.8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22.5" customHeight="1" x14ac:dyDescent="0.8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22.5" customHeight="1" x14ac:dyDescent="0.8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22.5" customHeight="1" x14ac:dyDescent="0.8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22.5" customHeight="1" x14ac:dyDescent="0.8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22.5" customHeight="1" x14ac:dyDescent="0.8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22.5" customHeight="1" x14ac:dyDescent="0.8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22.5" customHeight="1" x14ac:dyDescent="0.8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22.5" customHeight="1" x14ac:dyDescent="0.8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22.5" customHeight="1" x14ac:dyDescent="0.8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22.5" customHeight="1" x14ac:dyDescent="0.8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22.5" customHeight="1" x14ac:dyDescent="0.8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22.5" customHeight="1" x14ac:dyDescent="0.8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22.5" customHeight="1" x14ac:dyDescent="0.8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22.5" customHeight="1" x14ac:dyDescent="0.8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22.5" customHeight="1" x14ac:dyDescent="0.8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22.5" customHeight="1" x14ac:dyDescent="0.8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22.5" customHeight="1" x14ac:dyDescent="0.8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22.5" customHeight="1" x14ac:dyDescent="0.8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22.5" customHeight="1" x14ac:dyDescent="0.8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22.5" customHeight="1" x14ac:dyDescent="0.8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22.5" customHeight="1" x14ac:dyDescent="0.8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22.5" customHeight="1" x14ac:dyDescent="0.8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22.5" customHeight="1" x14ac:dyDescent="0.8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22.5" customHeight="1" x14ac:dyDescent="0.8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22.5" customHeight="1" x14ac:dyDescent="0.8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22.5" customHeight="1" x14ac:dyDescent="0.8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22.5" customHeight="1" x14ac:dyDescent="0.8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22.5" customHeight="1" x14ac:dyDescent="0.8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22.5" customHeight="1" x14ac:dyDescent="0.8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8">
    <mergeCell ref="A14:B14"/>
    <mergeCell ref="A21:H21"/>
    <mergeCell ref="A22:G22"/>
    <mergeCell ref="A1:H1"/>
    <mergeCell ref="A2:H2"/>
    <mergeCell ref="A11:H11"/>
    <mergeCell ref="A12:H12"/>
    <mergeCell ref="A13:H13"/>
  </mergeCells>
  <pageMargins left="0.7" right="0.7" top="0.75" bottom="0.75" header="0" footer="0"/>
  <pageSetup orientation="portrai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00708A"/>
  </sheetPr>
  <dimension ref="A1:Z1000"/>
  <sheetViews>
    <sheetView workbookViewId="0"/>
  </sheetViews>
  <sheetFormatPr defaultColWidth="11.23046875" defaultRowHeight="15" customHeight="1" outlineLevelRow="1" x14ac:dyDescent="0.85"/>
  <cols>
    <col min="1" max="1" width="31.3828125" customWidth="1"/>
    <col min="2" max="20" width="18.61328125" customWidth="1"/>
    <col min="21" max="26" width="9.61328125" customWidth="1"/>
  </cols>
  <sheetData>
    <row r="1" spans="1:26" ht="22.5" customHeight="1" x14ac:dyDescent="0.85">
      <c r="A1" s="354" t="s">
        <v>65</v>
      </c>
      <c r="B1" s="354"/>
      <c r="C1" s="354"/>
      <c r="D1" s="354"/>
      <c r="E1" s="354"/>
      <c r="F1" s="354"/>
      <c r="G1" s="354"/>
      <c r="H1" s="354"/>
      <c r="I1" s="354"/>
      <c r="J1" s="354"/>
      <c r="K1" s="354"/>
      <c r="L1" s="354"/>
      <c r="M1" s="354"/>
      <c r="N1" s="354"/>
      <c r="O1" s="354"/>
      <c r="P1" s="354"/>
      <c r="Q1" s="354"/>
      <c r="R1" s="354"/>
      <c r="S1" s="354"/>
      <c r="T1" s="3"/>
      <c r="U1" s="3"/>
      <c r="V1" s="3"/>
      <c r="W1" s="3"/>
      <c r="X1" s="3"/>
      <c r="Y1" s="3"/>
      <c r="Z1" s="3"/>
    </row>
    <row r="2" spans="1:26" ht="22.5" customHeight="1" x14ac:dyDescent="1.1000000000000001">
      <c r="A2" s="870" t="s">
        <v>393</v>
      </c>
      <c r="B2" s="765"/>
      <c r="C2" s="765"/>
      <c r="D2" s="765"/>
      <c r="E2" s="765"/>
      <c r="F2" s="765"/>
      <c r="G2" s="765"/>
      <c r="H2" s="765"/>
      <c r="I2" s="765"/>
      <c r="J2" s="816"/>
      <c r="K2" s="355"/>
      <c r="L2" s="355"/>
      <c r="M2" s="355"/>
      <c r="N2" s="355"/>
      <c r="O2" s="355"/>
      <c r="P2" s="355"/>
      <c r="Q2" s="355"/>
      <c r="R2" s="355"/>
      <c r="S2" s="356"/>
      <c r="T2" s="3"/>
      <c r="U2" s="3"/>
      <c r="V2" s="3"/>
      <c r="W2" s="3"/>
      <c r="X2" s="3"/>
      <c r="Y2" s="3"/>
      <c r="Z2" s="3"/>
    </row>
    <row r="3" spans="1:26" ht="22.5" hidden="1" customHeight="1" outlineLevel="1" x14ac:dyDescent="1.1000000000000001">
      <c r="A3" s="326" t="s">
        <v>582</v>
      </c>
      <c r="B3" s="357" t="s">
        <v>851</v>
      </c>
      <c r="C3" s="357" t="s">
        <v>852</v>
      </c>
      <c r="D3" s="358" t="s">
        <v>120</v>
      </c>
      <c r="E3" s="326" t="s">
        <v>121</v>
      </c>
      <c r="F3" s="326" t="s">
        <v>122</v>
      </c>
      <c r="G3" s="359"/>
      <c r="H3" s="359"/>
      <c r="I3" s="359"/>
      <c r="J3" s="359"/>
      <c r="K3" s="360"/>
      <c r="L3" s="360"/>
      <c r="M3" s="360"/>
      <c r="N3" s="360"/>
      <c r="O3" s="360"/>
      <c r="P3" s="360"/>
      <c r="Q3" s="360"/>
      <c r="R3" s="360"/>
      <c r="S3" s="360"/>
      <c r="T3" s="3"/>
      <c r="U3" s="3"/>
      <c r="V3" s="3"/>
      <c r="W3" s="3"/>
      <c r="X3" s="3"/>
      <c r="Y3" s="3"/>
      <c r="Z3" s="3"/>
    </row>
    <row r="4" spans="1:26" ht="21.75" hidden="1" customHeight="1" outlineLevel="1" x14ac:dyDescent="1.1000000000000001">
      <c r="A4" s="86" t="s">
        <v>105</v>
      </c>
      <c r="B4" s="150">
        <f t="shared" ref="B4:B8" si="0">SUM(D4:F4)</f>
        <v>1796920.3058892509</v>
      </c>
      <c r="C4" s="258" t="s">
        <v>106</v>
      </c>
      <c r="D4" s="259">
        <f t="shared" ref="D4:D8" si="1">S68</f>
        <v>1789334.2677238872</v>
      </c>
      <c r="E4" s="361">
        <f t="shared" ref="E4:E8" si="2">E128</f>
        <v>7388.038727467545</v>
      </c>
      <c r="F4" s="259">
        <f t="shared" ref="F4:F8" si="3">E136</f>
        <v>197.99943789613022</v>
      </c>
      <c r="G4" s="359"/>
      <c r="H4" s="359"/>
      <c r="I4" s="359"/>
      <c r="J4" s="359"/>
      <c r="K4" s="360"/>
      <c r="L4" s="360"/>
      <c r="M4" s="360"/>
      <c r="N4" s="360"/>
      <c r="O4" s="360"/>
      <c r="P4" s="360"/>
      <c r="Q4" s="360"/>
      <c r="R4" s="360"/>
      <c r="S4" s="360"/>
      <c r="T4" s="3"/>
      <c r="U4" s="3"/>
      <c r="V4" s="3"/>
      <c r="W4" s="3"/>
      <c r="X4" s="3"/>
      <c r="Y4" s="3"/>
      <c r="Z4" s="3"/>
    </row>
    <row r="5" spans="1:26" ht="22.5" hidden="1" customHeight="1" outlineLevel="1" x14ac:dyDescent="0.85">
      <c r="A5" s="89" t="s">
        <v>126</v>
      </c>
      <c r="B5" s="150">
        <f t="shared" si="0"/>
        <v>2369191.1859106682</v>
      </c>
      <c r="C5" s="258">
        <f t="shared" ref="C5:C8" si="4">B5/$B$10</f>
        <v>0.68109909256720291</v>
      </c>
      <c r="D5" s="259">
        <f t="shared" si="1"/>
        <v>2360967.4784859195</v>
      </c>
      <c r="E5" s="362">
        <f t="shared" si="2"/>
        <v>8007.7010438152029</v>
      </c>
      <c r="F5" s="259">
        <f t="shared" si="3"/>
        <v>216.00638093327544</v>
      </c>
      <c r="G5" s="363"/>
      <c r="H5" s="363"/>
      <c r="I5" s="363"/>
      <c r="J5" s="363"/>
      <c r="K5" s="364"/>
      <c r="L5" s="364"/>
      <c r="M5" s="364"/>
      <c r="N5" s="364"/>
      <c r="O5" s="364"/>
      <c r="P5" s="364"/>
      <c r="Q5" s="364"/>
      <c r="R5" s="364"/>
      <c r="S5" s="364"/>
      <c r="T5" s="15"/>
      <c r="U5" s="15"/>
      <c r="V5" s="15"/>
      <c r="W5" s="15"/>
      <c r="X5" s="15"/>
      <c r="Y5" s="15"/>
      <c r="Z5" s="15"/>
    </row>
    <row r="6" spans="1:26" ht="22.5" hidden="1" customHeight="1" outlineLevel="1" x14ac:dyDescent="0.85">
      <c r="A6" s="89" t="s">
        <v>127</v>
      </c>
      <c r="B6" s="150">
        <f t="shared" si="0"/>
        <v>618529.14849979302</v>
      </c>
      <c r="C6" s="258">
        <f t="shared" si="4"/>
        <v>0.17781580662416763</v>
      </c>
      <c r="D6" s="259">
        <f t="shared" si="1"/>
        <v>616620.66545622272</v>
      </c>
      <c r="E6" s="362">
        <f t="shared" si="2"/>
        <v>1857.6409553284582</v>
      </c>
      <c r="F6" s="259">
        <f t="shared" si="3"/>
        <v>50.842088241805953</v>
      </c>
      <c r="G6" s="363"/>
      <c r="H6" s="363"/>
      <c r="I6" s="363"/>
      <c r="J6" s="363"/>
      <c r="K6" s="364"/>
      <c r="L6" s="364"/>
      <c r="M6" s="364"/>
      <c r="N6" s="364"/>
      <c r="O6" s="364"/>
      <c r="P6" s="364"/>
      <c r="Q6" s="364"/>
      <c r="R6" s="364"/>
      <c r="S6" s="364"/>
      <c r="T6" s="15"/>
      <c r="U6" s="15"/>
      <c r="V6" s="15"/>
      <c r="W6" s="15"/>
      <c r="X6" s="15"/>
      <c r="Y6" s="15"/>
      <c r="Z6" s="15"/>
    </row>
    <row r="7" spans="1:26" ht="22.5" hidden="1" customHeight="1" outlineLevel="1" x14ac:dyDescent="0.85">
      <c r="A7" s="89" t="s">
        <v>128</v>
      </c>
      <c r="B7" s="150">
        <f t="shared" si="0"/>
        <v>261301.2616263899</v>
      </c>
      <c r="C7" s="258">
        <f t="shared" si="4"/>
        <v>7.5119329009317864E-2</v>
      </c>
      <c r="D7" s="259">
        <f t="shared" si="1"/>
        <v>261263.02352377659</v>
      </c>
      <c r="E7" s="362">
        <f t="shared" si="2"/>
        <v>36.912056499215289</v>
      </c>
      <c r="F7" s="365">
        <f t="shared" si="3"/>
        <v>1.3260461140893085</v>
      </c>
      <c r="G7" s="363"/>
      <c r="H7" s="363"/>
      <c r="I7" s="363"/>
      <c r="J7" s="363"/>
      <c r="K7" s="364"/>
      <c r="L7" s="364"/>
      <c r="M7" s="364"/>
      <c r="N7" s="364"/>
      <c r="O7" s="364"/>
      <c r="P7" s="364"/>
      <c r="Q7" s="364"/>
      <c r="R7" s="364"/>
      <c r="S7" s="364"/>
      <c r="T7" s="15"/>
      <c r="U7" s="15"/>
      <c r="V7" s="15"/>
      <c r="W7" s="15"/>
      <c r="X7" s="15"/>
      <c r="Y7" s="15"/>
      <c r="Z7" s="15"/>
    </row>
    <row r="8" spans="1:26" ht="22.5" hidden="1" customHeight="1" outlineLevel="1" x14ac:dyDescent="0.85">
      <c r="A8" s="89" t="s">
        <v>129</v>
      </c>
      <c r="B8" s="150">
        <f t="shared" si="0"/>
        <v>229460.77424600761</v>
      </c>
      <c r="C8" s="258">
        <f t="shared" si="4"/>
        <v>6.5965771799311609E-2</v>
      </c>
      <c r="D8" s="259">
        <f t="shared" si="1"/>
        <v>229053.68304265582</v>
      </c>
      <c r="E8" s="362">
        <f t="shared" si="2"/>
        <v>396.28368689658913</v>
      </c>
      <c r="F8" s="259">
        <f t="shared" si="3"/>
        <v>10.807516455223976</v>
      </c>
      <c r="G8" s="363"/>
      <c r="H8" s="363"/>
      <c r="I8" s="363"/>
      <c r="J8" s="363"/>
      <c r="K8" s="364"/>
      <c r="L8" s="364"/>
      <c r="M8" s="364"/>
      <c r="N8" s="364"/>
      <c r="O8" s="364"/>
      <c r="P8" s="364"/>
      <c r="Q8" s="364"/>
      <c r="R8" s="364"/>
      <c r="S8" s="364"/>
      <c r="T8" s="15"/>
      <c r="U8" s="15"/>
      <c r="V8" s="15"/>
      <c r="W8" s="15"/>
      <c r="X8" s="15"/>
      <c r="Y8" s="15"/>
      <c r="Z8" s="15"/>
    </row>
    <row r="9" spans="1:26" ht="22.5" hidden="1" customHeight="1" outlineLevel="1" x14ac:dyDescent="0.85">
      <c r="A9" s="366" t="s">
        <v>590</v>
      </c>
      <c r="B9" s="336">
        <f>B4</f>
        <v>1796920.3058892509</v>
      </c>
      <c r="C9" s="367" t="s">
        <v>106</v>
      </c>
      <c r="D9" s="336">
        <f t="shared" ref="D9:F9" si="5">D4</f>
        <v>1789334.2677238872</v>
      </c>
      <c r="E9" s="336">
        <f t="shared" si="5"/>
        <v>7388.038727467545</v>
      </c>
      <c r="F9" s="336">
        <f t="shared" si="5"/>
        <v>197.99943789613022</v>
      </c>
      <c r="G9" s="363"/>
      <c r="H9" s="363"/>
      <c r="I9" s="363"/>
      <c r="J9" s="363"/>
      <c r="K9" s="364"/>
      <c r="L9" s="364"/>
      <c r="M9" s="364"/>
      <c r="N9" s="364"/>
      <c r="O9" s="364"/>
      <c r="P9" s="364"/>
      <c r="Q9" s="364"/>
      <c r="R9" s="364"/>
      <c r="S9" s="364"/>
      <c r="T9" s="15"/>
      <c r="U9" s="15"/>
      <c r="V9" s="15"/>
      <c r="W9" s="15"/>
      <c r="X9" s="15"/>
      <c r="Y9" s="15"/>
      <c r="Z9" s="15"/>
    </row>
    <row r="10" spans="1:26" ht="22.5" hidden="1" customHeight="1" outlineLevel="1" x14ac:dyDescent="0.85">
      <c r="A10" s="366" t="s">
        <v>111</v>
      </c>
      <c r="B10" s="336">
        <f t="shared" ref="B10:F10" si="6">SUM(B5:B8)</f>
        <v>3478482.3702828586</v>
      </c>
      <c r="C10" s="367">
        <f t="shared" si="6"/>
        <v>1</v>
      </c>
      <c r="D10" s="336">
        <f t="shared" si="6"/>
        <v>3467904.8505085749</v>
      </c>
      <c r="E10" s="336">
        <f t="shared" si="6"/>
        <v>10298.537742539465</v>
      </c>
      <c r="F10" s="336">
        <f t="shared" si="6"/>
        <v>278.9820317443947</v>
      </c>
      <c r="G10" s="368"/>
      <c r="H10" s="368"/>
      <c r="I10" s="368"/>
      <c r="J10" s="368"/>
      <c r="K10" s="369"/>
      <c r="L10" s="369"/>
      <c r="M10" s="369"/>
      <c r="N10" s="369"/>
      <c r="O10" s="369"/>
      <c r="P10" s="369"/>
      <c r="Q10" s="369"/>
      <c r="R10" s="369"/>
      <c r="S10" s="369"/>
      <c r="T10" s="3"/>
      <c r="U10" s="3"/>
      <c r="V10" s="3"/>
      <c r="W10" s="3"/>
      <c r="X10" s="3"/>
      <c r="Y10" s="3"/>
      <c r="Z10" s="3"/>
    </row>
    <row r="11" spans="1:26" ht="22.5" customHeight="1" collapsed="1" x14ac:dyDescent="1.1000000000000001">
      <c r="A11" s="370" t="s">
        <v>591</v>
      </c>
      <c r="B11" s="371"/>
      <c r="C11" s="371"/>
      <c r="D11" s="371"/>
      <c r="E11" s="371"/>
      <c r="F11" s="371"/>
      <c r="G11" s="371"/>
      <c r="H11" s="371"/>
      <c r="I11" s="371"/>
      <c r="J11" s="371"/>
      <c r="K11" s="371"/>
      <c r="L11" s="371"/>
      <c r="M11" s="371"/>
      <c r="N11" s="371"/>
      <c r="O11" s="371"/>
      <c r="P11" s="371"/>
      <c r="Q11" s="371"/>
      <c r="R11" s="371"/>
      <c r="S11" s="372"/>
      <c r="T11" s="3"/>
      <c r="U11" s="3"/>
      <c r="V11" s="3"/>
      <c r="W11" s="3"/>
      <c r="X11" s="3"/>
      <c r="Y11" s="3"/>
      <c r="Z11" s="3"/>
    </row>
    <row r="12" spans="1:26" ht="22.5" hidden="1" customHeight="1" outlineLevel="1" x14ac:dyDescent="0.85">
      <c r="A12" s="869" t="s">
        <v>853</v>
      </c>
      <c r="B12" s="790"/>
      <c r="C12" s="790"/>
      <c r="D12" s="790"/>
      <c r="E12" s="790"/>
      <c r="F12" s="790"/>
      <c r="G12" s="790"/>
      <c r="H12" s="790"/>
      <c r="I12" s="790"/>
      <c r="J12" s="790"/>
      <c r="K12" s="790"/>
      <c r="L12" s="790"/>
      <c r="M12" s="790"/>
      <c r="N12" s="791"/>
      <c r="O12" s="14"/>
      <c r="P12" s="14"/>
      <c r="Q12" s="14"/>
      <c r="R12" s="14"/>
      <c r="S12" s="14"/>
      <c r="T12" s="3"/>
      <c r="U12" s="3"/>
      <c r="V12" s="3"/>
      <c r="W12" s="3"/>
      <c r="X12" s="3"/>
      <c r="Y12" s="3"/>
      <c r="Z12" s="3"/>
    </row>
    <row r="13" spans="1:26" ht="22.5" hidden="1" customHeight="1" outlineLevel="1" x14ac:dyDescent="0.85">
      <c r="A13" s="871" t="s">
        <v>854</v>
      </c>
      <c r="B13" s="790"/>
      <c r="C13" s="790"/>
      <c r="D13" s="790"/>
      <c r="E13" s="790"/>
      <c r="F13" s="790"/>
      <c r="G13" s="790"/>
      <c r="H13" s="790"/>
      <c r="I13" s="790"/>
      <c r="J13" s="790"/>
      <c r="K13" s="790"/>
      <c r="L13" s="790"/>
      <c r="M13" s="790"/>
      <c r="N13" s="791"/>
      <c r="O13" s="14"/>
      <c r="P13" s="14"/>
      <c r="Q13" s="14"/>
      <c r="R13" s="14"/>
      <c r="S13" s="14"/>
      <c r="T13" s="3"/>
      <c r="U13" s="3"/>
      <c r="V13" s="3"/>
      <c r="W13" s="3"/>
      <c r="X13" s="3"/>
      <c r="Y13" s="3"/>
      <c r="Z13" s="3"/>
    </row>
    <row r="14" spans="1:26" ht="22.5" hidden="1" customHeight="1" outlineLevel="1" x14ac:dyDescent="0.85">
      <c r="A14" s="871" t="s">
        <v>855</v>
      </c>
      <c r="B14" s="790"/>
      <c r="C14" s="790"/>
      <c r="D14" s="790"/>
      <c r="E14" s="790"/>
      <c r="F14" s="790"/>
      <c r="G14" s="790"/>
      <c r="H14" s="790"/>
      <c r="I14" s="790"/>
      <c r="J14" s="790"/>
      <c r="K14" s="790"/>
      <c r="L14" s="790"/>
      <c r="M14" s="790"/>
      <c r="N14" s="791"/>
      <c r="O14" s="14"/>
      <c r="P14" s="14"/>
      <c r="Q14" s="14"/>
      <c r="R14" s="14"/>
      <c r="S14" s="14"/>
      <c r="T14" s="3"/>
      <c r="U14" s="3"/>
      <c r="V14" s="3"/>
      <c r="W14" s="3"/>
      <c r="X14" s="3"/>
      <c r="Y14" s="3"/>
      <c r="Z14" s="3"/>
    </row>
    <row r="15" spans="1:26" ht="22.5" hidden="1" customHeight="1" outlineLevel="1" x14ac:dyDescent="0.85">
      <c r="A15" s="869" t="s">
        <v>856</v>
      </c>
      <c r="B15" s="790"/>
      <c r="C15" s="790"/>
      <c r="D15" s="790"/>
      <c r="E15" s="790"/>
      <c r="F15" s="790"/>
      <c r="G15" s="790"/>
      <c r="H15" s="790"/>
      <c r="I15" s="790"/>
      <c r="J15" s="790"/>
      <c r="K15" s="790"/>
      <c r="L15" s="790"/>
      <c r="M15" s="790"/>
      <c r="N15" s="791"/>
      <c r="O15" s="373"/>
      <c r="P15" s="14"/>
      <c r="Q15" s="14"/>
      <c r="R15" s="14"/>
      <c r="S15" s="14"/>
      <c r="T15" s="3"/>
      <c r="U15" s="3"/>
      <c r="V15" s="3"/>
      <c r="W15" s="3"/>
      <c r="X15" s="3"/>
      <c r="Y15" s="3"/>
      <c r="Z15" s="3"/>
    </row>
    <row r="16" spans="1:26" ht="24" hidden="1" customHeight="1" outlineLevel="1" x14ac:dyDescent="0.85">
      <c r="A16" s="869" t="s">
        <v>857</v>
      </c>
      <c r="B16" s="790"/>
      <c r="C16" s="790"/>
      <c r="D16" s="790"/>
      <c r="E16" s="790"/>
      <c r="F16" s="790"/>
      <c r="G16" s="790"/>
      <c r="H16" s="790"/>
      <c r="I16" s="790"/>
      <c r="J16" s="790"/>
      <c r="K16" s="790"/>
      <c r="L16" s="790"/>
      <c r="M16" s="790"/>
      <c r="N16" s="791"/>
      <c r="O16" s="14"/>
      <c r="P16" s="14"/>
      <c r="Q16" s="14"/>
      <c r="R16" s="14"/>
      <c r="S16" s="14"/>
      <c r="T16" s="3"/>
      <c r="U16" s="3"/>
      <c r="V16" s="3"/>
      <c r="W16" s="3"/>
      <c r="X16" s="3"/>
      <c r="Y16" s="3"/>
      <c r="Z16" s="3"/>
    </row>
    <row r="17" spans="1:26" ht="40.5" hidden="1" customHeight="1" outlineLevel="1" x14ac:dyDescent="0.85">
      <c r="A17" s="869" t="s">
        <v>858</v>
      </c>
      <c r="B17" s="790"/>
      <c r="C17" s="790"/>
      <c r="D17" s="790"/>
      <c r="E17" s="790"/>
      <c r="F17" s="790"/>
      <c r="G17" s="790"/>
      <c r="H17" s="790"/>
      <c r="I17" s="790"/>
      <c r="J17" s="790"/>
      <c r="K17" s="790"/>
      <c r="L17" s="790"/>
      <c r="M17" s="790"/>
      <c r="N17" s="791"/>
      <c r="O17" s="14"/>
      <c r="P17" s="14"/>
      <c r="Q17" s="14"/>
      <c r="R17" s="14"/>
      <c r="S17" s="14"/>
      <c r="T17" s="3"/>
      <c r="U17" s="3"/>
      <c r="V17" s="3"/>
      <c r="W17" s="3"/>
      <c r="X17" s="3"/>
      <c r="Y17" s="3"/>
      <c r="Z17" s="3"/>
    </row>
    <row r="18" spans="1:26" ht="22.5" hidden="1" customHeight="1" outlineLevel="1" x14ac:dyDescent="0.85">
      <c r="A18" s="374" t="s">
        <v>859</v>
      </c>
      <c r="B18" s="375"/>
      <c r="C18" s="375"/>
      <c r="D18" s="375"/>
      <c r="E18" s="375"/>
      <c r="F18" s="375"/>
      <c r="G18" s="375"/>
      <c r="H18" s="375"/>
      <c r="I18" s="375"/>
      <c r="J18" s="375"/>
      <c r="K18" s="375"/>
      <c r="L18" s="375"/>
      <c r="M18" s="375"/>
      <c r="N18" s="375"/>
      <c r="O18" s="14"/>
      <c r="P18" s="14"/>
      <c r="Q18" s="14"/>
      <c r="R18" s="14"/>
      <c r="S18" s="14"/>
      <c r="T18" s="3"/>
      <c r="U18" s="3"/>
      <c r="V18" s="3"/>
      <c r="W18" s="3"/>
      <c r="X18" s="3"/>
      <c r="Y18" s="3"/>
      <c r="Z18" s="3"/>
    </row>
    <row r="19" spans="1:26" ht="22.5" hidden="1" customHeight="1" outlineLevel="1" x14ac:dyDescent="0.85">
      <c r="A19" s="374" t="s">
        <v>860</v>
      </c>
      <c r="B19" s="375"/>
      <c r="C19" s="375"/>
      <c r="D19" s="375"/>
      <c r="E19" s="375"/>
      <c r="F19" s="375"/>
      <c r="G19" s="375"/>
      <c r="H19" s="375"/>
      <c r="I19" s="375"/>
      <c r="J19" s="375"/>
      <c r="K19" s="375"/>
      <c r="L19" s="375"/>
      <c r="M19" s="375"/>
      <c r="N19" s="375"/>
      <c r="O19" s="14"/>
      <c r="P19" s="14"/>
      <c r="Q19" s="14"/>
      <c r="R19" s="14"/>
      <c r="S19" s="14"/>
      <c r="T19" s="3"/>
      <c r="U19" s="3"/>
      <c r="V19" s="3"/>
      <c r="W19" s="3"/>
      <c r="X19" s="3"/>
      <c r="Y19" s="3"/>
      <c r="Z19" s="3"/>
    </row>
    <row r="20" spans="1:26" ht="22.5" hidden="1" customHeight="1" outlineLevel="1" x14ac:dyDescent="0.85">
      <c r="A20" s="374" t="s">
        <v>861</v>
      </c>
      <c r="B20" s="375"/>
      <c r="C20" s="375"/>
      <c r="D20" s="375"/>
      <c r="E20" s="375"/>
      <c r="F20" s="375"/>
      <c r="G20" s="375"/>
      <c r="H20" s="375"/>
      <c r="I20" s="375"/>
      <c r="J20" s="375"/>
      <c r="K20" s="375"/>
      <c r="L20" s="375"/>
      <c r="M20" s="375"/>
      <c r="N20" s="375"/>
      <c r="O20" s="14"/>
      <c r="P20" s="14"/>
      <c r="Q20" s="14"/>
      <c r="R20" s="14"/>
      <c r="S20" s="14"/>
      <c r="T20" s="3"/>
      <c r="U20" s="3"/>
      <c r="V20" s="3"/>
      <c r="W20" s="3"/>
      <c r="X20" s="3"/>
      <c r="Y20" s="3"/>
      <c r="Z20" s="3"/>
    </row>
    <row r="21" spans="1:26" ht="22.5" customHeight="1" collapsed="1" x14ac:dyDescent="1.1000000000000001">
      <c r="A21" s="376" t="s">
        <v>183</v>
      </c>
      <c r="B21" s="355"/>
      <c r="C21" s="355"/>
      <c r="D21" s="355"/>
      <c r="E21" s="355"/>
      <c r="F21" s="355"/>
      <c r="G21" s="355"/>
      <c r="H21" s="355"/>
      <c r="I21" s="355"/>
      <c r="J21" s="355"/>
      <c r="K21" s="355"/>
      <c r="L21" s="355"/>
      <c r="M21" s="355"/>
      <c r="N21" s="355"/>
      <c r="O21" s="355"/>
      <c r="P21" s="355"/>
      <c r="Q21" s="355"/>
      <c r="R21" s="355"/>
      <c r="S21" s="356"/>
      <c r="T21" s="3"/>
      <c r="U21" s="3"/>
      <c r="V21" s="3"/>
      <c r="W21" s="3"/>
      <c r="X21" s="3"/>
      <c r="Y21" s="3"/>
      <c r="Z21" s="3"/>
    </row>
    <row r="22" spans="1:26" ht="22.5" hidden="1" customHeight="1" outlineLevel="1" x14ac:dyDescent="0.85">
      <c r="A22" s="839" t="s">
        <v>862</v>
      </c>
      <c r="B22" s="813"/>
      <c r="C22" s="813"/>
      <c r="D22" s="813"/>
      <c r="E22" s="813"/>
      <c r="F22" s="813"/>
      <c r="G22" s="813"/>
      <c r="H22" s="813"/>
      <c r="I22" s="813"/>
      <c r="J22" s="814"/>
      <c r="K22" s="377"/>
      <c r="L22" s="378"/>
      <c r="M22" s="378"/>
      <c r="N22" s="378"/>
      <c r="O22" s="378"/>
      <c r="P22" s="378"/>
      <c r="Q22" s="2"/>
      <c r="R22" s="2"/>
      <c r="S22" s="2"/>
      <c r="T22" s="3"/>
      <c r="U22" s="3"/>
      <c r="V22" s="3"/>
      <c r="W22" s="3"/>
      <c r="X22" s="3"/>
      <c r="Y22" s="3"/>
      <c r="Z22" s="3"/>
    </row>
    <row r="23" spans="1:26" ht="22.5" hidden="1" customHeight="1" outlineLevel="1" x14ac:dyDescent="0.85">
      <c r="A23" s="289" t="s">
        <v>606</v>
      </c>
      <c r="B23" s="289" t="s">
        <v>212</v>
      </c>
      <c r="C23" s="289" t="s">
        <v>251</v>
      </c>
      <c r="D23" s="289" t="s">
        <v>608</v>
      </c>
      <c r="E23" s="864" t="s">
        <v>138</v>
      </c>
      <c r="F23" s="765"/>
      <c r="G23" s="765"/>
      <c r="H23" s="765"/>
      <c r="I23" s="765"/>
      <c r="J23" s="762"/>
      <c r="K23" s="378"/>
      <c r="L23" s="378"/>
      <c r="M23" s="378"/>
      <c r="N23" s="378"/>
      <c r="O23" s="378"/>
      <c r="P23" s="378"/>
      <c r="Q23" s="2"/>
      <c r="R23" s="2"/>
      <c r="S23" s="2"/>
      <c r="T23" s="3"/>
      <c r="U23" s="3"/>
      <c r="V23" s="3"/>
      <c r="W23" s="3"/>
      <c r="X23" s="3"/>
      <c r="Y23" s="3"/>
      <c r="Z23" s="3"/>
    </row>
    <row r="24" spans="1:26" ht="22.5" hidden="1" customHeight="1" outlineLevel="1" x14ac:dyDescent="0.85">
      <c r="A24" s="268" t="s">
        <v>863</v>
      </c>
      <c r="B24" s="280" t="s">
        <v>619</v>
      </c>
      <c r="C24" s="379">
        <v>8.7799999999999996E-3</v>
      </c>
      <c r="D24" s="176" t="s">
        <v>864</v>
      </c>
      <c r="E24" s="862" t="s">
        <v>865</v>
      </c>
      <c r="F24" s="828"/>
      <c r="G24" s="828"/>
      <c r="H24" s="828"/>
      <c r="I24" s="828"/>
      <c r="J24" s="825"/>
      <c r="K24" s="380"/>
      <c r="L24" s="380"/>
      <c r="M24" s="380"/>
      <c r="N24" s="378"/>
      <c r="O24" s="378"/>
      <c r="P24" s="378"/>
      <c r="Q24" s="2"/>
      <c r="R24" s="2"/>
      <c r="S24" s="2"/>
      <c r="T24" s="3"/>
      <c r="U24" s="3"/>
      <c r="V24" s="3"/>
      <c r="W24" s="3"/>
      <c r="X24" s="3"/>
      <c r="Y24" s="3"/>
      <c r="Z24" s="3"/>
    </row>
    <row r="25" spans="1:26" ht="22.5" hidden="1" customHeight="1" outlineLevel="1" x14ac:dyDescent="0.85">
      <c r="A25" s="271" t="s">
        <v>866</v>
      </c>
      <c r="B25" s="282" t="s">
        <v>217</v>
      </c>
      <c r="C25" s="379">
        <v>7.9000000000000008E-3</v>
      </c>
      <c r="D25" s="268" t="s">
        <v>867</v>
      </c>
      <c r="E25" s="809"/>
      <c r="F25" s="785"/>
      <c r="G25" s="785"/>
      <c r="H25" s="785"/>
      <c r="I25" s="785"/>
      <c r="J25" s="826"/>
      <c r="K25" s="381"/>
      <c r="L25" s="381"/>
      <c r="M25" s="381"/>
      <c r="N25" s="378"/>
      <c r="O25" s="378"/>
      <c r="P25" s="378"/>
      <c r="Q25" s="2"/>
      <c r="R25" s="2"/>
      <c r="S25" s="2"/>
      <c r="T25" s="3"/>
      <c r="U25" s="3"/>
      <c r="V25" s="3"/>
      <c r="W25" s="3"/>
      <c r="X25" s="3"/>
      <c r="Y25" s="3"/>
      <c r="Z25" s="3"/>
    </row>
    <row r="26" spans="1:26" ht="22.5" hidden="1" customHeight="1" outlineLevel="1" x14ac:dyDescent="0.85">
      <c r="A26" s="271" t="s">
        <v>868</v>
      </c>
      <c r="B26" s="282" t="s">
        <v>219</v>
      </c>
      <c r="C26" s="379">
        <v>7.6E-3</v>
      </c>
      <c r="D26" s="268" t="s">
        <v>869</v>
      </c>
      <c r="E26" s="809"/>
      <c r="F26" s="785"/>
      <c r="G26" s="785"/>
      <c r="H26" s="785"/>
      <c r="I26" s="785"/>
      <c r="J26" s="826"/>
      <c r="K26" s="382"/>
      <c r="L26" s="382"/>
      <c r="M26" s="383"/>
      <c r="N26" s="378"/>
      <c r="O26" s="378"/>
      <c r="P26" s="378"/>
      <c r="Q26" s="2"/>
      <c r="R26" s="2"/>
      <c r="S26" s="2"/>
      <c r="T26" s="3"/>
      <c r="U26" s="3"/>
      <c r="V26" s="3"/>
      <c r="W26" s="3"/>
      <c r="X26" s="3"/>
      <c r="Y26" s="3"/>
      <c r="Z26" s="3"/>
    </row>
    <row r="27" spans="1:26" ht="22.5" hidden="1" customHeight="1" outlineLevel="1" x14ac:dyDescent="0.85">
      <c r="A27" s="271" t="s">
        <v>870</v>
      </c>
      <c r="B27" s="282" t="s">
        <v>871</v>
      </c>
      <c r="C27" s="379">
        <v>4.36E-2</v>
      </c>
      <c r="D27" s="268" t="s">
        <v>872</v>
      </c>
      <c r="E27" s="809"/>
      <c r="F27" s="785"/>
      <c r="G27" s="785"/>
      <c r="H27" s="785"/>
      <c r="I27" s="785"/>
      <c r="J27" s="826"/>
      <c r="K27" s="381"/>
      <c r="L27" s="381"/>
      <c r="M27" s="381"/>
      <c r="N27" s="378"/>
      <c r="O27" s="378"/>
      <c r="P27" s="378"/>
      <c r="Q27" s="2"/>
      <c r="R27" s="2"/>
      <c r="S27" s="2"/>
      <c r="T27" s="3"/>
      <c r="U27" s="3"/>
      <c r="V27" s="3"/>
      <c r="W27" s="3"/>
      <c r="X27" s="3"/>
      <c r="Y27" s="3"/>
      <c r="Z27" s="3"/>
    </row>
    <row r="28" spans="1:26" ht="22.5" hidden="1" customHeight="1" outlineLevel="1" x14ac:dyDescent="0.85">
      <c r="A28" s="271" t="s">
        <v>873</v>
      </c>
      <c r="B28" s="282" t="s">
        <v>222</v>
      </c>
      <c r="C28" s="379">
        <v>6.8378076999999995E-2</v>
      </c>
      <c r="D28" s="268" t="s">
        <v>874</v>
      </c>
      <c r="E28" s="809"/>
      <c r="F28" s="785"/>
      <c r="G28" s="785"/>
      <c r="H28" s="785"/>
      <c r="I28" s="785"/>
      <c r="J28" s="826"/>
      <c r="K28" s="384"/>
      <c r="L28" s="384"/>
      <c r="M28" s="385"/>
      <c r="N28" s="378"/>
      <c r="O28" s="378"/>
      <c r="P28" s="378"/>
      <c r="Q28" s="2"/>
      <c r="R28" s="2"/>
      <c r="S28" s="2"/>
      <c r="T28" s="3"/>
      <c r="U28" s="3"/>
      <c r="V28" s="3"/>
      <c r="W28" s="3"/>
      <c r="X28" s="3"/>
      <c r="Y28" s="3"/>
      <c r="Z28" s="3"/>
    </row>
    <row r="29" spans="1:26" ht="22.5" hidden="1" customHeight="1" outlineLevel="1" x14ac:dyDescent="0.85">
      <c r="A29" s="271" t="s">
        <v>875</v>
      </c>
      <c r="B29" s="282" t="s">
        <v>217</v>
      </c>
      <c r="C29" s="379">
        <v>5.4000000000000003E-3</v>
      </c>
      <c r="D29" s="268" t="s">
        <v>876</v>
      </c>
      <c r="E29" s="809"/>
      <c r="F29" s="785"/>
      <c r="G29" s="785"/>
      <c r="H29" s="785"/>
      <c r="I29" s="785"/>
      <c r="J29" s="826"/>
      <c r="K29" s="381"/>
      <c r="L29" s="381"/>
      <c r="M29" s="381"/>
      <c r="N29" s="378"/>
      <c r="O29" s="378"/>
      <c r="P29" s="378"/>
      <c r="Q29" s="2"/>
      <c r="R29" s="2"/>
      <c r="S29" s="2"/>
      <c r="T29" s="3"/>
      <c r="U29" s="3"/>
      <c r="V29" s="3"/>
      <c r="W29" s="3"/>
      <c r="X29" s="3"/>
      <c r="Y29" s="3"/>
      <c r="Z29" s="3"/>
    </row>
    <row r="30" spans="1:26" ht="22.5" hidden="1" customHeight="1" outlineLevel="1" x14ac:dyDescent="0.85">
      <c r="A30" s="271" t="s">
        <v>877</v>
      </c>
      <c r="B30" s="282" t="s">
        <v>219</v>
      </c>
      <c r="C30" s="379">
        <v>7.4000000000000003E-3</v>
      </c>
      <c r="D30" s="268" t="s">
        <v>878</v>
      </c>
      <c r="E30" s="809"/>
      <c r="F30" s="785"/>
      <c r="G30" s="785"/>
      <c r="H30" s="785"/>
      <c r="I30" s="785"/>
      <c r="J30" s="826"/>
      <c r="K30" s="386"/>
      <c r="L30" s="386"/>
      <c r="M30" s="385"/>
      <c r="N30" s="378"/>
      <c r="O30" s="378"/>
      <c r="P30" s="378"/>
      <c r="Q30" s="2"/>
      <c r="R30" s="2"/>
      <c r="S30" s="2"/>
      <c r="T30" s="3"/>
      <c r="U30" s="3"/>
      <c r="V30" s="3"/>
      <c r="W30" s="3"/>
      <c r="X30" s="3"/>
      <c r="Y30" s="3"/>
      <c r="Z30" s="3"/>
    </row>
    <row r="31" spans="1:26" ht="22.5" hidden="1" customHeight="1" outlineLevel="1" x14ac:dyDescent="0.85">
      <c r="A31" s="271" t="s">
        <v>879</v>
      </c>
      <c r="B31" s="282" t="s">
        <v>871</v>
      </c>
      <c r="C31" s="379">
        <v>3.5799999999999998E-2</v>
      </c>
      <c r="D31" s="268" t="s">
        <v>880</v>
      </c>
      <c r="E31" s="809"/>
      <c r="F31" s="785"/>
      <c r="G31" s="785"/>
      <c r="H31" s="785"/>
      <c r="I31" s="785"/>
      <c r="J31" s="826"/>
      <c r="K31" s="378"/>
      <c r="L31" s="378"/>
      <c r="M31" s="378"/>
      <c r="N31" s="378"/>
      <c r="O31" s="378"/>
      <c r="P31" s="378"/>
      <c r="Q31" s="2"/>
      <c r="R31" s="2"/>
      <c r="S31" s="2"/>
      <c r="T31" s="3"/>
      <c r="U31" s="3"/>
      <c r="V31" s="3"/>
      <c r="W31" s="3"/>
      <c r="X31" s="3"/>
      <c r="Y31" s="3"/>
      <c r="Z31" s="3"/>
    </row>
    <row r="32" spans="1:26" ht="22.5" hidden="1" customHeight="1" outlineLevel="1" x14ac:dyDescent="0.85">
      <c r="A32" s="271" t="s">
        <v>881</v>
      </c>
      <c r="B32" s="271" t="s">
        <v>222</v>
      </c>
      <c r="C32" s="379">
        <v>1.495252E-2</v>
      </c>
      <c r="D32" s="268" t="s">
        <v>882</v>
      </c>
      <c r="E32" s="810"/>
      <c r="F32" s="830"/>
      <c r="G32" s="830"/>
      <c r="H32" s="830"/>
      <c r="I32" s="830"/>
      <c r="J32" s="767"/>
      <c r="K32" s="378"/>
      <c r="L32" s="378"/>
      <c r="M32" s="378"/>
      <c r="N32" s="378"/>
      <c r="O32" s="378"/>
      <c r="P32" s="378"/>
      <c r="Q32" s="2"/>
      <c r="R32" s="2"/>
      <c r="S32" s="2"/>
      <c r="T32" s="3"/>
      <c r="U32" s="3"/>
      <c r="V32" s="3"/>
      <c r="W32" s="3"/>
      <c r="X32" s="3"/>
      <c r="Y32" s="3"/>
      <c r="Z32" s="3"/>
    </row>
    <row r="33" spans="1:26" ht="22.5" hidden="1" customHeight="1" outlineLevel="1" x14ac:dyDescent="0.85">
      <c r="A33" s="804" t="s">
        <v>883</v>
      </c>
      <c r="B33" s="765"/>
      <c r="C33" s="765"/>
      <c r="D33" s="765"/>
      <c r="E33" s="765"/>
      <c r="F33" s="765"/>
      <c r="G33" s="765"/>
      <c r="H33" s="765"/>
      <c r="I33" s="765"/>
      <c r="J33" s="762"/>
      <c r="K33" s="2"/>
      <c r="L33" s="378"/>
      <c r="M33" s="378"/>
      <c r="N33" s="378"/>
      <c r="O33" s="378"/>
      <c r="P33" s="378"/>
      <c r="Q33" s="2"/>
      <c r="R33" s="2"/>
      <c r="S33" s="2"/>
      <c r="T33" s="3"/>
      <c r="U33" s="3"/>
      <c r="V33" s="3"/>
      <c r="W33" s="3"/>
      <c r="X33" s="3"/>
      <c r="Y33" s="3"/>
      <c r="Z33" s="3"/>
    </row>
    <row r="34" spans="1:26" ht="22.5" hidden="1" customHeight="1" outlineLevel="1" x14ac:dyDescent="0.85">
      <c r="A34" s="289" t="s">
        <v>606</v>
      </c>
      <c r="B34" s="289" t="s">
        <v>212</v>
      </c>
      <c r="C34" s="289" t="s">
        <v>251</v>
      </c>
      <c r="D34" s="289" t="s">
        <v>608</v>
      </c>
      <c r="E34" s="864" t="s">
        <v>138</v>
      </c>
      <c r="F34" s="765"/>
      <c r="G34" s="765"/>
      <c r="H34" s="765"/>
      <c r="I34" s="765"/>
      <c r="J34" s="762"/>
      <c r="K34" s="2"/>
      <c r="L34" s="378"/>
      <c r="M34" s="378"/>
      <c r="N34" s="378"/>
      <c r="O34" s="378"/>
      <c r="P34" s="378"/>
      <c r="Q34" s="2"/>
      <c r="R34" s="2"/>
      <c r="S34" s="2"/>
      <c r="T34" s="3"/>
      <c r="U34" s="3"/>
      <c r="V34" s="3"/>
      <c r="W34" s="3"/>
      <c r="X34" s="3"/>
      <c r="Y34" s="3"/>
      <c r="Z34" s="3"/>
    </row>
    <row r="35" spans="1:26" ht="24" hidden="1" customHeight="1" outlineLevel="1" x14ac:dyDescent="0.85">
      <c r="A35" s="268" t="s">
        <v>884</v>
      </c>
      <c r="B35" s="280" t="s">
        <v>619</v>
      </c>
      <c r="C35" s="387">
        <v>1.021E-2</v>
      </c>
      <c r="D35" s="176" t="s">
        <v>885</v>
      </c>
      <c r="E35" s="862" t="s">
        <v>865</v>
      </c>
      <c r="F35" s="828"/>
      <c r="G35" s="828"/>
      <c r="H35" s="828"/>
      <c r="I35" s="828"/>
      <c r="J35" s="825"/>
      <c r="K35" s="2"/>
      <c r="L35" s="378"/>
      <c r="M35" s="378"/>
      <c r="N35" s="378"/>
      <c r="O35" s="378"/>
      <c r="P35" s="378"/>
      <c r="Q35" s="2"/>
      <c r="R35" s="2"/>
      <c r="S35" s="2"/>
      <c r="T35" s="3"/>
      <c r="U35" s="3"/>
      <c r="V35" s="3"/>
      <c r="W35" s="3"/>
      <c r="X35" s="3"/>
      <c r="Y35" s="3"/>
      <c r="Z35" s="3"/>
    </row>
    <row r="36" spans="1:26" ht="22.5" hidden="1" customHeight="1" outlineLevel="1" x14ac:dyDescent="0.85">
      <c r="A36" s="271" t="s">
        <v>886</v>
      </c>
      <c r="B36" s="282" t="s">
        <v>217</v>
      </c>
      <c r="C36" s="387">
        <v>2.9499999999999998E-2</v>
      </c>
      <c r="D36" s="268" t="s">
        <v>887</v>
      </c>
      <c r="E36" s="809"/>
      <c r="F36" s="785"/>
      <c r="G36" s="785"/>
      <c r="H36" s="785"/>
      <c r="I36" s="785"/>
      <c r="J36" s="826"/>
      <c r="K36" s="2"/>
      <c r="L36" s="378"/>
      <c r="M36" s="378"/>
      <c r="N36" s="378"/>
      <c r="O36" s="378"/>
      <c r="P36" s="378"/>
      <c r="Q36" s="2"/>
      <c r="R36" s="2"/>
      <c r="S36" s="2"/>
      <c r="T36" s="3"/>
      <c r="U36" s="3"/>
      <c r="V36" s="3"/>
      <c r="W36" s="3"/>
      <c r="X36" s="3"/>
      <c r="Y36" s="3"/>
      <c r="Z36" s="3"/>
    </row>
    <row r="37" spans="1:26" ht="22.5" hidden="1" customHeight="1" outlineLevel="1" x14ac:dyDescent="0.85">
      <c r="A37" s="271" t="s">
        <v>888</v>
      </c>
      <c r="B37" s="282" t="s">
        <v>219</v>
      </c>
      <c r="C37" s="387">
        <v>1.9170311999999998E-2</v>
      </c>
      <c r="D37" s="268" t="s">
        <v>889</v>
      </c>
      <c r="E37" s="809"/>
      <c r="F37" s="785"/>
      <c r="G37" s="785"/>
      <c r="H37" s="785"/>
      <c r="I37" s="785"/>
      <c r="J37" s="826"/>
      <c r="K37" s="2"/>
      <c r="L37" s="378"/>
      <c r="M37" s="378"/>
      <c r="N37" s="378"/>
      <c r="O37" s="378"/>
      <c r="P37" s="378"/>
      <c r="Q37" s="2"/>
      <c r="R37" s="2"/>
      <c r="S37" s="2"/>
      <c r="T37" s="3"/>
      <c r="U37" s="3"/>
      <c r="V37" s="3"/>
      <c r="W37" s="3"/>
      <c r="X37" s="3"/>
      <c r="Y37" s="3"/>
      <c r="Z37" s="3"/>
    </row>
    <row r="38" spans="1:26" ht="22.5" hidden="1" customHeight="1" outlineLevel="1" x14ac:dyDescent="0.85">
      <c r="A38" s="271" t="s">
        <v>890</v>
      </c>
      <c r="B38" s="282" t="s">
        <v>891</v>
      </c>
      <c r="C38" s="387">
        <v>8.5780930000000002E-3</v>
      </c>
      <c r="D38" s="268" t="s">
        <v>892</v>
      </c>
      <c r="E38" s="809"/>
      <c r="F38" s="785"/>
      <c r="G38" s="785"/>
      <c r="H38" s="785"/>
      <c r="I38" s="785"/>
      <c r="J38" s="826"/>
      <c r="K38" s="2"/>
      <c r="L38" s="378"/>
      <c r="M38" s="378"/>
      <c r="N38" s="378"/>
      <c r="O38" s="378"/>
      <c r="P38" s="378"/>
      <c r="Q38" s="2"/>
      <c r="R38" s="2"/>
      <c r="S38" s="2"/>
      <c r="T38" s="3"/>
      <c r="U38" s="3"/>
      <c r="V38" s="3"/>
      <c r="W38" s="3"/>
      <c r="X38" s="3"/>
      <c r="Y38" s="3"/>
      <c r="Z38" s="3"/>
    </row>
    <row r="39" spans="1:26" ht="22.5" hidden="1" customHeight="1" outlineLevel="1" x14ac:dyDescent="0.85">
      <c r="A39" s="271" t="s">
        <v>893</v>
      </c>
      <c r="B39" s="282" t="s">
        <v>894</v>
      </c>
      <c r="C39" s="387">
        <v>1.2230235000000001E-2</v>
      </c>
      <c r="D39" s="268" t="s">
        <v>895</v>
      </c>
      <c r="E39" s="809"/>
      <c r="F39" s="785"/>
      <c r="G39" s="785"/>
      <c r="H39" s="785"/>
      <c r="I39" s="785"/>
      <c r="J39" s="826"/>
      <c r="K39" s="2"/>
      <c r="L39" s="378"/>
      <c r="M39" s="378"/>
      <c r="N39" s="378"/>
      <c r="O39" s="378"/>
      <c r="P39" s="378"/>
      <c r="Q39" s="2"/>
      <c r="R39" s="2"/>
      <c r="S39" s="2"/>
      <c r="T39" s="3"/>
      <c r="U39" s="3"/>
      <c r="V39" s="3"/>
      <c r="W39" s="3"/>
      <c r="X39" s="3"/>
      <c r="Y39" s="3"/>
      <c r="Z39" s="3"/>
    </row>
    <row r="40" spans="1:26" ht="22.5" hidden="1" customHeight="1" outlineLevel="1" x14ac:dyDescent="0.85">
      <c r="A40" s="271" t="s">
        <v>896</v>
      </c>
      <c r="B40" s="282" t="s">
        <v>217</v>
      </c>
      <c r="C40" s="387">
        <v>1.8800000000000001E-2</v>
      </c>
      <c r="D40" s="268" t="s">
        <v>897</v>
      </c>
      <c r="E40" s="809"/>
      <c r="F40" s="785"/>
      <c r="G40" s="785"/>
      <c r="H40" s="785"/>
      <c r="I40" s="785"/>
      <c r="J40" s="826"/>
      <c r="K40" s="2"/>
      <c r="L40" s="378"/>
      <c r="M40" s="378"/>
      <c r="N40" s="378"/>
      <c r="O40" s="378"/>
      <c r="P40" s="378"/>
      <c r="Q40" s="2"/>
      <c r="R40" s="2"/>
      <c r="S40" s="2"/>
      <c r="T40" s="3"/>
      <c r="U40" s="3"/>
      <c r="V40" s="3"/>
      <c r="W40" s="3"/>
      <c r="X40" s="3"/>
      <c r="Y40" s="3"/>
      <c r="Z40" s="3"/>
    </row>
    <row r="41" spans="1:26" ht="22.5" hidden="1" customHeight="1" outlineLevel="1" x14ac:dyDescent="0.85">
      <c r="A41" s="271" t="s">
        <v>898</v>
      </c>
      <c r="B41" s="282" t="s">
        <v>219</v>
      </c>
      <c r="C41" s="387">
        <v>1.9170311999999998E-2</v>
      </c>
      <c r="D41" s="268" t="s">
        <v>899</v>
      </c>
      <c r="E41" s="809"/>
      <c r="F41" s="785"/>
      <c r="G41" s="785"/>
      <c r="H41" s="785"/>
      <c r="I41" s="785"/>
      <c r="J41" s="826"/>
      <c r="K41" s="2"/>
      <c r="L41" s="378"/>
      <c r="M41" s="378"/>
      <c r="N41" s="378"/>
      <c r="O41" s="378"/>
      <c r="P41" s="378"/>
      <c r="Q41" s="2"/>
      <c r="R41" s="2"/>
      <c r="S41" s="2"/>
      <c r="T41" s="3"/>
      <c r="U41" s="3"/>
      <c r="V41" s="3"/>
      <c r="W41" s="3"/>
      <c r="X41" s="3"/>
      <c r="Y41" s="3"/>
      <c r="Z41" s="3"/>
    </row>
    <row r="42" spans="1:26" ht="22.5" hidden="1" customHeight="1" outlineLevel="1" x14ac:dyDescent="0.85">
      <c r="A42" s="271" t="s">
        <v>900</v>
      </c>
      <c r="B42" s="282" t="s">
        <v>891</v>
      </c>
      <c r="C42" s="387">
        <v>3.5216105999999997E-2</v>
      </c>
      <c r="D42" s="268" t="s">
        <v>901</v>
      </c>
      <c r="E42" s="809"/>
      <c r="F42" s="785"/>
      <c r="G42" s="785"/>
      <c r="H42" s="785"/>
      <c r="I42" s="785"/>
      <c r="J42" s="826"/>
      <c r="K42" s="2"/>
      <c r="L42" s="378"/>
      <c r="M42" s="378"/>
      <c r="N42" s="378"/>
      <c r="O42" s="388"/>
      <c r="P42" s="378"/>
      <c r="Q42" s="2"/>
      <c r="R42" s="2"/>
      <c r="S42" s="2"/>
      <c r="T42" s="3"/>
      <c r="U42" s="3"/>
      <c r="V42" s="3"/>
      <c r="W42" s="3"/>
      <c r="X42" s="3"/>
      <c r="Y42" s="3"/>
      <c r="Z42" s="3"/>
    </row>
    <row r="43" spans="1:26" ht="22.5" hidden="1" customHeight="1" outlineLevel="1" x14ac:dyDescent="0.85">
      <c r="A43" s="271" t="s">
        <v>902</v>
      </c>
      <c r="B43" s="271" t="s">
        <v>894</v>
      </c>
      <c r="C43" s="387">
        <v>6.6881974999999996E-2</v>
      </c>
      <c r="D43" s="268" t="s">
        <v>903</v>
      </c>
      <c r="E43" s="810"/>
      <c r="F43" s="830"/>
      <c r="G43" s="830"/>
      <c r="H43" s="830"/>
      <c r="I43" s="830"/>
      <c r="J43" s="767"/>
      <c r="K43" s="2"/>
      <c r="L43" s="378"/>
      <c r="M43" s="378"/>
      <c r="N43" s="378"/>
      <c r="O43" s="388"/>
      <c r="P43" s="378"/>
      <c r="Q43" s="2"/>
      <c r="R43" s="2"/>
      <c r="S43" s="2"/>
      <c r="T43" s="3"/>
      <c r="U43" s="3"/>
      <c r="V43" s="3"/>
      <c r="W43" s="3"/>
      <c r="X43" s="3"/>
      <c r="Y43" s="3"/>
      <c r="Z43" s="3"/>
    </row>
    <row r="44" spans="1:26" ht="22.5" hidden="1" customHeight="1" outlineLevel="1" x14ac:dyDescent="0.85">
      <c r="A44" s="804" t="s">
        <v>904</v>
      </c>
      <c r="B44" s="765"/>
      <c r="C44" s="765"/>
      <c r="D44" s="765"/>
      <c r="E44" s="765"/>
      <c r="F44" s="765"/>
      <c r="G44" s="765"/>
      <c r="H44" s="765"/>
      <c r="I44" s="765"/>
      <c r="J44" s="762"/>
      <c r="K44" s="26"/>
      <c r="L44" s="26"/>
      <c r="M44" s="26"/>
      <c r="N44" s="26"/>
      <c r="O44" s="26"/>
      <c r="P44" s="26"/>
      <c r="Q44" s="26"/>
      <c r="R44" s="26"/>
      <c r="S44" s="26"/>
      <c r="T44" s="3"/>
      <c r="U44" s="3"/>
      <c r="V44" s="3"/>
      <c r="W44" s="3"/>
      <c r="X44" s="3"/>
      <c r="Y44" s="3"/>
      <c r="Z44" s="3"/>
    </row>
    <row r="45" spans="1:26" ht="22.5" hidden="1" customHeight="1" outlineLevel="1" x14ac:dyDescent="0.85">
      <c r="A45" s="289" t="s">
        <v>606</v>
      </c>
      <c r="B45" s="289" t="s">
        <v>212</v>
      </c>
      <c r="C45" s="289" t="s">
        <v>251</v>
      </c>
      <c r="D45" s="289" t="s">
        <v>608</v>
      </c>
      <c r="E45" s="864" t="s">
        <v>138</v>
      </c>
      <c r="F45" s="765"/>
      <c r="G45" s="765"/>
      <c r="H45" s="765"/>
      <c r="I45" s="765"/>
      <c r="J45" s="762"/>
      <c r="K45" s="26"/>
      <c r="L45" s="26"/>
      <c r="M45" s="26"/>
      <c r="N45" s="26"/>
      <c r="O45" s="26"/>
      <c r="P45" s="26"/>
      <c r="Q45" s="26"/>
      <c r="R45" s="26"/>
      <c r="S45" s="26"/>
      <c r="T45" s="3"/>
      <c r="U45" s="3"/>
      <c r="V45" s="3"/>
      <c r="W45" s="3"/>
      <c r="X45" s="3"/>
      <c r="Y45" s="3"/>
      <c r="Z45" s="3"/>
    </row>
    <row r="46" spans="1:26" ht="22.5" hidden="1" customHeight="1" outlineLevel="1" x14ac:dyDescent="0.85">
      <c r="A46" s="268" t="s">
        <v>905</v>
      </c>
      <c r="B46" s="268" t="s">
        <v>619</v>
      </c>
      <c r="C46" s="389">
        <v>5.7499999999999999E-3</v>
      </c>
      <c r="D46" s="176" t="s">
        <v>906</v>
      </c>
      <c r="E46" s="859" t="s">
        <v>907</v>
      </c>
      <c r="F46" s="828"/>
      <c r="G46" s="828"/>
      <c r="H46" s="828"/>
      <c r="I46" s="828"/>
      <c r="J46" s="825"/>
      <c r="K46" s="26"/>
      <c r="L46" s="26"/>
      <c r="M46" s="26"/>
      <c r="N46" s="26"/>
      <c r="O46" s="390"/>
      <c r="P46" s="26"/>
      <c r="Q46" s="26"/>
      <c r="R46" s="26"/>
      <c r="S46" s="26"/>
      <c r="T46" s="3"/>
      <c r="U46" s="3"/>
      <c r="V46" s="3"/>
      <c r="W46" s="3"/>
      <c r="X46" s="3"/>
      <c r="Y46" s="3"/>
      <c r="Z46" s="3"/>
    </row>
    <row r="47" spans="1:26" ht="22.5" hidden="1" customHeight="1" outlineLevel="1" x14ac:dyDescent="0.85">
      <c r="A47" s="271" t="s">
        <v>908</v>
      </c>
      <c r="B47" s="271" t="s">
        <v>909</v>
      </c>
      <c r="C47" s="389">
        <v>5.5E-2</v>
      </c>
      <c r="D47" s="268" t="s">
        <v>910</v>
      </c>
      <c r="E47" s="809"/>
      <c r="F47" s="785"/>
      <c r="G47" s="785"/>
      <c r="H47" s="785"/>
      <c r="I47" s="785"/>
      <c r="J47" s="826"/>
      <c r="K47" s="26"/>
      <c r="L47" s="26"/>
      <c r="M47" s="26"/>
      <c r="N47" s="26"/>
      <c r="O47" s="26"/>
      <c r="P47" s="26"/>
      <c r="Q47" s="26"/>
      <c r="R47" s="26"/>
      <c r="S47" s="26"/>
      <c r="T47" s="3"/>
      <c r="U47" s="3"/>
      <c r="V47" s="3"/>
      <c r="W47" s="3"/>
      <c r="X47" s="3"/>
      <c r="Y47" s="3"/>
      <c r="Z47" s="3"/>
    </row>
    <row r="48" spans="1:26" ht="22.5" hidden="1" customHeight="1" outlineLevel="1" x14ac:dyDescent="0.85">
      <c r="A48" s="271" t="s">
        <v>911</v>
      </c>
      <c r="B48" s="271" t="s">
        <v>912</v>
      </c>
      <c r="C48" s="389">
        <v>0.19700000000000001</v>
      </c>
      <c r="D48" s="268" t="s">
        <v>913</v>
      </c>
      <c r="E48" s="809"/>
      <c r="F48" s="785"/>
      <c r="G48" s="785"/>
      <c r="H48" s="785"/>
      <c r="I48" s="785"/>
      <c r="J48" s="826"/>
      <c r="K48" s="26"/>
      <c r="L48" s="26"/>
      <c r="M48" s="26"/>
      <c r="N48" s="26"/>
      <c r="O48" s="26"/>
      <c r="P48" s="26"/>
      <c r="Q48" s="26"/>
      <c r="R48" s="26"/>
      <c r="S48" s="26"/>
      <c r="T48" s="3"/>
      <c r="U48" s="3"/>
      <c r="V48" s="3"/>
      <c r="W48" s="3"/>
      <c r="X48" s="3"/>
      <c r="Y48" s="3"/>
      <c r="Z48" s="3"/>
    </row>
    <row r="49" spans="1:26" ht="22.5" hidden="1" customHeight="1" outlineLevel="1" x14ac:dyDescent="0.85">
      <c r="A49" s="271" t="s">
        <v>914</v>
      </c>
      <c r="B49" s="271" t="s">
        <v>909</v>
      </c>
      <c r="C49" s="389">
        <v>6.7000000000000004E-2</v>
      </c>
      <c r="D49" s="268" t="s">
        <v>915</v>
      </c>
      <c r="E49" s="809"/>
      <c r="F49" s="785"/>
      <c r="G49" s="785"/>
      <c r="H49" s="785"/>
      <c r="I49" s="785"/>
      <c r="J49" s="826"/>
      <c r="K49" s="26"/>
      <c r="L49" s="26"/>
      <c r="M49" s="26"/>
      <c r="N49" s="26"/>
      <c r="O49" s="26"/>
      <c r="P49" s="26"/>
      <c r="Q49" s="26"/>
      <c r="R49" s="26"/>
      <c r="S49" s="26"/>
      <c r="T49" s="3"/>
      <c r="U49" s="3"/>
      <c r="V49" s="3"/>
      <c r="W49" s="3"/>
      <c r="X49" s="3"/>
      <c r="Y49" s="3"/>
      <c r="Z49" s="3"/>
    </row>
    <row r="50" spans="1:26" ht="22.5" hidden="1" customHeight="1" outlineLevel="1" x14ac:dyDescent="0.85">
      <c r="A50" s="271" t="s">
        <v>916</v>
      </c>
      <c r="B50" s="271" t="s">
        <v>912</v>
      </c>
      <c r="C50" s="389">
        <v>0.17499999999999999</v>
      </c>
      <c r="D50" s="268" t="s">
        <v>917</v>
      </c>
      <c r="E50" s="810"/>
      <c r="F50" s="830"/>
      <c r="G50" s="830"/>
      <c r="H50" s="830"/>
      <c r="I50" s="830"/>
      <c r="J50" s="767"/>
      <c r="K50" s="26"/>
      <c r="L50" s="26"/>
      <c r="M50" s="26"/>
      <c r="N50" s="26"/>
      <c r="O50" s="26"/>
      <c r="P50" s="26"/>
      <c r="Q50" s="26"/>
      <c r="R50" s="26"/>
      <c r="S50" s="26"/>
      <c r="T50" s="3"/>
      <c r="U50" s="3"/>
      <c r="V50" s="3"/>
      <c r="W50" s="3"/>
      <c r="X50" s="3"/>
      <c r="Y50" s="3"/>
      <c r="Z50" s="3"/>
    </row>
    <row r="51" spans="1:26" ht="22.5" customHeight="1" collapsed="1" x14ac:dyDescent="1.1000000000000001">
      <c r="A51" s="376" t="s">
        <v>918</v>
      </c>
      <c r="B51" s="355"/>
      <c r="C51" s="355"/>
      <c r="D51" s="355"/>
      <c r="E51" s="355"/>
      <c r="F51" s="355"/>
      <c r="G51" s="355"/>
      <c r="H51" s="355"/>
      <c r="I51" s="355"/>
      <c r="J51" s="355"/>
      <c r="K51" s="355"/>
      <c r="L51" s="355"/>
      <c r="M51" s="355"/>
      <c r="N51" s="355"/>
      <c r="O51" s="355"/>
      <c r="P51" s="355"/>
      <c r="Q51" s="355"/>
      <c r="R51" s="355"/>
      <c r="S51" s="356"/>
      <c r="T51" s="3"/>
      <c r="U51" s="3"/>
      <c r="V51" s="3"/>
      <c r="W51" s="3"/>
      <c r="X51" s="3"/>
      <c r="Y51" s="3"/>
      <c r="Z51" s="3"/>
    </row>
    <row r="52" spans="1:26" ht="22.5" hidden="1" customHeight="1" outlineLevel="1" x14ac:dyDescent="0.85">
      <c r="A52" s="864" t="s">
        <v>919</v>
      </c>
      <c r="B52" s="762"/>
      <c r="C52" s="864" t="s">
        <v>920</v>
      </c>
      <c r="D52" s="762"/>
      <c r="E52" s="864" t="s">
        <v>921</v>
      </c>
      <c r="F52" s="762"/>
      <c r="G52" s="864" t="s">
        <v>922</v>
      </c>
      <c r="H52" s="762"/>
      <c r="I52" s="26"/>
      <c r="J52" s="26"/>
      <c r="K52" s="26"/>
      <c r="L52" s="26"/>
      <c r="M52" s="26"/>
      <c r="N52" s="26"/>
      <c r="O52" s="26"/>
      <c r="P52" s="26"/>
      <c r="Q52" s="26"/>
      <c r="R52" s="26"/>
      <c r="S52" s="26"/>
      <c r="T52" s="26"/>
      <c r="U52" s="3"/>
      <c r="V52" s="3"/>
      <c r="W52" s="3"/>
      <c r="X52" s="3"/>
      <c r="Y52" s="3"/>
      <c r="Z52" s="3"/>
    </row>
    <row r="53" spans="1:26" ht="60" hidden="1" customHeight="1" outlineLevel="1" x14ac:dyDescent="0.85">
      <c r="A53" s="391" t="s">
        <v>212</v>
      </c>
      <c r="B53" s="391" t="s">
        <v>923</v>
      </c>
      <c r="C53" s="392" t="s">
        <v>924</v>
      </c>
      <c r="D53" s="393">
        <v>0.28000000000000003</v>
      </c>
      <c r="E53" s="162" t="s">
        <v>925</v>
      </c>
      <c r="F53" s="394">
        <v>0.85</v>
      </c>
      <c r="G53" s="392" t="s">
        <v>926</v>
      </c>
      <c r="H53" s="395">
        <v>0.1</v>
      </c>
      <c r="I53" s="26"/>
      <c r="J53" s="26"/>
      <c r="K53" s="26"/>
      <c r="L53" s="26"/>
      <c r="M53" s="26"/>
      <c r="N53" s="26"/>
      <c r="O53" s="26"/>
      <c r="P53" s="26"/>
      <c r="Q53" s="26"/>
      <c r="R53" s="26"/>
      <c r="S53" s="26"/>
      <c r="T53" s="3"/>
      <c r="U53" s="3"/>
      <c r="V53" s="3"/>
      <c r="W53" s="3"/>
      <c r="X53" s="3"/>
      <c r="Y53" s="3"/>
      <c r="Z53" s="3"/>
    </row>
    <row r="54" spans="1:26" ht="22.5" hidden="1" customHeight="1" outlineLevel="1" x14ac:dyDescent="0.85">
      <c r="A54" s="396" t="s">
        <v>927</v>
      </c>
      <c r="B54" s="397">
        <v>24.1</v>
      </c>
      <c r="C54" s="392" t="s">
        <v>928</v>
      </c>
      <c r="D54" s="393">
        <v>0.7</v>
      </c>
      <c r="E54" s="162" t="s">
        <v>929</v>
      </c>
      <c r="F54" s="394">
        <v>0.15</v>
      </c>
      <c r="G54" s="392" t="s">
        <v>930</v>
      </c>
      <c r="H54" s="395">
        <v>0</v>
      </c>
      <c r="I54" s="76"/>
      <c r="J54" s="76"/>
      <c r="K54" s="76"/>
      <c r="L54" s="76"/>
      <c r="M54" s="76"/>
      <c r="N54" s="76"/>
      <c r="O54" s="76"/>
      <c r="P54" s="76"/>
      <c r="Q54" s="76"/>
      <c r="R54" s="76"/>
      <c r="S54" s="76"/>
      <c r="T54" s="15"/>
      <c r="U54" s="15"/>
      <c r="V54" s="15"/>
      <c r="W54" s="15"/>
      <c r="X54" s="15"/>
      <c r="Y54" s="15"/>
      <c r="Z54" s="15"/>
    </row>
    <row r="55" spans="1:26" ht="22.5" hidden="1" customHeight="1" outlineLevel="1" x14ac:dyDescent="0.85">
      <c r="A55" s="396" t="s">
        <v>931</v>
      </c>
      <c r="B55" s="397">
        <v>18.5</v>
      </c>
      <c r="C55" s="15"/>
      <c r="D55" s="15"/>
      <c r="E55" s="76"/>
      <c r="F55" s="76"/>
      <c r="G55" s="76"/>
      <c r="H55" s="76"/>
      <c r="I55" s="76"/>
      <c r="J55" s="76"/>
      <c r="K55" s="76"/>
      <c r="L55" s="76"/>
      <c r="M55" s="76"/>
      <c r="N55" s="76"/>
      <c r="O55" s="76"/>
      <c r="P55" s="76"/>
      <c r="Q55" s="76"/>
      <c r="R55" s="76"/>
      <c r="S55" s="76"/>
      <c r="T55" s="15"/>
      <c r="U55" s="15"/>
      <c r="V55" s="15"/>
      <c r="W55" s="15"/>
      <c r="X55" s="15"/>
      <c r="Y55" s="15"/>
      <c r="Z55" s="15"/>
    </row>
    <row r="56" spans="1:26" ht="22.5" hidden="1" customHeight="1" outlineLevel="1" x14ac:dyDescent="0.85">
      <c r="A56" s="396" t="s">
        <v>932</v>
      </c>
      <c r="B56" s="397">
        <v>7.07</v>
      </c>
      <c r="C56" s="76"/>
      <c r="D56" s="76"/>
      <c r="E56" s="76"/>
      <c r="F56" s="76"/>
      <c r="G56" s="76"/>
      <c r="H56" s="398"/>
      <c r="I56" s="76"/>
      <c r="J56" s="76"/>
      <c r="K56" s="76"/>
      <c r="L56" s="76"/>
      <c r="M56" s="76"/>
      <c r="N56" s="76"/>
      <c r="O56" s="76"/>
      <c r="P56" s="76"/>
      <c r="Q56" s="76"/>
      <c r="R56" s="76"/>
      <c r="S56" s="76"/>
      <c r="T56" s="15"/>
      <c r="U56" s="15"/>
      <c r="V56" s="15"/>
      <c r="W56" s="15"/>
      <c r="X56" s="15"/>
      <c r="Y56" s="15"/>
      <c r="Z56" s="15"/>
    </row>
    <row r="57" spans="1:26" ht="22.5" hidden="1" customHeight="1" outlineLevel="1" x14ac:dyDescent="0.85">
      <c r="A57" s="396" t="s">
        <v>933</v>
      </c>
      <c r="B57" s="397">
        <v>50</v>
      </c>
      <c r="C57" s="76"/>
      <c r="D57" s="76"/>
      <c r="E57" s="76"/>
      <c r="F57" s="76"/>
      <c r="G57" s="76"/>
      <c r="H57" s="76"/>
      <c r="I57" s="76"/>
      <c r="J57" s="76"/>
      <c r="K57" s="76"/>
      <c r="L57" s="76"/>
      <c r="M57" s="76"/>
      <c r="N57" s="76"/>
      <c r="O57" s="76"/>
      <c r="P57" s="76"/>
      <c r="Q57" s="76"/>
      <c r="R57" s="76"/>
      <c r="S57" s="76"/>
      <c r="T57" s="15"/>
      <c r="U57" s="15"/>
      <c r="V57" s="15"/>
      <c r="W57" s="15"/>
      <c r="X57" s="15"/>
      <c r="Y57" s="15"/>
      <c r="Z57" s="15"/>
    </row>
    <row r="58" spans="1:26" ht="22.5" hidden="1" customHeight="1" outlineLevel="1" x14ac:dyDescent="0.85">
      <c r="A58" s="396" t="s">
        <v>934</v>
      </c>
      <c r="B58" s="397">
        <v>44</v>
      </c>
      <c r="C58" s="76"/>
      <c r="D58" s="76"/>
      <c r="E58" s="76"/>
      <c r="F58" s="76"/>
      <c r="G58" s="76"/>
      <c r="H58" s="76"/>
      <c r="I58" s="76"/>
      <c r="J58" s="76"/>
      <c r="K58" s="76"/>
      <c r="L58" s="76"/>
      <c r="M58" s="76"/>
      <c r="N58" s="76"/>
      <c r="O58" s="76"/>
      <c r="P58" s="76"/>
      <c r="Q58" s="76"/>
      <c r="R58" s="76"/>
      <c r="S58" s="76"/>
      <c r="T58" s="15"/>
      <c r="U58" s="15"/>
      <c r="V58" s="15"/>
      <c r="W58" s="15"/>
      <c r="X58" s="15"/>
      <c r="Y58" s="15"/>
      <c r="Z58" s="15"/>
    </row>
    <row r="59" spans="1:26" ht="22.5" hidden="1" customHeight="1" outlineLevel="1" x14ac:dyDescent="0.85">
      <c r="A59" s="396" t="s">
        <v>935</v>
      </c>
      <c r="B59" s="397">
        <v>44</v>
      </c>
      <c r="C59" s="76"/>
      <c r="D59" s="76"/>
      <c r="E59" s="76"/>
      <c r="F59" s="76"/>
      <c r="G59" s="76"/>
      <c r="H59" s="76"/>
      <c r="I59" s="76"/>
      <c r="J59" s="76"/>
      <c r="K59" s="76"/>
      <c r="L59" s="76"/>
      <c r="M59" s="76"/>
      <c r="N59" s="76"/>
      <c r="O59" s="76"/>
      <c r="P59" s="76"/>
      <c r="Q59" s="76"/>
      <c r="R59" s="76"/>
      <c r="S59" s="76"/>
      <c r="T59" s="15"/>
      <c r="U59" s="15"/>
      <c r="V59" s="15"/>
      <c r="W59" s="15"/>
      <c r="X59" s="15"/>
      <c r="Y59" s="15"/>
      <c r="Z59" s="15"/>
    </row>
    <row r="60" spans="1:26" ht="22.5" hidden="1" customHeight="1" outlineLevel="1" x14ac:dyDescent="0.85">
      <c r="A60" s="396" t="s">
        <v>936</v>
      </c>
      <c r="B60" s="397">
        <v>32.4</v>
      </c>
      <c r="C60" s="76"/>
      <c r="D60" s="76"/>
      <c r="E60" s="76"/>
      <c r="F60" s="76"/>
      <c r="G60" s="76"/>
      <c r="H60" s="76"/>
      <c r="I60" s="76"/>
      <c r="J60" s="76"/>
      <c r="K60" s="76"/>
      <c r="L60" s="76"/>
      <c r="M60" s="76"/>
      <c r="N60" s="76"/>
      <c r="O60" s="76"/>
      <c r="P60" s="76"/>
      <c r="Q60" s="76"/>
      <c r="R60" s="76"/>
      <c r="S60" s="76"/>
      <c r="T60" s="15"/>
      <c r="U60" s="15"/>
      <c r="V60" s="15"/>
      <c r="W60" s="15"/>
      <c r="X60" s="15"/>
      <c r="Y60" s="15"/>
      <c r="Z60" s="15"/>
    </row>
    <row r="61" spans="1:26" ht="22.5" hidden="1" customHeight="1" outlineLevel="1" x14ac:dyDescent="0.85">
      <c r="A61" s="396" t="s">
        <v>937</v>
      </c>
      <c r="B61" s="397">
        <v>22.1</v>
      </c>
      <c r="C61" s="76"/>
      <c r="D61" s="76"/>
      <c r="E61" s="76"/>
      <c r="F61" s="76"/>
      <c r="G61" s="76"/>
      <c r="H61" s="76"/>
      <c r="I61" s="76"/>
      <c r="J61" s="76"/>
      <c r="K61" s="76"/>
      <c r="L61" s="76"/>
      <c r="M61" s="76"/>
      <c r="N61" s="76"/>
      <c r="O61" s="76"/>
      <c r="P61" s="76"/>
      <c r="Q61" s="76"/>
      <c r="R61" s="76"/>
      <c r="S61" s="76"/>
      <c r="T61" s="15"/>
      <c r="U61" s="15"/>
      <c r="V61" s="15"/>
      <c r="W61" s="15"/>
      <c r="X61" s="15"/>
      <c r="Y61" s="15"/>
      <c r="Z61" s="15"/>
    </row>
    <row r="62" spans="1:26" ht="22.5" hidden="1" customHeight="1" outlineLevel="1" x14ac:dyDescent="0.85">
      <c r="A62" s="396" t="s">
        <v>938</v>
      </c>
      <c r="B62" s="397">
        <v>6.59</v>
      </c>
      <c r="C62" s="76"/>
      <c r="D62" s="76"/>
      <c r="E62" s="76"/>
      <c r="F62" s="76"/>
      <c r="G62" s="76"/>
      <c r="H62" s="76"/>
      <c r="I62" s="76"/>
      <c r="J62" s="76"/>
      <c r="K62" s="76"/>
      <c r="L62" s="76"/>
      <c r="M62" s="76"/>
      <c r="N62" s="76"/>
      <c r="O62" s="76"/>
      <c r="P62" s="76"/>
      <c r="Q62" s="76"/>
      <c r="R62" s="76"/>
      <c r="S62" s="76"/>
      <c r="T62" s="15"/>
      <c r="U62" s="15"/>
      <c r="V62" s="15"/>
      <c r="W62" s="15"/>
      <c r="X62" s="15"/>
      <c r="Y62" s="15"/>
      <c r="Z62" s="15"/>
    </row>
    <row r="63" spans="1:26" ht="22.5" hidden="1" customHeight="1" outlineLevel="1" x14ac:dyDescent="0.85">
      <c r="A63" s="76"/>
      <c r="B63" s="76"/>
      <c r="C63" s="76"/>
      <c r="D63" s="76"/>
      <c r="E63" s="76"/>
      <c r="F63" s="76"/>
      <c r="G63" s="76"/>
      <c r="H63" s="76"/>
      <c r="I63" s="76"/>
      <c r="J63" s="76"/>
      <c r="K63" s="76"/>
      <c r="L63" s="76"/>
      <c r="M63" s="76"/>
      <c r="N63" s="76"/>
      <c r="O63" s="76"/>
      <c r="P63" s="76"/>
      <c r="Q63" s="76"/>
      <c r="R63" s="76"/>
      <c r="S63" s="76"/>
      <c r="T63" s="76"/>
      <c r="U63" s="76"/>
      <c r="V63" s="76"/>
      <c r="W63" s="76"/>
      <c r="X63" s="76"/>
      <c r="Y63" s="76"/>
      <c r="Z63" s="76"/>
    </row>
    <row r="64" spans="1:26" ht="22.5" customHeight="1" collapsed="1" x14ac:dyDescent="1.1000000000000001">
      <c r="A64" s="376" t="s">
        <v>254</v>
      </c>
      <c r="B64" s="355"/>
      <c r="C64" s="355"/>
      <c r="D64" s="355"/>
      <c r="E64" s="355"/>
      <c r="F64" s="355"/>
      <c r="G64" s="355"/>
      <c r="H64" s="355"/>
      <c r="I64" s="355"/>
      <c r="J64" s="355"/>
      <c r="K64" s="355"/>
      <c r="L64" s="355"/>
      <c r="M64" s="355"/>
      <c r="N64" s="355"/>
      <c r="O64" s="355"/>
      <c r="P64" s="355"/>
      <c r="Q64" s="355"/>
      <c r="R64" s="355"/>
      <c r="S64" s="356"/>
      <c r="T64" s="3"/>
      <c r="U64" s="3"/>
      <c r="V64" s="3"/>
      <c r="W64" s="3"/>
      <c r="X64" s="3"/>
      <c r="Y64" s="3"/>
      <c r="Z64" s="3"/>
    </row>
    <row r="65" spans="1:26" ht="22.5" hidden="1" customHeight="1" outlineLevel="1" x14ac:dyDescent="0.85">
      <c r="A65" s="804" t="s">
        <v>939</v>
      </c>
      <c r="B65" s="765"/>
      <c r="C65" s="765"/>
      <c r="D65" s="765"/>
      <c r="E65" s="765"/>
      <c r="F65" s="765"/>
      <c r="G65" s="765"/>
      <c r="H65" s="765"/>
      <c r="I65" s="765"/>
      <c r="J65" s="765"/>
      <c r="K65" s="765"/>
      <c r="L65" s="765"/>
      <c r="M65" s="765"/>
      <c r="N65" s="765"/>
      <c r="O65" s="765"/>
      <c r="P65" s="765"/>
      <c r="Q65" s="765"/>
      <c r="R65" s="765"/>
      <c r="S65" s="762"/>
      <c r="T65" s="3"/>
      <c r="U65" s="3"/>
      <c r="V65" s="3"/>
      <c r="W65" s="3"/>
      <c r="X65" s="3"/>
      <c r="Y65" s="3"/>
      <c r="Z65" s="3"/>
    </row>
    <row r="66" spans="1:26" ht="22.5" hidden="1" customHeight="1" outlineLevel="1" x14ac:dyDescent="0.85">
      <c r="A66" s="867" t="s">
        <v>940</v>
      </c>
      <c r="B66" s="765"/>
      <c r="C66" s="765"/>
      <c r="D66" s="765"/>
      <c r="E66" s="765"/>
      <c r="F66" s="765"/>
      <c r="G66" s="765"/>
      <c r="H66" s="765"/>
      <c r="I66" s="765"/>
      <c r="J66" s="765"/>
      <c r="K66" s="765"/>
      <c r="L66" s="765"/>
      <c r="M66" s="765"/>
      <c r="N66" s="765"/>
      <c r="O66" s="765"/>
      <c r="P66" s="765"/>
      <c r="Q66" s="765"/>
      <c r="R66" s="765"/>
      <c r="S66" s="762"/>
      <c r="T66" s="3"/>
      <c r="U66" s="3"/>
      <c r="V66" s="3"/>
      <c r="W66" s="3"/>
      <c r="X66" s="3"/>
      <c r="Y66" s="3"/>
      <c r="Z66" s="3"/>
    </row>
    <row r="67" spans="1:26" ht="22.5" hidden="1" customHeight="1" outlineLevel="1" x14ac:dyDescent="0.85">
      <c r="A67" s="399" t="s">
        <v>162</v>
      </c>
      <c r="B67" s="400" t="s">
        <v>941</v>
      </c>
      <c r="C67" s="400" t="s">
        <v>942</v>
      </c>
      <c r="D67" s="400" t="s">
        <v>943</v>
      </c>
      <c r="E67" s="400" t="s">
        <v>944</v>
      </c>
      <c r="F67" s="400" t="s">
        <v>945</v>
      </c>
      <c r="G67" s="400" t="s">
        <v>946</v>
      </c>
      <c r="H67" s="400" t="s">
        <v>947</v>
      </c>
      <c r="I67" s="400" t="s">
        <v>948</v>
      </c>
      <c r="J67" s="400" t="s">
        <v>949</v>
      </c>
      <c r="K67" s="400" t="s">
        <v>950</v>
      </c>
      <c r="L67" s="400" t="s">
        <v>951</v>
      </c>
      <c r="M67" s="400" t="s">
        <v>952</v>
      </c>
      <c r="N67" s="400" t="s">
        <v>953</v>
      </c>
      <c r="O67" s="401" t="s">
        <v>954</v>
      </c>
      <c r="P67" s="401" t="s">
        <v>955</v>
      </c>
      <c r="Q67" s="401" t="s">
        <v>956</v>
      </c>
      <c r="R67" s="401" t="s">
        <v>957</v>
      </c>
      <c r="S67" s="401" t="s">
        <v>958</v>
      </c>
      <c r="T67" s="3"/>
      <c r="U67" s="3"/>
      <c r="V67" s="3"/>
      <c r="W67" s="3"/>
      <c r="X67" s="3"/>
      <c r="Y67" s="3"/>
      <c r="Z67" s="3"/>
    </row>
    <row r="68" spans="1:26" ht="22.5" hidden="1" customHeight="1" outlineLevel="1" x14ac:dyDescent="0.85">
      <c r="A68" s="86" t="s">
        <v>105</v>
      </c>
      <c r="B68" s="103">
        <f t="shared" ref="B68:B72" si="7">H92*$C$24</f>
        <v>1408232.7385834639</v>
      </c>
      <c r="C68" s="402">
        <f>((B78*$C$25)/'Conversion Factors and GWP'!$A$8)+((C78*$C$26)/'Conversion Factors and GWP'!$A$8)+((D78*$C$27)/'Conversion Factors and GWP'!$A$8)+((E78*$C$28)/'Conversion Factors and GWP'!$A$8)+((F78*$C$25)/'Conversion Factors and GWP'!$A$8)+((G78*$C$26)/'Conversion Factors and GWP'!$A$8)</f>
        <v>33.239560394370585</v>
      </c>
      <c r="D68" s="402">
        <f>((B78*$C$29)/'Conversion Factors and GWP'!$A$8)+((C78*$C$30)/'Conversion Factors and GWP'!$A$8)+((D78*$C$31)/'Conversion Factors and GWP'!$A$8)+((E78*$C$32)/'Conversion Factors and GWP'!$A$8)+((F78*$C$29)/'Conversion Factors and GWP'!$A$8)+((G78*$C$30)/'Conversion Factors and GWP'!$A$8)</f>
        <v>24.777039124670857</v>
      </c>
      <c r="E68" s="402">
        <f>B68+(C68*'Conversion Factors and GWP'!$C$31)+('Conversion Factors and GWP'!$C$32*'On-Road Data'!D68)</f>
        <v>1415729.3616425442</v>
      </c>
      <c r="F68" s="402">
        <f t="shared" ref="F68:F72" si="8">I92*$C$35</f>
        <v>363330.2892319244</v>
      </c>
      <c r="G68" s="402">
        <f>((H78*$C$36)/'Conversion Factors and GWP'!$A$8)+((I78*$C$37)/'Conversion Factors and GWP'!$A$8)+((J78*$C$38)/'Conversion Factors and GWP'!$A$8)</f>
        <v>5.0824496901760297</v>
      </c>
      <c r="H68" s="402">
        <f>((H78*$C$40)/'Conversion Factors and GWP'!$A$8)+((I78*$C$41)/'Conversion Factors and GWP'!$A$8)+((J78*$C$42)/'Conversion Factors and GWP'!$A$8)</f>
        <v>9.5978409774355224</v>
      </c>
      <c r="I68" s="402">
        <f>F68+(G68*'Conversion Factors and GWP'!$C$31)+('Conversion Factors and GWP'!$C$32*'On-Road Data'!H68)</f>
        <v>366016.02568226977</v>
      </c>
      <c r="J68" s="402"/>
      <c r="K68" s="402">
        <f>(((K78+L78+N78)*$C$47)/'Conversion Factors and GWP'!$A$8)+(((M78*$C$48)/'Conversion Factors and GWP'!$A$8))</f>
        <v>22.646273984318842</v>
      </c>
      <c r="L68" s="402">
        <f>(((K78+L78+N78)*$C$49)/'Conversion Factors and GWP'!$A$8)+((M78*$C$50)/'Conversion Factors and GWP'!$A$8)</f>
        <v>26.244470669857407</v>
      </c>
      <c r="M68" s="402">
        <f>(K68*'Conversion Factors and GWP'!$C$31)+('Conversion Factors and GWP'!$C$32*'On-Road Data'!L68)</f>
        <v>7588.8803990731403</v>
      </c>
      <c r="N68" s="403">
        <f t="shared" ref="N68:N72" si="9">J92*$C$46</f>
        <v>103072.23956201921</v>
      </c>
      <c r="O68" s="402">
        <f t="shared" ref="O68:O72" si="10">N68</f>
        <v>103072.23956201921</v>
      </c>
      <c r="P68" s="402">
        <f t="shared" ref="P68:P72" si="11">F68+B68</f>
        <v>1771563.0278153883</v>
      </c>
      <c r="Q68" s="402">
        <f t="shared" ref="Q68:S68" si="12">C68+G68+K68</f>
        <v>60.968284068865458</v>
      </c>
      <c r="R68" s="402">
        <f t="shared" si="12"/>
        <v>60.619350771963788</v>
      </c>
      <c r="S68" s="402">
        <f t="shared" si="12"/>
        <v>1789334.2677238872</v>
      </c>
      <c r="T68" s="15"/>
      <c r="U68" s="15"/>
      <c r="V68" s="15"/>
      <c r="W68" s="15"/>
      <c r="X68" s="15"/>
      <c r="Y68" s="15"/>
      <c r="Z68" s="15"/>
    </row>
    <row r="69" spans="1:26" ht="22.5" hidden="1" customHeight="1" outlineLevel="1" x14ac:dyDescent="0.85">
      <c r="A69" s="86" t="s">
        <v>107</v>
      </c>
      <c r="B69" s="103">
        <f t="shared" si="7"/>
        <v>1858116.5956006674</v>
      </c>
      <c r="C69" s="402">
        <f>((B80*$C$25)/'Conversion Factors and GWP'!$A$8)+((C80*$C$26)/'Conversion Factors and GWP'!$A$8)+((D80*$C$27)/'Conversion Factors and GWP'!$A$8)+((E80*$C$28)/'Conversion Factors and GWP'!$A$8)+((F80*$C$25)/'Conversion Factors and GWP'!$A$8)+((G80*$C$26)/'Conversion Factors and GWP'!$A$8)</f>
        <v>43.858502296557738</v>
      </c>
      <c r="D69" s="402">
        <f>((B80*$C$29)/'Conversion Factors and GWP'!$A$8)+((C80*$C$30)/'Conversion Factors and GWP'!$A$8)+((D80*$C$31)/'Conversion Factors and GWP'!$A$8)+((E80*$C$32)/'Conversion Factors and GWP'!$A$8)+((F80*$C$29)/'Conversion Factors and GWP'!$A$8)+((G80*$C$30)/'Conversion Factors and GWP'!$A$8)</f>
        <v>32.692484932361424</v>
      </c>
      <c r="E69" s="402">
        <f>B69+(C69*'Conversion Factors and GWP'!$C$31)+('Conversion Factors and GWP'!$C$32*'On-Road Data'!D69)</f>
        <v>1868008.1421720467</v>
      </c>
      <c r="F69" s="402">
        <f t="shared" si="8"/>
        <v>479402.31867164216</v>
      </c>
      <c r="G69" s="402">
        <f>((H80*$C$36)/'Conversion Factors and GWP'!$A$8)+((I80*$C$37)/'Conversion Factors and GWP'!$A$8)+((J80*$C$38)/'Conversion Factors and GWP'!$A$8)</f>
        <v>6.706124532455493</v>
      </c>
      <c r="H69" s="402">
        <f>((H80*$C$40)/'Conversion Factors and GWP'!$A$8)+((I80*$C$41)/'Conversion Factors and GWP'!$A$8)+((J80*$C$42)/'Conversion Factors and GWP'!$A$8)</f>
        <v>12.664034227785484</v>
      </c>
      <c r="I69" s="402">
        <f>F69+(G69*'Conversion Factors and GWP'!$C$31)+('Conversion Factors and GWP'!$C$32*'On-Road Data'!H69)</f>
        <v>482946.05922891409</v>
      </c>
      <c r="J69" s="402"/>
      <c r="K69" s="402">
        <f>(((K80+L80+N80)*$C$47)/'Conversion Factors and GWP'!$A$8)+(((M80*$C$48)/'Conversion Factors and GWP'!$A$8))</f>
        <v>29.881010692245386</v>
      </c>
      <c r="L69" s="402">
        <f>(((K80+L80+N80)*$C$49)/'Conversion Factors and GWP'!$A$8)+((M80*$C$50)/'Conversion Factors and GWP'!$A$8)</f>
        <v>34.628712398399308</v>
      </c>
      <c r="M69" s="402">
        <f>(K69*'Conversion Factors and GWP'!$C$31)+('Conversion Factors and GWP'!$C$32*'On-Road Data'!L69)</f>
        <v>10013.277084958687</v>
      </c>
      <c r="N69" s="403">
        <f t="shared" si="9"/>
        <v>136000.41642872547</v>
      </c>
      <c r="O69" s="402">
        <f t="shared" si="10"/>
        <v>136000.41642872547</v>
      </c>
      <c r="P69" s="402">
        <f t="shared" si="11"/>
        <v>2337518.9142723097</v>
      </c>
      <c r="Q69" s="402">
        <f t="shared" ref="Q69:S69" si="13">C69+G69+K69</f>
        <v>80.445637521258618</v>
      </c>
      <c r="R69" s="402">
        <f t="shared" si="13"/>
        <v>79.985231558546218</v>
      </c>
      <c r="S69" s="402">
        <f t="shared" si="13"/>
        <v>2360967.4784859195</v>
      </c>
      <c r="T69" s="15"/>
      <c r="U69" s="15"/>
      <c r="V69" s="15"/>
      <c r="W69" s="15"/>
      <c r="X69" s="15"/>
      <c r="Y69" s="15"/>
      <c r="Z69" s="15"/>
    </row>
    <row r="70" spans="1:26" ht="22.5" hidden="1" customHeight="1" outlineLevel="1" x14ac:dyDescent="0.85">
      <c r="A70" s="86" t="s">
        <v>108</v>
      </c>
      <c r="B70" s="103">
        <f t="shared" si="7"/>
        <v>486351.949121574</v>
      </c>
      <c r="C70" s="402">
        <f>((B82*$C$25)/'Conversion Factors and GWP'!$A$8)+((C82*$C$26)/'Conversion Factors and GWP'!$A$8)+((D82*$C$27)/'Conversion Factors and GWP'!$A$8)+((E82*$C$28)/'Conversion Factors and GWP'!$A$8)+((F82*$C$25)/'Conversion Factors and GWP'!$A$8)+((G82*$C$26)/'Conversion Factors and GWP'!$A$8)</f>
        <v>11.465718023230325</v>
      </c>
      <c r="D70" s="402">
        <f>((B82*$C$29)/'Conversion Factors and GWP'!$A$8)+((C82*$C$30)/'Conversion Factors and GWP'!$A$8)+((D82*$C$31)/'Conversion Factors and GWP'!$A$8)+((E82*$C$32)/'Conversion Factors and GWP'!$A$8)+((F82*$C$29)/'Conversion Factors and GWP'!$A$8)+((G82*$C$30)/'Conversion Factors and GWP'!$A$8)</f>
        <v>8.5467909878622219</v>
      </c>
      <c r="E70" s="402">
        <f>B70+(C70*'Conversion Factors and GWP'!$C$31)+('Conversion Factors and GWP'!$C$32*'On-Road Data'!D70)</f>
        <v>488937.88883800793</v>
      </c>
      <c r="F70" s="402">
        <f t="shared" si="8"/>
        <v>124155.07683516417</v>
      </c>
      <c r="G70" s="402">
        <f>((H82*$C$36)/'Conversion Factors and GWP'!$A$8)+((I82*$C$37)/'Conversion Factors and GWP'!$A$8)+((J82*$C$38)/'Conversion Factors and GWP'!$A$8)</f>
        <v>1.6764487490624926</v>
      </c>
      <c r="H70" s="402">
        <f>((H82*$C$40)/'Conversion Factors and GWP'!$A$8)+((I82*$C$41)/'Conversion Factors and GWP'!$A$8)+((J82*$C$42)/'Conversion Factors and GWP'!$A$8)</f>
        <v>3.2534197045379614</v>
      </c>
      <c r="I70" s="402">
        <f>F70+(G70*'Conversion Factors and GWP'!$C$31)+('Conversion Factors and GWP'!$C$32*'On-Road Data'!H70)</f>
        <v>125064.17362184048</v>
      </c>
      <c r="J70" s="402"/>
      <c r="K70" s="402">
        <f>(((K82+L82+N82)*$C$47)/'Conversion Factors and GWP'!$A$8)+(((M82*$C$48)/'Conversion Factors and GWP'!$A$8))</f>
        <v>7.8135694046604076</v>
      </c>
      <c r="L70" s="402">
        <f>(((K82+L82+N82)*$C$49)/'Conversion Factors and GWP'!$A$8)+((M82*$C$50)/'Conversion Factors and GWP'!$A$8)</f>
        <v>9.0559360492220389</v>
      </c>
      <c r="M70" s="402">
        <f>(K70*'Conversion Factors and GWP'!$C$31)+('Conversion Factors and GWP'!$C$32*'On-Road Data'!L70)</f>
        <v>2618.6029963743317</v>
      </c>
      <c r="N70" s="403">
        <f t="shared" si="9"/>
        <v>35564.353964401154</v>
      </c>
      <c r="O70" s="402">
        <f t="shared" si="10"/>
        <v>35564.353964401154</v>
      </c>
      <c r="P70" s="402">
        <f t="shared" si="11"/>
        <v>610507.02595673816</v>
      </c>
      <c r="Q70" s="402">
        <f t="shared" ref="Q70:S70" si="14">C70+G70+K70</f>
        <v>20.955736176953224</v>
      </c>
      <c r="R70" s="402">
        <f t="shared" si="14"/>
        <v>20.856146741622222</v>
      </c>
      <c r="S70" s="402">
        <f t="shared" si="14"/>
        <v>616620.66545622272</v>
      </c>
      <c r="T70" s="15"/>
      <c r="U70" s="15"/>
      <c r="V70" s="15"/>
      <c r="W70" s="15"/>
      <c r="X70" s="15"/>
      <c r="Y70" s="15"/>
      <c r="Z70" s="15"/>
    </row>
    <row r="71" spans="1:26" ht="22.5" hidden="1" customHeight="1" outlineLevel="1" x14ac:dyDescent="0.85">
      <c r="A71" s="86" t="s">
        <v>109</v>
      </c>
      <c r="B71" s="103">
        <f t="shared" si="7"/>
        <v>203116.6580204693</v>
      </c>
      <c r="C71" s="402">
        <f>((B84*$C$25)/'Conversion Factors and GWP'!$A$8)+((C84*$C$26)/'Conversion Factors and GWP'!$A$8)+((D84*$C$27)/'Conversion Factors and GWP'!$A$8)+((E84*$C$28)/'Conversion Factors and GWP'!$A$8)+((F84*$C$25)/'Conversion Factors and GWP'!$A$8)+((G84*$C$26)/'Conversion Factors and GWP'!$A$8)</f>
        <v>4.7809666741482806</v>
      </c>
      <c r="D71" s="402">
        <f>((B84*$C$29)/'Conversion Factors and GWP'!$A$8)+((C84*$C$30)/'Conversion Factors and GWP'!$A$8)+((D84*$C$31)/'Conversion Factors and GWP'!$A$8)+((E84*$C$32)/'Conversion Factors and GWP'!$A$8)+((F84*$C$29)/'Conversion Factors and GWP'!$A$8)+((G84*$C$30)/'Conversion Factors and GWP'!$A$8)</f>
        <v>3.5633475158751864</v>
      </c>
      <c r="E71" s="402">
        <f>B71+(C71*'Conversion Factors and GWP'!$C$31)+('Conversion Factors and GWP'!$C$32*'On-Road Data'!D71)</f>
        <v>204194.81217905239</v>
      </c>
      <c r="F71" s="402">
        <f t="shared" si="8"/>
        <v>55544.306104739451</v>
      </c>
      <c r="G71" s="402">
        <f>((H84*$C$36)/'Conversion Factors and GWP'!$A$8)+((I84*$C$37)/'Conversion Factors and GWP'!$A$8)+((J84*$C$38)/'Conversion Factors and GWP'!$A$8)</f>
        <v>0.94588392513061004</v>
      </c>
      <c r="H71" s="402">
        <f>((H84*$C$40)/'Conversion Factors and GWP'!$A$8)+((I84*$C$41)/'Conversion Factors and GWP'!$A$8)+((J84*$C$42)/'Conversion Factors and GWP'!$A$8)</f>
        <v>1.5409405250645207</v>
      </c>
      <c r="I71" s="402">
        <f>F71+(G71*'Conversion Factors and GWP'!$C$31)+('Conversion Factors and GWP'!$C$32*'On-Road Data'!H71)</f>
        <v>55979.140093785201</v>
      </c>
      <c r="J71" s="402"/>
      <c r="K71" s="402">
        <f>(((K84+L84+N84)*$C$47)/'Conversion Factors and GWP'!$A$8)+(((M84*$C$48)/'Conversion Factors and GWP'!$A$8))</f>
        <v>3.2519174557119781</v>
      </c>
      <c r="L71" s="402">
        <f>(((K84+L84+N84)*$C$49)/'Conversion Factors and GWP'!$A$8)+((M84*$C$50)/'Conversion Factors and GWP'!$A$8)</f>
        <v>3.7661040082229338</v>
      </c>
      <c r="M71" s="402">
        <f>(K71*'Conversion Factors and GWP'!$C$31)+('Conversion Factors and GWP'!$C$32*'On-Road Data'!L71)</f>
        <v>1089.0712509390128</v>
      </c>
      <c r="N71" s="403">
        <f t="shared" si="9"/>
        <v>14796.074224803102</v>
      </c>
      <c r="O71" s="402">
        <f t="shared" si="10"/>
        <v>14796.074224803102</v>
      </c>
      <c r="P71" s="402">
        <f t="shared" si="11"/>
        <v>258660.96412520876</v>
      </c>
      <c r="Q71" s="402">
        <f t="shared" ref="Q71:S71" si="15">C71+G71+K71</f>
        <v>8.9787680549908693</v>
      </c>
      <c r="R71" s="402">
        <f t="shared" si="15"/>
        <v>8.8703920491626409</v>
      </c>
      <c r="S71" s="402">
        <f t="shared" si="15"/>
        <v>261263.02352377659</v>
      </c>
      <c r="T71" s="15"/>
      <c r="U71" s="15"/>
      <c r="V71" s="15"/>
      <c r="W71" s="15"/>
      <c r="X71" s="15"/>
      <c r="Y71" s="15"/>
      <c r="Z71" s="15"/>
    </row>
    <row r="72" spans="1:26" ht="22.5" hidden="1" customHeight="1" outlineLevel="1" x14ac:dyDescent="0.85">
      <c r="A72" s="86" t="s">
        <v>110</v>
      </c>
      <c r="B72" s="103">
        <f t="shared" si="7"/>
        <v>179570.35178691903</v>
      </c>
      <c r="C72" s="402">
        <f>((B86*$C$25)/'Conversion Factors and GWP'!$A$8)+((C86*$C$26)/'Conversion Factors and GWP'!$A$8)+((D86*$C$27)/'Conversion Factors and GWP'!$A$8)+((E86*$C$28)/'Conversion Factors and GWP'!$A$8)+((F86*$C$25)/'Conversion Factors and GWP'!$A$8)+((G86*$C$26)/'Conversion Factors and GWP'!$A$8)</f>
        <v>4.2238469631046334</v>
      </c>
      <c r="D72" s="402">
        <f>((B86*$C$29)/'Conversion Factors and GWP'!$A$8)+((C86*$C$30)/'Conversion Factors and GWP'!$A$8)+((D86*$C$31)/'Conversion Factors and GWP'!$A$8)+((E86*$C$32)/'Conversion Factors and GWP'!$A$8)+((F86*$C$29)/'Conversion Factors and GWP'!$A$8)+((G86*$C$30)/'Conversion Factors and GWP'!$A$8)</f>
        <v>3.1483555724536525</v>
      </c>
      <c r="E72" s="402">
        <f>B72+(C72*'Conversion Factors and GWP'!$C$31)+('Conversion Factors and GWP'!$C$32*'On-Road Data'!D72)</f>
        <v>180522.93372858618</v>
      </c>
      <c r="F72" s="402">
        <f t="shared" si="8"/>
        <v>47210.524304530401</v>
      </c>
      <c r="G72" s="402">
        <f>((H86*$C$36)/'Conversion Factors and GWP'!$A$8)+((I86*$C$37)/'Conversion Factors and GWP'!$A$8)+((J86*$C$38)/'Conversion Factors and GWP'!$A$8)</f>
        <v>0.7139308227704948</v>
      </c>
      <c r="H72" s="402">
        <f>((H86*$C$40)/'Conversion Factors and GWP'!$A$8)+((I86*$C$41)/'Conversion Factors and GWP'!$A$8)+((J86*$C$42)/'Conversion Factors and GWP'!$A$8)</f>
        <v>1.2704722822635302</v>
      </c>
      <c r="I72" s="402">
        <f>F72+(G72*'Conversion Factors and GWP'!$C$31)+('Conversion Factors and GWP'!$C$32*'On-Road Data'!H72)</f>
        <v>47567.189522367808</v>
      </c>
      <c r="J72" s="402"/>
      <c r="K72" s="402">
        <f>(((K86+L86+N86)*$C$47)/'Conversion Factors and GWP'!$A$8)+(((M86*$C$48)/'Conversion Factors and GWP'!$A$8))</f>
        <v>2.8760230231962054</v>
      </c>
      <c r="L72" s="402">
        <f>(((K86+L86+N86)*$C$49)/'Conversion Factors and GWP'!$A$8)+((M86*$C$50)/'Conversion Factors and GWP'!$A$8)</f>
        <v>3.3321930077445705</v>
      </c>
      <c r="M72" s="402">
        <f>(K72*'Conversion Factors and GWP'!$C$31)+('Conversion Factors and GWP'!$C$32*'On-Road Data'!L72)</f>
        <v>963.55979170180501</v>
      </c>
      <c r="N72" s="403">
        <f t="shared" si="9"/>
        <v>13088.439853025213</v>
      </c>
      <c r="O72" s="402">
        <f t="shared" si="10"/>
        <v>13088.439853025213</v>
      </c>
      <c r="P72" s="402">
        <f t="shared" si="11"/>
        <v>226780.87609144943</v>
      </c>
      <c r="Q72" s="402">
        <f t="shared" ref="Q72:S72" si="16">C72+G72+K72</f>
        <v>7.8138008090713331</v>
      </c>
      <c r="R72" s="402">
        <f t="shared" si="16"/>
        <v>7.7510208624617531</v>
      </c>
      <c r="S72" s="402">
        <f t="shared" si="16"/>
        <v>229053.68304265582</v>
      </c>
      <c r="T72" s="15"/>
      <c r="U72" s="15"/>
      <c r="V72" s="15"/>
      <c r="W72" s="15"/>
      <c r="X72" s="15"/>
      <c r="Y72" s="15"/>
      <c r="Z72" s="15"/>
    </row>
    <row r="73" spans="1:26" ht="22.5" hidden="1" customHeight="1" outlineLevel="1" x14ac:dyDescent="0.85">
      <c r="A73" s="404" t="s">
        <v>959</v>
      </c>
      <c r="B73" s="405">
        <f t="shared" ref="B73:S73" si="17">B68</f>
        <v>1408232.7385834639</v>
      </c>
      <c r="C73" s="405">
        <f t="shared" si="17"/>
        <v>33.239560394370585</v>
      </c>
      <c r="D73" s="405">
        <f t="shared" si="17"/>
        <v>24.777039124670857</v>
      </c>
      <c r="E73" s="405">
        <f t="shared" si="17"/>
        <v>1415729.3616425442</v>
      </c>
      <c r="F73" s="405">
        <f t="shared" si="17"/>
        <v>363330.2892319244</v>
      </c>
      <c r="G73" s="405">
        <f t="shared" si="17"/>
        <v>5.0824496901760297</v>
      </c>
      <c r="H73" s="405">
        <f t="shared" si="17"/>
        <v>9.5978409774355224</v>
      </c>
      <c r="I73" s="405">
        <f t="shared" si="17"/>
        <v>366016.02568226977</v>
      </c>
      <c r="J73" s="405">
        <f t="shared" si="17"/>
        <v>0</v>
      </c>
      <c r="K73" s="405">
        <f t="shared" si="17"/>
        <v>22.646273984318842</v>
      </c>
      <c r="L73" s="405">
        <f t="shared" si="17"/>
        <v>26.244470669857407</v>
      </c>
      <c r="M73" s="405">
        <f t="shared" si="17"/>
        <v>7588.8803990731403</v>
      </c>
      <c r="N73" s="405">
        <f t="shared" si="17"/>
        <v>103072.23956201921</v>
      </c>
      <c r="O73" s="405">
        <f t="shared" si="17"/>
        <v>103072.23956201921</v>
      </c>
      <c r="P73" s="405">
        <f t="shared" si="17"/>
        <v>1771563.0278153883</v>
      </c>
      <c r="Q73" s="405">
        <f t="shared" si="17"/>
        <v>60.968284068865458</v>
      </c>
      <c r="R73" s="405">
        <f t="shared" si="17"/>
        <v>60.619350771963788</v>
      </c>
      <c r="S73" s="405">
        <f t="shared" si="17"/>
        <v>1789334.2677238872</v>
      </c>
      <c r="T73" s="15"/>
      <c r="U73" s="15"/>
      <c r="V73" s="15"/>
      <c r="W73" s="15"/>
      <c r="X73" s="15"/>
      <c r="Y73" s="15"/>
      <c r="Z73" s="15"/>
    </row>
    <row r="74" spans="1:26" ht="22.5" hidden="1" customHeight="1" outlineLevel="1" x14ac:dyDescent="0.85">
      <c r="A74" s="404" t="s">
        <v>111</v>
      </c>
      <c r="B74" s="405">
        <f t="shared" ref="B74:S74" si="18">SUM(B69:B72)</f>
        <v>2727155.5545296296</v>
      </c>
      <c r="C74" s="405">
        <f t="shared" si="18"/>
        <v>64.329033957040977</v>
      </c>
      <c r="D74" s="405">
        <f t="shared" si="18"/>
        <v>47.950979008552487</v>
      </c>
      <c r="E74" s="405">
        <f t="shared" si="18"/>
        <v>2741663.7769176932</v>
      </c>
      <c r="F74" s="405">
        <f t="shared" si="18"/>
        <v>706312.2259160761</v>
      </c>
      <c r="G74" s="405">
        <f t="shared" si="18"/>
        <v>10.04238802941909</v>
      </c>
      <c r="H74" s="405">
        <f t="shared" si="18"/>
        <v>18.728866739651497</v>
      </c>
      <c r="I74" s="405">
        <f t="shared" si="18"/>
        <v>711556.56246690766</v>
      </c>
      <c r="J74" s="405">
        <f t="shared" si="18"/>
        <v>0</v>
      </c>
      <c r="K74" s="405">
        <f t="shared" si="18"/>
        <v>43.822520575813975</v>
      </c>
      <c r="L74" s="405">
        <f t="shared" si="18"/>
        <v>50.782945463588852</v>
      </c>
      <c r="M74" s="405">
        <f t="shared" si="18"/>
        <v>14684.511123973836</v>
      </c>
      <c r="N74" s="405">
        <f t="shared" si="18"/>
        <v>199449.28447095494</v>
      </c>
      <c r="O74" s="405">
        <f t="shared" si="18"/>
        <v>199449.28447095494</v>
      </c>
      <c r="P74" s="405">
        <f t="shared" si="18"/>
        <v>3433467.7804457061</v>
      </c>
      <c r="Q74" s="405">
        <f t="shared" si="18"/>
        <v>118.19394256227405</v>
      </c>
      <c r="R74" s="405">
        <f t="shared" si="18"/>
        <v>117.46279121179285</v>
      </c>
      <c r="S74" s="405">
        <f t="shared" si="18"/>
        <v>3467904.8505085749</v>
      </c>
      <c r="T74" s="15"/>
      <c r="U74" s="3"/>
      <c r="V74" s="3"/>
      <c r="W74" s="3"/>
      <c r="X74" s="3"/>
      <c r="Y74" s="3"/>
      <c r="Z74" s="3"/>
    </row>
    <row r="75" spans="1:26" ht="22.5" hidden="1" customHeight="1" outlineLevel="1" x14ac:dyDescent="0.85">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22.5" hidden="1" customHeight="1" outlineLevel="1" x14ac:dyDescent="0.85">
      <c r="A76" s="297" t="s">
        <v>960</v>
      </c>
      <c r="B76" s="172"/>
      <c r="C76" s="172"/>
      <c r="D76" s="172"/>
      <c r="E76" s="172"/>
      <c r="F76" s="172"/>
      <c r="G76" s="172"/>
      <c r="H76" s="172"/>
      <c r="I76" s="172"/>
      <c r="J76" s="172"/>
      <c r="K76" s="172"/>
      <c r="L76" s="172"/>
      <c r="M76" s="172"/>
      <c r="N76" s="173"/>
      <c r="O76" s="3"/>
      <c r="P76" s="3"/>
      <c r="Q76" s="3"/>
      <c r="R76" s="3"/>
      <c r="S76" s="3"/>
      <c r="T76" s="3"/>
      <c r="U76" s="3"/>
      <c r="V76" s="3"/>
      <c r="W76" s="3"/>
      <c r="X76" s="3"/>
      <c r="Y76" s="3"/>
      <c r="Z76" s="3"/>
    </row>
    <row r="77" spans="1:26" ht="22.5" hidden="1" customHeight="1" outlineLevel="1" x14ac:dyDescent="0.85">
      <c r="A77" s="400" t="s">
        <v>138</v>
      </c>
      <c r="B77" s="400" t="s">
        <v>927</v>
      </c>
      <c r="C77" s="400" t="s">
        <v>931</v>
      </c>
      <c r="D77" s="400" t="s">
        <v>932</v>
      </c>
      <c r="E77" s="400" t="s">
        <v>933</v>
      </c>
      <c r="F77" s="400" t="s">
        <v>934</v>
      </c>
      <c r="G77" s="400" t="s">
        <v>935</v>
      </c>
      <c r="H77" s="400" t="s">
        <v>936</v>
      </c>
      <c r="I77" s="400" t="s">
        <v>937</v>
      </c>
      <c r="J77" s="400" t="s">
        <v>938</v>
      </c>
      <c r="K77" s="400" t="s">
        <v>961</v>
      </c>
      <c r="L77" s="400" t="s">
        <v>962</v>
      </c>
      <c r="M77" s="400" t="s">
        <v>963</v>
      </c>
      <c r="N77" s="400" t="s">
        <v>964</v>
      </c>
      <c r="O77" s="3"/>
      <c r="P77" s="2"/>
      <c r="Q77" s="2"/>
      <c r="R77" s="2"/>
      <c r="S77" s="2"/>
      <c r="T77" s="3"/>
      <c r="U77" s="3"/>
      <c r="V77" s="3"/>
      <c r="W77" s="3"/>
      <c r="X77" s="3"/>
      <c r="Y77" s="3"/>
      <c r="Z77" s="3"/>
    </row>
    <row r="78" spans="1:26" ht="22.5" hidden="1" customHeight="1" outlineLevel="1" x14ac:dyDescent="0.85">
      <c r="A78" s="86" t="s">
        <v>965</v>
      </c>
      <c r="B78" s="403">
        <f>$D$92*B116*C103*(1-$H$53)</f>
        <v>2238532830.3476901</v>
      </c>
      <c r="C78" s="403">
        <f>$D$92*C116*C104*(1-$H$53)</f>
        <v>735938649.87827265</v>
      </c>
      <c r="D78" s="403">
        <f>$D$92*D116*C111*(1-$H$53)</f>
        <v>185979359.5312942</v>
      </c>
      <c r="E78" s="403">
        <f>$D$92*E116*C102*(1-$H$53)</f>
        <v>22188428.080741368</v>
      </c>
      <c r="F78" s="403">
        <f>$D$92*$B$116*D103*(1-$H$53)</f>
        <v>32323207.541355941</v>
      </c>
      <c r="G78" s="403">
        <f>$D$92*$C$116*D104*(1-$H$53)</f>
        <v>10626557.446569122</v>
      </c>
      <c r="H78" s="403">
        <f>$D$92*$B$116*B103</f>
        <v>92447397.548571646</v>
      </c>
      <c r="I78" s="403">
        <f>$D$92*$C$116*B104</f>
        <v>30392948.45905317</v>
      </c>
      <c r="J78" s="403">
        <f>$D$92*$D$116*B111</f>
        <v>206643732.81254911</v>
      </c>
      <c r="K78" s="403">
        <f>($D$92*B116*C103*$H$53)+($D$92*B116*D103*$H$53)</f>
        <v>252317337.54322731</v>
      </c>
      <c r="L78" s="403">
        <f>($D$92*C116*C104*$H$53)+($D$92*C116*D104*$H$53)</f>
        <v>82951689.702760205</v>
      </c>
      <c r="M78" s="403">
        <f>D92*$D$116*$C$111*$H$53</f>
        <v>20664373.281254914</v>
      </c>
      <c r="N78" s="403">
        <f>D92*$E$116*$C$102*$H$53</f>
        <v>2465380.8978601522</v>
      </c>
      <c r="O78" s="3"/>
      <c r="P78" s="2"/>
      <c r="Q78" s="2"/>
      <c r="R78" s="2"/>
      <c r="S78" s="2"/>
      <c r="T78" s="3"/>
      <c r="U78" s="3"/>
      <c r="V78" s="3"/>
      <c r="W78" s="3"/>
      <c r="X78" s="3"/>
      <c r="Y78" s="3"/>
      <c r="Z78" s="3"/>
    </row>
    <row r="79" spans="1:26" ht="22.5" hidden="1" customHeight="1" outlineLevel="1" x14ac:dyDescent="0.85">
      <c r="A79" s="86" t="s">
        <v>966</v>
      </c>
      <c r="B79" s="403">
        <f>B78/$B$54</f>
        <v>92885179.682476759</v>
      </c>
      <c r="C79" s="403">
        <f>C78/$B$55</f>
        <v>39780467.560987711</v>
      </c>
      <c r="D79" s="403">
        <f>D78/$B$56</f>
        <v>26305425.676279236</v>
      </c>
      <c r="E79" s="403">
        <f>E78/$B$57</f>
        <v>443768.56161482737</v>
      </c>
      <c r="F79" s="403">
        <f>F78/$B$58</f>
        <v>734618.35321263503</v>
      </c>
      <c r="G79" s="403">
        <f>G78/$B$59</f>
        <v>241512.66924020732</v>
      </c>
      <c r="H79" s="403">
        <f>H78/$B$60</f>
        <v>2853314.7391534462</v>
      </c>
      <c r="I79" s="403">
        <f>I78/$B$61</f>
        <v>1375246.5366087407</v>
      </c>
      <c r="J79" s="403">
        <f>J78/$B$62</f>
        <v>31357167.346365571</v>
      </c>
      <c r="K79" s="403">
        <f>K78/$B$54</f>
        <v>10469599.068183705</v>
      </c>
      <c r="L79" s="403">
        <f>L78/$B$55</f>
        <v>4483875.1190681187</v>
      </c>
      <c r="M79" s="403">
        <f>M78/$B$56</f>
        <v>2922825.0751421377</v>
      </c>
      <c r="N79" s="403">
        <f>N78/$B$57</f>
        <v>49307.617957203045</v>
      </c>
      <c r="O79" s="3"/>
      <c r="P79" s="2"/>
      <c r="Q79" s="2"/>
      <c r="R79" s="2"/>
      <c r="S79" s="2"/>
      <c r="T79" s="3"/>
      <c r="U79" s="3"/>
      <c r="V79" s="3"/>
      <c r="W79" s="3"/>
      <c r="X79" s="3"/>
      <c r="Y79" s="3"/>
      <c r="Z79" s="3"/>
    </row>
    <row r="80" spans="1:26" ht="22.5" hidden="1" customHeight="1" outlineLevel="1" x14ac:dyDescent="0.85">
      <c r="A80" s="86" t="s">
        <v>967</v>
      </c>
      <c r="B80" s="403">
        <f>$D$93*B116*C103*(1-$H$53)</f>
        <v>2953670148.3378072</v>
      </c>
      <c r="C80" s="403">
        <f>$D$93*C116*C104*(1-$H$53)</f>
        <v>971046746.1921742</v>
      </c>
      <c r="D80" s="403">
        <f>$D$93*D116*C111*(1-$H$53)</f>
        <v>245393623.45168158</v>
      </c>
      <c r="E80" s="403">
        <f>$D$93*E116*C102*(1-$H$53)</f>
        <v>29276898.141559456</v>
      </c>
      <c r="F80" s="403">
        <f>$D$93*$B$116*D103*(1-$H$53)</f>
        <v>42649404.967003226</v>
      </c>
      <c r="G80" s="403">
        <f>$D$93*$C$116*D104*(1-$H$53)</f>
        <v>14021391.638313809</v>
      </c>
      <c r="H80" s="403">
        <f>$D$93*$B$116*B103</f>
        <v>121981288.24776815</v>
      </c>
      <c r="I80" s="403">
        <f>$D$93*C116*B104</f>
        <v>40102491.849329576</v>
      </c>
      <c r="J80" s="403">
        <f>$D$93*D116*B111</f>
        <v>272659581.61297953</v>
      </c>
      <c r="K80" s="403">
        <f>(D93*$B$116*C103*$H$53)+(D93*$B$116*D103*$H$53)</f>
        <v>332924394.81164563</v>
      </c>
      <c r="L80" s="403">
        <f>($D$93*C116*C104*$H$53)+($D$93*C116*D104*$H$53)</f>
        <v>109452015.31449868</v>
      </c>
      <c r="M80" s="403">
        <f>D93*$D$116*$C$111*$H$53</f>
        <v>27265958.161297955</v>
      </c>
      <c r="N80" s="403">
        <f>D93*$E$116*$C$102*$H$53</f>
        <v>3252988.6823954955</v>
      </c>
      <c r="O80" s="3"/>
      <c r="P80" s="2"/>
      <c r="Q80" s="2"/>
      <c r="R80" s="2"/>
      <c r="S80" s="2"/>
      <c r="T80" s="3"/>
      <c r="U80" s="3"/>
      <c r="V80" s="3"/>
      <c r="W80" s="3"/>
      <c r="X80" s="3"/>
      <c r="Y80" s="3"/>
      <c r="Z80" s="3"/>
    </row>
    <row r="81" spans="1:26" ht="22.5" hidden="1" customHeight="1" outlineLevel="1" x14ac:dyDescent="0.85">
      <c r="A81" s="86" t="s">
        <v>968</v>
      </c>
      <c r="B81" s="403">
        <f>B80/$B$54</f>
        <v>122558927.31692146</v>
      </c>
      <c r="C81" s="403">
        <f>C80/$B$55</f>
        <v>52489013.307685092</v>
      </c>
      <c r="D81" s="403">
        <f>D80/$B$56</f>
        <v>34709140.516503759</v>
      </c>
      <c r="E81" s="403">
        <f>E80/$B$57</f>
        <v>585537.96283118916</v>
      </c>
      <c r="F81" s="403">
        <f>F80/$B$58</f>
        <v>969304.65834098239</v>
      </c>
      <c r="G81" s="403">
        <f>G80/$B$59</f>
        <v>318667.99177985929</v>
      </c>
      <c r="H81" s="403">
        <f>H80/$B$60</f>
        <v>3764854.5755483997</v>
      </c>
      <c r="I81" s="403">
        <f>I80/$B$61</f>
        <v>1814592.3913723789</v>
      </c>
      <c r="J81" s="403">
        <f>J80/$B$62</f>
        <v>41374746.830497652</v>
      </c>
      <c r="K81" s="403">
        <f>K80/$B$54</f>
        <v>13814290.241147121</v>
      </c>
      <c r="L81" s="403">
        <f>L80/$B$55</f>
        <v>5916325.1521350639</v>
      </c>
      <c r="M81" s="403">
        <f>M80/$B$56</f>
        <v>3856571.1685004178</v>
      </c>
      <c r="N81" s="403">
        <f>N80/$B$57</f>
        <v>65059.773647909911</v>
      </c>
      <c r="O81" s="3"/>
      <c r="P81" s="2"/>
      <c r="Q81" s="2"/>
      <c r="R81" s="2"/>
      <c r="S81" s="2"/>
      <c r="T81" s="3"/>
      <c r="U81" s="3"/>
      <c r="V81" s="3"/>
      <c r="W81" s="3"/>
      <c r="X81" s="3"/>
      <c r="Y81" s="3"/>
      <c r="Z81" s="3"/>
    </row>
    <row r="82" spans="1:26" ht="22.5" hidden="1" customHeight="1" outlineLevel="1" x14ac:dyDescent="0.85">
      <c r="A82" s="86" t="s">
        <v>969</v>
      </c>
      <c r="B82" s="403">
        <f>$D$94*B116*C105*(1-$H$53)</f>
        <v>774465180.299734</v>
      </c>
      <c r="C82" s="403">
        <f>$D$94*C116*C106*(1-$H$53)</f>
        <v>254612687.13177326</v>
      </c>
      <c r="D82" s="403">
        <f>$D$94*D116*C111*(1-$H$53)</f>
        <v>64044210.02946759</v>
      </c>
      <c r="E82" s="403">
        <f>$D$94*E116*C102*(1-$H$53)</f>
        <v>7640849.7792875906</v>
      </c>
      <c r="F82" s="403">
        <f>$D$94*$B$116*D105*(1-$H$53)</f>
        <v>9385184.0425683632</v>
      </c>
      <c r="G82" s="403">
        <f>$D$94*$C$116*D106*(1-$H$53)</f>
        <v>3085467.2218830422</v>
      </c>
      <c r="H82" s="403">
        <f>$D$94*$B$116*B105</f>
        <v>29775351.963838641</v>
      </c>
      <c r="I82" s="403">
        <f>$D$94*$C$116*B106</f>
        <v>9788926.0442583151</v>
      </c>
      <c r="J82" s="403">
        <f>$D$94*$D$116*B111</f>
        <v>71160233.366075099</v>
      </c>
      <c r="K82" s="403">
        <f>(D94*$B$116*C105*$H$53)+(D94*$B$116*D105*$H$53)</f>
        <v>87094484.9269225</v>
      </c>
      <c r="L82" s="403">
        <f>($D$94*C116*C106*$H$53)+($D$94*C116*D106*$H$53)</f>
        <v>28633128.261517368</v>
      </c>
      <c r="M82" s="403">
        <f>D94*$D$116*$C$111*$H$53</f>
        <v>7116023.3366075102</v>
      </c>
      <c r="N82" s="403">
        <f>D94*$E$116*$C$102*$H$53</f>
        <v>848983.30880973232</v>
      </c>
      <c r="O82" s="3"/>
      <c r="P82" s="2"/>
      <c r="Q82" s="2"/>
      <c r="R82" s="2"/>
      <c r="S82" s="2"/>
      <c r="T82" s="3"/>
      <c r="U82" s="3"/>
      <c r="V82" s="3"/>
      <c r="W82" s="3"/>
      <c r="X82" s="3"/>
      <c r="Y82" s="3"/>
      <c r="Z82" s="3"/>
    </row>
    <row r="83" spans="1:26" ht="22.5" hidden="1" customHeight="1" outlineLevel="1" x14ac:dyDescent="0.85">
      <c r="A83" s="86" t="s">
        <v>970</v>
      </c>
      <c r="B83" s="403">
        <f>B82/$B$54</f>
        <v>32135484.659739997</v>
      </c>
      <c r="C83" s="403">
        <f>C82/$B$55</f>
        <v>13762847.953068824</v>
      </c>
      <c r="D83" s="403">
        <f>D82/$B$56</f>
        <v>9058586.9914381318</v>
      </c>
      <c r="E83" s="403">
        <f>E82/$B$57</f>
        <v>152816.99558575181</v>
      </c>
      <c r="F83" s="403">
        <f>F82/$B$58</f>
        <v>213299.63733109916</v>
      </c>
      <c r="G83" s="403">
        <f>G82/$B$59</f>
        <v>70124.255042796416</v>
      </c>
      <c r="H83" s="403">
        <f>H82/$B$60</f>
        <v>918992.34456292109</v>
      </c>
      <c r="I83" s="403">
        <f>I82/$B$61</f>
        <v>442937.8300569373</v>
      </c>
      <c r="J83" s="403">
        <f>J82/$B$62</f>
        <v>10798214.471331578</v>
      </c>
      <c r="K83" s="403">
        <f>K82/$B$54</f>
        <v>3613879.0426108921</v>
      </c>
      <c r="L83" s="403">
        <f>L82/$B$55</f>
        <v>1547736.6627847226</v>
      </c>
      <c r="M83" s="403">
        <f>M82/$B$56</f>
        <v>1006509.665715348</v>
      </c>
      <c r="N83" s="403">
        <f>N82/$B$57</f>
        <v>16979.666176194645</v>
      </c>
      <c r="O83" s="3"/>
      <c r="P83" s="2"/>
      <c r="Q83" s="2"/>
      <c r="R83" s="2"/>
      <c r="S83" s="2"/>
      <c r="T83" s="3"/>
      <c r="U83" s="3"/>
      <c r="V83" s="3"/>
      <c r="W83" s="3"/>
      <c r="X83" s="3"/>
      <c r="Y83" s="3"/>
      <c r="Z83" s="3"/>
    </row>
    <row r="84" spans="1:26" ht="22.5" hidden="1" customHeight="1" outlineLevel="1" x14ac:dyDescent="0.85">
      <c r="A84" s="86" t="s">
        <v>971</v>
      </c>
      <c r="B84" s="403">
        <f>$D$95*B116*C107*(1-$H$53)</f>
        <v>324259392.7682355</v>
      </c>
      <c r="C84" s="403">
        <f>$D$95*C116*C108*(1-$H$53)</f>
        <v>106603314.67514768</v>
      </c>
      <c r="D84" s="403">
        <f>$D$95*D116*C111*(1-$H$53)</f>
        <v>27052250.062666722</v>
      </c>
      <c r="E84" s="403">
        <f>$D$95*E116*C102*(1-$H$53)</f>
        <v>3227492.0531528657</v>
      </c>
      <c r="F84" s="403">
        <f>$D$95*$B$116*D107*(1-$H$53)</f>
        <v>862087.36620108341</v>
      </c>
      <c r="G84" s="403">
        <f>$D$95*$C$116*D108*(1-$H$53)</f>
        <v>283419.30203480617</v>
      </c>
      <c r="H84" s="403">
        <f>$D$95*$B$116*B107</f>
        <v>19217782.856495015</v>
      </c>
      <c r="I84" s="403">
        <f>$D$95*$C$116*B108</f>
        <v>6318026.2434954066</v>
      </c>
      <c r="J84" s="403">
        <f>$D$95*$D$116*B111</f>
        <v>30058055.625185244</v>
      </c>
      <c r="K84" s="403">
        <f>(D95*$B$116*C107*$H$53)+(D95*$B$116*D107*$H$53)</f>
        <v>36124608.903826289</v>
      </c>
      <c r="L84" s="403">
        <f>($D$95*C116*C108*$H$53)+($D$95*C116*D108*$H$53)</f>
        <v>11876303.775242498</v>
      </c>
      <c r="M84" s="403">
        <f>D95*$D$116*$C$111*$H$53</f>
        <v>3005805.5625185245</v>
      </c>
      <c r="N84" s="403">
        <f>D95*$E$116*$C$102*$H$53</f>
        <v>358610.22812809621</v>
      </c>
      <c r="O84" s="3"/>
      <c r="P84" s="2"/>
      <c r="Q84" s="2"/>
      <c r="R84" s="2"/>
      <c r="S84" s="2"/>
      <c r="T84" s="3"/>
      <c r="U84" s="3"/>
      <c r="V84" s="3"/>
      <c r="W84" s="3"/>
      <c r="X84" s="3"/>
      <c r="Y84" s="3"/>
      <c r="Z84" s="3"/>
    </row>
    <row r="85" spans="1:26" ht="22.5" hidden="1" customHeight="1" outlineLevel="1" x14ac:dyDescent="0.85">
      <c r="A85" s="86" t="s">
        <v>972</v>
      </c>
      <c r="B85" s="403">
        <f>B84/$B$54</f>
        <v>13454746.587893588</v>
      </c>
      <c r="C85" s="403">
        <f>C84/$B$55</f>
        <v>5762341.3337917663</v>
      </c>
      <c r="D85" s="403">
        <f>D84/$B$56</f>
        <v>3826343.7146629025</v>
      </c>
      <c r="E85" s="403">
        <f>E84/$B$57</f>
        <v>64549.841063057313</v>
      </c>
      <c r="F85" s="403">
        <f>F84/$B$58</f>
        <v>19592.894686388259</v>
      </c>
      <c r="G85" s="403">
        <f>G84/$B$59</f>
        <v>6441.3477735183224</v>
      </c>
      <c r="H85" s="403">
        <f>H84/$B$60</f>
        <v>593141.44618811773</v>
      </c>
      <c r="I85" s="403">
        <f>I84/$B$61</f>
        <v>285883.54042965639</v>
      </c>
      <c r="J85" s="403">
        <f>J84/$B$62</f>
        <v>4561161.7033665013</v>
      </c>
      <c r="K85" s="403">
        <f>K84/$B$54</f>
        <v>1498946.4275446592</v>
      </c>
      <c r="L85" s="403">
        <f>L84/$B$55</f>
        <v>641962.36622932425</v>
      </c>
      <c r="M85" s="403">
        <f>M84/$B$56</f>
        <v>425149.30162921135</v>
      </c>
      <c r="N85" s="403">
        <f>N84/$B$57</f>
        <v>7172.2045625619239</v>
      </c>
      <c r="O85" s="3"/>
      <c r="P85" s="2"/>
      <c r="Q85" s="2"/>
      <c r="R85" s="2"/>
      <c r="S85" s="2"/>
      <c r="T85" s="3"/>
      <c r="U85" s="3"/>
      <c r="V85" s="3"/>
      <c r="W85" s="3"/>
      <c r="X85" s="3"/>
      <c r="Y85" s="3"/>
      <c r="Z85" s="3"/>
    </row>
    <row r="86" spans="1:26" ht="22.5" hidden="1" customHeight="1" outlineLevel="1" x14ac:dyDescent="0.85">
      <c r="A86" s="86" t="s">
        <v>973</v>
      </c>
      <c r="B86" s="403">
        <f>$D$96*B116*C109*(1-$H$53)</f>
        <v>286916134.92576134</v>
      </c>
      <c r="C86" s="403">
        <f>$D$96*C116*C110*(1-$H$53)</f>
        <v>94326368.638855681</v>
      </c>
      <c r="D86" s="403">
        <f>$D$96*D116*C111*(1-$H$53)</f>
        <v>23728691.705022234</v>
      </c>
      <c r="E86" s="403">
        <f>$D$96*E116*C102*(1-$H$53)</f>
        <v>2830972.0534249777</v>
      </c>
      <c r="F86" s="403">
        <f>$D$96*$B$116*D109*(1-$H$53)</f>
        <v>1171479.4145571992</v>
      </c>
      <c r="G86" s="403">
        <f>$D$96*$C$116*D110*(1-$H$53)</f>
        <v>385134.83788196539</v>
      </c>
      <c r="H86" s="403">
        <f>$D$96*$B$116*B109</f>
        <v>13623871.710035577</v>
      </c>
      <c r="I86" s="403">
        <f>$D$96*$C$116*B110</f>
        <v>4478975.5220347084</v>
      </c>
      <c r="J86" s="403">
        <f>$D$96*$D$116*B111</f>
        <v>26365213.005580261</v>
      </c>
      <c r="K86" s="403">
        <f>(D96*$B$116*C109*$H$53)+(D96*$B$116*D109*$H$53)</f>
        <v>32009734.926702064</v>
      </c>
      <c r="L86" s="403">
        <f>($D$96*C116*C110*$H$53)+($D$96*C116*D110*$H$53)</f>
        <v>10523500.386304183</v>
      </c>
      <c r="M86" s="403">
        <f>D96*$D$116*$C$111*$H$53</f>
        <v>2636521.3005580264</v>
      </c>
      <c r="N86" s="403">
        <f>D96*$E$116*$C$102*$H$53</f>
        <v>314552.45038055308</v>
      </c>
      <c r="O86" s="3"/>
      <c r="P86" s="2"/>
      <c r="Q86" s="2"/>
      <c r="R86" s="2"/>
      <c r="S86" s="2"/>
      <c r="T86" s="3"/>
      <c r="U86" s="3"/>
      <c r="V86" s="3"/>
      <c r="W86" s="3"/>
      <c r="X86" s="3"/>
      <c r="Y86" s="3"/>
      <c r="Z86" s="3"/>
    </row>
    <row r="87" spans="1:26" ht="22.5" hidden="1" customHeight="1" outlineLevel="1" x14ac:dyDescent="0.85">
      <c r="A87" s="86" t="s">
        <v>974</v>
      </c>
      <c r="B87" s="403">
        <f>B86/$B$54</f>
        <v>11905233.814346943</v>
      </c>
      <c r="C87" s="403">
        <f>C86/$B$55</f>
        <v>5098722.6291273339</v>
      </c>
      <c r="D87" s="403">
        <f>D86/$B$56</f>
        <v>3356250.5947697642</v>
      </c>
      <c r="E87" s="403">
        <f>E86/$B$57</f>
        <v>56619.441068499553</v>
      </c>
      <c r="F87" s="403">
        <f>F86/$B$58</f>
        <v>26624.532149027254</v>
      </c>
      <c r="G87" s="403">
        <f>G86/$B$59</f>
        <v>8753.0644973173949</v>
      </c>
      <c r="H87" s="403">
        <f>H86/$B$60</f>
        <v>420489.86759369069</v>
      </c>
      <c r="I87" s="403">
        <f>I86/$B$61</f>
        <v>202668.57565767909</v>
      </c>
      <c r="J87" s="403">
        <f>J86/$B$62</f>
        <v>4000791.0478877486</v>
      </c>
      <c r="K87" s="403">
        <f>K86/$B$54</f>
        <v>1328204.7687428242</v>
      </c>
      <c r="L87" s="403">
        <f>L86/$B$55</f>
        <v>568837.85871914506</v>
      </c>
      <c r="M87" s="403">
        <f>M86/$B$56</f>
        <v>372916.73275219608</v>
      </c>
      <c r="N87" s="403">
        <f>N86/$B$57</f>
        <v>6291.0490076110618</v>
      </c>
      <c r="O87" s="3"/>
      <c r="P87" s="2"/>
      <c r="Q87" s="2"/>
      <c r="R87" s="2"/>
      <c r="S87" s="2"/>
      <c r="T87" s="3"/>
      <c r="U87" s="3"/>
      <c r="V87" s="3"/>
      <c r="W87" s="3"/>
      <c r="X87" s="3"/>
      <c r="Y87" s="3"/>
      <c r="Z87" s="3"/>
    </row>
    <row r="88" spans="1:26" ht="22.5" hidden="1" customHeight="1" outlineLevel="1" x14ac:dyDescent="0.85">
      <c r="A88" s="2"/>
      <c r="B88" s="406"/>
      <c r="C88" s="406"/>
      <c r="D88" s="406"/>
      <c r="E88" s="406"/>
      <c r="F88" s="406"/>
      <c r="G88" s="406"/>
      <c r="H88" s="406"/>
      <c r="I88" s="406"/>
      <c r="J88" s="406"/>
      <c r="K88" s="406"/>
      <c r="L88" s="406"/>
      <c r="M88" s="406"/>
      <c r="N88" s="406"/>
      <c r="O88" s="2"/>
      <c r="P88" s="2"/>
      <c r="Q88" s="2"/>
      <c r="R88" s="2"/>
      <c r="S88" s="2"/>
      <c r="T88" s="3"/>
      <c r="U88" s="3"/>
      <c r="V88" s="3"/>
      <c r="W88" s="3"/>
      <c r="X88" s="3"/>
      <c r="Y88" s="3"/>
      <c r="Z88" s="3"/>
    </row>
    <row r="89" spans="1:26" ht="22.5" hidden="1" customHeight="1" outlineLevel="1" x14ac:dyDescent="0.85">
      <c r="A89" s="2"/>
      <c r="B89" s="406"/>
      <c r="C89" s="406"/>
      <c r="D89" s="406"/>
      <c r="E89" s="406"/>
      <c r="F89" s="406"/>
      <c r="G89" s="406"/>
      <c r="H89" s="406"/>
      <c r="I89" s="406"/>
      <c r="J89" s="406"/>
      <c r="K89" s="406"/>
      <c r="L89" s="406"/>
      <c r="M89" s="406"/>
      <c r="N89" s="406"/>
      <c r="O89" s="2"/>
      <c r="P89" s="2"/>
      <c r="Q89" s="2"/>
      <c r="R89" s="2"/>
      <c r="S89" s="2"/>
      <c r="T89" s="3"/>
      <c r="U89" s="3"/>
      <c r="V89" s="3"/>
      <c r="W89" s="3"/>
      <c r="X89" s="3"/>
      <c r="Y89" s="3"/>
      <c r="Z89" s="3"/>
    </row>
    <row r="90" spans="1:26" ht="22.5" hidden="1" customHeight="1" outlineLevel="1" x14ac:dyDescent="0.85">
      <c r="A90" s="866" t="s">
        <v>975</v>
      </c>
      <c r="B90" s="765"/>
      <c r="C90" s="765"/>
      <c r="D90" s="765"/>
      <c r="E90" s="765"/>
      <c r="F90" s="765"/>
      <c r="G90" s="765"/>
      <c r="H90" s="765"/>
      <c r="I90" s="765"/>
      <c r="J90" s="762"/>
      <c r="K90" s="407"/>
      <c r="L90" s="3"/>
      <c r="M90" s="3"/>
      <c r="N90" s="3"/>
      <c r="O90" s="3"/>
      <c r="P90" s="3"/>
      <c r="Q90" s="3"/>
      <c r="R90" s="3"/>
      <c r="S90" s="3"/>
      <c r="T90" s="3"/>
      <c r="U90" s="3"/>
      <c r="V90" s="3"/>
      <c r="W90" s="3"/>
      <c r="X90" s="3"/>
      <c r="Y90" s="3"/>
      <c r="Z90" s="3"/>
    </row>
    <row r="91" spans="1:26" ht="22.5" hidden="1" customHeight="1" outlineLevel="1" x14ac:dyDescent="0.85">
      <c r="A91" s="408" t="s">
        <v>102</v>
      </c>
      <c r="B91" s="289" t="s">
        <v>976</v>
      </c>
      <c r="C91" s="289" t="s">
        <v>977</v>
      </c>
      <c r="D91" s="400" t="s">
        <v>978</v>
      </c>
      <c r="E91" s="400" t="s">
        <v>979</v>
      </c>
      <c r="F91" s="400" t="s">
        <v>980</v>
      </c>
      <c r="G91" s="400" t="s">
        <v>981</v>
      </c>
      <c r="H91" s="400" t="s">
        <v>982</v>
      </c>
      <c r="I91" s="400" t="s">
        <v>983</v>
      </c>
      <c r="J91" s="400" t="s">
        <v>984</v>
      </c>
      <c r="K91" s="407"/>
      <c r="L91" s="3"/>
      <c r="M91" s="3"/>
      <c r="N91" s="3"/>
      <c r="O91" s="3"/>
      <c r="P91" s="3"/>
      <c r="Q91" s="3"/>
      <c r="R91" s="3"/>
      <c r="S91" s="3"/>
      <c r="T91" s="3"/>
      <c r="U91" s="3"/>
      <c r="V91" s="3"/>
      <c r="W91" s="3"/>
      <c r="X91" s="3"/>
      <c r="Y91" s="3"/>
      <c r="Z91" s="3"/>
    </row>
    <row r="92" spans="1:26" ht="22.5" hidden="1" customHeight="1" outlineLevel="1" x14ac:dyDescent="0.85">
      <c r="A92" s="86" t="s">
        <v>105</v>
      </c>
      <c r="B92" s="409">
        <v>10938320.642436501</v>
      </c>
      <c r="C92" s="307">
        <f t="shared" ref="C92:C96" si="19">B92*365</f>
        <v>3992487034.4893227</v>
      </c>
      <c r="D92" s="410">
        <f>C92-((B144+C144)*D144)-'Transit Data'!C58-'Transit Data'!C64-'Transit Data'!C68-'Transit Data'!C72</f>
        <v>3913471893.0711999</v>
      </c>
      <c r="E92" s="410">
        <f>SUM(B78:G78)</f>
        <v>3225589032.8259234</v>
      </c>
      <c r="F92" s="410">
        <f>SUM(H78:J78)</f>
        <v>329484078.82017392</v>
      </c>
      <c r="G92" s="410">
        <f>SUM(K78:N78)</f>
        <v>358398781.42510259</v>
      </c>
      <c r="H92" s="410">
        <f>SUM(B79:G79)</f>
        <v>160390972.50381139</v>
      </c>
      <c r="I92" s="410">
        <f>SUM(H79:J79)</f>
        <v>35585728.622127756</v>
      </c>
      <c r="J92" s="410">
        <f>SUM(K79:N79)</f>
        <v>17925606.880351167</v>
      </c>
      <c r="K92" s="407"/>
      <c r="L92" s="3"/>
      <c r="M92" s="3"/>
      <c r="N92" s="3"/>
      <c r="O92" s="3"/>
      <c r="P92" s="3"/>
      <c r="Q92" s="3"/>
      <c r="R92" s="3"/>
      <c r="S92" s="3"/>
      <c r="T92" s="3"/>
      <c r="U92" s="3"/>
      <c r="V92" s="3"/>
      <c r="W92" s="3"/>
      <c r="X92" s="3"/>
      <c r="Y92" s="3"/>
      <c r="Z92" s="3"/>
    </row>
    <row r="93" spans="1:26" ht="22.5" hidden="1" customHeight="1" outlineLevel="1" x14ac:dyDescent="0.85">
      <c r="A93" s="86" t="s">
        <v>107</v>
      </c>
      <c r="B93" s="409">
        <v>14374321.140237199</v>
      </c>
      <c r="C93" s="307">
        <f t="shared" si="19"/>
        <v>5246627216.1865778</v>
      </c>
      <c r="D93" s="411">
        <f>C93-((B145+C145)*D145)-'Transit Data'!C58-'Transit Data'!C64-'Transit Data'!C63-'Transit Data'!C68-'Transit Data'!C72</f>
        <v>5163696931.4084549</v>
      </c>
      <c r="E93" s="410">
        <f>SUM(B80:G80)</f>
        <v>4256058212.7285399</v>
      </c>
      <c r="F93" s="410">
        <f>SUM(H80:J80)</f>
        <v>434743361.71007729</v>
      </c>
      <c r="G93" s="410">
        <f>SUM(K80:N80)</f>
        <v>472895356.96983778</v>
      </c>
      <c r="H93" s="410">
        <f>SUM(B81:G81)</f>
        <v>211630591.75406235</v>
      </c>
      <c r="I93" s="410">
        <f>SUM(H81:J81)</f>
        <v>46954193.79741843</v>
      </c>
      <c r="J93" s="410">
        <f>SUM(K81:N81)</f>
        <v>23652246.335430514</v>
      </c>
      <c r="K93" s="407"/>
      <c r="L93" s="3"/>
      <c r="M93" s="3"/>
      <c r="N93" s="3"/>
      <c r="O93" s="3"/>
      <c r="P93" s="3"/>
      <c r="Q93" s="3"/>
      <c r="R93" s="3"/>
      <c r="S93" s="3"/>
      <c r="T93" s="3"/>
      <c r="U93" s="3"/>
      <c r="V93" s="3"/>
      <c r="W93" s="3"/>
      <c r="X93" s="3"/>
      <c r="Y93" s="3"/>
      <c r="Z93" s="3"/>
    </row>
    <row r="94" spans="1:26" ht="22.5" hidden="1" customHeight="1" outlineLevel="1" x14ac:dyDescent="0.85">
      <c r="A94" s="86" t="s">
        <v>108</v>
      </c>
      <c r="B94" s="409">
        <v>3738214.01466505</v>
      </c>
      <c r="C94" s="307">
        <f t="shared" si="19"/>
        <v>1364448115.3527431</v>
      </c>
      <c r="D94" s="410">
        <f>C94-((B146+C146)*D146)-'Transit Data'!C55-'Transit Data'!C62</f>
        <v>1347650709.7127433</v>
      </c>
      <c r="E94" s="411">
        <f>SUM(B82:G82)</f>
        <v>1113233578.504714</v>
      </c>
      <c r="F94" s="411">
        <f>SUM(H82:J82)</f>
        <v>110724511.37417206</v>
      </c>
      <c r="G94" s="411">
        <f>SUM(K82:N82)</f>
        <v>123692619.83385712</v>
      </c>
      <c r="H94" s="410">
        <f>SUM(B83:G83)</f>
        <v>55393160.492206611</v>
      </c>
      <c r="I94" s="410">
        <f>SUM(H83:J83)</f>
        <v>12160144.645951437</v>
      </c>
      <c r="J94" s="410">
        <f>SUM(K83:N83)</f>
        <v>6185105.037287157</v>
      </c>
      <c r="K94" s="407"/>
      <c r="L94" s="3"/>
      <c r="M94" s="3"/>
      <c r="N94" s="3"/>
      <c r="O94" s="3"/>
      <c r="P94" s="3"/>
      <c r="Q94" s="3"/>
      <c r="R94" s="3"/>
      <c r="S94" s="3"/>
      <c r="T94" s="3"/>
      <c r="U94" s="3"/>
      <c r="V94" s="3"/>
      <c r="W94" s="3"/>
      <c r="X94" s="3"/>
      <c r="Y94" s="3"/>
      <c r="Z94" s="3"/>
    </row>
    <row r="95" spans="1:26" ht="22.5" hidden="1" customHeight="1" outlineLevel="1" x14ac:dyDescent="0.85">
      <c r="A95" s="86" t="s">
        <v>109</v>
      </c>
      <c r="B95" s="409">
        <v>1559993.6340337801</v>
      </c>
      <c r="C95" s="307">
        <f t="shared" si="19"/>
        <v>569397676.42232978</v>
      </c>
      <c r="D95" s="410">
        <f>C95-((B147+C147)*D147)</f>
        <v>569247149.42232978</v>
      </c>
      <c r="E95" s="410">
        <f>SUM(B84:G84)</f>
        <v>462287956.22743869</v>
      </c>
      <c r="F95" s="410">
        <f>SUM(H84:J84)</f>
        <v>55593864.725175664</v>
      </c>
      <c r="G95" s="410">
        <f>SUM(K84:N84)</f>
        <v>51365328.469715409</v>
      </c>
      <c r="H95" s="410">
        <f>SUM(B85:G85)</f>
        <v>23134015.719871219</v>
      </c>
      <c r="I95" s="410">
        <f>SUM(H85:J85)</f>
        <v>5440186.689984275</v>
      </c>
      <c r="J95" s="410">
        <f>SUM(K85:N85)</f>
        <v>2573230.2999657569</v>
      </c>
      <c r="K95" s="407"/>
      <c r="L95" s="3"/>
      <c r="M95" s="3"/>
      <c r="N95" s="3"/>
      <c r="O95" s="3"/>
      <c r="P95" s="3"/>
      <c r="Q95" s="3"/>
      <c r="R95" s="3"/>
      <c r="S95" s="3"/>
      <c r="T95" s="3"/>
      <c r="U95" s="3"/>
      <c r="V95" s="3"/>
      <c r="W95" s="3"/>
      <c r="X95" s="3"/>
      <c r="Y95" s="3"/>
      <c r="Z95" s="3"/>
    </row>
    <row r="96" spans="1:26" ht="22.5" hidden="1" customHeight="1" outlineLevel="1" x14ac:dyDescent="0.85">
      <c r="A96" s="86" t="s">
        <v>110</v>
      </c>
      <c r="B96" s="409">
        <v>1378261.8139098601</v>
      </c>
      <c r="C96" s="307">
        <f t="shared" si="19"/>
        <v>503065562.07709891</v>
      </c>
      <c r="D96" s="410">
        <f>C96-((B148+C148)*D148)-'Transit Data'!C56-'Transit Data'!C57</f>
        <v>499311150.87709886</v>
      </c>
      <c r="E96" s="410">
        <f>SUM(B86:G86)</f>
        <v>409358781.57550341</v>
      </c>
      <c r="F96" s="410">
        <f>SUM(H86:J86)</f>
        <v>44468060.237650543</v>
      </c>
      <c r="G96" s="410">
        <f>SUM(K86:N86)</f>
        <v>45484309.063944824</v>
      </c>
      <c r="H96" s="410">
        <f>SUM(B87:G87)</f>
        <v>20452204.075958889</v>
      </c>
      <c r="I96" s="410">
        <f>SUM(H87:J87)</f>
        <v>4623949.4911391186</v>
      </c>
      <c r="J96" s="410">
        <f>SUM(K87:N87)</f>
        <v>2276250.4092217763</v>
      </c>
      <c r="K96" s="407"/>
      <c r="L96" s="3"/>
      <c r="M96" s="3"/>
      <c r="N96" s="3"/>
      <c r="O96" s="3"/>
      <c r="P96" s="3"/>
      <c r="Q96" s="3"/>
      <c r="R96" s="3"/>
      <c r="S96" s="3"/>
      <c r="T96" s="3"/>
      <c r="U96" s="3"/>
      <c r="V96" s="3"/>
      <c r="W96" s="3"/>
      <c r="X96" s="3"/>
      <c r="Y96" s="3"/>
      <c r="Z96" s="3"/>
    </row>
    <row r="97" spans="1:26" ht="22.5" hidden="1" customHeight="1" outlineLevel="1" x14ac:dyDescent="0.85">
      <c r="A97" s="404" t="s">
        <v>959</v>
      </c>
      <c r="B97" s="405">
        <f t="shared" ref="B97:J97" si="20">B92</f>
        <v>10938320.642436501</v>
      </c>
      <c r="C97" s="405">
        <f t="shared" si="20"/>
        <v>3992487034.4893227</v>
      </c>
      <c r="D97" s="405">
        <f t="shared" si="20"/>
        <v>3913471893.0711999</v>
      </c>
      <c r="E97" s="405">
        <f t="shared" si="20"/>
        <v>3225589032.8259234</v>
      </c>
      <c r="F97" s="405">
        <f t="shared" si="20"/>
        <v>329484078.82017392</v>
      </c>
      <c r="G97" s="405">
        <f t="shared" si="20"/>
        <v>358398781.42510259</v>
      </c>
      <c r="H97" s="405">
        <f t="shared" si="20"/>
        <v>160390972.50381139</v>
      </c>
      <c r="I97" s="405">
        <f t="shared" si="20"/>
        <v>35585728.622127756</v>
      </c>
      <c r="J97" s="405">
        <f t="shared" si="20"/>
        <v>17925606.880351167</v>
      </c>
      <c r="K97" s="407"/>
      <c r="L97" s="3"/>
      <c r="M97" s="3"/>
      <c r="N97" s="3"/>
      <c r="O97" s="3"/>
      <c r="P97" s="3"/>
      <c r="Q97" s="3"/>
      <c r="R97" s="3"/>
      <c r="S97" s="3"/>
      <c r="T97" s="3"/>
      <c r="U97" s="3"/>
      <c r="V97" s="3"/>
      <c r="W97" s="3"/>
      <c r="X97" s="3"/>
      <c r="Y97" s="3"/>
      <c r="Z97" s="3"/>
    </row>
    <row r="98" spans="1:26" ht="22.5" hidden="1" customHeight="1" outlineLevel="1" x14ac:dyDescent="0.85">
      <c r="A98" s="404" t="s">
        <v>111</v>
      </c>
      <c r="B98" s="405">
        <f t="shared" ref="B98:J98" si="21">SUM(B93:B96)</f>
        <v>21050790.602845889</v>
      </c>
      <c r="C98" s="405">
        <f t="shared" si="21"/>
        <v>7683538570.0387497</v>
      </c>
      <c r="D98" s="405">
        <f t="shared" si="21"/>
        <v>7579905941.4206276</v>
      </c>
      <c r="E98" s="405">
        <f t="shared" si="21"/>
        <v>6240938529.0361958</v>
      </c>
      <c r="F98" s="405">
        <f t="shared" si="21"/>
        <v>645529798.04707551</v>
      </c>
      <c r="G98" s="405">
        <f t="shared" si="21"/>
        <v>693437614.33735514</v>
      </c>
      <c r="H98" s="405">
        <f t="shared" si="21"/>
        <v>310609972.04209906</v>
      </c>
      <c r="I98" s="405">
        <f t="shared" si="21"/>
        <v>69178474.624493256</v>
      </c>
      <c r="J98" s="405">
        <f t="shared" si="21"/>
        <v>34686832.081905209</v>
      </c>
      <c r="K98" s="407"/>
      <c r="L98" s="3"/>
      <c r="M98" s="3"/>
      <c r="N98" s="3"/>
      <c r="O98" s="3"/>
      <c r="P98" s="3"/>
      <c r="Q98" s="3"/>
      <c r="R98" s="3"/>
      <c r="S98" s="3"/>
      <c r="T98" s="3"/>
      <c r="U98" s="3"/>
      <c r="V98" s="3"/>
      <c r="W98" s="3"/>
      <c r="X98" s="3"/>
      <c r="Y98" s="3"/>
      <c r="Z98" s="3"/>
    </row>
    <row r="99" spans="1:26" ht="22.5" hidden="1" customHeight="1" outlineLevel="1" x14ac:dyDescent="0.85">
      <c r="A99" s="407"/>
      <c r="B99" s="407"/>
      <c r="C99" s="407"/>
      <c r="D99" s="407"/>
      <c r="E99" s="407"/>
      <c r="F99" s="407"/>
      <c r="G99" s="407"/>
      <c r="H99" s="407"/>
      <c r="I99" s="407"/>
      <c r="J99" s="407"/>
      <c r="K99" s="407"/>
      <c r="L99" s="407"/>
      <c r="M99" s="407"/>
      <c r="N99" s="407"/>
      <c r="O99" s="407"/>
      <c r="P99" s="407"/>
      <c r="Q99" s="407"/>
      <c r="R99" s="407"/>
      <c r="S99" s="407"/>
      <c r="T99" s="407"/>
      <c r="U99" s="407"/>
      <c r="V99" s="407"/>
      <c r="W99" s="407"/>
      <c r="X99" s="407"/>
      <c r="Y99" s="407"/>
      <c r="Z99" s="407"/>
    </row>
    <row r="100" spans="1:26" ht="22.5" hidden="1" customHeight="1" outlineLevel="1" x14ac:dyDescent="0.85">
      <c r="A100" s="866" t="s">
        <v>985</v>
      </c>
      <c r="B100" s="765"/>
      <c r="C100" s="765"/>
      <c r="D100" s="765"/>
      <c r="E100" s="762"/>
      <c r="F100" s="407"/>
      <c r="G100" s="407"/>
      <c r="H100" s="407"/>
      <c r="I100" s="407"/>
      <c r="J100" s="407"/>
      <c r="K100" s="407"/>
      <c r="L100" s="407"/>
      <c r="M100" s="407"/>
      <c r="N100" s="407"/>
      <c r="O100" s="407"/>
      <c r="P100" s="407"/>
      <c r="Q100" s="407"/>
      <c r="R100" s="407"/>
      <c r="S100" s="407"/>
      <c r="T100" s="407"/>
      <c r="U100" s="407"/>
      <c r="V100" s="407"/>
      <c r="W100" s="407"/>
      <c r="X100" s="407"/>
      <c r="Y100" s="407"/>
      <c r="Z100" s="407"/>
    </row>
    <row r="101" spans="1:26" ht="22.5" hidden="1" customHeight="1" outlineLevel="1" x14ac:dyDescent="0.85">
      <c r="A101" s="408"/>
      <c r="B101" s="289" t="s">
        <v>986</v>
      </c>
      <c r="C101" s="400" t="s">
        <v>987</v>
      </c>
      <c r="D101" s="400" t="s">
        <v>988</v>
      </c>
      <c r="E101" s="400" t="s">
        <v>119</v>
      </c>
      <c r="F101" s="407"/>
      <c r="G101" s="407"/>
      <c r="H101" s="407"/>
      <c r="I101" s="407"/>
      <c r="J101" s="407"/>
      <c r="K101" s="407"/>
      <c r="L101" s="407"/>
      <c r="M101" s="407"/>
      <c r="N101" s="407"/>
      <c r="O101" s="407"/>
      <c r="P101" s="407"/>
      <c r="Q101" s="407"/>
      <c r="R101" s="407"/>
      <c r="S101" s="407"/>
      <c r="T101" s="407"/>
      <c r="U101" s="407"/>
      <c r="V101" s="407"/>
      <c r="W101" s="407"/>
      <c r="X101" s="407"/>
      <c r="Y101" s="407"/>
      <c r="Z101" s="407"/>
    </row>
    <row r="102" spans="1:26" ht="22.5" hidden="1" customHeight="1" outlineLevel="1" x14ac:dyDescent="0.85">
      <c r="A102" s="396" t="s">
        <v>222</v>
      </c>
      <c r="B102" s="412">
        <v>0</v>
      </c>
      <c r="C102" s="412">
        <v>1</v>
      </c>
      <c r="D102" s="412">
        <v>0</v>
      </c>
      <c r="E102" s="152">
        <f t="shared" ref="E102:E111" si="22">SUM(B102,C102,D102)</f>
        <v>1</v>
      </c>
      <c r="F102" s="407"/>
      <c r="G102" s="407"/>
      <c r="H102" s="407"/>
      <c r="I102" s="407"/>
      <c r="J102" s="407"/>
      <c r="K102" s="407"/>
      <c r="L102" s="407"/>
      <c r="M102" s="407"/>
      <c r="N102" s="407"/>
      <c r="O102" s="407"/>
      <c r="P102" s="407"/>
      <c r="Q102" s="407"/>
      <c r="R102" s="407"/>
      <c r="S102" s="407"/>
      <c r="T102" s="407"/>
      <c r="U102" s="407"/>
      <c r="V102" s="407"/>
      <c r="W102" s="407"/>
      <c r="X102" s="407"/>
      <c r="Y102" s="407"/>
      <c r="Z102" s="407"/>
    </row>
    <row r="103" spans="1:26" ht="22.5" hidden="1" customHeight="1" outlineLevel="1" x14ac:dyDescent="0.85">
      <c r="A103" s="396" t="s">
        <v>989</v>
      </c>
      <c r="B103" s="413">
        <f t="shared" ref="B103:B104" si="23">$C$120/$I$120</f>
        <v>3.5344342919870472E-2</v>
      </c>
      <c r="C103" s="413">
        <f t="shared" ref="C103:C110" si="24">1-B103-D103</f>
        <v>0.95092481527884598</v>
      </c>
      <c r="D103" s="413">
        <f t="shared" ref="D103:D104" si="25">$D$120/$I$120</f>
        <v>1.373084180128358E-2</v>
      </c>
      <c r="E103" s="152">
        <f t="shared" si="22"/>
        <v>1</v>
      </c>
      <c r="F103" s="407"/>
      <c r="G103" s="407"/>
      <c r="H103" s="407"/>
      <c r="I103" s="407"/>
      <c r="J103" s="407"/>
      <c r="K103" s="407"/>
      <c r="L103" s="407"/>
      <c r="M103" s="407"/>
      <c r="N103" s="407"/>
      <c r="O103" s="407"/>
      <c r="P103" s="407"/>
      <c r="Q103" s="407"/>
      <c r="R103" s="407"/>
      <c r="S103" s="407"/>
      <c r="T103" s="407"/>
      <c r="U103" s="407"/>
      <c r="V103" s="407"/>
      <c r="W103" s="407"/>
      <c r="X103" s="407"/>
      <c r="Y103" s="407"/>
      <c r="Z103" s="407"/>
    </row>
    <row r="104" spans="1:26" ht="22.5" hidden="1" customHeight="1" outlineLevel="1" x14ac:dyDescent="0.85">
      <c r="A104" s="396" t="s">
        <v>990</v>
      </c>
      <c r="B104" s="413">
        <f t="shared" si="23"/>
        <v>3.5344342919870472E-2</v>
      </c>
      <c r="C104" s="413">
        <f t="shared" si="24"/>
        <v>0.95092481527884598</v>
      </c>
      <c r="D104" s="413">
        <f t="shared" si="25"/>
        <v>1.373084180128358E-2</v>
      </c>
      <c r="E104" s="152">
        <f t="shared" si="22"/>
        <v>1</v>
      </c>
      <c r="F104" s="407"/>
      <c r="G104" s="407"/>
      <c r="H104" s="414"/>
      <c r="I104" s="407"/>
      <c r="J104" s="407"/>
      <c r="K104" s="407"/>
      <c r="L104" s="407"/>
      <c r="M104" s="407"/>
      <c r="N104" s="407"/>
      <c r="O104" s="407"/>
      <c r="P104" s="407"/>
      <c r="Q104" s="407"/>
      <c r="R104" s="407"/>
      <c r="S104" s="407"/>
      <c r="T104" s="407"/>
      <c r="U104" s="407"/>
      <c r="V104" s="407"/>
      <c r="W104" s="407"/>
      <c r="X104" s="407"/>
      <c r="Y104" s="407"/>
      <c r="Z104" s="407"/>
    </row>
    <row r="105" spans="1:26" ht="22.5" hidden="1" customHeight="1" outlineLevel="1" x14ac:dyDescent="0.85">
      <c r="A105" s="396" t="s">
        <v>991</v>
      </c>
      <c r="B105" s="413">
        <f t="shared" ref="B105:B106" si="26">$C$121/$I$121</f>
        <v>3.3057271195957326E-2</v>
      </c>
      <c r="C105" s="413">
        <f t="shared" si="24"/>
        <v>0.95536534633249959</v>
      </c>
      <c r="D105" s="413">
        <f t="shared" ref="D105:D106" si="27">$D$121/$I$121</f>
        <v>1.1577382471543055E-2</v>
      </c>
      <c r="E105" s="152">
        <f t="shared" si="22"/>
        <v>1</v>
      </c>
      <c r="F105" s="407"/>
      <c r="G105" s="407"/>
      <c r="H105" s="414"/>
      <c r="I105" s="407"/>
      <c r="J105" s="407"/>
      <c r="K105" s="407"/>
      <c r="L105" s="407"/>
      <c r="M105" s="407"/>
      <c r="N105" s="407"/>
      <c r="O105" s="407"/>
      <c r="P105" s="407"/>
      <c r="Q105" s="407"/>
      <c r="R105" s="407"/>
      <c r="S105" s="407"/>
      <c r="T105" s="407"/>
      <c r="U105" s="407"/>
      <c r="V105" s="407"/>
      <c r="W105" s="407"/>
      <c r="X105" s="407"/>
      <c r="Y105" s="407"/>
      <c r="Z105" s="407"/>
    </row>
    <row r="106" spans="1:26" ht="22.5" hidden="1" customHeight="1" outlineLevel="1" x14ac:dyDescent="0.85">
      <c r="A106" s="396" t="s">
        <v>992</v>
      </c>
      <c r="B106" s="413">
        <f t="shared" si="26"/>
        <v>3.3057271195957326E-2</v>
      </c>
      <c r="C106" s="413">
        <f t="shared" si="24"/>
        <v>0.95536534633249959</v>
      </c>
      <c r="D106" s="413">
        <f t="shared" si="27"/>
        <v>1.1577382471543055E-2</v>
      </c>
      <c r="E106" s="152">
        <f t="shared" si="22"/>
        <v>1</v>
      </c>
      <c r="F106" s="407"/>
      <c r="G106" s="407"/>
      <c r="H106" s="414"/>
      <c r="I106" s="407"/>
      <c r="J106" s="407"/>
      <c r="K106" s="407"/>
      <c r="L106" s="407"/>
      <c r="M106" s="407"/>
      <c r="N106" s="407"/>
      <c r="O106" s="407"/>
      <c r="P106" s="407"/>
      <c r="Q106" s="407"/>
      <c r="R106" s="407"/>
      <c r="S106" s="407"/>
      <c r="T106" s="407"/>
      <c r="U106" s="407"/>
      <c r="V106" s="407"/>
      <c r="W106" s="407"/>
      <c r="X106" s="407"/>
      <c r="Y106" s="407"/>
      <c r="Z106" s="407"/>
    </row>
    <row r="107" spans="1:26" ht="22.5" hidden="1" customHeight="1" outlineLevel="1" x14ac:dyDescent="0.85">
      <c r="A107" s="396" t="s">
        <v>993</v>
      </c>
      <c r="B107" s="413">
        <f t="shared" ref="B107:B108" si="28">$C$122/$I$122</f>
        <v>5.0511452666420181E-2</v>
      </c>
      <c r="C107" s="413">
        <f t="shared" si="24"/>
        <v>0.94697089737495377</v>
      </c>
      <c r="D107" s="413">
        <f t="shared" ref="D107:D108" si="29">$D$122/$I$122</f>
        <v>2.5176499586260321E-3</v>
      </c>
      <c r="E107" s="152">
        <f t="shared" si="22"/>
        <v>1</v>
      </c>
      <c r="F107" s="407"/>
      <c r="G107" s="407"/>
      <c r="H107" s="414"/>
      <c r="I107" s="407"/>
      <c r="J107" s="407"/>
      <c r="K107" s="407"/>
      <c r="L107" s="407"/>
      <c r="M107" s="407"/>
      <c r="N107" s="407"/>
      <c r="O107" s="407"/>
      <c r="P107" s="407"/>
      <c r="Q107" s="407"/>
      <c r="R107" s="407"/>
      <c r="S107" s="407"/>
      <c r="T107" s="407"/>
      <c r="U107" s="407"/>
      <c r="V107" s="407"/>
      <c r="W107" s="407"/>
      <c r="X107" s="407"/>
      <c r="Y107" s="407"/>
      <c r="Z107" s="407"/>
    </row>
    <row r="108" spans="1:26" ht="22.5" hidden="1" customHeight="1" outlineLevel="1" x14ac:dyDescent="0.85">
      <c r="A108" s="396" t="s">
        <v>994</v>
      </c>
      <c r="B108" s="413">
        <f t="shared" si="28"/>
        <v>5.0511452666420181E-2</v>
      </c>
      <c r="C108" s="413">
        <f t="shared" si="24"/>
        <v>0.94697089737495377</v>
      </c>
      <c r="D108" s="413">
        <f t="shared" si="29"/>
        <v>2.5176499586260321E-3</v>
      </c>
      <c r="E108" s="152">
        <f t="shared" si="22"/>
        <v>1</v>
      </c>
      <c r="F108" s="407"/>
      <c r="G108" s="407"/>
      <c r="H108" s="414"/>
      <c r="I108" s="407"/>
      <c r="J108" s="407"/>
      <c r="K108" s="407"/>
      <c r="L108" s="407"/>
      <c r="M108" s="407"/>
      <c r="N108" s="407"/>
      <c r="O108" s="407"/>
      <c r="P108" s="407"/>
      <c r="Q108" s="407"/>
      <c r="R108" s="407"/>
      <c r="S108" s="407"/>
      <c r="T108" s="407"/>
      <c r="U108" s="407"/>
      <c r="V108" s="407"/>
      <c r="W108" s="407"/>
      <c r="X108" s="407"/>
      <c r="Y108" s="407"/>
      <c r="Z108" s="407"/>
    </row>
    <row r="109" spans="1:26" ht="22.5" hidden="1" customHeight="1" outlineLevel="1" x14ac:dyDescent="0.85">
      <c r="A109" s="396" t="s">
        <v>995</v>
      </c>
      <c r="B109" s="413">
        <f t="shared" ref="B109:B110" si="30">$C$123/$I$123</f>
        <v>4.0824109627035789E-2</v>
      </c>
      <c r="C109" s="413">
        <f t="shared" si="24"/>
        <v>0.95527549773343856</v>
      </c>
      <c r="D109" s="413">
        <f t="shared" ref="D109:D110" si="31">$D$123/$I$123</f>
        <v>3.9003926395257123E-3</v>
      </c>
      <c r="E109" s="152">
        <f t="shared" si="22"/>
        <v>1</v>
      </c>
      <c r="F109" s="407"/>
      <c r="G109" s="407"/>
      <c r="H109" s="414"/>
      <c r="I109" s="407"/>
      <c r="J109" s="407"/>
      <c r="K109" s="407"/>
      <c r="L109" s="407"/>
      <c r="M109" s="407"/>
      <c r="N109" s="407"/>
      <c r="O109" s="407"/>
      <c r="P109" s="407"/>
      <c r="Q109" s="407"/>
      <c r="R109" s="407"/>
      <c r="S109" s="407"/>
      <c r="T109" s="407"/>
      <c r="U109" s="407"/>
      <c r="V109" s="407"/>
      <c r="W109" s="407"/>
      <c r="X109" s="407"/>
      <c r="Y109" s="407"/>
      <c r="Z109" s="407"/>
    </row>
    <row r="110" spans="1:26" ht="22.5" hidden="1" customHeight="1" outlineLevel="1" x14ac:dyDescent="0.85">
      <c r="A110" s="396" t="s">
        <v>996</v>
      </c>
      <c r="B110" s="413">
        <f t="shared" si="30"/>
        <v>4.0824109627035789E-2</v>
      </c>
      <c r="C110" s="413">
        <f t="shared" si="24"/>
        <v>0.95527549773343856</v>
      </c>
      <c r="D110" s="413">
        <f t="shared" si="31"/>
        <v>3.9003926395257123E-3</v>
      </c>
      <c r="E110" s="152">
        <f t="shared" si="22"/>
        <v>1</v>
      </c>
      <c r="F110" s="407"/>
      <c r="G110" s="407"/>
      <c r="H110" s="414"/>
      <c r="I110" s="407"/>
      <c r="J110" s="407"/>
      <c r="K110" s="407"/>
      <c r="L110" s="407"/>
      <c r="M110" s="407"/>
      <c r="N110" s="407"/>
      <c r="O110" s="407"/>
      <c r="P110" s="407"/>
      <c r="Q110" s="407"/>
      <c r="R110" s="407"/>
      <c r="S110" s="407"/>
      <c r="T110" s="407"/>
      <c r="U110" s="407"/>
      <c r="V110" s="407"/>
      <c r="W110" s="407"/>
      <c r="X110" s="407"/>
      <c r="Y110" s="407"/>
      <c r="Z110" s="407"/>
    </row>
    <row r="111" spans="1:26" ht="22.5" hidden="1" customHeight="1" outlineLevel="1" x14ac:dyDescent="0.85">
      <c r="A111" s="396" t="s">
        <v>997</v>
      </c>
      <c r="B111" s="412">
        <v>0.5</v>
      </c>
      <c r="C111" s="412">
        <v>0.5</v>
      </c>
      <c r="D111" s="412">
        <v>0</v>
      </c>
      <c r="E111" s="152">
        <f t="shared" si="22"/>
        <v>1</v>
      </c>
      <c r="F111" s="407"/>
      <c r="G111" s="407"/>
      <c r="H111" s="414"/>
      <c r="I111" s="407"/>
      <c r="J111" s="407"/>
      <c r="K111" s="407"/>
      <c r="L111" s="407"/>
      <c r="M111" s="407"/>
      <c r="N111" s="407"/>
      <c r="O111" s="407"/>
      <c r="P111" s="407"/>
      <c r="Q111" s="407"/>
      <c r="R111" s="407"/>
      <c r="S111" s="407"/>
      <c r="T111" s="407"/>
      <c r="U111" s="407"/>
      <c r="V111" s="407"/>
      <c r="W111" s="407"/>
      <c r="X111" s="407"/>
      <c r="Y111" s="407"/>
      <c r="Z111" s="407"/>
    </row>
    <row r="112" spans="1:26" ht="22.5" hidden="1" customHeight="1" outlineLevel="1" x14ac:dyDescent="0.85">
      <c r="A112" s="407"/>
      <c r="B112" s="407"/>
      <c r="C112" s="407"/>
      <c r="D112" s="407"/>
      <c r="E112" s="407"/>
      <c r="F112" s="407"/>
      <c r="G112" s="407"/>
      <c r="H112" s="407"/>
      <c r="I112" s="407"/>
      <c r="J112" s="407"/>
      <c r="K112" s="407"/>
      <c r="L112" s="407"/>
      <c r="M112" s="407"/>
      <c r="N112" s="407"/>
      <c r="O112" s="407"/>
      <c r="P112" s="407"/>
      <c r="Q112" s="407"/>
      <c r="R112" s="407"/>
      <c r="S112" s="407"/>
      <c r="T112" s="407"/>
      <c r="U112" s="407"/>
      <c r="V112" s="407"/>
      <c r="W112" s="407"/>
      <c r="X112" s="407"/>
      <c r="Y112" s="407"/>
      <c r="Z112" s="407"/>
    </row>
    <row r="113" spans="1:26" ht="22.5" hidden="1" customHeight="1" outlineLevel="1" x14ac:dyDescent="0.85">
      <c r="A113" s="866" t="s">
        <v>998</v>
      </c>
      <c r="B113" s="765"/>
      <c r="C113" s="765"/>
      <c r="D113" s="765"/>
      <c r="E113" s="765"/>
      <c r="F113" s="762"/>
      <c r="G113" s="407"/>
      <c r="H113" s="407"/>
      <c r="I113" s="407"/>
      <c r="J113" s="407"/>
      <c r="K113" s="407"/>
      <c r="L113" s="3"/>
      <c r="M113" s="3"/>
      <c r="N113" s="3"/>
      <c r="O113" s="3"/>
      <c r="P113" s="3"/>
      <c r="Q113" s="3"/>
      <c r="R113" s="3"/>
      <c r="S113" s="3"/>
      <c r="T113" s="3"/>
      <c r="U113" s="3"/>
      <c r="V113" s="3"/>
      <c r="W113" s="3"/>
      <c r="X113" s="3"/>
      <c r="Y113" s="3"/>
      <c r="Z113" s="3"/>
    </row>
    <row r="114" spans="1:26" ht="22.5" hidden="1" customHeight="1" outlineLevel="1" x14ac:dyDescent="0.85">
      <c r="A114" s="400"/>
      <c r="B114" s="400" t="s">
        <v>999</v>
      </c>
      <c r="C114" s="400" t="s">
        <v>1000</v>
      </c>
      <c r="D114" s="400" t="s">
        <v>1001</v>
      </c>
      <c r="E114" s="400" t="s">
        <v>222</v>
      </c>
      <c r="F114" s="400" t="s">
        <v>119</v>
      </c>
      <c r="G114" s="407"/>
      <c r="H114" s="407"/>
      <c r="I114" s="407"/>
      <c r="J114" s="407"/>
      <c r="K114" s="407"/>
      <c r="L114" s="3"/>
      <c r="M114" s="3"/>
      <c r="N114" s="3"/>
      <c r="O114" s="3"/>
      <c r="P114" s="3"/>
      <c r="Q114" s="3"/>
      <c r="R114" s="3"/>
      <c r="S114" s="3"/>
      <c r="T114" s="3"/>
      <c r="U114" s="3"/>
      <c r="V114" s="3"/>
      <c r="W114" s="3"/>
      <c r="X114" s="3"/>
      <c r="Y114" s="3"/>
      <c r="Z114" s="3"/>
    </row>
    <row r="115" spans="1:26" ht="22.5" hidden="1" customHeight="1" outlineLevel="1" x14ac:dyDescent="0.85">
      <c r="A115" s="131" t="s">
        <v>1002</v>
      </c>
      <c r="B115" s="409">
        <v>17844528082.042873</v>
      </c>
      <c r="C115" s="409">
        <v>5866555864.7955198</v>
      </c>
      <c r="D115" s="409">
        <v>2819567676.8152828</v>
      </c>
      <c r="E115" s="409">
        <v>168195478.17958754</v>
      </c>
      <c r="F115" s="415">
        <f t="shared" ref="F115:F116" si="32">SUM(B115:E115)</f>
        <v>26698847101.833267</v>
      </c>
      <c r="G115" s="407"/>
      <c r="H115" s="407"/>
      <c r="I115" s="407"/>
      <c r="J115" s="407"/>
      <c r="K115" s="407"/>
      <c r="L115" s="3"/>
      <c r="M115" s="3"/>
      <c r="N115" s="3"/>
      <c r="O115" s="3"/>
      <c r="P115" s="3"/>
      <c r="Q115" s="3"/>
      <c r="R115" s="3"/>
      <c r="S115" s="3"/>
      <c r="T115" s="3"/>
      <c r="U115" s="3"/>
      <c r="V115" s="3"/>
      <c r="W115" s="3"/>
      <c r="X115" s="3"/>
      <c r="Y115" s="3"/>
      <c r="Z115" s="3"/>
    </row>
    <row r="116" spans="1:26" ht="22.5" hidden="1" customHeight="1" outlineLevel="1" x14ac:dyDescent="0.85">
      <c r="A116" s="89" t="s">
        <v>1003</v>
      </c>
      <c r="B116" s="41">
        <f t="shared" ref="B116:E116" si="33">B115/$F$115</f>
        <v>0.66836324482406528</v>
      </c>
      <c r="C116" s="41">
        <f t="shared" si="33"/>
        <v>0.21973068134439014</v>
      </c>
      <c r="D116" s="41">
        <f t="shared" si="33"/>
        <v>0.10560634569953689</v>
      </c>
      <c r="E116" s="41">
        <f t="shared" si="33"/>
        <v>6.2997281320075595E-3</v>
      </c>
      <c r="F116" s="258">
        <f t="shared" si="32"/>
        <v>0.99999999999999978</v>
      </c>
      <c r="G116" s="407"/>
      <c r="H116" s="407"/>
      <c r="I116" s="407"/>
      <c r="J116" s="407"/>
      <c r="K116" s="407"/>
      <c r="L116" s="3"/>
      <c r="M116" s="3"/>
      <c r="N116" s="3"/>
      <c r="O116" s="3"/>
      <c r="P116" s="3"/>
      <c r="Q116" s="3"/>
      <c r="R116" s="3"/>
      <c r="S116" s="3"/>
      <c r="T116" s="3"/>
      <c r="U116" s="3"/>
      <c r="V116" s="3"/>
      <c r="W116" s="3"/>
      <c r="X116" s="3"/>
      <c r="Y116" s="3"/>
      <c r="Z116" s="3"/>
    </row>
    <row r="117" spans="1:26" ht="22.5" hidden="1" customHeight="1" outlineLevel="1" x14ac:dyDescent="0.85">
      <c r="A117" s="15"/>
      <c r="B117" s="416"/>
      <c r="C117" s="416"/>
      <c r="D117" s="416"/>
      <c r="E117" s="416"/>
      <c r="F117" s="416"/>
      <c r="G117" s="407"/>
      <c r="H117" s="416"/>
      <c r="I117" s="417"/>
      <c r="J117" s="407"/>
      <c r="K117" s="407"/>
      <c r="L117" s="3"/>
      <c r="M117" s="3"/>
      <c r="N117" s="3"/>
      <c r="O117" s="3"/>
      <c r="P117" s="3"/>
      <c r="Q117" s="3"/>
      <c r="R117" s="3"/>
      <c r="S117" s="3"/>
      <c r="T117" s="3"/>
      <c r="U117" s="3"/>
      <c r="V117" s="3"/>
      <c r="W117" s="3"/>
      <c r="X117" s="3"/>
      <c r="Y117" s="3"/>
      <c r="Z117" s="3"/>
    </row>
    <row r="118" spans="1:26" ht="22.5" hidden="1" customHeight="1" outlineLevel="1" x14ac:dyDescent="0.85">
      <c r="A118" s="866" t="s">
        <v>1004</v>
      </c>
      <c r="B118" s="765"/>
      <c r="C118" s="765"/>
      <c r="D118" s="765"/>
      <c r="E118" s="765"/>
      <c r="F118" s="765"/>
      <c r="G118" s="765"/>
      <c r="H118" s="765"/>
      <c r="I118" s="762"/>
      <c r="J118" s="407"/>
      <c r="K118" s="407"/>
      <c r="L118" s="3"/>
      <c r="M118" s="3"/>
      <c r="N118" s="3"/>
      <c r="O118" s="3"/>
      <c r="P118" s="3"/>
      <c r="Q118" s="3"/>
      <c r="R118" s="3"/>
      <c r="S118" s="3"/>
      <c r="T118" s="3"/>
      <c r="U118" s="3"/>
      <c r="V118" s="3"/>
      <c r="W118" s="3"/>
      <c r="X118" s="3"/>
      <c r="Y118" s="3"/>
      <c r="Z118" s="3"/>
    </row>
    <row r="119" spans="1:26" ht="22.5" hidden="1" customHeight="1" outlineLevel="1" x14ac:dyDescent="0.85">
      <c r="A119" s="400"/>
      <c r="B119" s="400" t="s">
        <v>862</v>
      </c>
      <c r="C119" s="400" t="s">
        <v>883</v>
      </c>
      <c r="D119" s="400" t="s">
        <v>1005</v>
      </c>
      <c r="E119" s="400" t="s">
        <v>1006</v>
      </c>
      <c r="F119" s="400" t="s">
        <v>1007</v>
      </c>
      <c r="G119" s="400" t="s">
        <v>1008</v>
      </c>
      <c r="H119" s="400" t="s">
        <v>1009</v>
      </c>
      <c r="I119" s="400" t="s">
        <v>119</v>
      </c>
      <c r="J119" s="407"/>
      <c r="K119" s="407"/>
      <c r="L119" s="3"/>
      <c r="M119" s="3"/>
      <c r="N119" s="3"/>
      <c r="O119" s="3"/>
      <c r="P119" s="3"/>
      <c r="Q119" s="3"/>
      <c r="R119" s="3"/>
      <c r="S119" s="3"/>
      <c r="T119" s="3"/>
      <c r="U119" s="3"/>
      <c r="V119" s="3"/>
      <c r="W119" s="3"/>
      <c r="X119" s="3"/>
      <c r="Y119" s="3"/>
      <c r="Z119" s="3"/>
    </row>
    <row r="120" spans="1:26" ht="22.5" hidden="1" customHeight="1" outlineLevel="1" x14ac:dyDescent="0.85">
      <c r="A120" s="86" t="s">
        <v>107</v>
      </c>
      <c r="B120" s="409">
        <f>972422+14471</f>
        <v>986893</v>
      </c>
      <c r="C120" s="409">
        <v>42372</v>
      </c>
      <c r="D120" s="409">
        <v>16461</v>
      </c>
      <c r="E120" s="409">
        <v>195</v>
      </c>
      <c r="F120" s="409">
        <v>6175</v>
      </c>
      <c r="G120" s="409">
        <v>107522</v>
      </c>
      <c r="H120" s="409">
        <v>39216</v>
      </c>
      <c r="I120" s="415">
        <f t="shared" ref="I120:I123" si="34">SUM(B120:H120)</f>
        <v>1198834</v>
      </c>
      <c r="J120" s="407"/>
      <c r="K120" s="407"/>
      <c r="L120" s="3"/>
      <c r="M120" s="3"/>
      <c r="N120" s="3"/>
      <c r="O120" s="3"/>
      <c r="P120" s="3"/>
      <c r="Q120" s="3"/>
      <c r="R120" s="3"/>
      <c r="S120" s="3"/>
      <c r="T120" s="3"/>
      <c r="U120" s="3"/>
      <c r="V120" s="3"/>
      <c r="W120" s="3"/>
      <c r="X120" s="3"/>
      <c r="Y120" s="3"/>
      <c r="Z120" s="3"/>
    </row>
    <row r="121" spans="1:26" ht="22.5" hidden="1" customHeight="1" outlineLevel="1" x14ac:dyDescent="0.85">
      <c r="A121" s="86" t="s">
        <v>108</v>
      </c>
      <c r="B121" s="409">
        <f>253349+3995</f>
        <v>257344</v>
      </c>
      <c r="C121" s="409">
        <v>10362</v>
      </c>
      <c r="D121" s="409">
        <v>3629</v>
      </c>
      <c r="E121" s="409">
        <v>50</v>
      </c>
      <c r="F121" s="409">
        <v>1455</v>
      </c>
      <c r="G121" s="409">
        <v>32809</v>
      </c>
      <c r="H121" s="409">
        <v>7807</v>
      </c>
      <c r="I121" s="415">
        <f t="shared" si="34"/>
        <v>313456</v>
      </c>
      <c r="J121" s="407"/>
      <c r="K121" s="407"/>
      <c r="L121" s="3"/>
      <c r="M121" s="3"/>
      <c r="N121" s="3"/>
      <c r="O121" s="3"/>
      <c r="P121" s="3"/>
      <c r="Q121" s="3"/>
      <c r="R121" s="3"/>
      <c r="S121" s="3"/>
      <c r="T121" s="3"/>
      <c r="U121" s="3"/>
      <c r="V121" s="3"/>
      <c r="W121" s="3"/>
      <c r="X121" s="3"/>
      <c r="Y121" s="3"/>
      <c r="Z121" s="3"/>
    </row>
    <row r="122" spans="1:26" ht="22.5" hidden="1" customHeight="1" outlineLevel="1" x14ac:dyDescent="0.85">
      <c r="A122" s="86" t="s">
        <v>109</v>
      </c>
      <c r="B122" s="409">
        <f>41304+631</f>
        <v>41935</v>
      </c>
      <c r="C122" s="409">
        <v>2869</v>
      </c>
      <c r="D122" s="409">
        <v>143</v>
      </c>
      <c r="E122" s="409">
        <v>1</v>
      </c>
      <c r="F122" s="409">
        <v>38</v>
      </c>
      <c r="G122" s="409">
        <v>8608</v>
      </c>
      <c r="H122" s="409">
        <v>3205</v>
      </c>
      <c r="I122" s="415">
        <f t="shared" si="34"/>
        <v>56799</v>
      </c>
      <c r="J122" s="407"/>
      <c r="K122" s="407"/>
      <c r="L122" s="3"/>
      <c r="M122" s="3"/>
      <c r="N122" s="3"/>
      <c r="O122" s="3"/>
      <c r="P122" s="3"/>
      <c r="Q122" s="3"/>
      <c r="R122" s="3"/>
      <c r="S122" s="3"/>
      <c r="T122" s="3"/>
      <c r="U122" s="3"/>
      <c r="V122" s="3"/>
      <c r="W122" s="3"/>
      <c r="X122" s="3"/>
      <c r="Y122" s="3"/>
      <c r="Z122" s="3"/>
    </row>
    <row r="123" spans="1:26" ht="22.5" hidden="1" customHeight="1" outlineLevel="1" x14ac:dyDescent="0.85">
      <c r="A123" s="86" t="s">
        <v>110</v>
      </c>
      <c r="B123" s="409">
        <f>178112+3311</f>
        <v>181423</v>
      </c>
      <c r="C123" s="409">
        <v>9420</v>
      </c>
      <c r="D123" s="409">
        <v>900</v>
      </c>
      <c r="E123" s="409">
        <v>12</v>
      </c>
      <c r="F123" s="409">
        <v>350</v>
      </c>
      <c r="G123" s="409">
        <v>28597</v>
      </c>
      <c r="H123" s="409">
        <v>10044</v>
      </c>
      <c r="I123" s="415">
        <f t="shared" si="34"/>
        <v>230746</v>
      </c>
      <c r="J123" s="407"/>
      <c r="K123" s="407"/>
      <c r="L123" s="3"/>
      <c r="M123" s="3"/>
      <c r="N123" s="3"/>
      <c r="O123" s="3"/>
      <c r="P123" s="3"/>
      <c r="Q123" s="3"/>
      <c r="R123" s="3"/>
      <c r="S123" s="3"/>
      <c r="T123" s="3"/>
      <c r="U123" s="3"/>
      <c r="V123" s="3"/>
      <c r="W123" s="3"/>
      <c r="X123" s="3"/>
      <c r="Y123" s="3"/>
      <c r="Z123" s="3"/>
    </row>
    <row r="124" spans="1:26" ht="22.5" hidden="1" customHeight="1" outlineLevel="1" x14ac:dyDescent="0.8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22.5" hidden="1" customHeight="1" outlineLevel="1" x14ac:dyDescent="0.85">
      <c r="A125" s="334" t="s">
        <v>146</v>
      </c>
      <c r="B125" s="341"/>
      <c r="C125" s="341"/>
      <c r="D125" s="341"/>
      <c r="E125" s="341"/>
      <c r="F125" s="341"/>
      <c r="G125" s="341"/>
      <c r="H125" s="341"/>
      <c r="I125" s="341"/>
      <c r="J125" s="341"/>
      <c r="K125" s="341"/>
      <c r="L125" s="341"/>
      <c r="M125" s="341"/>
      <c r="N125" s="341"/>
      <c r="O125" s="341"/>
      <c r="P125" s="341"/>
      <c r="Q125" s="341"/>
      <c r="R125" s="341"/>
      <c r="S125" s="342"/>
      <c r="T125" s="3"/>
      <c r="U125" s="3"/>
      <c r="V125" s="3"/>
      <c r="W125" s="3"/>
      <c r="X125" s="3"/>
      <c r="Y125" s="3"/>
      <c r="Z125" s="3"/>
    </row>
    <row r="126" spans="1:26" ht="22.5" hidden="1" customHeight="1" outlineLevel="1" x14ac:dyDescent="0.85">
      <c r="A126" s="868" t="s">
        <v>1010</v>
      </c>
      <c r="B126" s="813"/>
      <c r="C126" s="813"/>
      <c r="D126" s="813"/>
      <c r="E126" s="814"/>
      <c r="F126" s="26"/>
      <c r="G126" s="26"/>
      <c r="H126" s="26"/>
      <c r="I126" s="26"/>
      <c r="J126" s="26"/>
      <c r="K126" s="2"/>
      <c r="L126" s="2"/>
      <c r="M126" s="2"/>
      <c r="N126" s="2"/>
      <c r="O126" s="2"/>
      <c r="P126" s="2"/>
      <c r="Q126" s="2"/>
      <c r="R126" s="2"/>
      <c r="S126" s="2"/>
      <c r="T126" s="3"/>
      <c r="U126" s="3"/>
      <c r="V126" s="3"/>
      <c r="W126" s="3"/>
      <c r="X126" s="3"/>
      <c r="Y126" s="3"/>
      <c r="Z126" s="3"/>
    </row>
    <row r="127" spans="1:26" ht="22.5" hidden="1" customHeight="1" outlineLevel="1" x14ac:dyDescent="0.85">
      <c r="A127" s="400" t="s">
        <v>138</v>
      </c>
      <c r="B127" s="400" t="s">
        <v>1011</v>
      </c>
      <c r="C127" s="400" t="s">
        <v>1012</v>
      </c>
      <c r="D127" s="400" t="s">
        <v>1013</v>
      </c>
      <c r="E127" s="400" t="s">
        <v>1014</v>
      </c>
      <c r="F127" s="418"/>
      <c r="G127" s="167"/>
      <c r="H127" s="167"/>
      <c r="I127" s="167"/>
      <c r="J127" s="167"/>
      <c r="K127" s="418"/>
      <c r="L127" s="418"/>
      <c r="M127" s="418"/>
      <c r="N127" s="418"/>
      <c r="O127" s="418"/>
      <c r="P127" s="418"/>
      <c r="Q127" s="418"/>
      <c r="R127" s="418"/>
      <c r="S127" s="418"/>
      <c r="T127" s="3"/>
      <c r="U127" s="3"/>
      <c r="V127" s="3"/>
      <c r="W127" s="3"/>
      <c r="X127" s="3"/>
      <c r="Y127" s="3"/>
      <c r="Z127" s="3"/>
    </row>
    <row r="128" spans="1:26" ht="22.5" hidden="1" customHeight="1" outlineLevel="1" x14ac:dyDescent="0.85">
      <c r="A128" s="86" t="s">
        <v>105</v>
      </c>
      <c r="B128" s="419">
        <f>((E144+F144)/'Conversion Factors and GWP'!$A$5)*'Energy Data'!L63</f>
        <v>7345.5258749179993</v>
      </c>
      <c r="C128" s="420">
        <f>((E144+F144)/'Conversion Factors and GWP'!$A$5)*'Energy Data'!$D$28</f>
        <v>0.66041897046202969</v>
      </c>
      <c r="D128" s="421">
        <f>((E144+F144)/'Conversion Factors and GWP'!$A$5)*'Energy Data'!$D$29</f>
        <v>9.0645741043808001E-2</v>
      </c>
      <c r="E128" s="150">
        <f>B128+(C128*'Conversion Factors and GWP'!$C$31)+('Conversion Factors and GWP'!$C$32*'On-Road Data'!D128)</f>
        <v>7388.038727467545</v>
      </c>
      <c r="F128" s="407"/>
      <c r="G128" s="2"/>
      <c r="H128" s="2"/>
      <c r="I128" s="2"/>
      <c r="J128" s="2"/>
      <c r="K128" s="2"/>
      <c r="L128" s="2"/>
      <c r="M128" s="2"/>
      <c r="N128" s="2"/>
      <c r="O128" s="2"/>
      <c r="P128" s="2"/>
      <c r="Q128" s="2"/>
      <c r="R128" s="2"/>
      <c r="S128" s="2"/>
      <c r="T128" s="3"/>
      <c r="U128" s="3"/>
      <c r="V128" s="3"/>
      <c r="W128" s="3"/>
      <c r="X128" s="3"/>
      <c r="Y128" s="3"/>
      <c r="Z128" s="3"/>
    </row>
    <row r="129" spans="1:26" ht="22.5" hidden="1" customHeight="1" outlineLevel="1" x14ac:dyDescent="0.85">
      <c r="A129" s="86" t="s">
        <v>126</v>
      </c>
      <c r="B129" s="419">
        <f>((E145+F145)/'Conversion Factors and GWP'!$A$5)*'Energy Data'!L64</f>
        <v>7962.9214506748876</v>
      </c>
      <c r="C129" s="420">
        <f>((E145+F145)/'Conversion Factors and GWP'!$A$5)*'Energy Data'!$D$28</f>
        <v>0.69563181546026076</v>
      </c>
      <c r="D129" s="421">
        <f>((E145+F145)/'Conversion Factors and GWP'!$A$5)*'Energy Data'!$D$29</f>
        <v>9.5478876631800491E-2</v>
      </c>
      <c r="E129" s="150">
        <f>B129+(C129*'Conversion Factors and GWP'!$C$31)+('Conversion Factors and GWP'!$C$32*'On-Road Data'!D129)</f>
        <v>8007.7010438152029</v>
      </c>
      <c r="F129" s="2"/>
      <c r="G129" s="2"/>
      <c r="H129" s="2"/>
      <c r="I129" s="2"/>
      <c r="J129" s="2"/>
      <c r="K129" s="2"/>
      <c r="L129" s="2"/>
      <c r="M129" s="2"/>
      <c r="N129" s="2"/>
      <c r="O129" s="2"/>
      <c r="P129" s="2"/>
      <c r="Q129" s="2"/>
      <c r="R129" s="2"/>
      <c r="S129" s="2"/>
      <c r="T129" s="3"/>
      <c r="U129" s="3"/>
      <c r="V129" s="3"/>
      <c r="W129" s="3"/>
      <c r="X129" s="3"/>
      <c r="Y129" s="3"/>
      <c r="Z129" s="3"/>
    </row>
    <row r="130" spans="1:26" ht="22.5" hidden="1" customHeight="1" outlineLevel="1" x14ac:dyDescent="0.85">
      <c r="A130" s="86" t="s">
        <v>127</v>
      </c>
      <c r="B130" s="419">
        <f>((E146+F146)/'Conversion Factors and GWP'!$A$5)*'Energy Data'!L65</f>
        <v>1847.8739346359669</v>
      </c>
      <c r="C130" s="420">
        <f>((E146+F146)/'Conversion Factors and GWP'!$A$5)*'Energy Data'!$D$28</f>
        <v>0.15172648654189838</v>
      </c>
      <c r="D130" s="421">
        <f>((E146+F146)/'Conversion Factors and GWP'!$A$5)*'Energy Data'!$D$29</f>
        <v>2.0825204035162522E-2</v>
      </c>
      <c r="E130" s="150">
        <f>B130+(C130*'Conversion Factors and GWP'!$C$31)+('Conversion Factors and GWP'!$C$32*'On-Road Data'!D130)</f>
        <v>1857.6409553284582</v>
      </c>
      <c r="F130" s="2"/>
      <c r="G130" s="2"/>
      <c r="H130" s="2"/>
      <c r="I130" s="2"/>
      <c r="J130" s="2"/>
      <c r="K130" s="2"/>
      <c r="L130" s="2"/>
      <c r="M130" s="2"/>
      <c r="N130" s="2"/>
      <c r="O130" s="2"/>
      <c r="P130" s="2"/>
      <c r="Q130" s="2"/>
      <c r="R130" s="2"/>
      <c r="S130" s="2"/>
      <c r="T130" s="3"/>
      <c r="U130" s="3"/>
      <c r="V130" s="3"/>
      <c r="W130" s="3"/>
      <c r="X130" s="3"/>
      <c r="Y130" s="3"/>
      <c r="Z130" s="3"/>
    </row>
    <row r="131" spans="1:26" ht="22.5" hidden="1" customHeight="1" outlineLevel="1" x14ac:dyDescent="0.85">
      <c r="A131" s="86" t="s">
        <v>128</v>
      </c>
      <c r="B131" s="419">
        <f>((E147+F147)/'Conversion Factors and GWP'!$A$5)*'Energy Data'!L66</f>
        <v>36.827566700837338</v>
      </c>
      <c r="C131" s="422">
        <f>((E147+F147)/'Conversion Factors and GWP'!$A$5)*'Energy Data'!$D$28</f>
        <v>1.3125128593589827E-3</v>
      </c>
      <c r="D131" s="423">
        <f>((E147+F147)/'Conversion Factors and GWP'!$A$5)*'Energy Data'!$D$29</f>
        <v>1.8014882383358586E-4</v>
      </c>
      <c r="E131" s="150">
        <f>B131+(C131*'Conversion Factors and GWP'!$C$31)+('Conversion Factors and GWP'!$C$32*'On-Road Data'!D131)</f>
        <v>36.912056499215289</v>
      </c>
      <c r="F131" s="2"/>
      <c r="G131" s="2"/>
      <c r="H131" s="2"/>
      <c r="I131" s="2"/>
      <c r="J131" s="2"/>
      <c r="K131" s="2"/>
      <c r="L131" s="2"/>
      <c r="M131" s="2"/>
      <c r="N131" s="2"/>
      <c r="O131" s="2"/>
      <c r="P131" s="2"/>
      <c r="Q131" s="2"/>
      <c r="R131" s="2"/>
      <c r="S131" s="2"/>
      <c r="T131" s="3"/>
      <c r="U131" s="3"/>
      <c r="V131" s="3"/>
      <c r="W131" s="3"/>
      <c r="X131" s="3"/>
      <c r="Y131" s="3"/>
      <c r="Z131" s="3"/>
    </row>
    <row r="132" spans="1:26" ht="22.5" hidden="1" customHeight="1" outlineLevel="1" x14ac:dyDescent="0.85">
      <c r="A132" s="86" t="s">
        <v>129</v>
      </c>
      <c r="B132" s="419">
        <f>((E148+F148)/'Conversion Factors and GWP'!$A$5)*'Energy Data'!L67</f>
        <v>394.16902794290098</v>
      </c>
      <c r="C132" s="421">
        <f>((E148+F148)/'Conversion Factors and GWP'!$A$5)*'Energy Data'!$D$28</f>
        <v>3.2850321851384819E-2</v>
      </c>
      <c r="D132" s="422">
        <f>((E148+F148)/'Conversion Factors and GWP'!$A$5)*'Energy Data'!$D$29</f>
        <v>4.508867705092034E-3</v>
      </c>
      <c r="E132" s="150">
        <f>B132+(C132*'Conversion Factors and GWP'!$C$31)+('Conversion Factors and GWP'!$C$32*'On-Road Data'!D132)</f>
        <v>396.28368689658913</v>
      </c>
      <c r="F132" s="2"/>
      <c r="G132" s="2"/>
      <c r="H132" s="2"/>
      <c r="I132" s="2"/>
      <c r="J132" s="2"/>
      <c r="K132" s="2"/>
      <c r="L132" s="2"/>
      <c r="M132" s="2"/>
      <c r="N132" s="2"/>
      <c r="O132" s="2"/>
      <c r="P132" s="2"/>
      <c r="Q132" s="2"/>
      <c r="R132" s="2"/>
      <c r="S132" s="2"/>
      <c r="T132" s="3"/>
      <c r="U132" s="3"/>
      <c r="V132" s="3"/>
      <c r="W132" s="3"/>
      <c r="X132" s="3"/>
      <c r="Y132" s="3"/>
      <c r="Z132" s="3"/>
    </row>
    <row r="133" spans="1:26" ht="22.5" hidden="1" customHeight="1" outlineLevel="1" x14ac:dyDescent="0.85">
      <c r="A133" s="2"/>
      <c r="B133" s="2"/>
      <c r="C133" s="2"/>
      <c r="D133" s="2"/>
      <c r="E133" s="2"/>
      <c r="F133" s="2"/>
      <c r="G133" s="2"/>
      <c r="H133" s="2"/>
      <c r="I133" s="2"/>
      <c r="J133" s="2"/>
      <c r="K133" s="2"/>
      <c r="L133" s="2"/>
      <c r="M133" s="2"/>
      <c r="N133" s="2"/>
      <c r="O133" s="2"/>
      <c r="P133" s="2"/>
      <c r="Q133" s="2"/>
      <c r="R133" s="2"/>
      <c r="S133" s="2"/>
      <c r="T133" s="3"/>
      <c r="U133" s="3"/>
      <c r="V133" s="3"/>
      <c r="W133" s="3"/>
      <c r="X133" s="3"/>
      <c r="Y133" s="3"/>
      <c r="Z133" s="3"/>
    </row>
    <row r="134" spans="1:26" ht="22.5" hidden="1" customHeight="1" outlineLevel="1" x14ac:dyDescent="0.85">
      <c r="A134" s="866" t="s">
        <v>1015</v>
      </c>
      <c r="B134" s="765"/>
      <c r="C134" s="765"/>
      <c r="D134" s="765"/>
      <c r="E134" s="762"/>
      <c r="F134" s="2"/>
      <c r="G134" s="2"/>
      <c r="H134" s="2"/>
      <c r="I134" s="2"/>
      <c r="J134" s="2"/>
      <c r="K134" s="2"/>
      <c r="L134" s="2"/>
      <c r="M134" s="2"/>
      <c r="N134" s="2"/>
      <c r="O134" s="2"/>
      <c r="P134" s="2"/>
      <c r="Q134" s="2"/>
      <c r="R134" s="2"/>
      <c r="S134" s="2"/>
      <c r="T134" s="3"/>
      <c r="U134" s="3"/>
      <c r="V134" s="3"/>
      <c r="W134" s="3"/>
      <c r="X134" s="3"/>
      <c r="Y134" s="3"/>
      <c r="Z134" s="3"/>
    </row>
    <row r="135" spans="1:26" ht="22.5" hidden="1" customHeight="1" outlineLevel="1" x14ac:dyDescent="0.85">
      <c r="A135" s="400" t="s">
        <v>138</v>
      </c>
      <c r="B135" s="400" t="s">
        <v>1016</v>
      </c>
      <c r="C135" s="400" t="s">
        <v>1017</v>
      </c>
      <c r="D135" s="400" t="s">
        <v>1018</v>
      </c>
      <c r="E135" s="400" t="s">
        <v>1019</v>
      </c>
      <c r="F135" s="2"/>
      <c r="G135" s="2"/>
      <c r="H135" s="2"/>
      <c r="I135" s="2"/>
      <c r="J135" s="2"/>
      <c r="K135" s="2"/>
      <c r="L135" s="2"/>
      <c r="M135" s="2"/>
      <c r="N135" s="2"/>
      <c r="O135" s="2"/>
      <c r="P135" s="2"/>
      <c r="Q135" s="2"/>
      <c r="R135" s="2"/>
      <c r="S135" s="2"/>
      <c r="T135" s="3"/>
      <c r="U135" s="3"/>
      <c r="V135" s="3"/>
      <c r="W135" s="3"/>
      <c r="X135" s="3"/>
      <c r="Y135" s="3"/>
      <c r="Z135" s="3"/>
    </row>
    <row r="136" spans="1:26" ht="22.5" hidden="1" customHeight="1" outlineLevel="1" x14ac:dyDescent="0.85">
      <c r="A136" s="86" t="s">
        <v>105</v>
      </c>
      <c r="B136" s="419">
        <f>(I144/'Conversion Factors and GWP'!$A$5)*'Energy Data'!L63</f>
        <v>196.8600934478024</v>
      </c>
      <c r="C136" s="421">
        <f>(I144/'Conversion Factors and GWP'!$A$5)*'Energy Data'!$D$28</f>
        <v>1.7699228408382398E-2</v>
      </c>
      <c r="D136" s="422">
        <f>(I144/'Conversion Factors and GWP'!$A$5)*'Energy Data'!$D$29</f>
        <v>2.4293058599740547E-3</v>
      </c>
      <c r="E136" s="150">
        <f>B136+(C136*'Conversion Factors and GWP'!$C$31)+('Conversion Factors and GWP'!$C$32*'On-Road Data'!D136)</f>
        <v>197.99943789613022</v>
      </c>
      <c r="F136" s="2"/>
      <c r="G136" s="2"/>
      <c r="H136" s="2"/>
      <c r="I136" s="2"/>
      <c r="J136" s="2"/>
      <c r="K136" s="2"/>
      <c r="L136" s="2"/>
      <c r="M136" s="2"/>
      <c r="N136" s="2"/>
      <c r="O136" s="2"/>
      <c r="P136" s="2"/>
      <c r="Q136" s="2"/>
      <c r="R136" s="2"/>
      <c r="S136" s="2"/>
      <c r="T136" s="3"/>
      <c r="U136" s="3"/>
      <c r="V136" s="3"/>
      <c r="W136" s="3"/>
      <c r="X136" s="3"/>
      <c r="Y136" s="3"/>
      <c r="Z136" s="3"/>
    </row>
    <row r="137" spans="1:26" ht="22.5" hidden="1" customHeight="1" outlineLevel="1" x14ac:dyDescent="0.85">
      <c r="A137" s="86" t="s">
        <v>126</v>
      </c>
      <c r="B137" s="419">
        <f>(I145/'Conversion Factors and GWP'!$A$5)*'Energy Data'!L64</f>
        <v>214.79845898401953</v>
      </c>
      <c r="C137" s="421">
        <f>(I145/'Conversion Factors and GWP'!$A$5)*'Energy Data'!$D$28</f>
        <v>1.8764550536719896E-2</v>
      </c>
      <c r="D137" s="422">
        <f>(I145/'Conversion Factors and GWP'!$A$5)*'Energy Data'!$D$29</f>
        <v>2.5755265442556721E-3</v>
      </c>
      <c r="E137" s="150">
        <f>B137+(C137*'Conversion Factors and GWP'!$C$31)+('Conversion Factors and GWP'!$C$32*'On-Road Data'!D137)</f>
        <v>216.00638093327544</v>
      </c>
      <c r="F137" s="2"/>
      <c r="G137" s="2"/>
      <c r="H137" s="2"/>
      <c r="I137" s="2"/>
      <c r="J137" s="2"/>
      <c r="K137" s="2"/>
      <c r="L137" s="2"/>
      <c r="M137" s="2"/>
      <c r="N137" s="2"/>
      <c r="O137" s="2"/>
      <c r="P137" s="2"/>
      <c r="Q137" s="2"/>
      <c r="R137" s="2"/>
      <c r="S137" s="2"/>
      <c r="T137" s="3"/>
      <c r="U137" s="3"/>
      <c r="V137" s="3"/>
      <c r="W137" s="3"/>
      <c r="X137" s="3"/>
      <c r="Y137" s="3"/>
      <c r="Z137" s="3"/>
    </row>
    <row r="138" spans="1:26" ht="22.5" hidden="1" customHeight="1" outlineLevel="1" x14ac:dyDescent="0.85">
      <c r="A138" s="86" t="s">
        <v>127</v>
      </c>
      <c r="B138" s="419">
        <f>(I146/'Conversion Factors and GWP'!$A$5)*'Energy Data'!L65</f>
        <v>50.574773007135441</v>
      </c>
      <c r="C138" s="422">
        <f>(I146/'Conversion Factors and GWP'!$A$5)*'Energy Data'!$D$28</f>
        <v>4.1526277697825718E-3</v>
      </c>
      <c r="D138" s="423">
        <f>(I146/'Conversion Factors and GWP'!$A$5)*'Energy Data'!$D$29</f>
        <v>5.6996851742113731E-4</v>
      </c>
      <c r="E138" s="150">
        <f>B138+(C138*'Conversion Factors and GWP'!$C$31)+('Conversion Factors and GWP'!$C$32*'On-Road Data'!D138)</f>
        <v>50.842088241805953</v>
      </c>
      <c r="F138" s="2"/>
      <c r="G138" s="2"/>
      <c r="H138" s="2"/>
      <c r="I138" s="2"/>
      <c r="J138" s="2"/>
      <c r="K138" s="2"/>
      <c r="L138" s="2"/>
      <c r="M138" s="2"/>
      <c r="N138" s="2"/>
      <c r="O138" s="2"/>
      <c r="P138" s="2"/>
      <c r="Q138" s="2"/>
      <c r="R138" s="2"/>
      <c r="S138" s="2"/>
      <c r="T138" s="3"/>
      <c r="U138" s="3"/>
      <c r="V138" s="3"/>
      <c r="W138" s="3"/>
      <c r="X138" s="3"/>
      <c r="Y138" s="3"/>
      <c r="Z138" s="3"/>
    </row>
    <row r="139" spans="1:26" ht="22.5" hidden="1" customHeight="1" outlineLevel="1" x14ac:dyDescent="0.85">
      <c r="A139" s="86" t="s">
        <v>128</v>
      </c>
      <c r="B139" s="419">
        <f>(I147/'Conversion Factors and GWP'!$A$5)*'Energy Data'!L66</f>
        <v>1.3230108627528878</v>
      </c>
      <c r="C139" s="424">
        <f>(I147/'Conversion Factors and GWP'!$A$5)*'Energy Data'!$D$28</f>
        <v>4.7151330538362871E-5</v>
      </c>
      <c r="D139" s="425">
        <f>(I147/'Conversion Factors and GWP'!$A$5)*'Energy Data'!$D$29</f>
        <v>6.4717512503635317E-6</v>
      </c>
      <c r="E139" s="133">
        <f>B139+(C139*'Conversion Factors and GWP'!$C$31)+('Conversion Factors and GWP'!$C$32*'On-Road Data'!D139)</f>
        <v>1.3260461140893085</v>
      </c>
      <c r="F139" s="2"/>
      <c r="G139" s="2"/>
      <c r="H139" s="2"/>
      <c r="I139" s="2"/>
      <c r="J139" s="2"/>
      <c r="K139" s="2"/>
      <c r="L139" s="2"/>
      <c r="M139" s="2"/>
      <c r="N139" s="2"/>
      <c r="O139" s="2"/>
      <c r="P139" s="2"/>
      <c r="Q139" s="2"/>
      <c r="R139" s="2"/>
      <c r="S139" s="2"/>
      <c r="T139" s="3"/>
      <c r="U139" s="3"/>
      <c r="V139" s="3"/>
      <c r="W139" s="3"/>
      <c r="X139" s="3"/>
      <c r="Y139" s="3"/>
      <c r="Z139" s="3"/>
    </row>
    <row r="140" spans="1:26" ht="22.5" hidden="1" customHeight="1" outlineLevel="1" x14ac:dyDescent="0.85">
      <c r="A140" s="86" t="s">
        <v>129</v>
      </c>
      <c r="B140" s="419">
        <f>(I148/'Conversion Factors and GWP'!$A$5)*'Energy Data'!L67</f>
        <v>10.749845114730125</v>
      </c>
      <c r="C140" s="422">
        <f>(I148/'Conversion Factors and GWP'!$A$5)*'Energy Data'!$D$28</f>
        <v>8.9589959341649825E-4</v>
      </c>
      <c r="D140" s="423">
        <f>(I148/'Conversion Factors and GWP'!$A$5)*'Energy Data'!$D$29</f>
        <v>1.2296661086108799E-4</v>
      </c>
      <c r="E140" s="150">
        <f>B140+(C140*'Conversion Factors and GWP'!$C$31)+('Conversion Factors and GWP'!$C$32*'On-Road Data'!D140)</f>
        <v>10.807516455223976</v>
      </c>
      <c r="F140" s="2"/>
      <c r="G140" s="2"/>
      <c r="H140" s="2"/>
      <c r="I140" s="2"/>
      <c r="J140" s="2"/>
      <c r="K140" s="2"/>
      <c r="L140" s="2"/>
      <c r="M140" s="2"/>
      <c r="N140" s="2"/>
      <c r="O140" s="2"/>
      <c r="P140" s="2"/>
      <c r="Q140" s="2"/>
      <c r="R140" s="2"/>
      <c r="S140" s="2"/>
      <c r="T140" s="3"/>
      <c r="U140" s="3"/>
      <c r="V140" s="3"/>
      <c r="W140" s="3"/>
      <c r="X140" s="3"/>
      <c r="Y140" s="3"/>
      <c r="Z140" s="3"/>
    </row>
    <row r="141" spans="1:26" ht="22.5" hidden="1" customHeight="1" outlineLevel="1" x14ac:dyDescent="0.85">
      <c r="A141" s="426"/>
      <c r="B141" s="427"/>
      <c r="C141" s="26"/>
      <c r="D141" s="26"/>
      <c r="E141" s="26"/>
      <c r="F141" s="26"/>
      <c r="G141" s="2"/>
      <c r="H141" s="2"/>
      <c r="I141" s="2"/>
      <c r="J141" s="2"/>
      <c r="K141" s="2"/>
      <c r="L141" s="2"/>
      <c r="M141" s="2"/>
      <c r="N141" s="2"/>
      <c r="O141" s="2"/>
      <c r="P141" s="2"/>
      <c r="Q141" s="2"/>
      <c r="R141" s="2"/>
      <c r="S141" s="2"/>
      <c r="T141" s="3"/>
      <c r="U141" s="3"/>
      <c r="V141" s="3"/>
      <c r="W141" s="3"/>
      <c r="X141" s="3"/>
      <c r="Y141" s="3"/>
      <c r="Z141" s="3"/>
    </row>
    <row r="142" spans="1:26" ht="22.5" hidden="1" customHeight="1" outlineLevel="1" x14ac:dyDescent="0.85">
      <c r="A142" s="866" t="s">
        <v>1020</v>
      </c>
      <c r="B142" s="765"/>
      <c r="C142" s="765"/>
      <c r="D142" s="765"/>
      <c r="E142" s="765"/>
      <c r="F142" s="765"/>
      <c r="G142" s="765"/>
      <c r="H142" s="765"/>
      <c r="I142" s="765"/>
      <c r="J142" s="765"/>
      <c r="K142" s="762"/>
      <c r="L142" s="2"/>
      <c r="M142" s="2"/>
      <c r="N142" s="2"/>
      <c r="O142" s="2"/>
      <c r="P142" s="2"/>
      <c r="Q142" s="2"/>
      <c r="R142" s="2"/>
      <c r="S142" s="2"/>
      <c r="T142" s="3"/>
      <c r="U142" s="3"/>
      <c r="V142" s="3"/>
      <c r="W142" s="3"/>
      <c r="X142" s="3"/>
      <c r="Y142" s="3"/>
      <c r="Z142" s="3"/>
    </row>
    <row r="143" spans="1:26" ht="22.5" hidden="1" customHeight="1" outlineLevel="1" x14ac:dyDescent="0.85">
      <c r="A143" s="400" t="s">
        <v>138</v>
      </c>
      <c r="B143" s="400" t="s">
        <v>1021</v>
      </c>
      <c r="C143" s="400" t="s">
        <v>1022</v>
      </c>
      <c r="D143" s="400" t="s">
        <v>1023</v>
      </c>
      <c r="E143" s="400" t="s">
        <v>1024</v>
      </c>
      <c r="F143" s="400" t="s">
        <v>1025</v>
      </c>
      <c r="G143" s="400" t="s">
        <v>1026</v>
      </c>
      <c r="H143" s="400" t="s">
        <v>1027</v>
      </c>
      <c r="I143" s="400" t="s">
        <v>1028</v>
      </c>
      <c r="J143" s="400" t="s">
        <v>1029</v>
      </c>
      <c r="K143" s="400" t="s">
        <v>1030</v>
      </c>
      <c r="L143" s="2"/>
      <c r="M143" s="2"/>
      <c r="N143" s="2"/>
      <c r="O143" s="2"/>
      <c r="P143" s="2"/>
      <c r="Q143" s="2"/>
      <c r="R143" s="2"/>
      <c r="S143" s="2"/>
      <c r="T143" s="3"/>
      <c r="U143" s="3"/>
      <c r="V143" s="3"/>
      <c r="W143" s="3"/>
      <c r="X143" s="3"/>
      <c r="Y143" s="3"/>
      <c r="Z143" s="3"/>
    </row>
    <row r="144" spans="1:26" ht="22.5" hidden="1" customHeight="1" outlineLevel="1" x14ac:dyDescent="0.85">
      <c r="A144" s="86" t="s">
        <v>105</v>
      </c>
      <c r="B144" s="409">
        <v>4303</v>
      </c>
      <c r="C144" s="409">
        <v>1801</v>
      </c>
      <c r="D144" s="428">
        <v>11579</v>
      </c>
      <c r="E144" s="150">
        <f t="shared" ref="E144:E148" si="35">B144*D144*$D$53</f>
        <v>13950842.360000001</v>
      </c>
      <c r="F144" s="150">
        <f t="shared" ref="F144:F148" si="36">C144*D144*$D$54</f>
        <v>14597645.299999999</v>
      </c>
      <c r="G144" s="150">
        <f t="shared" ref="G144:G148" si="37">$F$53*(E144+F144)</f>
        <v>24266214.511</v>
      </c>
      <c r="H144" s="150">
        <f t="shared" ref="H144:H148" si="38">(E144+F144)*$F$54</f>
        <v>4282273.1490000002</v>
      </c>
      <c r="I144" s="150">
        <f>(E144+F144)* 'Energy Data'!K63</f>
        <v>765099.46928800002</v>
      </c>
      <c r="J144" s="150">
        <f t="shared" ref="J144:J148" si="39">$F$53*I144</f>
        <v>650334.54889480001</v>
      </c>
      <c r="K144" s="150">
        <f t="shared" ref="K144:K148" si="40">I144*$F$54</f>
        <v>114764.92039319999</v>
      </c>
      <c r="L144" s="2"/>
      <c r="M144" s="2"/>
      <c r="N144" s="2"/>
      <c r="O144" s="2"/>
      <c r="P144" s="2"/>
      <c r="Q144" s="2"/>
      <c r="R144" s="2"/>
      <c r="S144" s="2"/>
      <c r="T144" s="3"/>
      <c r="U144" s="3"/>
      <c r="V144" s="3"/>
      <c r="W144" s="3"/>
      <c r="X144" s="3"/>
      <c r="Y144" s="3"/>
      <c r="Z144" s="3"/>
    </row>
    <row r="145" spans="1:26" ht="22.5" hidden="1" customHeight="1" outlineLevel="1" x14ac:dyDescent="0.85">
      <c r="A145" s="86" t="s">
        <v>126</v>
      </c>
      <c r="B145" s="409">
        <v>4545</v>
      </c>
      <c r="C145" s="409">
        <v>1892</v>
      </c>
      <c r="D145" s="428">
        <v>11579</v>
      </c>
      <c r="E145" s="150">
        <f t="shared" si="35"/>
        <v>14735435.400000002</v>
      </c>
      <c r="F145" s="150">
        <f t="shared" si="36"/>
        <v>15335227.6</v>
      </c>
      <c r="G145" s="150">
        <f t="shared" si="37"/>
        <v>25560063.550000001</v>
      </c>
      <c r="H145" s="150">
        <f t="shared" si="38"/>
        <v>4510599.45</v>
      </c>
      <c r="I145" s="150">
        <f>(E145+F145)* 'Energy Data'!K64</f>
        <v>811151.04714241996</v>
      </c>
      <c r="J145" s="150">
        <f t="shared" si="39"/>
        <v>689478.3900710569</v>
      </c>
      <c r="K145" s="150">
        <f t="shared" si="40"/>
        <v>121672.65707136299</v>
      </c>
      <c r="L145" s="2"/>
      <c r="M145" s="2"/>
      <c r="N145" s="2"/>
      <c r="O145" s="2"/>
      <c r="P145" s="2"/>
      <c r="Q145" s="2"/>
      <c r="R145" s="2"/>
      <c r="S145" s="2"/>
      <c r="T145" s="3"/>
      <c r="U145" s="3"/>
      <c r="V145" s="3"/>
      <c r="W145" s="3"/>
      <c r="X145" s="3"/>
      <c r="Y145" s="3"/>
      <c r="Z145" s="3"/>
    </row>
    <row r="146" spans="1:26" ht="22.5" hidden="1" customHeight="1" outlineLevel="1" x14ac:dyDescent="0.85">
      <c r="A146" s="86" t="s">
        <v>127</v>
      </c>
      <c r="B146" s="409">
        <v>1008</v>
      </c>
      <c r="C146" s="409">
        <v>406</v>
      </c>
      <c r="D146" s="428">
        <v>11579</v>
      </c>
      <c r="E146" s="150">
        <f t="shared" si="35"/>
        <v>3268056.9600000004</v>
      </c>
      <c r="F146" s="150">
        <f t="shared" si="36"/>
        <v>3290751.8</v>
      </c>
      <c r="G146" s="150">
        <f t="shared" si="37"/>
        <v>5574987.4459999995</v>
      </c>
      <c r="H146" s="150">
        <f t="shared" si="38"/>
        <v>983821.3139999999</v>
      </c>
      <c r="I146" s="150">
        <f>(E146+F146)* 'Energy Data'!K65</f>
        <v>179509.14183956967</v>
      </c>
      <c r="J146" s="150">
        <f t="shared" si="39"/>
        <v>152582.7705636342</v>
      </c>
      <c r="K146" s="150">
        <f t="shared" si="40"/>
        <v>26926.371275935449</v>
      </c>
      <c r="L146" s="2"/>
      <c r="M146" s="2"/>
      <c r="N146" s="2"/>
      <c r="O146" s="2"/>
      <c r="P146" s="2"/>
      <c r="Q146" s="2"/>
      <c r="R146" s="2"/>
      <c r="S146" s="2"/>
      <c r="T146" s="3"/>
      <c r="U146" s="3"/>
      <c r="V146" s="3"/>
      <c r="W146" s="3"/>
      <c r="X146" s="3"/>
      <c r="Y146" s="3"/>
      <c r="Z146" s="3"/>
    </row>
    <row r="147" spans="1:26" ht="22.5" hidden="1" customHeight="1" outlineLevel="1" x14ac:dyDescent="0.85">
      <c r="A147" s="86" t="s">
        <v>128</v>
      </c>
      <c r="B147" s="409">
        <v>10</v>
      </c>
      <c r="C147" s="409">
        <v>3</v>
      </c>
      <c r="D147" s="428">
        <v>11579</v>
      </c>
      <c r="E147" s="150">
        <f t="shared" si="35"/>
        <v>32421.200000000004</v>
      </c>
      <c r="F147" s="150">
        <f t="shared" si="36"/>
        <v>24315.899999999998</v>
      </c>
      <c r="G147" s="150">
        <f t="shared" si="37"/>
        <v>48226.535000000003</v>
      </c>
      <c r="H147" s="150">
        <f t="shared" si="38"/>
        <v>8510.5650000000005</v>
      </c>
      <c r="I147" s="150">
        <f>(E147+F147)* 'Energy Data'!K66</f>
        <v>2038.2503202252069</v>
      </c>
      <c r="J147" s="150">
        <f t="shared" si="39"/>
        <v>1732.5127721914259</v>
      </c>
      <c r="K147" s="150">
        <f t="shared" si="40"/>
        <v>305.73754803378102</v>
      </c>
      <c r="L147" s="2"/>
      <c r="M147" s="2"/>
      <c r="N147" s="2"/>
      <c r="O147" s="2"/>
      <c r="P147" s="2"/>
      <c r="Q147" s="2"/>
      <c r="R147" s="2"/>
      <c r="S147" s="2"/>
      <c r="T147" s="3"/>
      <c r="U147" s="3"/>
      <c r="V147" s="3"/>
      <c r="W147" s="3"/>
      <c r="X147" s="3"/>
      <c r="Y147" s="3"/>
      <c r="Z147" s="3"/>
    </row>
    <row r="148" spans="1:26" ht="22.5" hidden="1" customHeight="1" outlineLevel="1" x14ac:dyDescent="0.85">
      <c r="A148" s="86" t="s">
        <v>129</v>
      </c>
      <c r="B148" s="409">
        <v>178</v>
      </c>
      <c r="C148" s="409">
        <v>104</v>
      </c>
      <c r="D148" s="428">
        <v>11579</v>
      </c>
      <c r="E148" s="150">
        <f t="shared" si="35"/>
        <v>577097.3600000001</v>
      </c>
      <c r="F148" s="150">
        <f t="shared" si="36"/>
        <v>842951.2</v>
      </c>
      <c r="G148" s="150">
        <f t="shared" si="37"/>
        <v>1207041.2760000001</v>
      </c>
      <c r="H148" s="150">
        <f t="shared" si="38"/>
        <v>213007.28400000001</v>
      </c>
      <c r="I148" s="150">
        <f>(E148+F148)* 'Energy Data'!K67</f>
        <v>38727.807090938833</v>
      </c>
      <c r="J148" s="150">
        <f t="shared" si="39"/>
        <v>32918.636027298009</v>
      </c>
      <c r="K148" s="150">
        <f t="shared" si="40"/>
        <v>5809.1710636408252</v>
      </c>
      <c r="L148" s="2"/>
      <c r="M148" s="2"/>
      <c r="N148" s="2"/>
      <c r="O148" s="2"/>
      <c r="P148" s="2"/>
      <c r="Q148" s="2"/>
      <c r="R148" s="2"/>
      <c r="S148" s="2"/>
      <c r="T148" s="3"/>
      <c r="U148" s="3"/>
      <c r="V148" s="3"/>
      <c r="W148" s="3"/>
      <c r="X148" s="3"/>
      <c r="Y148" s="3"/>
      <c r="Z148" s="3"/>
    </row>
    <row r="149" spans="1:26" ht="22.5" customHeight="1" collapsed="1" x14ac:dyDescent="0.85">
      <c r="A149" s="2"/>
      <c r="B149" s="406"/>
      <c r="C149" s="406"/>
      <c r="D149" s="2"/>
      <c r="E149" s="2"/>
      <c r="F149" s="2"/>
      <c r="G149" s="2"/>
      <c r="H149" s="2"/>
      <c r="I149" s="2"/>
      <c r="J149" s="2"/>
      <c r="K149" s="2"/>
      <c r="L149" s="2"/>
      <c r="M149" s="2"/>
      <c r="N149" s="2"/>
      <c r="O149" s="2"/>
      <c r="P149" s="2"/>
      <c r="Q149" s="2"/>
      <c r="R149" s="2"/>
      <c r="S149" s="2"/>
      <c r="T149" s="3"/>
      <c r="U149" s="3"/>
      <c r="V149" s="3"/>
      <c r="W149" s="3"/>
      <c r="X149" s="3"/>
      <c r="Y149" s="3"/>
      <c r="Z149" s="3"/>
    </row>
    <row r="150" spans="1:26" ht="22.5" customHeight="1" x14ac:dyDescent="0.85">
      <c r="A150" s="2"/>
      <c r="B150" s="406"/>
      <c r="C150" s="406"/>
      <c r="D150" s="2"/>
      <c r="E150" s="406"/>
      <c r="F150" s="2"/>
      <c r="G150" s="2"/>
      <c r="H150" s="2"/>
      <c r="I150" s="2"/>
      <c r="J150" s="2"/>
      <c r="K150" s="2"/>
      <c r="L150" s="2"/>
      <c r="M150" s="2"/>
      <c r="N150" s="2"/>
      <c r="O150" s="2"/>
      <c r="P150" s="2"/>
      <c r="Q150" s="2"/>
      <c r="R150" s="2"/>
      <c r="S150" s="2"/>
      <c r="T150" s="3"/>
      <c r="U150" s="3"/>
      <c r="V150" s="3"/>
      <c r="W150" s="3"/>
      <c r="X150" s="3"/>
      <c r="Y150" s="3"/>
      <c r="Z150" s="3"/>
    </row>
    <row r="151" spans="1:26" ht="22.5" customHeight="1" x14ac:dyDescent="0.85">
      <c r="A151" s="2"/>
      <c r="B151" s="2"/>
      <c r="C151" s="2"/>
      <c r="D151" s="406"/>
      <c r="E151" s="2"/>
      <c r="F151" s="2"/>
      <c r="G151" s="2"/>
      <c r="H151" s="2"/>
      <c r="I151" s="2"/>
      <c r="J151" s="2"/>
      <c r="K151" s="2"/>
      <c r="L151" s="2"/>
      <c r="M151" s="2"/>
      <c r="N151" s="2"/>
      <c r="O151" s="2"/>
      <c r="P151" s="2"/>
      <c r="Q151" s="2"/>
      <c r="R151" s="2"/>
      <c r="S151" s="2"/>
      <c r="T151" s="3"/>
      <c r="U151" s="3"/>
      <c r="V151" s="3"/>
      <c r="W151" s="3"/>
      <c r="X151" s="3"/>
      <c r="Y151" s="3"/>
      <c r="Z151" s="3"/>
    </row>
    <row r="152" spans="1:26" ht="22.5" customHeight="1" x14ac:dyDescent="0.85">
      <c r="A152" s="2"/>
      <c r="B152" s="2"/>
      <c r="C152" s="2"/>
      <c r="D152" s="2"/>
      <c r="E152" s="406"/>
      <c r="F152" s="2"/>
      <c r="G152" s="2"/>
      <c r="H152" s="2"/>
      <c r="I152" s="2"/>
      <c r="J152" s="2"/>
      <c r="K152" s="2"/>
      <c r="L152" s="2"/>
      <c r="M152" s="2"/>
      <c r="N152" s="2"/>
      <c r="O152" s="2"/>
      <c r="P152" s="2"/>
      <c r="Q152" s="2"/>
      <c r="R152" s="2"/>
      <c r="S152" s="2"/>
      <c r="T152" s="3"/>
      <c r="U152" s="3"/>
      <c r="V152" s="3"/>
      <c r="W152" s="3"/>
      <c r="X152" s="3"/>
      <c r="Y152" s="3"/>
      <c r="Z152" s="3"/>
    </row>
    <row r="153" spans="1:26" ht="22.5" customHeight="1" x14ac:dyDescent="0.85">
      <c r="A153" s="2"/>
      <c r="B153" s="2"/>
      <c r="C153" s="2"/>
      <c r="D153" s="2"/>
      <c r="E153" s="2"/>
      <c r="F153" s="2"/>
      <c r="G153" s="2"/>
      <c r="H153" s="2"/>
      <c r="I153" s="2"/>
      <c r="J153" s="2"/>
      <c r="K153" s="2"/>
      <c r="L153" s="2"/>
      <c r="M153" s="2"/>
      <c r="N153" s="2"/>
      <c r="O153" s="2"/>
      <c r="P153" s="2"/>
      <c r="Q153" s="2"/>
      <c r="R153" s="2"/>
      <c r="S153" s="2"/>
      <c r="T153" s="3"/>
      <c r="U153" s="3"/>
      <c r="V153" s="3"/>
      <c r="W153" s="3"/>
      <c r="X153" s="3"/>
      <c r="Y153" s="3"/>
      <c r="Z153" s="3"/>
    </row>
    <row r="154" spans="1:26" ht="22.5" customHeight="1" x14ac:dyDescent="0.85">
      <c r="A154" s="2"/>
      <c r="B154" s="2"/>
      <c r="C154" s="2"/>
      <c r="D154" s="2"/>
      <c r="E154" s="2"/>
      <c r="F154" s="2"/>
      <c r="G154" s="2"/>
      <c r="H154" s="2"/>
      <c r="I154" s="2"/>
      <c r="J154" s="2"/>
      <c r="K154" s="2"/>
      <c r="L154" s="2"/>
      <c r="M154" s="2"/>
      <c r="N154" s="2"/>
      <c r="O154" s="2"/>
      <c r="P154" s="2"/>
      <c r="Q154" s="2"/>
      <c r="R154" s="2"/>
      <c r="S154" s="2"/>
      <c r="T154" s="3"/>
      <c r="U154" s="3"/>
      <c r="V154" s="3"/>
      <c r="W154" s="3"/>
      <c r="X154" s="3"/>
      <c r="Y154" s="3"/>
      <c r="Z154" s="3"/>
    </row>
    <row r="155" spans="1:26" ht="22.5" customHeight="1" x14ac:dyDescent="0.85">
      <c r="A155" s="2"/>
      <c r="B155" s="2"/>
      <c r="C155" s="2"/>
      <c r="D155" s="2"/>
      <c r="E155" s="2"/>
      <c r="F155" s="2"/>
      <c r="G155" s="2"/>
      <c r="H155" s="2"/>
      <c r="I155" s="2"/>
      <c r="J155" s="2"/>
      <c r="K155" s="2"/>
      <c r="L155" s="2"/>
      <c r="M155" s="2"/>
      <c r="N155" s="2"/>
      <c r="O155" s="2"/>
      <c r="P155" s="2"/>
      <c r="Q155" s="2"/>
      <c r="R155" s="2"/>
      <c r="S155" s="2"/>
      <c r="T155" s="3"/>
      <c r="U155" s="3"/>
      <c r="V155" s="3"/>
      <c r="W155" s="3"/>
      <c r="X155" s="3"/>
      <c r="Y155" s="3"/>
      <c r="Z155" s="3"/>
    </row>
    <row r="156" spans="1:26" ht="22.5" customHeight="1" x14ac:dyDescent="0.85">
      <c r="A156" s="2"/>
      <c r="B156" s="2"/>
      <c r="C156" s="2"/>
      <c r="D156" s="2"/>
      <c r="E156" s="2"/>
      <c r="F156" s="2"/>
      <c r="G156" s="2"/>
      <c r="H156" s="2"/>
      <c r="I156" s="2"/>
      <c r="J156" s="2"/>
      <c r="K156" s="2"/>
      <c r="L156" s="2"/>
      <c r="M156" s="2"/>
      <c r="N156" s="2"/>
      <c r="O156" s="2"/>
      <c r="P156" s="2"/>
      <c r="Q156" s="2"/>
      <c r="R156" s="2"/>
      <c r="S156" s="2"/>
      <c r="T156" s="3"/>
      <c r="U156" s="3"/>
      <c r="V156" s="3"/>
      <c r="W156" s="3"/>
      <c r="X156" s="3"/>
      <c r="Y156" s="3"/>
      <c r="Z156" s="3"/>
    </row>
    <row r="157" spans="1:26" ht="22.5" customHeight="1" x14ac:dyDescent="0.85">
      <c r="A157" s="2"/>
      <c r="B157" s="2"/>
      <c r="C157" s="2"/>
      <c r="D157" s="2"/>
      <c r="E157" s="2"/>
      <c r="F157" s="2"/>
      <c r="G157" s="2"/>
      <c r="H157" s="2"/>
      <c r="I157" s="2"/>
      <c r="J157" s="2"/>
      <c r="K157" s="2"/>
      <c r="L157" s="2"/>
      <c r="M157" s="2"/>
      <c r="N157" s="2"/>
      <c r="O157" s="2"/>
      <c r="P157" s="2"/>
      <c r="Q157" s="2"/>
      <c r="R157" s="2"/>
      <c r="S157" s="2"/>
      <c r="T157" s="3"/>
      <c r="U157" s="3"/>
      <c r="V157" s="3"/>
      <c r="W157" s="3"/>
      <c r="X157" s="3"/>
      <c r="Y157" s="3"/>
      <c r="Z157" s="3"/>
    </row>
    <row r="158" spans="1:26" ht="22.5" customHeight="1" x14ac:dyDescent="0.85">
      <c r="A158" s="2"/>
      <c r="B158" s="2"/>
      <c r="C158" s="2"/>
      <c r="D158" s="2"/>
      <c r="E158" s="2"/>
      <c r="F158" s="2"/>
      <c r="G158" s="2"/>
      <c r="H158" s="2"/>
      <c r="I158" s="2"/>
      <c r="J158" s="2"/>
      <c r="K158" s="2"/>
      <c r="L158" s="2"/>
      <c r="M158" s="2"/>
      <c r="N158" s="2"/>
      <c r="O158" s="2"/>
      <c r="P158" s="2"/>
      <c r="Q158" s="2"/>
      <c r="R158" s="2"/>
      <c r="S158" s="2"/>
      <c r="T158" s="3"/>
      <c r="U158" s="3"/>
      <c r="V158" s="3"/>
      <c r="W158" s="3"/>
      <c r="X158" s="3"/>
      <c r="Y158" s="3"/>
      <c r="Z158" s="3"/>
    </row>
    <row r="159" spans="1:26" ht="22.5" customHeight="1" x14ac:dyDescent="0.85">
      <c r="A159" s="2"/>
      <c r="B159" s="2"/>
      <c r="C159" s="2"/>
      <c r="D159" s="2"/>
      <c r="E159" s="2"/>
      <c r="F159" s="2"/>
      <c r="G159" s="2"/>
      <c r="H159" s="2"/>
      <c r="I159" s="2"/>
      <c r="J159" s="2"/>
      <c r="K159" s="2"/>
      <c r="L159" s="2"/>
      <c r="M159" s="2"/>
      <c r="N159" s="2"/>
      <c r="O159" s="2"/>
      <c r="P159" s="2"/>
      <c r="Q159" s="2"/>
      <c r="R159" s="2"/>
      <c r="S159" s="2"/>
      <c r="T159" s="3"/>
      <c r="U159" s="3"/>
      <c r="V159" s="3"/>
      <c r="W159" s="3"/>
      <c r="X159" s="3"/>
      <c r="Y159" s="3"/>
      <c r="Z159" s="3"/>
    </row>
    <row r="160" spans="1:26" ht="22.5" customHeight="1" x14ac:dyDescent="0.85">
      <c r="A160" s="2"/>
      <c r="B160" s="2"/>
      <c r="C160" s="2"/>
      <c r="D160" s="2"/>
      <c r="E160" s="2"/>
      <c r="F160" s="2"/>
      <c r="G160" s="2"/>
      <c r="H160" s="2"/>
      <c r="I160" s="2"/>
      <c r="J160" s="2"/>
      <c r="K160" s="2"/>
      <c r="L160" s="2"/>
      <c r="M160" s="2"/>
      <c r="N160" s="2"/>
      <c r="O160" s="2"/>
      <c r="P160" s="2"/>
      <c r="Q160" s="2"/>
      <c r="R160" s="2"/>
      <c r="S160" s="2"/>
      <c r="T160" s="3"/>
      <c r="U160" s="3"/>
      <c r="V160" s="3"/>
      <c r="W160" s="3"/>
      <c r="X160" s="3"/>
      <c r="Y160" s="3"/>
      <c r="Z160" s="3"/>
    </row>
    <row r="161" spans="1:26" ht="22.5" customHeight="1" x14ac:dyDescent="0.85">
      <c r="A161" s="2"/>
      <c r="B161" s="2"/>
      <c r="C161" s="2"/>
      <c r="D161" s="2"/>
      <c r="E161" s="2"/>
      <c r="F161" s="2"/>
      <c r="G161" s="2"/>
      <c r="H161" s="2"/>
      <c r="I161" s="2"/>
      <c r="J161" s="2"/>
      <c r="K161" s="2"/>
      <c r="L161" s="2"/>
      <c r="M161" s="2"/>
      <c r="N161" s="2"/>
      <c r="O161" s="2"/>
      <c r="P161" s="2"/>
      <c r="Q161" s="2"/>
      <c r="R161" s="2"/>
      <c r="S161" s="2"/>
      <c r="T161" s="3"/>
      <c r="U161" s="3"/>
      <c r="V161" s="3"/>
      <c r="W161" s="3"/>
      <c r="X161" s="3"/>
      <c r="Y161" s="3"/>
      <c r="Z161" s="3"/>
    </row>
    <row r="162" spans="1:26" ht="22.5" customHeight="1" x14ac:dyDescent="0.85">
      <c r="A162" s="2"/>
      <c r="B162" s="2"/>
      <c r="C162" s="2"/>
      <c r="D162" s="2"/>
      <c r="E162" s="2"/>
      <c r="F162" s="2"/>
      <c r="G162" s="2"/>
      <c r="H162" s="2"/>
      <c r="I162" s="2"/>
      <c r="J162" s="2"/>
      <c r="K162" s="2"/>
      <c r="L162" s="2"/>
      <c r="M162" s="2"/>
      <c r="N162" s="2"/>
      <c r="O162" s="2"/>
      <c r="P162" s="2"/>
      <c r="Q162" s="2"/>
      <c r="R162" s="2"/>
      <c r="S162" s="2"/>
      <c r="T162" s="3"/>
      <c r="U162" s="3"/>
      <c r="V162" s="3"/>
      <c r="W162" s="3"/>
      <c r="X162" s="3"/>
      <c r="Y162" s="3"/>
      <c r="Z162" s="3"/>
    </row>
    <row r="163" spans="1:26" ht="22.5" customHeight="1" x14ac:dyDescent="0.85">
      <c r="A163" s="2"/>
      <c r="B163" s="2"/>
      <c r="C163" s="2"/>
      <c r="D163" s="2"/>
      <c r="E163" s="2"/>
      <c r="F163" s="2"/>
      <c r="G163" s="2"/>
      <c r="H163" s="2"/>
      <c r="I163" s="2"/>
      <c r="J163" s="2"/>
      <c r="K163" s="2"/>
      <c r="L163" s="2"/>
      <c r="M163" s="2"/>
      <c r="N163" s="2"/>
      <c r="O163" s="2"/>
      <c r="P163" s="2"/>
      <c r="Q163" s="2"/>
      <c r="R163" s="2"/>
      <c r="S163" s="2"/>
      <c r="T163" s="3"/>
      <c r="U163" s="3"/>
      <c r="V163" s="3"/>
      <c r="W163" s="3"/>
      <c r="X163" s="3"/>
      <c r="Y163" s="3"/>
      <c r="Z163" s="3"/>
    </row>
    <row r="164" spans="1:26" ht="22.5" customHeight="1" x14ac:dyDescent="0.85">
      <c r="A164" s="2"/>
      <c r="B164" s="2"/>
      <c r="C164" s="2"/>
      <c r="D164" s="2"/>
      <c r="E164" s="2"/>
      <c r="F164" s="2"/>
      <c r="G164" s="2"/>
      <c r="H164" s="2"/>
      <c r="I164" s="2"/>
      <c r="J164" s="2"/>
      <c r="K164" s="2"/>
      <c r="L164" s="2"/>
      <c r="M164" s="2"/>
      <c r="N164" s="2"/>
      <c r="O164" s="2"/>
      <c r="P164" s="2"/>
      <c r="Q164" s="2"/>
      <c r="R164" s="2"/>
      <c r="S164" s="2"/>
      <c r="T164" s="3"/>
      <c r="U164" s="3"/>
      <c r="V164" s="3"/>
      <c r="W164" s="3"/>
      <c r="X164" s="3"/>
      <c r="Y164" s="3"/>
      <c r="Z164" s="3"/>
    </row>
    <row r="165" spans="1:26" ht="22.5" customHeight="1" x14ac:dyDescent="0.85">
      <c r="A165" s="2"/>
      <c r="B165" s="2"/>
      <c r="C165" s="2"/>
      <c r="D165" s="2"/>
      <c r="E165" s="2"/>
      <c r="F165" s="2"/>
      <c r="G165" s="2"/>
      <c r="H165" s="2"/>
      <c r="I165" s="2"/>
      <c r="J165" s="2"/>
      <c r="K165" s="2"/>
      <c r="L165" s="2"/>
      <c r="M165" s="2"/>
      <c r="N165" s="2"/>
      <c r="O165" s="2"/>
      <c r="P165" s="2"/>
      <c r="Q165" s="2"/>
      <c r="R165" s="2"/>
      <c r="S165" s="2"/>
      <c r="T165" s="3"/>
      <c r="U165" s="3"/>
      <c r="V165" s="3"/>
      <c r="W165" s="3"/>
      <c r="X165" s="3"/>
      <c r="Y165" s="3"/>
      <c r="Z165" s="3"/>
    </row>
    <row r="166" spans="1:26" ht="22.5" customHeight="1" x14ac:dyDescent="0.85">
      <c r="A166" s="2"/>
      <c r="B166" s="2"/>
      <c r="C166" s="2"/>
      <c r="D166" s="2"/>
      <c r="E166" s="2"/>
      <c r="F166" s="2"/>
      <c r="G166" s="2"/>
      <c r="H166" s="2"/>
      <c r="I166" s="2"/>
      <c r="J166" s="2"/>
      <c r="K166" s="2"/>
      <c r="L166" s="2"/>
      <c r="M166" s="2"/>
      <c r="N166" s="2"/>
      <c r="O166" s="2"/>
      <c r="P166" s="2"/>
      <c r="Q166" s="2"/>
      <c r="R166" s="2"/>
      <c r="S166" s="2"/>
      <c r="T166" s="3"/>
      <c r="U166" s="3"/>
      <c r="V166" s="3"/>
      <c r="W166" s="3"/>
      <c r="X166" s="3"/>
      <c r="Y166" s="3"/>
      <c r="Z166" s="3"/>
    </row>
    <row r="167" spans="1:26" ht="22.5" customHeight="1" x14ac:dyDescent="0.85">
      <c r="A167" s="2"/>
      <c r="B167" s="2"/>
      <c r="C167" s="2"/>
      <c r="D167" s="2"/>
      <c r="E167" s="2"/>
      <c r="F167" s="2"/>
      <c r="G167" s="2"/>
      <c r="H167" s="2"/>
      <c r="I167" s="2"/>
      <c r="J167" s="2"/>
      <c r="K167" s="2"/>
      <c r="L167" s="2"/>
      <c r="M167" s="2"/>
      <c r="N167" s="2"/>
      <c r="O167" s="2"/>
      <c r="P167" s="2"/>
      <c r="Q167" s="2"/>
      <c r="R167" s="2"/>
      <c r="S167" s="2"/>
      <c r="T167" s="3"/>
      <c r="U167" s="3"/>
      <c r="V167" s="3"/>
      <c r="W167" s="3"/>
      <c r="X167" s="3"/>
      <c r="Y167" s="3"/>
      <c r="Z167" s="3"/>
    </row>
    <row r="168" spans="1:26" ht="22.5" customHeight="1" x14ac:dyDescent="0.85">
      <c r="A168" s="2"/>
      <c r="B168" s="2"/>
      <c r="C168" s="2"/>
      <c r="D168" s="2"/>
      <c r="E168" s="2"/>
      <c r="F168" s="2"/>
      <c r="G168" s="2"/>
      <c r="H168" s="2"/>
      <c r="I168" s="2"/>
      <c r="J168" s="2"/>
      <c r="K168" s="2"/>
      <c r="L168" s="2"/>
      <c r="M168" s="2"/>
      <c r="N168" s="2"/>
      <c r="O168" s="2"/>
      <c r="P168" s="2"/>
      <c r="Q168" s="2"/>
      <c r="R168" s="2"/>
      <c r="S168" s="2"/>
      <c r="T168" s="3"/>
      <c r="U168" s="3"/>
      <c r="V168" s="3"/>
      <c r="W168" s="3"/>
      <c r="X168" s="3"/>
      <c r="Y168" s="3"/>
      <c r="Z168" s="3"/>
    </row>
    <row r="169" spans="1:26" ht="22.5" customHeight="1" x14ac:dyDescent="0.85">
      <c r="A169" s="2"/>
      <c r="B169" s="2"/>
      <c r="C169" s="2"/>
      <c r="D169" s="2"/>
      <c r="E169" s="2"/>
      <c r="F169" s="2"/>
      <c r="G169" s="2"/>
      <c r="H169" s="2"/>
      <c r="I169" s="2"/>
      <c r="J169" s="2"/>
      <c r="K169" s="2"/>
      <c r="L169" s="2"/>
      <c r="M169" s="2"/>
      <c r="N169" s="2"/>
      <c r="O169" s="2"/>
      <c r="P169" s="2"/>
      <c r="Q169" s="2"/>
      <c r="R169" s="2"/>
      <c r="S169" s="2"/>
      <c r="T169" s="3"/>
      <c r="U169" s="3"/>
      <c r="V169" s="3"/>
      <c r="W169" s="3"/>
      <c r="X169" s="3"/>
      <c r="Y169" s="3"/>
      <c r="Z169" s="3"/>
    </row>
    <row r="170" spans="1:26" ht="22.5" customHeight="1" x14ac:dyDescent="0.85">
      <c r="A170" s="2"/>
      <c r="B170" s="2"/>
      <c r="C170" s="2"/>
      <c r="D170" s="2"/>
      <c r="E170" s="2"/>
      <c r="F170" s="2"/>
      <c r="G170" s="2"/>
      <c r="H170" s="2"/>
      <c r="I170" s="2"/>
      <c r="J170" s="2"/>
      <c r="K170" s="2"/>
      <c r="L170" s="2"/>
      <c r="M170" s="2"/>
      <c r="N170" s="2"/>
      <c r="O170" s="2"/>
      <c r="P170" s="2"/>
      <c r="Q170" s="2"/>
      <c r="R170" s="2"/>
      <c r="S170" s="2"/>
      <c r="T170" s="3"/>
      <c r="U170" s="3"/>
      <c r="V170" s="3"/>
      <c r="W170" s="3"/>
      <c r="X170" s="3"/>
      <c r="Y170" s="3"/>
      <c r="Z170" s="3"/>
    </row>
    <row r="171" spans="1:26" ht="22.5" customHeight="1" x14ac:dyDescent="0.85">
      <c r="A171" s="2"/>
      <c r="B171" s="2"/>
      <c r="C171" s="2"/>
      <c r="D171" s="2"/>
      <c r="E171" s="2"/>
      <c r="F171" s="2"/>
      <c r="G171" s="2"/>
      <c r="H171" s="2"/>
      <c r="I171" s="2"/>
      <c r="J171" s="2"/>
      <c r="K171" s="2"/>
      <c r="L171" s="2"/>
      <c r="M171" s="2"/>
      <c r="N171" s="2"/>
      <c r="O171" s="2"/>
      <c r="P171" s="2"/>
      <c r="Q171" s="2"/>
      <c r="R171" s="2"/>
      <c r="S171" s="2"/>
      <c r="T171" s="3"/>
      <c r="U171" s="3"/>
      <c r="V171" s="3"/>
      <c r="W171" s="3"/>
      <c r="X171" s="3"/>
      <c r="Y171" s="3"/>
      <c r="Z171" s="3"/>
    </row>
    <row r="172" spans="1:26" ht="22.5" customHeight="1" x14ac:dyDescent="0.85">
      <c r="A172" s="2"/>
      <c r="B172" s="2"/>
      <c r="C172" s="2"/>
      <c r="D172" s="2"/>
      <c r="E172" s="2"/>
      <c r="F172" s="2"/>
      <c r="G172" s="2"/>
      <c r="H172" s="2"/>
      <c r="I172" s="2"/>
      <c r="J172" s="2"/>
      <c r="K172" s="2"/>
      <c r="L172" s="2"/>
      <c r="M172" s="2"/>
      <c r="N172" s="2"/>
      <c r="O172" s="2"/>
      <c r="P172" s="2"/>
      <c r="Q172" s="2"/>
      <c r="R172" s="2"/>
      <c r="S172" s="2"/>
      <c r="T172" s="3"/>
      <c r="U172" s="3"/>
      <c r="V172" s="3"/>
      <c r="W172" s="3"/>
      <c r="X172" s="3"/>
      <c r="Y172" s="3"/>
      <c r="Z172" s="3"/>
    </row>
    <row r="173" spans="1:26" ht="22.5" customHeight="1" x14ac:dyDescent="0.85">
      <c r="A173" s="2"/>
      <c r="B173" s="2"/>
      <c r="C173" s="2"/>
      <c r="D173" s="2"/>
      <c r="E173" s="2"/>
      <c r="F173" s="2"/>
      <c r="G173" s="2"/>
      <c r="H173" s="2"/>
      <c r="I173" s="2"/>
      <c r="J173" s="2"/>
      <c r="K173" s="2"/>
      <c r="L173" s="2"/>
      <c r="M173" s="2"/>
      <c r="N173" s="2"/>
      <c r="O173" s="2"/>
      <c r="P173" s="2"/>
      <c r="Q173" s="2"/>
      <c r="R173" s="2"/>
      <c r="S173" s="2"/>
      <c r="T173" s="3"/>
      <c r="U173" s="3"/>
      <c r="V173" s="3"/>
      <c r="W173" s="3"/>
      <c r="X173" s="3"/>
      <c r="Y173" s="3"/>
      <c r="Z173" s="3"/>
    </row>
    <row r="174" spans="1:26" ht="22.5" customHeight="1" x14ac:dyDescent="0.85">
      <c r="A174" s="2"/>
      <c r="B174" s="2"/>
      <c r="C174" s="2"/>
      <c r="D174" s="2"/>
      <c r="E174" s="2"/>
      <c r="F174" s="2"/>
      <c r="G174" s="2"/>
      <c r="H174" s="2"/>
      <c r="I174" s="2"/>
      <c r="J174" s="2"/>
      <c r="K174" s="2"/>
      <c r="L174" s="2"/>
      <c r="M174" s="2"/>
      <c r="N174" s="2"/>
      <c r="O174" s="2"/>
      <c r="P174" s="2"/>
      <c r="Q174" s="2"/>
      <c r="R174" s="2"/>
      <c r="S174" s="2"/>
      <c r="T174" s="3"/>
      <c r="U174" s="3"/>
      <c r="V174" s="3"/>
      <c r="W174" s="3"/>
      <c r="X174" s="3"/>
      <c r="Y174" s="3"/>
      <c r="Z174" s="3"/>
    </row>
    <row r="175" spans="1:26" ht="22.5" customHeight="1" x14ac:dyDescent="0.85">
      <c r="A175" s="2"/>
      <c r="B175" s="2"/>
      <c r="C175" s="2"/>
      <c r="D175" s="2"/>
      <c r="E175" s="2"/>
      <c r="F175" s="2"/>
      <c r="G175" s="2"/>
      <c r="H175" s="2"/>
      <c r="I175" s="2"/>
      <c r="J175" s="2"/>
      <c r="K175" s="2"/>
      <c r="L175" s="2"/>
      <c r="M175" s="2"/>
      <c r="N175" s="2"/>
      <c r="O175" s="2"/>
      <c r="P175" s="2"/>
      <c r="Q175" s="2"/>
      <c r="R175" s="2"/>
      <c r="S175" s="2"/>
      <c r="T175" s="3"/>
      <c r="U175" s="3"/>
      <c r="V175" s="3"/>
      <c r="W175" s="3"/>
      <c r="X175" s="3"/>
      <c r="Y175" s="3"/>
      <c r="Z175" s="3"/>
    </row>
    <row r="176" spans="1:26" ht="22.5" customHeight="1" x14ac:dyDescent="0.85">
      <c r="A176" s="2"/>
      <c r="B176" s="2"/>
      <c r="C176" s="2"/>
      <c r="D176" s="2"/>
      <c r="E176" s="2"/>
      <c r="F176" s="2"/>
      <c r="G176" s="2"/>
      <c r="H176" s="2"/>
      <c r="I176" s="2"/>
      <c r="J176" s="2"/>
      <c r="K176" s="2"/>
      <c r="L176" s="2"/>
      <c r="M176" s="2"/>
      <c r="N176" s="2"/>
      <c r="O176" s="2"/>
      <c r="P176" s="2"/>
      <c r="Q176" s="2"/>
      <c r="R176" s="2"/>
      <c r="S176" s="2"/>
      <c r="T176" s="3"/>
      <c r="U176" s="3"/>
      <c r="V176" s="3"/>
      <c r="W176" s="3"/>
      <c r="X176" s="3"/>
      <c r="Y176" s="3"/>
      <c r="Z176" s="3"/>
    </row>
    <row r="177" spans="1:26" ht="22.5" customHeight="1" x14ac:dyDescent="0.85">
      <c r="A177" s="2"/>
      <c r="B177" s="2"/>
      <c r="C177" s="2"/>
      <c r="D177" s="2"/>
      <c r="E177" s="2"/>
      <c r="F177" s="2"/>
      <c r="G177" s="2"/>
      <c r="H177" s="2"/>
      <c r="I177" s="2"/>
      <c r="J177" s="2"/>
      <c r="K177" s="2"/>
      <c r="L177" s="2"/>
      <c r="M177" s="2"/>
      <c r="N177" s="2"/>
      <c r="O177" s="2"/>
      <c r="P177" s="2"/>
      <c r="Q177" s="2"/>
      <c r="R177" s="2"/>
      <c r="S177" s="2"/>
      <c r="T177" s="3"/>
      <c r="U177" s="3"/>
      <c r="V177" s="3"/>
      <c r="W177" s="3"/>
      <c r="X177" s="3"/>
      <c r="Y177" s="3"/>
      <c r="Z177" s="3"/>
    </row>
    <row r="178" spans="1:26" ht="22.5" customHeight="1" x14ac:dyDescent="0.85">
      <c r="A178" s="2"/>
      <c r="B178" s="2"/>
      <c r="C178" s="2"/>
      <c r="D178" s="2"/>
      <c r="E178" s="2"/>
      <c r="F178" s="2"/>
      <c r="G178" s="2"/>
      <c r="H178" s="2"/>
      <c r="I178" s="2"/>
      <c r="J178" s="2"/>
      <c r="K178" s="2"/>
      <c r="L178" s="2"/>
      <c r="M178" s="2"/>
      <c r="N178" s="2"/>
      <c r="O178" s="2"/>
      <c r="P178" s="2"/>
      <c r="Q178" s="2"/>
      <c r="R178" s="2"/>
      <c r="S178" s="2"/>
      <c r="T178" s="3"/>
      <c r="U178" s="3"/>
      <c r="V178" s="3"/>
      <c r="W178" s="3"/>
      <c r="X178" s="3"/>
      <c r="Y178" s="3"/>
      <c r="Z178" s="3"/>
    </row>
    <row r="179" spans="1:26" ht="22.5" customHeight="1" x14ac:dyDescent="0.85">
      <c r="A179" s="2"/>
      <c r="B179" s="2"/>
      <c r="C179" s="2"/>
      <c r="D179" s="2"/>
      <c r="E179" s="2"/>
      <c r="F179" s="2"/>
      <c r="G179" s="2"/>
      <c r="H179" s="2"/>
      <c r="I179" s="2"/>
      <c r="J179" s="2"/>
      <c r="K179" s="2"/>
      <c r="L179" s="2"/>
      <c r="M179" s="2"/>
      <c r="N179" s="2"/>
      <c r="O179" s="2"/>
      <c r="P179" s="2"/>
      <c r="Q179" s="2"/>
      <c r="R179" s="2"/>
      <c r="S179" s="2"/>
      <c r="T179" s="3"/>
      <c r="U179" s="3"/>
      <c r="V179" s="3"/>
      <c r="W179" s="3"/>
      <c r="X179" s="3"/>
      <c r="Y179" s="3"/>
      <c r="Z179" s="3"/>
    </row>
    <row r="180" spans="1:26" ht="22.5" customHeight="1" x14ac:dyDescent="0.85">
      <c r="A180" s="2"/>
      <c r="B180" s="2"/>
      <c r="C180" s="2"/>
      <c r="D180" s="2"/>
      <c r="E180" s="2"/>
      <c r="F180" s="2"/>
      <c r="G180" s="2"/>
      <c r="H180" s="2"/>
      <c r="I180" s="2"/>
      <c r="J180" s="2"/>
      <c r="K180" s="2"/>
      <c r="L180" s="2"/>
      <c r="M180" s="2"/>
      <c r="N180" s="2"/>
      <c r="O180" s="2"/>
      <c r="P180" s="2"/>
      <c r="Q180" s="2"/>
      <c r="R180" s="2"/>
      <c r="S180" s="2"/>
      <c r="T180" s="3"/>
      <c r="U180" s="3"/>
      <c r="V180" s="3"/>
      <c r="W180" s="3"/>
      <c r="X180" s="3"/>
      <c r="Y180" s="3"/>
      <c r="Z180" s="3"/>
    </row>
    <row r="181" spans="1:26" ht="22.5" customHeight="1" x14ac:dyDescent="0.85">
      <c r="A181" s="2"/>
      <c r="B181" s="2"/>
      <c r="C181" s="2"/>
      <c r="D181" s="2"/>
      <c r="E181" s="2"/>
      <c r="F181" s="2"/>
      <c r="G181" s="2"/>
      <c r="H181" s="2"/>
      <c r="I181" s="2"/>
      <c r="J181" s="2"/>
      <c r="K181" s="2"/>
      <c r="L181" s="2"/>
      <c r="M181" s="2"/>
      <c r="N181" s="2"/>
      <c r="O181" s="2"/>
      <c r="P181" s="2"/>
      <c r="Q181" s="2"/>
      <c r="R181" s="2"/>
      <c r="S181" s="2"/>
      <c r="T181" s="3"/>
      <c r="U181" s="3"/>
      <c r="V181" s="3"/>
      <c r="W181" s="3"/>
      <c r="X181" s="3"/>
      <c r="Y181" s="3"/>
      <c r="Z181" s="3"/>
    </row>
    <row r="182" spans="1:26" ht="22.5" customHeight="1" x14ac:dyDescent="0.85">
      <c r="A182" s="2"/>
      <c r="B182" s="2"/>
      <c r="C182" s="2"/>
      <c r="D182" s="2"/>
      <c r="E182" s="2"/>
      <c r="F182" s="2"/>
      <c r="G182" s="2"/>
      <c r="H182" s="2"/>
      <c r="I182" s="2"/>
      <c r="J182" s="2"/>
      <c r="K182" s="2"/>
      <c r="L182" s="2"/>
      <c r="M182" s="2"/>
      <c r="N182" s="2"/>
      <c r="O182" s="2"/>
      <c r="P182" s="2"/>
      <c r="Q182" s="2"/>
      <c r="R182" s="2"/>
      <c r="S182" s="2"/>
      <c r="T182" s="3"/>
      <c r="U182" s="3"/>
      <c r="V182" s="3"/>
      <c r="W182" s="3"/>
      <c r="X182" s="3"/>
      <c r="Y182" s="3"/>
      <c r="Z182" s="3"/>
    </row>
    <row r="183" spans="1:26" ht="22.5" customHeight="1" x14ac:dyDescent="0.85">
      <c r="A183" s="2"/>
      <c r="B183" s="2"/>
      <c r="C183" s="2"/>
      <c r="D183" s="2"/>
      <c r="E183" s="2"/>
      <c r="F183" s="2"/>
      <c r="G183" s="2"/>
      <c r="H183" s="2"/>
      <c r="I183" s="2"/>
      <c r="J183" s="2"/>
      <c r="K183" s="2"/>
      <c r="L183" s="2"/>
      <c r="M183" s="2"/>
      <c r="N183" s="2"/>
      <c r="O183" s="2"/>
      <c r="P183" s="2"/>
      <c r="Q183" s="2"/>
      <c r="R183" s="2"/>
      <c r="S183" s="2"/>
      <c r="T183" s="3"/>
      <c r="U183" s="3"/>
      <c r="V183" s="3"/>
      <c r="W183" s="3"/>
      <c r="X183" s="3"/>
      <c r="Y183" s="3"/>
      <c r="Z183" s="3"/>
    </row>
    <row r="184" spans="1:26" ht="22.5" customHeight="1" x14ac:dyDescent="0.85">
      <c r="A184" s="2"/>
      <c r="B184" s="2"/>
      <c r="C184" s="2"/>
      <c r="D184" s="2"/>
      <c r="E184" s="2"/>
      <c r="F184" s="2"/>
      <c r="G184" s="2"/>
      <c r="H184" s="2"/>
      <c r="I184" s="2"/>
      <c r="J184" s="2"/>
      <c r="K184" s="2"/>
      <c r="L184" s="2"/>
      <c r="M184" s="2"/>
      <c r="N184" s="2"/>
      <c r="O184" s="2"/>
      <c r="P184" s="2"/>
      <c r="Q184" s="2"/>
      <c r="R184" s="2"/>
      <c r="S184" s="2"/>
      <c r="T184" s="3"/>
      <c r="U184" s="3"/>
      <c r="V184" s="3"/>
      <c r="W184" s="3"/>
      <c r="X184" s="3"/>
      <c r="Y184" s="3"/>
      <c r="Z184" s="3"/>
    </row>
    <row r="185" spans="1:26" ht="22.5" customHeight="1" x14ac:dyDescent="0.85">
      <c r="A185" s="2"/>
      <c r="B185" s="2"/>
      <c r="C185" s="2"/>
      <c r="D185" s="2"/>
      <c r="E185" s="2"/>
      <c r="F185" s="2"/>
      <c r="G185" s="2"/>
      <c r="H185" s="2"/>
      <c r="I185" s="2"/>
      <c r="J185" s="2"/>
      <c r="K185" s="2"/>
      <c r="L185" s="2"/>
      <c r="M185" s="2"/>
      <c r="N185" s="2"/>
      <c r="O185" s="2"/>
      <c r="P185" s="2"/>
      <c r="Q185" s="2"/>
      <c r="R185" s="2"/>
      <c r="S185" s="2"/>
      <c r="T185" s="3"/>
      <c r="U185" s="3"/>
      <c r="V185" s="3"/>
      <c r="W185" s="3"/>
      <c r="X185" s="3"/>
      <c r="Y185" s="3"/>
      <c r="Z185" s="3"/>
    </row>
    <row r="186" spans="1:26" ht="22.5" customHeight="1" x14ac:dyDescent="0.85">
      <c r="A186" s="2"/>
      <c r="B186" s="2"/>
      <c r="C186" s="2"/>
      <c r="D186" s="2"/>
      <c r="E186" s="2"/>
      <c r="F186" s="2"/>
      <c r="G186" s="2"/>
      <c r="H186" s="2"/>
      <c r="I186" s="2"/>
      <c r="J186" s="2"/>
      <c r="K186" s="2"/>
      <c r="L186" s="2"/>
      <c r="M186" s="2"/>
      <c r="N186" s="2"/>
      <c r="O186" s="2"/>
      <c r="P186" s="2"/>
      <c r="Q186" s="2"/>
      <c r="R186" s="2"/>
      <c r="S186" s="2"/>
      <c r="T186" s="3"/>
      <c r="U186" s="3"/>
      <c r="V186" s="3"/>
      <c r="W186" s="3"/>
      <c r="X186" s="3"/>
      <c r="Y186" s="3"/>
      <c r="Z186" s="3"/>
    </row>
    <row r="187" spans="1:26" ht="22.5" customHeight="1" x14ac:dyDescent="0.85">
      <c r="A187" s="2"/>
      <c r="B187" s="2"/>
      <c r="C187" s="2"/>
      <c r="D187" s="2"/>
      <c r="E187" s="2"/>
      <c r="F187" s="2"/>
      <c r="G187" s="2"/>
      <c r="H187" s="2"/>
      <c r="I187" s="2"/>
      <c r="J187" s="2"/>
      <c r="K187" s="2"/>
      <c r="L187" s="2"/>
      <c r="M187" s="2"/>
      <c r="N187" s="2"/>
      <c r="O187" s="2"/>
      <c r="P187" s="2"/>
      <c r="Q187" s="2"/>
      <c r="R187" s="2"/>
      <c r="S187" s="2"/>
      <c r="T187" s="3"/>
      <c r="U187" s="3"/>
      <c r="V187" s="3"/>
      <c r="W187" s="3"/>
      <c r="X187" s="3"/>
      <c r="Y187" s="3"/>
      <c r="Z187" s="3"/>
    </row>
    <row r="188" spans="1:26" ht="22.5" customHeight="1" x14ac:dyDescent="0.85">
      <c r="A188" s="2"/>
      <c r="B188" s="2"/>
      <c r="C188" s="2"/>
      <c r="D188" s="2"/>
      <c r="E188" s="2"/>
      <c r="F188" s="2"/>
      <c r="G188" s="2"/>
      <c r="H188" s="2"/>
      <c r="I188" s="2"/>
      <c r="J188" s="2"/>
      <c r="K188" s="2"/>
      <c r="L188" s="2"/>
      <c r="M188" s="2"/>
      <c r="N188" s="2"/>
      <c r="O188" s="2"/>
      <c r="P188" s="2"/>
      <c r="Q188" s="2"/>
      <c r="R188" s="2"/>
      <c r="S188" s="2"/>
      <c r="T188" s="3"/>
      <c r="U188" s="3"/>
      <c r="V188" s="3"/>
      <c r="W188" s="3"/>
      <c r="X188" s="3"/>
      <c r="Y188" s="3"/>
      <c r="Z188" s="3"/>
    </row>
    <row r="189" spans="1:26" ht="22.5" customHeight="1" x14ac:dyDescent="0.85">
      <c r="A189" s="2"/>
      <c r="B189" s="2"/>
      <c r="C189" s="2"/>
      <c r="D189" s="2"/>
      <c r="E189" s="2"/>
      <c r="F189" s="2"/>
      <c r="G189" s="2"/>
      <c r="H189" s="2"/>
      <c r="I189" s="2"/>
      <c r="J189" s="2"/>
      <c r="K189" s="2"/>
      <c r="L189" s="2"/>
      <c r="M189" s="2"/>
      <c r="N189" s="2"/>
      <c r="O189" s="2"/>
      <c r="P189" s="2"/>
      <c r="Q189" s="2"/>
      <c r="R189" s="2"/>
      <c r="S189" s="2"/>
      <c r="T189" s="3"/>
      <c r="U189" s="3"/>
      <c r="V189" s="3"/>
      <c r="W189" s="3"/>
      <c r="X189" s="3"/>
      <c r="Y189" s="3"/>
      <c r="Z189" s="3"/>
    </row>
    <row r="190" spans="1:26" ht="22.5" customHeight="1" x14ac:dyDescent="0.85">
      <c r="A190" s="2"/>
      <c r="B190" s="2"/>
      <c r="C190" s="2"/>
      <c r="D190" s="2"/>
      <c r="E190" s="2"/>
      <c r="F190" s="2"/>
      <c r="G190" s="2"/>
      <c r="H190" s="2"/>
      <c r="I190" s="2"/>
      <c r="J190" s="2"/>
      <c r="K190" s="2"/>
      <c r="L190" s="2"/>
      <c r="M190" s="2"/>
      <c r="N190" s="2"/>
      <c r="O190" s="2"/>
      <c r="P190" s="2"/>
      <c r="Q190" s="2"/>
      <c r="R190" s="2"/>
      <c r="S190" s="2"/>
      <c r="T190" s="3"/>
      <c r="U190" s="3"/>
      <c r="V190" s="3"/>
      <c r="W190" s="3"/>
      <c r="X190" s="3"/>
      <c r="Y190" s="3"/>
      <c r="Z190" s="3"/>
    </row>
    <row r="191" spans="1:26" ht="22.5" customHeight="1" x14ac:dyDescent="0.85">
      <c r="A191" s="2"/>
      <c r="B191" s="2"/>
      <c r="C191" s="2"/>
      <c r="D191" s="2"/>
      <c r="E191" s="2"/>
      <c r="F191" s="2"/>
      <c r="G191" s="2"/>
      <c r="H191" s="2"/>
      <c r="I191" s="2"/>
      <c r="J191" s="2"/>
      <c r="K191" s="2"/>
      <c r="L191" s="2"/>
      <c r="M191" s="2"/>
      <c r="N191" s="2"/>
      <c r="O191" s="2"/>
      <c r="P191" s="2"/>
      <c r="Q191" s="2"/>
      <c r="R191" s="2"/>
      <c r="S191" s="2"/>
      <c r="T191" s="3"/>
      <c r="U191" s="3"/>
      <c r="V191" s="3"/>
      <c r="W191" s="3"/>
      <c r="X191" s="3"/>
      <c r="Y191" s="3"/>
      <c r="Z191" s="3"/>
    </row>
    <row r="192" spans="1:26" ht="22.5" customHeight="1" x14ac:dyDescent="0.85">
      <c r="A192" s="2"/>
      <c r="B192" s="2"/>
      <c r="C192" s="2"/>
      <c r="D192" s="2"/>
      <c r="E192" s="2"/>
      <c r="F192" s="2"/>
      <c r="G192" s="2"/>
      <c r="H192" s="2"/>
      <c r="I192" s="2"/>
      <c r="J192" s="2"/>
      <c r="K192" s="2"/>
      <c r="L192" s="2"/>
      <c r="M192" s="2"/>
      <c r="N192" s="2"/>
      <c r="O192" s="2"/>
      <c r="P192" s="2"/>
      <c r="Q192" s="2"/>
      <c r="R192" s="2"/>
      <c r="S192" s="2"/>
      <c r="T192" s="3"/>
      <c r="U192" s="3"/>
      <c r="V192" s="3"/>
      <c r="W192" s="3"/>
      <c r="X192" s="3"/>
      <c r="Y192" s="3"/>
      <c r="Z192" s="3"/>
    </row>
    <row r="193" spans="1:26" ht="22.5" customHeight="1" x14ac:dyDescent="0.85">
      <c r="A193" s="2"/>
      <c r="B193" s="2"/>
      <c r="C193" s="2"/>
      <c r="D193" s="2"/>
      <c r="E193" s="2"/>
      <c r="F193" s="2"/>
      <c r="G193" s="2"/>
      <c r="H193" s="2"/>
      <c r="I193" s="2"/>
      <c r="J193" s="2"/>
      <c r="K193" s="2"/>
      <c r="L193" s="2"/>
      <c r="M193" s="2"/>
      <c r="N193" s="2"/>
      <c r="O193" s="2"/>
      <c r="P193" s="2"/>
      <c r="Q193" s="2"/>
      <c r="R193" s="2"/>
      <c r="S193" s="2"/>
      <c r="T193" s="3"/>
      <c r="U193" s="3"/>
      <c r="V193" s="3"/>
      <c r="W193" s="3"/>
      <c r="X193" s="3"/>
      <c r="Y193" s="3"/>
      <c r="Z193" s="3"/>
    </row>
    <row r="194" spans="1:26" ht="22.5" customHeight="1" x14ac:dyDescent="0.85">
      <c r="A194" s="2"/>
      <c r="B194" s="2"/>
      <c r="C194" s="2"/>
      <c r="D194" s="2"/>
      <c r="E194" s="2"/>
      <c r="F194" s="2"/>
      <c r="G194" s="2"/>
      <c r="H194" s="2"/>
      <c r="I194" s="2"/>
      <c r="J194" s="2"/>
      <c r="K194" s="2"/>
      <c r="L194" s="2"/>
      <c r="M194" s="2"/>
      <c r="N194" s="2"/>
      <c r="O194" s="2"/>
      <c r="P194" s="2"/>
      <c r="Q194" s="2"/>
      <c r="R194" s="2"/>
      <c r="S194" s="2"/>
      <c r="T194" s="3"/>
      <c r="U194" s="3"/>
      <c r="V194" s="3"/>
      <c r="W194" s="3"/>
      <c r="X194" s="3"/>
      <c r="Y194" s="3"/>
      <c r="Z194" s="3"/>
    </row>
    <row r="195" spans="1:26" ht="22.5" customHeight="1" x14ac:dyDescent="0.85">
      <c r="A195" s="2"/>
      <c r="B195" s="2"/>
      <c r="C195" s="2"/>
      <c r="D195" s="2"/>
      <c r="E195" s="2"/>
      <c r="F195" s="2"/>
      <c r="G195" s="2"/>
      <c r="H195" s="2"/>
      <c r="I195" s="2"/>
      <c r="J195" s="2"/>
      <c r="K195" s="2"/>
      <c r="L195" s="2"/>
      <c r="M195" s="2"/>
      <c r="N195" s="2"/>
      <c r="O195" s="2"/>
      <c r="P195" s="2"/>
      <c r="Q195" s="2"/>
      <c r="R195" s="2"/>
      <c r="S195" s="2"/>
      <c r="T195" s="3"/>
      <c r="U195" s="3"/>
      <c r="V195" s="3"/>
      <c r="W195" s="3"/>
      <c r="X195" s="3"/>
      <c r="Y195" s="3"/>
      <c r="Z195" s="3"/>
    </row>
    <row r="196" spans="1:26" ht="22.5" customHeight="1" x14ac:dyDescent="0.85">
      <c r="A196" s="2"/>
      <c r="B196" s="2"/>
      <c r="C196" s="2"/>
      <c r="D196" s="2"/>
      <c r="E196" s="2"/>
      <c r="F196" s="2"/>
      <c r="G196" s="2"/>
      <c r="H196" s="2"/>
      <c r="I196" s="2"/>
      <c r="J196" s="2"/>
      <c r="K196" s="2"/>
      <c r="L196" s="2"/>
      <c r="M196" s="2"/>
      <c r="N196" s="2"/>
      <c r="O196" s="2"/>
      <c r="P196" s="2"/>
      <c r="Q196" s="2"/>
      <c r="R196" s="2"/>
      <c r="S196" s="2"/>
      <c r="T196" s="3"/>
      <c r="U196" s="3"/>
      <c r="V196" s="3"/>
      <c r="W196" s="3"/>
      <c r="X196" s="3"/>
      <c r="Y196" s="3"/>
      <c r="Z196" s="3"/>
    </row>
    <row r="197" spans="1:26" ht="22.5" customHeight="1" x14ac:dyDescent="0.85">
      <c r="A197" s="2"/>
      <c r="B197" s="2"/>
      <c r="C197" s="2"/>
      <c r="D197" s="2"/>
      <c r="E197" s="2"/>
      <c r="F197" s="2"/>
      <c r="G197" s="2"/>
      <c r="H197" s="2"/>
      <c r="I197" s="2"/>
      <c r="J197" s="2"/>
      <c r="K197" s="2"/>
      <c r="L197" s="2"/>
      <c r="M197" s="2"/>
      <c r="N197" s="2"/>
      <c r="O197" s="2"/>
      <c r="P197" s="2"/>
      <c r="Q197" s="2"/>
      <c r="R197" s="2"/>
      <c r="S197" s="2"/>
      <c r="T197" s="3"/>
      <c r="U197" s="3"/>
      <c r="V197" s="3"/>
      <c r="W197" s="3"/>
      <c r="X197" s="3"/>
      <c r="Y197" s="3"/>
      <c r="Z197" s="3"/>
    </row>
    <row r="198" spans="1:26" ht="22.5" customHeight="1" x14ac:dyDescent="0.85">
      <c r="A198" s="2"/>
      <c r="B198" s="2"/>
      <c r="C198" s="2"/>
      <c r="D198" s="2"/>
      <c r="E198" s="2"/>
      <c r="F198" s="2"/>
      <c r="G198" s="2"/>
      <c r="H198" s="2"/>
      <c r="I198" s="2"/>
      <c r="J198" s="2"/>
      <c r="K198" s="2"/>
      <c r="L198" s="2"/>
      <c r="M198" s="2"/>
      <c r="N198" s="2"/>
      <c r="O198" s="2"/>
      <c r="P198" s="2"/>
      <c r="Q198" s="2"/>
      <c r="R198" s="2"/>
      <c r="S198" s="2"/>
      <c r="T198" s="3"/>
      <c r="U198" s="3"/>
      <c r="V198" s="3"/>
      <c r="W198" s="3"/>
      <c r="X198" s="3"/>
      <c r="Y198" s="3"/>
      <c r="Z198" s="3"/>
    </row>
    <row r="199" spans="1:26" ht="22.5" customHeight="1" x14ac:dyDescent="0.85">
      <c r="A199" s="2"/>
      <c r="B199" s="2"/>
      <c r="C199" s="2"/>
      <c r="D199" s="2"/>
      <c r="E199" s="2"/>
      <c r="F199" s="2"/>
      <c r="G199" s="2"/>
      <c r="H199" s="2"/>
      <c r="I199" s="2"/>
      <c r="J199" s="2"/>
      <c r="K199" s="2"/>
      <c r="L199" s="2"/>
      <c r="M199" s="2"/>
      <c r="N199" s="2"/>
      <c r="O199" s="2"/>
      <c r="P199" s="2"/>
      <c r="Q199" s="2"/>
      <c r="R199" s="2"/>
      <c r="S199" s="2"/>
      <c r="T199" s="3"/>
      <c r="U199" s="3"/>
      <c r="V199" s="3"/>
      <c r="W199" s="3"/>
      <c r="X199" s="3"/>
      <c r="Y199" s="3"/>
      <c r="Z199" s="3"/>
    </row>
    <row r="200" spans="1:26" ht="22.5" customHeight="1" x14ac:dyDescent="0.85">
      <c r="A200" s="2"/>
      <c r="B200" s="2"/>
      <c r="C200" s="2"/>
      <c r="D200" s="2"/>
      <c r="E200" s="2"/>
      <c r="F200" s="2"/>
      <c r="G200" s="2"/>
      <c r="H200" s="2"/>
      <c r="I200" s="2"/>
      <c r="J200" s="2"/>
      <c r="K200" s="2"/>
      <c r="L200" s="2"/>
      <c r="M200" s="2"/>
      <c r="N200" s="2"/>
      <c r="O200" s="2"/>
      <c r="P200" s="2"/>
      <c r="Q200" s="2"/>
      <c r="R200" s="2"/>
      <c r="S200" s="2"/>
      <c r="T200" s="3"/>
      <c r="U200" s="3"/>
      <c r="V200" s="3"/>
      <c r="W200" s="3"/>
      <c r="X200" s="3"/>
      <c r="Y200" s="3"/>
      <c r="Z200" s="3"/>
    </row>
    <row r="201" spans="1:26" ht="22.5" customHeight="1" x14ac:dyDescent="0.85">
      <c r="A201" s="2"/>
      <c r="B201" s="2"/>
      <c r="C201" s="2"/>
      <c r="D201" s="2"/>
      <c r="E201" s="2"/>
      <c r="F201" s="2"/>
      <c r="G201" s="2"/>
      <c r="H201" s="2"/>
      <c r="I201" s="2"/>
      <c r="J201" s="2"/>
      <c r="K201" s="2"/>
      <c r="L201" s="2"/>
      <c r="M201" s="2"/>
      <c r="N201" s="2"/>
      <c r="O201" s="2"/>
      <c r="P201" s="2"/>
      <c r="Q201" s="2"/>
      <c r="R201" s="2"/>
      <c r="S201" s="2"/>
      <c r="T201" s="3"/>
      <c r="U201" s="3"/>
      <c r="V201" s="3"/>
      <c r="W201" s="3"/>
      <c r="X201" s="3"/>
      <c r="Y201" s="3"/>
      <c r="Z201" s="3"/>
    </row>
    <row r="202" spans="1:26" ht="22.5" customHeight="1" x14ac:dyDescent="0.85">
      <c r="A202" s="2"/>
      <c r="B202" s="2"/>
      <c r="C202" s="2"/>
      <c r="D202" s="2"/>
      <c r="E202" s="2"/>
      <c r="F202" s="2"/>
      <c r="G202" s="2"/>
      <c r="H202" s="2"/>
      <c r="I202" s="2"/>
      <c r="J202" s="2"/>
      <c r="K202" s="2"/>
      <c r="L202" s="2"/>
      <c r="M202" s="2"/>
      <c r="N202" s="2"/>
      <c r="O202" s="2"/>
      <c r="P202" s="2"/>
      <c r="Q202" s="2"/>
      <c r="R202" s="2"/>
      <c r="S202" s="2"/>
      <c r="T202" s="3"/>
      <c r="U202" s="3"/>
      <c r="V202" s="3"/>
      <c r="W202" s="3"/>
      <c r="X202" s="3"/>
      <c r="Y202" s="3"/>
      <c r="Z202" s="3"/>
    </row>
    <row r="203" spans="1:26" ht="22.5" customHeight="1" x14ac:dyDescent="0.85">
      <c r="A203" s="2"/>
      <c r="B203" s="2"/>
      <c r="C203" s="2"/>
      <c r="D203" s="2"/>
      <c r="E203" s="2"/>
      <c r="F203" s="2"/>
      <c r="G203" s="2"/>
      <c r="H203" s="2"/>
      <c r="I203" s="2"/>
      <c r="J203" s="2"/>
      <c r="K203" s="2"/>
      <c r="L203" s="2"/>
      <c r="M203" s="2"/>
      <c r="N203" s="2"/>
      <c r="O203" s="2"/>
      <c r="P203" s="2"/>
      <c r="Q203" s="2"/>
      <c r="R203" s="2"/>
      <c r="S203" s="2"/>
      <c r="T203" s="3"/>
      <c r="U203" s="3"/>
      <c r="V203" s="3"/>
      <c r="W203" s="3"/>
      <c r="X203" s="3"/>
      <c r="Y203" s="3"/>
      <c r="Z203" s="3"/>
    </row>
    <row r="204" spans="1:26" ht="22.5" customHeight="1" x14ac:dyDescent="0.85">
      <c r="A204" s="2"/>
      <c r="B204" s="2"/>
      <c r="C204" s="2"/>
      <c r="D204" s="2"/>
      <c r="E204" s="2"/>
      <c r="F204" s="2"/>
      <c r="G204" s="2"/>
      <c r="H204" s="2"/>
      <c r="I204" s="2"/>
      <c r="J204" s="2"/>
      <c r="K204" s="2"/>
      <c r="L204" s="2"/>
      <c r="M204" s="2"/>
      <c r="N204" s="2"/>
      <c r="O204" s="2"/>
      <c r="P204" s="2"/>
      <c r="Q204" s="2"/>
      <c r="R204" s="2"/>
      <c r="S204" s="2"/>
      <c r="T204" s="3"/>
      <c r="U204" s="3"/>
      <c r="V204" s="3"/>
      <c r="W204" s="3"/>
      <c r="X204" s="3"/>
      <c r="Y204" s="3"/>
      <c r="Z204" s="3"/>
    </row>
    <row r="205" spans="1:26" ht="22.5" customHeight="1" x14ac:dyDescent="0.85">
      <c r="A205" s="2"/>
      <c r="B205" s="2"/>
      <c r="C205" s="2"/>
      <c r="D205" s="2"/>
      <c r="E205" s="2"/>
      <c r="F205" s="2"/>
      <c r="G205" s="2"/>
      <c r="H205" s="2"/>
      <c r="I205" s="2"/>
      <c r="J205" s="2"/>
      <c r="K205" s="2"/>
      <c r="L205" s="2"/>
      <c r="M205" s="2"/>
      <c r="N205" s="2"/>
      <c r="O205" s="2"/>
      <c r="P205" s="2"/>
      <c r="Q205" s="2"/>
      <c r="R205" s="2"/>
      <c r="S205" s="2"/>
      <c r="T205" s="3"/>
      <c r="U205" s="3"/>
      <c r="V205" s="3"/>
      <c r="W205" s="3"/>
      <c r="X205" s="3"/>
      <c r="Y205" s="3"/>
      <c r="Z205" s="3"/>
    </row>
    <row r="206" spans="1:26" ht="22.5" customHeight="1" x14ac:dyDescent="0.85">
      <c r="A206" s="2"/>
      <c r="B206" s="2"/>
      <c r="C206" s="2"/>
      <c r="D206" s="2"/>
      <c r="E206" s="2"/>
      <c r="F206" s="2"/>
      <c r="G206" s="2"/>
      <c r="H206" s="2"/>
      <c r="I206" s="2"/>
      <c r="J206" s="2"/>
      <c r="K206" s="2"/>
      <c r="L206" s="2"/>
      <c r="M206" s="2"/>
      <c r="N206" s="2"/>
      <c r="O206" s="2"/>
      <c r="P206" s="2"/>
      <c r="Q206" s="2"/>
      <c r="R206" s="2"/>
      <c r="S206" s="2"/>
      <c r="T206" s="3"/>
      <c r="U206" s="3"/>
      <c r="V206" s="3"/>
      <c r="W206" s="3"/>
      <c r="X206" s="3"/>
      <c r="Y206" s="3"/>
      <c r="Z206" s="3"/>
    </row>
    <row r="207" spans="1:26" ht="22.5" customHeight="1" x14ac:dyDescent="0.85">
      <c r="A207" s="2"/>
      <c r="B207" s="2"/>
      <c r="C207" s="2"/>
      <c r="D207" s="2"/>
      <c r="E207" s="2"/>
      <c r="F207" s="2"/>
      <c r="G207" s="2"/>
      <c r="H207" s="2"/>
      <c r="I207" s="2"/>
      <c r="J207" s="2"/>
      <c r="K207" s="2"/>
      <c r="L207" s="2"/>
      <c r="M207" s="2"/>
      <c r="N207" s="2"/>
      <c r="O207" s="2"/>
      <c r="P207" s="2"/>
      <c r="Q207" s="2"/>
      <c r="R207" s="2"/>
      <c r="S207" s="2"/>
      <c r="T207" s="3"/>
      <c r="U207" s="3"/>
      <c r="V207" s="3"/>
      <c r="W207" s="3"/>
      <c r="X207" s="3"/>
      <c r="Y207" s="3"/>
      <c r="Z207" s="3"/>
    </row>
    <row r="208" spans="1:26" ht="22.5" customHeight="1" x14ac:dyDescent="0.85">
      <c r="A208" s="2"/>
      <c r="B208" s="2"/>
      <c r="C208" s="2"/>
      <c r="D208" s="2"/>
      <c r="E208" s="2"/>
      <c r="F208" s="2"/>
      <c r="G208" s="2"/>
      <c r="H208" s="2"/>
      <c r="I208" s="2"/>
      <c r="J208" s="2"/>
      <c r="K208" s="2"/>
      <c r="L208" s="2"/>
      <c r="M208" s="2"/>
      <c r="N208" s="2"/>
      <c r="O208" s="2"/>
      <c r="P208" s="2"/>
      <c r="Q208" s="2"/>
      <c r="R208" s="2"/>
      <c r="S208" s="2"/>
      <c r="T208" s="3"/>
      <c r="U208" s="3"/>
      <c r="V208" s="3"/>
      <c r="W208" s="3"/>
      <c r="X208" s="3"/>
      <c r="Y208" s="3"/>
      <c r="Z208" s="3"/>
    </row>
    <row r="209" spans="1:26" ht="22.5" customHeight="1" x14ac:dyDescent="0.85">
      <c r="A209" s="2"/>
      <c r="B209" s="2"/>
      <c r="C209" s="2"/>
      <c r="D209" s="2"/>
      <c r="E209" s="2"/>
      <c r="F209" s="2"/>
      <c r="G209" s="2"/>
      <c r="H209" s="2"/>
      <c r="I209" s="2"/>
      <c r="J209" s="2"/>
      <c r="K209" s="2"/>
      <c r="L209" s="2"/>
      <c r="M209" s="2"/>
      <c r="N209" s="2"/>
      <c r="O209" s="2"/>
      <c r="P209" s="2"/>
      <c r="Q209" s="2"/>
      <c r="R209" s="2"/>
      <c r="S209" s="2"/>
      <c r="T209" s="3"/>
      <c r="U209" s="3"/>
      <c r="V209" s="3"/>
      <c r="W209" s="3"/>
      <c r="X209" s="3"/>
      <c r="Y209" s="3"/>
      <c r="Z209" s="3"/>
    </row>
    <row r="210" spans="1:26" ht="22.5" customHeight="1" x14ac:dyDescent="0.85">
      <c r="A210" s="2"/>
      <c r="B210" s="2"/>
      <c r="C210" s="2"/>
      <c r="D210" s="2"/>
      <c r="E210" s="2"/>
      <c r="F210" s="2"/>
      <c r="G210" s="2"/>
      <c r="H210" s="2"/>
      <c r="I210" s="2"/>
      <c r="J210" s="2"/>
      <c r="K210" s="2"/>
      <c r="L210" s="2"/>
      <c r="M210" s="2"/>
      <c r="N210" s="2"/>
      <c r="O210" s="2"/>
      <c r="P210" s="2"/>
      <c r="Q210" s="2"/>
      <c r="R210" s="2"/>
      <c r="S210" s="2"/>
      <c r="T210" s="3"/>
      <c r="U210" s="3"/>
      <c r="V210" s="3"/>
      <c r="W210" s="3"/>
      <c r="X210" s="3"/>
      <c r="Y210" s="3"/>
      <c r="Z210" s="3"/>
    </row>
    <row r="211" spans="1:26" ht="22.5" customHeight="1" x14ac:dyDescent="0.85">
      <c r="A211" s="2"/>
      <c r="B211" s="2"/>
      <c r="C211" s="2"/>
      <c r="D211" s="2"/>
      <c r="E211" s="2"/>
      <c r="F211" s="2"/>
      <c r="G211" s="2"/>
      <c r="H211" s="2"/>
      <c r="I211" s="2"/>
      <c r="J211" s="2"/>
      <c r="K211" s="2"/>
      <c r="L211" s="2"/>
      <c r="M211" s="2"/>
      <c r="N211" s="2"/>
      <c r="O211" s="2"/>
      <c r="P211" s="2"/>
      <c r="Q211" s="2"/>
      <c r="R211" s="2"/>
      <c r="S211" s="2"/>
      <c r="T211" s="3"/>
      <c r="U211" s="3"/>
      <c r="V211" s="3"/>
      <c r="W211" s="3"/>
      <c r="X211" s="3"/>
      <c r="Y211" s="3"/>
      <c r="Z211" s="3"/>
    </row>
    <row r="212" spans="1:26" ht="22.5" customHeight="1" x14ac:dyDescent="0.85">
      <c r="A212" s="2"/>
      <c r="B212" s="2"/>
      <c r="C212" s="2"/>
      <c r="D212" s="2"/>
      <c r="E212" s="2"/>
      <c r="F212" s="2"/>
      <c r="G212" s="2"/>
      <c r="H212" s="2"/>
      <c r="I212" s="2"/>
      <c r="J212" s="2"/>
      <c r="K212" s="2"/>
      <c r="L212" s="2"/>
      <c r="M212" s="2"/>
      <c r="N212" s="2"/>
      <c r="O212" s="2"/>
      <c r="P212" s="2"/>
      <c r="Q212" s="2"/>
      <c r="R212" s="2"/>
      <c r="S212" s="2"/>
      <c r="T212" s="3"/>
      <c r="U212" s="3"/>
      <c r="V212" s="3"/>
      <c r="W212" s="3"/>
      <c r="X212" s="3"/>
      <c r="Y212" s="3"/>
      <c r="Z212" s="3"/>
    </row>
    <row r="213" spans="1:26" ht="22.5" customHeight="1" x14ac:dyDescent="0.85">
      <c r="A213" s="2"/>
      <c r="B213" s="2"/>
      <c r="C213" s="2"/>
      <c r="D213" s="2"/>
      <c r="E213" s="2"/>
      <c r="F213" s="2"/>
      <c r="G213" s="2"/>
      <c r="H213" s="2"/>
      <c r="I213" s="2"/>
      <c r="J213" s="2"/>
      <c r="K213" s="2"/>
      <c r="L213" s="2"/>
      <c r="M213" s="2"/>
      <c r="N213" s="2"/>
      <c r="O213" s="2"/>
      <c r="P213" s="2"/>
      <c r="Q213" s="2"/>
      <c r="R213" s="2"/>
      <c r="S213" s="2"/>
      <c r="T213" s="3"/>
      <c r="U213" s="3"/>
      <c r="V213" s="3"/>
      <c r="W213" s="3"/>
      <c r="X213" s="3"/>
      <c r="Y213" s="3"/>
      <c r="Z213" s="3"/>
    </row>
    <row r="214" spans="1:26" ht="22.5" customHeight="1" x14ac:dyDescent="0.85">
      <c r="A214" s="2"/>
      <c r="B214" s="2"/>
      <c r="C214" s="2"/>
      <c r="D214" s="2"/>
      <c r="E214" s="2"/>
      <c r="F214" s="2"/>
      <c r="G214" s="2"/>
      <c r="H214" s="2"/>
      <c r="I214" s="2"/>
      <c r="J214" s="2"/>
      <c r="K214" s="2"/>
      <c r="L214" s="2"/>
      <c r="M214" s="2"/>
      <c r="N214" s="2"/>
      <c r="O214" s="2"/>
      <c r="P214" s="2"/>
      <c r="Q214" s="2"/>
      <c r="R214" s="2"/>
      <c r="S214" s="2"/>
      <c r="T214" s="3"/>
      <c r="U214" s="3"/>
      <c r="V214" s="3"/>
      <c r="W214" s="3"/>
      <c r="X214" s="3"/>
      <c r="Y214" s="3"/>
      <c r="Z214" s="3"/>
    </row>
    <row r="215" spans="1:26" ht="22.5" customHeight="1" x14ac:dyDescent="0.85">
      <c r="A215" s="2"/>
      <c r="B215" s="2"/>
      <c r="C215" s="2"/>
      <c r="D215" s="2"/>
      <c r="E215" s="2"/>
      <c r="F215" s="2"/>
      <c r="G215" s="2"/>
      <c r="H215" s="2"/>
      <c r="I215" s="2"/>
      <c r="J215" s="2"/>
      <c r="K215" s="2"/>
      <c r="L215" s="2"/>
      <c r="M215" s="2"/>
      <c r="N215" s="2"/>
      <c r="O215" s="2"/>
      <c r="P215" s="2"/>
      <c r="Q215" s="2"/>
      <c r="R215" s="2"/>
      <c r="S215" s="2"/>
      <c r="T215" s="3"/>
      <c r="U215" s="3"/>
      <c r="V215" s="3"/>
      <c r="W215" s="3"/>
      <c r="X215" s="3"/>
      <c r="Y215" s="3"/>
      <c r="Z215" s="3"/>
    </row>
    <row r="216" spans="1:26" ht="22.5" customHeight="1" x14ac:dyDescent="0.85">
      <c r="A216" s="2"/>
      <c r="B216" s="2"/>
      <c r="C216" s="2"/>
      <c r="D216" s="2"/>
      <c r="E216" s="2"/>
      <c r="F216" s="2"/>
      <c r="G216" s="2"/>
      <c r="H216" s="2"/>
      <c r="I216" s="2"/>
      <c r="J216" s="2"/>
      <c r="K216" s="2"/>
      <c r="L216" s="2"/>
      <c r="M216" s="2"/>
      <c r="N216" s="2"/>
      <c r="O216" s="2"/>
      <c r="P216" s="2"/>
      <c r="Q216" s="2"/>
      <c r="R216" s="2"/>
      <c r="S216" s="2"/>
      <c r="T216" s="3"/>
      <c r="U216" s="3"/>
      <c r="V216" s="3"/>
      <c r="W216" s="3"/>
      <c r="X216" s="3"/>
      <c r="Y216" s="3"/>
      <c r="Z216" s="3"/>
    </row>
    <row r="217" spans="1:26" ht="22.5" customHeight="1" x14ac:dyDescent="0.85">
      <c r="A217" s="2"/>
      <c r="B217" s="2"/>
      <c r="C217" s="2"/>
      <c r="D217" s="2"/>
      <c r="E217" s="2"/>
      <c r="F217" s="2"/>
      <c r="G217" s="2"/>
      <c r="H217" s="2"/>
      <c r="I217" s="2"/>
      <c r="J217" s="2"/>
      <c r="K217" s="2"/>
      <c r="L217" s="2"/>
      <c r="M217" s="2"/>
      <c r="N217" s="2"/>
      <c r="O217" s="2"/>
      <c r="P217" s="2"/>
      <c r="Q217" s="2"/>
      <c r="R217" s="2"/>
      <c r="S217" s="2"/>
      <c r="T217" s="3"/>
      <c r="U217" s="3"/>
      <c r="V217" s="3"/>
      <c r="W217" s="3"/>
      <c r="X217" s="3"/>
      <c r="Y217" s="3"/>
      <c r="Z217" s="3"/>
    </row>
    <row r="218" spans="1:26" ht="22.5" customHeight="1" x14ac:dyDescent="0.85">
      <c r="A218" s="2"/>
      <c r="B218" s="2"/>
      <c r="C218" s="2"/>
      <c r="D218" s="2"/>
      <c r="E218" s="2"/>
      <c r="F218" s="2"/>
      <c r="G218" s="2"/>
      <c r="H218" s="2"/>
      <c r="I218" s="2"/>
      <c r="J218" s="2"/>
      <c r="K218" s="2"/>
      <c r="L218" s="2"/>
      <c r="M218" s="2"/>
      <c r="N218" s="2"/>
      <c r="O218" s="2"/>
      <c r="P218" s="2"/>
      <c r="Q218" s="2"/>
      <c r="R218" s="2"/>
      <c r="S218" s="2"/>
      <c r="T218" s="3"/>
      <c r="U218" s="3"/>
      <c r="V218" s="3"/>
      <c r="W218" s="3"/>
      <c r="X218" s="3"/>
      <c r="Y218" s="3"/>
      <c r="Z218" s="3"/>
    </row>
    <row r="219" spans="1:26" ht="22.5" customHeight="1" x14ac:dyDescent="0.85">
      <c r="A219" s="2"/>
      <c r="B219" s="2"/>
      <c r="C219" s="2"/>
      <c r="D219" s="2"/>
      <c r="E219" s="2"/>
      <c r="F219" s="2"/>
      <c r="G219" s="2"/>
      <c r="H219" s="2"/>
      <c r="I219" s="2"/>
      <c r="J219" s="2"/>
      <c r="K219" s="2"/>
      <c r="L219" s="2"/>
      <c r="M219" s="2"/>
      <c r="N219" s="2"/>
      <c r="O219" s="2"/>
      <c r="P219" s="2"/>
      <c r="Q219" s="2"/>
      <c r="R219" s="2"/>
      <c r="S219" s="2"/>
      <c r="T219" s="3"/>
      <c r="U219" s="3"/>
      <c r="V219" s="3"/>
      <c r="W219" s="3"/>
      <c r="X219" s="3"/>
      <c r="Y219" s="3"/>
      <c r="Z219" s="3"/>
    </row>
    <row r="220" spans="1:26" ht="22.5" customHeight="1" x14ac:dyDescent="0.85">
      <c r="A220" s="2"/>
      <c r="B220" s="2"/>
      <c r="C220" s="2"/>
      <c r="D220" s="2"/>
      <c r="E220" s="2"/>
      <c r="F220" s="2"/>
      <c r="G220" s="2"/>
      <c r="H220" s="2"/>
      <c r="I220" s="2"/>
      <c r="J220" s="2"/>
      <c r="K220" s="2"/>
      <c r="L220" s="2"/>
      <c r="M220" s="2"/>
      <c r="N220" s="2"/>
      <c r="O220" s="2"/>
      <c r="P220" s="2"/>
      <c r="Q220" s="2"/>
      <c r="R220" s="2"/>
      <c r="S220" s="2"/>
      <c r="T220" s="3"/>
      <c r="U220" s="3"/>
      <c r="V220" s="3"/>
      <c r="W220" s="3"/>
      <c r="X220" s="3"/>
      <c r="Y220" s="3"/>
      <c r="Z220" s="3"/>
    </row>
    <row r="221" spans="1:26" ht="22.5" customHeight="1" x14ac:dyDescent="0.85">
      <c r="A221" s="2"/>
      <c r="B221" s="2"/>
      <c r="C221" s="2"/>
      <c r="D221" s="2"/>
      <c r="E221" s="2"/>
      <c r="F221" s="2"/>
      <c r="G221" s="2"/>
      <c r="H221" s="2"/>
      <c r="I221" s="2"/>
      <c r="J221" s="2"/>
      <c r="K221" s="2"/>
      <c r="L221" s="2"/>
      <c r="M221" s="2"/>
      <c r="N221" s="2"/>
      <c r="O221" s="2"/>
      <c r="P221" s="2"/>
      <c r="Q221" s="2"/>
      <c r="R221" s="2"/>
      <c r="S221" s="2"/>
      <c r="T221" s="3"/>
      <c r="U221" s="3"/>
      <c r="V221" s="3"/>
      <c r="W221" s="3"/>
      <c r="X221" s="3"/>
      <c r="Y221" s="3"/>
      <c r="Z221" s="3"/>
    </row>
    <row r="222" spans="1:26" ht="22.5" customHeight="1" x14ac:dyDescent="0.85">
      <c r="A222" s="2"/>
      <c r="B222" s="2"/>
      <c r="C222" s="2"/>
      <c r="D222" s="2"/>
      <c r="E222" s="2"/>
      <c r="F222" s="2"/>
      <c r="G222" s="2"/>
      <c r="H222" s="2"/>
      <c r="I222" s="2"/>
      <c r="J222" s="2"/>
      <c r="K222" s="2"/>
      <c r="L222" s="2"/>
      <c r="M222" s="2"/>
      <c r="N222" s="2"/>
      <c r="O222" s="2"/>
      <c r="P222" s="2"/>
      <c r="Q222" s="2"/>
      <c r="R222" s="2"/>
      <c r="S222" s="2"/>
      <c r="T222" s="3"/>
      <c r="U222" s="3"/>
      <c r="V222" s="3"/>
      <c r="W222" s="3"/>
      <c r="X222" s="3"/>
      <c r="Y222" s="3"/>
      <c r="Z222" s="3"/>
    </row>
    <row r="223" spans="1:26" ht="22.5" customHeight="1" x14ac:dyDescent="0.85">
      <c r="A223" s="2"/>
      <c r="B223" s="2"/>
      <c r="C223" s="2"/>
      <c r="D223" s="2"/>
      <c r="E223" s="2"/>
      <c r="F223" s="2"/>
      <c r="G223" s="2"/>
      <c r="H223" s="2"/>
      <c r="I223" s="2"/>
      <c r="J223" s="2"/>
      <c r="K223" s="2"/>
      <c r="L223" s="2"/>
      <c r="M223" s="2"/>
      <c r="N223" s="2"/>
      <c r="O223" s="2"/>
      <c r="P223" s="2"/>
      <c r="Q223" s="2"/>
      <c r="R223" s="2"/>
      <c r="S223" s="2"/>
      <c r="T223" s="3"/>
      <c r="U223" s="3"/>
      <c r="V223" s="3"/>
      <c r="W223" s="3"/>
      <c r="X223" s="3"/>
      <c r="Y223" s="3"/>
      <c r="Z223" s="3"/>
    </row>
    <row r="224" spans="1:26" ht="22.5" customHeight="1" x14ac:dyDescent="0.85">
      <c r="A224" s="2"/>
      <c r="B224" s="2"/>
      <c r="C224" s="2"/>
      <c r="D224" s="2"/>
      <c r="E224" s="2"/>
      <c r="F224" s="2"/>
      <c r="G224" s="2"/>
      <c r="H224" s="2"/>
      <c r="I224" s="2"/>
      <c r="J224" s="2"/>
      <c r="K224" s="2"/>
      <c r="L224" s="2"/>
      <c r="M224" s="2"/>
      <c r="N224" s="2"/>
      <c r="O224" s="2"/>
      <c r="P224" s="2"/>
      <c r="Q224" s="2"/>
      <c r="R224" s="2"/>
      <c r="S224" s="2"/>
      <c r="T224" s="3"/>
      <c r="U224" s="3"/>
      <c r="V224" s="3"/>
      <c r="W224" s="3"/>
      <c r="X224" s="3"/>
      <c r="Y224" s="3"/>
      <c r="Z224" s="3"/>
    </row>
    <row r="225" spans="1:26" ht="22.5" customHeight="1" x14ac:dyDescent="0.85">
      <c r="A225" s="2"/>
      <c r="B225" s="2"/>
      <c r="C225" s="2"/>
      <c r="D225" s="2"/>
      <c r="E225" s="2"/>
      <c r="F225" s="2"/>
      <c r="G225" s="2"/>
      <c r="H225" s="2"/>
      <c r="I225" s="2"/>
      <c r="J225" s="2"/>
      <c r="K225" s="2"/>
      <c r="L225" s="2"/>
      <c r="M225" s="2"/>
      <c r="N225" s="2"/>
      <c r="O225" s="2"/>
      <c r="P225" s="2"/>
      <c r="Q225" s="2"/>
      <c r="R225" s="2"/>
      <c r="S225" s="2"/>
      <c r="T225" s="3"/>
      <c r="U225" s="3"/>
      <c r="V225" s="3"/>
      <c r="W225" s="3"/>
      <c r="X225" s="3"/>
      <c r="Y225" s="3"/>
      <c r="Z225" s="3"/>
    </row>
    <row r="226" spans="1:26" ht="22.5" customHeight="1" x14ac:dyDescent="0.85">
      <c r="A226" s="2"/>
      <c r="B226" s="2"/>
      <c r="C226" s="2"/>
      <c r="D226" s="2"/>
      <c r="E226" s="2"/>
      <c r="F226" s="2"/>
      <c r="G226" s="2"/>
      <c r="H226" s="2"/>
      <c r="I226" s="2"/>
      <c r="J226" s="2"/>
      <c r="K226" s="2"/>
      <c r="L226" s="2"/>
      <c r="M226" s="2"/>
      <c r="N226" s="2"/>
      <c r="O226" s="2"/>
      <c r="P226" s="2"/>
      <c r="Q226" s="2"/>
      <c r="R226" s="2"/>
      <c r="S226" s="2"/>
      <c r="T226" s="3"/>
      <c r="U226" s="3"/>
      <c r="V226" s="3"/>
      <c r="W226" s="3"/>
      <c r="X226" s="3"/>
      <c r="Y226" s="3"/>
      <c r="Z226" s="3"/>
    </row>
    <row r="227" spans="1:26" ht="22.5" customHeight="1" x14ac:dyDescent="0.85">
      <c r="A227" s="2"/>
      <c r="B227" s="2"/>
      <c r="C227" s="2"/>
      <c r="D227" s="2"/>
      <c r="E227" s="2"/>
      <c r="F227" s="2"/>
      <c r="G227" s="2"/>
      <c r="H227" s="2"/>
      <c r="I227" s="2"/>
      <c r="J227" s="2"/>
      <c r="K227" s="2"/>
      <c r="L227" s="2"/>
      <c r="M227" s="2"/>
      <c r="N227" s="2"/>
      <c r="O227" s="2"/>
      <c r="P227" s="2"/>
      <c r="Q227" s="2"/>
      <c r="R227" s="2"/>
      <c r="S227" s="2"/>
      <c r="T227" s="3"/>
      <c r="U227" s="3"/>
      <c r="V227" s="3"/>
      <c r="W227" s="3"/>
      <c r="X227" s="3"/>
      <c r="Y227" s="3"/>
      <c r="Z227" s="3"/>
    </row>
    <row r="228" spans="1:26" ht="22.5" customHeight="1" x14ac:dyDescent="0.85">
      <c r="A228" s="2"/>
      <c r="B228" s="2"/>
      <c r="C228" s="2"/>
      <c r="D228" s="2"/>
      <c r="E228" s="2"/>
      <c r="F228" s="2"/>
      <c r="G228" s="2"/>
      <c r="H228" s="2"/>
      <c r="I228" s="2"/>
      <c r="J228" s="2"/>
      <c r="K228" s="2"/>
      <c r="L228" s="2"/>
      <c r="M228" s="2"/>
      <c r="N228" s="2"/>
      <c r="O228" s="2"/>
      <c r="P228" s="2"/>
      <c r="Q228" s="2"/>
      <c r="R228" s="2"/>
      <c r="S228" s="2"/>
      <c r="T228" s="3"/>
      <c r="U228" s="3"/>
      <c r="V228" s="3"/>
      <c r="W228" s="3"/>
      <c r="X228" s="3"/>
      <c r="Y228" s="3"/>
      <c r="Z228" s="3"/>
    </row>
    <row r="229" spans="1:26" ht="22.5" customHeight="1" x14ac:dyDescent="0.85">
      <c r="A229" s="2"/>
      <c r="B229" s="2"/>
      <c r="C229" s="2"/>
      <c r="D229" s="2"/>
      <c r="E229" s="2"/>
      <c r="F229" s="2"/>
      <c r="G229" s="2"/>
      <c r="H229" s="2"/>
      <c r="I229" s="2"/>
      <c r="J229" s="2"/>
      <c r="K229" s="2"/>
      <c r="L229" s="2"/>
      <c r="M229" s="2"/>
      <c r="N229" s="2"/>
      <c r="O229" s="2"/>
      <c r="P229" s="2"/>
      <c r="Q229" s="2"/>
      <c r="R229" s="2"/>
      <c r="S229" s="2"/>
      <c r="T229" s="3"/>
      <c r="U229" s="3"/>
      <c r="V229" s="3"/>
      <c r="W229" s="3"/>
      <c r="X229" s="3"/>
      <c r="Y229" s="3"/>
      <c r="Z229" s="3"/>
    </row>
    <row r="230" spans="1:26" ht="22.5" customHeight="1" x14ac:dyDescent="0.85">
      <c r="A230" s="2"/>
      <c r="B230" s="2"/>
      <c r="C230" s="2"/>
      <c r="D230" s="2"/>
      <c r="E230" s="2"/>
      <c r="F230" s="2"/>
      <c r="G230" s="2"/>
      <c r="H230" s="2"/>
      <c r="I230" s="2"/>
      <c r="J230" s="2"/>
      <c r="K230" s="2"/>
      <c r="L230" s="2"/>
      <c r="M230" s="2"/>
      <c r="N230" s="2"/>
      <c r="O230" s="2"/>
      <c r="P230" s="2"/>
      <c r="Q230" s="2"/>
      <c r="R230" s="2"/>
      <c r="S230" s="2"/>
      <c r="T230" s="3"/>
      <c r="U230" s="3"/>
      <c r="V230" s="3"/>
      <c r="W230" s="3"/>
      <c r="X230" s="3"/>
      <c r="Y230" s="3"/>
      <c r="Z230" s="3"/>
    </row>
    <row r="231" spans="1:26" ht="22.5" customHeight="1" x14ac:dyDescent="0.85">
      <c r="A231" s="2"/>
      <c r="B231" s="2"/>
      <c r="C231" s="2"/>
      <c r="D231" s="2"/>
      <c r="E231" s="2"/>
      <c r="F231" s="2"/>
      <c r="G231" s="2"/>
      <c r="H231" s="2"/>
      <c r="I231" s="2"/>
      <c r="J231" s="2"/>
      <c r="K231" s="2"/>
      <c r="L231" s="2"/>
      <c r="M231" s="2"/>
      <c r="N231" s="2"/>
      <c r="O231" s="2"/>
      <c r="P231" s="2"/>
      <c r="Q231" s="2"/>
      <c r="R231" s="2"/>
      <c r="S231" s="2"/>
      <c r="T231" s="3"/>
      <c r="U231" s="3"/>
      <c r="V231" s="3"/>
      <c r="W231" s="3"/>
      <c r="X231" s="3"/>
      <c r="Y231" s="3"/>
      <c r="Z231" s="3"/>
    </row>
    <row r="232" spans="1:26" ht="22.5" customHeight="1" x14ac:dyDescent="0.85">
      <c r="A232" s="2"/>
      <c r="B232" s="2"/>
      <c r="C232" s="2"/>
      <c r="D232" s="2"/>
      <c r="E232" s="2"/>
      <c r="F232" s="2"/>
      <c r="G232" s="2"/>
      <c r="H232" s="2"/>
      <c r="I232" s="2"/>
      <c r="J232" s="2"/>
      <c r="K232" s="2"/>
      <c r="L232" s="2"/>
      <c r="M232" s="2"/>
      <c r="N232" s="2"/>
      <c r="O232" s="2"/>
      <c r="P232" s="2"/>
      <c r="Q232" s="2"/>
      <c r="R232" s="2"/>
      <c r="S232" s="2"/>
      <c r="T232" s="3"/>
      <c r="U232" s="3"/>
      <c r="V232" s="3"/>
      <c r="W232" s="3"/>
      <c r="X232" s="3"/>
      <c r="Y232" s="3"/>
      <c r="Z232" s="3"/>
    </row>
    <row r="233" spans="1:26" ht="22.5" customHeight="1" x14ac:dyDescent="0.85">
      <c r="A233" s="2"/>
      <c r="B233" s="2"/>
      <c r="C233" s="2"/>
      <c r="D233" s="2"/>
      <c r="E233" s="2"/>
      <c r="F233" s="2"/>
      <c r="G233" s="2"/>
      <c r="H233" s="2"/>
      <c r="I233" s="2"/>
      <c r="J233" s="2"/>
      <c r="K233" s="2"/>
      <c r="L233" s="2"/>
      <c r="M233" s="2"/>
      <c r="N233" s="2"/>
      <c r="O233" s="2"/>
      <c r="P233" s="2"/>
      <c r="Q233" s="2"/>
      <c r="R233" s="2"/>
      <c r="S233" s="2"/>
      <c r="T233" s="3"/>
      <c r="U233" s="3"/>
      <c r="V233" s="3"/>
      <c r="W233" s="3"/>
      <c r="X233" s="3"/>
      <c r="Y233" s="3"/>
      <c r="Z233" s="3"/>
    </row>
    <row r="234" spans="1:26" ht="22.5" customHeight="1" x14ac:dyDescent="0.85">
      <c r="A234" s="2"/>
      <c r="B234" s="2"/>
      <c r="C234" s="2"/>
      <c r="D234" s="2"/>
      <c r="E234" s="2"/>
      <c r="F234" s="2"/>
      <c r="G234" s="2"/>
      <c r="H234" s="2"/>
      <c r="I234" s="2"/>
      <c r="J234" s="2"/>
      <c r="K234" s="2"/>
      <c r="L234" s="2"/>
      <c r="M234" s="2"/>
      <c r="N234" s="2"/>
      <c r="O234" s="2"/>
      <c r="P234" s="2"/>
      <c r="Q234" s="2"/>
      <c r="R234" s="2"/>
      <c r="S234" s="2"/>
      <c r="T234" s="3"/>
      <c r="U234" s="3"/>
      <c r="V234" s="3"/>
      <c r="W234" s="3"/>
      <c r="X234" s="3"/>
      <c r="Y234" s="3"/>
      <c r="Z234" s="3"/>
    </row>
    <row r="235" spans="1:26" ht="22.5" customHeight="1" x14ac:dyDescent="0.85">
      <c r="A235" s="2"/>
      <c r="B235" s="2"/>
      <c r="C235" s="2"/>
      <c r="D235" s="2"/>
      <c r="E235" s="2"/>
      <c r="F235" s="2"/>
      <c r="G235" s="2"/>
      <c r="H235" s="2"/>
      <c r="I235" s="2"/>
      <c r="J235" s="2"/>
      <c r="K235" s="2"/>
      <c r="L235" s="2"/>
      <c r="M235" s="2"/>
      <c r="N235" s="2"/>
      <c r="O235" s="2"/>
      <c r="P235" s="2"/>
      <c r="Q235" s="2"/>
      <c r="R235" s="2"/>
      <c r="S235" s="2"/>
      <c r="T235" s="3"/>
      <c r="U235" s="3"/>
      <c r="V235" s="3"/>
      <c r="W235" s="3"/>
      <c r="X235" s="3"/>
      <c r="Y235" s="3"/>
      <c r="Z235" s="3"/>
    </row>
    <row r="236" spans="1:26" ht="22.5" customHeight="1" x14ac:dyDescent="0.85">
      <c r="A236" s="2"/>
      <c r="B236" s="2"/>
      <c r="C236" s="2"/>
      <c r="D236" s="2"/>
      <c r="E236" s="2"/>
      <c r="F236" s="2"/>
      <c r="G236" s="2"/>
      <c r="H236" s="2"/>
      <c r="I236" s="2"/>
      <c r="J236" s="2"/>
      <c r="K236" s="2"/>
      <c r="L236" s="2"/>
      <c r="M236" s="2"/>
      <c r="N236" s="2"/>
      <c r="O236" s="2"/>
      <c r="P236" s="2"/>
      <c r="Q236" s="2"/>
      <c r="R236" s="2"/>
      <c r="S236" s="2"/>
      <c r="T236" s="3"/>
      <c r="U236" s="3"/>
      <c r="V236" s="3"/>
      <c r="W236" s="3"/>
      <c r="X236" s="3"/>
      <c r="Y236" s="3"/>
      <c r="Z236" s="3"/>
    </row>
    <row r="237" spans="1:26" ht="22.5" customHeight="1" x14ac:dyDescent="0.85">
      <c r="A237" s="2"/>
      <c r="B237" s="2"/>
      <c r="C237" s="2"/>
      <c r="D237" s="2"/>
      <c r="E237" s="2"/>
      <c r="F237" s="2"/>
      <c r="G237" s="2"/>
      <c r="H237" s="2"/>
      <c r="I237" s="2"/>
      <c r="J237" s="2"/>
      <c r="K237" s="2"/>
      <c r="L237" s="2"/>
      <c r="M237" s="2"/>
      <c r="N237" s="2"/>
      <c r="O237" s="2"/>
      <c r="P237" s="2"/>
      <c r="Q237" s="2"/>
      <c r="R237" s="2"/>
      <c r="S237" s="2"/>
      <c r="T237" s="3"/>
      <c r="U237" s="3"/>
      <c r="V237" s="3"/>
      <c r="W237" s="3"/>
      <c r="X237" s="3"/>
      <c r="Y237" s="3"/>
      <c r="Z237" s="3"/>
    </row>
    <row r="238" spans="1:26" ht="22.5" customHeight="1" x14ac:dyDescent="0.85">
      <c r="A238" s="2"/>
      <c r="B238" s="2"/>
      <c r="C238" s="2"/>
      <c r="D238" s="2"/>
      <c r="E238" s="2"/>
      <c r="F238" s="2"/>
      <c r="G238" s="2"/>
      <c r="H238" s="2"/>
      <c r="I238" s="2"/>
      <c r="J238" s="2"/>
      <c r="K238" s="2"/>
      <c r="L238" s="2"/>
      <c r="M238" s="2"/>
      <c r="N238" s="2"/>
      <c r="O238" s="2"/>
      <c r="P238" s="2"/>
      <c r="Q238" s="2"/>
      <c r="R238" s="2"/>
      <c r="S238" s="2"/>
      <c r="T238" s="3"/>
      <c r="U238" s="3"/>
      <c r="V238" s="3"/>
      <c r="W238" s="3"/>
      <c r="X238" s="3"/>
      <c r="Y238" s="3"/>
      <c r="Z238" s="3"/>
    </row>
    <row r="239" spans="1:26" ht="22.5" customHeight="1" x14ac:dyDescent="0.85">
      <c r="A239" s="2"/>
      <c r="B239" s="2"/>
      <c r="C239" s="2"/>
      <c r="D239" s="2"/>
      <c r="E239" s="2"/>
      <c r="F239" s="2"/>
      <c r="G239" s="2"/>
      <c r="H239" s="2"/>
      <c r="I239" s="2"/>
      <c r="J239" s="2"/>
      <c r="K239" s="2"/>
      <c r="L239" s="2"/>
      <c r="M239" s="2"/>
      <c r="N239" s="2"/>
      <c r="O239" s="2"/>
      <c r="P239" s="2"/>
      <c r="Q239" s="2"/>
      <c r="R239" s="2"/>
      <c r="S239" s="2"/>
      <c r="T239" s="3"/>
      <c r="U239" s="3"/>
      <c r="V239" s="3"/>
      <c r="W239" s="3"/>
      <c r="X239" s="3"/>
      <c r="Y239" s="3"/>
      <c r="Z239" s="3"/>
    </row>
    <row r="240" spans="1:26" ht="22.5" customHeight="1" x14ac:dyDescent="0.85">
      <c r="A240" s="2"/>
      <c r="B240" s="2"/>
      <c r="C240" s="2"/>
      <c r="D240" s="2"/>
      <c r="E240" s="2"/>
      <c r="F240" s="2"/>
      <c r="G240" s="2"/>
      <c r="H240" s="2"/>
      <c r="I240" s="2"/>
      <c r="J240" s="2"/>
      <c r="K240" s="2"/>
      <c r="L240" s="2"/>
      <c r="M240" s="2"/>
      <c r="N240" s="2"/>
      <c r="O240" s="2"/>
      <c r="P240" s="2"/>
      <c r="Q240" s="2"/>
      <c r="R240" s="2"/>
      <c r="S240" s="2"/>
      <c r="T240" s="3"/>
      <c r="U240" s="3"/>
      <c r="V240" s="3"/>
      <c r="W240" s="3"/>
      <c r="X240" s="3"/>
      <c r="Y240" s="3"/>
      <c r="Z240" s="3"/>
    </row>
    <row r="241" spans="1:26" ht="22.5" customHeight="1" x14ac:dyDescent="0.85">
      <c r="A241" s="2"/>
      <c r="B241" s="2"/>
      <c r="C241" s="2"/>
      <c r="D241" s="2"/>
      <c r="E241" s="2"/>
      <c r="F241" s="2"/>
      <c r="G241" s="2"/>
      <c r="H241" s="2"/>
      <c r="I241" s="2"/>
      <c r="J241" s="2"/>
      <c r="K241" s="2"/>
      <c r="L241" s="2"/>
      <c r="M241" s="2"/>
      <c r="N241" s="2"/>
      <c r="O241" s="2"/>
      <c r="P241" s="2"/>
      <c r="Q241" s="2"/>
      <c r="R241" s="2"/>
      <c r="S241" s="2"/>
      <c r="T241" s="3"/>
      <c r="U241" s="3"/>
      <c r="V241" s="3"/>
      <c r="W241" s="3"/>
      <c r="X241" s="3"/>
      <c r="Y241" s="3"/>
      <c r="Z241" s="3"/>
    </row>
    <row r="242" spans="1:26" ht="22.5" customHeight="1" x14ac:dyDescent="0.85">
      <c r="A242" s="2"/>
      <c r="B242" s="2"/>
      <c r="C242" s="2"/>
      <c r="D242" s="2"/>
      <c r="E242" s="2"/>
      <c r="F242" s="2"/>
      <c r="G242" s="2"/>
      <c r="H242" s="2"/>
      <c r="I242" s="2"/>
      <c r="J242" s="2"/>
      <c r="K242" s="2"/>
      <c r="L242" s="2"/>
      <c r="M242" s="2"/>
      <c r="N242" s="2"/>
      <c r="O242" s="2"/>
      <c r="P242" s="2"/>
      <c r="Q242" s="2"/>
      <c r="R242" s="2"/>
      <c r="S242" s="2"/>
      <c r="T242" s="3"/>
      <c r="U242" s="3"/>
      <c r="V242" s="3"/>
      <c r="W242" s="3"/>
      <c r="X242" s="3"/>
      <c r="Y242" s="3"/>
      <c r="Z242" s="3"/>
    </row>
    <row r="243" spans="1:26" ht="22.5" customHeight="1" x14ac:dyDescent="0.85">
      <c r="A243" s="2"/>
      <c r="B243" s="2"/>
      <c r="C243" s="2"/>
      <c r="D243" s="2"/>
      <c r="E243" s="2"/>
      <c r="F243" s="2"/>
      <c r="G243" s="2"/>
      <c r="H243" s="2"/>
      <c r="I243" s="2"/>
      <c r="J243" s="2"/>
      <c r="K243" s="2"/>
      <c r="L243" s="2"/>
      <c r="M243" s="2"/>
      <c r="N243" s="2"/>
      <c r="O243" s="2"/>
      <c r="P243" s="2"/>
      <c r="Q243" s="2"/>
      <c r="R243" s="2"/>
      <c r="S243" s="2"/>
      <c r="T243" s="3"/>
      <c r="U243" s="3"/>
      <c r="V243" s="3"/>
      <c r="W243" s="3"/>
      <c r="X243" s="3"/>
      <c r="Y243" s="3"/>
      <c r="Z243" s="3"/>
    </row>
    <row r="244" spans="1:26" ht="22.5" customHeight="1" x14ac:dyDescent="0.85">
      <c r="A244" s="2"/>
      <c r="B244" s="2"/>
      <c r="C244" s="2"/>
      <c r="D244" s="2"/>
      <c r="E244" s="2"/>
      <c r="F244" s="2"/>
      <c r="G244" s="2"/>
      <c r="H244" s="2"/>
      <c r="I244" s="2"/>
      <c r="J244" s="2"/>
      <c r="K244" s="2"/>
      <c r="L244" s="2"/>
      <c r="M244" s="2"/>
      <c r="N244" s="2"/>
      <c r="O244" s="2"/>
      <c r="P244" s="2"/>
      <c r="Q244" s="2"/>
      <c r="R244" s="2"/>
      <c r="S244" s="2"/>
      <c r="T244" s="3"/>
      <c r="U244" s="3"/>
      <c r="V244" s="3"/>
      <c r="W244" s="3"/>
      <c r="X244" s="3"/>
      <c r="Y244" s="3"/>
      <c r="Z244" s="3"/>
    </row>
    <row r="245" spans="1:26" ht="22.5" customHeight="1" x14ac:dyDescent="0.85">
      <c r="A245" s="2"/>
      <c r="B245" s="2"/>
      <c r="C245" s="2"/>
      <c r="D245" s="2"/>
      <c r="E245" s="2"/>
      <c r="F245" s="2"/>
      <c r="G245" s="2"/>
      <c r="H245" s="2"/>
      <c r="I245" s="2"/>
      <c r="J245" s="2"/>
      <c r="K245" s="2"/>
      <c r="L245" s="2"/>
      <c r="M245" s="2"/>
      <c r="N245" s="2"/>
      <c r="O245" s="2"/>
      <c r="P245" s="2"/>
      <c r="Q245" s="2"/>
      <c r="R245" s="2"/>
      <c r="S245" s="2"/>
      <c r="T245" s="3"/>
      <c r="U245" s="3"/>
      <c r="V245" s="3"/>
      <c r="W245" s="3"/>
      <c r="X245" s="3"/>
      <c r="Y245" s="3"/>
      <c r="Z245" s="3"/>
    </row>
    <row r="246" spans="1:26" ht="22.5" customHeight="1" x14ac:dyDescent="0.85">
      <c r="A246" s="2"/>
      <c r="B246" s="2"/>
      <c r="C246" s="2"/>
      <c r="D246" s="2"/>
      <c r="E246" s="2"/>
      <c r="F246" s="2"/>
      <c r="G246" s="2"/>
      <c r="H246" s="2"/>
      <c r="I246" s="2"/>
      <c r="J246" s="2"/>
      <c r="K246" s="2"/>
      <c r="L246" s="2"/>
      <c r="M246" s="2"/>
      <c r="N246" s="2"/>
      <c r="O246" s="2"/>
      <c r="P246" s="2"/>
      <c r="Q246" s="2"/>
      <c r="R246" s="2"/>
      <c r="S246" s="2"/>
      <c r="T246" s="3"/>
      <c r="U246" s="3"/>
      <c r="V246" s="3"/>
      <c r="W246" s="3"/>
      <c r="X246" s="3"/>
      <c r="Y246" s="3"/>
      <c r="Z246" s="3"/>
    </row>
    <row r="247" spans="1:26" ht="22.5" customHeight="1" x14ac:dyDescent="0.85">
      <c r="A247" s="2"/>
      <c r="B247" s="2"/>
      <c r="C247" s="2"/>
      <c r="D247" s="2"/>
      <c r="E247" s="2"/>
      <c r="F247" s="2"/>
      <c r="G247" s="2"/>
      <c r="H247" s="2"/>
      <c r="I247" s="2"/>
      <c r="J247" s="2"/>
      <c r="K247" s="2"/>
      <c r="L247" s="2"/>
      <c r="M247" s="2"/>
      <c r="N247" s="2"/>
      <c r="O247" s="2"/>
      <c r="P247" s="2"/>
      <c r="Q247" s="2"/>
      <c r="R247" s="2"/>
      <c r="S247" s="2"/>
      <c r="T247" s="3"/>
      <c r="U247" s="3"/>
      <c r="V247" s="3"/>
      <c r="W247" s="3"/>
      <c r="X247" s="3"/>
      <c r="Y247" s="3"/>
      <c r="Z247" s="3"/>
    </row>
    <row r="248" spans="1:26" ht="22.5" customHeight="1" x14ac:dyDescent="0.85">
      <c r="A248" s="2"/>
      <c r="B248" s="2"/>
      <c r="C248" s="2"/>
      <c r="D248" s="2"/>
      <c r="E248" s="2"/>
      <c r="F248" s="2"/>
      <c r="G248" s="2"/>
      <c r="H248" s="2"/>
      <c r="I248" s="2"/>
      <c r="J248" s="2"/>
      <c r="K248" s="2"/>
      <c r="L248" s="2"/>
      <c r="M248" s="2"/>
      <c r="N248" s="2"/>
      <c r="O248" s="2"/>
      <c r="P248" s="2"/>
      <c r="Q248" s="2"/>
      <c r="R248" s="2"/>
      <c r="S248" s="2"/>
      <c r="T248" s="3"/>
      <c r="U248" s="3"/>
      <c r="V248" s="3"/>
      <c r="W248" s="3"/>
      <c r="X248" s="3"/>
      <c r="Y248" s="3"/>
      <c r="Z248" s="3"/>
    </row>
    <row r="249" spans="1:26" ht="22.5" customHeight="1" x14ac:dyDescent="0.85">
      <c r="A249" s="2"/>
      <c r="B249" s="2"/>
      <c r="C249" s="2"/>
      <c r="D249" s="2"/>
      <c r="E249" s="2"/>
      <c r="F249" s="2"/>
      <c r="G249" s="2"/>
      <c r="H249" s="2"/>
      <c r="I249" s="2"/>
      <c r="J249" s="2"/>
      <c r="K249" s="2"/>
      <c r="L249" s="2"/>
      <c r="M249" s="2"/>
      <c r="N249" s="2"/>
      <c r="O249" s="2"/>
      <c r="P249" s="2"/>
      <c r="Q249" s="2"/>
      <c r="R249" s="2"/>
      <c r="S249" s="2"/>
      <c r="T249" s="3"/>
      <c r="U249" s="3"/>
      <c r="V249" s="3"/>
      <c r="W249" s="3"/>
      <c r="X249" s="3"/>
      <c r="Y249" s="3"/>
      <c r="Z249" s="3"/>
    </row>
    <row r="250" spans="1:26" ht="22.5" customHeight="1" x14ac:dyDescent="0.85">
      <c r="A250" s="2"/>
      <c r="B250" s="2"/>
      <c r="C250" s="2"/>
      <c r="D250" s="2"/>
      <c r="E250" s="2"/>
      <c r="F250" s="2"/>
      <c r="G250" s="2"/>
      <c r="H250" s="2"/>
      <c r="I250" s="2"/>
      <c r="J250" s="2"/>
      <c r="K250" s="2"/>
      <c r="L250" s="2"/>
      <c r="M250" s="2"/>
      <c r="N250" s="2"/>
      <c r="O250" s="2"/>
      <c r="P250" s="2"/>
      <c r="Q250" s="2"/>
      <c r="R250" s="2"/>
      <c r="S250" s="2"/>
      <c r="T250" s="3"/>
      <c r="U250" s="3"/>
      <c r="V250" s="3"/>
      <c r="W250" s="3"/>
      <c r="X250" s="3"/>
      <c r="Y250" s="3"/>
      <c r="Z250" s="3"/>
    </row>
    <row r="251" spans="1:26" ht="22.5" customHeight="1" x14ac:dyDescent="0.85">
      <c r="A251" s="2"/>
      <c r="B251" s="2"/>
      <c r="C251" s="2"/>
      <c r="D251" s="2"/>
      <c r="E251" s="2"/>
      <c r="F251" s="2"/>
      <c r="G251" s="2"/>
      <c r="H251" s="2"/>
      <c r="I251" s="2"/>
      <c r="J251" s="2"/>
      <c r="K251" s="2"/>
      <c r="L251" s="2"/>
      <c r="M251" s="2"/>
      <c r="N251" s="2"/>
      <c r="O251" s="2"/>
      <c r="P251" s="2"/>
      <c r="Q251" s="2"/>
      <c r="R251" s="2"/>
      <c r="S251" s="2"/>
      <c r="T251" s="3"/>
      <c r="U251" s="3"/>
      <c r="V251" s="3"/>
      <c r="W251" s="3"/>
      <c r="X251" s="3"/>
      <c r="Y251" s="3"/>
      <c r="Z251" s="3"/>
    </row>
    <row r="252" spans="1:26" ht="22.5" customHeight="1" x14ac:dyDescent="0.85">
      <c r="A252" s="2"/>
      <c r="B252" s="2"/>
      <c r="C252" s="2"/>
      <c r="D252" s="2"/>
      <c r="E252" s="2"/>
      <c r="F252" s="2"/>
      <c r="G252" s="2"/>
      <c r="H252" s="2"/>
      <c r="I252" s="2"/>
      <c r="J252" s="2"/>
      <c r="K252" s="2"/>
      <c r="L252" s="2"/>
      <c r="M252" s="2"/>
      <c r="N252" s="2"/>
      <c r="O252" s="2"/>
      <c r="P252" s="2"/>
      <c r="Q252" s="2"/>
      <c r="R252" s="2"/>
      <c r="S252" s="2"/>
      <c r="T252" s="3"/>
      <c r="U252" s="3"/>
      <c r="V252" s="3"/>
      <c r="W252" s="3"/>
      <c r="X252" s="3"/>
      <c r="Y252" s="3"/>
      <c r="Z252" s="3"/>
    </row>
    <row r="253" spans="1:26" ht="22.5" customHeight="1" x14ac:dyDescent="0.85">
      <c r="A253" s="2"/>
      <c r="B253" s="2"/>
      <c r="C253" s="2"/>
      <c r="D253" s="2"/>
      <c r="E253" s="2"/>
      <c r="F253" s="2"/>
      <c r="G253" s="2"/>
      <c r="H253" s="2"/>
      <c r="I253" s="2"/>
      <c r="J253" s="2"/>
      <c r="K253" s="2"/>
      <c r="L253" s="2"/>
      <c r="M253" s="2"/>
      <c r="N253" s="2"/>
      <c r="O253" s="2"/>
      <c r="P253" s="2"/>
      <c r="Q253" s="2"/>
      <c r="R253" s="2"/>
      <c r="S253" s="2"/>
      <c r="T253" s="3"/>
      <c r="U253" s="3"/>
      <c r="V253" s="3"/>
      <c r="W253" s="3"/>
      <c r="X253" s="3"/>
      <c r="Y253" s="3"/>
      <c r="Z253" s="3"/>
    </row>
    <row r="254" spans="1:26" ht="22.5" customHeight="1" x14ac:dyDescent="0.85">
      <c r="A254" s="2"/>
      <c r="B254" s="2"/>
      <c r="C254" s="2"/>
      <c r="D254" s="2"/>
      <c r="E254" s="2"/>
      <c r="F254" s="2"/>
      <c r="G254" s="2"/>
      <c r="H254" s="2"/>
      <c r="I254" s="2"/>
      <c r="J254" s="2"/>
      <c r="K254" s="2"/>
      <c r="L254" s="2"/>
      <c r="M254" s="2"/>
      <c r="N254" s="2"/>
      <c r="O254" s="2"/>
      <c r="P254" s="2"/>
      <c r="Q254" s="2"/>
      <c r="R254" s="2"/>
      <c r="S254" s="2"/>
      <c r="T254" s="3"/>
      <c r="U254" s="3"/>
      <c r="V254" s="3"/>
      <c r="W254" s="3"/>
      <c r="X254" s="3"/>
      <c r="Y254" s="3"/>
      <c r="Z254" s="3"/>
    </row>
    <row r="255" spans="1:26" ht="22.5" customHeight="1" x14ac:dyDescent="0.85">
      <c r="A255" s="2"/>
      <c r="B255" s="2"/>
      <c r="C255" s="2"/>
      <c r="D255" s="2"/>
      <c r="E255" s="2"/>
      <c r="F255" s="2"/>
      <c r="G255" s="2"/>
      <c r="H255" s="2"/>
      <c r="I255" s="2"/>
      <c r="J255" s="2"/>
      <c r="K255" s="2"/>
      <c r="L255" s="2"/>
      <c r="M255" s="2"/>
      <c r="N255" s="2"/>
      <c r="O255" s="2"/>
      <c r="P255" s="2"/>
      <c r="Q255" s="2"/>
      <c r="R255" s="2"/>
      <c r="S255" s="2"/>
      <c r="T255" s="3"/>
      <c r="U255" s="3"/>
      <c r="V255" s="3"/>
      <c r="W255" s="3"/>
      <c r="X255" s="3"/>
      <c r="Y255" s="3"/>
      <c r="Z255" s="3"/>
    </row>
    <row r="256" spans="1:26" ht="22.5" customHeight="1" x14ac:dyDescent="0.85">
      <c r="A256" s="2"/>
      <c r="B256" s="2"/>
      <c r="C256" s="2"/>
      <c r="D256" s="2"/>
      <c r="E256" s="2"/>
      <c r="F256" s="2"/>
      <c r="G256" s="2"/>
      <c r="H256" s="2"/>
      <c r="I256" s="2"/>
      <c r="J256" s="2"/>
      <c r="K256" s="2"/>
      <c r="L256" s="2"/>
      <c r="M256" s="2"/>
      <c r="N256" s="2"/>
      <c r="O256" s="2"/>
      <c r="P256" s="2"/>
      <c r="Q256" s="2"/>
      <c r="R256" s="2"/>
      <c r="S256" s="2"/>
      <c r="T256" s="3"/>
      <c r="U256" s="3"/>
      <c r="V256" s="3"/>
      <c r="W256" s="3"/>
      <c r="X256" s="3"/>
      <c r="Y256" s="3"/>
      <c r="Z256" s="3"/>
    </row>
    <row r="257" spans="1:26" ht="22.5" customHeight="1" x14ac:dyDescent="0.85">
      <c r="A257" s="2"/>
      <c r="B257" s="2"/>
      <c r="C257" s="2"/>
      <c r="D257" s="2"/>
      <c r="E257" s="2"/>
      <c r="F257" s="2"/>
      <c r="G257" s="2"/>
      <c r="H257" s="2"/>
      <c r="I257" s="2"/>
      <c r="J257" s="2"/>
      <c r="K257" s="2"/>
      <c r="L257" s="2"/>
      <c r="M257" s="2"/>
      <c r="N257" s="2"/>
      <c r="O257" s="2"/>
      <c r="P257" s="2"/>
      <c r="Q257" s="2"/>
      <c r="R257" s="2"/>
      <c r="S257" s="2"/>
      <c r="T257" s="3"/>
      <c r="U257" s="3"/>
      <c r="V257" s="3"/>
      <c r="W257" s="3"/>
      <c r="X257" s="3"/>
      <c r="Y257" s="3"/>
      <c r="Z257" s="3"/>
    </row>
    <row r="258" spans="1:26" ht="22.5" customHeight="1" x14ac:dyDescent="0.85">
      <c r="A258" s="2"/>
      <c r="B258" s="2"/>
      <c r="C258" s="2"/>
      <c r="D258" s="2"/>
      <c r="E258" s="2"/>
      <c r="F258" s="2"/>
      <c r="G258" s="2"/>
      <c r="H258" s="2"/>
      <c r="I258" s="2"/>
      <c r="J258" s="2"/>
      <c r="K258" s="2"/>
      <c r="L258" s="2"/>
      <c r="M258" s="2"/>
      <c r="N258" s="2"/>
      <c r="O258" s="2"/>
      <c r="P258" s="2"/>
      <c r="Q258" s="2"/>
      <c r="R258" s="2"/>
      <c r="S258" s="2"/>
      <c r="T258" s="3"/>
      <c r="U258" s="3"/>
      <c r="V258" s="3"/>
      <c r="W258" s="3"/>
      <c r="X258" s="3"/>
      <c r="Y258" s="3"/>
      <c r="Z258" s="3"/>
    </row>
    <row r="259" spans="1:26" ht="22.5" customHeight="1" x14ac:dyDescent="0.85">
      <c r="A259" s="2"/>
      <c r="B259" s="2"/>
      <c r="C259" s="2"/>
      <c r="D259" s="2"/>
      <c r="E259" s="2"/>
      <c r="F259" s="2"/>
      <c r="G259" s="2"/>
      <c r="H259" s="2"/>
      <c r="I259" s="2"/>
      <c r="J259" s="2"/>
      <c r="K259" s="2"/>
      <c r="L259" s="2"/>
      <c r="M259" s="2"/>
      <c r="N259" s="2"/>
      <c r="O259" s="2"/>
      <c r="P259" s="2"/>
      <c r="Q259" s="2"/>
      <c r="R259" s="2"/>
      <c r="S259" s="2"/>
      <c r="T259" s="3"/>
      <c r="U259" s="3"/>
      <c r="V259" s="3"/>
      <c r="W259" s="3"/>
      <c r="X259" s="3"/>
      <c r="Y259" s="3"/>
      <c r="Z259" s="3"/>
    </row>
    <row r="260" spans="1:26" ht="22.5" customHeight="1" x14ac:dyDescent="0.85">
      <c r="A260" s="2"/>
      <c r="B260" s="2"/>
      <c r="C260" s="2"/>
      <c r="D260" s="2"/>
      <c r="E260" s="2"/>
      <c r="F260" s="2"/>
      <c r="G260" s="2"/>
      <c r="H260" s="2"/>
      <c r="I260" s="2"/>
      <c r="J260" s="2"/>
      <c r="K260" s="2"/>
      <c r="L260" s="2"/>
      <c r="M260" s="2"/>
      <c r="N260" s="2"/>
      <c r="O260" s="2"/>
      <c r="P260" s="2"/>
      <c r="Q260" s="2"/>
      <c r="R260" s="2"/>
      <c r="S260" s="2"/>
      <c r="T260" s="3"/>
      <c r="U260" s="3"/>
      <c r="V260" s="3"/>
      <c r="W260" s="3"/>
      <c r="X260" s="3"/>
      <c r="Y260" s="3"/>
      <c r="Z260" s="3"/>
    </row>
    <row r="261" spans="1:26" ht="22.5" customHeight="1" x14ac:dyDescent="0.85">
      <c r="A261" s="2"/>
      <c r="B261" s="2"/>
      <c r="C261" s="2"/>
      <c r="D261" s="2"/>
      <c r="E261" s="2"/>
      <c r="F261" s="2"/>
      <c r="G261" s="2"/>
      <c r="H261" s="2"/>
      <c r="I261" s="2"/>
      <c r="J261" s="2"/>
      <c r="K261" s="2"/>
      <c r="L261" s="2"/>
      <c r="M261" s="2"/>
      <c r="N261" s="2"/>
      <c r="O261" s="2"/>
      <c r="P261" s="2"/>
      <c r="Q261" s="2"/>
      <c r="R261" s="2"/>
      <c r="S261" s="2"/>
      <c r="T261" s="3"/>
      <c r="U261" s="3"/>
      <c r="V261" s="3"/>
      <c r="W261" s="3"/>
      <c r="X261" s="3"/>
      <c r="Y261" s="3"/>
      <c r="Z261" s="3"/>
    </row>
    <row r="262" spans="1:26" ht="22.5" customHeight="1" x14ac:dyDescent="0.85">
      <c r="A262" s="2"/>
      <c r="B262" s="2"/>
      <c r="C262" s="2"/>
      <c r="D262" s="2"/>
      <c r="E262" s="2"/>
      <c r="F262" s="2"/>
      <c r="G262" s="2"/>
      <c r="H262" s="2"/>
      <c r="I262" s="2"/>
      <c r="J262" s="2"/>
      <c r="K262" s="2"/>
      <c r="L262" s="2"/>
      <c r="M262" s="2"/>
      <c r="N262" s="2"/>
      <c r="O262" s="2"/>
      <c r="P262" s="2"/>
      <c r="Q262" s="2"/>
      <c r="R262" s="2"/>
      <c r="S262" s="2"/>
      <c r="T262" s="3"/>
      <c r="U262" s="3"/>
      <c r="V262" s="3"/>
      <c r="W262" s="3"/>
      <c r="X262" s="3"/>
      <c r="Y262" s="3"/>
      <c r="Z262" s="3"/>
    </row>
    <row r="263" spans="1:26" ht="22.5" customHeight="1" x14ac:dyDescent="0.85">
      <c r="A263" s="2"/>
      <c r="B263" s="2"/>
      <c r="C263" s="2"/>
      <c r="D263" s="2"/>
      <c r="E263" s="2"/>
      <c r="F263" s="2"/>
      <c r="G263" s="2"/>
      <c r="H263" s="2"/>
      <c r="I263" s="2"/>
      <c r="J263" s="2"/>
      <c r="K263" s="2"/>
      <c r="L263" s="2"/>
      <c r="M263" s="2"/>
      <c r="N263" s="2"/>
      <c r="O263" s="2"/>
      <c r="P263" s="2"/>
      <c r="Q263" s="2"/>
      <c r="R263" s="2"/>
      <c r="S263" s="2"/>
      <c r="T263" s="3"/>
      <c r="U263" s="3"/>
      <c r="V263" s="3"/>
      <c r="W263" s="3"/>
      <c r="X263" s="3"/>
      <c r="Y263" s="3"/>
      <c r="Z263" s="3"/>
    </row>
    <row r="264" spans="1:26" ht="22.5" customHeight="1" x14ac:dyDescent="0.85">
      <c r="A264" s="2"/>
      <c r="B264" s="2"/>
      <c r="C264" s="2"/>
      <c r="D264" s="2"/>
      <c r="E264" s="2"/>
      <c r="F264" s="2"/>
      <c r="G264" s="2"/>
      <c r="H264" s="2"/>
      <c r="I264" s="2"/>
      <c r="J264" s="2"/>
      <c r="K264" s="2"/>
      <c r="L264" s="2"/>
      <c r="M264" s="2"/>
      <c r="N264" s="2"/>
      <c r="O264" s="2"/>
      <c r="P264" s="2"/>
      <c r="Q264" s="2"/>
      <c r="R264" s="2"/>
      <c r="S264" s="2"/>
      <c r="T264" s="3"/>
      <c r="U264" s="3"/>
      <c r="V264" s="3"/>
      <c r="W264" s="3"/>
      <c r="X264" s="3"/>
      <c r="Y264" s="3"/>
      <c r="Z264" s="3"/>
    </row>
    <row r="265" spans="1:26" ht="22.5" customHeight="1" x14ac:dyDescent="0.85">
      <c r="A265" s="2"/>
      <c r="B265" s="2"/>
      <c r="C265" s="2"/>
      <c r="D265" s="2"/>
      <c r="E265" s="2"/>
      <c r="F265" s="2"/>
      <c r="G265" s="2"/>
      <c r="H265" s="2"/>
      <c r="I265" s="2"/>
      <c r="J265" s="2"/>
      <c r="K265" s="2"/>
      <c r="L265" s="2"/>
      <c r="M265" s="2"/>
      <c r="N265" s="2"/>
      <c r="O265" s="2"/>
      <c r="P265" s="2"/>
      <c r="Q265" s="2"/>
      <c r="R265" s="2"/>
      <c r="S265" s="2"/>
      <c r="T265" s="3"/>
      <c r="U265" s="3"/>
      <c r="V265" s="3"/>
      <c r="W265" s="3"/>
      <c r="X265" s="3"/>
      <c r="Y265" s="3"/>
      <c r="Z265" s="3"/>
    </row>
    <row r="266" spans="1:26" ht="22.5" customHeight="1" x14ac:dyDescent="0.85">
      <c r="A266" s="2"/>
      <c r="B266" s="2"/>
      <c r="C266" s="2"/>
      <c r="D266" s="2"/>
      <c r="E266" s="2"/>
      <c r="F266" s="2"/>
      <c r="G266" s="2"/>
      <c r="H266" s="2"/>
      <c r="I266" s="2"/>
      <c r="J266" s="2"/>
      <c r="K266" s="2"/>
      <c r="L266" s="2"/>
      <c r="M266" s="2"/>
      <c r="N266" s="2"/>
      <c r="O266" s="2"/>
      <c r="P266" s="2"/>
      <c r="Q266" s="2"/>
      <c r="R266" s="2"/>
      <c r="S266" s="2"/>
      <c r="T266" s="3"/>
      <c r="U266" s="3"/>
      <c r="V266" s="3"/>
      <c r="W266" s="3"/>
      <c r="X266" s="3"/>
      <c r="Y266" s="3"/>
      <c r="Z266" s="3"/>
    </row>
    <row r="267" spans="1:26" ht="22.5" customHeight="1" x14ac:dyDescent="0.85">
      <c r="A267" s="2"/>
      <c r="B267" s="2"/>
      <c r="C267" s="2"/>
      <c r="D267" s="2"/>
      <c r="E267" s="2"/>
      <c r="F267" s="2"/>
      <c r="G267" s="2"/>
      <c r="H267" s="2"/>
      <c r="I267" s="2"/>
      <c r="J267" s="2"/>
      <c r="K267" s="2"/>
      <c r="L267" s="2"/>
      <c r="M267" s="2"/>
      <c r="N267" s="2"/>
      <c r="O267" s="2"/>
      <c r="P267" s="2"/>
      <c r="Q267" s="2"/>
      <c r="R267" s="2"/>
      <c r="S267" s="2"/>
      <c r="T267" s="3"/>
      <c r="U267" s="3"/>
      <c r="V267" s="3"/>
      <c r="W267" s="3"/>
      <c r="X267" s="3"/>
      <c r="Y267" s="3"/>
      <c r="Z267" s="3"/>
    </row>
    <row r="268" spans="1:26" ht="22.5" customHeight="1" x14ac:dyDescent="0.85">
      <c r="A268" s="2"/>
      <c r="B268" s="2"/>
      <c r="C268" s="2"/>
      <c r="D268" s="2"/>
      <c r="E268" s="2"/>
      <c r="F268" s="2"/>
      <c r="G268" s="2"/>
      <c r="H268" s="2"/>
      <c r="I268" s="2"/>
      <c r="J268" s="2"/>
      <c r="K268" s="2"/>
      <c r="L268" s="2"/>
      <c r="M268" s="2"/>
      <c r="N268" s="2"/>
      <c r="O268" s="2"/>
      <c r="P268" s="2"/>
      <c r="Q268" s="2"/>
      <c r="R268" s="2"/>
      <c r="S268" s="2"/>
      <c r="T268" s="3"/>
      <c r="U268" s="3"/>
      <c r="V268" s="3"/>
      <c r="W268" s="3"/>
      <c r="X268" s="3"/>
      <c r="Y268" s="3"/>
      <c r="Z268" s="3"/>
    </row>
    <row r="269" spans="1:26" ht="22.5" customHeight="1" x14ac:dyDescent="0.85">
      <c r="A269" s="2"/>
      <c r="B269" s="2"/>
      <c r="C269" s="2"/>
      <c r="D269" s="2"/>
      <c r="E269" s="2"/>
      <c r="F269" s="2"/>
      <c r="G269" s="2"/>
      <c r="H269" s="2"/>
      <c r="I269" s="2"/>
      <c r="J269" s="2"/>
      <c r="K269" s="2"/>
      <c r="L269" s="2"/>
      <c r="M269" s="2"/>
      <c r="N269" s="2"/>
      <c r="O269" s="2"/>
      <c r="P269" s="2"/>
      <c r="Q269" s="2"/>
      <c r="R269" s="2"/>
      <c r="S269" s="2"/>
      <c r="T269" s="3"/>
      <c r="U269" s="3"/>
      <c r="V269" s="3"/>
      <c r="W269" s="3"/>
      <c r="X269" s="3"/>
      <c r="Y269" s="3"/>
      <c r="Z269" s="3"/>
    </row>
    <row r="270" spans="1:26" ht="22.5" customHeight="1" x14ac:dyDescent="0.85">
      <c r="A270" s="2"/>
      <c r="B270" s="2"/>
      <c r="C270" s="2"/>
      <c r="D270" s="2"/>
      <c r="E270" s="2"/>
      <c r="F270" s="2"/>
      <c r="G270" s="2"/>
      <c r="H270" s="2"/>
      <c r="I270" s="2"/>
      <c r="J270" s="2"/>
      <c r="K270" s="2"/>
      <c r="L270" s="2"/>
      <c r="M270" s="2"/>
      <c r="N270" s="2"/>
      <c r="O270" s="2"/>
      <c r="P270" s="2"/>
      <c r="Q270" s="2"/>
      <c r="R270" s="2"/>
      <c r="S270" s="2"/>
      <c r="T270" s="3"/>
      <c r="U270" s="3"/>
      <c r="V270" s="3"/>
      <c r="W270" s="3"/>
      <c r="X270" s="3"/>
      <c r="Y270" s="3"/>
      <c r="Z270" s="3"/>
    </row>
    <row r="271" spans="1:26" ht="22.5" customHeight="1" x14ac:dyDescent="0.85">
      <c r="A271" s="2"/>
      <c r="B271" s="2"/>
      <c r="C271" s="2"/>
      <c r="D271" s="2"/>
      <c r="E271" s="2"/>
      <c r="F271" s="2"/>
      <c r="G271" s="2"/>
      <c r="H271" s="2"/>
      <c r="I271" s="2"/>
      <c r="J271" s="2"/>
      <c r="K271" s="2"/>
      <c r="L271" s="2"/>
      <c r="M271" s="2"/>
      <c r="N271" s="2"/>
      <c r="O271" s="2"/>
      <c r="P271" s="2"/>
      <c r="Q271" s="2"/>
      <c r="R271" s="2"/>
      <c r="S271" s="2"/>
      <c r="T271" s="3"/>
      <c r="U271" s="3"/>
      <c r="V271" s="3"/>
      <c r="W271" s="3"/>
      <c r="X271" s="3"/>
      <c r="Y271" s="3"/>
      <c r="Z271" s="3"/>
    </row>
    <row r="272" spans="1:26" ht="22.5" customHeight="1" x14ac:dyDescent="0.85">
      <c r="A272" s="2"/>
      <c r="B272" s="2"/>
      <c r="C272" s="2"/>
      <c r="D272" s="2"/>
      <c r="E272" s="2"/>
      <c r="F272" s="2"/>
      <c r="G272" s="2"/>
      <c r="H272" s="2"/>
      <c r="I272" s="2"/>
      <c r="J272" s="2"/>
      <c r="K272" s="2"/>
      <c r="L272" s="2"/>
      <c r="M272" s="2"/>
      <c r="N272" s="2"/>
      <c r="O272" s="2"/>
      <c r="P272" s="2"/>
      <c r="Q272" s="2"/>
      <c r="R272" s="2"/>
      <c r="S272" s="2"/>
      <c r="T272" s="3"/>
      <c r="U272" s="3"/>
      <c r="V272" s="3"/>
      <c r="W272" s="3"/>
      <c r="X272" s="3"/>
      <c r="Y272" s="3"/>
      <c r="Z272" s="3"/>
    </row>
    <row r="273" spans="1:26" ht="22.5" customHeight="1" x14ac:dyDescent="0.85">
      <c r="A273" s="2"/>
      <c r="B273" s="2"/>
      <c r="C273" s="2"/>
      <c r="D273" s="2"/>
      <c r="E273" s="2"/>
      <c r="F273" s="2"/>
      <c r="G273" s="2"/>
      <c r="H273" s="2"/>
      <c r="I273" s="2"/>
      <c r="J273" s="2"/>
      <c r="K273" s="2"/>
      <c r="L273" s="2"/>
      <c r="M273" s="2"/>
      <c r="N273" s="2"/>
      <c r="O273" s="2"/>
      <c r="P273" s="2"/>
      <c r="Q273" s="2"/>
      <c r="R273" s="2"/>
      <c r="S273" s="2"/>
      <c r="T273" s="3"/>
      <c r="U273" s="3"/>
      <c r="V273" s="3"/>
      <c r="W273" s="3"/>
      <c r="X273" s="3"/>
      <c r="Y273" s="3"/>
      <c r="Z273" s="3"/>
    </row>
    <row r="274" spans="1:26" ht="22.5" customHeight="1" x14ac:dyDescent="0.85">
      <c r="A274" s="2"/>
      <c r="B274" s="2"/>
      <c r="C274" s="2"/>
      <c r="D274" s="2"/>
      <c r="E274" s="2"/>
      <c r="F274" s="2"/>
      <c r="G274" s="2"/>
      <c r="H274" s="2"/>
      <c r="I274" s="2"/>
      <c r="J274" s="2"/>
      <c r="K274" s="2"/>
      <c r="L274" s="2"/>
      <c r="M274" s="2"/>
      <c r="N274" s="2"/>
      <c r="O274" s="2"/>
      <c r="P274" s="2"/>
      <c r="Q274" s="2"/>
      <c r="R274" s="2"/>
      <c r="S274" s="2"/>
      <c r="T274" s="3"/>
      <c r="U274" s="3"/>
      <c r="V274" s="3"/>
      <c r="W274" s="3"/>
      <c r="X274" s="3"/>
      <c r="Y274" s="3"/>
      <c r="Z274" s="3"/>
    </row>
    <row r="275" spans="1:26" ht="22.5" customHeight="1" x14ac:dyDescent="0.85">
      <c r="A275" s="2"/>
      <c r="B275" s="2"/>
      <c r="C275" s="2"/>
      <c r="D275" s="2"/>
      <c r="E275" s="2"/>
      <c r="F275" s="2"/>
      <c r="G275" s="2"/>
      <c r="H275" s="2"/>
      <c r="I275" s="2"/>
      <c r="J275" s="2"/>
      <c r="K275" s="2"/>
      <c r="L275" s="2"/>
      <c r="M275" s="2"/>
      <c r="N275" s="2"/>
      <c r="O275" s="2"/>
      <c r="P275" s="2"/>
      <c r="Q275" s="2"/>
      <c r="R275" s="2"/>
      <c r="S275" s="2"/>
      <c r="T275" s="3"/>
      <c r="U275" s="3"/>
      <c r="V275" s="3"/>
      <c r="W275" s="3"/>
      <c r="X275" s="3"/>
      <c r="Y275" s="3"/>
      <c r="Z275" s="3"/>
    </row>
    <row r="276" spans="1:26" ht="22.5" customHeight="1" x14ac:dyDescent="0.85">
      <c r="A276" s="2"/>
      <c r="B276" s="2"/>
      <c r="C276" s="2"/>
      <c r="D276" s="2"/>
      <c r="E276" s="2"/>
      <c r="F276" s="2"/>
      <c r="G276" s="2"/>
      <c r="H276" s="2"/>
      <c r="I276" s="2"/>
      <c r="J276" s="2"/>
      <c r="K276" s="2"/>
      <c r="L276" s="2"/>
      <c r="M276" s="2"/>
      <c r="N276" s="2"/>
      <c r="O276" s="2"/>
      <c r="P276" s="2"/>
      <c r="Q276" s="2"/>
      <c r="R276" s="2"/>
      <c r="S276" s="2"/>
      <c r="T276" s="3"/>
      <c r="U276" s="3"/>
      <c r="V276" s="3"/>
      <c r="W276" s="3"/>
      <c r="X276" s="3"/>
      <c r="Y276" s="3"/>
      <c r="Z276" s="3"/>
    </row>
    <row r="277" spans="1:26" ht="22.5" customHeight="1" x14ac:dyDescent="0.85">
      <c r="A277" s="2"/>
      <c r="B277" s="2"/>
      <c r="C277" s="2"/>
      <c r="D277" s="2"/>
      <c r="E277" s="2"/>
      <c r="F277" s="2"/>
      <c r="G277" s="2"/>
      <c r="H277" s="2"/>
      <c r="I277" s="2"/>
      <c r="J277" s="2"/>
      <c r="K277" s="2"/>
      <c r="L277" s="2"/>
      <c r="M277" s="2"/>
      <c r="N277" s="2"/>
      <c r="O277" s="2"/>
      <c r="P277" s="2"/>
      <c r="Q277" s="2"/>
      <c r="R277" s="2"/>
      <c r="S277" s="2"/>
      <c r="T277" s="3"/>
      <c r="U277" s="3"/>
      <c r="V277" s="3"/>
      <c r="W277" s="3"/>
      <c r="X277" s="3"/>
      <c r="Y277" s="3"/>
      <c r="Z277" s="3"/>
    </row>
    <row r="278" spans="1:26" ht="22.5" customHeight="1" x14ac:dyDescent="0.85">
      <c r="A278" s="2"/>
      <c r="B278" s="2"/>
      <c r="C278" s="2"/>
      <c r="D278" s="2"/>
      <c r="E278" s="2"/>
      <c r="F278" s="2"/>
      <c r="G278" s="2"/>
      <c r="H278" s="2"/>
      <c r="I278" s="2"/>
      <c r="J278" s="2"/>
      <c r="K278" s="2"/>
      <c r="L278" s="2"/>
      <c r="M278" s="2"/>
      <c r="N278" s="2"/>
      <c r="O278" s="2"/>
      <c r="P278" s="2"/>
      <c r="Q278" s="2"/>
      <c r="R278" s="2"/>
      <c r="S278" s="2"/>
      <c r="T278" s="3"/>
      <c r="U278" s="3"/>
      <c r="V278" s="3"/>
      <c r="W278" s="3"/>
      <c r="X278" s="3"/>
      <c r="Y278" s="3"/>
      <c r="Z278" s="3"/>
    </row>
    <row r="279" spans="1:26" ht="22.5" customHeight="1" x14ac:dyDescent="0.85">
      <c r="A279" s="2"/>
      <c r="B279" s="2"/>
      <c r="C279" s="2"/>
      <c r="D279" s="2"/>
      <c r="E279" s="2"/>
      <c r="F279" s="2"/>
      <c r="G279" s="2"/>
      <c r="H279" s="2"/>
      <c r="I279" s="2"/>
      <c r="J279" s="2"/>
      <c r="K279" s="2"/>
      <c r="L279" s="2"/>
      <c r="M279" s="2"/>
      <c r="N279" s="2"/>
      <c r="O279" s="2"/>
      <c r="P279" s="2"/>
      <c r="Q279" s="2"/>
      <c r="R279" s="2"/>
      <c r="S279" s="2"/>
      <c r="T279" s="3"/>
      <c r="U279" s="3"/>
      <c r="V279" s="3"/>
      <c r="W279" s="3"/>
      <c r="X279" s="3"/>
      <c r="Y279" s="3"/>
      <c r="Z279" s="3"/>
    </row>
    <row r="280" spans="1:26" ht="22.5" customHeight="1" x14ac:dyDescent="0.85">
      <c r="A280" s="2"/>
      <c r="B280" s="2"/>
      <c r="C280" s="2"/>
      <c r="D280" s="2"/>
      <c r="E280" s="2"/>
      <c r="F280" s="2"/>
      <c r="G280" s="2"/>
      <c r="H280" s="2"/>
      <c r="I280" s="2"/>
      <c r="J280" s="2"/>
      <c r="K280" s="2"/>
      <c r="L280" s="2"/>
      <c r="M280" s="2"/>
      <c r="N280" s="2"/>
      <c r="O280" s="2"/>
      <c r="P280" s="2"/>
      <c r="Q280" s="2"/>
      <c r="R280" s="2"/>
      <c r="S280" s="2"/>
      <c r="T280" s="3"/>
      <c r="U280" s="3"/>
      <c r="V280" s="3"/>
      <c r="W280" s="3"/>
      <c r="X280" s="3"/>
      <c r="Y280" s="3"/>
      <c r="Z280" s="3"/>
    </row>
    <row r="281" spans="1:26" ht="22.5" customHeight="1" x14ac:dyDescent="0.85">
      <c r="A281" s="2"/>
      <c r="B281" s="2"/>
      <c r="C281" s="2"/>
      <c r="D281" s="2"/>
      <c r="E281" s="2"/>
      <c r="F281" s="2"/>
      <c r="G281" s="2"/>
      <c r="H281" s="2"/>
      <c r="I281" s="2"/>
      <c r="J281" s="2"/>
      <c r="K281" s="2"/>
      <c r="L281" s="2"/>
      <c r="M281" s="2"/>
      <c r="N281" s="2"/>
      <c r="O281" s="2"/>
      <c r="P281" s="2"/>
      <c r="Q281" s="2"/>
      <c r="R281" s="2"/>
      <c r="S281" s="2"/>
      <c r="T281" s="3"/>
      <c r="U281" s="3"/>
      <c r="V281" s="3"/>
      <c r="W281" s="3"/>
      <c r="X281" s="3"/>
      <c r="Y281" s="3"/>
      <c r="Z281" s="3"/>
    </row>
    <row r="282" spans="1:26" ht="22.5" customHeight="1" x14ac:dyDescent="0.85">
      <c r="A282" s="2"/>
      <c r="B282" s="2"/>
      <c r="C282" s="2"/>
      <c r="D282" s="2"/>
      <c r="E282" s="2"/>
      <c r="F282" s="2"/>
      <c r="G282" s="2"/>
      <c r="H282" s="2"/>
      <c r="I282" s="2"/>
      <c r="J282" s="2"/>
      <c r="K282" s="2"/>
      <c r="L282" s="2"/>
      <c r="M282" s="2"/>
      <c r="N282" s="2"/>
      <c r="O282" s="2"/>
      <c r="P282" s="2"/>
      <c r="Q282" s="2"/>
      <c r="R282" s="2"/>
      <c r="S282" s="2"/>
      <c r="T282" s="3"/>
      <c r="U282" s="3"/>
      <c r="V282" s="3"/>
      <c r="W282" s="3"/>
      <c r="X282" s="3"/>
      <c r="Y282" s="3"/>
      <c r="Z282" s="3"/>
    </row>
    <row r="283" spans="1:26" ht="22.5" customHeight="1" x14ac:dyDescent="0.85">
      <c r="A283" s="2"/>
      <c r="B283" s="2"/>
      <c r="C283" s="2"/>
      <c r="D283" s="2"/>
      <c r="E283" s="2"/>
      <c r="F283" s="2"/>
      <c r="G283" s="2"/>
      <c r="H283" s="2"/>
      <c r="I283" s="2"/>
      <c r="J283" s="2"/>
      <c r="K283" s="2"/>
      <c r="L283" s="2"/>
      <c r="M283" s="2"/>
      <c r="N283" s="2"/>
      <c r="O283" s="2"/>
      <c r="P283" s="2"/>
      <c r="Q283" s="2"/>
      <c r="R283" s="2"/>
      <c r="S283" s="2"/>
      <c r="T283" s="3"/>
      <c r="U283" s="3"/>
      <c r="V283" s="3"/>
      <c r="W283" s="3"/>
      <c r="X283" s="3"/>
      <c r="Y283" s="3"/>
      <c r="Z283" s="3"/>
    </row>
    <row r="284" spans="1:26" ht="22.5" customHeight="1" x14ac:dyDescent="0.85">
      <c r="A284" s="2"/>
      <c r="B284" s="2"/>
      <c r="C284" s="2"/>
      <c r="D284" s="2"/>
      <c r="E284" s="2"/>
      <c r="F284" s="2"/>
      <c r="G284" s="2"/>
      <c r="H284" s="2"/>
      <c r="I284" s="2"/>
      <c r="J284" s="2"/>
      <c r="K284" s="2"/>
      <c r="L284" s="2"/>
      <c r="M284" s="2"/>
      <c r="N284" s="2"/>
      <c r="O284" s="2"/>
      <c r="P284" s="2"/>
      <c r="Q284" s="2"/>
      <c r="R284" s="2"/>
      <c r="S284" s="2"/>
      <c r="T284" s="3"/>
      <c r="U284" s="3"/>
      <c r="V284" s="3"/>
      <c r="W284" s="3"/>
      <c r="X284" s="3"/>
      <c r="Y284" s="3"/>
      <c r="Z284" s="3"/>
    </row>
    <row r="285" spans="1:26" ht="22.5" customHeight="1" x14ac:dyDescent="0.85">
      <c r="A285" s="2"/>
      <c r="B285" s="2"/>
      <c r="C285" s="2"/>
      <c r="D285" s="2"/>
      <c r="E285" s="2"/>
      <c r="F285" s="2"/>
      <c r="G285" s="2"/>
      <c r="H285" s="2"/>
      <c r="I285" s="2"/>
      <c r="J285" s="2"/>
      <c r="K285" s="2"/>
      <c r="L285" s="2"/>
      <c r="M285" s="2"/>
      <c r="N285" s="2"/>
      <c r="O285" s="2"/>
      <c r="P285" s="2"/>
      <c r="Q285" s="2"/>
      <c r="R285" s="2"/>
      <c r="S285" s="2"/>
      <c r="T285" s="3"/>
      <c r="U285" s="3"/>
      <c r="V285" s="3"/>
      <c r="W285" s="3"/>
      <c r="X285" s="3"/>
      <c r="Y285" s="3"/>
      <c r="Z285" s="3"/>
    </row>
    <row r="286" spans="1:26" ht="22.5" customHeight="1" x14ac:dyDescent="0.85">
      <c r="A286" s="2"/>
      <c r="B286" s="2"/>
      <c r="C286" s="2"/>
      <c r="D286" s="2"/>
      <c r="E286" s="2"/>
      <c r="F286" s="2"/>
      <c r="G286" s="2"/>
      <c r="H286" s="2"/>
      <c r="I286" s="2"/>
      <c r="J286" s="2"/>
      <c r="K286" s="2"/>
      <c r="L286" s="2"/>
      <c r="M286" s="2"/>
      <c r="N286" s="2"/>
      <c r="O286" s="2"/>
      <c r="P286" s="2"/>
      <c r="Q286" s="2"/>
      <c r="R286" s="2"/>
      <c r="S286" s="2"/>
      <c r="T286" s="3"/>
      <c r="U286" s="3"/>
      <c r="V286" s="3"/>
      <c r="W286" s="3"/>
      <c r="X286" s="3"/>
      <c r="Y286" s="3"/>
      <c r="Z286" s="3"/>
    </row>
    <row r="287" spans="1:26" ht="22.5" customHeight="1" x14ac:dyDescent="0.85">
      <c r="A287" s="2"/>
      <c r="B287" s="2"/>
      <c r="C287" s="2"/>
      <c r="D287" s="2"/>
      <c r="E287" s="2"/>
      <c r="F287" s="2"/>
      <c r="G287" s="2"/>
      <c r="H287" s="2"/>
      <c r="I287" s="2"/>
      <c r="J287" s="2"/>
      <c r="K287" s="2"/>
      <c r="L287" s="2"/>
      <c r="M287" s="2"/>
      <c r="N287" s="2"/>
      <c r="O287" s="2"/>
      <c r="P287" s="2"/>
      <c r="Q287" s="2"/>
      <c r="R287" s="2"/>
      <c r="S287" s="2"/>
      <c r="T287" s="3"/>
      <c r="U287" s="3"/>
      <c r="V287" s="3"/>
      <c r="W287" s="3"/>
      <c r="X287" s="3"/>
      <c r="Y287" s="3"/>
      <c r="Z287" s="3"/>
    </row>
    <row r="288" spans="1:26" ht="22.5" customHeight="1" x14ac:dyDescent="0.85">
      <c r="A288" s="2"/>
      <c r="B288" s="2"/>
      <c r="C288" s="2"/>
      <c r="D288" s="2"/>
      <c r="E288" s="2"/>
      <c r="F288" s="2"/>
      <c r="G288" s="2"/>
      <c r="H288" s="2"/>
      <c r="I288" s="2"/>
      <c r="J288" s="2"/>
      <c r="K288" s="2"/>
      <c r="L288" s="2"/>
      <c r="M288" s="2"/>
      <c r="N288" s="2"/>
      <c r="O288" s="2"/>
      <c r="P288" s="2"/>
      <c r="Q288" s="2"/>
      <c r="R288" s="2"/>
      <c r="S288" s="2"/>
      <c r="T288" s="3"/>
      <c r="U288" s="3"/>
      <c r="V288" s="3"/>
      <c r="W288" s="3"/>
      <c r="X288" s="3"/>
      <c r="Y288" s="3"/>
      <c r="Z288" s="3"/>
    </row>
    <row r="289" spans="1:26" ht="22.5" customHeight="1" x14ac:dyDescent="0.85">
      <c r="A289" s="2"/>
      <c r="B289" s="2"/>
      <c r="C289" s="2"/>
      <c r="D289" s="2"/>
      <c r="E289" s="2"/>
      <c r="F289" s="2"/>
      <c r="G289" s="2"/>
      <c r="H289" s="2"/>
      <c r="I289" s="2"/>
      <c r="J289" s="2"/>
      <c r="K289" s="2"/>
      <c r="L289" s="2"/>
      <c r="M289" s="2"/>
      <c r="N289" s="2"/>
      <c r="O289" s="2"/>
      <c r="P289" s="2"/>
      <c r="Q289" s="2"/>
      <c r="R289" s="2"/>
      <c r="S289" s="2"/>
      <c r="T289" s="3"/>
      <c r="U289" s="3"/>
      <c r="V289" s="3"/>
      <c r="W289" s="3"/>
      <c r="X289" s="3"/>
      <c r="Y289" s="3"/>
      <c r="Z289" s="3"/>
    </row>
    <row r="290" spans="1:26" ht="22.5" customHeight="1" x14ac:dyDescent="0.85">
      <c r="A290" s="2"/>
      <c r="B290" s="2"/>
      <c r="C290" s="2"/>
      <c r="D290" s="2"/>
      <c r="E290" s="2"/>
      <c r="F290" s="2"/>
      <c r="G290" s="2"/>
      <c r="H290" s="2"/>
      <c r="I290" s="2"/>
      <c r="J290" s="2"/>
      <c r="K290" s="2"/>
      <c r="L290" s="2"/>
      <c r="M290" s="2"/>
      <c r="N290" s="2"/>
      <c r="O290" s="2"/>
      <c r="P290" s="2"/>
      <c r="Q290" s="2"/>
      <c r="R290" s="2"/>
      <c r="S290" s="2"/>
      <c r="T290" s="3"/>
      <c r="U290" s="3"/>
      <c r="V290" s="3"/>
      <c r="W290" s="3"/>
      <c r="X290" s="3"/>
      <c r="Y290" s="3"/>
      <c r="Z290" s="3"/>
    </row>
    <row r="291" spans="1:26" ht="22.5" customHeight="1" x14ac:dyDescent="0.85">
      <c r="A291" s="2"/>
      <c r="B291" s="2"/>
      <c r="C291" s="2"/>
      <c r="D291" s="2"/>
      <c r="E291" s="2"/>
      <c r="F291" s="2"/>
      <c r="G291" s="2"/>
      <c r="H291" s="2"/>
      <c r="I291" s="2"/>
      <c r="J291" s="2"/>
      <c r="K291" s="2"/>
      <c r="L291" s="2"/>
      <c r="M291" s="2"/>
      <c r="N291" s="2"/>
      <c r="O291" s="2"/>
      <c r="P291" s="2"/>
      <c r="Q291" s="2"/>
      <c r="R291" s="2"/>
      <c r="S291" s="2"/>
      <c r="T291" s="3"/>
      <c r="U291" s="3"/>
      <c r="V291" s="3"/>
      <c r="W291" s="3"/>
      <c r="X291" s="3"/>
      <c r="Y291" s="3"/>
      <c r="Z291" s="3"/>
    </row>
    <row r="292" spans="1:26" ht="22.5" customHeight="1" x14ac:dyDescent="0.85">
      <c r="A292" s="2"/>
      <c r="B292" s="2"/>
      <c r="C292" s="2"/>
      <c r="D292" s="2"/>
      <c r="E292" s="2"/>
      <c r="F292" s="2"/>
      <c r="G292" s="2"/>
      <c r="H292" s="2"/>
      <c r="I292" s="2"/>
      <c r="J292" s="2"/>
      <c r="K292" s="2"/>
      <c r="L292" s="2"/>
      <c r="M292" s="2"/>
      <c r="N292" s="2"/>
      <c r="O292" s="2"/>
      <c r="P292" s="2"/>
      <c r="Q292" s="2"/>
      <c r="R292" s="2"/>
      <c r="S292" s="2"/>
      <c r="T292" s="3"/>
      <c r="U292" s="3"/>
      <c r="V292" s="3"/>
      <c r="W292" s="3"/>
      <c r="X292" s="3"/>
      <c r="Y292" s="3"/>
      <c r="Z292" s="3"/>
    </row>
    <row r="293" spans="1:26" ht="22.5" customHeight="1" x14ac:dyDescent="0.85">
      <c r="A293" s="2"/>
      <c r="B293" s="2"/>
      <c r="C293" s="2"/>
      <c r="D293" s="2"/>
      <c r="E293" s="2"/>
      <c r="F293" s="2"/>
      <c r="G293" s="2"/>
      <c r="H293" s="2"/>
      <c r="I293" s="2"/>
      <c r="J293" s="2"/>
      <c r="K293" s="2"/>
      <c r="L293" s="2"/>
      <c r="M293" s="2"/>
      <c r="N293" s="2"/>
      <c r="O293" s="2"/>
      <c r="P293" s="2"/>
      <c r="Q293" s="2"/>
      <c r="R293" s="2"/>
      <c r="S293" s="2"/>
      <c r="T293" s="3"/>
      <c r="U293" s="3"/>
      <c r="V293" s="3"/>
      <c r="W293" s="3"/>
      <c r="X293" s="3"/>
      <c r="Y293" s="3"/>
      <c r="Z293" s="3"/>
    </row>
    <row r="294" spans="1:26" ht="22.5" customHeight="1" x14ac:dyDescent="0.85">
      <c r="A294" s="2"/>
      <c r="B294" s="2"/>
      <c r="C294" s="2"/>
      <c r="D294" s="2"/>
      <c r="E294" s="2"/>
      <c r="F294" s="2"/>
      <c r="G294" s="2"/>
      <c r="H294" s="2"/>
      <c r="I294" s="2"/>
      <c r="J294" s="2"/>
      <c r="K294" s="2"/>
      <c r="L294" s="2"/>
      <c r="M294" s="2"/>
      <c r="N294" s="2"/>
      <c r="O294" s="2"/>
      <c r="P294" s="2"/>
      <c r="Q294" s="2"/>
      <c r="R294" s="2"/>
      <c r="S294" s="2"/>
      <c r="T294" s="3"/>
      <c r="U294" s="3"/>
      <c r="V294" s="3"/>
      <c r="W294" s="3"/>
      <c r="X294" s="3"/>
      <c r="Y294" s="3"/>
      <c r="Z294" s="3"/>
    </row>
    <row r="295" spans="1:26" ht="22.5" customHeight="1" x14ac:dyDescent="0.85">
      <c r="A295" s="2"/>
      <c r="B295" s="2"/>
      <c r="C295" s="2"/>
      <c r="D295" s="2"/>
      <c r="E295" s="2"/>
      <c r="F295" s="2"/>
      <c r="G295" s="2"/>
      <c r="H295" s="2"/>
      <c r="I295" s="2"/>
      <c r="J295" s="2"/>
      <c r="K295" s="2"/>
      <c r="L295" s="2"/>
      <c r="M295" s="2"/>
      <c r="N295" s="2"/>
      <c r="O295" s="2"/>
      <c r="P295" s="2"/>
      <c r="Q295" s="2"/>
      <c r="R295" s="2"/>
      <c r="S295" s="2"/>
      <c r="T295" s="3"/>
      <c r="U295" s="3"/>
      <c r="V295" s="3"/>
      <c r="W295" s="3"/>
      <c r="X295" s="3"/>
      <c r="Y295" s="3"/>
      <c r="Z295" s="3"/>
    </row>
    <row r="296" spans="1:26" ht="22.5" customHeight="1" x14ac:dyDescent="0.85">
      <c r="A296" s="2"/>
      <c r="B296" s="2"/>
      <c r="C296" s="2"/>
      <c r="D296" s="2"/>
      <c r="E296" s="2"/>
      <c r="F296" s="2"/>
      <c r="G296" s="2"/>
      <c r="H296" s="2"/>
      <c r="I296" s="2"/>
      <c r="J296" s="2"/>
      <c r="K296" s="2"/>
      <c r="L296" s="2"/>
      <c r="M296" s="2"/>
      <c r="N296" s="2"/>
      <c r="O296" s="2"/>
      <c r="P296" s="2"/>
      <c r="Q296" s="2"/>
      <c r="R296" s="2"/>
      <c r="S296" s="2"/>
      <c r="T296" s="3"/>
      <c r="U296" s="3"/>
      <c r="V296" s="3"/>
      <c r="W296" s="3"/>
      <c r="X296" s="3"/>
      <c r="Y296" s="3"/>
      <c r="Z296" s="3"/>
    </row>
    <row r="297" spans="1:26" ht="22.5" customHeight="1" x14ac:dyDescent="0.85">
      <c r="A297" s="2"/>
      <c r="B297" s="2"/>
      <c r="C297" s="2"/>
      <c r="D297" s="2"/>
      <c r="E297" s="2"/>
      <c r="F297" s="2"/>
      <c r="G297" s="2"/>
      <c r="H297" s="2"/>
      <c r="I297" s="2"/>
      <c r="J297" s="2"/>
      <c r="K297" s="2"/>
      <c r="L297" s="2"/>
      <c r="M297" s="2"/>
      <c r="N297" s="2"/>
      <c r="O297" s="2"/>
      <c r="P297" s="2"/>
      <c r="Q297" s="2"/>
      <c r="R297" s="2"/>
      <c r="S297" s="2"/>
      <c r="T297" s="3"/>
      <c r="U297" s="3"/>
      <c r="V297" s="3"/>
      <c r="W297" s="3"/>
      <c r="X297" s="3"/>
      <c r="Y297" s="3"/>
      <c r="Z297" s="3"/>
    </row>
    <row r="298" spans="1:26" ht="22.5" customHeight="1" x14ac:dyDescent="0.85">
      <c r="A298" s="2"/>
      <c r="B298" s="2"/>
      <c r="C298" s="2"/>
      <c r="D298" s="2"/>
      <c r="E298" s="2"/>
      <c r="F298" s="2"/>
      <c r="G298" s="2"/>
      <c r="H298" s="2"/>
      <c r="I298" s="2"/>
      <c r="J298" s="2"/>
      <c r="K298" s="2"/>
      <c r="L298" s="2"/>
      <c r="M298" s="2"/>
      <c r="N298" s="2"/>
      <c r="O298" s="2"/>
      <c r="P298" s="2"/>
      <c r="Q298" s="2"/>
      <c r="R298" s="2"/>
      <c r="S298" s="2"/>
      <c r="T298" s="3"/>
      <c r="U298" s="3"/>
      <c r="V298" s="3"/>
      <c r="W298" s="3"/>
      <c r="X298" s="3"/>
      <c r="Y298" s="3"/>
      <c r="Z298" s="3"/>
    </row>
    <row r="299" spans="1:26" ht="22.5" customHeight="1" x14ac:dyDescent="0.85">
      <c r="A299" s="2"/>
      <c r="B299" s="2"/>
      <c r="C299" s="2"/>
      <c r="D299" s="2"/>
      <c r="E299" s="2"/>
      <c r="F299" s="2"/>
      <c r="G299" s="2"/>
      <c r="H299" s="2"/>
      <c r="I299" s="2"/>
      <c r="J299" s="2"/>
      <c r="K299" s="2"/>
      <c r="L299" s="2"/>
      <c r="M299" s="2"/>
      <c r="N299" s="2"/>
      <c r="O299" s="2"/>
      <c r="P299" s="2"/>
      <c r="Q299" s="2"/>
      <c r="R299" s="2"/>
      <c r="S299" s="2"/>
      <c r="T299" s="3"/>
      <c r="U299" s="3"/>
      <c r="V299" s="3"/>
      <c r="W299" s="3"/>
      <c r="X299" s="3"/>
      <c r="Y299" s="3"/>
      <c r="Z299" s="3"/>
    </row>
    <row r="300" spans="1:26" ht="22.5" customHeight="1" x14ac:dyDescent="0.85">
      <c r="A300" s="2"/>
      <c r="B300" s="2"/>
      <c r="C300" s="2"/>
      <c r="D300" s="2"/>
      <c r="E300" s="2"/>
      <c r="F300" s="2"/>
      <c r="G300" s="2"/>
      <c r="H300" s="2"/>
      <c r="I300" s="2"/>
      <c r="J300" s="2"/>
      <c r="K300" s="2"/>
      <c r="L300" s="2"/>
      <c r="M300" s="2"/>
      <c r="N300" s="2"/>
      <c r="O300" s="2"/>
      <c r="P300" s="2"/>
      <c r="Q300" s="2"/>
      <c r="R300" s="2"/>
      <c r="S300" s="2"/>
      <c r="T300" s="3"/>
      <c r="U300" s="3"/>
      <c r="V300" s="3"/>
      <c r="W300" s="3"/>
      <c r="X300" s="3"/>
      <c r="Y300" s="3"/>
      <c r="Z300" s="3"/>
    </row>
    <row r="301" spans="1:26" ht="22.5" customHeight="1" x14ac:dyDescent="0.85">
      <c r="A301" s="2"/>
      <c r="B301" s="2"/>
      <c r="C301" s="2"/>
      <c r="D301" s="2"/>
      <c r="E301" s="2"/>
      <c r="F301" s="2"/>
      <c r="G301" s="2"/>
      <c r="H301" s="2"/>
      <c r="I301" s="2"/>
      <c r="J301" s="2"/>
      <c r="K301" s="2"/>
      <c r="L301" s="2"/>
      <c r="M301" s="2"/>
      <c r="N301" s="2"/>
      <c r="O301" s="2"/>
      <c r="P301" s="2"/>
      <c r="Q301" s="2"/>
      <c r="R301" s="2"/>
      <c r="S301" s="2"/>
      <c r="T301" s="3"/>
      <c r="U301" s="3"/>
      <c r="V301" s="3"/>
      <c r="W301" s="3"/>
      <c r="X301" s="3"/>
      <c r="Y301" s="3"/>
      <c r="Z301" s="3"/>
    </row>
    <row r="302" spans="1:26" ht="22.5" customHeight="1" x14ac:dyDescent="0.85">
      <c r="A302" s="2"/>
      <c r="B302" s="2"/>
      <c r="C302" s="2"/>
      <c r="D302" s="2"/>
      <c r="E302" s="2"/>
      <c r="F302" s="2"/>
      <c r="G302" s="2"/>
      <c r="H302" s="2"/>
      <c r="I302" s="2"/>
      <c r="J302" s="2"/>
      <c r="K302" s="2"/>
      <c r="L302" s="2"/>
      <c r="M302" s="2"/>
      <c r="N302" s="2"/>
      <c r="O302" s="2"/>
      <c r="P302" s="2"/>
      <c r="Q302" s="2"/>
      <c r="R302" s="2"/>
      <c r="S302" s="2"/>
      <c r="T302" s="3"/>
      <c r="U302" s="3"/>
      <c r="V302" s="3"/>
      <c r="W302" s="3"/>
      <c r="X302" s="3"/>
      <c r="Y302" s="3"/>
      <c r="Z302" s="3"/>
    </row>
    <row r="303" spans="1:26" ht="22.5" customHeight="1" x14ac:dyDescent="0.85">
      <c r="A303" s="2"/>
      <c r="B303" s="2"/>
      <c r="C303" s="2"/>
      <c r="D303" s="2"/>
      <c r="E303" s="2"/>
      <c r="F303" s="2"/>
      <c r="G303" s="2"/>
      <c r="H303" s="2"/>
      <c r="I303" s="2"/>
      <c r="J303" s="2"/>
      <c r="K303" s="2"/>
      <c r="L303" s="2"/>
      <c r="M303" s="2"/>
      <c r="N303" s="2"/>
      <c r="O303" s="2"/>
      <c r="P303" s="2"/>
      <c r="Q303" s="2"/>
      <c r="R303" s="2"/>
      <c r="S303" s="2"/>
      <c r="T303" s="3"/>
      <c r="U303" s="3"/>
      <c r="V303" s="3"/>
      <c r="W303" s="3"/>
      <c r="X303" s="3"/>
      <c r="Y303" s="3"/>
      <c r="Z303" s="3"/>
    </row>
    <row r="304" spans="1:26" ht="22.5" customHeight="1" x14ac:dyDescent="0.85">
      <c r="A304" s="2"/>
      <c r="B304" s="2"/>
      <c r="C304" s="2"/>
      <c r="D304" s="2"/>
      <c r="E304" s="2"/>
      <c r="F304" s="2"/>
      <c r="G304" s="2"/>
      <c r="H304" s="2"/>
      <c r="I304" s="2"/>
      <c r="J304" s="2"/>
      <c r="K304" s="2"/>
      <c r="L304" s="2"/>
      <c r="M304" s="2"/>
      <c r="N304" s="2"/>
      <c r="O304" s="2"/>
      <c r="P304" s="2"/>
      <c r="Q304" s="2"/>
      <c r="R304" s="2"/>
      <c r="S304" s="2"/>
      <c r="T304" s="3"/>
      <c r="U304" s="3"/>
      <c r="V304" s="3"/>
      <c r="W304" s="3"/>
      <c r="X304" s="3"/>
      <c r="Y304" s="3"/>
      <c r="Z304" s="3"/>
    </row>
    <row r="305" spans="1:26" ht="22.5" customHeight="1" x14ac:dyDescent="0.85">
      <c r="A305" s="2"/>
      <c r="B305" s="2"/>
      <c r="C305" s="2"/>
      <c r="D305" s="2"/>
      <c r="E305" s="2"/>
      <c r="F305" s="2"/>
      <c r="G305" s="2"/>
      <c r="H305" s="2"/>
      <c r="I305" s="2"/>
      <c r="J305" s="2"/>
      <c r="K305" s="2"/>
      <c r="L305" s="2"/>
      <c r="M305" s="2"/>
      <c r="N305" s="2"/>
      <c r="O305" s="2"/>
      <c r="P305" s="2"/>
      <c r="Q305" s="2"/>
      <c r="R305" s="2"/>
      <c r="S305" s="2"/>
      <c r="T305" s="3"/>
      <c r="U305" s="3"/>
      <c r="V305" s="3"/>
      <c r="W305" s="3"/>
      <c r="X305" s="3"/>
      <c r="Y305" s="3"/>
      <c r="Z305" s="3"/>
    </row>
    <row r="306" spans="1:26" ht="22.5" customHeight="1" x14ac:dyDescent="0.85">
      <c r="A306" s="2"/>
      <c r="B306" s="2"/>
      <c r="C306" s="2"/>
      <c r="D306" s="2"/>
      <c r="E306" s="2"/>
      <c r="F306" s="2"/>
      <c r="G306" s="2"/>
      <c r="H306" s="2"/>
      <c r="I306" s="2"/>
      <c r="J306" s="2"/>
      <c r="K306" s="2"/>
      <c r="L306" s="2"/>
      <c r="M306" s="2"/>
      <c r="N306" s="2"/>
      <c r="O306" s="2"/>
      <c r="P306" s="2"/>
      <c r="Q306" s="2"/>
      <c r="R306" s="2"/>
      <c r="S306" s="2"/>
      <c r="T306" s="3"/>
      <c r="U306" s="3"/>
      <c r="V306" s="3"/>
      <c r="W306" s="3"/>
      <c r="X306" s="3"/>
      <c r="Y306" s="3"/>
      <c r="Z306" s="3"/>
    </row>
    <row r="307" spans="1:26" ht="22.5" customHeight="1" x14ac:dyDescent="0.85">
      <c r="A307" s="2"/>
      <c r="B307" s="2"/>
      <c r="C307" s="2"/>
      <c r="D307" s="2"/>
      <c r="E307" s="2"/>
      <c r="F307" s="2"/>
      <c r="G307" s="2"/>
      <c r="H307" s="2"/>
      <c r="I307" s="2"/>
      <c r="J307" s="2"/>
      <c r="K307" s="2"/>
      <c r="L307" s="2"/>
      <c r="M307" s="2"/>
      <c r="N307" s="2"/>
      <c r="O307" s="2"/>
      <c r="P307" s="2"/>
      <c r="Q307" s="2"/>
      <c r="R307" s="2"/>
      <c r="S307" s="2"/>
      <c r="T307" s="3"/>
      <c r="U307" s="3"/>
      <c r="V307" s="3"/>
      <c r="W307" s="3"/>
      <c r="X307" s="3"/>
      <c r="Y307" s="3"/>
      <c r="Z307" s="3"/>
    </row>
    <row r="308" spans="1:26" ht="22.5" customHeight="1" x14ac:dyDescent="0.85">
      <c r="A308" s="2"/>
      <c r="B308" s="2"/>
      <c r="C308" s="2"/>
      <c r="D308" s="2"/>
      <c r="E308" s="2"/>
      <c r="F308" s="2"/>
      <c r="G308" s="2"/>
      <c r="H308" s="2"/>
      <c r="I308" s="2"/>
      <c r="J308" s="2"/>
      <c r="K308" s="2"/>
      <c r="L308" s="2"/>
      <c r="M308" s="2"/>
      <c r="N308" s="2"/>
      <c r="O308" s="2"/>
      <c r="P308" s="2"/>
      <c r="Q308" s="2"/>
      <c r="R308" s="2"/>
      <c r="S308" s="2"/>
      <c r="T308" s="3"/>
      <c r="U308" s="3"/>
      <c r="V308" s="3"/>
      <c r="W308" s="3"/>
      <c r="X308" s="3"/>
      <c r="Y308" s="3"/>
      <c r="Z308" s="3"/>
    </row>
    <row r="309" spans="1:26" ht="22.5" customHeight="1" x14ac:dyDescent="0.85">
      <c r="A309" s="2"/>
      <c r="B309" s="2"/>
      <c r="C309" s="2"/>
      <c r="D309" s="2"/>
      <c r="E309" s="2"/>
      <c r="F309" s="2"/>
      <c r="G309" s="2"/>
      <c r="H309" s="2"/>
      <c r="I309" s="2"/>
      <c r="J309" s="2"/>
      <c r="K309" s="2"/>
      <c r="L309" s="2"/>
      <c r="M309" s="2"/>
      <c r="N309" s="2"/>
      <c r="O309" s="2"/>
      <c r="P309" s="2"/>
      <c r="Q309" s="2"/>
      <c r="R309" s="2"/>
      <c r="S309" s="2"/>
      <c r="T309" s="3"/>
      <c r="U309" s="3"/>
      <c r="V309" s="3"/>
      <c r="W309" s="3"/>
      <c r="X309" s="3"/>
      <c r="Y309" s="3"/>
      <c r="Z309" s="3"/>
    </row>
    <row r="310" spans="1:26" ht="22.5" customHeight="1" x14ac:dyDescent="0.85">
      <c r="A310" s="2"/>
      <c r="B310" s="2"/>
      <c r="C310" s="2"/>
      <c r="D310" s="2"/>
      <c r="E310" s="2"/>
      <c r="F310" s="2"/>
      <c r="G310" s="2"/>
      <c r="H310" s="2"/>
      <c r="I310" s="2"/>
      <c r="J310" s="2"/>
      <c r="K310" s="2"/>
      <c r="L310" s="2"/>
      <c r="M310" s="2"/>
      <c r="N310" s="2"/>
      <c r="O310" s="2"/>
      <c r="P310" s="2"/>
      <c r="Q310" s="2"/>
      <c r="R310" s="2"/>
      <c r="S310" s="2"/>
      <c r="T310" s="3"/>
      <c r="U310" s="3"/>
      <c r="V310" s="3"/>
      <c r="W310" s="3"/>
      <c r="X310" s="3"/>
      <c r="Y310" s="3"/>
      <c r="Z310" s="3"/>
    </row>
    <row r="311" spans="1:26" ht="22.5" customHeight="1" x14ac:dyDescent="0.85">
      <c r="A311" s="2"/>
      <c r="B311" s="2"/>
      <c r="C311" s="2"/>
      <c r="D311" s="2"/>
      <c r="E311" s="2"/>
      <c r="F311" s="2"/>
      <c r="G311" s="2"/>
      <c r="H311" s="2"/>
      <c r="I311" s="2"/>
      <c r="J311" s="2"/>
      <c r="K311" s="2"/>
      <c r="L311" s="2"/>
      <c r="M311" s="2"/>
      <c r="N311" s="2"/>
      <c r="O311" s="2"/>
      <c r="P311" s="2"/>
      <c r="Q311" s="2"/>
      <c r="R311" s="2"/>
      <c r="S311" s="2"/>
      <c r="T311" s="3"/>
      <c r="U311" s="3"/>
      <c r="V311" s="3"/>
      <c r="W311" s="3"/>
      <c r="X311" s="3"/>
      <c r="Y311" s="3"/>
      <c r="Z311" s="3"/>
    </row>
    <row r="312" spans="1:26" ht="22.5" customHeight="1" x14ac:dyDescent="0.85">
      <c r="A312" s="2"/>
      <c r="B312" s="2"/>
      <c r="C312" s="2"/>
      <c r="D312" s="2"/>
      <c r="E312" s="2"/>
      <c r="F312" s="2"/>
      <c r="G312" s="2"/>
      <c r="H312" s="2"/>
      <c r="I312" s="2"/>
      <c r="J312" s="2"/>
      <c r="K312" s="2"/>
      <c r="L312" s="2"/>
      <c r="M312" s="2"/>
      <c r="N312" s="2"/>
      <c r="O312" s="2"/>
      <c r="P312" s="2"/>
      <c r="Q312" s="2"/>
      <c r="R312" s="2"/>
      <c r="S312" s="2"/>
      <c r="T312" s="3"/>
      <c r="U312" s="3"/>
      <c r="V312" s="3"/>
      <c r="W312" s="3"/>
      <c r="X312" s="3"/>
      <c r="Y312" s="3"/>
      <c r="Z312" s="3"/>
    </row>
    <row r="313" spans="1:26" ht="22.5" customHeight="1" x14ac:dyDescent="0.85">
      <c r="A313" s="2"/>
      <c r="B313" s="2"/>
      <c r="C313" s="2"/>
      <c r="D313" s="2"/>
      <c r="E313" s="2"/>
      <c r="F313" s="2"/>
      <c r="G313" s="2"/>
      <c r="H313" s="2"/>
      <c r="I313" s="2"/>
      <c r="J313" s="2"/>
      <c r="K313" s="2"/>
      <c r="L313" s="2"/>
      <c r="M313" s="2"/>
      <c r="N313" s="2"/>
      <c r="O313" s="2"/>
      <c r="P313" s="2"/>
      <c r="Q313" s="2"/>
      <c r="R313" s="2"/>
      <c r="S313" s="2"/>
      <c r="T313" s="3"/>
      <c r="U313" s="3"/>
      <c r="V313" s="3"/>
      <c r="W313" s="3"/>
      <c r="X313" s="3"/>
      <c r="Y313" s="3"/>
      <c r="Z313" s="3"/>
    </row>
    <row r="314" spans="1:26" ht="22.5" customHeight="1" x14ac:dyDescent="0.85">
      <c r="A314" s="2"/>
      <c r="B314" s="2"/>
      <c r="C314" s="2"/>
      <c r="D314" s="2"/>
      <c r="E314" s="2"/>
      <c r="F314" s="2"/>
      <c r="G314" s="2"/>
      <c r="H314" s="2"/>
      <c r="I314" s="2"/>
      <c r="J314" s="2"/>
      <c r="K314" s="2"/>
      <c r="L314" s="2"/>
      <c r="M314" s="2"/>
      <c r="N314" s="2"/>
      <c r="O314" s="2"/>
      <c r="P314" s="2"/>
      <c r="Q314" s="2"/>
      <c r="R314" s="2"/>
      <c r="S314" s="2"/>
      <c r="T314" s="3"/>
      <c r="U314" s="3"/>
      <c r="V314" s="3"/>
      <c r="W314" s="3"/>
      <c r="X314" s="3"/>
      <c r="Y314" s="3"/>
      <c r="Z314" s="3"/>
    </row>
    <row r="315" spans="1:26" ht="22.5" customHeight="1" x14ac:dyDescent="0.85">
      <c r="A315" s="2"/>
      <c r="B315" s="2"/>
      <c r="C315" s="2"/>
      <c r="D315" s="2"/>
      <c r="E315" s="2"/>
      <c r="F315" s="2"/>
      <c r="G315" s="2"/>
      <c r="H315" s="2"/>
      <c r="I315" s="2"/>
      <c r="J315" s="2"/>
      <c r="K315" s="2"/>
      <c r="L315" s="2"/>
      <c r="M315" s="2"/>
      <c r="N315" s="2"/>
      <c r="O315" s="2"/>
      <c r="P315" s="2"/>
      <c r="Q315" s="2"/>
      <c r="R315" s="2"/>
      <c r="S315" s="2"/>
      <c r="T315" s="3"/>
      <c r="U315" s="3"/>
      <c r="V315" s="3"/>
      <c r="W315" s="3"/>
      <c r="X315" s="3"/>
      <c r="Y315" s="3"/>
      <c r="Z315" s="3"/>
    </row>
    <row r="316" spans="1:26" ht="22.5" customHeight="1" x14ac:dyDescent="0.85">
      <c r="A316" s="2"/>
      <c r="B316" s="2"/>
      <c r="C316" s="2"/>
      <c r="D316" s="2"/>
      <c r="E316" s="2"/>
      <c r="F316" s="2"/>
      <c r="G316" s="2"/>
      <c r="H316" s="2"/>
      <c r="I316" s="2"/>
      <c r="J316" s="2"/>
      <c r="K316" s="2"/>
      <c r="L316" s="2"/>
      <c r="M316" s="2"/>
      <c r="N316" s="2"/>
      <c r="O316" s="2"/>
      <c r="P316" s="2"/>
      <c r="Q316" s="2"/>
      <c r="R316" s="2"/>
      <c r="S316" s="2"/>
      <c r="T316" s="3"/>
      <c r="U316" s="3"/>
      <c r="V316" s="3"/>
      <c r="W316" s="3"/>
      <c r="X316" s="3"/>
      <c r="Y316" s="3"/>
      <c r="Z316" s="3"/>
    </row>
    <row r="317" spans="1:26" ht="22.5" customHeight="1" x14ac:dyDescent="0.85">
      <c r="A317" s="2"/>
      <c r="B317" s="2"/>
      <c r="C317" s="2"/>
      <c r="D317" s="2"/>
      <c r="E317" s="2"/>
      <c r="F317" s="2"/>
      <c r="G317" s="2"/>
      <c r="H317" s="2"/>
      <c r="I317" s="2"/>
      <c r="J317" s="2"/>
      <c r="K317" s="2"/>
      <c r="L317" s="2"/>
      <c r="M317" s="2"/>
      <c r="N317" s="2"/>
      <c r="O317" s="2"/>
      <c r="P317" s="2"/>
      <c r="Q317" s="2"/>
      <c r="R317" s="2"/>
      <c r="S317" s="2"/>
      <c r="T317" s="3"/>
      <c r="U317" s="3"/>
      <c r="V317" s="3"/>
      <c r="W317" s="3"/>
      <c r="X317" s="3"/>
      <c r="Y317" s="3"/>
      <c r="Z317" s="3"/>
    </row>
    <row r="318" spans="1:26" ht="22.5" customHeight="1" x14ac:dyDescent="0.85">
      <c r="A318" s="2"/>
      <c r="B318" s="2"/>
      <c r="C318" s="2"/>
      <c r="D318" s="2"/>
      <c r="E318" s="2"/>
      <c r="F318" s="2"/>
      <c r="G318" s="2"/>
      <c r="H318" s="2"/>
      <c r="I318" s="2"/>
      <c r="J318" s="2"/>
      <c r="K318" s="2"/>
      <c r="L318" s="2"/>
      <c r="M318" s="2"/>
      <c r="N318" s="2"/>
      <c r="O318" s="2"/>
      <c r="P318" s="2"/>
      <c r="Q318" s="2"/>
      <c r="R318" s="2"/>
      <c r="S318" s="2"/>
      <c r="T318" s="3"/>
      <c r="U318" s="3"/>
      <c r="V318" s="3"/>
      <c r="W318" s="3"/>
      <c r="X318" s="3"/>
      <c r="Y318" s="3"/>
      <c r="Z318" s="3"/>
    </row>
    <row r="319" spans="1:26" ht="22.5" customHeight="1" x14ac:dyDescent="0.85">
      <c r="A319" s="2"/>
      <c r="B319" s="2"/>
      <c r="C319" s="2"/>
      <c r="D319" s="2"/>
      <c r="E319" s="2"/>
      <c r="F319" s="2"/>
      <c r="G319" s="2"/>
      <c r="H319" s="2"/>
      <c r="I319" s="2"/>
      <c r="J319" s="2"/>
      <c r="K319" s="2"/>
      <c r="L319" s="2"/>
      <c r="M319" s="2"/>
      <c r="N319" s="2"/>
      <c r="O319" s="2"/>
      <c r="P319" s="2"/>
      <c r="Q319" s="2"/>
      <c r="R319" s="2"/>
      <c r="S319" s="2"/>
      <c r="T319" s="3"/>
      <c r="U319" s="3"/>
      <c r="V319" s="3"/>
      <c r="W319" s="3"/>
      <c r="X319" s="3"/>
      <c r="Y319" s="3"/>
      <c r="Z319" s="3"/>
    </row>
    <row r="320" spans="1:26" ht="22.5" customHeight="1" x14ac:dyDescent="0.85">
      <c r="A320" s="2"/>
      <c r="B320" s="2"/>
      <c r="C320" s="2"/>
      <c r="D320" s="2"/>
      <c r="E320" s="2"/>
      <c r="F320" s="2"/>
      <c r="G320" s="2"/>
      <c r="H320" s="2"/>
      <c r="I320" s="2"/>
      <c r="J320" s="2"/>
      <c r="K320" s="2"/>
      <c r="L320" s="2"/>
      <c r="M320" s="2"/>
      <c r="N320" s="2"/>
      <c r="O320" s="2"/>
      <c r="P320" s="2"/>
      <c r="Q320" s="2"/>
      <c r="R320" s="2"/>
      <c r="S320" s="2"/>
      <c r="T320" s="3"/>
      <c r="U320" s="3"/>
      <c r="V320" s="3"/>
      <c r="W320" s="3"/>
      <c r="X320" s="3"/>
      <c r="Y320" s="3"/>
      <c r="Z320" s="3"/>
    </row>
    <row r="321" spans="1:26" ht="22.5" customHeight="1" x14ac:dyDescent="0.85">
      <c r="A321" s="2"/>
      <c r="B321" s="2"/>
      <c r="C321" s="2"/>
      <c r="D321" s="2"/>
      <c r="E321" s="2"/>
      <c r="F321" s="2"/>
      <c r="G321" s="2"/>
      <c r="H321" s="2"/>
      <c r="I321" s="2"/>
      <c r="J321" s="2"/>
      <c r="K321" s="2"/>
      <c r="L321" s="2"/>
      <c r="M321" s="2"/>
      <c r="N321" s="2"/>
      <c r="O321" s="2"/>
      <c r="P321" s="2"/>
      <c r="Q321" s="2"/>
      <c r="R321" s="2"/>
      <c r="S321" s="2"/>
      <c r="T321" s="3"/>
      <c r="U321" s="3"/>
      <c r="V321" s="3"/>
      <c r="W321" s="3"/>
      <c r="X321" s="3"/>
      <c r="Y321" s="3"/>
      <c r="Z321" s="3"/>
    </row>
    <row r="322" spans="1:26" ht="22.5" customHeight="1" x14ac:dyDescent="0.85">
      <c r="A322" s="2"/>
      <c r="B322" s="2"/>
      <c r="C322" s="2"/>
      <c r="D322" s="2"/>
      <c r="E322" s="2"/>
      <c r="F322" s="2"/>
      <c r="G322" s="2"/>
      <c r="H322" s="2"/>
      <c r="I322" s="2"/>
      <c r="J322" s="2"/>
      <c r="K322" s="2"/>
      <c r="L322" s="2"/>
      <c r="M322" s="2"/>
      <c r="N322" s="2"/>
      <c r="O322" s="2"/>
      <c r="P322" s="2"/>
      <c r="Q322" s="2"/>
      <c r="R322" s="2"/>
      <c r="S322" s="2"/>
      <c r="T322" s="3"/>
      <c r="U322" s="3"/>
      <c r="V322" s="3"/>
      <c r="W322" s="3"/>
      <c r="X322" s="3"/>
      <c r="Y322" s="3"/>
      <c r="Z322" s="3"/>
    </row>
    <row r="323" spans="1:26" ht="22.5" customHeight="1" x14ac:dyDescent="0.85">
      <c r="A323" s="2"/>
      <c r="B323" s="2"/>
      <c r="C323" s="2"/>
      <c r="D323" s="2"/>
      <c r="E323" s="2"/>
      <c r="F323" s="2"/>
      <c r="G323" s="2"/>
      <c r="H323" s="2"/>
      <c r="I323" s="2"/>
      <c r="J323" s="2"/>
      <c r="K323" s="2"/>
      <c r="L323" s="2"/>
      <c r="M323" s="2"/>
      <c r="N323" s="2"/>
      <c r="O323" s="2"/>
      <c r="P323" s="2"/>
      <c r="Q323" s="2"/>
      <c r="R323" s="2"/>
      <c r="S323" s="2"/>
      <c r="T323" s="3"/>
      <c r="U323" s="3"/>
      <c r="V323" s="3"/>
      <c r="W323" s="3"/>
      <c r="X323" s="3"/>
      <c r="Y323" s="3"/>
      <c r="Z323" s="3"/>
    </row>
    <row r="324" spans="1:26" ht="22.5" customHeight="1" x14ac:dyDescent="0.85">
      <c r="A324" s="2"/>
      <c r="B324" s="2"/>
      <c r="C324" s="2"/>
      <c r="D324" s="2"/>
      <c r="E324" s="2"/>
      <c r="F324" s="2"/>
      <c r="G324" s="2"/>
      <c r="H324" s="2"/>
      <c r="I324" s="2"/>
      <c r="J324" s="2"/>
      <c r="K324" s="2"/>
      <c r="L324" s="2"/>
      <c r="M324" s="2"/>
      <c r="N324" s="2"/>
      <c r="O324" s="2"/>
      <c r="P324" s="2"/>
      <c r="Q324" s="2"/>
      <c r="R324" s="2"/>
      <c r="S324" s="2"/>
      <c r="T324" s="3"/>
      <c r="U324" s="3"/>
      <c r="V324" s="3"/>
      <c r="W324" s="3"/>
      <c r="X324" s="3"/>
      <c r="Y324" s="3"/>
      <c r="Z324" s="3"/>
    </row>
    <row r="325" spans="1:26" ht="22.5" customHeight="1" x14ac:dyDescent="0.85">
      <c r="A325" s="2"/>
      <c r="B325" s="2"/>
      <c r="C325" s="2"/>
      <c r="D325" s="2"/>
      <c r="E325" s="2"/>
      <c r="F325" s="2"/>
      <c r="G325" s="2"/>
      <c r="H325" s="2"/>
      <c r="I325" s="2"/>
      <c r="J325" s="2"/>
      <c r="K325" s="2"/>
      <c r="L325" s="2"/>
      <c r="M325" s="2"/>
      <c r="N325" s="2"/>
      <c r="O325" s="2"/>
      <c r="P325" s="2"/>
      <c r="Q325" s="2"/>
      <c r="R325" s="2"/>
      <c r="S325" s="2"/>
      <c r="T325" s="3"/>
      <c r="U325" s="3"/>
      <c r="V325" s="3"/>
      <c r="W325" s="3"/>
      <c r="X325" s="3"/>
      <c r="Y325" s="3"/>
      <c r="Z325" s="3"/>
    </row>
    <row r="326" spans="1:26" ht="22.5" customHeight="1" x14ac:dyDescent="0.85">
      <c r="A326" s="2"/>
      <c r="B326" s="2"/>
      <c r="C326" s="2"/>
      <c r="D326" s="2"/>
      <c r="E326" s="2"/>
      <c r="F326" s="2"/>
      <c r="G326" s="2"/>
      <c r="H326" s="2"/>
      <c r="I326" s="2"/>
      <c r="J326" s="2"/>
      <c r="K326" s="2"/>
      <c r="L326" s="2"/>
      <c r="M326" s="2"/>
      <c r="N326" s="2"/>
      <c r="O326" s="2"/>
      <c r="P326" s="2"/>
      <c r="Q326" s="2"/>
      <c r="R326" s="2"/>
      <c r="S326" s="2"/>
      <c r="T326" s="3"/>
      <c r="U326" s="3"/>
      <c r="V326" s="3"/>
      <c r="W326" s="3"/>
      <c r="X326" s="3"/>
      <c r="Y326" s="3"/>
      <c r="Z326" s="3"/>
    </row>
    <row r="327" spans="1:26" ht="22.5" customHeight="1" x14ac:dyDescent="0.85">
      <c r="A327" s="2"/>
      <c r="B327" s="2"/>
      <c r="C327" s="2"/>
      <c r="D327" s="2"/>
      <c r="E327" s="2"/>
      <c r="F327" s="2"/>
      <c r="G327" s="2"/>
      <c r="H327" s="2"/>
      <c r="I327" s="2"/>
      <c r="J327" s="2"/>
      <c r="K327" s="2"/>
      <c r="L327" s="2"/>
      <c r="M327" s="2"/>
      <c r="N327" s="2"/>
      <c r="O327" s="2"/>
      <c r="P327" s="2"/>
      <c r="Q327" s="2"/>
      <c r="R327" s="2"/>
      <c r="S327" s="2"/>
      <c r="T327" s="3"/>
      <c r="U327" s="3"/>
      <c r="V327" s="3"/>
      <c r="W327" s="3"/>
      <c r="X327" s="3"/>
      <c r="Y327" s="3"/>
      <c r="Z327" s="3"/>
    </row>
    <row r="328" spans="1:26" ht="22.5" customHeight="1" x14ac:dyDescent="0.85">
      <c r="A328" s="2"/>
      <c r="B328" s="2"/>
      <c r="C328" s="2"/>
      <c r="D328" s="2"/>
      <c r="E328" s="2"/>
      <c r="F328" s="2"/>
      <c r="G328" s="2"/>
      <c r="H328" s="2"/>
      <c r="I328" s="2"/>
      <c r="J328" s="2"/>
      <c r="K328" s="2"/>
      <c r="L328" s="2"/>
      <c r="M328" s="2"/>
      <c r="N328" s="2"/>
      <c r="O328" s="2"/>
      <c r="P328" s="2"/>
      <c r="Q328" s="2"/>
      <c r="R328" s="2"/>
      <c r="S328" s="2"/>
      <c r="T328" s="3"/>
      <c r="U328" s="3"/>
      <c r="V328" s="3"/>
      <c r="W328" s="3"/>
      <c r="X328" s="3"/>
      <c r="Y328" s="3"/>
      <c r="Z328" s="3"/>
    </row>
    <row r="329" spans="1:26" ht="22.5" customHeight="1" x14ac:dyDescent="0.85">
      <c r="A329" s="2"/>
      <c r="B329" s="2"/>
      <c r="C329" s="2"/>
      <c r="D329" s="2"/>
      <c r="E329" s="2"/>
      <c r="F329" s="2"/>
      <c r="G329" s="2"/>
      <c r="H329" s="2"/>
      <c r="I329" s="2"/>
      <c r="J329" s="2"/>
      <c r="K329" s="2"/>
      <c r="L329" s="2"/>
      <c r="M329" s="2"/>
      <c r="N329" s="2"/>
      <c r="O329" s="2"/>
      <c r="P329" s="2"/>
      <c r="Q329" s="2"/>
      <c r="R329" s="2"/>
      <c r="S329" s="2"/>
      <c r="T329" s="3"/>
      <c r="U329" s="3"/>
      <c r="V329" s="3"/>
      <c r="W329" s="3"/>
      <c r="X329" s="3"/>
      <c r="Y329" s="3"/>
      <c r="Z329" s="3"/>
    </row>
    <row r="330" spans="1:26" ht="22.5" customHeight="1" x14ac:dyDescent="0.85">
      <c r="A330" s="2"/>
      <c r="B330" s="2"/>
      <c r="C330" s="2"/>
      <c r="D330" s="2"/>
      <c r="E330" s="2"/>
      <c r="F330" s="2"/>
      <c r="G330" s="2"/>
      <c r="H330" s="2"/>
      <c r="I330" s="2"/>
      <c r="J330" s="2"/>
      <c r="K330" s="2"/>
      <c r="L330" s="2"/>
      <c r="M330" s="2"/>
      <c r="N330" s="2"/>
      <c r="O330" s="2"/>
      <c r="P330" s="2"/>
      <c r="Q330" s="2"/>
      <c r="R330" s="2"/>
      <c r="S330" s="2"/>
      <c r="T330" s="3"/>
      <c r="U330" s="3"/>
      <c r="V330" s="3"/>
      <c r="W330" s="3"/>
      <c r="X330" s="3"/>
      <c r="Y330" s="3"/>
      <c r="Z330" s="3"/>
    </row>
    <row r="331" spans="1:26" ht="22.5" customHeight="1" x14ac:dyDescent="0.85">
      <c r="A331" s="2"/>
      <c r="B331" s="2"/>
      <c r="C331" s="2"/>
      <c r="D331" s="2"/>
      <c r="E331" s="2"/>
      <c r="F331" s="2"/>
      <c r="G331" s="2"/>
      <c r="H331" s="2"/>
      <c r="I331" s="2"/>
      <c r="J331" s="2"/>
      <c r="K331" s="2"/>
      <c r="L331" s="2"/>
      <c r="M331" s="2"/>
      <c r="N331" s="2"/>
      <c r="O331" s="2"/>
      <c r="P331" s="2"/>
      <c r="Q331" s="2"/>
      <c r="R331" s="2"/>
      <c r="S331" s="2"/>
      <c r="T331" s="3"/>
      <c r="U331" s="3"/>
      <c r="V331" s="3"/>
      <c r="W331" s="3"/>
      <c r="X331" s="3"/>
      <c r="Y331" s="3"/>
      <c r="Z331" s="3"/>
    </row>
    <row r="332" spans="1:26" ht="22.5" customHeight="1" x14ac:dyDescent="0.85">
      <c r="A332" s="2"/>
      <c r="B332" s="2"/>
      <c r="C332" s="2"/>
      <c r="D332" s="2"/>
      <c r="E332" s="2"/>
      <c r="F332" s="2"/>
      <c r="G332" s="2"/>
      <c r="H332" s="2"/>
      <c r="I332" s="2"/>
      <c r="J332" s="2"/>
      <c r="K332" s="2"/>
      <c r="L332" s="2"/>
      <c r="M332" s="2"/>
      <c r="N332" s="2"/>
      <c r="O332" s="2"/>
      <c r="P332" s="2"/>
      <c r="Q332" s="2"/>
      <c r="R332" s="2"/>
      <c r="S332" s="2"/>
      <c r="T332" s="3"/>
      <c r="U332" s="3"/>
      <c r="V332" s="3"/>
      <c r="W332" s="3"/>
      <c r="X332" s="3"/>
      <c r="Y332" s="3"/>
      <c r="Z332" s="3"/>
    </row>
    <row r="333" spans="1:26" ht="22.5" customHeight="1" x14ac:dyDescent="0.85">
      <c r="A333" s="2"/>
      <c r="B333" s="2"/>
      <c r="C333" s="2"/>
      <c r="D333" s="2"/>
      <c r="E333" s="2"/>
      <c r="F333" s="2"/>
      <c r="G333" s="2"/>
      <c r="H333" s="2"/>
      <c r="I333" s="2"/>
      <c r="J333" s="2"/>
      <c r="K333" s="2"/>
      <c r="L333" s="2"/>
      <c r="M333" s="2"/>
      <c r="N333" s="2"/>
      <c r="O333" s="2"/>
      <c r="P333" s="2"/>
      <c r="Q333" s="2"/>
      <c r="R333" s="2"/>
      <c r="S333" s="2"/>
      <c r="T333" s="3"/>
      <c r="U333" s="3"/>
      <c r="V333" s="3"/>
      <c r="W333" s="3"/>
      <c r="X333" s="3"/>
      <c r="Y333" s="3"/>
      <c r="Z333" s="3"/>
    </row>
    <row r="334" spans="1:26" ht="22.5" customHeight="1" x14ac:dyDescent="0.85">
      <c r="A334" s="2"/>
      <c r="B334" s="2"/>
      <c r="C334" s="2"/>
      <c r="D334" s="2"/>
      <c r="E334" s="2"/>
      <c r="F334" s="2"/>
      <c r="G334" s="2"/>
      <c r="H334" s="2"/>
      <c r="I334" s="2"/>
      <c r="J334" s="2"/>
      <c r="K334" s="2"/>
      <c r="L334" s="2"/>
      <c r="M334" s="2"/>
      <c r="N334" s="2"/>
      <c r="O334" s="2"/>
      <c r="P334" s="2"/>
      <c r="Q334" s="2"/>
      <c r="R334" s="2"/>
      <c r="S334" s="2"/>
      <c r="T334" s="3"/>
      <c r="U334" s="3"/>
      <c r="V334" s="3"/>
      <c r="W334" s="3"/>
      <c r="X334" s="3"/>
      <c r="Y334" s="3"/>
      <c r="Z334" s="3"/>
    </row>
    <row r="335" spans="1:26" ht="22.5" customHeight="1" x14ac:dyDescent="0.85">
      <c r="A335" s="2"/>
      <c r="B335" s="2"/>
      <c r="C335" s="2"/>
      <c r="D335" s="2"/>
      <c r="E335" s="2"/>
      <c r="F335" s="2"/>
      <c r="G335" s="2"/>
      <c r="H335" s="2"/>
      <c r="I335" s="2"/>
      <c r="J335" s="2"/>
      <c r="K335" s="2"/>
      <c r="L335" s="2"/>
      <c r="M335" s="2"/>
      <c r="N335" s="2"/>
      <c r="O335" s="2"/>
      <c r="P335" s="2"/>
      <c r="Q335" s="2"/>
      <c r="R335" s="2"/>
      <c r="S335" s="2"/>
      <c r="T335" s="3"/>
      <c r="U335" s="3"/>
      <c r="V335" s="3"/>
      <c r="W335" s="3"/>
      <c r="X335" s="3"/>
      <c r="Y335" s="3"/>
      <c r="Z335" s="3"/>
    </row>
    <row r="336" spans="1:26" ht="22.5" customHeight="1" x14ac:dyDescent="0.85">
      <c r="A336" s="2"/>
      <c r="B336" s="2"/>
      <c r="C336" s="2"/>
      <c r="D336" s="2"/>
      <c r="E336" s="2"/>
      <c r="F336" s="2"/>
      <c r="G336" s="2"/>
      <c r="H336" s="2"/>
      <c r="I336" s="2"/>
      <c r="J336" s="2"/>
      <c r="K336" s="2"/>
      <c r="L336" s="2"/>
      <c r="M336" s="2"/>
      <c r="N336" s="2"/>
      <c r="O336" s="2"/>
      <c r="P336" s="2"/>
      <c r="Q336" s="2"/>
      <c r="R336" s="2"/>
      <c r="S336" s="2"/>
      <c r="T336" s="3"/>
      <c r="U336" s="3"/>
      <c r="V336" s="3"/>
      <c r="W336" s="3"/>
      <c r="X336" s="3"/>
      <c r="Y336" s="3"/>
      <c r="Z336" s="3"/>
    </row>
    <row r="337" spans="1:26" ht="22.5" customHeight="1" x14ac:dyDescent="0.85">
      <c r="A337" s="2"/>
      <c r="B337" s="2"/>
      <c r="C337" s="2"/>
      <c r="D337" s="2"/>
      <c r="E337" s="2"/>
      <c r="F337" s="2"/>
      <c r="G337" s="2"/>
      <c r="H337" s="2"/>
      <c r="I337" s="2"/>
      <c r="J337" s="2"/>
      <c r="K337" s="2"/>
      <c r="L337" s="2"/>
      <c r="M337" s="2"/>
      <c r="N337" s="2"/>
      <c r="O337" s="2"/>
      <c r="P337" s="2"/>
      <c r="Q337" s="2"/>
      <c r="R337" s="2"/>
      <c r="S337" s="2"/>
      <c r="T337" s="3"/>
      <c r="U337" s="3"/>
      <c r="V337" s="3"/>
      <c r="W337" s="3"/>
      <c r="X337" s="3"/>
      <c r="Y337" s="3"/>
      <c r="Z337" s="3"/>
    </row>
    <row r="338" spans="1:26" ht="22.5" customHeight="1" x14ac:dyDescent="0.85">
      <c r="A338" s="2"/>
      <c r="B338" s="2"/>
      <c r="C338" s="2"/>
      <c r="D338" s="2"/>
      <c r="E338" s="2"/>
      <c r="F338" s="2"/>
      <c r="G338" s="2"/>
      <c r="H338" s="2"/>
      <c r="I338" s="2"/>
      <c r="J338" s="2"/>
      <c r="K338" s="2"/>
      <c r="L338" s="2"/>
      <c r="M338" s="2"/>
      <c r="N338" s="2"/>
      <c r="O338" s="2"/>
      <c r="P338" s="2"/>
      <c r="Q338" s="2"/>
      <c r="R338" s="2"/>
      <c r="S338" s="2"/>
      <c r="T338" s="3"/>
      <c r="U338" s="3"/>
      <c r="V338" s="3"/>
      <c r="W338" s="3"/>
      <c r="X338" s="3"/>
      <c r="Y338" s="3"/>
      <c r="Z338" s="3"/>
    </row>
    <row r="339" spans="1:26" ht="22.5" customHeight="1" x14ac:dyDescent="0.85">
      <c r="A339" s="2"/>
      <c r="B339" s="2"/>
      <c r="C339" s="2"/>
      <c r="D339" s="2"/>
      <c r="E339" s="2"/>
      <c r="F339" s="2"/>
      <c r="G339" s="2"/>
      <c r="H339" s="2"/>
      <c r="I339" s="2"/>
      <c r="J339" s="2"/>
      <c r="K339" s="2"/>
      <c r="L339" s="2"/>
      <c r="M339" s="2"/>
      <c r="N339" s="2"/>
      <c r="O339" s="2"/>
      <c r="P339" s="2"/>
      <c r="Q339" s="2"/>
      <c r="R339" s="2"/>
      <c r="S339" s="2"/>
      <c r="T339" s="3"/>
      <c r="U339" s="3"/>
      <c r="V339" s="3"/>
      <c r="W339" s="3"/>
      <c r="X339" s="3"/>
      <c r="Y339" s="3"/>
      <c r="Z339" s="3"/>
    </row>
    <row r="340" spans="1:26" ht="22.5" customHeight="1" x14ac:dyDescent="0.85">
      <c r="A340" s="2"/>
      <c r="B340" s="2"/>
      <c r="C340" s="2"/>
      <c r="D340" s="2"/>
      <c r="E340" s="2"/>
      <c r="F340" s="2"/>
      <c r="G340" s="2"/>
      <c r="H340" s="2"/>
      <c r="I340" s="2"/>
      <c r="J340" s="2"/>
      <c r="K340" s="2"/>
      <c r="L340" s="2"/>
      <c r="M340" s="2"/>
      <c r="N340" s="2"/>
      <c r="O340" s="2"/>
      <c r="P340" s="2"/>
      <c r="Q340" s="2"/>
      <c r="R340" s="2"/>
      <c r="S340" s="2"/>
      <c r="T340" s="3"/>
      <c r="U340" s="3"/>
      <c r="V340" s="3"/>
      <c r="W340" s="3"/>
      <c r="X340" s="3"/>
      <c r="Y340" s="3"/>
      <c r="Z340" s="3"/>
    </row>
    <row r="341" spans="1:26" ht="22.5" customHeight="1" x14ac:dyDescent="0.85">
      <c r="A341" s="2"/>
      <c r="B341" s="2"/>
      <c r="C341" s="2"/>
      <c r="D341" s="2"/>
      <c r="E341" s="2"/>
      <c r="F341" s="2"/>
      <c r="G341" s="2"/>
      <c r="H341" s="2"/>
      <c r="I341" s="2"/>
      <c r="J341" s="2"/>
      <c r="K341" s="2"/>
      <c r="L341" s="2"/>
      <c r="M341" s="2"/>
      <c r="N341" s="2"/>
      <c r="O341" s="2"/>
      <c r="P341" s="2"/>
      <c r="Q341" s="2"/>
      <c r="R341" s="2"/>
      <c r="S341" s="2"/>
      <c r="T341" s="3"/>
      <c r="U341" s="3"/>
      <c r="V341" s="3"/>
      <c r="W341" s="3"/>
      <c r="X341" s="3"/>
      <c r="Y341" s="3"/>
      <c r="Z341" s="3"/>
    </row>
    <row r="342" spans="1:26" ht="22.5" customHeight="1" x14ac:dyDescent="0.85">
      <c r="A342" s="2"/>
      <c r="B342" s="2"/>
      <c r="C342" s="2"/>
      <c r="D342" s="2"/>
      <c r="E342" s="2"/>
      <c r="F342" s="2"/>
      <c r="G342" s="2"/>
      <c r="H342" s="2"/>
      <c r="I342" s="2"/>
      <c r="J342" s="2"/>
      <c r="K342" s="2"/>
      <c r="L342" s="2"/>
      <c r="M342" s="2"/>
      <c r="N342" s="2"/>
      <c r="O342" s="2"/>
      <c r="P342" s="2"/>
      <c r="Q342" s="2"/>
      <c r="R342" s="2"/>
      <c r="S342" s="2"/>
      <c r="T342" s="3"/>
      <c r="U342" s="3"/>
      <c r="V342" s="3"/>
      <c r="W342" s="3"/>
      <c r="X342" s="3"/>
      <c r="Y342" s="3"/>
      <c r="Z342" s="3"/>
    </row>
    <row r="343" spans="1:26" ht="22.5" customHeight="1" x14ac:dyDescent="0.85">
      <c r="A343" s="2"/>
      <c r="B343" s="2"/>
      <c r="C343" s="2"/>
      <c r="D343" s="2"/>
      <c r="E343" s="2"/>
      <c r="F343" s="2"/>
      <c r="G343" s="2"/>
      <c r="H343" s="2"/>
      <c r="I343" s="2"/>
      <c r="J343" s="2"/>
      <c r="K343" s="2"/>
      <c r="L343" s="2"/>
      <c r="M343" s="2"/>
      <c r="N343" s="2"/>
      <c r="O343" s="2"/>
      <c r="P343" s="2"/>
      <c r="Q343" s="2"/>
      <c r="R343" s="2"/>
      <c r="S343" s="2"/>
      <c r="T343" s="3"/>
      <c r="U343" s="3"/>
      <c r="V343" s="3"/>
      <c r="W343" s="3"/>
      <c r="X343" s="3"/>
      <c r="Y343" s="3"/>
      <c r="Z343" s="3"/>
    </row>
    <row r="344" spans="1:26" ht="22.5" customHeight="1" x14ac:dyDescent="0.85">
      <c r="A344" s="2"/>
      <c r="B344" s="2"/>
      <c r="C344" s="2"/>
      <c r="D344" s="2"/>
      <c r="E344" s="2"/>
      <c r="F344" s="2"/>
      <c r="G344" s="2"/>
      <c r="H344" s="2"/>
      <c r="I344" s="2"/>
      <c r="J344" s="2"/>
      <c r="K344" s="2"/>
      <c r="L344" s="2"/>
      <c r="M344" s="2"/>
      <c r="N344" s="2"/>
      <c r="O344" s="2"/>
      <c r="P344" s="2"/>
      <c r="Q344" s="2"/>
      <c r="R344" s="2"/>
      <c r="S344" s="2"/>
      <c r="T344" s="3"/>
      <c r="U344" s="3"/>
      <c r="V344" s="3"/>
      <c r="W344" s="3"/>
      <c r="X344" s="3"/>
      <c r="Y344" s="3"/>
      <c r="Z344" s="3"/>
    </row>
    <row r="345" spans="1:26" ht="22.5" customHeight="1" x14ac:dyDescent="0.85">
      <c r="A345" s="2"/>
      <c r="B345" s="2"/>
      <c r="C345" s="2"/>
      <c r="D345" s="2"/>
      <c r="E345" s="2"/>
      <c r="F345" s="2"/>
      <c r="G345" s="2"/>
      <c r="H345" s="2"/>
      <c r="I345" s="2"/>
      <c r="J345" s="2"/>
      <c r="K345" s="2"/>
      <c r="L345" s="2"/>
      <c r="M345" s="2"/>
      <c r="N345" s="2"/>
      <c r="O345" s="2"/>
      <c r="P345" s="2"/>
      <c r="Q345" s="2"/>
      <c r="R345" s="2"/>
      <c r="S345" s="2"/>
      <c r="T345" s="3"/>
      <c r="U345" s="3"/>
      <c r="V345" s="3"/>
      <c r="W345" s="3"/>
      <c r="X345" s="3"/>
      <c r="Y345" s="3"/>
      <c r="Z345" s="3"/>
    </row>
    <row r="346" spans="1:26" ht="22.5" customHeight="1" x14ac:dyDescent="0.85">
      <c r="A346" s="2"/>
      <c r="B346" s="2"/>
      <c r="C346" s="2"/>
      <c r="D346" s="2"/>
      <c r="E346" s="2"/>
      <c r="F346" s="2"/>
      <c r="G346" s="2"/>
      <c r="H346" s="2"/>
      <c r="I346" s="2"/>
      <c r="J346" s="2"/>
      <c r="K346" s="2"/>
      <c r="L346" s="2"/>
      <c r="M346" s="2"/>
      <c r="N346" s="2"/>
      <c r="O346" s="2"/>
      <c r="P346" s="2"/>
      <c r="Q346" s="2"/>
      <c r="R346" s="2"/>
      <c r="S346" s="2"/>
      <c r="T346" s="3"/>
      <c r="U346" s="3"/>
      <c r="V346" s="3"/>
      <c r="W346" s="3"/>
      <c r="X346" s="3"/>
      <c r="Y346" s="3"/>
      <c r="Z346" s="3"/>
    </row>
    <row r="347" spans="1:26" ht="22.5" customHeight="1" x14ac:dyDescent="0.85">
      <c r="A347" s="2"/>
      <c r="B347" s="2"/>
      <c r="C347" s="2"/>
      <c r="D347" s="2"/>
      <c r="E347" s="2"/>
      <c r="F347" s="2"/>
      <c r="G347" s="2"/>
      <c r="H347" s="2"/>
      <c r="I347" s="2"/>
      <c r="J347" s="2"/>
      <c r="K347" s="2"/>
      <c r="L347" s="2"/>
      <c r="M347" s="2"/>
      <c r="N347" s="2"/>
      <c r="O347" s="2"/>
      <c r="P347" s="2"/>
      <c r="Q347" s="2"/>
      <c r="R347" s="2"/>
      <c r="S347" s="2"/>
      <c r="T347" s="3"/>
      <c r="U347" s="3"/>
      <c r="V347" s="3"/>
      <c r="W347" s="3"/>
      <c r="X347" s="3"/>
      <c r="Y347" s="3"/>
      <c r="Z347" s="3"/>
    </row>
    <row r="348" spans="1:26" ht="22.5" customHeight="1" x14ac:dyDescent="0.85">
      <c r="A348" s="2"/>
      <c r="B348" s="2"/>
      <c r="C348" s="2"/>
      <c r="D348" s="2"/>
      <c r="E348" s="2"/>
      <c r="F348" s="2"/>
      <c r="G348" s="2"/>
      <c r="H348" s="2"/>
      <c r="I348" s="2"/>
      <c r="J348" s="2"/>
      <c r="K348" s="2"/>
      <c r="L348" s="2"/>
      <c r="M348" s="2"/>
      <c r="N348" s="2"/>
      <c r="O348" s="2"/>
      <c r="P348" s="2"/>
      <c r="Q348" s="2"/>
      <c r="R348" s="2"/>
      <c r="S348" s="2"/>
      <c r="T348" s="3"/>
      <c r="U348" s="3"/>
      <c r="V348" s="3"/>
      <c r="W348" s="3"/>
      <c r="X348" s="3"/>
      <c r="Y348" s="3"/>
      <c r="Z348" s="3"/>
    </row>
    <row r="349" spans="1:26" ht="22.5" customHeight="1" x14ac:dyDescent="0.85">
      <c r="A349" s="377"/>
      <c r="B349" s="377"/>
      <c r="C349" s="377"/>
      <c r="D349" s="377"/>
      <c r="E349" s="377"/>
      <c r="F349" s="377"/>
      <c r="G349" s="377"/>
      <c r="H349" s="377"/>
      <c r="I349" s="377"/>
      <c r="J349" s="377"/>
      <c r="K349" s="377"/>
      <c r="L349" s="377"/>
      <c r="M349" s="377"/>
      <c r="N349" s="377"/>
      <c r="O349" s="377"/>
      <c r="P349" s="377"/>
      <c r="Q349" s="377"/>
      <c r="R349" s="377"/>
      <c r="S349" s="377"/>
      <c r="T349" s="3"/>
      <c r="U349" s="3"/>
      <c r="V349" s="3"/>
      <c r="W349" s="3"/>
      <c r="X349" s="3"/>
      <c r="Y349" s="3"/>
      <c r="Z349" s="3"/>
    </row>
    <row r="350" spans="1:26" ht="22.5" customHeight="1" x14ac:dyDescent="0.85">
      <c r="A350" s="377"/>
      <c r="B350" s="377"/>
      <c r="C350" s="377"/>
      <c r="D350" s="377"/>
      <c r="E350" s="377"/>
      <c r="F350" s="377"/>
      <c r="G350" s="377"/>
      <c r="H350" s="377"/>
      <c r="I350" s="377"/>
      <c r="J350" s="377"/>
      <c r="K350" s="377"/>
      <c r="L350" s="377"/>
      <c r="M350" s="377"/>
      <c r="N350" s="377"/>
      <c r="O350" s="377"/>
      <c r="P350" s="377"/>
      <c r="Q350" s="377"/>
      <c r="R350" s="377"/>
      <c r="S350" s="377"/>
      <c r="T350" s="3"/>
      <c r="U350" s="3"/>
      <c r="V350" s="3"/>
      <c r="W350" s="3"/>
      <c r="X350" s="3"/>
      <c r="Y350" s="3"/>
      <c r="Z350" s="3"/>
    </row>
    <row r="351" spans="1:26" ht="22.5" customHeight="1" x14ac:dyDescent="0.85">
      <c r="A351" s="377"/>
      <c r="B351" s="377"/>
      <c r="C351" s="377"/>
      <c r="D351" s="377"/>
      <c r="E351" s="377"/>
      <c r="F351" s="377"/>
      <c r="G351" s="377"/>
      <c r="H351" s="377"/>
      <c r="I351" s="377"/>
      <c r="J351" s="377"/>
      <c r="K351" s="377"/>
      <c r="L351" s="377"/>
      <c r="M351" s="377"/>
      <c r="N351" s="377"/>
      <c r="O351" s="377"/>
      <c r="P351" s="377"/>
      <c r="Q351" s="377"/>
      <c r="R351" s="377"/>
      <c r="S351" s="377"/>
      <c r="T351" s="3"/>
      <c r="U351" s="3"/>
      <c r="V351" s="3"/>
      <c r="W351" s="3"/>
      <c r="X351" s="3"/>
      <c r="Y351" s="3"/>
      <c r="Z351" s="3"/>
    </row>
    <row r="352" spans="1:26" ht="22.5" customHeight="1" x14ac:dyDescent="0.85">
      <c r="A352" s="377"/>
      <c r="B352" s="377"/>
      <c r="C352" s="377"/>
      <c r="D352" s="377"/>
      <c r="E352" s="377"/>
      <c r="F352" s="377"/>
      <c r="G352" s="377"/>
      <c r="H352" s="377"/>
      <c r="I352" s="377"/>
      <c r="J352" s="377"/>
      <c r="K352" s="377"/>
      <c r="L352" s="377"/>
      <c r="M352" s="377"/>
      <c r="N352" s="377"/>
      <c r="O352" s="377"/>
      <c r="P352" s="377"/>
      <c r="Q352" s="377"/>
      <c r="R352" s="377"/>
      <c r="S352" s="377"/>
      <c r="T352" s="3"/>
      <c r="U352" s="3"/>
      <c r="V352" s="3"/>
      <c r="W352" s="3"/>
      <c r="X352" s="3"/>
      <c r="Y352" s="3"/>
      <c r="Z352" s="3"/>
    </row>
    <row r="353" spans="1:26" ht="22.5" customHeight="1" x14ac:dyDescent="0.85">
      <c r="A353" s="377"/>
      <c r="B353" s="377"/>
      <c r="C353" s="377"/>
      <c r="D353" s="377"/>
      <c r="E353" s="377"/>
      <c r="F353" s="377"/>
      <c r="G353" s="377"/>
      <c r="H353" s="377"/>
      <c r="I353" s="377"/>
      <c r="J353" s="377"/>
      <c r="K353" s="377"/>
      <c r="L353" s="377"/>
      <c r="M353" s="377"/>
      <c r="N353" s="377"/>
      <c r="O353" s="377"/>
      <c r="P353" s="377"/>
      <c r="Q353" s="377"/>
      <c r="R353" s="377"/>
      <c r="S353" s="377"/>
      <c r="T353" s="3"/>
      <c r="U353" s="3"/>
      <c r="V353" s="3"/>
      <c r="W353" s="3"/>
      <c r="X353" s="3"/>
      <c r="Y353" s="3"/>
      <c r="Z353" s="3"/>
    </row>
    <row r="354" spans="1:26" ht="22.5" customHeight="1" x14ac:dyDescent="0.85">
      <c r="A354" s="377"/>
      <c r="B354" s="377"/>
      <c r="C354" s="377"/>
      <c r="D354" s="377"/>
      <c r="E354" s="377"/>
      <c r="F354" s="377"/>
      <c r="G354" s="377"/>
      <c r="H354" s="377"/>
      <c r="I354" s="377"/>
      <c r="J354" s="377"/>
      <c r="K354" s="377"/>
      <c r="L354" s="377"/>
      <c r="M354" s="377"/>
      <c r="N354" s="377"/>
      <c r="O354" s="377"/>
      <c r="P354" s="377"/>
      <c r="Q354" s="377"/>
      <c r="R354" s="377"/>
      <c r="S354" s="377"/>
      <c r="T354" s="3"/>
      <c r="U354" s="3"/>
      <c r="V354" s="3"/>
      <c r="W354" s="3"/>
      <c r="X354" s="3"/>
      <c r="Y354" s="3"/>
      <c r="Z354" s="3"/>
    </row>
    <row r="355" spans="1:26" ht="22.5" customHeight="1" x14ac:dyDescent="0.85">
      <c r="A355" s="377"/>
      <c r="B355" s="377"/>
      <c r="C355" s="377"/>
      <c r="D355" s="377"/>
      <c r="E355" s="377"/>
      <c r="F355" s="377"/>
      <c r="G355" s="377"/>
      <c r="H355" s="377"/>
      <c r="I355" s="377"/>
      <c r="J355" s="377"/>
      <c r="K355" s="377"/>
      <c r="L355" s="377"/>
      <c r="M355" s="377"/>
      <c r="N355" s="377"/>
      <c r="O355" s="377"/>
      <c r="P355" s="377"/>
      <c r="Q355" s="377"/>
      <c r="R355" s="377"/>
      <c r="S355" s="377"/>
      <c r="T355" s="3"/>
      <c r="U355" s="3"/>
      <c r="V355" s="3"/>
      <c r="W355" s="3"/>
      <c r="X355" s="3"/>
      <c r="Y355" s="3"/>
      <c r="Z355" s="3"/>
    </row>
    <row r="356" spans="1:26" ht="22.5" customHeight="1" x14ac:dyDescent="0.85">
      <c r="A356" s="377"/>
      <c r="B356" s="377"/>
      <c r="C356" s="377"/>
      <c r="D356" s="377"/>
      <c r="E356" s="377"/>
      <c r="F356" s="377"/>
      <c r="G356" s="377"/>
      <c r="H356" s="377"/>
      <c r="I356" s="377"/>
      <c r="J356" s="377"/>
      <c r="K356" s="377"/>
      <c r="L356" s="377"/>
      <c r="M356" s="377"/>
      <c r="N356" s="377"/>
      <c r="O356" s="377"/>
      <c r="P356" s="377"/>
      <c r="Q356" s="377"/>
      <c r="R356" s="377"/>
      <c r="S356" s="377"/>
      <c r="T356" s="3"/>
      <c r="U356" s="3"/>
      <c r="V356" s="3"/>
      <c r="W356" s="3"/>
      <c r="X356" s="3"/>
      <c r="Y356" s="3"/>
      <c r="Z356" s="3"/>
    </row>
    <row r="357" spans="1:26" ht="22.5" customHeight="1" x14ac:dyDescent="0.85">
      <c r="A357" s="377"/>
      <c r="B357" s="377"/>
      <c r="C357" s="377"/>
      <c r="D357" s="377"/>
      <c r="E357" s="377"/>
      <c r="F357" s="377"/>
      <c r="G357" s="377"/>
      <c r="H357" s="377"/>
      <c r="I357" s="377"/>
      <c r="J357" s="377"/>
      <c r="K357" s="377"/>
      <c r="L357" s="377"/>
      <c r="M357" s="377"/>
      <c r="N357" s="377"/>
      <c r="O357" s="377"/>
      <c r="P357" s="377"/>
      <c r="Q357" s="377"/>
      <c r="R357" s="377"/>
      <c r="S357" s="377"/>
      <c r="T357" s="3"/>
      <c r="U357" s="3"/>
      <c r="V357" s="3"/>
      <c r="W357" s="3"/>
      <c r="X357" s="3"/>
      <c r="Y357" s="3"/>
      <c r="Z357" s="3"/>
    </row>
    <row r="358" spans="1:26" ht="22.5" customHeight="1" x14ac:dyDescent="0.85">
      <c r="A358" s="377"/>
      <c r="B358" s="377"/>
      <c r="C358" s="377"/>
      <c r="D358" s="377"/>
      <c r="E358" s="377"/>
      <c r="F358" s="377"/>
      <c r="G358" s="377"/>
      <c r="H358" s="377"/>
      <c r="I358" s="377"/>
      <c r="J358" s="377"/>
      <c r="K358" s="377"/>
      <c r="L358" s="377"/>
      <c r="M358" s="377"/>
      <c r="N358" s="377"/>
      <c r="O358" s="377"/>
      <c r="P358" s="377"/>
      <c r="Q358" s="377"/>
      <c r="R358" s="377"/>
      <c r="S358" s="377"/>
      <c r="T358" s="3"/>
      <c r="U358" s="3"/>
      <c r="V358" s="3"/>
      <c r="W358" s="3"/>
      <c r="X358" s="3"/>
      <c r="Y358" s="3"/>
      <c r="Z358" s="3"/>
    </row>
    <row r="359" spans="1:26" ht="22.5" customHeight="1" x14ac:dyDescent="0.85">
      <c r="A359" s="377"/>
      <c r="B359" s="377"/>
      <c r="C359" s="377"/>
      <c r="D359" s="377"/>
      <c r="E359" s="377"/>
      <c r="F359" s="377"/>
      <c r="G359" s="377"/>
      <c r="H359" s="377"/>
      <c r="I359" s="377"/>
      <c r="J359" s="377"/>
      <c r="K359" s="377"/>
      <c r="L359" s="377"/>
      <c r="M359" s="377"/>
      <c r="N359" s="377"/>
      <c r="O359" s="377"/>
      <c r="P359" s="377"/>
      <c r="Q359" s="377"/>
      <c r="R359" s="377"/>
      <c r="S359" s="377"/>
      <c r="T359" s="3"/>
      <c r="U359" s="3"/>
      <c r="V359" s="3"/>
      <c r="W359" s="3"/>
      <c r="X359" s="3"/>
      <c r="Y359" s="3"/>
      <c r="Z359" s="3"/>
    </row>
    <row r="360" spans="1:26" ht="22.5" customHeight="1" x14ac:dyDescent="0.85">
      <c r="A360" s="377"/>
      <c r="B360" s="377"/>
      <c r="C360" s="377"/>
      <c r="D360" s="377"/>
      <c r="E360" s="377"/>
      <c r="F360" s="377"/>
      <c r="G360" s="377"/>
      <c r="H360" s="377"/>
      <c r="I360" s="377"/>
      <c r="J360" s="377"/>
      <c r="K360" s="377"/>
      <c r="L360" s="377"/>
      <c r="M360" s="377"/>
      <c r="N360" s="377"/>
      <c r="O360" s="377"/>
      <c r="P360" s="377"/>
      <c r="Q360" s="377"/>
      <c r="R360" s="377"/>
      <c r="S360" s="377"/>
      <c r="T360" s="3"/>
      <c r="U360" s="3"/>
      <c r="V360" s="3"/>
      <c r="W360" s="3"/>
      <c r="X360" s="3"/>
      <c r="Y360" s="3"/>
      <c r="Z360" s="3"/>
    </row>
    <row r="361" spans="1:26" ht="22.5" customHeight="1" x14ac:dyDescent="0.85">
      <c r="A361" s="377"/>
      <c r="B361" s="377"/>
      <c r="C361" s="377"/>
      <c r="D361" s="377"/>
      <c r="E361" s="377"/>
      <c r="F361" s="377"/>
      <c r="G361" s="377"/>
      <c r="H361" s="377"/>
      <c r="I361" s="377"/>
      <c r="J361" s="377"/>
      <c r="K361" s="377"/>
      <c r="L361" s="377"/>
      <c r="M361" s="377"/>
      <c r="N361" s="377"/>
      <c r="O361" s="377"/>
      <c r="P361" s="377"/>
      <c r="Q361" s="377"/>
      <c r="R361" s="377"/>
      <c r="S361" s="377"/>
      <c r="T361" s="3"/>
      <c r="U361" s="3"/>
      <c r="V361" s="3"/>
      <c r="W361" s="3"/>
      <c r="X361" s="3"/>
      <c r="Y361" s="3"/>
      <c r="Z361" s="3"/>
    </row>
    <row r="362" spans="1:26" ht="22.5" customHeight="1" x14ac:dyDescent="0.85">
      <c r="A362" s="377"/>
      <c r="B362" s="377"/>
      <c r="C362" s="377"/>
      <c r="D362" s="377"/>
      <c r="E362" s="377"/>
      <c r="F362" s="377"/>
      <c r="G362" s="377"/>
      <c r="H362" s="377"/>
      <c r="I362" s="377"/>
      <c r="J362" s="377"/>
      <c r="K362" s="377"/>
      <c r="L362" s="377"/>
      <c r="M362" s="377"/>
      <c r="N362" s="377"/>
      <c r="O362" s="377"/>
      <c r="P362" s="377"/>
      <c r="Q362" s="377"/>
      <c r="R362" s="377"/>
      <c r="S362" s="377"/>
      <c r="T362" s="3"/>
      <c r="U362" s="3"/>
      <c r="V362" s="3"/>
      <c r="W362" s="3"/>
      <c r="X362" s="3"/>
      <c r="Y362" s="3"/>
      <c r="Z362" s="3"/>
    </row>
    <row r="363" spans="1:26" ht="22.5" customHeight="1" x14ac:dyDescent="0.85">
      <c r="A363" s="377"/>
      <c r="B363" s="377"/>
      <c r="C363" s="377"/>
      <c r="D363" s="377"/>
      <c r="E363" s="377"/>
      <c r="F363" s="377"/>
      <c r="G363" s="377"/>
      <c r="H363" s="377"/>
      <c r="I363" s="377"/>
      <c r="J363" s="377"/>
      <c r="K363" s="377"/>
      <c r="L363" s="377"/>
      <c r="M363" s="377"/>
      <c r="N363" s="377"/>
      <c r="O363" s="377"/>
      <c r="P363" s="377"/>
      <c r="Q363" s="377"/>
      <c r="R363" s="377"/>
      <c r="S363" s="377"/>
      <c r="T363" s="3"/>
      <c r="U363" s="3"/>
      <c r="V363" s="3"/>
      <c r="W363" s="3"/>
      <c r="X363" s="3"/>
      <c r="Y363" s="3"/>
      <c r="Z363" s="3"/>
    </row>
    <row r="364" spans="1:26" ht="22.5" customHeight="1" x14ac:dyDescent="0.85">
      <c r="A364" s="377"/>
      <c r="B364" s="377"/>
      <c r="C364" s="377"/>
      <c r="D364" s="377"/>
      <c r="E364" s="377"/>
      <c r="F364" s="377"/>
      <c r="G364" s="377"/>
      <c r="H364" s="377"/>
      <c r="I364" s="377"/>
      <c r="J364" s="377"/>
      <c r="K364" s="377"/>
      <c r="L364" s="377"/>
      <c r="M364" s="377"/>
      <c r="N364" s="377"/>
      <c r="O364" s="377"/>
      <c r="P364" s="377"/>
      <c r="Q364" s="377"/>
      <c r="R364" s="377"/>
      <c r="S364" s="377"/>
      <c r="T364" s="3"/>
      <c r="U364" s="3"/>
      <c r="V364" s="3"/>
      <c r="W364" s="3"/>
      <c r="X364" s="3"/>
      <c r="Y364" s="3"/>
      <c r="Z364" s="3"/>
    </row>
    <row r="365" spans="1:26" ht="22.5" customHeight="1" x14ac:dyDescent="0.85">
      <c r="A365" s="377"/>
      <c r="B365" s="377"/>
      <c r="C365" s="377"/>
      <c r="D365" s="377"/>
      <c r="E365" s="377"/>
      <c r="F365" s="377"/>
      <c r="G365" s="377"/>
      <c r="H365" s="377"/>
      <c r="I365" s="377"/>
      <c r="J365" s="377"/>
      <c r="K365" s="377"/>
      <c r="L365" s="377"/>
      <c r="M365" s="377"/>
      <c r="N365" s="377"/>
      <c r="O365" s="377"/>
      <c r="P365" s="377"/>
      <c r="Q365" s="377"/>
      <c r="R365" s="377"/>
      <c r="S365" s="377"/>
      <c r="T365" s="3"/>
      <c r="U365" s="3"/>
      <c r="V365" s="3"/>
      <c r="W365" s="3"/>
      <c r="X365" s="3"/>
      <c r="Y365" s="3"/>
      <c r="Z365" s="3"/>
    </row>
    <row r="366" spans="1:26" ht="22.5" customHeight="1" x14ac:dyDescent="0.85">
      <c r="A366" s="377"/>
      <c r="B366" s="377"/>
      <c r="C366" s="377"/>
      <c r="D366" s="377"/>
      <c r="E366" s="377"/>
      <c r="F366" s="377"/>
      <c r="G366" s="377"/>
      <c r="H366" s="377"/>
      <c r="I366" s="377"/>
      <c r="J366" s="377"/>
      <c r="K366" s="377"/>
      <c r="L366" s="377"/>
      <c r="M366" s="377"/>
      <c r="N366" s="377"/>
      <c r="O366" s="377"/>
      <c r="P366" s="377"/>
      <c r="Q366" s="377"/>
      <c r="R366" s="377"/>
      <c r="S366" s="377"/>
      <c r="T366" s="3"/>
      <c r="U366" s="3"/>
      <c r="V366" s="3"/>
      <c r="W366" s="3"/>
      <c r="X366" s="3"/>
      <c r="Y366" s="3"/>
      <c r="Z366" s="3"/>
    </row>
    <row r="367" spans="1:26" ht="22.5" customHeight="1" x14ac:dyDescent="0.85">
      <c r="A367" s="377"/>
      <c r="B367" s="377"/>
      <c r="C367" s="377"/>
      <c r="D367" s="377"/>
      <c r="E367" s="377"/>
      <c r="F367" s="377"/>
      <c r="G367" s="377"/>
      <c r="H367" s="377"/>
      <c r="I367" s="377"/>
      <c r="J367" s="377"/>
      <c r="K367" s="377"/>
      <c r="L367" s="377"/>
      <c r="M367" s="377"/>
      <c r="N367" s="377"/>
      <c r="O367" s="377"/>
      <c r="P367" s="377"/>
      <c r="Q367" s="377"/>
      <c r="R367" s="377"/>
      <c r="S367" s="377"/>
      <c r="T367" s="3"/>
      <c r="U367" s="3"/>
      <c r="V367" s="3"/>
      <c r="W367" s="3"/>
      <c r="X367" s="3"/>
      <c r="Y367" s="3"/>
      <c r="Z367" s="3"/>
    </row>
    <row r="368" spans="1:26" ht="22.5" customHeight="1" x14ac:dyDescent="0.85">
      <c r="A368" s="377"/>
      <c r="B368" s="377"/>
      <c r="C368" s="377"/>
      <c r="D368" s="377"/>
      <c r="E368" s="377"/>
      <c r="F368" s="377"/>
      <c r="G368" s="377"/>
      <c r="H368" s="377"/>
      <c r="I368" s="377"/>
      <c r="J368" s="377"/>
      <c r="K368" s="377"/>
      <c r="L368" s="377"/>
      <c r="M368" s="377"/>
      <c r="N368" s="377"/>
      <c r="O368" s="377"/>
      <c r="P368" s="377"/>
      <c r="Q368" s="377"/>
      <c r="R368" s="377"/>
      <c r="S368" s="377"/>
      <c r="T368" s="3"/>
      <c r="U368" s="3"/>
      <c r="V368" s="3"/>
      <c r="W368" s="3"/>
      <c r="X368" s="3"/>
      <c r="Y368" s="3"/>
      <c r="Z368" s="3"/>
    </row>
    <row r="369" spans="1:26" ht="22.5" customHeight="1" x14ac:dyDescent="0.85">
      <c r="A369" s="377"/>
      <c r="B369" s="377"/>
      <c r="C369" s="377"/>
      <c r="D369" s="377"/>
      <c r="E369" s="377"/>
      <c r="F369" s="377"/>
      <c r="G369" s="377"/>
      <c r="H369" s="377"/>
      <c r="I369" s="377"/>
      <c r="J369" s="377"/>
      <c r="K369" s="377"/>
      <c r="L369" s="377"/>
      <c r="M369" s="377"/>
      <c r="N369" s="377"/>
      <c r="O369" s="377"/>
      <c r="P369" s="377"/>
      <c r="Q369" s="377"/>
      <c r="R369" s="377"/>
      <c r="S369" s="377"/>
      <c r="T369" s="3"/>
      <c r="U369" s="3"/>
      <c r="V369" s="3"/>
      <c r="W369" s="3"/>
      <c r="X369" s="3"/>
      <c r="Y369" s="3"/>
      <c r="Z369" s="3"/>
    </row>
    <row r="370" spans="1:26" ht="22.5" customHeight="1" x14ac:dyDescent="0.85">
      <c r="A370" s="377"/>
      <c r="B370" s="377"/>
      <c r="C370" s="377"/>
      <c r="D370" s="377"/>
      <c r="E370" s="377"/>
      <c r="F370" s="377"/>
      <c r="G370" s="377"/>
      <c r="H370" s="377"/>
      <c r="I370" s="377"/>
      <c r="J370" s="377"/>
      <c r="K370" s="377"/>
      <c r="L370" s="377"/>
      <c r="M370" s="377"/>
      <c r="N370" s="377"/>
      <c r="O370" s="377"/>
      <c r="P370" s="377"/>
      <c r="Q370" s="377"/>
      <c r="R370" s="377"/>
      <c r="S370" s="377"/>
      <c r="T370" s="3"/>
      <c r="U370" s="3"/>
      <c r="V370" s="3"/>
      <c r="W370" s="3"/>
      <c r="X370" s="3"/>
      <c r="Y370" s="3"/>
      <c r="Z370" s="3"/>
    </row>
    <row r="371" spans="1:26" ht="22.5" customHeight="1" x14ac:dyDescent="0.85">
      <c r="A371" s="377"/>
      <c r="B371" s="377"/>
      <c r="C371" s="377"/>
      <c r="D371" s="377"/>
      <c r="E371" s="377"/>
      <c r="F371" s="377"/>
      <c r="G371" s="377"/>
      <c r="H371" s="377"/>
      <c r="I371" s="377"/>
      <c r="J371" s="377"/>
      <c r="K371" s="377"/>
      <c r="L371" s="377"/>
      <c r="M371" s="377"/>
      <c r="N371" s="377"/>
      <c r="O371" s="377"/>
      <c r="P371" s="377"/>
      <c r="Q371" s="377"/>
      <c r="R371" s="377"/>
      <c r="S371" s="377"/>
      <c r="T371" s="3"/>
      <c r="U371" s="3"/>
      <c r="V371" s="3"/>
      <c r="W371" s="3"/>
      <c r="X371" s="3"/>
      <c r="Y371" s="3"/>
      <c r="Z371" s="3"/>
    </row>
    <row r="372" spans="1:26" ht="22.5" customHeight="1" x14ac:dyDescent="0.85">
      <c r="A372" s="377"/>
      <c r="B372" s="377"/>
      <c r="C372" s="377"/>
      <c r="D372" s="377"/>
      <c r="E372" s="377"/>
      <c r="F372" s="377"/>
      <c r="G372" s="377"/>
      <c r="H372" s="377"/>
      <c r="I372" s="377"/>
      <c r="J372" s="377"/>
      <c r="K372" s="377"/>
      <c r="L372" s="377"/>
      <c r="M372" s="377"/>
      <c r="N372" s="377"/>
      <c r="O372" s="377"/>
      <c r="P372" s="377"/>
      <c r="Q372" s="377"/>
      <c r="R372" s="377"/>
      <c r="S372" s="377"/>
      <c r="T372" s="3"/>
      <c r="U372" s="3"/>
      <c r="V372" s="3"/>
      <c r="W372" s="3"/>
      <c r="X372" s="3"/>
      <c r="Y372" s="3"/>
      <c r="Z372" s="3"/>
    </row>
    <row r="373" spans="1:26" ht="22.5" customHeight="1" x14ac:dyDescent="0.85">
      <c r="A373" s="377"/>
      <c r="B373" s="377"/>
      <c r="C373" s="377"/>
      <c r="D373" s="377"/>
      <c r="E373" s="377"/>
      <c r="F373" s="377"/>
      <c r="G373" s="377"/>
      <c r="H373" s="377"/>
      <c r="I373" s="377"/>
      <c r="J373" s="377"/>
      <c r="K373" s="377"/>
      <c r="L373" s="377"/>
      <c r="M373" s="377"/>
      <c r="N373" s="377"/>
      <c r="O373" s="377"/>
      <c r="P373" s="377"/>
      <c r="Q373" s="377"/>
      <c r="R373" s="377"/>
      <c r="S373" s="377"/>
      <c r="T373" s="3"/>
      <c r="U373" s="3"/>
      <c r="V373" s="3"/>
      <c r="W373" s="3"/>
      <c r="X373" s="3"/>
      <c r="Y373" s="3"/>
      <c r="Z373" s="3"/>
    </row>
    <row r="374" spans="1:26" ht="22.5" customHeight="1" x14ac:dyDescent="0.85">
      <c r="A374" s="377"/>
      <c r="B374" s="377"/>
      <c r="C374" s="377"/>
      <c r="D374" s="377"/>
      <c r="E374" s="377"/>
      <c r="F374" s="377"/>
      <c r="G374" s="377"/>
      <c r="H374" s="377"/>
      <c r="I374" s="377"/>
      <c r="J374" s="377"/>
      <c r="K374" s="377"/>
      <c r="L374" s="377"/>
      <c r="M374" s="377"/>
      <c r="N374" s="377"/>
      <c r="O374" s="377"/>
      <c r="P374" s="377"/>
      <c r="Q374" s="377"/>
      <c r="R374" s="377"/>
      <c r="S374" s="377"/>
      <c r="T374" s="3"/>
      <c r="U374" s="3"/>
      <c r="V374" s="3"/>
      <c r="W374" s="3"/>
      <c r="X374" s="3"/>
      <c r="Y374" s="3"/>
      <c r="Z374" s="3"/>
    </row>
    <row r="375" spans="1:26" ht="22.5" customHeight="1" x14ac:dyDescent="0.85">
      <c r="A375" s="377"/>
      <c r="B375" s="377"/>
      <c r="C375" s="377"/>
      <c r="D375" s="377"/>
      <c r="E375" s="377"/>
      <c r="F375" s="377"/>
      <c r="G375" s="377"/>
      <c r="H375" s="377"/>
      <c r="I375" s="377"/>
      <c r="J375" s="377"/>
      <c r="K375" s="377"/>
      <c r="L375" s="377"/>
      <c r="M375" s="377"/>
      <c r="N375" s="377"/>
      <c r="O375" s="377"/>
      <c r="P375" s="377"/>
      <c r="Q375" s="377"/>
      <c r="R375" s="377"/>
      <c r="S375" s="377"/>
      <c r="T375" s="3"/>
      <c r="U375" s="3"/>
      <c r="V375" s="3"/>
      <c r="W375" s="3"/>
      <c r="X375" s="3"/>
      <c r="Y375" s="3"/>
      <c r="Z375" s="3"/>
    </row>
    <row r="376" spans="1:26" ht="22.5" customHeight="1" x14ac:dyDescent="0.85">
      <c r="A376" s="377"/>
      <c r="B376" s="377"/>
      <c r="C376" s="377"/>
      <c r="D376" s="377"/>
      <c r="E376" s="377"/>
      <c r="F376" s="377"/>
      <c r="G376" s="377"/>
      <c r="H376" s="377"/>
      <c r="I376" s="377"/>
      <c r="J376" s="377"/>
      <c r="K376" s="377"/>
      <c r="L376" s="377"/>
      <c r="M376" s="377"/>
      <c r="N376" s="377"/>
      <c r="O376" s="377"/>
      <c r="P376" s="377"/>
      <c r="Q376" s="377"/>
      <c r="R376" s="377"/>
      <c r="S376" s="377"/>
      <c r="T376" s="3"/>
      <c r="U376" s="3"/>
      <c r="V376" s="3"/>
      <c r="W376" s="3"/>
      <c r="X376" s="3"/>
      <c r="Y376" s="3"/>
      <c r="Z376" s="3"/>
    </row>
    <row r="377" spans="1:26" ht="22.5" customHeight="1" x14ac:dyDescent="0.85">
      <c r="A377" s="377"/>
      <c r="B377" s="377"/>
      <c r="C377" s="377"/>
      <c r="D377" s="377"/>
      <c r="E377" s="377"/>
      <c r="F377" s="377"/>
      <c r="G377" s="377"/>
      <c r="H377" s="377"/>
      <c r="I377" s="377"/>
      <c r="J377" s="377"/>
      <c r="K377" s="377"/>
      <c r="L377" s="377"/>
      <c r="M377" s="377"/>
      <c r="N377" s="377"/>
      <c r="O377" s="377"/>
      <c r="P377" s="377"/>
      <c r="Q377" s="377"/>
      <c r="R377" s="377"/>
      <c r="S377" s="377"/>
      <c r="T377" s="3"/>
      <c r="U377" s="3"/>
      <c r="V377" s="3"/>
      <c r="W377" s="3"/>
      <c r="X377" s="3"/>
      <c r="Y377" s="3"/>
      <c r="Z377" s="3"/>
    </row>
    <row r="378" spans="1:26" ht="22.5" customHeight="1" x14ac:dyDescent="0.85">
      <c r="A378" s="377"/>
      <c r="B378" s="377"/>
      <c r="C378" s="377"/>
      <c r="D378" s="377"/>
      <c r="E378" s="377"/>
      <c r="F378" s="377"/>
      <c r="G378" s="377"/>
      <c r="H378" s="377"/>
      <c r="I378" s="377"/>
      <c r="J378" s="377"/>
      <c r="K378" s="377"/>
      <c r="L378" s="377"/>
      <c r="M378" s="377"/>
      <c r="N378" s="377"/>
      <c r="O378" s="377"/>
      <c r="P378" s="377"/>
      <c r="Q378" s="377"/>
      <c r="R378" s="377"/>
      <c r="S378" s="377"/>
      <c r="T378" s="3"/>
      <c r="U378" s="3"/>
      <c r="V378" s="3"/>
      <c r="W378" s="3"/>
      <c r="X378" s="3"/>
      <c r="Y378" s="3"/>
      <c r="Z378" s="3"/>
    </row>
    <row r="379" spans="1:26" ht="22.5" customHeight="1" x14ac:dyDescent="0.85">
      <c r="A379" s="377"/>
      <c r="B379" s="377"/>
      <c r="C379" s="377"/>
      <c r="D379" s="377"/>
      <c r="E379" s="377"/>
      <c r="F379" s="377"/>
      <c r="G379" s="377"/>
      <c r="H379" s="377"/>
      <c r="I379" s="377"/>
      <c r="J379" s="377"/>
      <c r="K379" s="377"/>
      <c r="L379" s="377"/>
      <c r="M379" s="377"/>
      <c r="N379" s="377"/>
      <c r="O379" s="377"/>
      <c r="P379" s="377"/>
      <c r="Q379" s="377"/>
      <c r="R379" s="377"/>
      <c r="S379" s="377"/>
      <c r="T379" s="3"/>
      <c r="U379" s="3"/>
      <c r="V379" s="3"/>
      <c r="W379" s="3"/>
      <c r="X379" s="3"/>
      <c r="Y379" s="3"/>
      <c r="Z379" s="3"/>
    </row>
    <row r="380" spans="1:26" ht="22.5" customHeight="1" x14ac:dyDescent="0.85">
      <c r="A380" s="377"/>
      <c r="B380" s="377"/>
      <c r="C380" s="377"/>
      <c r="D380" s="377"/>
      <c r="E380" s="377"/>
      <c r="F380" s="377"/>
      <c r="G380" s="377"/>
      <c r="H380" s="377"/>
      <c r="I380" s="377"/>
      <c r="J380" s="377"/>
      <c r="K380" s="377"/>
      <c r="L380" s="377"/>
      <c r="M380" s="377"/>
      <c r="N380" s="377"/>
      <c r="O380" s="377"/>
      <c r="P380" s="377"/>
      <c r="Q380" s="377"/>
      <c r="R380" s="377"/>
      <c r="S380" s="377"/>
      <c r="T380" s="3"/>
      <c r="U380" s="3"/>
      <c r="V380" s="3"/>
      <c r="W380" s="3"/>
      <c r="X380" s="3"/>
      <c r="Y380" s="3"/>
      <c r="Z380" s="3"/>
    </row>
    <row r="381" spans="1:26" ht="22.5" customHeight="1" x14ac:dyDescent="0.85">
      <c r="A381" s="377"/>
      <c r="B381" s="377"/>
      <c r="C381" s="377"/>
      <c r="D381" s="377"/>
      <c r="E381" s="377"/>
      <c r="F381" s="377"/>
      <c r="G381" s="377"/>
      <c r="H381" s="377"/>
      <c r="I381" s="377"/>
      <c r="J381" s="377"/>
      <c r="K381" s="377"/>
      <c r="L381" s="377"/>
      <c r="M381" s="377"/>
      <c r="N381" s="377"/>
      <c r="O381" s="377"/>
      <c r="P381" s="377"/>
      <c r="Q381" s="377"/>
      <c r="R381" s="377"/>
      <c r="S381" s="377"/>
      <c r="T381" s="3"/>
      <c r="U381" s="3"/>
      <c r="V381" s="3"/>
      <c r="W381" s="3"/>
      <c r="X381" s="3"/>
      <c r="Y381" s="3"/>
      <c r="Z381" s="3"/>
    </row>
    <row r="382" spans="1:26" ht="22.5" customHeight="1" x14ac:dyDescent="0.85">
      <c r="A382" s="377"/>
      <c r="B382" s="377"/>
      <c r="C382" s="377"/>
      <c r="D382" s="377"/>
      <c r="E382" s="377"/>
      <c r="F382" s="377"/>
      <c r="G382" s="377"/>
      <c r="H382" s="377"/>
      <c r="I382" s="377"/>
      <c r="J382" s="377"/>
      <c r="K382" s="377"/>
      <c r="L382" s="377"/>
      <c r="M382" s="377"/>
      <c r="N382" s="377"/>
      <c r="O382" s="377"/>
      <c r="P382" s="377"/>
      <c r="Q382" s="377"/>
      <c r="R382" s="377"/>
      <c r="S382" s="377"/>
      <c r="T382" s="3"/>
      <c r="U382" s="3"/>
      <c r="V382" s="3"/>
      <c r="W382" s="3"/>
      <c r="X382" s="3"/>
      <c r="Y382" s="3"/>
      <c r="Z382" s="3"/>
    </row>
    <row r="383" spans="1:26" ht="22.5" customHeight="1" x14ac:dyDescent="0.85">
      <c r="A383" s="377"/>
      <c r="B383" s="377"/>
      <c r="C383" s="377"/>
      <c r="D383" s="377"/>
      <c r="E383" s="377"/>
      <c r="F383" s="377"/>
      <c r="G383" s="377"/>
      <c r="H383" s="377"/>
      <c r="I383" s="377"/>
      <c r="J383" s="377"/>
      <c r="K383" s="377"/>
      <c r="L383" s="377"/>
      <c r="M383" s="377"/>
      <c r="N383" s="377"/>
      <c r="O383" s="377"/>
      <c r="P383" s="377"/>
      <c r="Q383" s="377"/>
      <c r="R383" s="377"/>
      <c r="S383" s="377"/>
      <c r="T383" s="3"/>
      <c r="U383" s="3"/>
      <c r="V383" s="3"/>
      <c r="W383" s="3"/>
      <c r="X383" s="3"/>
      <c r="Y383" s="3"/>
      <c r="Z383" s="3"/>
    </row>
    <row r="384" spans="1:26" ht="22.5" customHeight="1" x14ac:dyDescent="0.85">
      <c r="A384" s="377"/>
      <c r="B384" s="377"/>
      <c r="C384" s="377"/>
      <c r="D384" s="377"/>
      <c r="E384" s="377"/>
      <c r="F384" s="377"/>
      <c r="G384" s="377"/>
      <c r="H384" s="377"/>
      <c r="I384" s="377"/>
      <c r="J384" s="377"/>
      <c r="K384" s="377"/>
      <c r="L384" s="377"/>
      <c r="M384" s="377"/>
      <c r="N384" s="377"/>
      <c r="O384" s="377"/>
      <c r="P384" s="377"/>
      <c r="Q384" s="377"/>
      <c r="R384" s="377"/>
      <c r="S384" s="377"/>
      <c r="T384" s="3"/>
      <c r="U384" s="3"/>
      <c r="V384" s="3"/>
      <c r="W384" s="3"/>
      <c r="X384" s="3"/>
      <c r="Y384" s="3"/>
      <c r="Z384" s="3"/>
    </row>
    <row r="385" spans="1:26" ht="22.5" customHeight="1" x14ac:dyDescent="0.85">
      <c r="A385" s="377"/>
      <c r="B385" s="377"/>
      <c r="C385" s="377"/>
      <c r="D385" s="377"/>
      <c r="E385" s="377"/>
      <c r="F385" s="377"/>
      <c r="G385" s="377"/>
      <c r="H385" s="377"/>
      <c r="I385" s="377"/>
      <c r="J385" s="377"/>
      <c r="K385" s="377"/>
      <c r="L385" s="377"/>
      <c r="M385" s="377"/>
      <c r="N385" s="377"/>
      <c r="O385" s="377"/>
      <c r="P385" s="377"/>
      <c r="Q385" s="377"/>
      <c r="R385" s="377"/>
      <c r="S385" s="377"/>
      <c r="T385" s="3"/>
      <c r="U385" s="3"/>
      <c r="V385" s="3"/>
      <c r="W385" s="3"/>
      <c r="X385" s="3"/>
      <c r="Y385" s="3"/>
      <c r="Z385" s="3"/>
    </row>
    <row r="386" spans="1:26" ht="22.5" customHeight="1" x14ac:dyDescent="0.85">
      <c r="A386" s="377"/>
      <c r="B386" s="377"/>
      <c r="C386" s="377"/>
      <c r="D386" s="377"/>
      <c r="E386" s="377"/>
      <c r="F386" s="377"/>
      <c r="G386" s="377"/>
      <c r="H386" s="377"/>
      <c r="I386" s="377"/>
      <c r="J386" s="377"/>
      <c r="K386" s="377"/>
      <c r="L386" s="377"/>
      <c r="M386" s="377"/>
      <c r="N386" s="377"/>
      <c r="O386" s="377"/>
      <c r="P386" s="377"/>
      <c r="Q386" s="377"/>
      <c r="R386" s="377"/>
      <c r="S386" s="377"/>
      <c r="T386" s="3"/>
      <c r="U386" s="3"/>
      <c r="V386" s="3"/>
      <c r="W386" s="3"/>
      <c r="X386" s="3"/>
      <c r="Y386" s="3"/>
      <c r="Z386" s="3"/>
    </row>
    <row r="387" spans="1:26" ht="22.5" customHeight="1" x14ac:dyDescent="0.85">
      <c r="A387" s="377"/>
      <c r="B387" s="377"/>
      <c r="C387" s="377"/>
      <c r="D387" s="377"/>
      <c r="E387" s="377"/>
      <c r="F387" s="377"/>
      <c r="G387" s="377"/>
      <c r="H387" s="377"/>
      <c r="I387" s="377"/>
      <c r="J387" s="377"/>
      <c r="K387" s="377"/>
      <c r="L387" s="377"/>
      <c r="M387" s="377"/>
      <c r="N387" s="377"/>
      <c r="O387" s="377"/>
      <c r="P387" s="377"/>
      <c r="Q387" s="377"/>
      <c r="R387" s="377"/>
      <c r="S387" s="377"/>
      <c r="T387" s="3"/>
      <c r="U387" s="3"/>
      <c r="V387" s="3"/>
      <c r="W387" s="3"/>
      <c r="X387" s="3"/>
      <c r="Y387" s="3"/>
      <c r="Z387" s="3"/>
    </row>
    <row r="388" spans="1:26" ht="22.5" customHeight="1" x14ac:dyDescent="0.85">
      <c r="A388" s="377"/>
      <c r="B388" s="377"/>
      <c r="C388" s="377"/>
      <c r="D388" s="377"/>
      <c r="E388" s="377"/>
      <c r="F388" s="377"/>
      <c r="G388" s="377"/>
      <c r="H388" s="377"/>
      <c r="I388" s="377"/>
      <c r="J388" s="377"/>
      <c r="K388" s="377"/>
      <c r="L388" s="377"/>
      <c r="M388" s="377"/>
      <c r="N388" s="377"/>
      <c r="O388" s="377"/>
      <c r="P388" s="377"/>
      <c r="Q388" s="377"/>
      <c r="R388" s="377"/>
      <c r="S388" s="377"/>
      <c r="T388" s="3"/>
      <c r="U388" s="3"/>
      <c r="V388" s="3"/>
      <c r="W388" s="3"/>
      <c r="X388" s="3"/>
      <c r="Y388" s="3"/>
      <c r="Z388" s="3"/>
    </row>
    <row r="389" spans="1:26" ht="22.5" customHeight="1" x14ac:dyDescent="0.85">
      <c r="A389" s="377"/>
      <c r="B389" s="377"/>
      <c r="C389" s="377"/>
      <c r="D389" s="377"/>
      <c r="E389" s="377"/>
      <c r="F389" s="377"/>
      <c r="G389" s="377"/>
      <c r="H389" s="377"/>
      <c r="I389" s="377"/>
      <c r="J389" s="377"/>
      <c r="K389" s="377"/>
      <c r="L389" s="377"/>
      <c r="M389" s="377"/>
      <c r="N389" s="377"/>
      <c r="O389" s="377"/>
      <c r="P389" s="377"/>
      <c r="Q389" s="377"/>
      <c r="R389" s="377"/>
      <c r="S389" s="377"/>
      <c r="T389" s="3"/>
      <c r="U389" s="3"/>
      <c r="V389" s="3"/>
      <c r="W389" s="3"/>
      <c r="X389" s="3"/>
      <c r="Y389" s="3"/>
      <c r="Z389" s="3"/>
    </row>
    <row r="390" spans="1:26" ht="22.5" customHeight="1" x14ac:dyDescent="0.85">
      <c r="A390" s="377"/>
      <c r="B390" s="377"/>
      <c r="C390" s="377"/>
      <c r="D390" s="377"/>
      <c r="E390" s="377"/>
      <c r="F390" s="377"/>
      <c r="G390" s="377"/>
      <c r="H390" s="377"/>
      <c r="I390" s="377"/>
      <c r="J390" s="377"/>
      <c r="K390" s="377"/>
      <c r="L390" s="377"/>
      <c r="M390" s="377"/>
      <c r="N390" s="377"/>
      <c r="O390" s="377"/>
      <c r="P390" s="377"/>
      <c r="Q390" s="377"/>
      <c r="R390" s="377"/>
      <c r="S390" s="377"/>
      <c r="T390" s="3"/>
      <c r="U390" s="3"/>
      <c r="V390" s="3"/>
      <c r="W390" s="3"/>
      <c r="X390" s="3"/>
      <c r="Y390" s="3"/>
      <c r="Z390" s="3"/>
    </row>
    <row r="391" spans="1:26" ht="22.5" customHeight="1" x14ac:dyDescent="0.85">
      <c r="A391" s="377"/>
      <c r="B391" s="377"/>
      <c r="C391" s="377"/>
      <c r="D391" s="377"/>
      <c r="E391" s="377"/>
      <c r="F391" s="377"/>
      <c r="G391" s="377"/>
      <c r="H391" s="377"/>
      <c r="I391" s="377"/>
      <c r="J391" s="377"/>
      <c r="K391" s="377"/>
      <c r="L391" s="377"/>
      <c r="M391" s="377"/>
      <c r="N391" s="377"/>
      <c r="O391" s="377"/>
      <c r="P391" s="377"/>
      <c r="Q391" s="377"/>
      <c r="R391" s="377"/>
      <c r="S391" s="377"/>
      <c r="T391" s="3"/>
      <c r="U391" s="3"/>
      <c r="V391" s="3"/>
      <c r="W391" s="3"/>
      <c r="X391" s="3"/>
      <c r="Y391" s="3"/>
      <c r="Z391" s="3"/>
    </row>
    <row r="392" spans="1:26" ht="22.5" customHeight="1" x14ac:dyDescent="0.85">
      <c r="A392" s="377"/>
      <c r="B392" s="377"/>
      <c r="C392" s="377"/>
      <c r="D392" s="377"/>
      <c r="E392" s="377"/>
      <c r="F392" s="377"/>
      <c r="G392" s="377"/>
      <c r="H392" s="377"/>
      <c r="I392" s="377"/>
      <c r="J392" s="377"/>
      <c r="K392" s="377"/>
      <c r="L392" s="377"/>
      <c r="M392" s="377"/>
      <c r="N392" s="377"/>
      <c r="O392" s="377"/>
      <c r="P392" s="377"/>
      <c r="Q392" s="377"/>
      <c r="R392" s="377"/>
      <c r="S392" s="377"/>
      <c r="T392" s="3"/>
      <c r="U392" s="3"/>
      <c r="V392" s="3"/>
      <c r="W392" s="3"/>
      <c r="X392" s="3"/>
      <c r="Y392" s="3"/>
      <c r="Z392" s="3"/>
    </row>
    <row r="393" spans="1:26" ht="22.5" customHeight="1" x14ac:dyDescent="0.85">
      <c r="A393" s="377"/>
      <c r="B393" s="377"/>
      <c r="C393" s="377"/>
      <c r="D393" s="377"/>
      <c r="E393" s="377"/>
      <c r="F393" s="377"/>
      <c r="G393" s="377"/>
      <c r="H393" s="377"/>
      <c r="I393" s="377"/>
      <c r="J393" s="377"/>
      <c r="K393" s="377"/>
      <c r="L393" s="377"/>
      <c r="M393" s="377"/>
      <c r="N393" s="377"/>
      <c r="O393" s="377"/>
      <c r="P393" s="377"/>
      <c r="Q393" s="377"/>
      <c r="R393" s="377"/>
      <c r="S393" s="377"/>
      <c r="T393" s="3"/>
      <c r="U393" s="3"/>
      <c r="V393" s="3"/>
      <c r="W393" s="3"/>
      <c r="X393" s="3"/>
      <c r="Y393" s="3"/>
      <c r="Z393" s="3"/>
    </row>
    <row r="394" spans="1:26" ht="22.5" customHeight="1" x14ac:dyDescent="0.85">
      <c r="A394" s="377"/>
      <c r="B394" s="377"/>
      <c r="C394" s="377"/>
      <c r="D394" s="377"/>
      <c r="E394" s="377"/>
      <c r="F394" s="377"/>
      <c r="G394" s="377"/>
      <c r="H394" s="377"/>
      <c r="I394" s="377"/>
      <c r="J394" s="377"/>
      <c r="K394" s="377"/>
      <c r="L394" s="377"/>
      <c r="M394" s="377"/>
      <c r="N394" s="377"/>
      <c r="O394" s="377"/>
      <c r="P394" s="377"/>
      <c r="Q394" s="377"/>
      <c r="R394" s="377"/>
      <c r="S394" s="377"/>
      <c r="T394" s="3"/>
      <c r="U394" s="3"/>
      <c r="V394" s="3"/>
      <c r="W394" s="3"/>
      <c r="X394" s="3"/>
      <c r="Y394" s="3"/>
      <c r="Z394" s="3"/>
    </row>
    <row r="395" spans="1:26" ht="22.5" customHeight="1" x14ac:dyDescent="0.85">
      <c r="A395" s="377"/>
      <c r="B395" s="377"/>
      <c r="C395" s="377"/>
      <c r="D395" s="377"/>
      <c r="E395" s="377"/>
      <c r="F395" s="377"/>
      <c r="G395" s="377"/>
      <c r="H395" s="377"/>
      <c r="I395" s="377"/>
      <c r="J395" s="377"/>
      <c r="K395" s="377"/>
      <c r="L395" s="377"/>
      <c r="M395" s="377"/>
      <c r="N395" s="377"/>
      <c r="O395" s="377"/>
      <c r="P395" s="377"/>
      <c r="Q395" s="377"/>
      <c r="R395" s="377"/>
      <c r="S395" s="377"/>
      <c r="T395" s="3"/>
      <c r="U395" s="3"/>
      <c r="V395" s="3"/>
      <c r="W395" s="3"/>
      <c r="X395" s="3"/>
      <c r="Y395" s="3"/>
      <c r="Z395" s="3"/>
    </row>
    <row r="396" spans="1:26" ht="22.5" customHeight="1" x14ac:dyDescent="0.85">
      <c r="A396" s="377"/>
      <c r="B396" s="377"/>
      <c r="C396" s="377"/>
      <c r="D396" s="377"/>
      <c r="E396" s="377"/>
      <c r="F396" s="377"/>
      <c r="G396" s="377"/>
      <c r="H396" s="377"/>
      <c r="I396" s="377"/>
      <c r="J396" s="377"/>
      <c r="K396" s="377"/>
      <c r="L396" s="377"/>
      <c r="M396" s="377"/>
      <c r="N396" s="377"/>
      <c r="O396" s="377"/>
      <c r="P396" s="377"/>
      <c r="Q396" s="377"/>
      <c r="R396" s="377"/>
      <c r="S396" s="377"/>
      <c r="T396" s="3"/>
      <c r="U396" s="3"/>
      <c r="V396" s="3"/>
      <c r="W396" s="3"/>
      <c r="X396" s="3"/>
      <c r="Y396" s="3"/>
      <c r="Z396" s="3"/>
    </row>
    <row r="397" spans="1:26" ht="22.5" customHeight="1" x14ac:dyDescent="0.85">
      <c r="A397" s="377"/>
      <c r="B397" s="377"/>
      <c r="C397" s="377"/>
      <c r="D397" s="377"/>
      <c r="E397" s="377"/>
      <c r="F397" s="377"/>
      <c r="G397" s="377"/>
      <c r="H397" s="377"/>
      <c r="I397" s="377"/>
      <c r="J397" s="377"/>
      <c r="K397" s="377"/>
      <c r="L397" s="377"/>
      <c r="M397" s="377"/>
      <c r="N397" s="377"/>
      <c r="O397" s="377"/>
      <c r="P397" s="377"/>
      <c r="Q397" s="377"/>
      <c r="R397" s="377"/>
      <c r="S397" s="377"/>
      <c r="T397" s="3"/>
      <c r="U397" s="3"/>
      <c r="V397" s="3"/>
      <c r="W397" s="3"/>
      <c r="X397" s="3"/>
      <c r="Y397" s="3"/>
      <c r="Z397" s="3"/>
    </row>
    <row r="398" spans="1:26" ht="22.5" customHeight="1" x14ac:dyDescent="0.85">
      <c r="A398" s="377"/>
      <c r="B398" s="377"/>
      <c r="C398" s="377"/>
      <c r="D398" s="377"/>
      <c r="E398" s="377"/>
      <c r="F398" s="377"/>
      <c r="G398" s="377"/>
      <c r="H398" s="377"/>
      <c r="I398" s="377"/>
      <c r="J398" s="377"/>
      <c r="K398" s="377"/>
      <c r="L398" s="377"/>
      <c r="M398" s="377"/>
      <c r="N398" s="377"/>
      <c r="O398" s="377"/>
      <c r="P398" s="377"/>
      <c r="Q398" s="377"/>
      <c r="R398" s="377"/>
      <c r="S398" s="377"/>
      <c r="T398" s="3"/>
      <c r="U398" s="3"/>
      <c r="V398" s="3"/>
      <c r="W398" s="3"/>
      <c r="X398" s="3"/>
      <c r="Y398" s="3"/>
      <c r="Z398" s="3"/>
    </row>
    <row r="399" spans="1:26" ht="22.5" customHeight="1" x14ac:dyDescent="0.85">
      <c r="A399" s="377"/>
      <c r="B399" s="377"/>
      <c r="C399" s="377"/>
      <c r="D399" s="377"/>
      <c r="E399" s="377"/>
      <c r="F399" s="377"/>
      <c r="G399" s="377"/>
      <c r="H399" s="377"/>
      <c r="I399" s="377"/>
      <c r="J399" s="377"/>
      <c r="K399" s="377"/>
      <c r="L399" s="377"/>
      <c r="M399" s="377"/>
      <c r="N399" s="377"/>
      <c r="O399" s="377"/>
      <c r="P399" s="377"/>
      <c r="Q399" s="377"/>
      <c r="R399" s="377"/>
      <c r="S399" s="377"/>
      <c r="T399" s="3"/>
      <c r="U399" s="3"/>
      <c r="V399" s="3"/>
      <c r="W399" s="3"/>
      <c r="X399" s="3"/>
      <c r="Y399" s="3"/>
      <c r="Z399" s="3"/>
    </row>
    <row r="400" spans="1:26" ht="22.5" customHeight="1" x14ac:dyDescent="0.85">
      <c r="A400" s="377"/>
      <c r="B400" s="377"/>
      <c r="C400" s="377"/>
      <c r="D400" s="377"/>
      <c r="E400" s="377"/>
      <c r="F400" s="377"/>
      <c r="G400" s="377"/>
      <c r="H400" s="377"/>
      <c r="I400" s="377"/>
      <c r="J400" s="377"/>
      <c r="K400" s="377"/>
      <c r="L400" s="377"/>
      <c r="M400" s="377"/>
      <c r="N400" s="377"/>
      <c r="O400" s="377"/>
      <c r="P400" s="377"/>
      <c r="Q400" s="377"/>
      <c r="R400" s="377"/>
      <c r="S400" s="377"/>
      <c r="T400" s="3"/>
      <c r="U400" s="3"/>
      <c r="V400" s="3"/>
      <c r="W400" s="3"/>
      <c r="X400" s="3"/>
      <c r="Y400" s="3"/>
      <c r="Z400" s="3"/>
    </row>
    <row r="401" spans="1:26" ht="22.5" customHeight="1" x14ac:dyDescent="0.85">
      <c r="A401" s="377"/>
      <c r="B401" s="377"/>
      <c r="C401" s="377"/>
      <c r="D401" s="377"/>
      <c r="E401" s="377"/>
      <c r="F401" s="377"/>
      <c r="G401" s="377"/>
      <c r="H401" s="377"/>
      <c r="I401" s="377"/>
      <c r="J401" s="377"/>
      <c r="K401" s="377"/>
      <c r="L401" s="377"/>
      <c r="M401" s="377"/>
      <c r="N401" s="377"/>
      <c r="O401" s="377"/>
      <c r="P401" s="377"/>
      <c r="Q401" s="377"/>
      <c r="R401" s="377"/>
      <c r="S401" s="377"/>
      <c r="T401" s="3"/>
      <c r="U401" s="3"/>
      <c r="V401" s="3"/>
      <c r="W401" s="3"/>
      <c r="X401" s="3"/>
      <c r="Y401" s="3"/>
      <c r="Z401" s="3"/>
    </row>
    <row r="402" spans="1:26" ht="22.5" customHeight="1" x14ac:dyDescent="0.85">
      <c r="A402" s="377"/>
      <c r="B402" s="377"/>
      <c r="C402" s="377"/>
      <c r="D402" s="377"/>
      <c r="E402" s="377"/>
      <c r="F402" s="377"/>
      <c r="G402" s="377"/>
      <c r="H402" s="377"/>
      <c r="I402" s="377"/>
      <c r="J402" s="377"/>
      <c r="K402" s="377"/>
      <c r="L402" s="377"/>
      <c r="M402" s="377"/>
      <c r="N402" s="377"/>
      <c r="O402" s="377"/>
      <c r="P402" s="377"/>
      <c r="Q402" s="377"/>
      <c r="R402" s="377"/>
      <c r="S402" s="377"/>
      <c r="T402" s="3"/>
      <c r="U402" s="3"/>
      <c r="V402" s="3"/>
      <c r="W402" s="3"/>
      <c r="X402" s="3"/>
      <c r="Y402" s="3"/>
      <c r="Z402" s="3"/>
    </row>
    <row r="403" spans="1:26" ht="22.5" customHeight="1" x14ac:dyDescent="0.85">
      <c r="A403" s="377"/>
      <c r="B403" s="377"/>
      <c r="C403" s="377"/>
      <c r="D403" s="377"/>
      <c r="E403" s="377"/>
      <c r="F403" s="377"/>
      <c r="G403" s="377"/>
      <c r="H403" s="377"/>
      <c r="I403" s="377"/>
      <c r="J403" s="377"/>
      <c r="K403" s="377"/>
      <c r="L403" s="377"/>
      <c r="M403" s="377"/>
      <c r="N403" s="377"/>
      <c r="O403" s="377"/>
      <c r="P403" s="377"/>
      <c r="Q403" s="377"/>
      <c r="R403" s="377"/>
      <c r="S403" s="377"/>
      <c r="T403" s="3"/>
      <c r="U403" s="3"/>
      <c r="V403" s="3"/>
      <c r="W403" s="3"/>
      <c r="X403" s="3"/>
      <c r="Y403" s="3"/>
      <c r="Z403" s="3"/>
    </row>
    <row r="404" spans="1:26" ht="22.5" customHeight="1" x14ac:dyDescent="0.85">
      <c r="A404" s="377"/>
      <c r="B404" s="377"/>
      <c r="C404" s="377"/>
      <c r="D404" s="377"/>
      <c r="E404" s="377"/>
      <c r="F404" s="377"/>
      <c r="G404" s="377"/>
      <c r="H404" s="377"/>
      <c r="I404" s="377"/>
      <c r="J404" s="377"/>
      <c r="K404" s="377"/>
      <c r="L404" s="377"/>
      <c r="M404" s="377"/>
      <c r="N404" s="377"/>
      <c r="O404" s="377"/>
      <c r="P404" s="377"/>
      <c r="Q404" s="377"/>
      <c r="R404" s="377"/>
      <c r="S404" s="377"/>
      <c r="T404" s="3"/>
      <c r="U404" s="3"/>
      <c r="V404" s="3"/>
      <c r="W404" s="3"/>
      <c r="X404" s="3"/>
      <c r="Y404" s="3"/>
      <c r="Z404" s="3"/>
    </row>
    <row r="405" spans="1:26" ht="22.5" customHeight="1" x14ac:dyDescent="0.85">
      <c r="A405" s="377"/>
      <c r="B405" s="377"/>
      <c r="C405" s="377"/>
      <c r="D405" s="377"/>
      <c r="E405" s="377"/>
      <c r="F405" s="377"/>
      <c r="G405" s="377"/>
      <c r="H405" s="377"/>
      <c r="I405" s="377"/>
      <c r="J405" s="377"/>
      <c r="K405" s="377"/>
      <c r="L405" s="377"/>
      <c r="M405" s="377"/>
      <c r="N405" s="377"/>
      <c r="O405" s="377"/>
      <c r="P405" s="377"/>
      <c r="Q405" s="377"/>
      <c r="R405" s="377"/>
      <c r="S405" s="377"/>
      <c r="T405" s="3"/>
      <c r="U405" s="3"/>
      <c r="V405" s="3"/>
      <c r="W405" s="3"/>
      <c r="X405" s="3"/>
      <c r="Y405" s="3"/>
      <c r="Z405" s="3"/>
    </row>
    <row r="406" spans="1:26" ht="22.5" customHeight="1" x14ac:dyDescent="0.85">
      <c r="A406" s="377"/>
      <c r="B406" s="377"/>
      <c r="C406" s="377"/>
      <c r="D406" s="377"/>
      <c r="E406" s="377"/>
      <c r="F406" s="377"/>
      <c r="G406" s="377"/>
      <c r="H406" s="377"/>
      <c r="I406" s="377"/>
      <c r="J406" s="377"/>
      <c r="K406" s="377"/>
      <c r="L406" s="377"/>
      <c r="M406" s="377"/>
      <c r="N406" s="377"/>
      <c r="O406" s="377"/>
      <c r="P406" s="377"/>
      <c r="Q406" s="377"/>
      <c r="R406" s="377"/>
      <c r="S406" s="377"/>
      <c r="T406" s="3"/>
      <c r="U406" s="3"/>
      <c r="V406" s="3"/>
      <c r="W406" s="3"/>
      <c r="X406" s="3"/>
      <c r="Y406" s="3"/>
      <c r="Z406" s="3"/>
    </row>
    <row r="407" spans="1:26" ht="22.5" customHeight="1" x14ac:dyDescent="0.85">
      <c r="A407" s="377"/>
      <c r="B407" s="377"/>
      <c r="C407" s="377"/>
      <c r="D407" s="377"/>
      <c r="E407" s="377"/>
      <c r="F407" s="377"/>
      <c r="G407" s="377"/>
      <c r="H407" s="377"/>
      <c r="I407" s="377"/>
      <c r="J407" s="377"/>
      <c r="K407" s="377"/>
      <c r="L407" s="377"/>
      <c r="M407" s="377"/>
      <c r="N407" s="377"/>
      <c r="O407" s="377"/>
      <c r="P407" s="377"/>
      <c r="Q407" s="377"/>
      <c r="R407" s="377"/>
      <c r="S407" s="377"/>
      <c r="T407" s="3"/>
      <c r="U407" s="3"/>
      <c r="V407" s="3"/>
      <c r="W407" s="3"/>
      <c r="X407" s="3"/>
      <c r="Y407" s="3"/>
      <c r="Z407" s="3"/>
    </row>
    <row r="408" spans="1:26" ht="22.5" customHeight="1" x14ac:dyDescent="0.85">
      <c r="A408" s="377"/>
      <c r="B408" s="377"/>
      <c r="C408" s="377"/>
      <c r="D408" s="377"/>
      <c r="E408" s="377"/>
      <c r="F408" s="377"/>
      <c r="G408" s="377"/>
      <c r="H408" s="377"/>
      <c r="I408" s="377"/>
      <c r="J408" s="377"/>
      <c r="K408" s="377"/>
      <c r="L408" s="377"/>
      <c r="M408" s="377"/>
      <c r="N408" s="377"/>
      <c r="O408" s="377"/>
      <c r="P408" s="377"/>
      <c r="Q408" s="377"/>
      <c r="R408" s="377"/>
      <c r="S408" s="377"/>
      <c r="T408" s="3"/>
      <c r="U408" s="3"/>
      <c r="V408" s="3"/>
      <c r="W408" s="3"/>
      <c r="X408" s="3"/>
      <c r="Y408" s="3"/>
      <c r="Z408" s="3"/>
    </row>
    <row r="409" spans="1:26" ht="22.5" customHeight="1" x14ac:dyDescent="0.85">
      <c r="A409" s="377"/>
      <c r="B409" s="377"/>
      <c r="C409" s="377"/>
      <c r="D409" s="377"/>
      <c r="E409" s="377"/>
      <c r="F409" s="377"/>
      <c r="G409" s="377"/>
      <c r="H409" s="377"/>
      <c r="I409" s="377"/>
      <c r="J409" s="377"/>
      <c r="K409" s="377"/>
      <c r="L409" s="377"/>
      <c r="M409" s="377"/>
      <c r="N409" s="377"/>
      <c r="O409" s="377"/>
      <c r="P409" s="377"/>
      <c r="Q409" s="377"/>
      <c r="R409" s="377"/>
      <c r="S409" s="377"/>
      <c r="T409" s="3"/>
      <c r="U409" s="3"/>
      <c r="V409" s="3"/>
      <c r="W409" s="3"/>
      <c r="X409" s="3"/>
      <c r="Y409" s="3"/>
      <c r="Z409" s="3"/>
    </row>
    <row r="410" spans="1:26" ht="22.5" customHeight="1" x14ac:dyDescent="0.85">
      <c r="A410" s="377"/>
      <c r="B410" s="377"/>
      <c r="C410" s="377"/>
      <c r="D410" s="377"/>
      <c r="E410" s="377"/>
      <c r="F410" s="377"/>
      <c r="G410" s="377"/>
      <c r="H410" s="377"/>
      <c r="I410" s="377"/>
      <c r="J410" s="377"/>
      <c r="K410" s="377"/>
      <c r="L410" s="377"/>
      <c r="M410" s="377"/>
      <c r="N410" s="377"/>
      <c r="O410" s="377"/>
      <c r="P410" s="377"/>
      <c r="Q410" s="377"/>
      <c r="R410" s="377"/>
      <c r="S410" s="377"/>
      <c r="T410" s="3"/>
      <c r="U410" s="3"/>
      <c r="V410" s="3"/>
      <c r="W410" s="3"/>
      <c r="X410" s="3"/>
      <c r="Y410" s="3"/>
      <c r="Z410" s="3"/>
    </row>
    <row r="411" spans="1:26" ht="22.5" customHeight="1" x14ac:dyDescent="0.85">
      <c r="A411" s="377"/>
      <c r="B411" s="377"/>
      <c r="C411" s="377"/>
      <c r="D411" s="377"/>
      <c r="E411" s="377"/>
      <c r="F411" s="377"/>
      <c r="G411" s="377"/>
      <c r="H411" s="377"/>
      <c r="I411" s="377"/>
      <c r="J411" s="377"/>
      <c r="K411" s="377"/>
      <c r="L411" s="377"/>
      <c r="M411" s="377"/>
      <c r="N411" s="377"/>
      <c r="O411" s="377"/>
      <c r="P411" s="377"/>
      <c r="Q411" s="377"/>
      <c r="R411" s="377"/>
      <c r="S411" s="377"/>
      <c r="T411" s="3"/>
      <c r="U411" s="3"/>
      <c r="V411" s="3"/>
      <c r="W411" s="3"/>
      <c r="X411" s="3"/>
      <c r="Y411" s="3"/>
      <c r="Z411" s="3"/>
    </row>
    <row r="412" spans="1:26" ht="22.5" customHeight="1" x14ac:dyDescent="0.85">
      <c r="A412" s="377"/>
      <c r="B412" s="377"/>
      <c r="C412" s="377"/>
      <c r="D412" s="377"/>
      <c r="E412" s="377"/>
      <c r="F412" s="377"/>
      <c r="G412" s="377"/>
      <c r="H412" s="377"/>
      <c r="I412" s="377"/>
      <c r="J412" s="377"/>
      <c r="K412" s="377"/>
      <c r="L412" s="377"/>
      <c r="M412" s="377"/>
      <c r="N412" s="377"/>
      <c r="O412" s="377"/>
      <c r="P412" s="377"/>
      <c r="Q412" s="377"/>
      <c r="R412" s="377"/>
      <c r="S412" s="377"/>
      <c r="T412" s="3"/>
      <c r="U412" s="3"/>
      <c r="V412" s="3"/>
      <c r="W412" s="3"/>
      <c r="X412" s="3"/>
      <c r="Y412" s="3"/>
      <c r="Z412" s="3"/>
    </row>
    <row r="413" spans="1:26" ht="22.5" customHeight="1" x14ac:dyDescent="0.85">
      <c r="A413" s="377"/>
      <c r="B413" s="377"/>
      <c r="C413" s="377"/>
      <c r="D413" s="377"/>
      <c r="E413" s="377"/>
      <c r="F413" s="377"/>
      <c r="G413" s="377"/>
      <c r="H413" s="377"/>
      <c r="I413" s="377"/>
      <c r="J413" s="377"/>
      <c r="K413" s="377"/>
      <c r="L413" s="377"/>
      <c r="M413" s="377"/>
      <c r="N413" s="377"/>
      <c r="O413" s="377"/>
      <c r="P413" s="377"/>
      <c r="Q413" s="377"/>
      <c r="R413" s="377"/>
      <c r="S413" s="377"/>
      <c r="T413" s="3"/>
      <c r="U413" s="3"/>
      <c r="V413" s="3"/>
      <c r="W413" s="3"/>
      <c r="X413" s="3"/>
      <c r="Y413" s="3"/>
      <c r="Z413" s="3"/>
    </row>
    <row r="414" spans="1:26" ht="22.5" customHeight="1" x14ac:dyDescent="0.85">
      <c r="A414" s="377"/>
      <c r="B414" s="377"/>
      <c r="C414" s="377"/>
      <c r="D414" s="377"/>
      <c r="E414" s="377"/>
      <c r="F414" s="377"/>
      <c r="G414" s="377"/>
      <c r="H414" s="377"/>
      <c r="I414" s="377"/>
      <c r="J414" s="377"/>
      <c r="K414" s="377"/>
      <c r="L414" s="377"/>
      <c r="M414" s="377"/>
      <c r="N414" s="377"/>
      <c r="O414" s="377"/>
      <c r="P414" s="377"/>
      <c r="Q414" s="377"/>
      <c r="R414" s="377"/>
      <c r="S414" s="377"/>
      <c r="T414" s="3"/>
      <c r="U414" s="3"/>
      <c r="V414" s="3"/>
      <c r="W414" s="3"/>
      <c r="X414" s="3"/>
      <c r="Y414" s="3"/>
      <c r="Z414" s="3"/>
    </row>
    <row r="415" spans="1:26" ht="22.5" customHeight="1" x14ac:dyDescent="0.85">
      <c r="A415" s="377"/>
      <c r="B415" s="377"/>
      <c r="C415" s="377"/>
      <c r="D415" s="377"/>
      <c r="E415" s="377"/>
      <c r="F415" s="377"/>
      <c r="G415" s="377"/>
      <c r="H415" s="377"/>
      <c r="I415" s="377"/>
      <c r="J415" s="377"/>
      <c r="K415" s="377"/>
      <c r="L415" s="377"/>
      <c r="M415" s="377"/>
      <c r="N415" s="377"/>
      <c r="O415" s="377"/>
      <c r="P415" s="377"/>
      <c r="Q415" s="377"/>
      <c r="R415" s="377"/>
      <c r="S415" s="377"/>
      <c r="T415" s="3"/>
      <c r="U415" s="3"/>
      <c r="V415" s="3"/>
      <c r="W415" s="3"/>
      <c r="X415" s="3"/>
      <c r="Y415" s="3"/>
      <c r="Z415" s="3"/>
    </row>
    <row r="416" spans="1:26" ht="22.5" customHeight="1" x14ac:dyDescent="0.85">
      <c r="A416" s="377"/>
      <c r="B416" s="377"/>
      <c r="C416" s="377"/>
      <c r="D416" s="377"/>
      <c r="E416" s="377"/>
      <c r="F416" s="377"/>
      <c r="G416" s="377"/>
      <c r="H416" s="377"/>
      <c r="I416" s="377"/>
      <c r="J416" s="377"/>
      <c r="K416" s="377"/>
      <c r="L416" s="377"/>
      <c r="M416" s="377"/>
      <c r="N416" s="377"/>
      <c r="O416" s="377"/>
      <c r="P416" s="377"/>
      <c r="Q416" s="377"/>
      <c r="R416" s="377"/>
      <c r="S416" s="377"/>
      <c r="T416" s="3"/>
      <c r="U416" s="3"/>
      <c r="V416" s="3"/>
      <c r="W416" s="3"/>
      <c r="X416" s="3"/>
      <c r="Y416" s="3"/>
      <c r="Z416" s="3"/>
    </row>
    <row r="417" spans="1:26" ht="22.5" customHeight="1" x14ac:dyDescent="0.85">
      <c r="A417" s="377"/>
      <c r="B417" s="377"/>
      <c r="C417" s="377"/>
      <c r="D417" s="377"/>
      <c r="E417" s="377"/>
      <c r="F417" s="377"/>
      <c r="G417" s="377"/>
      <c r="H417" s="377"/>
      <c r="I417" s="377"/>
      <c r="J417" s="377"/>
      <c r="K417" s="377"/>
      <c r="L417" s="377"/>
      <c r="M417" s="377"/>
      <c r="N417" s="377"/>
      <c r="O417" s="377"/>
      <c r="P417" s="377"/>
      <c r="Q417" s="377"/>
      <c r="R417" s="377"/>
      <c r="S417" s="377"/>
      <c r="T417" s="3"/>
      <c r="U417" s="3"/>
      <c r="V417" s="3"/>
      <c r="W417" s="3"/>
      <c r="X417" s="3"/>
      <c r="Y417" s="3"/>
      <c r="Z417" s="3"/>
    </row>
    <row r="418" spans="1:26" ht="22.5" customHeight="1" x14ac:dyDescent="0.85">
      <c r="A418" s="377"/>
      <c r="B418" s="377"/>
      <c r="C418" s="377"/>
      <c r="D418" s="377"/>
      <c r="E418" s="377"/>
      <c r="F418" s="377"/>
      <c r="G418" s="377"/>
      <c r="H418" s="377"/>
      <c r="I418" s="377"/>
      <c r="J418" s="377"/>
      <c r="K418" s="377"/>
      <c r="L418" s="377"/>
      <c r="M418" s="377"/>
      <c r="N418" s="377"/>
      <c r="O418" s="377"/>
      <c r="P418" s="377"/>
      <c r="Q418" s="377"/>
      <c r="R418" s="377"/>
      <c r="S418" s="377"/>
      <c r="T418" s="3"/>
      <c r="U418" s="3"/>
      <c r="V418" s="3"/>
      <c r="W418" s="3"/>
      <c r="X418" s="3"/>
      <c r="Y418" s="3"/>
      <c r="Z418" s="3"/>
    </row>
    <row r="419" spans="1:26" ht="22.5" customHeight="1" x14ac:dyDescent="0.85">
      <c r="A419" s="377"/>
      <c r="B419" s="377"/>
      <c r="C419" s="377"/>
      <c r="D419" s="377"/>
      <c r="E419" s="377"/>
      <c r="F419" s="377"/>
      <c r="G419" s="377"/>
      <c r="H419" s="377"/>
      <c r="I419" s="377"/>
      <c r="J419" s="377"/>
      <c r="K419" s="377"/>
      <c r="L419" s="377"/>
      <c r="M419" s="377"/>
      <c r="N419" s="377"/>
      <c r="O419" s="377"/>
      <c r="P419" s="377"/>
      <c r="Q419" s="377"/>
      <c r="R419" s="377"/>
      <c r="S419" s="377"/>
      <c r="T419" s="3"/>
      <c r="U419" s="3"/>
      <c r="V419" s="3"/>
      <c r="W419" s="3"/>
      <c r="X419" s="3"/>
      <c r="Y419" s="3"/>
      <c r="Z419" s="3"/>
    </row>
    <row r="420" spans="1:26" ht="22.5" customHeight="1" x14ac:dyDescent="0.85">
      <c r="A420" s="377"/>
      <c r="B420" s="377"/>
      <c r="C420" s="377"/>
      <c r="D420" s="377"/>
      <c r="E420" s="377"/>
      <c r="F420" s="377"/>
      <c r="G420" s="377"/>
      <c r="H420" s="377"/>
      <c r="I420" s="377"/>
      <c r="J420" s="377"/>
      <c r="K420" s="377"/>
      <c r="L420" s="377"/>
      <c r="M420" s="377"/>
      <c r="N420" s="377"/>
      <c r="O420" s="377"/>
      <c r="P420" s="377"/>
      <c r="Q420" s="377"/>
      <c r="R420" s="377"/>
      <c r="S420" s="377"/>
      <c r="T420" s="3"/>
      <c r="U420" s="3"/>
      <c r="V420" s="3"/>
      <c r="W420" s="3"/>
      <c r="X420" s="3"/>
      <c r="Y420" s="3"/>
      <c r="Z420" s="3"/>
    </row>
    <row r="421" spans="1:26" ht="22.5" customHeight="1" x14ac:dyDescent="0.85">
      <c r="A421" s="377"/>
      <c r="B421" s="377"/>
      <c r="C421" s="377"/>
      <c r="D421" s="377"/>
      <c r="E421" s="377"/>
      <c r="F421" s="377"/>
      <c r="G421" s="377"/>
      <c r="H421" s="377"/>
      <c r="I421" s="377"/>
      <c r="J421" s="377"/>
      <c r="K421" s="377"/>
      <c r="L421" s="377"/>
      <c r="M421" s="377"/>
      <c r="N421" s="377"/>
      <c r="O421" s="377"/>
      <c r="P421" s="377"/>
      <c r="Q421" s="377"/>
      <c r="R421" s="377"/>
      <c r="S421" s="377"/>
      <c r="T421" s="3"/>
      <c r="U421" s="3"/>
      <c r="V421" s="3"/>
      <c r="W421" s="3"/>
      <c r="X421" s="3"/>
      <c r="Y421" s="3"/>
      <c r="Z421" s="3"/>
    </row>
    <row r="422" spans="1:26" ht="22.5" customHeight="1" x14ac:dyDescent="0.85">
      <c r="A422" s="377"/>
      <c r="B422" s="377"/>
      <c r="C422" s="377"/>
      <c r="D422" s="377"/>
      <c r="E422" s="377"/>
      <c r="F422" s="377"/>
      <c r="G422" s="377"/>
      <c r="H422" s="377"/>
      <c r="I422" s="377"/>
      <c r="J422" s="377"/>
      <c r="K422" s="377"/>
      <c r="L422" s="377"/>
      <c r="M422" s="377"/>
      <c r="N422" s="377"/>
      <c r="O422" s="377"/>
      <c r="P422" s="377"/>
      <c r="Q422" s="377"/>
      <c r="R422" s="377"/>
      <c r="S422" s="377"/>
      <c r="T422" s="3"/>
      <c r="U422" s="3"/>
      <c r="V422" s="3"/>
      <c r="W422" s="3"/>
      <c r="X422" s="3"/>
      <c r="Y422" s="3"/>
      <c r="Z422" s="3"/>
    </row>
    <row r="423" spans="1:26" ht="22.5" customHeight="1" x14ac:dyDescent="0.85">
      <c r="A423" s="377"/>
      <c r="B423" s="377"/>
      <c r="C423" s="377"/>
      <c r="D423" s="377"/>
      <c r="E423" s="377"/>
      <c r="F423" s="377"/>
      <c r="G423" s="377"/>
      <c r="H423" s="377"/>
      <c r="I423" s="377"/>
      <c r="J423" s="377"/>
      <c r="K423" s="377"/>
      <c r="L423" s="377"/>
      <c r="M423" s="377"/>
      <c r="N423" s="377"/>
      <c r="O423" s="377"/>
      <c r="P423" s="377"/>
      <c r="Q423" s="377"/>
      <c r="R423" s="377"/>
      <c r="S423" s="377"/>
      <c r="T423" s="3"/>
      <c r="U423" s="3"/>
      <c r="V423" s="3"/>
      <c r="W423" s="3"/>
      <c r="X423" s="3"/>
      <c r="Y423" s="3"/>
      <c r="Z423" s="3"/>
    </row>
    <row r="424" spans="1:26" ht="22.5" customHeight="1" x14ac:dyDescent="0.85">
      <c r="A424" s="377"/>
      <c r="B424" s="377"/>
      <c r="C424" s="377"/>
      <c r="D424" s="377"/>
      <c r="E424" s="377"/>
      <c r="F424" s="377"/>
      <c r="G424" s="377"/>
      <c r="H424" s="377"/>
      <c r="I424" s="377"/>
      <c r="J424" s="377"/>
      <c r="K424" s="377"/>
      <c r="L424" s="377"/>
      <c r="M424" s="377"/>
      <c r="N424" s="377"/>
      <c r="O424" s="377"/>
      <c r="P424" s="377"/>
      <c r="Q424" s="377"/>
      <c r="R424" s="377"/>
      <c r="S424" s="377"/>
      <c r="T424" s="3"/>
      <c r="U424" s="3"/>
      <c r="V424" s="3"/>
      <c r="W424" s="3"/>
      <c r="X424" s="3"/>
      <c r="Y424" s="3"/>
      <c r="Z424" s="3"/>
    </row>
    <row r="425" spans="1:26" ht="22.5" customHeight="1" x14ac:dyDescent="0.85">
      <c r="A425" s="377"/>
      <c r="B425" s="377"/>
      <c r="C425" s="377"/>
      <c r="D425" s="377"/>
      <c r="E425" s="377"/>
      <c r="F425" s="377"/>
      <c r="G425" s="377"/>
      <c r="H425" s="377"/>
      <c r="I425" s="377"/>
      <c r="J425" s="377"/>
      <c r="K425" s="377"/>
      <c r="L425" s="377"/>
      <c r="M425" s="377"/>
      <c r="N425" s="377"/>
      <c r="O425" s="377"/>
      <c r="P425" s="377"/>
      <c r="Q425" s="377"/>
      <c r="R425" s="377"/>
      <c r="S425" s="377"/>
      <c r="T425" s="3"/>
      <c r="U425" s="3"/>
      <c r="V425" s="3"/>
      <c r="W425" s="3"/>
      <c r="X425" s="3"/>
      <c r="Y425" s="3"/>
      <c r="Z425" s="3"/>
    </row>
    <row r="426" spans="1:26" ht="22.5" customHeight="1" x14ac:dyDescent="0.85">
      <c r="A426" s="377"/>
      <c r="B426" s="377"/>
      <c r="C426" s="377"/>
      <c r="D426" s="377"/>
      <c r="E426" s="377"/>
      <c r="F426" s="377"/>
      <c r="G426" s="377"/>
      <c r="H426" s="377"/>
      <c r="I426" s="377"/>
      <c r="J426" s="377"/>
      <c r="K426" s="377"/>
      <c r="L426" s="377"/>
      <c r="M426" s="377"/>
      <c r="N426" s="377"/>
      <c r="O426" s="377"/>
      <c r="P426" s="377"/>
      <c r="Q426" s="377"/>
      <c r="R426" s="377"/>
      <c r="S426" s="377"/>
      <c r="T426" s="3"/>
      <c r="U426" s="3"/>
      <c r="V426" s="3"/>
      <c r="W426" s="3"/>
      <c r="X426" s="3"/>
      <c r="Y426" s="3"/>
      <c r="Z426" s="3"/>
    </row>
    <row r="427" spans="1:26" ht="22.5" customHeight="1" x14ac:dyDescent="0.85">
      <c r="A427" s="377"/>
      <c r="B427" s="377"/>
      <c r="C427" s="377"/>
      <c r="D427" s="377"/>
      <c r="E427" s="377"/>
      <c r="F427" s="377"/>
      <c r="G427" s="377"/>
      <c r="H427" s="377"/>
      <c r="I427" s="377"/>
      <c r="J427" s="377"/>
      <c r="K427" s="377"/>
      <c r="L427" s="377"/>
      <c r="M427" s="377"/>
      <c r="N427" s="377"/>
      <c r="O427" s="377"/>
      <c r="P427" s="377"/>
      <c r="Q427" s="377"/>
      <c r="R427" s="377"/>
      <c r="S427" s="377"/>
      <c r="T427" s="3"/>
      <c r="U427" s="3"/>
      <c r="V427" s="3"/>
      <c r="W427" s="3"/>
      <c r="X427" s="3"/>
      <c r="Y427" s="3"/>
      <c r="Z427" s="3"/>
    </row>
    <row r="428" spans="1:26" ht="22.5" customHeight="1" x14ac:dyDescent="0.85">
      <c r="A428" s="377"/>
      <c r="B428" s="377"/>
      <c r="C428" s="377"/>
      <c r="D428" s="377"/>
      <c r="E428" s="377"/>
      <c r="F428" s="377"/>
      <c r="G428" s="377"/>
      <c r="H428" s="377"/>
      <c r="I428" s="377"/>
      <c r="J428" s="377"/>
      <c r="K428" s="377"/>
      <c r="L428" s="377"/>
      <c r="M428" s="377"/>
      <c r="N428" s="377"/>
      <c r="O428" s="377"/>
      <c r="P428" s="377"/>
      <c r="Q428" s="377"/>
      <c r="R428" s="377"/>
      <c r="S428" s="377"/>
      <c r="T428" s="3"/>
      <c r="U428" s="3"/>
      <c r="V428" s="3"/>
      <c r="W428" s="3"/>
      <c r="X428" s="3"/>
      <c r="Y428" s="3"/>
      <c r="Z428" s="3"/>
    </row>
    <row r="429" spans="1:26" ht="22.5" customHeight="1" x14ac:dyDescent="0.85">
      <c r="A429" s="377"/>
      <c r="B429" s="377"/>
      <c r="C429" s="377"/>
      <c r="D429" s="377"/>
      <c r="E429" s="377"/>
      <c r="F429" s="377"/>
      <c r="G429" s="377"/>
      <c r="H429" s="377"/>
      <c r="I429" s="377"/>
      <c r="J429" s="377"/>
      <c r="K429" s="377"/>
      <c r="L429" s="377"/>
      <c r="M429" s="377"/>
      <c r="N429" s="377"/>
      <c r="O429" s="377"/>
      <c r="P429" s="377"/>
      <c r="Q429" s="377"/>
      <c r="R429" s="377"/>
      <c r="S429" s="377"/>
      <c r="T429" s="3"/>
      <c r="U429" s="3"/>
      <c r="V429" s="3"/>
      <c r="W429" s="3"/>
      <c r="X429" s="3"/>
      <c r="Y429" s="3"/>
      <c r="Z429" s="3"/>
    </row>
    <row r="430" spans="1:26" ht="22.5" customHeight="1" x14ac:dyDescent="0.85">
      <c r="A430" s="377"/>
      <c r="B430" s="377"/>
      <c r="C430" s="377"/>
      <c r="D430" s="377"/>
      <c r="E430" s="377"/>
      <c r="F430" s="377"/>
      <c r="G430" s="377"/>
      <c r="H430" s="377"/>
      <c r="I430" s="377"/>
      <c r="J430" s="377"/>
      <c r="K430" s="377"/>
      <c r="L430" s="377"/>
      <c r="M430" s="377"/>
      <c r="N430" s="377"/>
      <c r="O430" s="377"/>
      <c r="P430" s="377"/>
      <c r="Q430" s="377"/>
      <c r="R430" s="377"/>
      <c r="S430" s="377"/>
      <c r="T430" s="3"/>
      <c r="U430" s="3"/>
      <c r="V430" s="3"/>
      <c r="W430" s="3"/>
      <c r="X430" s="3"/>
      <c r="Y430" s="3"/>
      <c r="Z430" s="3"/>
    </row>
    <row r="431" spans="1:26" ht="22.5" customHeight="1" x14ac:dyDescent="0.85">
      <c r="A431" s="377"/>
      <c r="B431" s="377"/>
      <c r="C431" s="377"/>
      <c r="D431" s="377"/>
      <c r="E431" s="377"/>
      <c r="F431" s="377"/>
      <c r="G431" s="377"/>
      <c r="H431" s="377"/>
      <c r="I431" s="377"/>
      <c r="J431" s="377"/>
      <c r="K431" s="377"/>
      <c r="L431" s="377"/>
      <c r="M431" s="377"/>
      <c r="N431" s="377"/>
      <c r="O431" s="377"/>
      <c r="P431" s="377"/>
      <c r="Q431" s="377"/>
      <c r="R431" s="377"/>
      <c r="S431" s="377"/>
      <c r="T431" s="3"/>
      <c r="U431" s="3"/>
      <c r="V431" s="3"/>
      <c r="W431" s="3"/>
      <c r="X431" s="3"/>
      <c r="Y431" s="3"/>
      <c r="Z431" s="3"/>
    </row>
    <row r="432" spans="1:26" ht="22.5" customHeight="1" x14ac:dyDescent="0.85">
      <c r="A432" s="377"/>
      <c r="B432" s="377"/>
      <c r="C432" s="377"/>
      <c r="D432" s="377"/>
      <c r="E432" s="377"/>
      <c r="F432" s="377"/>
      <c r="G432" s="377"/>
      <c r="H432" s="377"/>
      <c r="I432" s="377"/>
      <c r="J432" s="377"/>
      <c r="K432" s="377"/>
      <c r="L432" s="377"/>
      <c r="M432" s="377"/>
      <c r="N432" s="377"/>
      <c r="O432" s="377"/>
      <c r="P432" s="377"/>
      <c r="Q432" s="377"/>
      <c r="R432" s="377"/>
      <c r="S432" s="377"/>
      <c r="T432" s="3"/>
      <c r="U432" s="3"/>
      <c r="V432" s="3"/>
      <c r="W432" s="3"/>
      <c r="X432" s="3"/>
      <c r="Y432" s="3"/>
      <c r="Z432" s="3"/>
    </row>
    <row r="433" spans="1:26" ht="22.5" customHeight="1" x14ac:dyDescent="0.85">
      <c r="A433" s="377"/>
      <c r="B433" s="377"/>
      <c r="C433" s="377"/>
      <c r="D433" s="377"/>
      <c r="E433" s="377"/>
      <c r="F433" s="377"/>
      <c r="G433" s="377"/>
      <c r="H433" s="377"/>
      <c r="I433" s="377"/>
      <c r="J433" s="377"/>
      <c r="K433" s="377"/>
      <c r="L433" s="377"/>
      <c r="M433" s="377"/>
      <c r="N433" s="377"/>
      <c r="O433" s="377"/>
      <c r="P433" s="377"/>
      <c r="Q433" s="377"/>
      <c r="R433" s="377"/>
      <c r="S433" s="377"/>
      <c r="T433" s="3"/>
      <c r="U433" s="3"/>
      <c r="V433" s="3"/>
      <c r="W433" s="3"/>
      <c r="X433" s="3"/>
      <c r="Y433" s="3"/>
      <c r="Z433" s="3"/>
    </row>
    <row r="434" spans="1:26" ht="22.5" customHeight="1" x14ac:dyDescent="0.85">
      <c r="A434" s="377"/>
      <c r="B434" s="377"/>
      <c r="C434" s="377"/>
      <c r="D434" s="377"/>
      <c r="E434" s="377"/>
      <c r="F434" s="377"/>
      <c r="G434" s="377"/>
      <c r="H434" s="377"/>
      <c r="I434" s="377"/>
      <c r="J434" s="377"/>
      <c r="K434" s="377"/>
      <c r="L434" s="377"/>
      <c r="M434" s="377"/>
      <c r="N434" s="377"/>
      <c r="O434" s="377"/>
      <c r="P434" s="377"/>
      <c r="Q434" s="377"/>
      <c r="R434" s="377"/>
      <c r="S434" s="377"/>
      <c r="T434" s="3"/>
      <c r="U434" s="3"/>
      <c r="V434" s="3"/>
      <c r="W434" s="3"/>
      <c r="X434" s="3"/>
      <c r="Y434" s="3"/>
      <c r="Z434" s="3"/>
    </row>
    <row r="435" spans="1:26" ht="22.5" customHeight="1" x14ac:dyDescent="0.85">
      <c r="A435" s="377"/>
      <c r="B435" s="377"/>
      <c r="C435" s="377"/>
      <c r="D435" s="377"/>
      <c r="E435" s="377"/>
      <c r="F435" s="377"/>
      <c r="G435" s="377"/>
      <c r="H435" s="377"/>
      <c r="I435" s="377"/>
      <c r="J435" s="377"/>
      <c r="K435" s="377"/>
      <c r="L435" s="377"/>
      <c r="M435" s="377"/>
      <c r="N435" s="377"/>
      <c r="O435" s="377"/>
      <c r="P435" s="377"/>
      <c r="Q435" s="377"/>
      <c r="R435" s="377"/>
      <c r="S435" s="377"/>
      <c r="T435" s="3"/>
      <c r="U435" s="3"/>
      <c r="V435" s="3"/>
      <c r="W435" s="3"/>
      <c r="X435" s="3"/>
      <c r="Y435" s="3"/>
      <c r="Z435" s="3"/>
    </row>
    <row r="436" spans="1:26" ht="22.5" customHeight="1" x14ac:dyDescent="0.85">
      <c r="A436" s="377"/>
      <c r="B436" s="377"/>
      <c r="C436" s="377"/>
      <c r="D436" s="377"/>
      <c r="E436" s="377"/>
      <c r="F436" s="377"/>
      <c r="G436" s="377"/>
      <c r="H436" s="377"/>
      <c r="I436" s="377"/>
      <c r="J436" s="377"/>
      <c r="K436" s="377"/>
      <c r="L436" s="377"/>
      <c r="M436" s="377"/>
      <c r="N436" s="377"/>
      <c r="O436" s="377"/>
      <c r="P436" s="377"/>
      <c r="Q436" s="377"/>
      <c r="R436" s="377"/>
      <c r="S436" s="377"/>
      <c r="T436" s="3"/>
      <c r="U436" s="3"/>
      <c r="V436" s="3"/>
      <c r="W436" s="3"/>
      <c r="X436" s="3"/>
      <c r="Y436" s="3"/>
      <c r="Z436" s="3"/>
    </row>
    <row r="437" spans="1:26" ht="22.5" customHeight="1" x14ac:dyDescent="0.85">
      <c r="A437" s="377"/>
      <c r="B437" s="377"/>
      <c r="C437" s="377"/>
      <c r="D437" s="377"/>
      <c r="E437" s="377"/>
      <c r="F437" s="377"/>
      <c r="G437" s="377"/>
      <c r="H437" s="377"/>
      <c r="I437" s="377"/>
      <c r="J437" s="377"/>
      <c r="K437" s="377"/>
      <c r="L437" s="377"/>
      <c r="M437" s="377"/>
      <c r="N437" s="377"/>
      <c r="O437" s="377"/>
      <c r="P437" s="377"/>
      <c r="Q437" s="377"/>
      <c r="R437" s="377"/>
      <c r="S437" s="377"/>
      <c r="T437" s="3"/>
      <c r="U437" s="3"/>
      <c r="V437" s="3"/>
      <c r="W437" s="3"/>
      <c r="X437" s="3"/>
      <c r="Y437" s="3"/>
      <c r="Z437" s="3"/>
    </row>
    <row r="438" spans="1:26" ht="22.5" customHeight="1" x14ac:dyDescent="0.85">
      <c r="A438" s="377"/>
      <c r="B438" s="377"/>
      <c r="C438" s="377"/>
      <c r="D438" s="377"/>
      <c r="E438" s="377"/>
      <c r="F438" s="377"/>
      <c r="G438" s="377"/>
      <c r="H438" s="377"/>
      <c r="I438" s="377"/>
      <c r="J438" s="377"/>
      <c r="K438" s="377"/>
      <c r="L438" s="377"/>
      <c r="M438" s="377"/>
      <c r="N438" s="377"/>
      <c r="O438" s="377"/>
      <c r="P438" s="377"/>
      <c r="Q438" s="377"/>
      <c r="R438" s="377"/>
      <c r="S438" s="377"/>
      <c r="T438" s="3"/>
      <c r="U438" s="3"/>
      <c r="V438" s="3"/>
      <c r="W438" s="3"/>
      <c r="X438" s="3"/>
      <c r="Y438" s="3"/>
      <c r="Z438" s="3"/>
    </row>
    <row r="439" spans="1:26" ht="22.5" customHeight="1" x14ac:dyDescent="0.85">
      <c r="A439" s="377"/>
      <c r="B439" s="377"/>
      <c r="C439" s="377"/>
      <c r="D439" s="377"/>
      <c r="E439" s="377"/>
      <c r="F439" s="377"/>
      <c r="G439" s="377"/>
      <c r="H439" s="377"/>
      <c r="I439" s="377"/>
      <c r="J439" s="377"/>
      <c r="K439" s="377"/>
      <c r="L439" s="377"/>
      <c r="M439" s="377"/>
      <c r="N439" s="377"/>
      <c r="O439" s="377"/>
      <c r="P439" s="377"/>
      <c r="Q439" s="377"/>
      <c r="R439" s="377"/>
      <c r="S439" s="377"/>
      <c r="T439" s="3"/>
      <c r="U439" s="3"/>
      <c r="V439" s="3"/>
      <c r="W439" s="3"/>
      <c r="X439" s="3"/>
      <c r="Y439" s="3"/>
      <c r="Z439" s="3"/>
    </row>
    <row r="440" spans="1:26" ht="22.5" customHeight="1" x14ac:dyDescent="0.85">
      <c r="A440" s="377"/>
      <c r="B440" s="377"/>
      <c r="C440" s="377"/>
      <c r="D440" s="377"/>
      <c r="E440" s="377"/>
      <c r="F440" s="377"/>
      <c r="G440" s="377"/>
      <c r="H440" s="377"/>
      <c r="I440" s="377"/>
      <c r="J440" s="377"/>
      <c r="K440" s="377"/>
      <c r="L440" s="377"/>
      <c r="M440" s="377"/>
      <c r="N440" s="377"/>
      <c r="O440" s="377"/>
      <c r="P440" s="377"/>
      <c r="Q440" s="377"/>
      <c r="R440" s="377"/>
      <c r="S440" s="377"/>
      <c r="T440" s="3"/>
      <c r="U440" s="3"/>
      <c r="V440" s="3"/>
      <c r="W440" s="3"/>
      <c r="X440" s="3"/>
      <c r="Y440" s="3"/>
      <c r="Z440" s="3"/>
    </row>
    <row r="441" spans="1:26" ht="22.5" customHeight="1" x14ac:dyDescent="0.85">
      <c r="A441" s="377"/>
      <c r="B441" s="377"/>
      <c r="C441" s="377"/>
      <c r="D441" s="377"/>
      <c r="E441" s="377"/>
      <c r="F441" s="377"/>
      <c r="G441" s="377"/>
      <c r="H441" s="377"/>
      <c r="I441" s="377"/>
      <c r="J441" s="377"/>
      <c r="K441" s="377"/>
      <c r="L441" s="377"/>
      <c r="M441" s="377"/>
      <c r="N441" s="377"/>
      <c r="O441" s="377"/>
      <c r="P441" s="377"/>
      <c r="Q441" s="377"/>
      <c r="R441" s="377"/>
      <c r="S441" s="377"/>
      <c r="T441" s="3"/>
      <c r="U441" s="3"/>
      <c r="V441" s="3"/>
      <c r="W441" s="3"/>
      <c r="X441" s="3"/>
      <c r="Y441" s="3"/>
      <c r="Z441" s="3"/>
    </row>
    <row r="442" spans="1:26" ht="22.5" customHeight="1" x14ac:dyDescent="0.85">
      <c r="A442" s="377"/>
      <c r="B442" s="377"/>
      <c r="C442" s="377"/>
      <c r="D442" s="377"/>
      <c r="E442" s="377"/>
      <c r="F442" s="377"/>
      <c r="G442" s="377"/>
      <c r="H442" s="377"/>
      <c r="I442" s="377"/>
      <c r="J442" s="377"/>
      <c r="K442" s="377"/>
      <c r="L442" s="377"/>
      <c r="M442" s="377"/>
      <c r="N442" s="377"/>
      <c r="O442" s="377"/>
      <c r="P442" s="377"/>
      <c r="Q442" s="377"/>
      <c r="R442" s="377"/>
      <c r="S442" s="377"/>
      <c r="T442" s="3"/>
      <c r="U442" s="3"/>
      <c r="V442" s="3"/>
      <c r="W442" s="3"/>
      <c r="X442" s="3"/>
      <c r="Y442" s="3"/>
      <c r="Z442" s="3"/>
    </row>
    <row r="443" spans="1:26" ht="22.5" customHeight="1" x14ac:dyDescent="0.85">
      <c r="A443" s="377"/>
      <c r="B443" s="377"/>
      <c r="C443" s="377"/>
      <c r="D443" s="377"/>
      <c r="E443" s="377"/>
      <c r="F443" s="377"/>
      <c r="G443" s="377"/>
      <c r="H443" s="377"/>
      <c r="I443" s="377"/>
      <c r="J443" s="377"/>
      <c r="K443" s="377"/>
      <c r="L443" s="377"/>
      <c r="M443" s="377"/>
      <c r="N443" s="377"/>
      <c r="O443" s="377"/>
      <c r="P443" s="377"/>
      <c r="Q443" s="377"/>
      <c r="R443" s="377"/>
      <c r="S443" s="377"/>
      <c r="T443" s="3"/>
      <c r="U443" s="3"/>
      <c r="V443" s="3"/>
      <c r="W443" s="3"/>
      <c r="X443" s="3"/>
      <c r="Y443" s="3"/>
      <c r="Z443" s="3"/>
    </row>
    <row r="444" spans="1:26" ht="22.5" customHeight="1" x14ac:dyDescent="0.85">
      <c r="A444" s="377"/>
      <c r="B444" s="377"/>
      <c r="C444" s="377"/>
      <c r="D444" s="377"/>
      <c r="E444" s="377"/>
      <c r="F444" s="377"/>
      <c r="G444" s="377"/>
      <c r="H444" s="377"/>
      <c r="I444" s="377"/>
      <c r="J444" s="377"/>
      <c r="K444" s="377"/>
      <c r="L444" s="377"/>
      <c r="M444" s="377"/>
      <c r="N444" s="377"/>
      <c r="O444" s="377"/>
      <c r="P444" s="377"/>
      <c r="Q444" s="377"/>
      <c r="R444" s="377"/>
      <c r="S444" s="377"/>
      <c r="T444" s="3"/>
      <c r="U444" s="3"/>
      <c r="V444" s="3"/>
      <c r="W444" s="3"/>
      <c r="X444" s="3"/>
      <c r="Y444" s="3"/>
      <c r="Z444" s="3"/>
    </row>
    <row r="445" spans="1:26" ht="22.5" customHeight="1" x14ac:dyDescent="0.85">
      <c r="A445" s="377"/>
      <c r="B445" s="377"/>
      <c r="C445" s="377"/>
      <c r="D445" s="377"/>
      <c r="E445" s="377"/>
      <c r="F445" s="377"/>
      <c r="G445" s="377"/>
      <c r="H445" s="377"/>
      <c r="I445" s="377"/>
      <c r="J445" s="377"/>
      <c r="K445" s="377"/>
      <c r="L445" s="377"/>
      <c r="M445" s="377"/>
      <c r="N445" s="377"/>
      <c r="O445" s="377"/>
      <c r="P445" s="377"/>
      <c r="Q445" s="377"/>
      <c r="R445" s="377"/>
      <c r="S445" s="377"/>
      <c r="T445" s="3"/>
      <c r="U445" s="3"/>
      <c r="V445" s="3"/>
      <c r="W445" s="3"/>
      <c r="X445" s="3"/>
      <c r="Y445" s="3"/>
      <c r="Z445" s="3"/>
    </row>
    <row r="446" spans="1:26" ht="22.5" customHeight="1" x14ac:dyDescent="0.85">
      <c r="A446" s="377"/>
      <c r="B446" s="377"/>
      <c r="C446" s="377"/>
      <c r="D446" s="377"/>
      <c r="E446" s="377"/>
      <c r="F446" s="377"/>
      <c r="G446" s="377"/>
      <c r="H446" s="377"/>
      <c r="I446" s="377"/>
      <c r="J446" s="377"/>
      <c r="K446" s="377"/>
      <c r="L446" s="377"/>
      <c r="M446" s="377"/>
      <c r="N446" s="377"/>
      <c r="O446" s="377"/>
      <c r="P446" s="377"/>
      <c r="Q446" s="377"/>
      <c r="R446" s="377"/>
      <c r="S446" s="377"/>
      <c r="T446" s="3"/>
      <c r="U446" s="3"/>
      <c r="V446" s="3"/>
      <c r="W446" s="3"/>
      <c r="X446" s="3"/>
      <c r="Y446" s="3"/>
      <c r="Z446" s="3"/>
    </row>
    <row r="447" spans="1:26" ht="22.5" customHeight="1" x14ac:dyDescent="0.85">
      <c r="A447" s="377"/>
      <c r="B447" s="377"/>
      <c r="C447" s="377"/>
      <c r="D447" s="377"/>
      <c r="E447" s="377"/>
      <c r="F447" s="377"/>
      <c r="G447" s="377"/>
      <c r="H447" s="377"/>
      <c r="I447" s="377"/>
      <c r="J447" s="377"/>
      <c r="K447" s="377"/>
      <c r="L447" s="377"/>
      <c r="M447" s="377"/>
      <c r="N447" s="377"/>
      <c r="O447" s="377"/>
      <c r="P447" s="377"/>
      <c r="Q447" s="377"/>
      <c r="R447" s="377"/>
      <c r="S447" s="377"/>
      <c r="T447" s="3"/>
      <c r="U447" s="3"/>
      <c r="V447" s="3"/>
      <c r="W447" s="3"/>
      <c r="X447" s="3"/>
      <c r="Y447" s="3"/>
      <c r="Z447" s="3"/>
    </row>
    <row r="448" spans="1:26" ht="22.5" customHeight="1" x14ac:dyDescent="0.85">
      <c r="A448" s="377"/>
      <c r="B448" s="377"/>
      <c r="C448" s="377"/>
      <c r="D448" s="377"/>
      <c r="E448" s="377"/>
      <c r="F448" s="377"/>
      <c r="G448" s="377"/>
      <c r="H448" s="377"/>
      <c r="I448" s="377"/>
      <c r="J448" s="377"/>
      <c r="K448" s="377"/>
      <c r="L448" s="377"/>
      <c r="M448" s="377"/>
      <c r="N448" s="377"/>
      <c r="O448" s="377"/>
      <c r="P448" s="377"/>
      <c r="Q448" s="377"/>
      <c r="R448" s="377"/>
      <c r="S448" s="377"/>
      <c r="T448" s="3"/>
      <c r="U448" s="3"/>
      <c r="V448" s="3"/>
      <c r="W448" s="3"/>
      <c r="X448" s="3"/>
      <c r="Y448" s="3"/>
      <c r="Z448" s="3"/>
    </row>
    <row r="449" spans="1:26" ht="22.5" customHeight="1" x14ac:dyDescent="0.85">
      <c r="A449" s="377"/>
      <c r="B449" s="377"/>
      <c r="C449" s="377"/>
      <c r="D449" s="377"/>
      <c r="E449" s="377"/>
      <c r="F449" s="377"/>
      <c r="G449" s="377"/>
      <c r="H449" s="377"/>
      <c r="I449" s="377"/>
      <c r="J449" s="377"/>
      <c r="K449" s="377"/>
      <c r="L449" s="377"/>
      <c r="M449" s="377"/>
      <c r="N449" s="377"/>
      <c r="O449" s="377"/>
      <c r="P449" s="377"/>
      <c r="Q449" s="377"/>
      <c r="R449" s="377"/>
      <c r="S449" s="377"/>
      <c r="T449" s="3"/>
      <c r="U449" s="3"/>
      <c r="V449" s="3"/>
      <c r="W449" s="3"/>
      <c r="X449" s="3"/>
      <c r="Y449" s="3"/>
      <c r="Z449" s="3"/>
    </row>
    <row r="450" spans="1:26" ht="22.5" customHeight="1" x14ac:dyDescent="0.85">
      <c r="A450" s="377"/>
      <c r="B450" s="377"/>
      <c r="C450" s="377"/>
      <c r="D450" s="377"/>
      <c r="E450" s="377"/>
      <c r="F450" s="377"/>
      <c r="G450" s="377"/>
      <c r="H450" s="377"/>
      <c r="I450" s="377"/>
      <c r="J450" s="377"/>
      <c r="K450" s="377"/>
      <c r="L450" s="377"/>
      <c r="M450" s="377"/>
      <c r="N450" s="377"/>
      <c r="O450" s="377"/>
      <c r="P450" s="377"/>
      <c r="Q450" s="377"/>
      <c r="R450" s="377"/>
      <c r="S450" s="377"/>
      <c r="T450" s="3"/>
      <c r="U450" s="3"/>
      <c r="V450" s="3"/>
      <c r="W450" s="3"/>
      <c r="X450" s="3"/>
      <c r="Y450" s="3"/>
      <c r="Z450" s="3"/>
    </row>
    <row r="451" spans="1:26" ht="22.5" customHeight="1" x14ac:dyDescent="0.85">
      <c r="A451" s="377"/>
      <c r="B451" s="377"/>
      <c r="C451" s="377"/>
      <c r="D451" s="377"/>
      <c r="E451" s="377"/>
      <c r="F451" s="377"/>
      <c r="G451" s="377"/>
      <c r="H451" s="377"/>
      <c r="I451" s="377"/>
      <c r="J451" s="377"/>
      <c r="K451" s="377"/>
      <c r="L451" s="377"/>
      <c r="M451" s="377"/>
      <c r="N451" s="377"/>
      <c r="O451" s="377"/>
      <c r="P451" s="377"/>
      <c r="Q451" s="377"/>
      <c r="R451" s="377"/>
      <c r="S451" s="377"/>
      <c r="T451" s="3"/>
      <c r="U451" s="3"/>
      <c r="V451" s="3"/>
      <c r="W451" s="3"/>
      <c r="X451" s="3"/>
      <c r="Y451" s="3"/>
      <c r="Z451" s="3"/>
    </row>
    <row r="452" spans="1:26" ht="22.5" customHeight="1" x14ac:dyDescent="0.85">
      <c r="A452" s="377"/>
      <c r="B452" s="377"/>
      <c r="C452" s="377"/>
      <c r="D452" s="377"/>
      <c r="E452" s="377"/>
      <c r="F452" s="377"/>
      <c r="G452" s="377"/>
      <c r="H452" s="377"/>
      <c r="I452" s="377"/>
      <c r="J452" s="377"/>
      <c r="K452" s="377"/>
      <c r="L452" s="377"/>
      <c r="M452" s="377"/>
      <c r="N452" s="377"/>
      <c r="O452" s="377"/>
      <c r="P452" s="377"/>
      <c r="Q452" s="377"/>
      <c r="R452" s="377"/>
      <c r="S452" s="377"/>
      <c r="T452" s="3"/>
      <c r="U452" s="3"/>
      <c r="V452" s="3"/>
      <c r="W452" s="3"/>
      <c r="X452" s="3"/>
      <c r="Y452" s="3"/>
      <c r="Z452" s="3"/>
    </row>
    <row r="453" spans="1:26" ht="22.5" customHeight="1" x14ac:dyDescent="0.85">
      <c r="A453" s="377"/>
      <c r="B453" s="377"/>
      <c r="C453" s="377"/>
      <c r="D453" s="377"/>
      <c r="E453" s="377"/>
      <c r="F453" s="377"/>
      <c r="G453" s="377"/>
      <c r="H453" s="377"/>
      <c r="I453" s="377"/>
      <c r="J453" s="377"/>
      <c r="K453" s="377"/>
      <c r="L453" s="377"/>
      <c r="M453" s="377"/>
      <c r="N453" s="377"/>
      <c r="O453" s="377"/>
      <c r="P453" s="377"/>
      <c r="Q453" s="377"/>
      <c r="R453" s="377"/>
      <c r="S453" s="377"/>
      <c r="T453" s="3"/>
      <c r="U453" s="3"/>
      <c r="V453" s="3"/>
      <c r="W453" s="3"/>
      <c r="X453" s="3"/>
      <c r="Y453" s="3"/>
      <c r="Z453" s="3"/>
    </row>
    <row r="454" spans="1:26" ht="22.5" customHeight="1" x14ac:dyDescent="0.85">
      <c r="A454" s="377"/>
      <c r="B454" s="377"/>
      <c r="C454" s="377"/>
      <c r="D454" s="377"/>
      <c r="E454" s="377"/>
      <c r="F454" s="377"/>
      <c r="G454" s="377"/>
      <c r="H454" s="377"/>
      <c r="I454" s="377"/>
      <c r="J454" s="377"/>
      <c r="K454" s="377"/>
      <c r="L454" s="377"/>
      <c r="M454" s="377"/>
      <c r="N454" s="377"/>
      <c r="O454" s="377"/>
      <c r="P454" s="377"/>
      <c r="Q454" s="377"/>
      <c r="R454" s="377"/>
      <c r="S454" s="377"/>
      <c r="T454" s="3"/>
      <c r="U454" s="3"/>
      <c r="V454" s="3"/>
      <c r="W454" s="3"/>
      <c r="X454" s="3"/>
      <c r="Y454" s="3"/>
      <c r="Z454" s="3"/>
    </row>
    <row r="455" spans="1:26" ht="22.5" customHeight="1" x14ac:dyDescent="0.85">
      <c r="A455" s="377"/>
      <c r="B455" s="377"/>
      <c r="C455" s="377"/>
      <c r="D455" s="377"/>
      <c r="E455" s="377"/>
      <c r="F455" s="377"/>
      <c r="G455" s="377"/>
      <c r="H455" s="377"/>
      <c r="I455" s="377"/>
      <c r="J455" s="377"/>
      <c r="K455" s="377"/>
      <c r="L455" s="377"/>
      <c r="M455" s="377"/>
      <c r="N455" s="377"/>
      <c r="O455" s="377"/>
      <c r="P455" s="377"/>
      <c r="Q455" s="377"/>
      <c r="R455" s="377"/>
      <c r="S455" s="377"/>
      <c r="T455" s="3"/>
      <c r="U455" s="3"/>
      <c r="V455" s="3"/>
      <c r="W455" s="3"/>
      <c r="X455" s="3"/>
      <c r="Y455" s="3"/>
      <c r="Z455" s="3"/>
    </row>
    <row r="456" spans="1:26" ht="22.5" customHeight="1" x14ac:dyDescent="0.85">
      <c r="A456" s="377"/>
      <c r="B456" s="377"/>
      <c r="C456" s="377"/>
      <c r="D456" s="377"/>
      <c r="E456" s="377"/>
      <c r="F456" s="377"/>
      <c r="G456" s="377"/>
      <c r="H456" s="377"/>
      <c r="I456" s="377"/>
      <c r="J456" s="377"/>
      <c r="K456" s="377"/>
      <c r="L456" s="377"/>
      <c r="M456" s="377"/>
      <c r="N456" s="377"/>
      <c r="O456" s="377"/>
      <c r="P456" s="377"/>
      <c r="Q456" s="377"/>
      <c r="R456" s="377"/>
      <c r="S456" s="377"/>
      <c r="T456" s="3"/>
      <c r="U456" s="3"/>
      <c r="V456" s="3"/>
      <c r="W456" s="3"/>
      <c r="X456" s="3"/>
      <c r="Y456" s="3"/>
      <c r="Z456" s="3"/>
    </row>
    <row r="457" spans="1:26" ht="22.5" customHeight="1" x14ac:dyDescent="0.85">
      <c r="A457" s="377"/>
      <c r="B457" s="377"/>
      <c r="C457" s="377"/>
      <c r="D457" s="377"/>
      <c r="E457" s="377"/>
      <c r="F457" s="377"/>
      <c r="G457" s="377"/>
      <c r="H457" s="377"/>
      <c r="I457" s="377"/>
      <c r="J457" s="377"/>
      <c r="K457" s="377"/>
      <c r="L457" s="377"/>
      <c r="M457" s="377"/>
      <c r="N457" s="377"/>
      <c r="O457" s="377"/>
      <c r="P457" s="377"/>
      <c r="Q457" s="377"/>
      <c r="R457" s="377"/>
      <c r="S457" s="377"/>
      <c r="T457" s="3"/>
      <c r="U457" s="3"/>
      <c r="V457" s="3"/>
      <c r="W457" s="3"/>
      <c r="X457" s="3"/>
      <c r="Y457" s="3"/>
      <c r="Z457" s="3"/>
    </row>
    <row r="458" spans="1:26" ht="22.5" customHeight="1" x14ac:dyDescent="0.85">
      <c r="A458" s="377"/>
      <c r="B458" s="377"/>
      <c r="C458" s="377"/>
      <c r="D458" s="377"/>
      <c r="E458" s="377"/>
      <c r="F458" s="377"/>
      <c r="G458" s="377"/>
      <c r="H458" s="377"/>
      <c r="I458" s="377"/>
      <c r="J458" s="377"/>
      <c r="K458" s="377"/>
      <c r="L458" s="377"/>
      <c r="M458" s="377"/>
      <c r="N458" s="377"/>
      <c r="O458" s="377"/>
      <c r="P458" s="377"/>
      <c r="Q458" s="377"/>
      <c r="R458" s="377"/>
      <c r="S458" s="377"/>
      <c r="T458" s="3"/>
      <c r="U458" s="3"/>
      <c r="V458" s="3"/>
      <c r="W458" s="3"/>
      <c r="X458" s="3"/>
      <c r="Y458" s="3"/>
      <c r="Z458" s="3"/>
    </row>
    <row r="459" spans="1:26" ht="22.5" customHeight="1" x14ac:dyDescent="0.85">
      <c r="A459" s="377"/>
      <c r="B459" s="377"/>
      <c r="C459" s="377"/>
      <c r="D459" s="377"/>
      <c r="E459" s="377"/>
      <c r="F459" s="377"/>
      <c r="G459" s="377"/>
      <c r="H459" s="377"/>
      <c r="I459" s="377"/>
      <c r="J459" s="377"/>
      <c r="K459" s="377"/>
      <c r="L459" s="377"/>
      <c r="M459" s="377"/>
      <c r="N459" s="377"/>
      <c r="O459" s="377"/>
      <c r="P459" s="377"/>
      <c r="Q459" s="377"/>
      <c r="R459" s="377"/>
      <c r="S459" s="377"/>
      <c r="T459" s="3"/>
      <c r="U459" s="3"/>
      <c r="V459" s="3"/>
      <c r="W459" s="3"/>
      <c r="X459" s="3"/>
      <c r="Y459" s="3"/>
      <c r="Z459" s="3"/>
    </row>
    <row r="460" spans="1:26" ht="22.5" customHeight="1" x14ac:dyDescent="0.85">
      <c r="A460" s="377"/>
      <c r="B460" s="377"/>
      <c r="C460" s="377"/>
      <c r="D460" s="377"/>
      <c r="E460" s="377"/>
      <c r="F460" s="377"/>
      <c r="G460" s="377"/>
      <c r="H460" s="377"/>
      <c r="I460" s="377"/>
      <c r="J460" s="377"/>
      <c r="K460" s="377"/>
      <c r="L460" s="377"/>
      <c r="M460" s="377"/>
      <c r="N460" s="377"/>
      <c r="O460" s="377"/>
      <c r="P460" s="377"/>
      <c r="Q460" s="377"/>
      <c r="R460" s="377"/>
      <c r="S460" s="377"/>
      <c r="T460" s="3"/>
      <c r="U460" s="3"/>
      <c r="V460" s="3"/>
      <c r="W460" s="3"/>
      <c r="X460" s="3"/>
      <c r="Y460" s="3"/>
      <c r="Z460" s="3"/>
    </row>
    <row r="461" spans="1:26" ht="22.5" customHeight="1" x14ac:dyDescent="0.85">
      <c r="A461" s="377"/>
      <c r="B461" s="377"/>
      <c r="C461" s="377"/>
      <c r="D461" s="377"/>
      <c r="E461" s="377"/>
      <c r="F461" s="377"/>
      <c r="G461" s="377"/>
      <c r="H461" s="377"/>
      <c r="I461" s="377"/>
      <c r="J461" s="377"/>
      <c r="K461" s="377"/>
      <c r="L461" s="377"/>
      <c r="M461" s="377"/>
      <c r="N461" s="377"/>
      <c r="O461" s="377"/>
      <c r="P461" s="377"/>
      <c r="Q461" s="377"/>
      <c r="R461" s="377"/>
      <c r="S461" s="377"/>
      <c r="T461" s="3"/>
      <c r="U461" s="3"/>
      <c r="V461" s="3"/>
      <c r="W461" s="3"/>
      <c r="X461" s="3"/>
      <c r="Y461" s="3"/>
      <c r="Z461" s="3"/>
    </row>
    <row r="462" spans="1:26" ht="22.5" customHeight="1" x14ac:dyDescent="0.85">
      <c r="A462" s="377"/>
      <c r="B462" s="377"/>
      <c r="C462" s="377"/>
      <c r="D462" s="377"/>
      <c r="E462" s="377"/>
      <c r="F462" s="377"/>
      <c r="G462" s="377"/>
      <c r="H462" s="377"/>
      <c r="I462" s="377"/>
      <c r="J462" s="377"/>
      <c r="K462" s="377"/>
      <c r="L462" s="377"/>
      <c r="M462" s="377"/>
      <c r="N462" s="377"/>
      <c r="O462" s="377"/>
      <c r="P462" s="377"/>
      <c r="Q462" s="377"/>
      <c r="R462" s="377"/>
      <c r="S462" s="377"/>
      <c r="T462" s="3"/>
      <c r="U462" s="3"/>
      <c r="V462" s="3"/>
      <c r="W462" s="3"/>
      <c r="X462" s="3"/>
      <c r="Y462" s="3"/>
      <c r="Z462" s="3"/>
    </row>
    <row r="463" spans="1:26" ht="22.5" customHeight="1" x14ac:dyDescent="0.85">
      <c r="A463" s="377"/>
      <c r="B463" s="377"/>
      <c r="C463" s="377"/>
      <c r="D463" s="377"/>
      <c r="E463" s="377"/>
      <c r="F463" s="377"/>
      <c r="G463" s="377"/>
      <c r="H463" s="377"/>
      <c r="I463" s="377"/>
      <c r="J463" s="377"/>
      <c r="K463" s="377"/>
      <c r="L463" s="377"/>
      <c r="M463" s="377"/>
      <c r="N463" s="377"/>
      <c r="O463" s="377"/>
      <c r="P463" s="377"/>
      <c r="Q463" s="377"/>
      <c r="R463" s="377"/>
      <c r="S463" s="377"/>
      <c r="T463" s="3"/>
      <c r="U463" s="3"/>
      <c r="V463" s="3"/>
      <c r="W463" s="3"/>
      <c r="X463" s="3"/>
      <c r="Y463" s="3"/>
      <c r="Z463" s="3"/>
    </row>
    <row r="464" spans="1:26" ht="22.5" customHeight="1" x14ac:dyDescent="0.85">
      <c r="A464" s="377"/>
      <c r="B464" s="377"/>
      <c r="C464" s="377"/>
      <c r="D464" s="377"/>
      <c r="E464" s="377"/>
      <c r="F464" s="377"/>
      <c r="G464" s="377"/>
      <c r="H464" s="377"/>
      <c r="I464" s="377"/>
      <c r="J464" s="377"/>
      <c r="K464" s="377"/>
      <c r="L464" s="377"/>
      <c r="M464" s="377"/>
      <c r="N464" s="377"/>
      <c r="O464" s="377"/>
      <c r="P464" s="377"/>
      <c r="Q464" s="377"/>
      <c r="R464" s="377"/>
      <c r="S464" s="377"/>
      <c r="T464" s="3"/>
      <c r="U464" s="3"/>
      <c r="V464" s="3"/>
      <c r="W464" s="3"/>
      <c r="X464" s="3"/>
      <c r="Y464" s="3"/>
      <c r="Z464" s="3"/>
    </row>
    <row r="465" spans="1:26" ht="22.5" customHeight="1" x14ac:dyDescent="0.85">
      <c r="A465" s="377"/>
      <c r="B465" s="377"/>
      <c r="C465" s="377"/>
      <c r="D465" s="377"/>
      <c r="E465" s="377"/>
      <c r="F465" s="377"/>
      <c r="G465" s="377"/>
      <c r="H465" s="377"/>
      <c r="I465" s="377"/>
      <c r="J465" s="377"/>
      <c r="K465" s="377"/>
      <c r="L465" s="377"/>
      <c r="M465" s="377"/>
      <c r="N465" s="377"/>
      <c r="O465" s="377"/>
      <c r="P465" s="377"/>
      <c r="Q465" s="377"/>
      <c r="R465" s="377"/>
      <c r="S465" s="377"/>
      <c r="T465" s="3"/>
      <c r="U465" s="3"/>
      <c r="V465" s="3"/>
      <c r="W465" s="3"/>
      <c r="X465" s="3"/>
      <c r="Y465" s="3"/>
      <c r="Z465" s="3"/>
    </row>
    <row r="466" spans="1:26" ht="22.5" customHeight="1" x14ac:dyDescent="0.85">
      <c r="A466" s="377"/>
      <c r="B466" s="377"/>
      <c r="C466" s="377"/>
      <c r="D466" s="377"/>
      <c r="E466" s="377"/>
      <c r="F466" s="377"/>
      <c r="G466" s="377"/>
      <c r="H466" s="377"/>
      <c r="I466" s="377"/>
      <c r="J466" s="377"/>
      <c r="K466" s="377"/>
      <c r="L466" s="377"/>
      <c r="M466" s="377"/>
      <c r="N466" s="377"/>
      <c r="O466" s="377"/>
      <c r="P466" s="377"/>
      <c r="Q466" s="377"/>
      <c r="R466" s="377"/>
      <c r="S466" s="377"/>
      <c r="T466" s="3"/>
      <c r="U466" s="3"/>
      <c r="V466" s="3"/>
      <c r="W466" s="3"/>
      <c r="X466" s="3"/>
      <c r="Y466" s="3"/>
      <c r="Z466" s="3"/>
    </row>
    <row r="467" spans="1:26" ht="22.5" customHeight="1" x14ac:dyDescent="0.85">
      <c r="A467" s="377"/>
      <c r="B467" s="377"/>
      <c r="C467" s="377"/>
      <c r="D467" s="377"/>
      <c r="E467" s="377"/>
      <c r="F467" s="377"/>
      <c r="G467" s="377"/>
      <c r="H467" s="377"/>
      <c r="I467" s="377"/>
      <c r="J467" s="377"/>
      <c r="K467" s="377"/>
      <c r="L467" s="377"/>
      <c r="M467" s="377"/>
      <c r="N467" s="377"/>
      <c r="O467" s="377"/>
      <c r="P467" s="377"/>
      <c r="Q467" s="377"/>
      <c r="R467" s="377"/>
      <c r="S467" s="377"/>
      <c r="T467" s="3"/>
      <c r="U467" s="3"/>
      <c r="V467" s="3"/>
      <c r="W467" s="3"/>
      <c r="X467" s="3"/>
      <c r="Y467" s="3"/>
      <c r="Z467" s="3"/>
    </row>
    <row r="468" spans="1:26" ht="22.5" customHeight="1" x14ac:dyDescent="0.85">
      <c r="A468" s="377"/>
      <c r="B468" s="377"/>
      <c r="C468" s="377"/>
      <c r="D468" s="377"/>
      <c r="E468" s="377"/>
      <c r="F468" s="377"/>
      <c r="G468" s="377"/>
      <c r="H468" s="377"/>
      <c r="I468" s="377"/>
      <c r="J468" s="377"/>
      <c r="K468" s="377"/>
      <c r="L468" s="377"/>
      <c r="M468" s="377"/>
      <c r="N468" s="377"/>
      <c r="O468" s="377"/>
      <c r="P468" s="377"/>
      <c r="Q468" s="377"/>
      <c r="R468" s="377"/>
      <c r="S468" s="377"/>
      <c r="T468" s="3"/>
      <c r="U468" s="3"/>
      <c r="V468" s="3"/>
      <c r="W468" s="3"/>
      <c r="X468" s="3"/>
      <c r="Y468" s="3"/>
      <c r="Z468" s="3"/>
    </row>
    <row r="469" spans="1:26" ht="22.5" customHeight="1" x14ac:dyDescent="0.85">
      <c r="A469" s="377"/>
      <c r="B469" s="377"/>
      <c r="C469" s="377"/>
      <c r="D469" s="377"/>
      <c r="E469" s="377"/>
      <c r="F469" s="377"/>
      <c r="G469" s="377"/>
      <c r="H469" s="377"/>
      <c r="I469" s="377"/>
      <c r="J469" s="377"/>
      <c r="K469" s="377"/>
      <c r="L469" s="377"/>
      <c r="M469" s="377"/>
      <c r="N469" s="377"/>
      <c r="O469" s="377"/>
      <c r="P469" s="377"/>
      <c r="Q469" s="377"/>
      <c r="R469" s="377"/>
      <c r="S469" s="377"/>
      <c r="T469" s="3"/>
      <c r="U469" s="3"/>
      <c r="V469" s="3"/>
      <c r="W469" s="3"/>
      <c r="X469" s="3"/>
      <c r="Y469" s="3"/>
      <c r="Z469" s="3"/>
    </row>
    <row r="470" spans="1:26" ht="22.5" customHeight="1" x14ac:dyDescent="0.85">
      <c r="A470" s="377"/>
      <c r="B470" s="377"/>
      <c r="C470" s="377"/>
      <c r="D470" s="377"/>
      <c r="E470" s="377"/>
      <c r="F470" s="377"/>
      <c r="G470" s="377"/>
      <c r="H470" s="377"/>
      <c r="I470" s="377"/>
      <c r="J470" s="377"/>
      <c r="K470" s="377"/>
      <c r="L470" s="377"/>
      <c r="M470" s="377"/>
      <c r="N470" s="377"/>
      <c r="O470" s="377"/>
      <c r="P470" s="377"/>
      <c r="Q470" s="377"/>
      <c r="R470" s="377"/>
      <c r="S470" s="377"/>
      <c r="T470" s="3"/>
      <c r="U470" s="3"/>
      <c r="V470" s="3"/>
      <c r="W470" s="3"/>
      <c r="X470" s="3"/>
      <c r="Y470" s="3"/>
      <c r="Z470" s="3"/>
    </row>
    <row r="471" spans="1:26" ht="22.5" customHeight="1" x14ac:dyDescent="0.85">
      <c r="A471" s="377"/>
      <c r="B471" s="377"/>
      <c r="C471" s="377"/>
      <c r="D471" s="377"/>
      <c r="E471" s="377"/>
      <c r="F471" s="377"/>
      <c r="G471" s="377"/>
      <c r="H471" s="377"/>
      <c r="I471" s="377"/>
      <c r="J471" s="377"/>
      <c r="K471" s="377"/>
      <c r="L471" s="377"/>
      <c r="M471" s="377"/>
      <c r="N471" s="377"/>
      <c r="O471" s="377"/>
      <c r="P471" s="377"/>
      <c r="Q471" s="377"/>
      <c r="R471" s="377"/>
      <c r="S471" s="377"/>
      <c r="T471" s="3"/>
      <c r="U471" s="3"/>
      <c r="V471" s="3"/>
      <c r="W471" s="3"/>
      <c r="X471" s="3"/>
      <c r="Y471" s="3"/>
      <c r="Z471" s="3"/>
    </row>
    <row r="472" spans="1:26" ht="22.5" customHeight="1" x14ac:dyDescent="0.85">
      <c r="A472" s="377"/>
      <c r="B472" s="377"/>
      <c r="C472" s="377"/>
      <c r="D472" s="377"/>
      <c r="E472" s="377"/>
      <c r="F472" s="377"/>
      <c r="G472" s="377"/>
      <c r="H472" s="377"/>
      <c r="I472" s="377"/>
      <c r="J472" s="377"/>
      <c r="K472" s="377"/>
      <c r="L472" s="377"/>
      <c r="M472" s="377"/>
      <c r="N472" s="377"/>
      <c r="O472" s="377"/>
      <c r="P472" s="377"/>
      <c r="Q472" s="377"/>
      <c r="R472" s="377"/>
      <c r="S472" s="377"/>
      <c r="T472" s="3"/>
      <c r="U472" s="3"/>
      <c r="V472" s="3"/>
      <c r="W472" s="3"/>
      <c r="X472" s="3"/>
      <c r="Y472" s="3"/>
      <c r="Z472" s="3"/>
    </row>
    <row r="473" spans="1:26" ht="22.5" customHeight="1" x14ac:dyDescent="0.85">
      <c r="A473" s="377"/>
      <c r="B473" s="377"/>
      <c r="C473" s="377"/>
      <c r="D473" s="377"/>
      <c r="E473" s="377"/>
      <c r="F473" s="377"/>
      <c r="G473" s="377"/>
      <c r="H473" s="377"/>
      <c r="I473" s="377"/>
      <c r="J473" s="377"/>
      <c r="K473" s="377"/>
      <c r="L473" s="377"/>
      <c r="M473" s="377"/>
      <c r="N473" s="377"/>
      <c r="O473" s="377"/>
      <c r="P473" s="377"/>
      <c r="Q473" s="377"/>
      <c r="R473" s="377"/>
      <c r="S473" s="377"/>
      <c r="T473" s="3"/>
      <c r="U473" s="3"/>
      <c r="V473" s="3"/>
      <c r="W473" s="3"/>
      <c r="X473" s="3"/>
      <c r="Y473" s="3"/>
      <c r="Z473" s="3"/>
    </row>
    <row r="474" spans="1:26" ht="22.5" customHeight="1" x14ac:dyDescent="0.85">
      <c r="A474" s="377"/>
      <c r="B474" s="377"/>
      <c r="C474" s="377"/>
      <c r="D474" s="377"/>
      <c r="E474" s="377"/>
      <c r="F474" s="377"/>
      <c r="G474" s="377"/>
      <c r="H474" s="377"/>
      <c r="I474" s="377"/>
      <c r="J474" s="377"/>
      <c r="K474" s="377"/>
      <c r="L474" s="377"/>
      <c r="M474" s="377"/>
      <c r="N474" s="377"/>
      <c r="O474" s="377"/>
      <c r="P474" s="377"/>
      <c r="Q474" s="377"/>
      <c r="R474" s="377"/>
      <c r="S474" s="377"/>
      <c r="T474" s="3"/>
      <c r="U474" s="3"/>
      <c r="V474" s="3"/>
      <c r="W474" s="3"/>
      <c r="X474" s="3"/>
      <c r="Y474" s="3"/>
      <c r="Z474" s="3"/>
    </row>
    <row r="475" spans="1:26" ht="22.5" customHeight="1" x14ac:dyDescent="0.85">
      <c r="A475" s="377"/>
      <c r="B475" s="377"/>
      <c r="C475" s="377"/>
      <c r="D475" s="377"/>
      <c r="E475" s="377"/>
      <c r="F475" s="377"/>
      <c r="G475" s="377"/>
      <c r="H475" s="377"/>
      <c r="I475" s="377"/>
      <c r="J475" s="377"/>
      <c r="K475" s="377"/>
      <c r="L475" s="377"/>
      <c r="M475" s="377"/>
      <c r="N475" s="377"/>
      <c r="O475" s="377"/>
      <c r="P475" s="377"/>
      <c r="Q475" s="377"/>
      <c r="R475" s="377"/>
      <c r="S475" s="377"/>
      <c r="T475" s="3"/>
      <c r="U475" s="3"/>
      <c r="V475" s="3"/>
      <c r="W475" s="3"/>
      <c r="X475" s="3"/>
      <c r="Y475" s="3"/>
      <c r="Z475" s="3"/>
    </row>
    <row r="476" spans="1:26" ht="22.5" customHeight="1" x14ac:dyDescent="0.85">
      <c r="A476" s="377"/>
      <c r="B476" s="377"/>
      <c r="C476" s="377"/>
      <c r="D476" s="377"/>
      <c r="E476" s="377"/>
      <c r="F476" s="377"/>
      <c r="G476" s="377"/>
      <c r="H476" s="377"/>
      <c r="I476" s="377"/>
      <c r="J476" s="377"/>
      <c r="K476" s="377"/>
      <c r="L476" s="377"/>
      <c r="M476" s="377"/>
      <c r="N476" s="377"/>
      <c r="O476" s="377"/>
      <c r="P476" s="377"/>
      <c r="Q476" s="377"/>
      <c r="R476" s="377"/>
      <c r="S476" s="377"/>
      <c r="T476" s="3"/>
      <c r="U476" s="3"/>
      <c r="V476" s="3"/>
      <c r="W476" s="3"/>
      <c r="X476" s="3"/>
      <c r="Y476" s="3"/>
      <c r="Z476" s="3"/>
    </row>
    <row r="477" spans="1:26" ht="22.5" customHeight="1" x14ac:dyDescent="0.85">
      <c r="A477" s="377"/>
      <c r="B477" s="377"/>
      <c r="C477" s="377"/>
      <c r="D477" s="377"/>
      <c r="E477" s="377"/>
      <c r="F477" s="377"/>
      <c r="G477" s="377"/>
      <c r="H477" s="377"/>
      <c r="I477" s="377"/>
      <c r="J477" s="377"/>
      <c r="K477" s="377"/>
      <c r="L477" s="377"/>
      <c r="M477" s="377"/>
      <c r="N477" s="377"/>
      <c r="O477" s="377"/>
      <c r="P477" s="377"/>
      <c r="Q477" s="377"/>
      <c r="R477" s="377"/>
      <c r="S477" s="377"/>
      <c r="T477" s="3"/>
      <c r="U477" s="3"/>
      <c r="V477" s="3"/>
      <c r="W477" s="3"/>
      <c r="X477" s="3"/>
      <c r="Y477" s="3"/>
      <c r="Z477" s="3"/>
    </row>
    <row r="478" spans="1:26" ht="22.5" customHeight="1" x14ac:dyDescent="0.85">
      <c r="A478" s="377"/>
      <c r="B478" s="377"/>
      <c r="C478" s="377"/>
      <c r="D478" s="377"/>
      <c r="E478" s="377"/>
      <c r="F478" s="377"/>
      <c r="G478" s="377"/>
      <c r="H478" s="377"/>
      <c r="I478" s="377"/>
      <c r="J478" s="377"/>
      <c r="K478" s="377"/>
      <c r="L478" s="377"/>
      <c r="M478" s="377"/>
      <c r="N478" s="377"/>
      <c r="O478" s="377"/>
      <c r="P478" s="377"/>
      <c r="Q478" s="377"/>
      <c r="R478" s="377"/>
      <c r="S478" s="377"/>
      <c r="T478" s="3"/>
      <c r="U478" s="3"/>
      <c r="V478" s="3"/>
      <c r="W478" s="3"/>
      <c r="X478" s="3"/>
      <c r="Y478" s="3"/>
      <c r="Z478" s="3"/>
    </row>
    <row r="479" spans="1:26" ht="22.5" customHeight="1" x14ac:dyDescent="0.85">
      <c r="A479" s="377"/>
      <c r="B479" s="377"/>
      <c r="C479" s="377"/>
      <c r="D479" s="377"/>
      <c r="E479" s="377"/>
      <c r="F479" s="377"/>
      <c r="G479" s="377"/>
      <c r="H479" s="377"/>
      <c r="I479" s="377"/>
      <c r="J479" s="377"/>
      <c r="K479" s="377"/>
      <c r="L479" s="377"/>
      <c r="M479" s="377"/>
      <c r="N479" s="377"/>
      <c r="O479" s="377"/>
      <c r="P479" s="377"/>
      <c r="Q479" s="377"/>
      <c r="R479" s="377"/>
      <c r="S479" s="377"/>
      <c r="T479" s="3"/>
      <c r="U479" s="3"/>
      <c r="V479" s="3"/>
      <c r="W479" s="3"/>
      <c r="X479" s="3"/>
      <c r="Y479" s="3"/>
      <c r="Z479" s="3"/>
    </row>
    <row r="480" spans="1:26" ht="22.5" customHeight="1" x14ac:dyDescent="0.85">
      <c r="A480" s="377"/>
      <c r="B480" s="377"/>
      <c r="C480" s="377"/>
      <c r="D480" s="377"/>
      <c r="E480" s="377"/>
      <c r="F480" s="377"/>
      <c r="G480" s="377"/>
      <c r="H480" s="377"/>
      <c r="I480" s="377"/>
      <c r="J480" s="377"/>
      <c r="K480" s="377"/>
      <c r="L480" s="377"/>
      <c r="M480" s="377"/>
      <c r="N480" s="377"/>
      <c r="O480" s="377"/>
      <c r="P480" s="377"/>
      <c r="Q480" s="377"/>
      <c r="R480" s="377"/>
      <c r="S480" s="377"/>
      <c r="T480" s="3"/>
      <c r="U480" s="3"/>
      <c r="V480" s="3"/>
      <c r="W480" s="3"/>
      <c r="X480" s="3"/>
      <c r="Y480" s="3"/>
      <c r="Z480" s="3"/>
    </row>
    <row r="481" spans="1:26" ht="22.5" customHeight="1" x14ac:dyDescent="0.85">
      <c r="A481" s="377"/>
      <c r="B481" s="377"/>
      <c r="C481" s="377"/>
      <c r="D481" s="377"/>
      <c r="E481" s="377"/>
      <c r="F481" s="377"/>
      <c r="G481" s="377"/>
      <c r="H481" s="377"/>
      <c r="I481" s="377"/>
      <c r="J481" s="377"/>
      <c r="K481" s="377"/>
      <c r="L481" s="377"/>
      <c r="M481" s="377"/>
      <c r="N481" s="377"/>
      <c r="O481" s="377"/>
      <c r="P481" s="377"/>
      <c r="Q481" s="377"/>
      <c r="R481" s="377"/>
      <c r="S481" s="377"/>
      <c r="T481" s="3"/>
      <c r="U481" s="3"/>
      <c r="V481" s="3"/>
      <c r="W481" s="3"/>
      <c r="X481" s="3"/>
      <c r="Y481" s="3"/>
      <c r="Z481" s="3"/>
    </row>
    <row r="482" spans="1:26" ht="22.5" customHeight="1" x14ac:dyDescent="0.85">
      <c r="A482" s="377"/>
      <c r="B482" s="377"/>
      <c r="C482" s="377"/>
      <c r="D482" s="377"/>
      <c r="E482" s="377"/>
      <c r="F482" s="377"/>
      <c r="G482" s="377"/>
      <c r="H482" s="377"/>
      <c r="I482" s="377"/>
      <c r="J482" s="377"/>
      <c r="K482" s="377"/>
      <c r="L482" s="377"/>
      <c r="M482" s="377"/>
      <c r="N482" s="377"/>
      <c r="O482" s="377"/>
      <c r="P482" s="377"/>
      <c r="Q482" s="377"/>
      <c r="R482" s="377"/>
      <c r="S482" s="377"/>
      <c r="T482" s="3"/>
      <c r="U482" s="3"/>
      <c r="V482" s="3"/>
      <c r="W482" s="3"/>
      <c r="X482" s="3"/>
      <c r="Y482" s="3"/>
      <c r="Z482" s="3"/>
    </row>
    <row r="483" spans="1:26" ht="22.5" customHeight="1" x14ac:dyDescent="0.85">
      <c r="A483" s="377"/>
      <c r="B483" s="377"/>
      <c r="C483" s="377"/>
      <c r="D483" s="377"/>
      <c r="E483" s="377"/>
      <c r="F483" s="377"/>
      <c r="G483" s="377"/>
      <c r="H483" s="377"/>
      <c r="I483" s="377"/>
      <c r="J483" s="377"/>
      <c r="K483" s="377"/>
      <c r="L483" s="377"/>
      <c r="M483" s="377"/>
      <c r="N483" s="377"/>
      <c r="O483" s="377"/>
      <c r="P483" s="377"/>
      <c r="Q483" s="377"/>
      <c r="R483" s="377"/>
      <c r="S483" s="377"/>
      <c r="T483" s="3"/>
      <c r="U483" s="3"/>
      <c r="V483" s="3"/>
      <c r="W483" s="3"/>
      <c r="X483" s="3"/>
      <c r="Y483" s="3"/>
      <c r="Z483" s="3"/>
    </row>
    <row r="484" spans="1:26" ht="22.5" customHeight="1" x14ac:dyDescent="0.85">
      <c r="A484" s="377"/>
      <c r="B484" s="377"/>
      <c r="C484" s="377"/>
      <c r="D484" s="377"/>
      <c r="E484" s="377"/>
      <c r="F484" s="377"/>
      <c r="G484" s="377"/>
      <c r="H484" s="377"/>
      <c r="I484" s="377"/>
      <c r="J484" s="377"/>
      <c r="K484" s="377"/>
      <c r="L484" s="377"/>
      <c r="M484" s="377"/>
      <c r="N484" s="377"/>
      <c r="O484" s="377"/>
      <c r="P484" s="377"/>
      <c r="Q484" s="377"/>
      <c r="R484" s="377"/>
      <c r="S484" s="377"/>
      <c r="T484" s="3"/>
      <c r="U484" s="3"/>
      <c r="V484" s="3"/>
      <c r="W484" s="3"/>
      <c r="X484" s="3"/>
      <c r="Y484" s="3"/>
      <c r="Z484" s="3"/>
    </row>
    <row r="485" spans="1:26" ht="22.5" customHeight="1" x14ac:dyDescent="0.85">
      <c r="A485" s="377"/>
      <c r="B485" s="377"/>
      <c r="C485" s="377"/>
      <c r="D485" s="377"/>
      <c r="E485" s="377"/>
      <c r="F485" s="377"/>
      <c r="G485" s="377"/>
      <c r="H485" s="377"/>
      <c r="I485" s="377"/>
      <c r="J485" s="377"/>
      <c r="K485" s="377"/>
      <c r="L485" s="377"/>
      <c r="M485" s="377"/>
      <c r="N485" s="377"/>
      <c r="O485" s="377"/>
      <c r="P485" s="377"/>
      <c r="Q485" s="377"/>
      <c r="R485" s="377"/>
      <c r="S485" s="377"/>
      <c r="T485" s="3"/>
      <c r="U485" s="3"/>
      <c r="V485" s="3"/>
      <c r="W485" s="3"/>
      <c r="X485" s="3"/>
      <c r="Y485" s="3"/>
      <c r="Z485" s="3"/>
    </row>
    <row r="486" spans="1:26" ht="22.5" customHeight="1" x14ac:dyDescent="0.85">
      <c r="A486" s="377"/>
      <c r="B486" s="377"/>
      <c r="C486" s="377"/>
      <c r="D486" s="377"/>
      <c r="E486" s="377"/>
      <c r="F486" s="377"/>
      <c r="G486" s="377"/>
      <c r="H486" s="377"/>
      <c r="I486" s="377"/>
      <c r="J486" s="377"/>
      <c r="K486" s="377"/>
      <c r="L486" s="377"/>
      <c r="M486" s="377"/>
      <c r="N486" s="377"/>
      <c r="O486" s="377"/>
      <c r="P486" s="377"/>
      <c r="Q486" s="377"/>
      <c r="R486" s="377"/>
      <c r="S486" s="377"/>
      <c r="T486" s="3"/>
      <c r="U486" s="3"/>
      <c r="V486" s="3"/>
      <c r="W486" s="3"/>
      <c r="X486" s="3"/>
      <c r="Y486" s="3"/>
      <c r="Z486" s="3"/>
    </row>
    <row r="487" spans="1:26" ht="22.5" customHeight="1" x14ac:dyDescent="0.85">
      <c r="A487" s="377"/>
      <c r="B487" s="377"/>
      <c r="C487" s="377"/>
      <c r="D487" s="377"/>
      <c r="E487" s="377"/>
      <c r="F487" s="377"/>
      <c r="G487" s="377"/>
      <c r="H487" s="377"/>
      <c r="I487" s="377"/>
      <c r="J487" s="377"/>
      <c r="K487" s="377"/>
      <c r="L487" s="377"/>
      <c r="M487" s="377"/>
      <c r="N487" s="377"/>
      <c r="O487" s="377"/>
      <c r="P487" s="377"/>
      <c r="Q487" s="377"/>
      <c r="R487" s="377"/>
      <c r="S487" s="377"/>
      <c r="T487" s="3"/>
      <c r="U487" s="3"/>
      <c r="V487" s="3"/>
      <c r="W487" s="3"/>
      <c r="X487" s="3"/>
      <c r="Y487" s="3"/>
      <c r="Z487" s="3"/>
    </row>
    <row r="488" spans="1:26" ht="22.5" customHeight="1" x14ac:dyDescent="0.85">
      <c r="A488" s="377"/>
      <c r="B488" s="377"/>
      <c r="C488" s="377"/>
      <c r="D488" s="377"/>
      <c r="E488" s="377"/>
      <c r="F488" s="377"/>
      <c r="G488" s="377"/>
      <c r="H488" s="377"/>
      <c r="I488" s="377"/>
      <c r="J488" s="377"/>
      <c r="K488" s="377"/>
      <c r="L488" s="377"/>
      <c r="M488" s="377"/>
      <c r="N488" s="377"/>
      <c r="O488" s="377"/>
      <c r="P488" s="377"/>
      <c r="Q488" s="377"/>
      <c r="R488" s="377"/>
      <c r="S488" s="377"/>
      <c r="T488" s="3"/>
      <c r="U488" s="3"/>
      <c r="V488" s="3"/>
      <c r="W488" s="3"/>
      <c r="X488" s="3"/>
      <c r="Y488" s="3"/>
      <c r="Z488" s="3"/>
    </row>
    <row r="489" spans="1:26" ht="22.5" customHeight="1" x14ac:dyDescent="0.85">
      <c r="A489" s="377"/>
      <c r="B489" s="377"/>
      <c r="C489" s="377"/>
      <c r="D489" s="377"/>
      <c r="E489" s="377"/>
      <c r="F489" s="377"/>
      <c r="G489" s="377"/>
      <c r="H489" s="377"/>
      <c r="I489" s="377"/>
      <c r="J489" s="377"/>
      <c r="K489" s="377"/>
      <c r="L489" s="377"/>
      <c r="M489" s="377"/>
      <c r="N489" s="377"/>
      <c r="O489" s="377"/>
      <c r="P489" s="377"/>
      <c r="Q489" s="377"/>
      <c r="R489" s="377"/>
      <c r="S489" s="377"/>
      <c r="T489" s="3"/>
      <c r="U489" s="3"/>
      <c r="V489" s="3"/>
      <c r="W489" s="3"/>
      <c r="X489" s="3"/>
      <c r="Y489" s="3"/>
      <c r="Z489" s="3"/>
    </row>
    <row r="490" spans="1:26" ht="22.5" customHeight="1" x14ac:dyDescent="0.85">
      <c r="A490" s="377"/>
      <c r="B490" s="377"/>
      <c r="C490" s="377"/>
      <c r="D490" s="377"/>
      <c r="E490" s="377"/>
      <c r="F490" s="377"/>
      <c r="G490" s="377"/>
      <c r="H490" s="377"/>
      <c r="I490" s="377"/>
      <c r="J490" s="377"/>
      <c r="K490" s="377"/>
      <c r="L490" s="377"/>
      <c r="M490" s="377"/>
      <c r="N490" s="377"/>
      <c r="O490" s="377"/>
      <c r="P490" s="377"/>
      <c r="Q490" s="377"/>
      <c r="R490" s="377"/>
      <c r="S490" s="377"/>
      <c r="T490" s="3"/>
      <c r="U490" s="3"/>
      <c r="V490" s="3"/>
      <c r="W490" s="3"/>
      <c r="X490" s="3"/>
      <c r="Y490" s="3"/>
      <c r="Z490" s="3"/>
    </row>
    <row r="491" spans="1:26" ht="22.5" customHeight="1" x14ac:dyDescent="0.85">
      <c r="A491" s="377"/>
      <c r="B491" s="377"/>
      <c r="C491" s="377"/>
      <c r="D491" s="377"/>
      <c r="E491" s="377"/>
      <c r="F491" s="377"/>
      <c r="G491" s="377"/>
      <c r="H491" s="377"/>
      <c r="I491" s="377"/>
      <c r="J491" s="377"/>
      <c r="K491" s="377"/>
      <c r="L491" s="377"/>
      <c r="M491" s="377"/>
      <c r="N491" s="377"/>
      <c r="O491" s="377"/>
      <c r="P491" s="377"/>
      <c r="Q491" s="377"/>
      <c r="R491" s="377"/>
      <c r="S491" s="377"/>
      <c r="T491" s="3"/>
      <c r="U491" s="3"/>
      <c r="V491" s="3"/>
      <c r="W491" s="3"/>
      <c r="X491" s="3"/>
      <c r="Y491" s="3"/>
      <c r="Z491" s="3"/>
    </row>
    <row r="492" spans="1:26" ht="22.5" customHeight="1" x14ac:dyDescent="0.85">
      <c r="A492" s="377"/>
      <c r="B492" s="377"/>
      <c r="C492" s="377"/>
      <c r="D492" s="377"/>
      <c r="E492" s="377"/>
      <c r="F492" s="377"/>
      <c r="G492" s="377"/>
      <c r="H492" s="377"/>
      <c r="I492" s="377"/>
      <c r="J492" s="377"/>
      <c r="K492" s="377"/>
      <c r="L492" s="377"/>
      <c r="M492" s="377"/>
      <c r="N492" s="377"/>
      <c r="O492" s="377"/>
      <c r="P492" s="377"/>
      <c r="Q492" s="377"/>
      <c r="R492" s="377"/>
      <c r="S492" s="377"/>
      <c r="T492" s="3"/>
      <c r="U492" s="3"/>
      <c r="V492" s="3"/>
      <c r="W492" s="3"/>
      <c r="X492" s="3"/>
      <c r="Y492" s="3"/>
      <c r="Z492" s="3"/>
    </row>
    <row r="493" spans="1:26" ht="22.5" customHeight="1" x14ac:dyDescent="0.85">
      <c r="A493" s="377"/>
      <c r="B493" s="377"/>
      <c r="C493" s="377"/>
      <c r="D493" s="377"/>
      <c r="E493" s="377"/>
      <c r="F493" s="377"/>
      <c r="G493" s="377"/>
      <c r="H493" s="377"/>
      <c r="I493" s="377"/>
      <c r="J493" s="377"/>
      <c r="K493" s="377"/>
      <c r="L493" s="377"/>
      <c r="M493" s="377"/>
      <c r="N493" s="377"/>
      <c r="O493" s="377"/>
      <c r="P493" s="377"/>
      <c r="Q493" s="377"/>
      <c r="R493" s="377"/>
      <c r="S493" s="377"/>
      <c r="T493" s="3"/>
      <c r="U493" s="3"/>
      <c r="V493" s="3"/>
      <c r="W493" s="3"/>
      <c r="X493" s="3"/>
      <c r="Y493" s="3"/>
      <c r="Z493" s="3"/>
    </row>
    <row r="494" spans="1:26" ht="22.5" customHeight="1" x14ac:dyDescent="0.85">
      <c r="A494" s="377"/>
      <c r="B494" s="377"/>
      <c r="C494" s="377"/>
      <c r="D494" s="377"/>
      <c r="E494" s="377"/>
      <c r="F494" s="377"/>
      <c r="G494" s="377"/>
      <c r="H494" s="377"/>
      <c r="I494" s="377"/>
      <c r="J494" s="377"/>
      <c r="K494" s="377"/>
      <c r="L494" s="377"/>
      <c r="M494" s="377"/>
      <c r="N494" s="377"/>
      <c r="O494" s="377"/>
      <c r="P494" s="377"/>
      <c r="Q494" s="377"/>
      <c r="R494" s="377"/>
      <c r="S494" s="377"/>
      <c r="T494" s="3"/>
      <c r="U494" s="3"/>
      <c r="V494" s="3"/>
      <c r="W494" s="3"/>
      <c r="X494" s="3"/>
      <c r="Y494" s="3"/>
      <c r="Z494" s="3"/>
    </row>
    <row r="495" spans="1:26" ht="22.5" customHeight="1" x14ac:dyDescent="0.85">
      <c r="A495" s="377"/>
      <c r="B495" s="377"/>
      <c r="C495" s="377"/>
      <c r="D495" s="377"/>
      <c r="E495" s="377"/>
      <c r="F495" s="377"/>
      <c r="G495" s="377"/>
      <c r="H495" s="377"/>
      <c r="I495" s="377"/>
      <c r="J495" s="377"/>
      <c r="K495" s="377"/>
      <c r="L495" s="377"/>
      <c r="M495" s="377"/>
      <c r="N495" s="377"/>
      <c r="O495" s="377"/>
      <c r="P495" s="377"/>
      <c r="Q495" s="377"/>
      <c r="R495" s="377"/>
      <c r="S495" s="377"/>
      <c r="T495" s="3"/>
      <c r="U495" s="3"/>
      <c r="V495" s="3"/>
      <c r="W495" s="3"/>
      <c r="X495" s="3"/>
      <c r="Y495" s="3"/>
      <c r="Z495" s="3"/>
    </row>
    <row r="496" spans="1:26" ht="22.5" customHeight="1" x14ac:dyDescent="0.85">
      <c r="A496" s="377"/>
      <c r="B496" s="377"/>
      <c r="C496" s="377"/>
      <c r="D496" s="377"/>
      <c r="E496" s="377"/>
      <c r="F496" s="377"/>
      <c r="G496" s="377"/>
      <c r="H496" s="377"/>
      <c r="I496" s="377"/>
      <c r="J496" s="377"/>
      <c r="K496" s="377"/>
      <c r="L496" s="377"/>
      <c r="M496" s="377"/>
      <c r="N496" s="377"/>
      <c r="O496" s="377"/>
      <c r="P496" s="377"/>
      <c r="Q496" s="377"/>
      <c r="R496" s="377"/>
      <c r="S496" s="377"/>
      <c r="T496" s="3"/>
      <c r="U496" s="3"/>
      <c r="V496" s="3"/>
      <c r="W496" s="3"/>
      <c r="X496" s="3"/>
      <c r="Y496" s="3"/>
      <c r="Z496" s="3"/>
    </row>
    <row r="497" spans="1:26" ht="22.5" customHeight="1" x14ac:dyDescent="0.85">
      <c r="A497" s="377"/>
      <c r="B497" s="377"/>
      <c r="C497" s="377"/>
      <c r="D497" s="377"/>
      <c r="E497" s="377"/>
      <c r="F497" s="377"/>
      <c r="G497" s="377"/>
      <c r="H497" s="377"/>
      <c r="I497" s="377"/>
      <c r="J497" s="377"/>
      <c r="K497" s="377"/>
      <c r="L497" s="377"/>
      <c r="M497" s="377"/>
      <c r="N497" s="377"/>
      <c r="O497" s="377"/>
      <c r="P497" s="377"/>
      <c r="Q497" s="377"/>
      <c r="R497" s="377"/>
      <c r="S497" s="377"/>
      <c r="T497" s="3"/>
      <c r="U497" s="3"/>
      <c r="V497" s="3"/>
      <c r="W497" s="3"/>
      <c r="X497" s="3"/>
      <c r="Y497" s="3"/>
      <c r="Z497" s="3"/>
    </row>
    <row r="498" spans="1:26" ht="22.5" customHeight="1" x14ac:dyDescent="0.85">
      <c r="A498" s="377"/>
      <c r="B498" s="377"/>
      <c r="C498" s="377"/>
      <c r="D498" s="377"/>
      <c r="E498" s="377"/>
      <c r="F498" s="377"/>
      <c r="G498" s="377"/>
      <c r="H498" s="377"/>
      <c r="I498" s="377"/>
      <c r="J498" s="377"/>
      <c r="K498" s="377"/>
      <c r="L498" s="377"/>
      <c r="M498" s="377"/>
      <c r="N498" s="377"/>
      <c r="O498" s="377"/>
      <c r="P498" s="377"/>
      <c r="Q498" s="377"/>
      <c r="R498" s="377"/>
      <c r="S498" s="377"/>
      <c r="T498" s="3"/>
      <c r="U498" s="3"/>
      <c r="V498" s="3"/>
      <c r="W498" s="3"/>
      <c r="X498" s="3"/>
      <c r="Y498" s="3"/>
      <c r="Z498" s="3"/>
    </row>
    <row r="499" spans="1:26" ht="22.5" customHeight="1" x14ac:dyDescent="0.85">
      <c r="A499" s="377"/>
      <c r="B499" s="377"/>
      <c r="C499" s="377"/>
      <c r="D499" s="377"/>
      <c r="E499" s="377"/>
      <c r="F499" s="377"/>
      <c r="G499" s="377"/>
      <c r="H499" s="377"/>
      <c r="I499" s="377"/>
      <c r="J499" s="377"/>
      <c r="K499" s="377"/>
      <c r="L499" s="377"/>
      <c r="M499" s="377"/>
      <c r="N499" s="377"/>
      <c r="O499" s="377"/>
      <c r="P499" s="377"/>
      <c r="Q499" s="377"/>
      <c r="R499" s="377"/>
      <c r="S499" s="377"/>
      <c r="T499" s="3"/>
      <c r="U499" s="3"/>
      <c r="V499" s="3"/>
      <c r="W499" s="3"/>
      <c r="X499" s="3"/>
      <c r="Y499" s="3"/>
      <c r="Z499" s="3"/>
    </row>
    <row r="500" spans="1:26" ht="22.5" customHeight="1" x14ac:dyDescent="0.85">
      <c r="A500" s="377"/>
      <c r="B500" s="377"/>
      <c r="C500" s="377"/>
      <c r="D500" s="377"/>
      <c r="E500" s="377"/>
      <c r="F500" s="377"/>
      <c r="G500" s="377"/>
      <c r="H500" s="377"/>
      <c r="I500" s="377"/>
      <c r="J500" s="377"/>
      <c r="K500" s="377"/>
      <c r="L500" s="377"/>
      <c r="M500" s="377"/>
      <c r="N500" s="377"/>
      <c r="O500" s="377"/>
      <c r="P500" s="377"/>
      <c r="Q500" s="377"/>
      <c r="R500" s="377"/>
      <c r="S500" s="377"/>
      <c r="T500" s="3"/>
      <c r="U500" s="3"/>
      <c r="V500" s="3"/>
      <c r="W500" s="3"/>
      <c r="X500" s="3"/>
      <c r="Y500" s="3"/>
      <c r="Z500" s="3"/>
    </row>
    <row r="501" spans="1:26" ht="22.5" customHeight="1" x14ac:dyDescent="0.85">
      <c r="A501" s="377"/>
      <c r="B501" s="377"/>
      <c r="C501" s="377"/>
      <c r="D501" s="377"/>
      <c r="E501" s="377"/>
      <c r="F501" s="377"/>
      <c r="G501" s="377"/>
      <c r="H501" s="377"/>
      <c r="I501" s="377"/>
      <c r="J501" s="377"/>
      <c r="K501" s="377"/>
      <c r="L501" s="377"/>
      <c r="M501" s="377"/>
      <c r="N501" s="377"/>
      <c r="O501" s="377"/>
      <c r="P501" s="377"/>
      <c r="Q501" s="377"/>
      <c r="R501" s="377"/>
      <c r="S501" s="377"/>
      <c r="T501" s="3"/>
      <c r="U501" s="3"/>
      <c r="V501" s="3"/>
      <c r="W501" s="3"/>
      <c r="X501" s="3"/>
      <c r="Y501" s="3"/>
      <c r="Z501" s="3"/>
    </row>
    <row r="502" spans="1:26" ht="22.5" customHeight="1" x14ac:dyDescent="0.85">
      <c r="A502" s="377"/>
      <c r="B502" s="377"/>
      <c r="C502" s="377"/>
      <c r="D502" s="377"/>
      <c r="E502" s="377"/>
      <c r="F502" s="377"/>
      <c r="G502" s="377"/>
      <c r="H502" s="377"/>
      <c r="I502" s="377"/>
      <c r="J502" s="377"/>
      <c r="K502" s="377"/>
      <c r="L502" s="377"/>
      <c r="M502" s="377"/>
      <c r="N502" s="377"/>
      <c r="O502" s="377"/>
      <c r="P502" s="377"/>
      <c r="Q502" s="377"/>
      <c r="R502" s="377"/>
      <c r="S502" s="377"/>
      <c r="T502" s="3"/>
      <c r="U502" s="3"/>
      <c r="V502" s="3"/>
      <c r="W502" s="3"/>
      <c r="X502" s="3"/>
      <c r="Y502" s="3"/>
      <c r="Z502" s="3"/>
    </row>
    <row r="503" spans="1:26" ht="22.5" customHeight="1" x14ac:dyDescent="0.85">
      <c r="A503" s="377"/>
      <c r="B503" s="377"/>
      <c r="C503" s="377"/>
      <c r="D503" s="377"/>
      <c r="E503" s="377"/>
      <c r="F503" s="377"/>
      <c r="G503" s="377"/>
      <c r="H503" s="377"/>
      <c r="I503" s="377"/>
      <c r="J503" s="377"/>
      <c r="K503" s="377"/>
      <c r="L503" s="377"/>
      <c r="M503" s="377"/>
      <c r="N503" s="377"/>
      <c r="O503" s="377"/>
      <c r="P503" s="377"/>
      <c r="Q503" s="377"/>
      <c r="R503" s="377"/>
      <c r="S503" s="377"/>
      <c r="T503" s="3"/>
      <c r="U503" s="3"/>
      <c r="V503" s="3"/>
      <c r="W503" s="3"/>
      <c r="X503" s="3"/>
      <c r="Y503" s="3"/>
      <c r="Z503" s="3"/>
    </row>
    <row r="504" spans="1:26" ht="22.5" customHeight="1" x14ac:dyDescent="0.85">
      <c r="A504" s="377"/>
      <c r="B504" s="377"/>
      <c r="C504" s="377"/>
      <c r="D504" s="377"/>
      <c r="E504" s="377"/>
      <c r="F504" s="377"/>
      <c r="G504" s="377"/>
      <c r="H504" s="377"/>
      <c r="I504" s="377"/>
      <c r="J504" s="377"/>
      <c r="K504" s="377"/>
      <c r="L504" s="377"/>
      <c r="M504" s="377"/>
      <c r="N504" s="377"/>
      <c r="O504" s="377"/>
      <c r="P504" s="377"/>
      <c r="Q504" s="377"/>
      <c r="R504" s="377"/>
      <c r="S504" s="377"/>
      <c r="T504" s="3"/>
      <c r="U504" s="3"/>
      <c r="V504" s="3"/>
      <c r="W504" s="3"/>
      <c r="X504" s="3"/>
      <c r="Y504" s="3"/>
      <c r="Z504" s="3"/>
    </row>
    <row r="505" spans="1:26" ht="22.5" customHeight="1" x14ac:dyDescent="0.85">
      <c r="A505" s="377"/>
      <c r="B505" s="377"/>
      <c r="C505" s="377"/>
      <c r="D505" s="377"/>
      <c r="E505" s="377"/>
      <c r="F505" s="377"/>
      <c r="G505" s="377"/>
      <c r="H505" s="377"/>
      <c r="I505" s="377"/>
      <c r="J505" s="377"/>
      <c r="K505" s="377"/>
      <c r="L505" s="377"/>
      <c r="M505" s="377"/>
      <c r="N505" s="377"/>
      <c r="O505" s="377"/>
      <c r="P505" s="377"/>
      <c r="Q505" s="377"/>
      <c r="R505" s="377"/>
      <c r="S505" s="377"/>
      <c r="T505" s="3"/>
      <c r="U505" s="3"/>
      <c r="V505" s="3"/>
      <c r="W505" s="3"/>
      <c r="X505" s="3"/>
      <c r="Y505" s="3"/>
      <c r="Z505" s="3"/>
    </row>
    <row r="506" spans="1:26" ht="22.5" customHeight="1" x14ac:dyDescent="0.85">
      <c r="A506" s="377"/>
      <c r="B506" s="377"/>
      <c r="C506" s="377"/>
      <c r="D506" s="377"/>
      <c r="E506" s="377"/>
      <c r="F506" s="377"/>
      <c r="G506" s="377"/>
      <c r="H506" s="377"/>
      <c r="I506" s="377"/>
      <c r="J506" s="377"/>
      <c r="K506" s="377"/>
      <c r="L506" s="377"/>
      <c r="M506" s="377"/>
      <c r="N506" s="377"/>
      <c r="O506" s="377"/>
      <c r="P506" s="377"/>
      <c r="Q506" s="377"/>
      <c r="R506" s="377"/>
      <c r="S506" s="377"/>
      <c r="T506" s="3"/>
      <c r="U506" s="3"/>
      <c r="V506" s="3"/>
      <c r="W506" s="3"/>
      <c r="X506" s="3"/>
      <c r="Y506" s="3"/>
      <c r="Z506" s="3"/>
    </row>
    <row r="507" spans="1:26" ht="22.5" customHeight="1" x14ac:dyDescent="0.85">
      <c r="A507" s="377"/>
      <c r="B507" s="377"/>
      <c r="C507" s="377"/>
      <c r="D507" s="377"/>
      <c r="E507" s="377"/>
      <c r="F507" s="377"/>
      <c r="G507" s="377"/>
      <c r="H507" s="377"/>
      <c r="I507" s="377"/>
      <c r="J507" s="377"/>
      <c r="K507" s="377"/>
      <c r="L507" s="377"/>
      <c r="M507" s="377"/>
      <c r="N507" s="377"/>
      <c r="O507" s="377"/>
      <c r="P507" s="377"/>
      <c r="Q507" s="377"/>
      <c r="R507" s="377"/>
      <c r="S507" s="377"/>
      <c r="T507" s="3"/>
      <c r="U507" s="3"/>
      <c r="V507" s="3"/>
      <c r="W507" s="3"/>
      <c r="X507" s="3"/>
      <c r="Y507" s="3"/>
      <c r="Z507" s="3"/>
    </row>
    <row r="508" spans="1:26" ht="22.5" customHeight="1" x14ac:dyDescent="0.85">
      <c r="A508" s="377"/>
      <c r="B508" s="377"/>
      <c r="C508" s="377"/>
      <c r="D508" s="377"/>
      <c r="E508" s="377"/>
      <c r="F508" s="377"/>
      <c r="G508" s="377"/>
      <c r="H508" s="377"/>
      <c r="I508" s="377"/>
      <c r="J508" s="377"/>
      <c r="K508" s="377"/>
      <c r="L508" s="377"/>
      <c r="M508" s="377"/>
      <c r="N508" s="377"/>
      <c r="O508" s="377"/>
      <c r="P508" s="377"/>
      <c r="Q508" s="377"/>
      <c r="R508" s="377"/>
      <c r="S508" s="377"/>
      <c r="T508" s="3"/>
      <c r="U508" s="3"/>
      <c r="V508" s="3"/>
      <c r="W508" s="3"/>
      <c r="X508" s="3"/>
      <c r="Y508" s="3"/>
      <c r="Z508" s="3"/>
    </row>
    <row r="509" spans="1:26" ht="22.5" customHeight="1" x14ac:dyDescent="0.85">
      <c r="A509" s="377"/>
      <c r="B509" s="377"/>
      <c r="C509" s="377"/>
      <c r="D509" s="377"/>
      <c r="E509" s="377"/>
      <c r="F509" s="377"/>
      <c r="G509" s="377"/>
      <c r="H509" s="377"/>
      <c r="I509" s="377"/>
      <c r="J509" s="377"/>
      <c r="K509" s="377"/>
      <c r="L509" s="377"/>
      <c r="M509" s="377"/>
      <c r="N509" s="377"/>
      <c r="O509" s="377"/>
      <c r="P509" s="377"/>
      <c r="Q509" s="377"/>
      <c r="R509" s="377"/>
      <c r="S509" s="377"/>
      <c r="T509" s="3"/>
      <c r="U509" s="3"/>
      <c r="V509" s="3"/>
      <c r="W509" s="3"/>
      <c r="X509" s="3"/>
      <c r="Y509" s="3"/>
      <c r="Z509" s="3"/>
    </row>
    <row r="510" spans="1:26" ht="22.5" customHeight="1" x14ac:dyDescent="0.85">
      <c r="A510" s="377"/>
      <c r="B510" s="377"/>
      <c r="C510" s="377"/>
      <c r="D510" s="377"/>
      <c r="E510" s="377"/>
      <c r="F510" s="377"/>
      <c r="G510" s="377"/>
      <c r="H510" s="377"/>
      <c r="I510" s="377"/>
      <c r="J510" s="377"/>
      <c r="K510" s="377"/>
      <c r="L510" s="377"/>
      <c r="M510" s="377"/>
      <c r="N510" s="377"/>
      <c r="O510" s="377"/>
      <c r="P510" s="377"/>
      <c r="Q510" s="377"/>
      <c r="R510" s="377"/>
      <c r="S510" s="377"/>
      <c r="T510" s="3"/>
      <c r="U510" s="3"/>
      <c r="V510" s="3"/>
      <c r="W510" s="3"/>
      <c r="X510" s="3"/>
      <c r="Y510" s="3"/>
      <c r="Z510" s="3"/>
    </row>
    <row r="511" spans="1:26" ht="22.5" customHeight="1" x14ac:dyDescent="0.85">
      <c r="A511" s="377"/>
      <c r="B511" s="377"/>
      <c r="C511" s="377"/>
      <c r="D511" s="377"/>
      <c r="E511" s="377"/>
      <c r="F511" s="377"/>
      <c r="G511" s="377"/>
      <c r="H511" s="377"/>
      <c r="I511" s="377"/>
      <c r="J511" s="377"/>
      <c r="K511" s="377"/>
      <c r="L511" s="377"/>
      <c r="M511" s="377"/>
      <c r="N511" s="377"/>
      <c r="O511" s="377"/>
      <c r="P511" s="377"/>
      <c r="Q511" s="377"/>
      <c r="R511" s="377"/>
      <c r="S511" s="377"/>
      <c r="T511" s="3"/>
      <c r="U511" s="3"/>
      <c r="V511" s="3"/>
      <c r="W511" s="3"/>
      <c r="X511" s="3"/>
      <c r="Y511" s="3"/>
      <c r="Z511" s="3"/>
    </row>
    <row r="512" spans="1:26" ht="22.5" customHeight="1" x14ac:dyDescent="0.85">
      <c r="A512" s="377"/>
      <c r="B512" s="377"/>
      <c r="C512" s="377"/>
      <c r="D512" s="377"/>
      <c r="E512" s="377"/>
      <c r="F512" s="377"/>
      <c r="G512" s="377"/>
      <c r="H512" s="377"/>
      <c r="I512" s="377"/>
      <c r="J512" s="377"/>
      <c r="K512" s="377"/>
      <c r="L512" s="377"/>
      <c r="M512" s="377"/>
      <c r="N512" s="377"/>
      <c r="O512" s="377"/>
      <c r="P512" s="377"/>
      <c r="Q512" s="377"/>
      <c r="R512" s="377"/>
      <c r="S512" s="377"/>
      <c r="T512" s="3"/>
      <c r="U512" s="3"/>
      <c r="V512" s="3"/>
      <c r="W512" s="3"/>
      <c r="X512" s="3"/>
      <c r="Y512" s="3"/>
      <c r="Z512" s="3"/>
    </row>
    <row r="513" spans="1:26" ht="22.5" customHeight="1" x14ac:dyDescent="0.85">
      <c r="A513" s="377"/>
      <c r="B513" s="377"/>
      <c r="C513" s="377"/>
      <c r="D513" s="377"/>
      <c r="E513" s="377"/>
      <c r="F513" s="377"/>
      <c r="G513" s="377"/>
      <c r="H513" s="377"/>
      <c r="I513" s="377"/>
      <c r="J513" s="377"/>
      <c r="K513" s="377"/>
      <c r="L513" s="377"/>
      <c r="M513" s="377"/>
      <c r="N513" s="377"/>
      <c r="O513" s="377"/>
      <c r="P513" s="377"/>
      <c r="Q513" s="377"/>
      <c r="R513" s="377"/>
      <c r="S513" s="377"/>
      <c r="T513" s="3"/>
      <c r="U513" s="3"/>
      <c r="V513" s="3"/>
      <c r="W513" s="3"/>
      <c r="X513" s="3"/>
      <c r="Y513" s="3"/>
      <c r="Z513" s="3"/>
    </row>
    <row r="514" spans="1:26" ht="22.5" customHeight="1" x14ac:dyDescent="0.85">
      <c r="A514" s="377"/>
      <c r="B514" s="377"/>
      <c r="C514" s="377"/>
      <c r="D514" s="377"/>
      <c r="E514" s="377"/>
      <c r="F514" s="377"/>
      <c r="G514" s="377"/>
      <c r="H514" s="377"/>
      <c r="I514" s="377"/>
      <c r="J514" s="377"/>
      <c r="K514" s="377"/>
      <c r="L514" s="377"/>
      <c r="M514" s="377"/>
      <c r="N514" s="377"/>
      <c r="O514" s="377"/>
      <c r="P514" s="377"/>
      <c r="Q514" s="377"/>
      <c r="R514" s="377"/>
      <c r="S514" s="377"/>
      <c r="T514" s="3"/>
      <c r="U514" s="3"/>
      <c r="V514" s="3"/>
      <c r="W514" s="3"/>
      <c r="X514" s="3"/>
      <c r="Y514" s="3"/>
      <c r="Z514" s="3"/>
    </row>
    <row r="515" spans="1:26" ht="22.5" customHeight="1" x14ac:dyDescent="0.85">
      <c r="A515" s="377"/>
      <c r="B515" s="377"/>
      <c r="C515" s="377"/>
      <c r="D515" s="377"/>
      <c r="E515" s="377"/>
      <c r="F515" s="377"/>
      <c r="G515" s="377"/>
      <c r="H515" s="377"/>
      <c r="I515" s="377"/>
      <c r="J515" s="377"/>
      <c r="K515" s="377"/>
      <c r="L515" s="377"/>
      <c r="M515" s="377"/>
      <c r="N515" s="377"/>
      <c r="O515" s="377"/>
      <c r="P515" s="377"/>
      <c r="Q515" s="377"/>
      <c r="R515" s="377"/>
      <c r="S515" s="377"/>
      <c r="T515" s="3"/>
      <c r="U515" s="3"/>
      <c r="V515" s="3"/>
      <c r="W515" s="3"/>
      <c r="X515" s="3"/>
      <c r="Y515" s="3"/>
      <c r="Z515" s="3"/>
    </row>
    <row r="516" spans="1:26" ht="22.5" customHeight="1" x14ac:dyDescent="0.85">
      <c r="A516" s="377"/>
      <c r="B516" s="377"/>
      <c r="C516" s="377"/>
      <c r="D516" s="377"/>
      <c r="E516" s="377"/>
      <c r="F516" s="377"/>
      <c r="G516" s="377"/>
      <c r="H516" s="377"/>
      <c r="I516" s="377"/>
      <c r="J516" s="377"/>
      <c r="K516" s="377"/>
      <c r="L516" s="377"/>
      <c r="M516" s="377"/>
      <c r="N516" s="377"/>
      <c r="O516" s="377"/>
      <c r="P516" s="377"/>
      <c r="Q516" s="377"/>
      <c r="R516" s="377"/>
      <c r="S516" s="377"/>
      <c r="T516" s="3"/>
      <c r="U516" s="3"/>
      <c r="V516" s="3"/>
      <c r="W516" s="3"/>
      <c r="X516" s="3"/>
      <c r="Y516" s="3"/>
      <c r="Z516" s="3"/>
    </row>
    <row r="517" spans="1:26" ht="22.5" customHeight="1" x14ac:dyDescent="0.85">
      <c r="A517" s="377"/>
      <c r="B517" s="377"/>
      <c r="C517" s="377"/>
      <c r="D517" s="377"/>
      <c r="E517" s="377"/>
      <c r="F517" s="377"/>
      <c r="G517" s="377"/>
      <c r="H517" s="377"/>
      <c r="I517" s="377"/>
      <c r="J517" s="377"/>
      <c r="K517" s="377"/>
      <c r="L517" s="377"/>
      <c r="M517" s="377"/>
      <c r="N517" s="377"/>
      <c r="O517" s="377"/>
      <c r="P517" s="377"/>
      <c r="Q517" s="377"/>
      <c r="R517" s="377"/>
      <c r="S517" s="377"/>
      <c r="T517" s="3"/>
      <c r="U517" s="3"/>
      <c r="V517" s="3"/>
      <c r="W517" s="3"/>
      <c r="X517" s="3"/>
      <c r="Y517" s="3"/>
      <c r="Z517" s="3"/>
    </row>
    <row r="518" spans="1:26" ht="22.5" customHeight="1" x14ac:dyDescent="0.85">
      <c r="A518" s="377"/>
      <c r="B518" s="377"/>
      <c r="C518" s="377"/>
      <c r="D518" s="377"/>
      <c r="E518" s="377"/>
      <c r="F518" s="377"/>
      <c r="G518" s="377"/>
      <c r="H518" s="377"/>
      <c r="I518" s="377"/>
      <c r="J518" s="377"/>
      <c r="K518" s="377"/>
      <c r="L518" s="377"/>
      <c r="M518" s="377"/>
      <c r="N518" s="377"/>
      <c r="O518" s="377"/>
      <c r="P518" s="377"/>
      <c r="Q518" s="377"/>
      <c r="R518" s="377"/>
      <c r="S518" s="377"/>
      <c r="T518" s="3"/>
      <c r="U518" s="3"/>
      <c r="V518" s="3"/>
      <c r="W518" s="3"/>
      <c r="X518" s="3"/>
      <c r="Y518" s="3"/>
      <c r="Z518" s="3"/>
    </row>
    <row r="519" spans="1:26" ht="22.5" customHeight="1" x14ac:dyDescent="0.85">
      <c r="A519" s="377"/>
      <c r="B519" s="377"/>
      <c r="C519" s="377"/>
      <c r="D519" s="377"/>
      <c r="E519" s="377"/>
      <c r="F519" s="377"/>
      <c r="G519" s="377"/>
      <c r="H519" s="377"/>
      <c r="I519" s="377"/>
      <c r="J519" s="377"/>
      <c r="K519" s="377"/>
      <c r="L519" s="377"/>
      <c r="M519" s="377"/>
      <c r="N519" s="377"/>
      <c r="O519" s="377"/>
      <c r="P519" s="377"/>
      <c r="Q519" s="377"/>
      <c r="R519" s="377"/>
      <c r="S519" s="377"/>
      <c r="T519" s="3"/>
      <c r="U519" s="3"/>
      <c r="V519" s="3"/>
      <c r="W519" s="3"/>
      <c r="X519" s="3"/>
      <c r="Y519" s="3"/>
      <c r="Z519" s="3"/>
    </row>
    <row r="520" spans="1:26" ht="22.5" customHeight="1" x14ac:dyDescent="0.85">
      <c r="A520" s="377"/>
      <c r="B520" s="377"/>
      <c r="C520" s="377"/>
      <c r="D520" s="377"/>
      <c r="E520" s="377"/>
      <c r="F520" s="377"/>
      <c r="G520" s="377"/>
      <c r="H520" s="377"/>
      <c r="I520" s="377"/>
      <c r="J520" s="377"/>
      <c r="K520" s="377"/>
      <c r="L520" s="377"/>
      <c r="M520" s="377"/>
      <c r="N520" s="377"/>
      <c r="O520" s="377"/>
      <c r="P520" s="377"/>
      <c r="Q520" s="377"/>
      <c r="R520" s="377"/>
      <c r="S520" s="377"/>
      <c r="T520" s="3"/>
      <c r="U520" s="3"/>
      <c r="V520" s="3"/>
      <c r="W520" s="3"/>
      <c r="X520" s="3"/>
      <c r="Y520" s="3"/>
      <c r="Z520" s="3"/>
    </row>
    <row r="521" spans="1:26" ht="22.5" customHeight="1" x14ac:dyDescent="0.85">
      <c r="A521" s="377"/>
      <c r="B521" s="377"/>
      <c r="C521" s="377"/>
      <c r="D521" s="377"/>
      <c r="E521" s="377"/>
      <c r="F521" s="377"/>
      <c r="G521" s="377"/>
      <c r="H521" s="377"/>
      <c r="I521" s="377"/>
      <c r="J521" s="377"/>
      <c r="K521" s="377"/>
      <c r="L521" s="377"/>
      <c r="M521" s="377"/>
      <c r="N521" s="377"/>
      <c r="O521" s="377"/>
      <c r="P521" s="377"/>
      <c r="Q521" s="377"/>
      <c r="R521" s="377"/>
      <c r="S521" s="377"/>
      <c r="T521" s="3"/>
      <c r="U521" s="3"/>
      <c r="V521" s="3"/>
      <c r="W521" s="3"/>
      <c r="X521" s="3"/>
      <c r="Y521" s="3"/>
      <c r="Z521" s="3"/>
    </row>
    <row r="522" spans="1:26" ht="22.5" customHeight="1" x14ac:dyDescent="0.85">
      <c r="A522" s="377"/>
      <c r="B522" s="377"/>
      <c r="C522" s="377"/>
      <c r="D522" s="377"/>
      <c r="E522" s="377"/>
      <c r="F522" s="377"/>
      <c r="G522" s="377"/>
      <c r="H522" s="377"/>
      <c r="I522" s="377"/>
      <c r="J522" s="377"/>
      <c r="K522" s="377"/>
      <c r="L522" s="377"/>
      <c r="M522" s="377"/>
      <c r="N522" s="377"/>
      <c r="O522" s="377"/>
      <c r="P522" s="377"/>
      <c r="Q522" s="377"/>
      <c r="R522" s="377"/>
      <c r="S522" s="377"/>
      <c r="T522" s="3"/>
      <c r="U522" s="3"/>
      <c r="V522" s="3"/>
      <c r="W522" s="3"/>
      <c r="X522" s="3"/>
      <c r="Y522" s="3"/>
      <c r="Z522" s="3"/>
    </row>
    <row r="523" spans="1:26" ht="22.5" customHeight="1" x14ac:dyDescent="0.85">
      <c r="A523" s="377"/>
      <c r="B523" s="377"/>
      <c r="C523" s="377"/>
      <c r="D523" s="377"/>
      <c r="E523" s="377"/>
      <c r="F523" s="377"/>
      <c r="G523" s="377"/>
      <c r="H523" s="377"/>
      <c r="I523" s="377"/>
      <c r="J523" s="377"/>
      <c r="K523" s="377"/>
      <c r="L523" s="377"/>
      <c r="M523" s="377"/>
      <c r="N523" s="377"/>
      <c r="O523" s="377"/>
      <c r="P523" s="377"/>
      <c r="Q523" s="377"/>
      <c r="R523" s="377"/>
      <c r="S523" s="377"/>
      <c r="T523" s="3"/>
      <c r="U523" s="3"/>
      <c r="V523" s="3"/>
      <c r="W523" s="3"/>
      <c r="X523" s="3"/>
      <c r="Y523" s="3"/>
      <c r="Z523" s="3"/>
    </row>
    <row r="524" spans="1:26" ht="22.5" customHeight="1" x14ac:dyDescent="0.85">
      <c r="A524" s="377"/>
      <c r="B524" s="377"/>
      <c r="C524" s="377"/>
      <c r="D524" s="377"/>
      <c r="E524" s="377"/>
      <c r="F524" s="377"/>
      <c r="G524" s="377"/>
      <c r="H524" s="377"/>
      <c r="I524" s="377"/>
      <c r="J524" s="377"/>
      <c r="K524" s="377"/>
      <c r="L524" s="377"/>
      <c r="M524" s="377"/>
      <c r="N524" s="377"/>
      <c r="O524" s="377"/>
      <c r="P524" s="377"/>
      <c r="Q524" s="377"/>
      <c r="R524" s="377"/>
      <c r="S524" s="377"/>
      <c r="T524" s="3"/>
      <c r="U524" s="3"/>
      <c r="V524" s="3"/>
      <c r="W524" s="3"/>
      <c r="X524" s="3"/>
      <c r="Y524" s="3"/>
      <c r="Z524" s="3"/>
    </row>
    <row r="525" spans="1:26" ht="22.5" customHeight="1" x14ac:dyDescent="0.85">
      <c r="A525" s="377"/>
      <c r="B525" s="377"/>
      <c r="C525" s="377"/>
      <c r="D525" s="377"/>
      <c r="E525" s="377"/>
      <c r="F525" s="377"/>
      <c r="G525" s="377"/>
      <c r="H525" s="377"/>
      <c r="I525" s="377"/>
      <c r="J525" s="377"/>
      <c r="K525" s="377"/>
      <c r="L525" s="377"/>
      <c r="M525" s="377"/>
      <c r="N525" s="377"/>
      <c r="O525" s="377"/>
      <c r="P525" s="377"/>
      <c r="Q525" s="377"/>
      <c r="R525" s="377"/>
      <c r="S525" s="377"/>
      <c r="T525" s="3"/>
      <c r="U525" s="3"/>
      <c r="V525" s="3"/>
      <c r="W525" s="3"/>
      <c r="X525" s="3"/>
      <c r="Y525" s="3"/>
      <c r="Z525" s="3"/>
    </row>
    <row r="526" spans="1:26" ht="22.5" customHeight="1" x14ac:dyDescent="0.85">
      <c r="A526" s="377"/>
      <c r="B526" s="377"/>
      <c r="C526" s="377"/>
      <c r="D526" s="377"/>
      <c r="E526" s="377"/>
      <c r="F526" s="377"/>
      <c r="G526" s="377"/>
      <c r="H526" s="377"/>
      <c r="I526" s="377"/>
      <c r="J526" s="377"/>
      <c r="K526" s="377"/>
      <c r="L526" s="377"/>
      <c r="M526" s="377"/>
      <c r="N526" s="377"/>
      <c r="O526" s="377"/>
      <c r="P526" s="377"/>
      <c r="Q526" s="377"/>
      <c r="R526" s="377"/>
      <c r="S526" s="377"/>
      <c r="T526" s="3"/>
      <c r="U526" s="3"/>
      <c r="V526" s="3"/>
      <c r="W526" s="3"/>
      <c r="X526" s="3"/>
      <c r="Y526" s="3"/>
      <c r="Z526" s="3"/>
    </row>
    <row r="527" spans="1:26" ht="22.5" customHeight="1" x14ac:dyDescent="0.85">
      <c r="A527" s="377"/>
      <c r="B527" s="377"/>
      <c r="C527" s="377"/>
      <c r="D527" s="377"/>
      <c r="E527" s="377"/>
      <c r="F527" s="377"/>
      <c r="G527" s="377"/>
      <c r="H527" s="377"/>
      <c r="I527" s="377"/>
      <c r="J527" s="377"/>
      <c r="K527" s="377"/>
      <c r="L527" s="377"/>
      <c r="M527" s="377"/>
      <c r="N527" s="377"/>
      <c r="O527" s="377"/>
      <c r="P527" s="377"/>
      <c r="Q527" s="377"/>
      <c r="R527" s="377"/>
      <c r="S527" s="377"/>
      <c r="T527" s="3"/>
      <c r="U527" s="3"/>
      <c r="V527" s="3"/>
      <c r="W527" s="3"/>
      <c r="X527" s="3"/>
      <c r="Y527" s="3"/>
      <c r="Z527" s="3"/>
    </row>
    <row r="528" spans="1:26" ht="22.5" customHeight="1" x14ac:dyDescent="0.85">
      <c r="A528" s="377"/>
      <c r="B528" s="377"/>
      <c r="C528" s="377"/>
      <c r="D528" s="377"/>
      <c r="E528" s="377"/>
      <c r="F528" s="377"/>
      <c r="G528" s="377"/>
      <c r="H528" s="377"/>
      <c r="I528" s="377"/>
      <c r="J528" s="377"/>
      <c r="K528" s="377"/>
      <c r="L528" s="377"/>
      <c r="M528" s="377"/>
      <c r="N528" s="377"/>
      <c r="O528" s="377"/>
      <c r="P528" s="377"/>
      <c r="Q528" s="377"/>
      <c r="R528" s="377"/>
      <c r="S528" s="377"/>
      <c r="T528" s="3"/>
      <c r="U528" s="3"/>
      <c r="V528" s="3"/>
      <c r="W528" s="3"/>
      <c r="X528" s="3"/>
      <c r="Y528" s="3"/>
      <c r="Z528" s="3"/>
    </row>
    <row r="529" spans="1:26" ht="22.5" customHeight="1" x14ac:dyDescent="0.85">
      <c r="A529" s="377"/>
      <c r="B529" s="377"/>
      <c r="C529" s="377"/>
      <c r="D529" s="377"/>
      <c r="E529" s="377"/>
      <c r="F529" s="377"/>
      <c r="G529" s="377"/>
      <c r="H529" s="377"/>
      <c r="I529" s="377"/>
      <c r="J529" s="377"/>
      <c r="K529" s="377"/>
      <c r="L529" s="377"/>
      <c r="M529" s="377"/>
      <c r="N529" s="377"/>
      <c r="O529" s="377"/>
      <c r="P529" s="377"/>
      <c r="Q529" s="377"/>
      <c r="R529" s="377"/>
      <c r="S529" s="377"/>
      <c r="T529" s="3"/>
      <c r="U529" s="3"/>
      <c r="V529" s="3"/>
      <c r="W529" s="3"/>
      <c r="X529" s="3"/>
      <c r="Y529" s="3"/>
      <c r="Z529" s="3"/>
    </row>
    <row r="530" spans="1:26" ht="22.5" customHeight="1" x14ac:dyDescent="0.85">
      <c r="A530" s="377"/>
      <c r="B530" s="377"/>
      <c r="C530" s="377"/>
      <c r="D530" s="377"/>
      <c r="E530" s="377"/>
      <c r="F530" s="377"/>
      <c r="G530" s="377"/>
      <c r="H530" s="377"/>
      <c r="I530" s="377"/>
      <c r="J530" s="377"/>
      <c r="K530" s="377"/>
      <c r="L530" s="377"/>
      <c r="M530" s="377"/>
      <c r="N530" s="377"/>
      <c r="O530" s="377"/>
      <c r="P530" s="377"/>
      <c r="Q530" s="377"/>
      <c r="R530" s="377"/>
      <c r="S530" s="377"/>
      <c r="T530" s="3"/>
      <c r="U530" s="3"/>
      <c r="V530" s="3"/>
      <c r="W530" s="3"/>
      <c r="X530" s="3"/>
      <c r="Y530" s="3"/>
      <c r="Z530" s="3"/>
    </row>
    <row r="531" spans="1:26" ht="22.5" customHeight="1" x14ac:dyDescent="0.85">
      <c r="A531" s="377"/>
      <c r="B531" s="377"/>
      <c r="C531" s="377"/>
      <c r="D531" s="377"/>
      <c r="E531" s="377"/>
      <c r="F531" s="377"/>
      <c r="G531" s="377"/>
      <c r="H531" s="377"/>
      <c r="I531" s="377"/>
      <c r="J531" s="377"/>
      <c r="K531" s="377"/>
      <c r="L531" s="377"/>
      <c r="M531" s="377"/>
      <c r="N531" s="377"/>
      <c r="O531" s="377"/>
      <c r="P531" s="377"/>
      <c r="Q531" s="377"/>
      <c r="R531" s="377"/>
      <c r="S531" s="377"/>
      <c r="T531" s="3"/>
      <c r="U531" s="3"/>
      <c r="V531" s="3"/>
      <c r="W531" s="3"/>
      <c r="X531" s="3"/>
      <c r="Y531" s="3"/>
      <c r="Z531" s="3"/>
    </row>
    <row r="532" spans="1:26" ht="22.5" customHeight="1" x14ac:dyDescent="0.85">
      <c r="A532" s="377"/>
      <c r="B532" s="377"/>
      <c r="C532" s="377"/>
      <c r="D532" s="377"/>
      <c r="E532" s="377"/>
      <c r="F532" s="377"/>
      <c r="G532" s="377"/>
      <c r="H532" s="377"/>
      <c r="I532" s="377"/>
      <c r="J532" s="377"/>
      <c r="K532" s="377"/>
      <c r="L532" s="377"/>
      <c r="M532" s="377"/>
      <c r="N532" s="377"/>
      <c r="O532" s="377"/>
      <c r="P532" s="377"/>
      <c r="Q532" s="377"/>
      <c r="R532" s="377"/>
      <c r="S532" s="377"/>
      <c r="T532" s="3"/>
      <c r="U532" s="3"/>
      <c r="V532" s="3"/>
      <c r="W532" s="3"/>
      <c r="X532" s="3"/>
      <c r="Y532" s="3"/>
      <c r="Z532" s="3"/>
    </row>
    <row r="533" spans="1:26" ht="22.5" customHeight="1" x14ac:dyDescent="0.85">
      <c r="A533" s="377"/>
      <c r="B533" s="377"/>
      <c r="C533" s="377"/>
      <c r="D533" s="377"/>
      <c r="E533" s="377"/>
      <c r="F533" s="377"/>
      <c r="G533" s="377"/>
      <c r="H533" s="377"/>
      <c r="I533" s="377"/>
      <c r="J533" s="377"/>
      <c r="K533" s="377"/>
      <c r="L533" s="377"/>
      <c r="M533" s="377"/>
      <c r="N533" s="377"/>
      <c r="O533" s="377"/>
      <c r="P533" s="377"/>
      <c r="Q533" s="377"/>
      <c r="R533" s="377"/>
      <c r="S533" s="377"/>
      <c r="T533" s="3"/>
      <c r="U533" s="3"/>
      <c r="V533" s="3"/>
      <c r="W533" s="3"/>
      <c r="X533" s="3"/>
      <c r="Y533" s="3"/>
      <c r="Z533" s="3"/>
    </row>
    <row r="534" spans="1:26" ht="22.5" customHeight="1" x14ac:dyDescent="0.85">
      <c r="A534" s="377"/>
      <c r="B534" s="377"/>
      <c r="C534" s="377"/>
      <c r="D534" s="377"/>
      <c r="E534" s="377"/>
      <c r="F534" s="377"/>
      <c r="G534" s="377"/>
      <c r="H534" s="377"/>
      <c r="I534" s="377"/>
      <c r="J534" s="377"/>
      <c r="K534" s="377"/>
      <c r="L534" s="377"/>
      <c r="M534" s="377"/>
      <c r="N534" s="377"/>
      <c r="O534" s="377"/>
      <c r="P534" s="377"/>
      <c r="Q534" s="377"/>
      <c r="R534" s="377"/>
      <c r="S534" s="377"/>
      <c r="T534" s="3"/>
      <c r="U534" s="3"/>
      <c r="V534" s="3"/>
      <c r="W534" s="3"/>
      <c r="X534" s="3"/>
      <c r="Y534" s="3"/>
      <c r="Z534" s="3"/>
    </row>
    <row r="535" spans="1:26" ht="22.5" customHeight="1" x14ac:dyDescent="0.85">
      <c r="A535" s="377"/>
      <c r="B535" s="377"/>
      <c r="C535" s="377"/>
      <c r="D535" s="377"/>
      <c r="E535" s="377"/>
      <c r="F535" s="377"/>
      <c r="G535" s="377"/>
      <c r="H535" s="377"/>
      <c r="I535" s="377"/>
      <c r="J535" s="377"/>
      <c r="K535" s="377"/>
      <c r="L535" s="377"/>
      <c r="M535" s="377"/>
      <c r="N535" s="377"/>
      <c r="O535" s="377"/>
      <c r="P535" s="377"/>
      <c r="Q535" s="377"/>
      <c r="R535" s="377"/>
      <c r="S535" s="377"/>
      <c r="T535" s="3"/>
      <c r="U535" s="3"/>
      <c r="V535" s="3"/>
      <c r="W535" s="3"/>
      <c r="X535" s="3"/>
      <c r="Y535" s="3"/>
      <c r="Z535" s="3"/>
    </row>
    <row r="536" spans="1:26" ht="22.5" customHeight="1" x14ac:dyDescent="0.85">
      <c r="A536" s="377"/>
      <c r="B536" s="377"/>
      <c r="C536" s="377"/>
      <c r="D536" s="377"/>
      <c r="E536" s="377"/>
      <c r="F536" s="377"/>
      <c r="G536" s="377"/>
      <c r="H536" s="377"/>
      <c r="I536" s="377"/>
      <c r="J536" s="377"/>
      <c r="K536" s="377"/>
      <c r="L536" s="377"/>
      <c r="M536" s="377"/>
      <c r="N536" s="377"/>
      <c r="O536" s="377"/>
      <c r="P536" s="377"/>
      <c r="Q536" s="377"/>
      <c r="R536" s="377"/>
      <c r="S536" s="377"/>
      <c r="T536" s="3"/>
      <c r="U536" s="3"/>
      <c r="V536" s="3"/>
      <c r="W536" s="3"/>
      <c r="X536" s="3"/>
      <c r="Y536" s="3"/>
      <c r="Z536" s="3"/>
    </row>
    <row r="537" spans="1:26" ht="22.5" customHeight="1" x14ac:dyDescent="0.85">
      <c r="A537" s="377"/>
      <c r="B537" s="377"/>
      <c r="C537" s="377"/>
      <c r="D537" s="377"/>
      <c r="E537" s="377"/>
      <c r="F537" s="377"/>
      <c r="G537" s="377"/>
      <c r="H537" s="377"/>
      <c r="I537" s="377"/>
      <c r="J537" s="377"/>
      <c r="K537" s="377"/>
      <c r="L537" s="377"/>
      <c r="M537" s="377"/>
      <c r="N537" s="377"/>
      <c r="O537" s="377"/>
      <c r="P537" s="377"/>
      <c r="Q537" s="377"/>
      <c r="R537" s="377"/>
      <c r="S537" s="377"/>
      <c r="T537" s="3"/>
      <c r="U537" s="3"/>
      <c r="V537" s="3"/>
      <c r="W537" s="3"/>
      <c r="X537" s="3"/>
      <c r="Y537" s="3"/>
      <c r="Z537" s="3"/>
    </row>
    <row r="538" spans="1:26" ht="22.5" customHeight="1" x14ac:dyDescent="0.85">
      <c r="A538" s="377"/>
      <c r="B538" s="377"/>
      <c r="C538" s="377"/>
      <c r="D538" s="377"/>
      <c r="E538" s="377"/>
      <c r="F538" s="377"/>
      <c r="G538" s="377"/>
      <c r="H538" s="377"/>
      <c r="I538" s="377"/>
      <c r="J538" s="377"/>
      <c r="K538" s="377"/>
      <c r="L538" s="377"/>
      <c r="M538" s="377"/>
      <c r="N538" s="377"/>
      <c r="O538" s="377"/>
      <c r="P538" s="377"/>
      <c r="Q538" s="377"/>
      <c r="R538" s="377"/>
      <c r="S538" s="377"/>
      <c r="T538" s="3"/>
      <c r="U538" s="3"/>
      <c r="V538" s="3"/>
      <c r="W538" s="3"/>
      <c r="X538" s="3"/>
      <c r="Y538" s="3"/>
      <c r="Z538" s="3"/>
    </row>
    <row r="539" spans="1:26" ht="22.5" customHeight="1" x14ac:dyDescent="0.85">
      <c r="A539" s="377"/>
      <c r="B539" s="377"/>
      <c r="C539" s="377"/>
      <c r="D539" s="377"/>
      <c r="E539" s="377"/>
      <c r="F539" s="377"/>
      <c r="G539" s="377"/>
      <c r="H539" s="377"/>
      <c r="I539" s="377"/>
      <c r="J539" s="377"/>
      <c r="K539" s="377"/>
      <c r="L539" s="377"/>
      <c r="M539" s="377"/>
      <c r="N539" s="377"/>
      <c r="O539" s="377"/>
      <c r="P539" s="377"/>
      <c r="Q539" s="377"/>
      <c r="R539" s="377"/>
      <c r="S539" s="377"/>
      <c r="T539" s="3"/>
      <c r="U539" s="3"/>
      <c r="V539" s="3"/>
      <c r="W539" s="3"/>
      <c r="X539" s="3"/>
      <c r="Y539" s="3"/>
      <c r="Z539" s="3"/>
    </row>
    <row r="540" spans="1:26" ht="22.5" customHeight="1" x14ac:dyDescent="0.85">
      <c r="A540" s="377"/>
      <c r="B540" s="377"/>
      <c r="C540" s="377"/>
      <c r="D540" s="377"/>
      <c r="E540" s="377"/>
      <c r="F540" s="377"/>
      <c r="G540" s="377"/>
      <c r="H540" s="377"/>
      <c r="I540" s="377"/>
      <c r="J540" s="377"/>
      <c r="K540" s="377"/>
      <c r="L540" s="377"/>
      <c r="M540" s="377"/>
      <c r="N540" s="377"/>
      <c r="O540" s="377"/>
      <c r="P540" s="377"/>
      <c r="Q540" s="377"/>
      <c r="R540" s="377"/>
      <c r="S540" s="377"/>
      <c r="T540" s="3"/>
      <c r="U540" s="3"/>
      <c r="V540" s="3"/>
      <c r="W540" s="3"/>
      <c r="X540" s="3"/>
      <c r="Y540" s="3"/>
      <c r="Z540" s="3"/>
    </row>
    <row r="541" spans="1:26" ht="22.5" customHeight="1" x14ac:dyDescent="0.85">
      <c r="A541" s="377"/>
      <c r="B541" s="377"/>
      <c r="C541" s="377"/>
      <c r="D541" s="377"/>
      <c r="E541" s="377"/>
      <c r="F541" s="377"/>
      <c r="G541" s="377"/>
      <c r="H541" s="377"/>
      <c r="I541" s="377"/>
      <c r="J541" s="377"/>
      <c r="K541" s="377"/>
      <c r="L541" s="377"/>
      <c r="M541" s="377"/>
      <c r="N541" s="377"/>
      <c r="O541" s="377"/>
      <c r="P541" s="377"/>
      <c r="Q541" s="377"/>
      <c r="R541" s="377"/>
      <c r="S541" s="377"/>
      <c r="T541" s="3"/>
      <c r="U541" s="3"/>
      <c r="V541" s="3"/>
      <c r="W541" s="3"/>
      <c r="X541" s="3"/>
      <c r="Y541" s="3"/>
      <c r="Z541" s="3"/>
    </row>
    <row r="542" spans="1:26" ht="22.5" customHeight="1" x14ac:dyDescent="0.85">
      <c r="A542" s="377"/>
      <c r="B542" s="377"/>
      <c r="C542" s="377"/>
      <c r="D542" s="377"/>
      <c r="E542" s="377"/>
      <c r="F542" s="377"/>
      <c r="G542" s="377"/>
      <c r="H542" s="377"/>
      <c r="I542" s="377"/>
      <c r="J542" s="377"/>
      <c r="K542" s="377"/>
      <c r="L542" s="377"/>
      <c r="M542" s="377"/>
      <c r="N542" s="377"/>
      <c r="O542" s="377"/>
      <c r="P542" s="377"/>
      <c r="Q542" s="377"/>
      <c r="R542" s="377"/>
      <c r="S542" s="377"/>
      <c r="T542" s="3"/>
      <c r="U542" s="3"/>
      <c r="V542" s="3"/>
      <c r="W542" s="3"/>
      <c r="X542" s="3"/>
      <c r="Y542" s="3"/>
      <c r="Z542" s="3"/>
    </row>
    <row r="543" spans="1:26" ht="22.5" customHeight="1" x14ac:dyDescent="0.85">
      <c r="A543" s="377"/>
      <c r="B543" s="377"/>
      <c r="C543" s="377"/>
      <c r="D543" s="377"/>
      <c r="E543" s="377"/>
      <c r="F543" s="377"/>
      <c r="G543" s="377"/>
      <c r="H543" s="377"/>
      <c r="I543" s="377"/>
      <c r="J543" s="377"/>
      <c r="K543" s="377"/>
      <c r="L543" s="377"/>
      <c r="M543" s="377"/>
      <c r="N543" s="377"/>
      <c r="O543" s="377"/>
      <c r="P543" s="377"/>
      <c r="Q543" s="377"/>
      <c r="R543" s="377"/>
      <c r="S543" s="377"/>
      <c r="T543" s="3"/>
      <c r="U543" s="3"/>
      <c r="V543" s="3"/>
      <c r="W543" s="3"/>
      <c r="X543" s="3"/>
      <c r="Y543" s="3"/>
      <c r="Z543" s="3"/>
    </row>
    <row r="544" spans="1:26" ht="22.5" customHeight="1" x14ac:dyDescent="0.85">
      <c r="A544" s="377"/>
      <c r="B544" s="377"/>
      <c r="C544" s="377"/>
      <c r="D544" s="377"/>
      <c r="E544" s="377"/>
      <c r="F544" s="377"/>
      <c r="G544" s="377"/>
      <c r="H544" s="377"/>
      <c r="I544" s="377"/>
      <c r="J544" s="377"/>
      <c r="K544" s="377"/>
      <c r="L544" s="377"/>
      <c r="M544" s="377"/>
      <c r="N544" s="377"/>
      <c r="O544" s="377"/>
      <c r="P544" s="377"/>
      <c r="Q544" s="377"/>
      <c r="R544" s="377"/>
      <c r="S544" s="377"/>
      <c r="T544" s="3"/>
      <c r="U544" s="3"/>
      <c r="V544" s="3"/>
      <c r="W544" s="3"/>
      <c r="X544" s="3"/>
      <c r="Y544" s="3"/>
      <c r="Z544" s="3"/>
    </row>
    <row r="545" spans="1:26" ht="22.5" customHeight="1" x14ac:dyDescent="0.85">
      <c r="A545" s="377"/>
      <c r="B545" s="377"/>
      <c r="C545" s="377"/>
      <c r="D545" s="377"/>
      <c r="E545" s="377"/>
      <c r="F545" s="377"/>
      <c r="G545" s="377"/>
      <c r="H545" s="377"/>
      <c r="I545" s="377"/>
      <c r="J545" s="377"/>
      <c r="K545" s="377"/>
      <c r="L545" s="377"/>
      <c r="M545" s="377"/>
      <c r="N545" s="377"/>
      <c r="O545" s="377"/>
      <c r="P545" s="377"/>
      <c r="Q545" s="377"/>
      <c r="R545" s="377"/>
      <c r="S545" s="377"/>
      <c r="T545" s="3"/>
      <c r="U545" s="3"/>
      <c r="V545" s="3"/>
      <c r="W545" s="3"/>
      <c r="X545" s="3"/>
      <c r="Y545" s="3"/>
      <c r="Z545" s="3"/>
    </row>
    <row r="546" spans="1:26" ht="22.5" customHeight="1" x14ac:dyDescent="0.85">
      <c r="A546" s="377"/>
      <c r="B546" s="377"/>
      <c r="C546" s="377"/>
      <c r="D546" s="377"/>
      <c r="E546" s="377"/>
      <c r="F546" s="377"/>
      <c r="G546" s="377"/>
      <c r="H546" s="377"/>
      <c r="I546" s="377"/>
      <c r="J546" s="377"/>
      <c r="K546" s="377"/>
      <c r="L546" s="377"/>
      <c r="M546" s="377"/>
      <c r="N546" s="377"/>
      <c r="O546" s="377"/>
      <c r="P546" s="377"/>
      <c r="Q546" s="377"/>
      <c r="R546" s="377"/>
      <c r="S546" s="377"/>
      <c r="T546" s="3"/>
      <c r="U546" s="3"/>
      <c r="V546" s="3"/>
      <c r="W546" s="3"/>
      <c r="X546" s="3"/>
      <c r="Y546" s="3"/>
      <c r="Z546" s="3"/>
    </row>
    <row r="547" spans="1:26" ht="22.5" customHeight="1" x14ac:dyDescent="0.85">
      <c r="A547" s="377"/>
      <c r="B547" s="377"/>
      <c r="C547" s="377"/>
      <c r="D547" s="377"/>
      <c r="E547" s="377"/>
      <c r="F547" s="377"/>
      <c r="G547" s="377"/>
      <c r="H547" s="377"/>
      <c r="I547" s="377"/>
      <c r="J547" s="377"/>
      <c r="K547" s="377"/>
      <c r="L547" s="377"/>
      <c r="M547" s="377"/>
      <c r="N547" s="377"/>
      <c r="O547" s="377"/>
      <c r="P547" s="377"/>
      <c r="Q547" s="377"/>
      <c r="R547" s="377"/>
      <c r="S547" s="377"/>
      <c r="T547" s="3"/>
      <c r="U547" s="3"/>
      <c r="V547" s="3"/>
      <c r="W547" s="3"/>
      <c r="X547" s="3"/>
      <c r="Y547" s="3"/>
      <c r="Z547" s="3"/>
    </row>
    <row r="548" spans="1:26" ht="22.5" customHeight="1" x14ac:dyDescent="0.85">
      <c r="A548" s="377"/>
      <c r="B548" s="377"/>
      <c r="C548" s="377"/>
      <c r="D548" s="377"/>
      <c r="E548" s="377"/>
      <c r="F548" s="377"/>
      <c r="G548" s="377"/>
      <c r="H548" s="377"/>
      <c r="I548" s="377"/>
      <c r="J548" s="377"/>
      <c r="K548" s="377"/>
      <c r="L548" s="377"/>
      <c r="M548" s="377"/>
      <c r="N548" s="377"/>
      <c r="O548" s="377"/>
      <c r="P548" s="377"/>
      <c r="Q548" s="377"/>
      <c r="R548" s="377"/>
      <c r="S548" s="377"/>
      <c r="T548" s="3"/>
      <c r="U548" s="3"/>
      <c r="V548" s="3"/>
      <c r="W548" s="3"/>
      <c r="X548" s="3"/>
      <c r="Y548" s="3"/>
      <c r="Z548" s="3"/>
    </row>
    <row r="549" spans="1:26" ht="22.5" customHeight="1" x14ac:dyDescent="0.85">
      <c r="A549" s="377"/>
      <c r="B549" s="377"/>
      <c r="C549" s="377"/>
      <c r="D549" s="377"/>
      <c r="E549" s="377"/>
      <c r="F549" s="377"/>
      <c r="G549" s="377"/>
      <c r="H549" s="377"/>
      <c r="I549" s="377"/>
      <c r="J549" s="377"/>
      <c r="K549" s="377"/>
      <c r="L549" s="377"/>
      <c r="M549" s="377"/>
      <c r="N549" s="377"/>
      <c r="O549" s="377"/>
      <c r="P549" s="377"/>
      <c r="Q549" s="377"/>
      <c r="R549" s="377"/>
      <c r="S549" s="377"/>
      <c r="T549" s="3"/>
      <c r="U549" s="3"/>
      <c r="V549" s="3"/>
      <c r="W549" s="3"/>
      <c r="X549" s="3"/>
      <c r="Y549" s="3"/>
      <c r="Z549" s="3"/>
    </row>
    <row r="550" spans="1:26" ht="22.5" customHeight="1" x14ac:dyDescent="0.85">
      <c r="A550" s="377"/>
      <c r="B550" s="377"/>
      <c r="C550" s="377"/>
      <c r="D550" s="377"/>
      <c r="E550" s="377"/>
      <c r="F550" s="377"/>
      <c r="G550" s="377"/>
      <c r="H550" s="377"/>
      <c r="I550" s="377"/>
      <c r="J550" s="377"/>
      <c r="K550" s="377"/>
      <c r="L550" s="377"/>
      <c r="M550" s="377"/>
      <c r="N550" s="377"/>
      <c r="O550" s="377"/>
      <c r="P550" s="377"/>
      <c r="Q550" s="377"/>
      <c r="R550" s="377"/>
      <c r="S550" s="377"/>
      <c r="T550" s="3"/>
      <c r="U550" s="3"/>
      <c r="V550" s="3"/>
      <c r="W550" s="3"/>
      <c r="X550" s="3"/>
      <c r="Y550" s="3"/>
      <c r="Z550" s="3"/>
    </row>
    <row r="551" spans="1:26" ht="22.5" customHeight="1" x14ac:dyDescent="0.85">
      <c r="A551" s="377"/>
      <c r="B551" s="377"/>
      <c r="C551" s="377"/>
      <c r="D551" s="377"/>
      <c r="E551" s="377"/>
      <c r="F551" s="377"/>
      <c r="G551" s="377"/>
      <c r="H551" s="377"/>
      <c r="I551" s="377"/>
      <c r="J551" s="377"/>
      <c r="K551" s="377"/>
      <c r="L551" s="377"/>
      <c r="M551" s="377"/>
      <c r="N551" s="377"/>
      <c r="O551" s="377"/>
      <c r="P551" s="377"/>
      <c r="Q551" s="377"/>
      <c r="R551" s="377"/>
      <c r="S551" s="377"/>
      <c r="T551" s="3"/>
      <c r="U551" s="3"/>
      <c r="V551" s="3"/>
      <c r="W551" s="3"/>
      <c r="X551" s="3"/>
      <c r="Y551" s="3"/>
      <c r="Z551" s="3"/>
    </row>
    <row r="552" spans="1:26" ht="22.5" customHeight="1" x14ac:dyDescent="0.85">
      <c r="A552" s="377"/>
      <c r="B552" s="377"/>
      <c r="C552" s="377"/>
      <c r="D552" s="377"/>
      <c r="E552" s="377"/>
      <c r="F552" s="377"/>
      <c r="G552" s="377"/>
      <c r="H552" s="377"/>
      <c r="I552" s="377"/>
      <c r="J552" s="377"/>
      <c r="K552" s="377"/>
      <c r="L552" s="377"/>
      <c r="M552" s="377"/>
      <c r="N552" s="377"/>
      <c r="O552" s="377"/>
      <c r="P552" s="377"/>
      <c r="Q552" s="377"/>
      <c r="R552" s="377"/>
      <c r="S552" s="377"/>
      <c r="T552" s="3"/>
      <c r="U552" s="3"/>
      <c r="V552" s="3"/>
      <c r="W552" s="3"/>
      <c r="X552" s="3"/>
      <c r="Y552" s="3"/>
      <c r="Z552" s="3"/>
    </row>
    <row r="553" spans="1:26" ht="22.5" customHeight="1" x14ac:dyDescent="0.85">
      <c r="A553" s="377"/>
      <c r="B553" s="377"/>
      <c r="C553" s="377"/>
      <c r="D553" s="377"/>
      <c r="E553" s="377"/>
      <c r="F553" s="377"/>
      <c r="G553" s="377"/>
      <c r="H553" s="377"/>
      <c r="I553" s="377"/>
      <c r="J553" s="377"/>
      <c r="K553" s="377"/>
      <c r="L553" s="377"/>
      <c r="M553" s="377"/>
      <c r="N553" s="377"/>
      <c r="O553" s="377"/>
      <c r="P553" s="377"/>
      <c r="Q553" s="377"/>
      <c r="R553" s="377"/>
      <c r="S553" s="377"/>
      <c r="T553" s="3"/>
      <c r="U553" s="3"/>
      <c r="V553" s="3"/>
      <c r="W553" s="3"/>
      <c r="X553" s="3"/>
      <c r="Y553" s="3"/>
      <c r="Z553" s="3"/>
    </row>
    <row r="554" spans="1:26" ht="22.5" customHeight="1" x14ac:dyDescent="0.85">
      <c r="A554" s="377"/>
      <c r="B554" s="377"/>
      <c r="C554" s="377"/>
      <c r="D554" s="377"/>
      <c r="E554" s="377"/>
      <c r="F554" s="377"/>
      <c r="G554" s="377"/>
      <c r="H554" s="377"/>
      <c r="I554" s="377"/>
      <c r="J554" s="377"/>
      <c r="K554" s="377"/>
      <c r="L554" s="377"/>
      <c r="M554" s="377"/>
      <c r="N554" s="377"/>
      <c r="O554" s="377"/>
      <c r="P554" s="377"/>
      <c r="Q554" s="377"/>
      <c r="R554" s="377"/>
      <c r="S554" s="377"/>
      <c r="T554" s="3"/>
      <c r="U554" s="3"/>
      <c r="V554" s="3"/>
      <c r="W554" s="3"/>
      <c r="X554" s="3"/>
      <c r="Y554" s="3"/>
      <c r="Z554" s="3"/>
    </row>
    <row r="555" spans="1:26" ht="22.5" customHeight="1" x14ac:dyDescent="0.85">
      <c r="A555" s="377"/>
      <c r="B555" s="377"/>
      <c r="C555" s="377"/>
      <c r="D555" s="377"/>
      <c r="E555" s="377"/>
      <c r="F555" s="377"/>
      <c r="G555" s="377"/>
      <c r="H555" s="377"/>
      <c r="I555" s="377"/>
      <c r="J555" s="377"/>
      <c r="K555" s="377"/>
      <c r="L555" s="377"/>
      <c r="M555" s="377"/>
      <c r="N555" s="377"/>
      <c r="O555" s="377"/>
      <c r="P555" s="377"/>
      <c r="Q555" s="377"/>
      <c r="R555" s="377"/>
      <c r="S555" s="377"/>
      <c r="T555" s="3"/>
      <c r="U555" s="3"/>
      <c r="V555" s="3"/>
      <c r="W555" s="3"/>
      <c r="X555" s="3"/>
      <c r="Y555" s="3"/>
      <c r="Z555" s="3"/>
    </row>
    <row r="556" spans="1:26" ht="22.5" customHeight="1" x14ac:dyDescent="0.85">
      <c r="A556" s="377"/>
      <c r="B556" s="377"/>
      <c r="C556" s="377"/>
      <c r="D556" s="377"/>
      <c r="E556" s="377"/>
      <c r="F556" s="377"/>
      <c r="G556" s="377"/>
      <c r="H556" s="377"/>
      <c r="I556" s="377"/>
      <c r="J556" s="377"/>
      <c r="K556" s="377"/>
      <c r="L556" s="377"/>
      <c r="M556" s="377"/>
      <c r="N556" s="377"/>
      <c r="O556" s="377"/>
      <c r="P556" s="377"/>
      <c r="Q556" s="377"/>
      <c r="R556" s="377"/>
      <c r="S556" s="377"/>
      <c r="T556" s="3"/>
      <c r="U556" s="3"/>
      <c r="V556" s="3"/>
      <c r="W556" s="3"/>
      <c r="X556" s="3"/>
      <c r="Y556" s="3"/>
      <c r="Z556" s="3"/>
    </row>
    <row r="557" spans="1:26" ht="22.5" customHeight="1" x14ac:dyDescent="0.85">
      <c r="A557" s="377"/>
      <c r="B557" s="377"/>
      <c r="C557" s="377"/>
      <c r="D557" s="377"/>
      <c r="E557" s="377"/>
      <c r="F557" s="377"/>
      <c r="G557" s="377"/>
      <c r="H557" s="377"/>
      <c r="I557" s="377"/>
      <c r="J557" s="377"/>
      <c r="K557" s="377"/>
      <c r="L557" s="377"/>
      <c r="M557" s="377"/>
      <c r="N557" s="377"/>
      <c r="O557" s="377"/>
      <c r="P557" s="377"/>
      <c r="Q557" s="377"/>
      <c r="R557" s="377"/>
      <c r="S557" s="377"/>
      <c r="T557" s="3"/>
      <c r="U557" s="3"/>
      <c r="V557" s="3"/>
      <c r="W557" s="3"/>
      <c r="X557" s="3"/>
      <c r="Y557" s="3"/>
      <c r="Z557" s="3"/>
    </row>
    <row r="558" spans="1:26" ht="22.5" customHeight="1" x14ac:dyDescent="0.85">
      <c r="A558" s="377"/>
      <c r="B558" s="377"/>
      <c r="C558" s="377"/>
      <c r="D558" s="377"/>
      <c r="E558" s="377"/>
      <c r="F558" s="377"/>
      <c r="G558" s="377"/>
      <c r="H558" s="377"/>
      <c r="I558" s="377"/>
      <c r="J558" s="377"/>
      <c r="K558" s="377"/>
      <c r="L558" s="377"/>
      <c r="M558" s="377"/>
      <c r="N558" s="377"/>
      <c r="O558" s="377"/>
      <c r="P558" s="377"/>
      <c r="Q558" s="377"/>
      <c r="R558" s="377"/>
      <c r="S558" s="377"/>
      <c r="T558" s="3"/>
      <c r="U558" s="3"/>
      <c r="V558" s="3"/>
      <c r="W558" s="3"/>
      <c r="X558" s="3"/>
      <c r="Y558" s="3"/>
      <c r="Z558" s="3"/>
    </row>
    <row r="559" spans="1:26" ht="22.5" customHeight="1" x14ac:dyDescent="0.85">
      <c r="A559" s="377"/>
      <c r="B559" s="377"/>
      <c r="C559" s="377"/>
      <c r="D559" s="377"/>
      <c r="E559" s="377"/>
      <c r="F559" s="377"/>
      <c r="G559" s="377"/>
      <c r="H559" s="377"/>
      <c r="I559" s="377"/>
      <c r="J559" s="377"/>
      <c r="K559" s="377"/>
      <c r="L559" s="377"/>
      <c r="M559" s="377"/>
      <c r="N559" s="377"/>
      <c r="O559" s="377"/>
      <c r="P559" s="377"/>
      <c r="Q559" s="377"/>
      <c r="R559" s="377"/>
      <c r="S559" s="377"/>
      <c r="T559" s="3"/>
      <c r="U559" s="3"/>
      <c r="V559" s="3"/>
      <c r="W559" s="3"/>
      <c r="X559" s="3"/>
      <c r="Y559" s="3"/>
      <c r="Z559" s="3"/>
    </row>
    <row r="560" spans="1:26" ht="22.5" customHeight="1" x14ac:dyDescent="0.85">
      <c r="A560" s="377"/>
      <c r="B560" s="377"/>
      <c r="C560" s="377"/>
      <c r="D560" s="377"/>
      <c r="E560" s="377"/>
      <c r="F560" s="377"/>
      <c r="G560" s="377"/>
      <c r="H560" s="377"/>
      <c r="I560" s="377"/>
      <c r="J560" s="377"/>
      <c r="K560" s="377"/>
      <c r="L560" s="377"/>
      <c r="M560" s="377"/>
      <c r="N560" s="377"/>
      <c r="O560" s="377"/>
      <c r="P560" s="377"/>
      <c r="Q560" s="377"/>
      <c r="R560" s="377"/>
      <c r="S560" s="377"/>
      <c r="T560" s="3"/>
      <c r="U560" s="3"/>
      <c r="V560" s="3"/>
      <c r="W560" s="3"/>
      <c r="X560" s="3"/>
      <c r="Y560" s="3"/>
      <c r="Z560" s="3"/>
    </row>
    <row r="561" spans="1:26" ht="22.5" customHeight="1" x14ac:dyDescent="0.85">
      <c r="A561" s="377"/>
      <c r="B561" s="377"/>
      <c r="C561" s="377"/>
      <c r="D561" s="377"/>
      <c r="E561" s="377"/>
      <c r="F561" s="377"/>
      <c r="G561" s="377"/>
      <c r="H561" s="377"/>
      <c r="I561" s="377"/>
      <c r="J561" s="377"/>
      <c r="K561" s="377"/>
      <c r="L561" s="377"/>
      <c r="M561" s="377"/>
      <c r="N561" s="377"/>
      <c r="O561" s="377"/>
      <c r="P561" s="377"/>
      <c r="Q561" s="377"/>
      <c r="R561" s="377"/>
      <c r="S561" s="377"/>
      <c r="T561" s="3"/>
      <c r="U561" s="3"/>
      <c r="V561" s="3"/>
      <c r="W561" s="3"/>
      <c r="X561" s="3"/>
      <c r="Y561" s="3"/>
      <c r="Z561" s="3"/>
    </row>
    <row r="562" spans="1:26" ht="22.5" customHeight="1" x14ac:dyDescent="0.85">
      <c r="A562" s="377"/>
      <c r="B562" s="377"/>
      <c r="C562" s="377"/>
      <c r="D562" s="377"/>
      <c r="E562" s="377"/>
      <c r="F562" s="377"/>
      <c r="G562" s="377"/>
      <c r="H562" s="377"/>
      <c r="I562" s="377"/>
      <c r="J562" s="377"/>
      <c r="K562" s="377"/>
      <c r="L562" s="377"/>
      <c r="M562" s="377"/>
      <c r="N562" s="377"/>
      <c r="O562" s="377"/>
      <c r="P562" s="377"/>
      <c r="Q562" s="377"/>
      <c r="R562" s="377"/>
      <c r="S562" s="377"/>
      <c r="T562" s="3"/>
      <c r="U562" s="3"/>
      <c r="V562" s="3"/>
      <c r="W562" s="3"/>
      <c r="X562" s="3"/>
      <c r="Y562" s="3"/>
      <c r="Z562" s="3"/>
    </row>
    <row r="563" spans="1:26" ht="22.5" customHeight="1" x14ac:dyDescent="0.85">
      <c r="A563" s="377"/>
      <c r="B563" s="377"/>
      <c r="C563" s="377"/>
      <c r="D563" s="377"/>
      <c r="E563" s="377"/>
      <c r="F563" s="377"/>
      <c r="G563" s="377"/>
      <c r="H563" s="377"/>
      <c r="I563" s="377"/>
      <c r="J563" s="377"/>
      <c r="K563" s="377"/>
      <c r="L563" s="377"/>
      <c r="M563" s="377"/>
      <c r="N563" s="377"/>
      <c r="O563" s="377"/>
      <c r="P563" s="377"/>
      <c r="Q563" s="377"/>
      <c r="R563" s="377"/>
      <c r="S563" s="377"/>
      <c r="T563" s="3"/>
      <c r="U563" s="3"/>
      <c r="V563" s="3"/>
      <c r="W563" s="3"/>
      <c r="X563" s="3"/>
      <c r="Y563" s="3"/>
      <c r="Z563" s="3"/>
    </row>
    <row r="564" spans="1:26" ht="22.5" customHeight="1" x14ac:dyDescent="0.85">
      <c r="A564" s="377"/>
      <c r="B564" s="377"/>
      <c r="C564" s="377"/>
      <c r="D564" s="377"/>
      <c r="E564" s="377"/>
      <c r="F564" s="377"/>
      <c r="G564" s="377"/>
      <c r="H564" s="377"/>
      <c r="I564" s="377"/>
      <c r="J564" s="377"/>
      <c r="K564" s="377"/>
      <c r="L564" s="377"/>
      <c r="M564" s="377"/>
      <c r="N564" s="377"/>
      <c r="O564" s="377"/>
      <c r="P564" s="377"/>
      <c r="Q564" s="377"/>
      <c r="R564" s="377"/>
      <c r="S564" s="377"/>
      <c r="T564" s="3"/>
      <c r="U564" s="3"/>
      <c r="V564" s="3"/>
      <c r="W564" s="3"/>
      <c r="X564" s="3"/>
      <c r="Y564" s="3"/>
      <c r="Z564" s="3"/>
    </row>
    <row r="565" spans="1:26" ht="22.5" customHeight="1" x14ac:dyDescent="0.85">
      <c r="A565" s="377"/>
      <c r="B565" s="377"/>
      <c r="C565" s="377"/>
      <c r="D565" s="377"/>
      <c r="E565" s="377"/>
      <c r="F565" s="377"/>
      <c r="G565" s="377"/>
      <c r="H565" s="377"/>
      <c r="I565" s="377"/>
      <c r="J565" s="377"/>
      <c r="K565" s="377"/>
      <c r="L565" s="377"/>
      <c r="M565" s="377"/>
      <c r="N565" s="377"/>
      <c r="O565" s="377"/>
      <c r="P565" s="377"/>
      <c r="Q565" s="377"/>
      <c r="R565" s="377"/>
      <c r="S565" s="377"/>
      <c r="T565" s="3"/>
      <c r="U565" s="3"/>
      <c r="V565" s="3"/>
      <c r="W565" s="3"/>
      <c r="X565" s="3"/>
      <c r="Y565" s="3"/>
      <c r="Z565" s="3"/>
    </row>
    <row r="566" spans="1:26" ht="22.5" customHeight="1" x14ac:dyDescent="0.85">
      <c r="A566" s="377"/>
      <c r="B566" s="377"/>
      <c r="C566" s="377"/>
      <c r="D566" s="377"/>
      <c r="E566" s="377"/>
      <c r="F566" s="377"/>
      <c r="G566" s="377"/>
      <c r="H566" s="377"/>
      <c r="I566" s="377"/>
      <c r="J566" s="377"/>
      <c r="K566" s="377"/>
      <c r="L566" s="377"/>
      <c r="M566" s="377"/>
      <c r="N566" s="377"/>
      <c r="O566" s="377"/>
      <c r="P566" s="377"/>
      <c r="Q566" s="377"/>
      <c r="R566" s="377"/>
      <c r="S566" s="377"/>
      <c r="T566" s="3"/>
      <c r="U566" s="3"/>
      <c r="V566" s="3"/>
      <c r="W566" s="3"/>
      <c r="X566" s="3"/>
      <c r="Y566" s="3"/>
      <c r="Z566" s="3"/>
    </row>
    <row r="567" spans="1:26" ht="22.5" customHeight="1" x14ac:dyDescent="0.85">
      <c r="A567" s="377"/>
      <c r="B567" s="377"/>
      <c r="C567" s="377"/>
      <c r="D567" s="377"/>
      <c r="E567" s="377"/>
      <c r="F567" s="377"/>
      <c r="G567" s="377"/>
      <c r="H567" s="377"/>
      <c r="I567" s="377"/>
      <c r="J567" s="377"/>
      <c r="K567" s="377"/>
      <c r="L567" s="377"/>
      <c r="M567" s="377"/>
      <c r="N567" s="377"/>
      <c r="O567" s="377"/>
      <c r="P567" s="377"/>
      <c r="Q567" s="377"/>
      <c r="R567" s="377"/>
      <c r="S567" s="377"/>
      <c r="T567" s="3"/>
      <c r="U567" s="3"/>
      <c r="V567" s="3"/>
      <c r="W567" s="3"/>
      <c r="X567" s="3"/>
      <c r="Y567" s="3"/>
      <c r="Z567" s="3"/>
    </row>
    <row r="568" spans="1:26" ht="22.5" customHeight="1" x14ac:dyDescent="0.85">
      <c r="A568" s="377"/>
      <c r="B568" s="377"/>
      <c r="C568" s="377"/>
      <c r="D568" s="377"/>
      <c r="E568" s="377"/>
      <c r="F568" s="377"/>
      <c r="G568" s="377"/>
      <c r="H568" s="377"/>
      <c r="I568" s="377"/>
      <c r="J568" s="377"/>
      <c r="K568" s="377"/>
      <c r="L568" s="377"/>
      <c r="M568" s="377"/>
      <c r="N568" s="377"/>
      <c r="O568" s="377"/>
      <c r="P568" s="377"/>
      <c r="Q568" s="377"/>
      <c r="R568" s="377"/>
      <c r="S568" s="377"/>
      <c r="T568" s="3"/>
      <c r="U568" s="3"/>
      <c r="V568" s="3"/>
      <c r="W568" s="3"/>
      <c r="X568" s="3"/>
      <c r="Y568" s="3"/>
      <c r="Z568" s="3"/>
    </row>
    <row r="569" spans="1:26" ht="22.5" customHeight="1" x14ac:dyDescent="0.85">
      <c r="A569" s="377"/>
      <c r="B569" s="377"/>
      <c r="C569" s="377"/>
      <c r="D569" s="377"/>
      <c r="E569" s="377"/>
      <c r="F569" s="377"/>
      <c r="G569" s="377"/>
      <c r="H569" s="377"/>
      <c r="I569" s="377"/>
      <c r="J569" s="377"/>
      <c r="K569" s="377"/>
      <c r="L569" s="377"/>
      <c r="M569" s="377"/>
      <c r="N569" s="377"/>
      <c r="O569" s="377"/>
      <c r="P569" s="377"/>
      <c r="Q569" s="377"/>
      <c r="R569" s="377"/>
      <c r="S569" s="377"/>
      <c r="T569" s="3"/>
      <c r="U569" s="3"/>
      <c r="V569" s="3"/>
      <c r="W569" s="3"/>
      <c r="X569" s="3"/>
      <c r="Y569" s="3"/>
      <c r="Z569" s="3"/>
    </row>
    <row r="570" spans="1:26" ht="22.5" customHeight="1" x14ac:dyDescent="0.85">
      <c r="A570" s="377"/>
      <c r="B570" s="377"/>
      <c r="C570" s="377"/>
      <c r="D570" s="377"/>
      <c r="E570" s="377"/>
      <c r="F570" s="377"/>
      <c r="G570" s="377"/>
      <c r="H570" s="377"/>
      <c r="I570" s="377"/>
      <c r="J570" s="377"/>
      <c r="K570" s="377"/>
      <c r="L570" s="377"/>
      <c r="M570" s="377"/>
      <c r="N570" s="377"/>
      <c r="O570" s="377"/>
      <c r="P570" s="377"/>
      <c r="Q570" s="377"/>
      <c r="R570" s="377"/>
      <c r="S570" s="377"/>
      <c r="T570" s="3"/>
      <c r="U570" s="3"/>
      <c r="V570" s="3"/>
      <c r="W570" s="3"/>
      <c r="X570" s="3"/>
      <c r="Y570" s="3"/>
      <c r="Z570" s="3"/>
    </row>
    <row r="571" spans="1:26" ht="22.5" customHeight="1" x14ac:dyDescent="0.85">
      <c r="A571" s="377"/>
      <c r="B571" s="377"/>
      <c r="C571" s="377"/>
      <c r="D571" s="377"/>
      <c r="E571" s="377"/>
      <c r="F571" s="377"/>
      <c r="G571" s="377"/>
      <c r="H571" s="377"/>
      <c r="I571" s="377"/>
      <c r="J571" s="377"/>
      <c r="K571" s="377"/>
      <c r="L571" s="377"/>
      <c r="M571" s="377"/>
      <c r="N571" s="377"/>
      <c r="O571" s="377"/>
      <c r="P571" s="377"/>
      <c r="Q571" s="377"/>
      <c r="R571" s="377"/>
      <c r="S571" s="377"/>
      <c r="T571" s="3"/>
      <c r="U571" s="3"/>
      <c r="V571" s="3"/>
      <c r="W571" s="3"/>
      <c r="X571" s="3"/>
      <c r="Y571" s="3"/>
      <c r="Z571" s="3"/>
    </row>
    <row r="572" spans="1:26" ht="22.5" customHeight="1" x14ac:dyDescent="0.85">
      <c r="A572" s="377"/>
      <c r="B572" s="377"/>
      <c r="C572" s="377"/>
      <c r="D572" s="377"/>
      <c r="E572" s="377"/>
      <c r="F572" s="377"/>
      <c r="G572" s="377"/>
      <c r="H572" s="377"/>
      <c r="I572" s="377"/>
      <c r="J572" s="377"/>
      <c r="K572" s="377"/>
      <c r="L572" s="377"/>
      <c r="M572" s="377"/>
      <c r="N572" s="377"/>
      <c r="O572" s="377"/>
      <c r="P572" s="377"/>
      <c r="Q572" s="377"/>
      <c r="R572" s="377"/>
      <c r="S572" s="377"/>
      <c r="T572" s="3"/>
      <c r="U572" s="3"/>
      <c r="V572" s="3"/>
      <c r="W572" s="3"/>
      <c r="X572" s="3"/>
      <c r="Y572" s="3"/>
      <c r="Z572" s="3"/>
    </row>
    <row r="573" spans="1:26" ht="22.5" customHeight="1" x14ac:dyDescent="0.85">
      <c r="A573" s="377"/>
      <c r="B573" s="377"/>
      <c r="C573" s="377"/>
      <c r="D573" s="377"/>
      <c r="E573" s="377"/>
      <c r="F573" s="377"/>
      <c r="G573" s="377"/>
      <c r="H573" s="377"/>
      <c r="I573" s="377"/>
      <c r="J573" s="377"/>
      <c r="K573" s="377"/>
      <c r="L573" s="377"/>
      <c r="M573" s="377"/>
      <c r="N573" s="377"/>
      <c r="O573" s="377"/>
      <c r="P573" s="377"/>
      <c r="Q573" s="377"/>
      <c r="R573" s="377"/>
      <c r="S573" s="377"/>
      <c r="T573" s="3"/>
      <c r="U573" s="3"/>
      <c r="V573" s="3"/>
      <c r="W573" s="3"/>
      <c r="X573" s="3"/>
      <c r="Y573" s="3"/>
      <c r="Z573" s="3"/>
    </row>
    <row r="574" spans="1:26" ht="22.5" customHeight="1" x14ac:dyDescent="0.85">
      <c r="A574" s="377"/>
      <c r="B574" s="377"/>
      <c r="C574" s="377"/>
      <c r="D574" s="377"/>
      <c r="E574" s="377"/>
      <c r="F574" s="377"/>
      <c r="G574" s="377"/>
      <c r="H574" s="377"/>
      <c r="I574" s="377"/>
      <c r="J574" s="377"/>
      <c r="K574" s="377"/>
      <c r="L574" s="377"/>
      <c r="M574" s="377"/>
      <c r="N574" s="377"/>
      <c r="O574" s="377"/>
      <c r="P574" s="377"/>
      <c r="Q574" s="377"/>
      <c r="R574" s="377"/>
      <c r="S574" s="377"/>
      <c r="T574" s="3"/>
      <c r="U574" s="3"/>
      <c r="V574" s="3"/>
      <c r="W574" s="3"/>
      <c r="X574" s="3"/>
      <c r="Y574" s="3"/>
      <c r="Z574" s="3"/>
    </row>
    <row r="575" spans="1:26" ht="22.5" customHeight="1" x14ac:dyDescent="0.85">
      <c r="A575" s="377"/>
      <c r="B575" s="377"/>
      <c r="C575" s="377"/>
      <c r="D575" s="377"/>
      <c r="E575" s="377"/>
      <c r="F575" s="377"/>
      <c r="G575" s="377"/>
      <c r="H575" s="377"/>
      <c r="I575" s="377"/>
      <c r="J575" s="377"/>
      <c r="K575" s="377"/>
      <c r="L575" s="377"/>
      <c r="M575" s="377"/>
      <c r="N575" s="377"/>
      <c r="O575" s="377"/>
      <c r="P575" s="377"/>
      <c r="Q575" s="377"/>
      <c r="R575" s="377"/>
      <c r="S575" s="377"/>
      <c r="T575" s="3"/>
      <c r="U575" s="3"/>
      <c r="V575" s="3"/>
      <c r="W575" s="3"/>
      <c r="X575" s="3"/>
      <c r="Y575" s="3"/>
      <c r="Z575" s="3"/>
    </row>
    <row r="576" spans="1:26" ht="22.5" customHeight="1" x14ac:dyDescent="0.85">
      <c r="A576" s="377"/>
      <c r="B576" s="377"/>
      <c r="C576" s="377"/>
      <c r="D576" s="377"/>
      <c r="E576" s="377"/>
      <c r="F576" s="377"/>
      <c r="G576" s="377"/>
      <c r="H576" s="377"/>
      <c r="I576" s="377"/>
      <c r="J576" s="377"/>
      <c r="K576" s="377"/>
      <c r="L576" s="377"/>
      <c r="M576" s="377"/>
      <c r="N576" s="377"/>
      <c r="O576" s="377"/>
      <c r="P576" s="377"/>
      <c r="Q576" s="377"/>
      <c r="R576" s="377"/>
      <c r="S576" s="377"/>
      <c r="T576" s="3"/>
      <c r="U576" s="3"/>
      <c r="V576" s="3"/>
      <c r="W576" s="3"/>
      <c r="X576" s="3"/>
      <c r="Y576" s="3"/>
      <c r="Z576" s="3"/>
    </row>
    <row r="577" spans="1:26" ht="22.5" customHeight="1" x14ac:dyDescent="0.85">
      <c r="A577" s="377"/>
      <c r="B577" s="377"/>
      <c r="C577" s="377"/>
      <c r="D577" s="377"/>
      <c r="E577" s="377"/>
      <c r="F577" s="377"/>
      <c r="G577" s="377"/>
      <c r="H577" s="377"/>
      <c r="I577" s="377"/>
      <c r="J577" s="377"/>
      <c r="K577" s="377"/>
      <c r="L577" s="377"/>
      <c r="M577" s="377"/>
      <c r="N577" s="377"/>
      <c r="O577" s="377"/>
      <c r="P577" s="377"/>
      <c r="Q577" s="377"/>
      <c r="R577" s="377"/>
      <c r="S577" s="377"/>
      <c r="T577" s="3"/>
      <c r="U577" s="3"/>
      <c r="V577" s="3"/>
      <c r="W577" s="3"/>
      <c r="X577" s="3"/>
      <c r="Y577" s="3"/>
      <c r="Z577" s="3"/>
    </row>
    <row r="578" spans="1:26" ht="22.5" customHeight="1" x14ac:dyDescent="0.85">
      <c r="A578" s="377"/>
      <c r="B578" s="377"/>
      <c r="C578" s="377"/>
      <c r="D578" s="377"/>
      <c r="E578" s="377"/>
      <c r="F578" s="377"/>
      <c r="G578" s="377"/>
      <c r="H578" s="377"/>
      <c r="I578" s="377"/>
      <c r="J578" s="377"/>
      <c r="K578" s="377"/>
      <c r="L578" s="377"/>
      <c r="M578" s="377"/>
      <c r="N578" s="377"/>
      <c r="O578" s="377"/>
      <c r="P578" s="377"/>
      <c r="Q578" s="377"/>
      <c r="R578" s="377"/>
      <c r="S578" s="377"/>
      <c r="T578" s="3"/>
      <c r="U578" s="3"/>
      <c r="V578" s="3"/>
      <c r="W578" s="3"/>
      <c r="X578" s="3"/>
      <c r="Y578" s="3"/>
      <c r="Z578" s="3"/>
    </row>
    <row r="579" spans="1:26" ht="22.5" customHeight="1" x14ac:dyDescent="0.85">
      <c r="A579" s="377"/>
      <c r="B579" s="377"/>
      <c r="C579" s="377"/>
      <c r="D579" s="377"/>
      <c r="E579" s="377"/>
      <c r="F579" s="377"/>
      <c r="G579" s="377"/>
      <c r="H579" s="377"/>
      <c r="I579" s="377"/>
      <c r="J579" s="377"/>
      <c r="K579" s="377"/>
      <c r="L579" s="377"/>
      <c r="M579" s="377"/>
      <c r="N579" s="377"/>
      <c r="O579" s="377"/>
      <c r="P579" s="377"/>
      <c r="Q579" s="377"/>
      <c r="R579" s="377"/>
      <c r="S579" s="377"/>
      <c r="T579" s="3"/>
      <c r="U579" s="3"/>
      <c r="V579" s="3"/>
      <c r="W579" s="3"/>
      <c r="X579" s="3"/>
      <c r="Y579" s="3"/>
      <c r="Z579" s="3"/>
    </row>
    <row r="580" spans="1:26" ht="22.5" customHeight="1" x14ac:dyDescent="0.85">
      <c r="A580" s="377"/>
      <c r="B580" s="377"/>
      <c r="C580" s="377"/>
      <c r="D580" s="377"/>
      <c r="E580" s="377"/>
      <c r="F580" s="377"/>
      <c r="G580" s="377"/>
      <c r="H580" s="377"/>
      <c r="I580" s="377"/>
      <c r="J580" s="377"/>
      <c r="K580" s="377"/>
      <c r="L580" s="377"/>
      <c r="M580" s="377"/>
      <c r="N580" s="377"/>
      <c r="O580" s="377"/>
      <c r="P580" s="377"/>
      <c r="Q580" s="377"/>
      <c r="R580" s="377"/>
      <c r="S580" s="377"/>
      <c r="T580" s="3"/>
      <c r="U580" s="3"/>
      <c r="V580" s="3"/>
      <c r="W580" s="3"/>
      <c r="X580" s="3"/>
      <c r="Y580" s="3"/>
      <c r="Z580" s="3"/>
    </row>
    <row r="581" spans="1:26" ht="22.5" customHeight="1" x14ac:dyDescent="0.85">
      <c r="A581" s="377"/>
      <c r="B581" s="377"/>
      <c r="C581" s="377"/>
      <c r="D581" s="377"/>
      <c r="E581" s="377"/>
      <c r="F581" s="377"/>
      <c r="G581" s="377"/>
      <c r="H581" s="377"/>
      <c r="I581" s="377"/>
      <c r="J581" s="377"/>
      <c r="K581" s="377"/>
      <c r="L581" s="377"/>
      <c r="M581" s="377"/>
      <c r="N581" s="377"/>
      <c r="O581" s="377"/>
      <c r="P581" s="377"/>
      <c r="Q581" s="377"/>
      <c r="R581" s="377"/>
      <c r="S581" s="377"/>
      <c r="T581" s="3"/>
      <c r="U581" s="3"/>
      <c r="V581" s="3"/>
      <c r="W581" s="3"/>
      <c r="X581" s="3"/>
      <c r="Y581" s="3"/>
      <c r="Z581" s="3"/>
    </row>
    <row r="582" spans="1:26" ht="22.5" customHeight="1" x14ac:dyDescent="0.85">
      <c r="A582" s="377"/>
      <c r="B582" s="377"/>
      <c r="C582" s="377"/>
      <c r="D582" s="377"/>
      <c r="E582" s="377"/>
      <c r="F582" s="377"/>
      <c r="G582" s="377"/>
      <c r="H582" s="377"/>
      <c r="I582" s="377"/>
      <c r="J582" s="377"/>
      <c r="K582" s="377"/>
      <c r="L582" s="377"/>
      <c r="M582" s="377"/>
      <c r="N582" s="377"/>
      <c r="O582" s="377"/>
      <c r="P582" s="377"/>
      <c r="Q582" s="377"/>
      <c r="R582" s="377"/>
      <c r="S582" s="377"/>
      <c r="T582" s="3"/>
      <c r="U582" s="3"/>
      <c r="V582" s="3"/>
      <c r="W582" s="3"/>
      <c r="X582" s="3"/>
      <c r="Y582" s="3"/>
      <c r="Z582" s="3"/>
    </row>
    <row r="583" spans="1:26" ht="22.5" customHeight="1" x14ac:dyDescent="0.85">
      <c r="A583" s="377"/>
      <c r="B583" s="377"/>
      <c r="C583" s="377"/>
      <c r="D583" s="377"/>
      <c r="E583" s="377"/>
      <c r="F583" s="377"/>
      <c r="G583" s="377"/>
      <c r="H583" s="377"/>
      <c r="I583" s="377"/>
      <c r="J583" s="377"/>
      <c r="K583" s="377"/>
      <c r="L583" s="377"/>
      <c r="M583" s="377"/>
      <c r="N583" s="377"/>
      <c r="O583" s="377"/>
      <c r="P583" s="377"/>
      <c r="Q583" s="377"/>
      <c r="R583" s="377"/>
      <c r="S583" s="377"/>
      <c r="T583" s="3"/>
      <c r="U583" s="3"/>
      <c r="V583" s="3"/>
      <c r="W583" s="3"/>
      <c r="X583" s="3"/>
      <c r="Y583" s="3"/>
      <c r="Z583" s="3"/>
    </row>
    <row r="584" spans="1:26" ht="22.5" customHeight="1" x14ac:dyDescent="0.85">
      <c r="A584" s="377"/>
      <c r="B584" s="377"/>
      <c r="C584" s="377"/>
      <c r="D584" s="377"/>
      <c r="E584" s="377"/>
      <c r="F584" s="377"/>
      <c r="G584" s="377"/>
      <c r="H584" s="377"/>
      <c r="I584" s="377"/>
      <c r="J584" s="377"/>
      <c r="K584" s="377"/>
      <c r="L584" s="377"/>
      <c r="M584" s="377"/>
      <c r="N584" s="377"/>
      <c r="O584" s="377"/>
      <c r="P584" s="377"/>
      <c r="Q584" s="377"/>
      <c r="R584" s="377"/>
      <c r="S584" s="377"/>
      <c r="T584" s="3"/>
      <c r="U584" s="3"/>
      <c r="V584" s="3"/>
      <c r="W584" s="3"/>
      <c r="X584" s="3"/>
      <c r="Y584" s="3"/>
      <c r="Z584" s="3"/>
    </row>
    <row r="585" spans="1:26" ht="22.5" customHeight="1" x14ac:dyDescent="0.85">
      <c r="A585" s="377"/>
      <c r="B585" s="377"/>
      <c r="C585" s="377"/>
      <c r="D585" s="377"/>
      <c r="E585" s="377"/>
      <c r="F585" s="377"/>
      <c r="G585" s="377"/>
      <c r="H585" s="377"/>
      <c r="I585" s="377"/>
      <c r="J585" s="377"/>
      <c r="K585" s="377"/>
      <c r="L585" s="377"/>
      <c r="M585" s="377"/>
      <c r="N585" s="377"/>
      <c r="O585" s="377"/>
      <c r="P585" s="377"/>
      <c r="Q585" s="377"/>
      <c r="R585" s="377"/>
      <c r="S585" s="377"/>
      <c r="T585" s="3"/>
      <c r="U585" s="3"/>
      <c r="V585" s="3"/>
      <c r="W585" s="3"/>
      <c r="X585" s="3"/>
      <c r="Y585" s="3"/>
      <c r="Z585" s="3"/>
    </row>
    <row r="586" spans="1:26" ht="22.5" customHeight="1" x14ac:dyDescent="0.85">
      <c r="A586" s="377"/>
      <c r="B586" s="377"/>
      <c r="C586" s="377"/>
      <c r="D586" s="377"/>
      <c r="E586" s="377"/>
      <c r="F586" s="377"/>
      <c r="G586" s="377"/>
      <c r="H586" s="377"/>
      <c r="I586" s="377"/>
      <c r="J586" s="377"/>
      <c r="K586" s="377"/>
      <c r="L586" s="377"/>
      <c r="M586" s="377"/>
      <c r="N586" s="377"/>
      <c r="O586" s="377"/>
      <c r="P586" s="377"/>
      <c r="Q586" s="377"/>
      <c r="R586" s="377"/>
      <c r="S586" s="377"/>
      <c r="T586" s="3"/>
      <c r="U586" s="3"/>
      <c r="V586" s="3"/>
      <c r="W586" s="3"/>
      <c r="X586" s="3"/>
      <c r="Y586" s="3"/>
      <c r="Z586" s="3"/>
    </row>
    <row r="587" spans="1:26" ht="22.5" customHeight="1" x14ac:dyDescent="0.85">
      <c r="A587" s="377"/>
      <c r="B587" s="377"/>
      <c r="C587" s="377"/>
      <c r="D587" s="377"/>
      <c r="E587" s="377"/>
      <c r="F587" s="377"/>
      <c r="G587" s="377"/>
      <c r="H587" s="377"/>
      <c r="I587" s="377"/>
      <c r="J587" s="377"/>
      <c r="K587" s="377"/>
      <c r="L587" s="377"/>
      <c r="M587" s="377"/>
      <c r="N587" s="377"/>
      <c r="O587" s="377"/>
      <c r="P587" s="377"/>
      <c r="Q587" s="377"/>
      <c r="R587" s="377"/>
      <c r="S587" s="377"/>
      <c r="T587" s="3"/>
      <c r="U587" s="3"/>
      <c r="V587" s="3"/>
      <c r="W587" s="3"/>
      <c r="X587" s="3"/>
      <c r="Y587" s="3"/>
      <c r="Z587" s="3"/>
    </row>
    <row r="588" spans="1:26" ht="22.5" customHeight="1" x14ac:dyDescent="0.85">
      <c r="A588" s="377"/>
      <c r="B588" s="377"/>
      <c r="C588" s="377"/>
      <c r="D588" s="377"/>
      <c r="E588" s="377"/>
      <c r="F588" s="377"/>
      <c r="G588" s="377"/>
      <c r="H588" s="377"/>
      <c r="I588" s="377"/>
      <c r="J588" s="377"/>
      <c r="K588" s="377"/>
      <c r="L588" s="377"/>
      <c r="M588" s="377"/>
      <c r="N588" s="377"/>
      <c r="O588" s="377"/>
      <c r="P588" s="377"/>
      <c r="Q588" s="377"/>
      <c r="R588" s="377"/>
      <c r="S588" s="377"/>
      <c r="T588" s="3"/>
      <c r="U588" s="3"/>
      <c r="V588" s="3"/>
      <c r="W588" s="3"/>
      <c r="X588" s="3"/>
      <c r="Y588" s="3"/>
      <c r="Z588" s="3"/>
    </row>
    <row r="589" spans="1:26" ht="22.5" customHeight="1" x14ac:dyDescent="0.85">
      <c r="A589" s="377"/>
      <c r="B589" s="377"/>
      <c r="C589" s="377"/>
      <c r="D589" s="377"/>
      <c r="E589" s="377"/>
      <c r="F589" s="377"/>
      <c r="G589" s="377"/>
      <c r="H589" s="377"/>
      <c r="I589" s="377"/>
      <c r="J589" s="377"/>
      <c r="K589" s="377"/>
      <c r="L589" s="377"/>
      <c r="M589" s="377"/>
      <c r="N589" s="377"/>
      <c r="O589" s="377"/>
      <c r="P589" s="377"/>
      <c r="Q589" s="377"/>
      <c r="R589" s="377"/>
      <c r="S589" s="377"/>
      <c r="T589" s="3"/>
      <c r="U589" s="3"/>
      <c r="V589" s="3"/>
      <c r="W589" s="3"/>
      <c r="X589" s="3"/>
      <c r="Y589" s="3"/>
      <c r="Z589" s="3"/>
    </row>
    <row r="590" spans="1:26" ht="22.5" customHeight="1" x14ac:dyDescent="0.85">
      <c r="A590" s="377"/>
      <c r="B590" s="377"/>
      <c r="C590" s="377"/>
      <c r="D590" s="377"/>
      <c r="E590" s="377"/>
      <c r="F590" s="377"/>
      <c r="G590" s="377"/>
      <c r="H590" s="377"/>
      <c r="I590" s="377"/>
      <c r="J590" s="377"/>
      <c r="K590" s="377"/>
      <c r="L590" s="377"/>
      <c r="M590" s="377"/>
      <c r="N590" s="377"/>
      <c r="O590" s="377"/>
      <c r="P590" s="377"/>
      <c r="Q590" s="377"/>
      <c r="R590" s="377"/>
      <c r="S590" s="377"/>
      <c r="T590" s="3"/>
      <c r="U590" s="3"/>
      <c r="V590" s="3"/>
      <c r="W590" s="3"/>
      <c r="X590" s="3"/>
      <c r="Y590" s="3"/>
      <c r="Z590" s="3"/>
    </row>
    <row r="591" spans="1:26" ht="22.5" customHeight="1" x14ac:dyDescent="0.85">
      <c r="A591" s="377"/>
      <c r="B591" s="377"/>
      <c r="C591" s="377"/>
      <c r="D591" s="377"/>
      <c r="E591" s="377"/>
      <c r="F591" s="377"/>
      <c r="G591" s="377"/>
      <c r="H591" s="377"/>
      <c r="I591" s="377"/>
      <c r="J591" s="377"/>
      <c r="K591" s="377"/>
      <c r="L591" s="377"/>
      <c r="M591" s="377"/>
      <c r="N591" s="377"/>
      <c r="O591" s="377"/>
      <c r="P591" s="377"/>
      <c r="Q591" s="377"/>
      <c r="R591" s="377"/>
      <c r="S591" s="377"/>
      <c r="T591" s="3"/>
      <c r="U591" s="3"/>
      <c r="V591" s="3"/>
      <c r="W591" s="3"/>
      <c r="X591" s="3"/>
      <c r="Y591" s="3"/>
      <c r="Z591" s="3"/>
    </row>
    <row r="592" spans="1:26" ht="22.5" customHeight="1" x14ac:dyDescent="0.85">
      <c r="A592" s="377"/>
      <c r="B592" s="377"/>
      <c r="C592" s="377"/>
      <c r="D592" s="377"/>
      <c r="E592" s="377"/>
      <c r="F592" s="377"/>
      <c r="G592" s="377"/>
      <c r="H592" s="377"/>
      <c r="I592" s="377"/>
      <c r="J592" s="377"/>
      <c r="K592" s="377"/>
      <c r="L592" s="377"/>
      <c r="M592" s="377"/>
      <c r="N592" s="377"/>
      <c r="O592" s="377"/>
      <c r="P592" s="377"/>
      <c r="Q592" s="377"/>
      <c r="R592" s="377"/>
      <c r="S592" s="377"/>
      <c r="T592" s="3"/>
      <c r="U592" s="3"/>
      <c r="V592" s="3"/>
      <c r="W592" s="3"/>
      <c r="X592" s="3"/>
      <c r="Y592" s="3"/>
      <c r="Z592" s="3"/>
    </row>
    <row r="593" spans="1:26" ht="22.5" customHeight="1" x14ac:dyDescent="0.85">
      <c r="A593" s="377"/>
      <c r="B593" s="377"/>
      <c r="C593" s="377"/>
      <c r="D593" s="377"/>
      <c r="E593" s="377"/>
      <c r="F593" s="377"/>
      <c r="G593" s="377"/>
      <c r="H593" s="377"/>
      <c r="I593" s="377"/>
      <c r="J593" s="377"/>
      <c r="K593" s="377"/>
      <c r="L593" s="377"/>
      <c r="M593" s="377"/>
      <c r="N593" s="377"/>
      <c r="O593" s="377"/>
      <c r="P593" s="377"/>
      <c r="Q593" s="377"/>
      <c r="R593" s="377"/>
      <c r="S593" s="377"/>
      <c r="T593" s="3"/>
      <c r="U593" s="3"/>
      <c r="V593" s="3"/>
      <c r="W593" s="3"/>
      <c r="X593" s="3"/>
      <c r="Y593" s="3"/>
      <c r="Z593" s="3"/>
    </row>
    <row r="594" spans="1:26" ht="22.5" customHeight="1" x14ac:dyDescent="0.85">
      <c r="A594" s="377"/>
      <c r="B594" s="377"/>
      <c r="C594" s="377"/>
      <c r="D594" s="377"/>
      <c r="E594" s="377"/>
      <c r="F594" s="377"/>
      <c r="G594" s="377"/>
      <c r="H594" s="377"/>
      <c r="I594" s="377"/>
      <c r="J594" s="377"/>
      <c r="K594" s="377"/>
      <c r="L594" s="377"/>
      <c r="M594" s="377"/>
      <c r="N594" s="377"/>
      <c r="O594" s="377"/>
      <c r="P594" s="377"/>
      <c r="Q594" s="377"/>
      <c r="R594" s="377"/>
      <c r="S594" s="377"/>
      <c r="T594" s="3"/>
      <c r="U594" s="3"/>
      <c r="V594" s="3"/>
      <c r="W594" s="3"/>
      <c r="X594" s="3"/>
      <c r="Y594" s="3"/>
      <c r="Z594" s="3"/>
    </row>
    <row r="595" spans="1:26" ht="22.5" customHeight="1" x14ac:dyDescent="0.85">
      <c r="A595" s="377"/>
      <c r="B595" s="377"/>
      <c r="C595" s="377"/>
      <c r="D595" s="377"/>
      <c r="E595" s="377"/>
      <c r="F595" s="377"/>
      <c r="G595" s="377"/>
      <c r="H595" s="377"/>
      <c r="I595" s="377"/>
      <c r="J595" s="377"/>
      <c r="K595" s="377"/>
      <c r="L595" s="377"/>
      <c r="M595" s="377"/>
      <c r="N595" s="377"/>
      <c r="O595" s="377"/>
      <c r="P595" s="377"/>
      <c r="Q595" s="377"/>
      <c r="R595" s="377"/>
      <c r="S595" s="377"/>
      <c r="T595" s="3"/>
      <c r="U595" s="3"/>
      <c r="V595" s="3"/>
      <c r="W595" s="3"/>
      <c r="X595" s="3"/>
      <c r="Y595" s="3"/>
      <c r="Z595" s="3"/>
    </row>
    <row r="596" spans="1:26" ht="22.5" customHeight="1" x14ac:dyDescent="0.85">
      <c r="A596" s="377"/>
      <c r="B596" s="377"/>
      <c r="C596" s="377"/>
      <c r="D596" s="377"/>
      <c r="E596" s="377"/>
      <c r="F596" s="377"/>
      <c r="G596" s="377"/>
      <c r="H596" s="377"/>
      <c r="I596" s="377"/>
      <c r="J596" s="377"/>
      <c r="K596" s="377"/>
      <c r="L596" s="377"/>
      <c r="M596" s="377"/>
      <c r="N596" s="377"/>
      <c r="O596" s="377"/>
      <c r="P596" s="377"/>
      <c r="Q596" s="377"/>
      <c r="R596" s="377"/>
      <c r="S596" s="377"/>
      <c r="T596" s="3"/>
      <c r="U596" s="3"/>
      <c r="V596" s="3"/>
      <c r="W596" s="3"/>
      <c r="X596" s="3"/>
      <c r="Y596" s="3"/>
      <c r="Z596" s="3"/>
    </row>
    <row r="597" spans="1:26" ht="22.5" customHeight="1" x14ac:dyDescent="0.85">
      <c r="A597" s="377"/>
      <c r="B597" s="377"/>
      <c r="C597" s="377"/>
      <c r="D597" s="377"/>
      <c r="E597" s="377"/>
      <c r="F597" s="377"/>
      <c r="G597" s="377"/>
      <c r="H597" s="377"/>
      <c r="I597" s="377"/>
      <c r="J597" s="377"/>
      <c r="K597" s="377"/>
      <c r="L597" s="377"/>
      <c r="M597" s="377"/>
      <c r="N597" s="377"/>
      <c r="O597" s="377"/>
      <c r="P597" s="377"/>
      <c r="Q597" s="377"/>
      <c r="R597" s="377"/>
      <c r="S597" s="377"/>
      <c r="T597" s="3"/>
      <c r="U597" s="3"/>
      <c r="V597" s="3"/>
      <c r="W597" s="3"/>
      <c r="X597" s="3"/>
      <c r="Y597" s="3"/>
      <c r="Z597" s="3"/>
    </row>
    <row r="598" spans="1:26" ht="22.5" customHeight="1" x14ac:dyDescent="0.85">
      <c r="A598" s="377"/>
      <c r="B598" s="377"/>
      <c r="C598" s="377"/>
      <c r="D598" s="377"/>
      <c r="E598" s="377"/>
      <c r="F598" s="377"/>
      <c r="G598" s="377"/>
      <c r="H598" s="377"/>
      <c r="I598" s="377"/>
      <c r="J598" s="377"/>
      <c r="K598" s="377"/>
      <c r="L598" s="377"/>
      <c r="M598" s="377"/>
      <c r="N598" s="377"/>
      <c r="O598" s="377"/>
      <c r="P598" s="377"/>
      <c r="Q598" s="377"/>
      <c r="R598" s="377"/>
      <c r="S598" s="377"/>
      <c r="T598" s="3"/>
      <c r="U598" s="3"/>
      <c r="V598" s="3"/>
      <c r="W598" s="3"/>
      <c r="X598" s="3"/>
      <c r="Y598" s="3"/>
      <c r="Z598" s="3"/>
    </row>
    <row r="599" spans="1:26" ht="22.5" customHeight="1" x14ac:dyDescent="0.85">
      <c r="A599" s="377"/>
      <c r="B599" s="377"/>
      <c r="C599" s="377"/>
      <c r="D599" s="377"/>
      <c r="E599" s="377"/>
      <c r="F599" s="377"/>
      <c r="G599" s="377"/>
      <c r="H599" s="377"/>
      <c r="I599" s="377"/>
      <c r="J599" s="377"/>
      <c r="K599" s="377"/>
      <c r="L599" s="377"/>
      <c r="M599" s="377"/>
      <c r="N599" s="377"/>
      <c r="O599" s="377"/>
      <c r="P599" s="377"/>
      <c r="Q599" s="377"/>
      <c r="R599" s="377"/>
      <c r="S599" s="377"/>
      <c r="T599" s="3"/>
      <c r="U599" s="3"/>
      <c r="V599" s="3"/>
      <c r="W599" s="3"/>
      <c r="X599" s="3"/>
      <c r="Y599" s="3"/>
      <c r="Z599" s="3"/>
    </row>
    <row r="600" spans="1:26" ht="22.5" customHeight="1" x14ac:dyDescent="0.85">
      <c r="A600" s="377"/>
      <c r="B600" s="377"/>
      <c r="C600" s="377"/>
      <c r="D600" s="377"/>
      <c r="E600" s="377"/>
      <c r="F600" s="377"/>
      <c r="G600" s="377"/>
      <c r="H600" s="377"/>
      <c r="I600" s="377"/>
      <c r="J600" s="377"/>
      <c r="K600" s="377"/>
      <c r="L600" s="377"/>
      <c r="M600" s="377"/>
      <c r="N600" s="377"/>
      <c r="O600" s="377"/>
      <c r="P600" s="377"/>
      <c r="Q600" s="377"/>
      <c r="R600" s="377"/>
      <c r="S600" s="377"/>
      <c r="T600" s="3"/>
      <c r="U600" s="3"/>
      <c r="V600" s="3"/>
      <c r="W600" s="3"/>
      <c r="X600" s="3"/>
      <c r="Y600" s="3"/>
      <c r="Z600" s="3"/>
    </row>
    <row r="601" spans="1:26" ht="22.5" customHeight="1" x14ac:dyDescent="0.85">
      <c r="A601" s="377"/>
      <c r="B601" s="377"/>
      <c r="C601" s="377"/>
      <c r="D601" s="377"/>
      <c r="E601" s="377"/>
      <c r="F601" s="377"/>
      <c r="G601" s="377"/>
      <c r="H601" s="377"/>
      <c r="I601" s="377"/>
      <c r="J601" s="377"/>
      <c r="K601" s="377"/>
      <c r="L601" s="377"/>
      <c r="M601" s="377"/>
      <c r="N601" s="377"/>
      <c r="O601" s="377"/>
      <c r="P601" s="377"/>
      <c r="Q601" s="377"/>
      <c r="R601" s="377"/>
      <c r="S601" s="377"/>
      <c r="T601" s="3"/>
      <c r="U601" s="3"/>
      <c r="V601" s="3"/>
      <c r="W601" s="3"/>
      <c r="X601" s="3"/>
      <c r="Y601" s="3"/>
      <c r="Z601" s="3"/>
    </row>
    <row r="602" spans="1:26" ht="22.5" customHeight="1" x14ac:dyDescent="0.85">
      <c r="A602" s="377"/>
      <c r="B602" s="377"/>
      <c r="C602" s="377"/>
      <c r="D602" s="377"/>
      <c r="E602" s="377"/>
      <c r="F602" s="377"/>
      <c r="G602" s="377"/>
      <c r="H602" s="377"/>
      <c r="I602" s="377"/>
      <c r="J602" s="377"/>
      <c r="K602" s="377"/>
      <c r="L602" s="377"/>
      <c r="M602" s="377"/>
      <c r="N602" s="377"/>
      <c r="O602" s="377"/>
      <c r="P602" s="377"/>
      <c r="Q602" s="377"/>
      <c r="R602" s="377"/>
      <c r="S602" s="377"/>
      <c r="T602" s="3"/>
      <c r="U602" s="3"/>
      <c r="V602" s="3"/>
      <c r="W602" s="3"/>
      <c r="X602" s="3"/>
      <c r="Y602" s="3"/>
      <c r="Z602" s="3"/>
    </row>
    <row r="603" spans="1:26" ht="22.5" customHeight="1" x14ac:dyDescent="0.85">
      <c r="A603" s="377"/>
      <c r="B603" s="377"/>
      <c r="C603" s="377"/>
      <c r="D603" s="377"/>
      <c r="E603" s="377"/>
      <c r="F603" s="377"/>
      <c r="G603" s="377"/>
      <c r="H603" s="377"/>
      <c r="I603" s="377"/>
      <c r="J603" s="377"/>
      <c r="K603" s="377"/>
      <c r="L603" s="377"/>
      <c r="M603" s="377"/>
      <c r="N603" s="377"/>
      <c r="O603" s="377"/>
      <c r="P603" s="377"/>
      <c r="Q603" s="377"/>
      <c r="R603" s="377"/>
      <c r="S603" s="377"/>
      <c r="T603" s="3"/>
      <c r="U603" s="3"/>
      <c r="V603" s="3"/>
      <c r="W603" s="3"/>
      <c r="X603" s="3"/>
      <c r="Y603" s="3"/>
      <c r="Z603" s="3"/>
    </row>
    <row r="604" spans="1:26" ht="22.5" customHeight="1" x14ac:dyDescent="0.85">
      <c r="A604" s="377"/>
      <c r="B604" s="377"/>
      <c r="C604" s="377"/>
      <c r="D604" s="377"/>
      <c r="E604" s="377"/>
      <c r="F604" s="377"/>
      <c r="G604" s="377"/>
      <c r="H604" s="377"/>
      <c r="I604" s="377"/>
      <c r="J604" s="377"/>
      <c r="K604" s="377"/>
      <c r="L604" s="377"/>
      <c r="M604" s="377"/>
      <c r="N604" s="377"/>
      <c r="O604" s="377"/>
      <c r="P604" s="377"/>
      <c r="Q604" s="377"/>
      <c r="R604" s="377"/>
      <c r="S604" s="377"/>
      <c r="T604" s="3"/>
      <c r="U604" s="3"/>
      <c r="V604" s="3"/>
      <c r="W604" s="3"/>
      <c r="X604" s="3"/>
      <c r="Y604" s="3"/>
      <c r="Z604" s="3"/>
    </row>
    <row r="605" spans="1:26" ht="22.5" customHeight="1" x14ac:dyDescent="0.85">
      <c r="A605" s="377"/>
      <c r="B605" s="377"/>
      <c r="C605" s="377"/>
      <c r="D605" s="377"/>
      <c r="E605" s="377"/>
      <c r="F605" s="377"/>
      <c r="G605" s="377"/>
      <c r="H605" s="377"/>
      <c r="I605" s="377"/>
      <c r="J605" s="377"/>
      <c r="K605" s="377"/>
      <c r="L605" s="377"/>
      <c r="M605" s="377"/>
      <c r="N605" s="377"/>
      <c r="O605" s="377"/>
      <c r="P605" s="377"/>
      <c r="Q605" s="377"/>
      <c r="R605" s="377"/>
      <c r="S605" s="377"/>
      <c r="T605" s="3"/>
      <c r="U605" s="3"/>
      <c r="V605" s="3"/>
      <c r="W605" s="3"/>
      <c r="X605" s="3"/>
      <c r="Y605" s="3"/>
      <c r="Z605" s="3"/>
    </row>
    <row r="606" spans="1:26" ht="22.5" customHeight="1" x14ac:dyDescent="0.85">
      <c r="A606" s="377"/>
      <c r="B606" s="377"/>
      <c r="C606" s="377"/>
      <c r="D606" s="377"/>
      <c r="E606" s="377"/>
      <c r="F606" s="377"/>
      <c r="G606" s="377"/>
      <c r="H606" s="377"/>
      <c r="I606" s="377"/>
      <c r="J606" s="377"/>
      <c r="K606" s="377"/>
      <c r="L606" s="377"/>
      <c r="M606" s="377"/>
      <c r="N606" s="377"/>
      <c r="O606" s="377"/>
      <c r="P606" s="377"/>
      <c r="Q606" s="377"/>
      <c r="R606" s="377"/>
      <c r="S606" s="377"/>
      <c r="T606" s="3"/>
      <c r="U606" s="3"/>
      <c r="V606" s="3"/>
      <c r="W606" s="3"/>
      <c r="X606" s="3"/>
      <c r="Y606" s="3"/>
      <c r="Z606" s="3"/>
    </row>
    <row r="607" spans="1:26" ht="22.5" customHeight="1" x14ac:dyDescent="0.85">
      <c r="A607" s="377"/>
      <c r="B607" s="377"/>
      <c r="C607" s="377"/>
      <c r="D607" s="377"/>
      <c r="E607" s="377"/>
      <c r="F607" s="377"/>
      <c r="G607" s="377"/>
      <c r="H607" s="377"/>
      <c r="I607" s="377"/>
      <c r="J607" s="377"/>
      <c r="K607" s="377"/>
      <c r="L607" s="377"/>
      <c r="M607" s="377"/>
      <c r="N607" s="377"/>
      <c r="O607" s="377"/>
      <c r="P607" s="377"/>
      <c r="Q607" s="377"/>
      <c r="R607" s="377"/>
      <c r="S607" s="377"/>
      <c r="T607" s="3"/>
      <c r="U607" s="3"/>
      <c r="V607" s="3"/>
      <c r="W607" s="3"/>
      <c r="X607" s="3"/>
      <c r="Y607" s="3"/>
      <c r="Z607" s="3"/>
    </row>
    <row r="608" spans="1:26" ht="22.5" customHeight="1" x14ac:dyDescent="0.85">
      <c r="A608" s="377"/>
      <c r="B608" s="377"/>
      <c r="C608" s="377"/>
      <c r="D608" s="377"/>
      <c r="E608" s="377"/>
      <c r="F608" s="377"/>
      <c r="G608" s="377"/>
      <c r="H608" s="377"/>
      <c r="I608" s="377"/>
      <c r="J608" s="377"/>
      <c r="K608" s="377"/>
      <c r="L608" s="377"/>
      <c r="M608" s="377"/>
      <c r="N608" s="377"/>
      <c r="O608" s="377"/>
      <c r="P608" s="377"/>
      <c r="Q608" s="377"/>
      <c r="R608" s="377"/>
      <c r="S608" s="377"/>
      <c r="T608" s="3"/>
      <c r="U608" s="3"/>
      <c r="V608" s="3"/>
      <c r="W608" s="3"/>
      <c r="X608" s="3"/>
      <c r="Y608" s="3"/>
      <c r="Z608" s="3"/>
    </row>
    <row r="609" spans="1:26" ht="22.5" customHeight="1" x14ac:dyDescent="0.85">
      <c r="A609" s="377"/>
      <c r="B609" s="377"/>
      <c r="C609" s="377"/>
      <c r="D609" s="377"/>
      <c r="E609" s="377"/>
      <c r="F609" s="377"/>
      <c r="G609" s="377"/>
      <c r="H609" s="377"/>
      <c r="I609" s="377"/>
      <c r="J609" s="377"/>
      <c r="K609" s="377"/>
      <c r="L609" s="377"/>
      <c r="M609" s="377"/>
      <c r="N609" s="377"/>
      <c r="O609" s="377"/>
      <c r="P609" s="377"/>
      <c r="Q609" s="377"/>
      <c r="R609" s="377"/>
      <c r="S609" s="377"/>
      <c r="T609" s="3"/>
      <c r="U609" s="3"/>
      <c r="V609" s="3"/>
      <c r="W609" s="3"/>
      <c r="X609" s="3"/>
      <c r="Y609" s="3"/>
      <c r="Z609" s="3"/>
    </row>
    <row r="610" spans="1:26" ht="22.5" customHeight="1" x14ac:dyDescent="0.85">
      <c r="A610" s="377"/>
      <c r="B610" s="377"/>
      <c r="C610" s="377"/>
      <c r="D610" s="377"/>
      <c r="E610" s="377"/>
      <c r="F610" s="377"/>
      <c r="G610" s="377"/>
      <c r="H610" s="377"/>
      <c r="I610" s="377"/>
      <c r="J610" s="377"/>
      <c r="K610" s="377"/>
      <c r="L610" s="377"/>
      <c r="M610" s="377"/>
      <c r="N610" s="377"/>
      <c r="O610" s="377"/>
      <c r="P610" s="377"/>
      <c r="Q610" s="377"/>
      <c r="R610" s="377"/>
      <c r="S610" s="377"/>
      <c r="T610" s="3"/>
      <c r="U610" s="3"/>
      <c r="V610" s="3"/>
      <c r="W610" s="3"/>
      <c r="X610" s="3"/>
      <c r="Y610" s="3"/>
      <c r="Z610" s="3"/>
    </row>
    <row r="611" spans="1:26" ht="22.5" customHeight="1" x14ac:dyDescent="0.85">
      <c r="A611" s="377"/>
      <c r="B611" s="377"/>
      <c r="C611" s="377"/>
      <c r="D611" s="377"/>
      <c r="E611" s="377"/>
      <c r="F611" s="377"/>
      <c r="G611" s="377"/>
      <c r="H611" s="377"/>
      <c r="I611" s="377"/>
      <c r="J611" s="377"/>
      <c r="K611" s="377"/>
      <c r="L611" s="377"/>
      <c r="M611" s="377"/>
      <c r="N611" s="377"/>
      <c r="O611" s="377"/>
      <c r="P611" s="377"/>
      <c r="Q611" s="377"/>
      <c r="R611" s="377"/>
      <c r="S611" s="377"/>
      <c r="T611" s="3"/>
      <c r="U611" s="3"/>
      <c r="V611" s="3"/>
      <c r="W611" s="3"/>
      <c r="X611" s="3"/>
      <c r="Y611" s="3"/>
      <c r="Z611" s="3"/>
    </row>
    <row r="612" spans="1:26" ht="22.5" customHeight="1" x14ac:dyDescent="0.85">
      <c r="A612" s="377"/>
      <c r="B612" s="377"/>
      <c r="C612" s="377"/>
      <c r="D612" s="377"/>
      <c r="E612" s="377"/>
      <c r="F612" s="377"/>
      <c r="G612" s="377"/>
      <c r="H612" s="377"/>
      <c r="I612" s="377"/>
      <c r="J612" s="377"/>
      <c r="K612" s="377"/>
      <c r="L612" s="377"/>
      <c r="M612" s="377"/>
      <c r="N612" s="377"/>
      <c r="O612" s="377"/>
      <c r="P612" s="377"/>
      <c r="Q612" s="377"/>
      <c r="R612" s="377"/>
      <c r="S612" s="377"/>
      <c r="T612" s="3"/>
      <c r="U612" s="3"/>
      <c r="V612" s="3"/>
      <c r="W612" s="3"/>
      <c r="X612" s="3"/>
      <c r="Y612" s="3"/>
      <c r="Z612" s="3"/>
    </row>
    <row r="613" spans="1:26" ht="22.5" customHeight="1" x14ac:dyDescent="0.85">
      <c r="A613" s="377"/>
      <c r="B613" s="377"/>
      <c r="C613" s="377"/>
      <c r="D613" s="377"/>
      <c r="E613" s="377"/>
      <c r="F613" s="377"/>
      <c r="G613" s="377"/>
      <c r="H613" s="377"/>
      <c r="I613" s="377"/>
      <c r="J613" s="377"/>
      <c r="K613" s="377"/>
      <c r="L613" s="377"/>
      <c r="M613" s="377"/>
      <c r="N613" s="377"/>
      <c r="O613" s="377"/>
      <c r="P613" s="377"/>
      <c r="Q613" s="377"/>
      <c r="R613" s="377"/>
      <c r="S613" s="377"/>
      <c r="T613" s="3"/>
      <c r="U613" s="3"/>
      <c r="V613" s="3"/>
      <c r="W613" s="3"/>
      <c r="X613" s="3"/>
      <c r="Y613" s="3"/>
      <c r="Z613" s="3"/>
    </row>
    <row r="614" spans="1:26" ht="22.5" customHeight="1" x14ac:dyDescent="0.85">
      <c r="A614" s="377"/>
      <c r="B614" s="377"/>
      <c r="C614" s="377"/>
      <c r="D614" s="377"/>
      <c r="E614" s="377"/>
      <c r="F614" s="377"/>
      <c r="G614" s="377"/>
      <c r="H614" s="377"/>
      <c r="I614" s="377"/>
      <c r="J614" s="377"/>
      <c r="K614" s="377"/>
      <c r="L614" s="377"/>
      <c r="M614" s="377"/>
      <c r="N614" s="377"/>
      <c r="O614" s="377"/>
      <c r="P614" s="377"/>
      <c r="Q614" s="377"/>
      <c r="R614" s="377"/>
      <c r="S614" s="377"/>
      <c r="T614" s="3"/>
      <c r="U614" s="3"/>
      <c r="V614" s="3"/>
      <c r="W614" s="3"/>
      <c r="X614" s="3"/>
      <c r="Y614" s="3"/>
      <c r="Z614" s="3"/>
    </row>
    <row r="615" spans="1:26" ht="22.5" customHeight="1" x14ac:dyDescent="0.85">
      <c r="A615" s="377"/>
      <c r="B615" s="377"/>
      <c r="C615" s="377"/>
      <c r="D615" s="377"/>
      <c r="E615" s="377"/>
      <c r="F615" s="377"/>
      <c r="G615" s="377"/>
      <c r="H615" s="377"/>
      <c r="I615" s="377"/>
      <c r="J615" s="377"/>
      <c r="K615" s="377"/>
      <c r="L615" s="377"/>
      <c r="M615" s="377"/>
      <c r="N615" s="377"/>
      <c r="O615" s="377"/>
      <c r="P615" s="377"/>
      <c r="Q615" s="377"/>
      <c r="R615" s="377"/>
      <c r="S615" s="377"/>
      <c r="T615" s="3"/>
      <c r="U615" s="3"/>
      <c r="V615" s="3"/>
      <c r="W615" s="3"/>
      <c r="X615" s="3"/>
      <c r="Y615" s="3"/>
      <c r="Z615" s="3"/>
    </row>
    <row r="616" spans="1:26" ht="22.5" customHeight="1" x14ac:dyDescent="0.85">
      <c r="A616" s="377"/>
      <c r="B616" s="377"/>
      <c r="C616" s="377"/>
      <c r="D616" s="377"/>
      <c r="E616" s="377"/>
      <c r="F616" s="377"/>
      <c r="G616" s="377"/>
      <c r="H616" s="377"/>
      <c r="I616" s="377"/>
      <c r="J616" s="377"/>
      <c r="K616" s="377"/>
      <c r="L616" s="377"/>
      <c r="M616" s="377"/>
      <c r="N616" s="377"/>
      <c r="O616" s="377"/>
      <c r="P616" s="377"/>
      <c r="Q616" s="377"/>
      <c r="R616" s="377"/>
      <c r="S616" s="377"/>
      <c r="T616" s="3"/>
      <c r="U616" s="3"/>
      <c r="V616" s="3"/>
      <c r="W616" s="3"/>
      <c r="X616" s="3"/>
      <c r="Y616" s="3"/>
      <c r="Z616" s="3"/>
    </row>
    <row r="617" spans="1:26" ht="22.5" customHeight="1" x14ac:dyDescent="0.85">
      <c r="A617" s="377"/>
      <c r="B617" s="377"/>
      <c r="C617" s="377"/>
      <c r="D617" s="377"/>
      <c r="E617" s="377"/>
      <c r="F617" s="377"/>
      <c r="G617" s="377"/>
      <c r="H617" s="377"/>
      <c r="I617" s="377"/>
      <c r="J617" s="377"/>
      <c r="K617" s="377"/>
      <c r="L617" s="377"/>
      <c r="M617" s="377"/>
      <c r="N617" s="377"/>
      <c r="O617" s="377"/>
      <c r="P617" s="377"/>
      <c r="Q617" s="377"/>
      <c r="R617" s="377"/>
      <c r="S617" s="377"/>
      <c r="T617" s="3"/>
      <c r="U617" s="3"/>
      <c r="V617" s="3"/>
      <c r="W617" s="3"/>
      <c r="X617" s="3"/>
      <c r="Y617" s="3"/>
      <c r="Z617" s="3"/>
    </row>
    <row r="618" spans="1:26" ht="22.5" customHeight="1" x14ac:dyDescent="0.85">
      <c r="A618" s="377"/>
      <c r="B618" s="377"/>
      <c r="C618" s="377"/>
      <c r="D618" s="377"/>
      <c r="E618" s="377"/>
      <c r="F618" s="377"/>
      <c r="G618" s="377"/>
      <c r="H618" s="377"/>
      <c r="I618" s="377"/>
      <c r="J618" s="377"/>
      <c r="K618" s="377"/>
      <c r="L618" s="377"/>
      <c r="M618" s="377"/>
      <c r="N618" s="377"/>
      <c r="O618" s="377"/>
      <c r="P618" s="377"/>
      <c r="Q618" s="377"/>
      <c r="R618" s="377"/>
      <c r="S618" s="377"/>
      <c r="T618" s="3"/>
      <c r="U618" s="3"/>
      <c r="V618" s="3"/>
      <c r="W618" s="3"/>
      <c r="X618" s="3"/>
      <c r="Y618" s="3"/>
      <c r="Z618" s="3"/>
    </row>
    <row r="619" spans="1:26" ht="22.5" customHeight="1" x14ac:dyDescent="0.85">
      <c r="A619" s="377"/>
      <c r="B619" s="377"/>
      <c r="C619" s="377"/>
      <c r="D619" s="377"/>
      <c r="E619" s="377"/>
      <c r="F619" s="377"/>
      <c r="G619" s="377"/>
      <c r="H619" s="377"/>
      <c r="I619" s="377"/>
      <c r="J619" s="377"/>
      <c r="K619" s="377"/>
      <c r="L619" s="377"/>
      <c r="M619" s="377"/>
      <c r="N619" s="377"/>
      <c r="O619" s="377"/>
      <c r="P619" s="377"/>
      <c r="Q619" s="377"/>
      <c r="R619" s="377"/>
      <c r="S619" s="377"/>
      <c r="T619" s="3"/>
      <c r="U619" s="3"/>
      <c r="V619" s="3"/>
      <c r="W619" s="3"/>
      <c r="X619" s="3"/>
      <c r="Y619" s="3"/>
      <c r="Z619" s="3"/>
    </row>
    <row r="620" spans="1:26" ht="22.5" customHeight="1" x14ac:dyDescent="0.85">
      <c r="A620" s="377"/>
      <c r="B620" s="377"/>
      <c r="C620" s="377"/>
      <c r="D620" s="377"/>
      <c r="E620" s="377"/>
      <c r="F620" s="377"/>
      <c r="G620" s="377"/>
      <c r="H620" s="377"/>
      <c r="I620" s="377"/>
      <c r="J620" s="377"/>
      <c r="K620" s="377"/>
      <c r="L620" s="377"/>
      <c r="M620" s="377"/>
      <c r="N620" s="377"/>
      <c r="O620" s="377"/>
      <c r="P620" s="377"/>
      <c r="Q620" s="377"/>
      <c r="R620" s="377"/>
      <c r="S620" s="377"/>
      <c r="T620" s="3"/>
      <c r="U620" s="3"/>
      <c r="V620" s="3"/>
      <c r="W620" s="3"/>
      <c r="X620" s="3"/>
      <c r="Y620" s="3"/>
      <c r="Z620" s="3"/>
    </row>
    <row r="621" spans="1:26" ht="22.5" customHeight="1" x14ac:dyDescent="0.85">
      <c r="A621" s="377"/>
      <c r="B621" s="377"/>
      <c r="C621" s="377"/>
      <c r="D621" s="377"/>
      <c r="E621" s="377"/>
      <c r="F621" s="377"/>
      <c r="G621" s="377"/>
      <c r="H621" s="377"/>
      <c r="I621" s="377"/>
      <c r="J621" s="377"/>
      <c r="K621" s="377"/>
      <c r="L621" s="377"/>
      <c r="M621" s="377"/>
      <c r="N621" s="377"/>
      <c r="O621" s="377"/>
      <c r="P621" s="377"/>
      <c r="Q621" s="377"/>
      <c r="R621" s="377"/>
      <c r="S621" s="377"/>
      <c r="T621" s="3"/>
      <c r="U621" s="3"/>
      <c r="V621" s="3"/>
      <c r="W621" s="3"/>
      <c r="X621" s="3"/>
      <c r="Y621" s="3"/>
      <c r="Z621" s="3"/>
    </row>
    <row r="622" spans="1:26" ht="22.5" customHeight="1" x14ac:dyDescent="0.85">
      <c r="A622" s="377"/>
      <c r="B622" s="377"/>
      <c r="C622" s="377"/>
      <c r="D622" s="377"/>
      <c r="E622" s="377"/>
      <c r="F622" s="377"/>
      <c r="G622" s="377"/>
      <c r="H622" s="377"/>
      <c r="I622" s="377"/>
      <c r="J622" s="377"/>
      <c r="K622" s="377"/>
      <c r="L622" s="377"/>
      <c r="M622" s="377"/>
      <c r="N622" s="377"/>
      <c r="O622" s="377"/>
      <c r="P622" s="377"/>
      <c r="Q622" s="377"/>
      <c r="R622" s="377"/>
      <c r="S622" s="377"/>
      <c r="T622" s="3"/>
      <c r="U622" s="3"/>
      <c r="V622" s="3"/>
      <c r="W622" s="3"/>
      <c r="X622" s="3"/>
      <c r="Y622" s="3"/>
      <c r="Z622" s="3"/>
    </row>
    <row r="623" spans="1:26" ht="22.5" customHeight="1" x14ac:dyDescent="0.85">
      <c r="A623" s="377"/>
      <c r="B623" s="377"/>
      <c r="C623" s="377"/>
      <c r="D623" s="377"/>
      <c r="E623" s="377"/>
      <c r="F623" s="377"/>
      <c r="G623" s="377"/>
      <c r="H623" s="377"/>
      <c r="I623" s="377"/>
      <c r="J623" s="377"/>
      <c r="K623" s="377"/>
      <c r="L623" s="377"/>
      <c r="M623" s="377"/>
      <c r="N623" s="377"/>
      <c r="O623" s="377"/>
      <c r="P623" s="377"/>
      <c r="Q623" s="377"/>
      <c r="R623" s="377"/>
      <c r="S623" s="377"/>
      <c r="T623" s="3"/>
      <c r="U623" s="3"/>
      <c r="V623" s="3"/>
      <c r="W623" s="3"/>
      <c r="X623" s="3"/>
      <c r="Y623" s="3"/>
      <c r="Z623" s="3"/>
    </row>
    <row r="624" spans="1:26" ht="22.5" customHeight="1" x14ac:dyDescent="0.85">
      <c r="A624" s="377"/>
      <c r="B624" s="377"/>
      <c r="C624" s="377"/>
      <c r="D624" s="377"/>
      <c r="E624" s="377"/>
      <c r="F624" s="377"/>
      <c r="G624" s="377"/>
      <c r="H624" s="377"/>
      <c r="I624" s="377"/>
      <c r="J624" s="377"/>
      <c r="K624" s="377"/>
      <c r="L624" s="377"/>
      <c r="M624" s="377"/>
      <c r="N624" s="377"/>
      <c r="O624" s="377"/>
      <c r="P624" s="377"/>
      <c r="Q624" s="377"/>
      <c r="R624" s="377"/>
      <c r="S624" s="377"/>
      <c r="T624" s="3"/>
      <c r="U624" s="3"/>
      <c r="V624" s="3"/>
      <c r="W624" s="3"/>
      <c r="X624" s="3"/>
      <c r="Y624" s="3"/>
      <c r="Z624" s="3"/>
    </row>
    <row r="625" spans="1:26" ht="22.5" customHeight="1" x14ac:dyDescent="0.85">
      <c r="A625" s="377"/>
      <c r="B625" s="377"/>
      <c r="C625" s="377"/>
      <c r="D625" s="377"/>
      <c r="E625" s="377"/>
      <c r="F625" s="377"/>
      <c r="G625" s="377"/>
      <c r="H625" s="377"/>
      <c r="I625" s="377"/>
      <c r="J625" s="377"/>
      <c r="K625" s="377"/>
      <c r="L625" s="377"/>
      <c r="M625" s="377"/>
      <c r="N625" s="377"/>
      <c r="O625" s="377"/>
      <c r="P625" s="377"/>
      <c r="Q625" s="377"/>
      <c r="R625" s="377"/>
      <c r="S625" s="377"/>
      <c r="T625" s="3"/>
      <c r="U625" s="3"/>
      <c r="V625" s="3"/>
      <c r="W625" s="3"/>
      <c r="X625" s="3"/>
      <c r="Y625" s="3"/>
      <c r="Z625" s="3"/>
    </row>
    <row r="626" spans="1:26" ht="22.5" customHeight="1" x14ac:dyDescent="0.85">
      <c r="A626" s="377"/>
      <c r="B626" s="377"/>
      <c r="C626" s="377"/>
      <c r="D626" s="377"/>
      <c r="E626" s="377"/>
      <c r="F626" s="377"/>
      <c r="G626" s="377"/>
      <c r="H626" s="377"/>
      <c r="I626" s="377"/>
      <c r="J626" s="377"/>
      <c r="K626" s="377"/>
      <c r="L626" s="377"/>
      <c r="M626" s="377"/>
      <c r="N626" s="377"/>
      <c r="O626" s="377"/>
      <c r="P626" s="377"/>
      <c r="Q626" s="377"/>
      <c r="R626" s="377"/>
      <c r="S626" s="377"/>
      <c r="T626" s="3"/>
      <c r="U626" s="3"/>
      <c r="V626" s="3"/>
      <c r="W626" s="3"/>
      <c r="X626" s="3"/>
      <c r="Y626" s="3"/>
      <c r="Z626" s="3"/>
    </row>
    <row r="627" spans="1:26" ht="22.5" customHeight="1" x14ac:dyDescent="0.85">
      <c r="A627" s="377"/>
      <c r="B627" s="377"/>
      <c r="C627" s="377"/>
      <c r="D627" s="377"/>
      <c r="E627" s="377"/>
      <c r="F627" s="377"/>
      <c r="G627" s="377"/>
      <c r="H627" s="377"/>
      <c r="I627" s="377"/>
      <c r="J627" s="377"/>
      <c r="K627" s="377"/>
      <c r="L627" s="377"/>
      <c r="M627" s="377"/>
      <c r="N627" s="377"/>
      <c r="O627" s="377"/>
      <c r="P627" s="377"/>
      <c r="Q627" s="377"/>
      <c r="R627" s="377"/>
      <c r="S627" s="377"/>
      <c r="T627" s="3"/>
      <c r="U627" s="3"/>
      <c r="V627" s="3"/>
      <c r="W627" s="3"/>
      <c r="X627" s="3"/>
      <c r="Y627" s="3"/>
      <c r="Z627" s="3"/>
    </row>
    <row r="628" spans="1:26" ht="22.5" customHeight="1" x14ac:dyDescent="0.85">
      <c r="A628" s="377"/>
      <c r="B628" s="377"/>
      <c r="C628" s="377"/>
      <c r="D628" s="377"/>
      <c r="E628" s="377"/>
      <c r="F628" s="377"/>
      <c r="G628" s="377"/>
      <c r="H628" s="377"/>
      <c r="I628" s="377"/>
      <c r="J628" s="377"/>
      <c r="K628" s="377"/>
      <c r="L628" s="377"/>
      <c r="M628" s="377"/>
      <c r="N628" s="377"/>
      <c r="O628" s="377"/>
      <c r="P628" s="377"/>
      <c r="Q628" s="377"/>
      <c r="R628" s="377"/>
      <c r="S628" s="377"/>
      <c r="T628" s="3"/>
      <c r="U628" s="3"/>
      <c r="V628" s="3"/>
      <c r="W628" s="3"/>
      <c r="X628" s="3"/>
      <c r="Y628" s="3"/>
      <c r="Z628" s="3"/>
    </row>
    <row r="629" spans="1:26" ht="22.5" customHeight="1" x14ac:dyDescent="0.85">
      <c r="A629" s="377"/>
      <c r="B629" s="377"/>
      <c r="C629" s="377"/>
      <c r="D629" s="377"/>
      <c r="E629" s="377"/>
      <c r="F629" s="377"/>
      <c r="G629" s="377"/>
      <c r="H629" s="377"/>
      <c r="I629" s="377"/>
      <c r="J629" s="377"/>
      <c r="K629" s="377"/>
      <c r="L629" s="377"/>
      <c r="M629" s="377"/>
      <c r="N629" s="377"/>
      <c r="O629" s="377"/>
      <c r="P629" s="377"/>
      <c r="Q629" s="377"/>
      <c r="R629" s="377"/>
      <c r="S629" s="377"/>
      <c r="T629" s="3"/>
      <c r="U629" s="3"/>
      <c r="V629" s="3"/>
      <c r="W629" s="3"/>
      <c r="X629" s="3"/>
      <c r="Y629" s="3"/>
      <c r="Z629" s="3"/>
    </row>
    <row r="630" spans="1:26" ht="22.5" customHeight="1" x14ac:dyDescent="0.85">
      <c r="A630" s="377"/>
      <c r="B630" s="377"/>
      <c r="C630" s="377"/>
      <c r="D630" s="377"/>
      <c r="E630" s="377"/>
      <c r="F630" s="377"/>
      <c r="G630" s="377"/>
      <c r="H630" s="377"/>
      <c r="I630" s="377"/>
      <c r="J630" s="377"/>
      <c r="K630" s="377"/>
      <c r="L630" s="377"/>
      <c r="M630" s="377"/>
      <c r="N630" s="377"/>
      <c r="O630" s="377"/>
      <c r="P630" s="377"/>
      <c r="Q630" s="377"/>
      <c r="R630" s="377"/>
      <c r="S630" s="377"/>
      <c r="T630" s="3"/>
      <c r="U630" s="3"/>
      <c r="V630" s="3"/>
      <c r="W630" s="3"/>
      <c r="X630" s="3"/>
      <c r="Y630" s="3"/>
      <c r="Z630" s="3"/>
    </row>
    <row r="631" spans="1:26" ht="22.5" customHeight="1" x14ac:dyDescent="0.85">
      <c r="A631" s="377"/>
      <c r="B631" s="377"/>
      <c r="C631" s="377"/>
      <c r="D631" s="377"/>
      <c r="E631" s="377"/>
      <c r="F631" s="377"/>
      <c r="G631" s="377"/>
      <c r="H631" s="377"/>
      <c r="I631" s="377"/>
      <c r="J631" s="377"/>
      <c r="K631" s="377"/>
      <c r="L631" s="377"/>
      <c r="M631" s="377"/>
      <c r="N631" s="377"/>
      <c r="O631" s="377"/>
      <c r="P631" s="377"/>
      <c r="Q631" s="377"/>
      <c r="R631" s="377"/>
      <c r="S631" s="377"/>
      <c r="T631" s="3"/>
      <c r="U631" s="3"/>
      <c r="V631" s="3"/>
      <c r="W631" s="3"/>
      <c r="X631" s="3"/>
      <c r="Y631" s="3"/>
      <c r="Z631" s="3"/>
    </row>
    <row r="632" spans="1:26" ht="22.5" customHeight="1" x14ac:dyDescent="0.85">
      <c r="A632" s="377"/>
      <c r="B632" s="377"/>
      <c r="C632" s="377"/>
      <c r="D632" s="377"/>
      <c r="E632" s="377"/>
      <c r="F632" s="377"/>
      <c r="G632" s="377"/>
      <c r="H632" s="377"/>
      <c r="I632" s="377"/>
      <c r="J632" s="377"/>
      <c r="K632" s="377"/>
      <c r="L632" s="377"/>
      <c r="M632" s="377"/>
      <c r="N632" s="377"/>
      <c r="O632" s="377"/>
      <c r="P632" s="377"/>
      <c r="Q632" s="377"/>
      <c r="R632" s="377"/>
      <c r="S632" s="377"/>
      <c r="T632" s="3"/>
      <c r="U632" s="3"/>
      <c r="V632" s="3"/>
      <c r="W632" s="3"/>
      <c r="X632" s="3"/>
      <c r="Y632" s="3"/>
      <c r="Z632" s="3"/>
    </row>
    <row r="633" spans="1:26" ht="22.5" customHeight="1" x14ac:dyDescent="0.85">
      <c r="A633" s="377"/>
      <c r="B633" s="377"/>
      <c r="C633" s="377"/>
      <c r="D633" s="377"/>
      <c r="E633" s="377"/>
      <c r="F633" s="377"/>
      <c r="G633" s="377"/>
      <c r="H633" s="377"/>
      <c r="I633" s="377"/>
      <c r="J633" s="377"/>
      <c r="K633" s="377"/>
      <c r="L633" s="377"/>
      <c r="M633" s="377"/>
      <c r="N633" s="377"/>
      <c r="O633" s="377"/>
      <c r="P633" s="377"/>
      <c r="Q633" s="377"/>
      <c r="R633" s="377"/>
      <c r="S633" s="377"/>
      <c r="T633" s="3"/>
      <c r="U633" s="3"/>
      <c r="V633" s="3"/>
      <c r="W633" s="3"/>
      <c r="X633" s="3"/>
      <c r="Y633" s="3"/>
      <c r="Z633" s="3"/>
    </row>
    <row r="634" spans="1:26" ht="22.5" customHeight="1" x14ac:dyDescent="0.85">
      <c r="A634" s="377"/>
      <c r="B634" s="377"/>
      <c r="C634" s="377"/>
      <c r="D634" s="377"/>
      <c r="E634" s="377"/>
      <c r="F634" s="377"/>
      <c r="G634" s="377"/>
      <c r="H634" s="377"/>
      <c r="I634" s="377"/>
      <c r="J634" s="377"/>
      <c r="K634" s="377"/>
      <c r="L634" s="377"/>
      <c r="M634" s="377"/>
      <c r="N634" s="377"/>
      <c r="O634" s="377"/>
      <c r="P634" s="377"/>
      <c r="Q634" s="377"/>
      <c r="R634" s="377"/>
      <c r="S634" s="377"/>
      <c r="T634" s="3"/>
      <c r="U634" s="3"/>
      <c r="V634" s="3"/>
      <c r="W634" s="3"/>
      <c r="X634" s="3"/>
      <c r="Y634" s="3"/>
      <c r="Z634" s="3"/>
    </row>
    <row r="635" spans="1:26" ht="22.5" customHeight="1" x14ac:dyDescent="0.85">
      <c r="A635" s="377"/>
      <c r="B635" s="377"/>
      <c r="C635" s="377"/>
      <c r="D635" s="377"/>
      <c r="E635" s="377"/>
      <c r="F635" s="377"/>
      <c r="G635" s="377"/>
      <c r="H635" s="377"/>
      <c r="I635" s="377"/>
      <c r="J635" s="377"/>
      <c r="K635" s="377"/>
      <c r="L635" s="377"/>
      <c r="M635" s="377"/>
      <c r="N635" s="377"/>
      <c r="O635" s="377"/>
      <c r="P635" s="377"/>
      <c r="Q635" s="377"/>
      <c r="R635" s="377"/>
      <c r="S635" s="377"/>
      <c r="T635" s="3"/>
      <c r="U635" s="3"/>
      <c r="V635" s="3"/>
      <c r="W635" s="3"/>
      <c r="X635" s="3"/>
      <c r="Y635" s="3"/>
      <c r="Z635" s="3"/>
    </row>
    <row r="636" spans="1:26" ht="22.5" customHeight="1" x14ac:dyDescent="0.85">
      <c r="A636" s="377"/>
      <c r="B636" s="377"/>
      <c r="C636" s="377"/>
      <c r="D636" s="377"/>
      <c r="E636" s="377"/>
      <c r="F636" s="377"/>
      <c r="G636" s="377"/>
      <c r="H636" s="377"/>
      <c r="I636" s="377"/>
      <c r="J636" s="377"/>
      <c r="K636" s="377"/>
      <c r="L636" s="377"/>
      <c r="M636" s="377"/>
      <c r="N636" s="377"/>
      <c r="O636" s="377"/>
      <c r="P636" s="377"/>
      <c r="Q636" s="377"/>
      <c r="R636" s="377"/>
      <c r="S636" s="377"/>
      <c r="T636" s="3"/>
      <c r="U636" s="3"/>
      <c r="V636" s="3"/>
      <c r="W636" s="3"/>
      <c r="X636" s="3"/>
      <c r="Y636" s="3"/>
      <c r="Z636" s="3"/>
    </row>
    <row r="637" spans="1:26" ht="22.5" customHeight="1" x14ac:dyDescent="0.85">
      <c r="A637" s="377"/>
      <c r="B637" s="377"/>
      <c r="C637" s="377"/>
      <c r="D637" s="377"/>
      <c r="E637" s="377"/>
      <c r="F637" s="377"/>
      <c r="G637" s="377"/>
      <c r="H637" s="377"/>
      <c r="I637" s="377"/>
      <c r="J637" s="377"/>
      <c r="K637" s="377"/>
      <c r="L637" s="377"/>
      <c r="M637" s="377"/>
      <c r="N637" s="377"/>
      <c r="O637" s="377"/>
      <c r="P637" s="377"/>
      <c r="Q637" s="377"/>
      <c r="R637" s="377"/>
      <c r="S637" s="377"/>
      <c r="T637" s="3"/>
      <c r="U637" s="3"/>
      <c r="V637" s="3"/>
      <c r="W637" s="3"/>
      <c r="X637" s="3"/>
      <c r="Y637" s="3"/>
      <c r="Z637" s="3"/>
    </row>
    <row r="638" spans="1:26" ht="22.5" customHeight="1" x14ac:dyDescent="0.85">
      <c r="A638" s="377"/>
      <c r="B638" s="377"/>
      <c r="C638" s="377"/>
      <c r="D638" s="377"/>
      <c r="E638" s="377"/>
      <c r="F638" s="377"/>
      <c r="G638" s="377"/>
      <c r="H638" s="377"/>
      <c r="I638" s="377"/>
      <c r="J638" s="377"/>
      <c r="K638" s="377"/>
      <c r="L638" s="377"/>
      <c r="M638" s="377"/>
      <c r="N638" s="377"/>
      <c r="O638" s="377"/>
      <c r="P638" s="377"/>
      <c r="Q638" s="377"/>
      <c r="R638" s="377"/>
      <c r="S638" s="377"/>
      <c r="T638" s="3"/>
      <c r="U638" s="3"/>
      <c r="V638" s="3"/>
      <c r="W638" s="3"/>
      <c r="X638" s="3"/>
      <c r="Y638" s="3"/>
      <c r="Z638" s="3"/>
    </row>
    <row r="639" spans="1:26" ht="22.5" customHeight="1" x14ac:dyDescent="0.85">
      <c r="A639" s="377"/>
      <c r="B639" s="377"/>
      <c r="C639" s="377"/>
      <c r="D639" s="377"/>
      <c r="E639" s="377"/>
      <c r="F639" s="377"/>
      <c r="G639" s="377"/>
      <c r="H639" s="377"/>
      <c r="I639" s="377"/>
      <c r="J639" s="377"/>
      <c r="K639" s="377"/>
      <c r="L639" s="377"/>
      <c r="M639" s="377"/>
      <c r="N639" s="377"/>
      <c r="O639" s="377"/>
      <c r="P639" s="377"/>
      <c r="Q639" s="377"/>
      <c r="R639" s="377"/>
      <c r="S639" s="377"/>
      <c r="T639" s="3"/>
      <c r="U639" s="3"/>
      <c r="V639" s="3"/>
      <c r="W639" s="3"/>
      <c r="X639" s="3"/>
      <c r="Y639" s="3"/>
      <c r="Z639" s="3"/>
    </row>
    <row r="640" spans="1:26" ht="22.5" customHeight="1" x14ac:dyDescent="0.85">
      <c r="A640" s="377"/>
      <c r="B640" s="377"/>
      <c r="C640" s="377"/>
      <c r="D640" s="377"/>
      <c r="E640" s="377"/>
      <c r="F640" s="377"/>
      <c r="G640" s="377"/>
      <c r="H640" s="377"/>
      <c r="I640" s="377"/>
      <c r="J640" s="377"/>
      <c r="K640" s="377"/>
      <c r="L640" s="377"/>
      <c r="M640" s="377"/>
      <c r="N640" s="377"/>
      <c r="O640" s="377"/>
      <c r="P640" s="377"/>
      <c r="Q640" s="377"/>
      <c r="R640" s="377"/>
      <c r="S640" s="377"/>
      <c r="T640" s="3"/>
      <c r="U640" s="3"/>
      <c r="V640" s="3"/>
      <c r="W640" s="3"/>
      <c r="X640" s="3"/>
      <c r="Y640" s="3"/>
      <c r="Z640" s="3"/>
    </row>
    <row r="641" spans="1:26" ht="22.5" customHeight="1" x14ac:dyDescent="0.85">
      <c r="A641" s="377"/>
      <c r="B641" s="377"/>
      <c r="C641" s="377"/>
      <c r="D641" s="377"/>
      <c r="E641" s="377"/>
      <c r="F641" s="377"/>
      <c r="G641" s="377"/>
      <c r="H641" s="377"/>
      <c r="I641" s="377"/>
      <c r="J641" s="377"/>
      <c r="K641" s="377"/>
      <c r="L641" s="377"/>
      <c r="M641" s="377"/>
      <c r="N641" s="377"/>
      <c r="O641" s="377"/>
      <c r="P641" s="377"/>
      <c r="Q641" s="377"/>
      <c r="R641" s="377"/>
      <c r="S641" s="377"/>
      <c r="T641" s="3"/>
      <c r="U641" s="3"/>
      <c r="V641" s="3"/>
      <c r="W641" s="3"/>
      <c r="X641" s="3"/>
      <c r="Y641" s="3"/>
      <c r="Z641" s="3"/>
    </row>
    <row r="642" spans="1:26" ht="22.5" customHeight="1" x14ac:dyDescent="0.85">
      <c r="A642" s="377"/>
      <c r="B642" s="377"/>
      <c r="C642" s="377"/>
      <c r="D642" s="377"/>
      <c r="E642" s="377"/>
      <c r="F642" s="377"/>
      <c r="G642" s="377"/>
      <c r="H642" s="377"/>
      <c r="I642" s="377"/>
      <c r="J642" s="377"/>
      <c r="K642" s="377"/>
      <c r="L642" s="377"/>
      <c r="M642" s="377"/>
      <c r="N642" s="377"/>
      <c r="O642" s="377"/>
      <c r="P642" s="377"/>
      <c r="Q642" s="377"/>
      <c r="R642" s="377"/>
      <c r="S642" s="377"/>
      <c r="T642" s="3"/>
      <c r="U642" s="3"/>
      <c r="V642" s="3"/>
      <c r="W642" s="3"/>
      <c r="X642" s="3"/>
      <c r="Y642" s="3"/>
      <c r="Z642" s="3"/>
    </row>
    <row r="643" spans="1:26" ht="22.5" customHeight="1" x14ac:dyDescent="0.85">
      <c r="A643" s="377"/>
      <c r="B643" s="377"/>
      <c r="C643" s="377"/>
      <c r="D643" s="377"/>
      <c r="E643" s="377"/>
      <c r="F643" s="377"/>
      <c r="G643" s="377"/>
      <c r="H643" s="377"/>
      <c r="I643" s="377"/>
      <c r="J643" s="377"/>
      <c r="K643" s="377"/>
      <c r="L643" s="377"/>
      <c r="M643" s="377"/>
      <c r="N643" s="377"/>
      <c r="O643" s="377"/>
      <c r="P643" s="377"/>
      <c r="Q643" s="377"/>
      <c r="R643" s="377"/>
      <c r="S643" s="377"/>
      <c r="T643" s="3"/>
      <c r="U643" s="3"/>
      <c r="V643" s="3"/>
      <c r="W643" s="3"/>
      <c r="X643" s="3"/>
      <c r="Y643" s="3"/>
      <c r="Z643" s="3"/>
    </row>
    <row r="644" spans="1:26" ht="22.5" customHeight="1" x14ac:dyDescent="0.85">
      <c r="A644" s="377"/>
      <c r="B644" s="377"/>
      <c r="C644" s="377"/>
      <c r="D644" s="377"/>
      <c r="E644" s="377"/>
      <c r="F644" s="377"/>
      <c r="G644" s="377"/>
      <c r="H644" s="377"/>
      <c r="I644" s="377"/>
      <c r="J644" s="377"/>
      <c r="K644" s="377"/>
      <c r="L644" s="377"/>
      <c r="M644" s="377"/>
      <c r="N644" s="377"/>
      <c r="O644" s="377"/>
      <c r="P644" s="377"/>
      <c r="Q644" s="377"/>
      <c r="R644" s="377"/>
      <c r="S644" s="377"/>
      <c r="T644" s="3"/>
      <c r="U644" s="3"/>
      <c r="V644" s="3"/>
      <c r="W644" s="3"/>
      <c r="X644" s="3"/>
      <c r="Y644" s="3"/>
      <c r="Z644" s="3"/>
    </row>
    <row r="645" spans="1:26" ht="22.5" customHeight="1" x14ac:dyDescent="0.85">
      <c r="A645" s="377"/>
      <c r="B645" s="377"/>
      <c r="C645" s="377"/>
      <c r="D645" s="377"/>
      <c r="E645" s="377"/>
      <c r="F645" s="377"/>
      <c r="G645" s="377"/>
      <c r="H645" s="377"/>
      <c r="I645" s="377"/>
      <c r="J645" s="377"/>
      <c r="K645" s="377"/>
      <c r="L645" s="377"/>
      <c r="M645" s="377"/>
      <c r="N645" s="377"/>
      <c r="O645" s="377"/>
      <c r="P645" s="377"/>
      <c r="Q645" s="377"/>
      <c r="R645" s="377"/>
      <c r="S645" s="377"/>
      <c r="T645" s="3"/>
      <c r="U645" s="3"/>
      <c r="V645" s="3"/>
      <c r="W645" s="3"/>
      <c r="X645" s="3"/>
      <c r="Y645" s="3"/>
      <c r="Z645" s="3"/>
    </row>
    <row r="646" spans="1:26" ht="22.5" customHeight="1" x14ac:dyDescent="0.85">
      <c r="A646" s="377"/>
      <c r="B646" s="377"/>
      <c r="C646" s="377"/>
      <c r="D646" s="377"/>
      <c r="E646" s="377"/>
      <c r="F646" s="377"/>
      <c r="G646" s="377"/>
      <c r="H646" s="377"/>
      <c r="I646" s="377"/>
      <c r="J646" s="377"/>
      <c r="K646" s="377"/>
      <c r="L646" s="377"/>
      <c r="M646" s="377"/>
      <c r="N646" s="377"/>
      <c r="O646" s="377"/>
      <c r="P646" s="377"/>
      <c r="Q646" s="377"/>
      <c r="R646" s="377"/>
      <c r="S646" s="377"/>
      <c r="T646" s="3"/>
      <c r="U646" s="3"/>
      <c r="V646" s="3"/>
      <c r="W646" s="3"/>
      <c r="X646" s="3"/>
      <c r="Y646" s="3"/>
      <c r="Z646" s="3"/>
    </row>
    <row r="647" spans="1:26" ht="22.5" customHeight="1" x14ac:dyDescent="0.85">
      <c r="A647" s="377"/>
      <c r="B647" s="377"/>
      <c r="C647" s="377"/>
      <c r="D647" s="377"/>
      <c r="E647" s="377"/>
      <c r="F647" s="377"/>
      <c r="G647" s="377"/>
      <c r="H647" s="377"/>
      <c r="I647" s="377"/>
      <c r="J647" s="377"/>
      <c r="K647" s="377"/>
      <c r="L647" s="377"/>
      <c r="M647" s="377"/>
      <c r="N647" s="377"/>
      <c r="O647" s="377"/>
      <c r="P647" s="377"/>
      <c r="Q647" s="377"/>
      <c r="R647" s="377"/>
      <c r="S647" s="377"/>
      <c r="T647" s="3"/>
      <c r="U647" s="3"/>
      <c r="V647" s="3"/>
      <c r="W647" s="3"/>
      <c r="X647" s="3"/>
      <c r="Y647" s="3"/>
      <c r="Z647" s="3"/>
    </row>
    <row r="648" spans="1:26" ht="22.5" customHeight="1" x14ac:dyDescent="0.85">
      <c r="A648" s="377"/>
      <c r="B648" s="377"/>
      <c r="C648" s="377"/>
      <c r="D648" s="377"/>
      <c r="E648" s="377"/>
      <c r="F648" s="377"/>
      <c r="G648" s="377"/>
      <c r="H648" s="377"/>
      <c r="I648" s="377"/>
      <c r="J648" s="377"/>
      <c r="K648" s="377"/>
      <c r="L648" s="377"/>
      <c r="M648" s="377"/>
      <c r="N648" s="377"/>
      <c r="O648" s="377"/>
      <c r="P648" s="377"/>
      <c r="Q648" s="377"/>
      <c r="R648" s="377"/>
      <c r="S648" s="377"/>
      <c r="T648" s="3"/>
      <c r="U648" s="3"/>
      <c r="V648" s="3"/>
      <c r="W648" s="3"/>
      <c r="X648" s="3"/>
      <c r="Y648" s="3"/>
      <c r="Z648" s="3"/>
    </row>
    <row r="649" spans="1:26" ht="22.5" customHeight="1" x14ac:dyDescent="0.85">
      <c r="A649" s="377"/>
      <c r="B649" s="377"/>
      <c r="C649" s="377"/>
      <c r="D649" s="377"/>
      <c r="E649" s="377"/>
      <c r="F649" s="377"/>
      <c r="G649" s="377"/>
      <c r="H649" s="377"/>
      <c r="I649" s="377"/>
      <c r="J649" s="377"/>
      <c r="K649" s="377"/>
      <c r="L649" s="377"/>
      <c r="M649" s="377"/>
      <c r="N649" s="377"/>
      <c r="O649" s="377"/>
      <c r="P649" s="377"/>
      <c r="Q649" s="377"/>
      <c r="R649" s="377"/>
      <c r="S649" s="377"/>
      <c r="T649" s="3"/>
      <c r="U649" s="3"/>
      <c r="V649" s="3"/>
      <c r="W649" s="3"/>
      <c r="X649" s="3"/>
      <c r="Y649" s="3"/>
      <c r="Z649" s="3"/>
    </row>
    <row r="650" spans="1:26" ht="22.5" customHeight="1" x14ac:dyDescent="0.85">
      <c r="A650" s="377"/>
      <c r="B650" s="377"/>
      <c r="C650" s="377"/>
      <c r="D650" s="377"/>
      <c r="E650" s="377"/>
      <c r="F650" s="377"/>
      <c r="G650" s="377"/>
      <c r="H650" s="377"/>
      <c r="I650" s="377"/>
      <c r="J650" s="377"/>
      <c r="K650" s="377"/>
      <c r="L650" s="377"/>
      <c r="M650" s="377"/>
      <c r="N650" s="377"/>
      <c r="O650" s="377"/>
      <c r="P650" s="377"/>
      <c r="Q650" s="377"/>
      <c r="R650" s="377"/>
      <c r="S650" s="377"/>
      <c r="T650" s="3"/>
      <c r="U650" s="3"/>
      <c r="V650" s="3"/>
      <c r="W650" s="3"/>
      <c r="X650" s="3"/>
      <c r="Y650" s="3"/>
      <c r="Z650" s="3"/>
    </row>
    <row r="651" spans="1:26" ht="22.5" customHeight="1" x14ac:dyDescent="0.85">
      <c r="A651" s="377"/>
      <c r="B651" s="377"/>
      <c r="C651" s="377"/>
      <c r="D651" s="377"/>
      <c r="E651" s="377"/>
      <c r="F651" s="377"/>
      <c r="G651" s="377"/>
      <c r="H651" s="377"/>
      <c r="I651" s="377"/>
      <c r="J651" s="377"/>
      <c r="K651" s="377"/>
      <c r="L651" s="377"/>
      <c r="M651" s="377"/>
      <c r="N651" s="377"/>
      <c r="O651" s="377"/>
      <c r="P651" s="377"/>
      <c r="Q651" s="377"/>
      <c r="R651" s="377"/>
      <c r="S651" s="377"/>
      <c r="T651" s="3"/>
      <c r="U651" s="3"/>
      <c r="V651" s="3"/>
      <c r="W651" s="3"/>
      <c r="X651" s="3"/>
      <c r="Y651" s="3"/>
      <c r="Z651" s="3"/>
    </row>
    <row r="652" spans="1:26" ht="22.5" customHeight="1" x14ac:dyDescent="0.85">
      <c r="A652" s="377"/>
      <c r="B652" s="377"/>
      <c r="C652" s="377"/>
      <c r="D652" s="377"/>
      <c r="E652" s="377"/>
      <c r="F652" s="377"/>
      <c r="G652" s="377"/>
      <c r="H652" s="377"/>
      <c r="I652" s="377"/>
      <c r="J652" s="377"/>
      <c r="K652" s="377"/>
      <c r="L652" s="377"/>
      <c r="M652" s="377"/>
      <c r="N652" s="377"/>
      <c r="O652" s="377"/>
      <c r="P652" s="377"/>
      <c r="Q652" s="377"/>
      <c r="R652" s="377"/>
      <c r="S652" s="377"/>
      <c r="T652" s="3"/>
      <c r="U652" s="3"/>
      <c r="V652" s="3"/>
      <c r="W652" s="3"/>
      <c r="X652" s="3"/>
      <c r="Y652" s="3"/>
      <c r="Z652" s="3"/>
    </row>
    <row r="653" spans="1:26" ht="22.5" customHeight="1" x14ac:dyDescent="0.85">
      <c r="A653" s="377"/>
      <c r="B653" s="377"/>
      <c r="C653" s="377"/>
      <c r="D653" s="377"/>
      <c r="E653" s="377"/>
      <c r="F653" s="377"/>
      <c r="G653" s="377"/>
      <c r="H653" s="377"/>
      <c r="I653" s="377"/>
      <c r="J653" s="377"/>
      <c r="K653" s="377"/>
      <c r="L653" s="377"/>
      <c r="M653" s="377"/>
      <c r="N653" s="377"/>
      <c r="O653" s="377"/>
      <c r="P653" s="377"/>
      <c r="Q653" s="377"/>
      <c r="R653" s="377"/>
      <c r="S653" s="377"/>
      <c r="T653" s="3"/>
      <c r="U653" s="3"/>
      <c r="V653" s="3"/>
      <c r="W653" s="3"/>
      <c r="X653" s="3"/>
      <c r="Y653" s="3"/>
      <c r="Z653" s="3"/>
    </row>
    <row r="654" spans="1:26" ht="22.5" customHeight="1" x14ac:dyDescent="0.85">
      <c r="A654" s="377"/>
      <c r="B654" s="377"/>
      <c r="C654" s="377"/>
      <c r="D654" s="377"/>
      <c r="E654" s="377"/>
      <c r="F654" s="377"/>
      <c r="G654" s="377"/>
      <c r="H654" s="377"/>
      <c r="I654" s="377"/>
      <c r="J654" s="377"/>
      <c r="K654" s="377"/>
      <c r="L654" s="377"/>
      <c r="M654" s="377"/>
      <c r="N654" s="377"/>
      <c r="O654" s="377"/>
      <c r="P654" s="377"/>
      <c r="Q654" s="377"/>
      <c r="R654" s="377"/>
      <c r="S654" s="377"/>
      <c r="T654" s="3"/>
      <c r="U654" s="3"/>
      <c r="V654" s="3"/>
      <c r="W654" s="3"/>
      <c r="X654" s="3"/>
      <c r="Y654" s="3"/>
      <c r="Z654" s="3"/>
    </row>
    <row r="655" spans="1:26" ht="22.5" customHeight="1" x14ac:dyDescent="0.85">
      <c r="A655" s="377"/>
      <c r="B655" s="377"/>
      <c r="C655" s="377"/>
      <c r="D655" s="377"/>
      <c r="E655" s="377"/>
      <c r="F655" s="377"/>
      <c r="G655" s="377"/>
      <c r="H655" s="377"/>
      <c r="I655" s="377"/>
      <c r="J655" s="377"/>
      <c r="K655" s="377"/>
      <c r="L655" s="377"/>
      <c r="M655" s="377"/>
      <c r="N655" s="377"/>
      <c r="O655" s="377"/>
      <c r="P655" s="377"/>
      <c r="Q655" s="377"/>
      <c r="R655" s="377"/>
      <c r="S655" s="377"/>
      <c r="T655" s="3"/>
      <c r="U655" s="3"/>
      <c r="V655" s="3"/>
      <c r="W655" s="3"/>
      <c r="X655" s="3"/>
      <c r="Y655" s="3"/>
      <c r="Z655" s="3"/>
    </row>
    <row r="656" spans="1:26" ht="22.5" customHeight="1" x14ac:dyDescent="0.85">
      <c r="A656" s="377"/>
      <c r="B656" s="377"/>
      <c r="C656" s="377"/>
      <c r="D656" s="377"/>
      <c r="E656" s="377"/>
      <c r="F656" s="377"/>
      <c r="G656" s="377"/>
      <c r="H656" s="377"/>
      <c r="I656" s="377"/>
      <c r="J656" s="377"/>
      <c r="K656" s="377"/>
      <c r="L656" s="377"/>
      <c r="M656" s="377"/>
      <c r="N656" s="377"/>
      <c r="O656" s="377"/>
      <c r="P656" s="377"/>
      <c r="Q656" s="377"/>
      <c r="R656" s="377"/>
      <c r="S656" s="377"/>
      <c r="T656" s="3"/>
      <c r="U656" s="3"/>
      <c r="V656" s="3"/>
      <c r="W656" s="3"/>
      <c r="X656" s="3"/>
      <c r="Y656" s="3"/>
      <c r="Z656" s="3"/>
    </row>
    <row r="657" spans="1:26" ht="22.5" customHeight="1" x14ac:dyDescent="0.85">
      <c r="A657" s="377"/>
      <c r="B657" s="377"/>
      <c r="C657" s="377"/>
      <c r="D657" s="377"/>
      <c r="E657" s="377"/>
      <c r="F657" s="377"/>
      <c r="G657" s="377"/>
      <c r="H657" s="377"/>
      <c r="I657" s="377"/>
      <c r="J657" s="377"/>
      <c r="K657" s="377"/>
      <c r="L657" s="377"/>
      <c r="M657" s="377"/>
      <c r="N657" s="377"/>
      <c r="O657" s="377"/>
      <c r="P657" s="377"/>
      <c r="Q657" s="377"/>
      <c r="R657" s="377"/>
      <c r="S657" s="377"/>
      <c r="T657" s="3"/>
      <c r="U657" s="3"/>
      <c r="V657" s="3"/>
      <c r="W657" s="3"/>
      <c r="X657" s="3"/>
      <c r="Y657" s="3"/>
      <c r="Z657" s="3"/>
    </row>
    <row r="658" spans="1:26" ht="22.5" customHeight="1" x14ac:dyDescent="0.85">
      <c r="A658" s="377"/>
      <c r="B658" s="377"/>
      <c r="C658" s="377"/>
      <c r="D658" s="377"/>
      <c r="E658" s="377"/>
      <c r="F658" s="377"/>
      <c r="G658" s="377"/>
      <c r="H658" s="377"/>
      <c r="I658" s="377"/>
      <c r="J658" s="377"/>
      <c r="K658" s="377"/>
      <c r="L658" s="377"/>
      <c r="M658" s="377"/>
      <c r="N658" s="377"/>
      <c r="O658" s="377"/>
      <c r="P658" s="377"/>
      <c r="Q658" s="377"/>
      <c r="R658" s="377"/>
      <c r="S658" s="377"/>
      <c r="T658" s="3"/>
      <c r="U658" s="3"/>
      <c r="V658" s="3"/>
      <c r="W658" s="3"/>
      <c r="X658" s="3"/>
      <c r="Y658" s="3"/>
      <c r="Z658" s="3"/>
    </row>
    <row r="659" spans="1:26" ht="22.5" customHeight="1" x14ac:dyDescent="0.85">
      <c r="A659" s="377"/>
      <c r="B659" s="377"/>
      <c r="C659" s="377"/>
      <c r="D659" s="377"/>
      <c r="E659" s="377"/>
      <c r="F659" s="377"/>
      <c r="G659" s="377"/>
      <c r="H659" s="377"/>
      <c r="I659" s="377"/>
      <c r="J659" s="377"/>
      <c r="K659" s="377"/>
      <c r="L659" s="377"/>
      <c r="M659" s="377"/>
      <c r="N659" s="377"/>
      <c r="O659" s="377"/>
      <c r="P659" s="377"/>
      <c r="Q659" s="377"/>
      <c r="R659" s="377"/>
      <c r="S659" s="377"/>
      <c r="T659" s="3"/>
      <c r="U659" s="3"/>
      <c r="V659" s="3"/>
      <c r="W659" s="3"/>
      <c r="X659" s="3"/>
      <c r="Y659" s="3"/>
      <c r="Z659" s="3"/>
    </row>
    <row r="660" spans="1:26" ht="22.5" customHeight="1" x14ac:dyDescent="0.85">
      <c r="A660" s="377"/>
      <c r="B660" s="377"/>
      <c r="C660" s="377"/>
      <c r="D660" s="377"/>
      <c r="E660" s="377"/>
      <c r="F660" s="377"/>
      <c r="G660" s="377"/>
      <c r="H660" s="377"/>
      <c r="I660" s="377"/>
      <c r="J660" s="377"/>
      <c r="K660" s="377"/>
      <c r="L660" s="377"/>
      <c r="M660" s="377"/>
      <c r="N660" s="377"/>
      <c r="O660" s="377"/>
      <c r="P660" s="377"/>
      <c r="Q660" s="377"/>
      <c r="R660" s="377"/>
      <c r="S660" s="377"/>
      <c r="T660" s="3"/>
      <c r="U660" s="3"/>
      <c r="V660" s="3"/>
      <c r="W660" s="3"/>
      <c r="X660" s="3"/>
      <c r="Y660" s="3"/>
      <c r="Z660" s="3"/>
    </row>
    <row r="661" spans="1:26" ht="22.5" customHeight="1" x14ac:dyDescent="0.85">
      <c r="A661" s="377"/>
      <c r="B661" s="377"/>
      <c r="C661" s="377"/>
      <c r="D661" s="377"/>
      <c r="E661" s="377"/>
      <c r="F661" s="377"/>
      <c r="G661" s="377"/>
      <c r="H661" s="377"/>
      <c r="I661" s="377"/>
      <c r="J661" s="377"/>
      <c r="K661" s="377"/>
      <c r="L661" s="377"/>
      <c r="M661" s="377"/>
      <c r="N661" s="377"/>
      <c r="O661" s="377"/>
      <c r="P661" s="377"/>
      <c r="Q661" s="377"/>
      <c r="R661" s="377"/>
      <c r="S661" s="377"/>
      <c r="T661" s="3"/>
      <c r="U661" s="3"/>
      <c r="V661" s="3"/>
      <c r="W661" s="3"/>
      <c r="X661" s="3"/>
      <c r="Y661" s="3"/>
      <c r="Z661" s="3"/>
    </row>
    <row r="662" spans="1:26" ht="22.5" customHeight="1" x14ac:dyDescent="0.85">
      <c r="A662" s="377"/>
      <c r="B662" s="377"/>
      <c r="C662" s="377"/>
      <c r="D662" s="377"/>
      <c r="E662" s="377"/>
      <c r="F662" s="377"/>
      <c r="G662" s="377"/>
      <c r="H662" s="377"/>
      <c r="I662" s="377"/>
      <c r="J662" s="377"/>
      <c r="K662" s="377"/>
      <c r="L662" s="377"/>
      <c r="M662" s="377"/>
      <c r="N662" s="377"/>
      <c r="O662" s="377"/>
      <c r="P662" s="377"/>
      <c r="Q662" s="377"/>
      <c r="R662" s="377"/>
      <c r="S662" s="377"/>
      <c r="T662" s="3"/>
      <c r="U662" s="3"/>
      <c r="V662" s="3"/>
      <c r="W662" s="3"/>
      <c r="X662" s="3"/>
      <c r="Y662" s="3"/>
      <c r="Z662" s="3"/>
    </row>
    <row r="663" spans="1:26" ht="22.5" customHeight="1" x14ac:dyDescent="0.85">
      <c r="A663" s="377"/>
      <c r="B663" s="377"/>
      <c r="C663" s="377"/>
      <c r="D663" s="377"/>
      <c r="E663" s="377"/>
      <c r="F663" s="377"/>
      <c r="G663" s="377"/>
      <c r="H663" s="377"/>
      <c r="I663" s="377"/>
      <c r="J663" s="377"/>
      <c r="K663" s="377"/>
      <c r="L663" s="377"/>
      <c r="M663" s="377"/>
      <c r="N663" s="377"/>
      <c r="O663" s="377"/>
      <c r="P663" s="377"/>
      <c r="Q663" s="377"/>
      <c r="R663" s="377"/>
      <c r="S663" s="377"/>
      <c r="T663" s="3"/>
      <c r="U663" s="3"/>
      <c r="V663" s="3"/>
      <c r="W663" s="3"/>
      <c r="X663" s="3"/>
      <c r="Y663" s="3"/>
      <c r="Z663" s="3"/>
    </row>
    <row r="664" spans="1:26" ht="22.5" customHeight="1" x14ac:dyDescent="0.85">
      <c r="A664" s="377"/>
      <c r="B664" s="377"/>
      <c r="C664" s="377"/>
      <c r="D664" s="377"/>
      <c r="E664" s="377"/>
      <c r="F664" s="377"/>
      <c r="G664" s="377"/>
      <c r="H664" s="377"/>
      <c r="I664" s="377"/>
      <c r="J664" s="377"/>
      <c r="K664" s="377"/>
      <c r="L664" s="377"/>
      <c r="M664" s="377"/>
      <c r="N664" s="377"/>
      <c r="O664" s="377"/>
      <c r="P664" s="377"/>
      <c r="Q664" s="377"/>
      <c r="R664" s="377"/>
      <c r="S664" s="377"/>
      <c r="T664" s="3"/>
      <c r="U664" s="3"/>
      <c r="V664" s="3"/>
      <c r="W664" s="3"/>
      <c r="X664" s="3"/>
      <c r="Y664" s="3"/>
      <c r="Z664" s="3"/>
    </row>
    <row r="665" spans="1:26" ht="22.5" customHeight="1" x14ac:dyDescent="0.85">
      <c r="A665" s="377"/>
      <c r="B665" s="377"/>
      <c r="C665" s="377"/>
      <c r="D665" s="377"/>
      <c r="E665" s="377"/>
      <c r="F665" s="377"/>
      <c r="G665" s="377"/>
      <c r="H665" s="377"/>
      <c r="I665" s="377"/>
      <c r="J665" s="377"/>
      <c r="K665" s="377"/>
      <c r="L665" s="377"/>
      <c r="M665" s="377"/>
      <c r="N665" s="377"/>
      <c r="O665" s="377"/>
      <c r="P665" s="377"/>
      <c r="Q665" s="377"/>
      <c r="R665" s="377"/>
      <c r="S665" s="377"/>
      <c r="T665" s="3"/>
      <c r="U665" s="3"/>
      <c r="V665" s="3"/>
      <c r="W665" s="3"/>
      <c r="X665" s="3"/>
      <c r="Y665" s="3"/>
      <c r="Z665" s="3"/>
    </row>
    <row r="666" spans="1:26" ht="22.5" customHeight="1" x14ac:dyDescent="0.85">
      <c r="A666" s="377"/>
      <c r="B666" s="377"/>
      <c r="C666" s="377"/>
      <c r="D666" s="377"/>
      <c r="E666" s="377"/>
      <c r="F666" s="377"/>
      <c r="G666" s="377"/>
      <c r="H666" s="377"/>
      <c r="I666" s="377"/>
      <c r="J666" s="377"/>
      <c r="K666" s="377"/>
      <c r="L666" s="377"/>
      <c r="M666" s="377"/>
      <c r="N666" s="377"/>
      <c r="O666" s="377"/>
      <c r="P666" s="377"/>
      <c r="Q666" s="377"/>
      <c r="R666" s="377"/>
      <c r="S666" s="377"/>
      <c r="T666" s="3"/>
      <c r="U666" s="3"/>
      <c r="V666" s="3"/>
      <c r="W666" s="3"/>
      <c r="X666" s="3"/>
      <c r="Y666" s="3"/>
      <c r="Z666" s="3"/>
    </row>
    <row r="667" spans="1:26" ht="22.5" customHeight="1" x14ac:dyDescent="0.85">
      <c r="A667" s="377"/>
      <c r="B667" s="377"/>
      <c r="C667" s="377"/>
      <c r="D667" s="377"/>
      <c r="E667" s="377"/>
      <c r="F667" s="377"/>
      <c r="G667" s="377"/>
      <c r="H667" s="377"/>
      <c r="I667" s="377"/>
      <c r="J667" s="377"/>
      <c r="K667" s="377"/>
      <c r="L667" s="377"/>
      <c r="M667" s="377"/>
      <c r="N667" s="377"/>
      <c r="O667" s="377"/>
      <c r="P667" s="377"/>
      <c r="Q667" s="377"/>
      <c r="R667" s="377"/>
      <c r="S667" s="377"/>
      <c r="T667" s="3"/>
      <c r="U667" s="3"/>
      <c r="V667" s="3"/>
      <c r="W667" s="3"/>
      <c r="X667" s="3"/>
      <c r="Y667" s="3"/>
      <c r="Z667" s="3"/>
    </row>
    <row r="668" spans="1:26" ht="22.5" customHeight="1" x14ac:dyDescent="0.85">
      <c r="A668" s="377"/>
      <c r="B668" s="377"/>
      <c r="C668" s="377"/>
      <c r="D668" s="377"/>
      <c r="E668" s="377"/>
      <c r="F668" s="377"/>
      <c r="G668" s="377"/>
      <c r="H668" s="377"/>
      <c r="I668" s="377"/>
      <c r="J668" s="377"/>
      <c r="K668" s="377"/>
      <c r="L668" s="377"/>
      <c r="M668" s="377"/>
      <c r="N668" s="377"/>
      <c r="O668" s="377"/>
      <c r="P668" s="377"/>
      <c r="Q668" s="377"/>
      <c r="R668" s="377"/>
      <c r="S668" s="377"/>
      <c r="T668" s="3"/>
      <c r="U668" s="3"/>
      <c r="V668" s="3"/>
      <c r="W668" s="3"/>
      <c r="X668" s="3"/>
      <c r="Y668" s="3"/>
      <c r="Z668" s="3"/>
    </row>
    <row r="669" spans="1:26" ht="22.5" customHeight="1" x14ac:dyDescent="0.85">
      <c r="A669" s="377"/>
      <c r="B669" s="377"/>
      <c r="C669" s="377"/>
      <c r="D669" s="377"/>
      <c r="E669" s="377"/>
      <c r="F669" s="377"/>
      <c r="G669" s="377"/>
      <c r="H669" s="377"/>
      <c r="I669" s="377"/>
      <c r="J669" s="377"/>
      <c r="K669" s="377"/>
      <c r="L669" s="377"/>
      <c r="M669" s="377"/>
      <c r="N669" s="377"/>
      <c r="O669" s="377"/>
      <c r="P669" s="377"/>
      <c r="Q669" s="377"/>
      <c r="R669" s="377"/>
      <c r="S669" s="377"/>
      <c r="T669" s="3"/>
      <c r="U669" s="3"/>
      <c r="V669" s="3"/>
      <c r="W669" s="3"/>
      <c r="X669" s="3"/>
      <c r="Y669" s="3"/>
      <c r="Z669" s="3"/>
    </row>
    <row r="670" spans="1:26" ht="22.5" customHeight="1" x14ac:dyDescent="0.85">
      <c r="A670" s="377"/>
      <c r="B670" s="377"/>
      <c r="C670" s="377"/>
      <c r="D670" s="377"/>
      <c r="E670" s="377"/>
      <c r="F670" s="377"/>
      <c r="G670" s="377"/>
      <c r="H670" s="377"/>
      <c r="I670" s="377"/>
      <c r="J670" s="377"/>
      <c r="K670" s="377"/>
      <c r="L670" s="377"/>
      <c r="M670" s="377"/>
      <c r="N670" s="377"/>
      <c r="O670" s="377"/>
      <c r="P670" s="377"/>
      <c r="Q670" s="377"/>
      <c r="R670" s="377"/>
      <c r="S670" s="377"/>
      <c r="T670" s="3"/>
      <c r="U670" s="3"/>
      <c r="V670" s="3"/>
      <c r="W670" s="3"/>
      <c r="X670" s="3"/>
      <c r="Y670" s="3"/>
      <c r="Z670" s="3"/>
    </row>
    <row r="671" spans="1:26" ht="22.5" customHeight="1" x14ac:dyDescent="0.85">
      <c r="A671" s="377"/>
      <c r="B671" s="377"/>
      <c r="C671" s="377"/>
      <c r="D671" s="377"/>
      <c r="E671" s="377"/>
      <c r="F671" s="377"/>
      <c r="G671" s="377"/>
      <c r="H671" s="377"/>
      <c r="I671" s="377"/>
      <c r="J671" s="377"/>
      <c r="K671" s="377"/>
      <c r="L671" s="377"/>
      <c r="M671" s="377"/>
      <c r="N671" s="377"/>
      <c r="O671" s="377"/>
      <c r="P671" s="377"/>
      <c r="Q671" s="377"/>
      <c r="R671" s="377"/>
      <c r="S671" s="377"/>
      <c r="T671" s="3"/>
      <c r="U671" s="3"/>
      <c r="V671" s="3"/>
      <c r="W671" s="3"/>
      <c r="X671" s="3"/>
      <c r="Y671" s="3"/>
      <c r="Z671" s="3"/>
    </row>
    <row r="672" spans="1:26" ht="22.5" customHeight="1" x14ac:dyDescent="0.85">
      <c r="A672" s="377"/>
      <c r="B672" s="377"/>
      <c r="C672" s="377"/>
      <c r="D672" s="377"/>
      <c r="E672" s="377"/>
      <c r="F672" s="377"/>
      <c r="G672" s="377"/>
      <c r="H672" s="377"/>
      <c r="I672" s="377"/>
      <c r="J672" s="377"/>
      <c r="K672" s="377"/>
      <c r="L672" s="377"/>
      <c r="M672" s="377"/>
      <c r="N672" s="377"/>
      <c r="O672" s="377"/>
      <c r="P672" s="377"/>
      <c r="Q672" s="377"/>
      <c r="R672" s="377"/>
      <c r="S672" s="377"/>
      <c r="T672" s="3"/>
      <c r="U672" s="3"/>
      <c r="V672" s="3"/>
      <c r="W672" s="3"/>
      <c r="X672" s="3"/>
      <c r="Y672" s="3"/>
      <c r="Z672" s="3"/>
    </row>
    <row r="673" spans="1:26" ht="22.5" customHeight="1" x14ac:dyDescent="0.85">
      <c r="A673" s="377"/>
      <c r="B673" s="377"/>
      <c r="C673" s="377"/>
      <c r="D673" s="377"/>
      <c r="E673" s="377"/>
      <c r="F673" s="377"/>
      <c r="G673" s="377"/>
      <c r="H673" s="377"/>
      <c r="I673" s="377"/>
      <c r="J673" s="377"/>
      <c r="K673" s="377"/>
      <c r="L673" s="377"/>
      <c r="M673" s="377"/>
      <c r="N673" s="377"/>
      <c r="O673" s="377"/>
      <c r="P673" s="377"/>
      <c r="Q673" s="377"/>
      <c r="R673" s="377"/>
      <c r="S673" s="377"/>
      <c r="T673" s="3"/>
      <c r="U673" s="3"/>
      <c r="V673" s="3"/>
      <c r="W673" s="3"/>
      <c r="X673" s="3"/>
      <c r="Y673" s="3"/>
      <c r="Z673" s="3"/>
    </row>
    <row r="674" spans="1:26" ht="22.5" customHeight="1" x14ac:dyDescent="0.85">
      <c r="A674" s="377"/>
      <c r="B674" s="377"/>
      <c r="C674" s="377"/>
      <c r="D674" s="377"/>
      <c r="E674" s="377"/>
      <c r="F674" s="377"/>
      <c r="G674" s="377"/>
      <c r="H674" s="377"/>
      <c r="I674" s="377"/>
      <c r="J674" s="377"/>
      <c r="K674" s="377"/>
      <c r="L674" s="377"/>
      <c r="M674" s="377"/>
      <c r="N674" s="377"/>
      <c r="O674" s="377"/>
      <c r="P674" s="377"/>
      <c r="Q674" s="377"/>
      <c r="R674" s="377"/>
      <c r="S674" s="377"/>
      <c r="T674" s="3"/>
      <c r="U674" s="3"/>
      <c r="V674" s="3"/>
      <c r="W674" s="3"/>
      <c r="X674" s="3"/>
      <c r="Y674" s="3"/>
      <c r="Z674" s="3"/>
    </row>
    <row r="675" spans="1:26" ht="22.5" customHeight="1" x14ac:dyDescent="0.85">
      <c r="A675" s="377"/>
      <c r="B675" s="377"/>
      <c r="C675" s="377"/>
      <c r="D675" s="377"/>
      <c r="E675" s="377"/>
      <c r="F675" s="377"/>
      <c r="G675" s="377"/>
      <c r="H675" s="377"/>
      <c r="I675" s="377"/>
      <c r="J675" s="377"/>
      <c r="K675" s="377"/>
      <c r="L675" s="377"/>
      <c r="M675" s="377"/>
      <c r="N675" s="377"/>
      <c r="O675" s="377"/>
      <c r="P675" s="377"/>
      <c r="Q675" s="377"/>
      <c r="R675" s="377"/>
      <c r="S675" s="377"/>
      <c r="T675" s="3"/>
      <c r="U675" s="3"/>
      <c r="V675" s="3"/>
      <c r="W675" s="3"/>
      <c r="X675" s="3"/>
      <c r="Y675" s="3"/>
      <c r="Z675" s="3"/>
    </row>
    <row r="676" spans="1:26" ht="22.5" customHeight="1" x14ac:dyDescent="0.85">
      <c r="A676" s="377"/>
      <c r="B676" s="377"/>
      <c r="C676" s="377"/>
      <c r="D676" s="377"/>
      <c r="E676" s="377"/>
      <c r="F676" s="377"/>
      <c r="G676" s="377"/>
      <c r="H676" s="377"/>
      <c r="I676" s="377"/>
      <c r="J676" s="377"/>
      <c r="K676" s="377"/>
      <c r="L676" s="377"/>
      <c r="M676" s="377"/>
      <c r="N676" s="377"/>
      <c r="O676" s="377"/>
      <c r="P676" s="377"/>
      <c r="Q676" s="377"/>
      <c r="R676" s="377"/>
      <c r="S676" s="377"/>
      <c r="T676" s="3"/>
      <c r="U676" s="3"/>
      <c r="V676" s="3"/>
      <c r="W676" s="3"/>
      <c r="X676" s="3"/>
      <c r="Y676" s="3"/>
      <c r="Z676" s="3"/>
    </row>
    <row r="677" spans="1:26" ht="22.5" customHeight="1" x14ac:dyDescent="0.85">
      <c r="A677" s="377"/>
      <c r="B677" s="377"/>
      <c r="C677" s="377"/>
      <c r="D677" s="377"/>
      <c r="E677" s="377"/>
      <c r="F677" s="377"/>
      <c r="G677" s="377"/>
      <c r="H677" s="377"/>
      <c r="I677" s="377"/>
      <c r="J677" s="377"/>
      <c r="K677" s="377"/>
      <c r="L677" s="377"/>
      <c r="M677" s="377"/>
      <c r="N677" s="377"/>
      <c r="O677" s="377"/>
      <c r="P677" s="377"/>
      <c r="Q677" s="377"/>
      <c r="R677" s="377"/>
      <c r="S677" s="377"/>
      <c r="T677" s="3"/>
      <c r="U677" s="3"/>
      <c r="V677" s="3"/>
      <c r="W677" s="3"/>
      <c r="X677" s="3"/>
      <c r="Y677" s="3"/>
      <c r="Z677" s="3"/>
    </row>
    <row r="678" spans="1:26" ht="22.5" customHeight="1" x14ac:dyDescent="0.85">
      <c r="A678" s="377"/>
      <c r="B678" s="377"/>
      <c r="C678" s="377"/>
      <c r="D678" s="377"/>
      <c r="E678" s="377"/>
      <c r="F678" s="377"/>
      <c r="G678" s="377"/>
      <c r="H678" s="377"/>
      <c r="I678" s="377"/>
      <c r="J678" s="377"/>
      <c r="K678" s="377"/>
      <c r="L678" s="377"/>
      <c r="M678" s="377"/>
      <c r="N678" s="377"/>
      <c r="O678" s="377"/>
      <c r="P678" s="377"/>
      <c r="Q678" s="377"/>
      <c r="R678" s="377"/>
      <c r="S678" s="377"/>
      <c r="T678" s="3"/>
      <c r="U678" s="3"/>
      <c r="V678" s="3"/>
      <c r="W678" s="3"/>
      <c r="X678" s="3"/>
      <c r="Y678" s="3"/>
      <c r="Z678" s="3"/>
    </row>
    <row r="679" spans="1:26" ht="22.5" customHeight="1" x14ac:dyDescent="0.85">
      <c r="A679" s="377"/>
      <c r="B679" s="377"/>
      <c r="C679" s="377"/>
      <c r="D679" s="377"/>
      <c r="E679" s="377"/>
      <c r="F679" s="377"/>
      <c r="G679" s="377"/>
      <c r="H679" s="377"/>
      <c r="I679" s="377"/>
      <c r="J679" s="377"/>
      <c r="K679" s="377"/>
      <c r="L679" s="377"/>
      <c r="M679" s="377"/>
      <c r="N679" s="377"/>
      <c r="O679" s="377"/>
      <c r="P679" s="377"/>
      <c r="Q679" s="377"/>
      <c r="R679" s="377"/>
      <c r="S679" s="377"/>
      <c r="T679" s="3"/>
      <c r="U679" s="3"/>
      <c r="V679" s="3"/>
      <c r="W679" s="3"/>
      <c r="X679" s="3"/>
      <c r="Y679" s="3"/>
      <c r="Z679" s="3"/>
    </row>
    <row r="680" spans="1:26" ht="22.5" customHeight="1" x14ac:dyDescent="0.85">
      <c r="A680" s="377"/>
      <c r="B680" s="377"/>
      <c r="C680" s="377"/>
      <c r="D680" s="377"/>
      <c r="E680" s="377"/>
      <c r="F680" s="377"/>
      <c r="G680" s="377"/>
      <c r="H680" s="377"/>
      <c r="I680" s="377"/>
      <c r="J680" s="377"/>
      <c r="K680" s="377"/>
      <c r="L680" s="377"/>
      <c r="M680" s="377"/>
      <c r="N680" s="377"/>
      <c r="O680" s="377"/>
      <c r="P680" s="377"/>
      <c r="Q680" s="377"/>
      <c r="R680" s="377"/>
      <c r="S680" s="377"/>
      <c r="T680" s="3"/>
      <c r="U680" s="3"/>
      <c r="V680" s="3"/>
      <c r="W680" s="3"/>
      <c r="X680" s="3"/>
      <c r="Y680" s="3"/>
      <c r="Z680" s="3"/>
    </row>
    <row r="681" spans="1:26" ht="22.5" customHeight="1" x14ac:dyDescent="0.85">
      <c r="A681" s="377"/>
      <c r="B681" s="377"/>
      <c r="C681" s="377"/>
      <c r="D681" s="377"/>
      <c r="E681" s="377"/>
      <c r="F681" s="377"/>
      <c r="G681" s="377"/>
      <c r="H681" s="377"/>
      <c r="I681" s="377"/>
      <c r="J681" s="377"/>
      <c r="K681" s="377"/>
      <c r="L681" s="377"/>
      <c r="M681" s="377"/>
      <c r="N681" s="377"/>
      <c r="O681" s="377"/>
      <c r="P681" s="377"/>
      <c r="Q681" s="377"/>
      <c r="R681" s="377"/>
      <c r="S681" s="377"/>
      <c r="T681" s="3"/>
      <c r="U681" s="3"/>
      <c r="V681" s="3"/>
      <c r="W681" s="3"/>
      <c r="X681" s="3"/>
      <c r="Y681" s="3"/>
      <c r="Z681" s="3"/>
    </row>
    <row r="682" spans="1:26" ht="22.5" customHeight="1" x14ac:dyDescent="0.85">
      <c r="A682" s="377"/>
      <c r="B682" s="377"/>
      <c r="C682" s="377"/>
      <c r="D682" s="377"/>
      <c r="E682" s="377"/>
      <c r="F682" s="377"/>
      <c r="G682" s="377"/>
      <c r="H682" s="377"/>
      <c r="I682" s="377"/>
      <c r="J682" s="377"/>
      <c r="K682" s="377"/>
      <c r="L682" s="377"/>
      <c r="M682" s="377"/>
      <c r="N682" s="377"/>
      <c r="O682" s="377"/>
      <c r="P682" s="377"/>
      <c r="Q682" s="377"/>
      <c r="R682" s="377"/>
      <c r="S682" s="377"/>
      <c r="T682" s="3"/>
      <c r="U682" s="3"/>
      <c r="V682" s="3"/>
      <c r="W682" s="3"/>
      <c r="X682" s="3"/>
      <c r="Y682" s="3"/>
      <c r="Z682" s="3"/>
    </row>
    <row r="683" spans="1:26" ht="22.5" customHeight="1" x14ac:dyDescent="0.85">
      <c r="A683" s="377"/>
      <c r="B683" s="377"/>
      <c r="C683" s="377"/>
      <c r="D683" s="377"/>
      <c r="E683" s="377"/>
      <c r="F683" s="377"/>
      <c r="G683" s="377"/>
      <c r="H683" s="377"/>
      <c r="I683" s="377"/>
      <c r="J683" s="377"/>
      <c r="K683" s="377"/>
      <c r="L683" s="377"/>
      <c r="M683" s="377"/>
      <c r="N683" s="377"/>
      <c r="O683" s="377"/>
      <c r="P683" s="377"/>
      <c r="Q683" s="377"/>
      <c r="R683" s="377"/>
      <c r="S683" s="377"/>
      <c r="T683" s="3"/>
      <c r="U683" s="3"/>
      <c r="V683" s="3"/>
      <c r="W683" s="3"/>
      <c r="X683" s="3"/>
      <c r="Y683" s="3"/>
      <c r="Z683" s="3"/>
    </row>
    <row r="684" spans="1:26" ht="22.5" customHeight="1" x14ac:dyDescent="0.85">
      <c r="A684" s="377"/>
      <c r="B684" s="377"/>
      <c r="C684" s="377"/>
      <c r="D684" s="377"/>
      <c r="E684" s="377"/>
      <c r="F684" s="377"/>
      <c r="G684" s="377"/>
      <c r="H684" s="377"/>
      <c r="I684" s="377"/>
      <c r="J684" s="377"/>
      <c r="K684" s="377"/>
      <c r="L684" s="377"/>
      <c r="M684" s="377"/>
      <c r="N684" s="377"/>
      <c r="O684" s="377"/>
      <c r="P684" s="377"/>
      <c r="Q684" s="377"/>
      <c r="R684" s="377"/>
      <c r="S684" s="377"/>
      <c r="T684" s="3"/>
      <c r="U684" s="3"/>
      <c r="V684" s="3"/>
      <c r="W684" s="3"/>
      <c r="X684" s="3"/>
      <c r="Y684" s="3"/>
      <c r="Z684" s="3"/>
    </row>
    <row r="685" spans="1:26" ht="22.5" customHeight="1" x14ac:dyDescent="0.85">
      <c r="A685" s="377"/>
      <c r="B685" s="377"/>
      <c r="C685" s="377"/>
      <c r="D685" s="377"/>
      <c r="E685" s="377"/>
      <c r="F685" s="377"/>
      <c r="G685" s="377"/>
      <c r="H685" s="377"/>
      <c r="I685" s="377"/>
      <c r="J685" s="377"/>
      <c r="K685" s="377"/>
      <c r="L685" s="377"/>
      <c r="M685" s="377"/>
      <c r="N685" s="377"/>
      <c r="O685" s="377"/>
      <c r="P685" s="377"/>
      <c r="Q685" s="377"/>
      <c r="R685" s="377"/>
      <c r="S685" s="377"/>
      <c r="T685" s="3"/>
      <c r="U685" s="3"/>
      <c r="V685" s="3"/>
      <c r="W685" s="3"/>
      <c r="X685" s="3"/>
      <c r="Y685" s="3"/>
      <c r="Z685" s="3"/>
    </row>
    <row r="686" spans="1:26" ht="22.5" customHeight="1" x14ac:dyDescent="0.85">
      <c r="A686" s="377"/>
      <c r="B686" s="377"/>
      <c r="C686" s="377"/>
      <c r="D686" s="377"/>
      <c r="E686" s="377"/>
      <c r="F686" s="377"/>
      <c r="G686" s="377"/>
      <c r="H686" s="377"/>
      <c r="I686" s="377"/>
      <c r="J686" s="377"/>
      <c r="K686" s="377"/>
      <c r="L686" s="377"/>
      <c r="M686" s="377"/>
      <c r="N686" s="377"/>
      <c r="O686" s="377"/>
      <c r="P686" s="377"/>
      <c r="Q686" s="377"/>
      <c r="R686" s="377"/>
      <c r="S686" s="377"/>
      <c r="T686" s="3"/>
      <c r="U686" s="3"/>
      <c r="V686" s="3"/>
      <c r="W686" s="3"/>
      <c r="X686" s="3"/>
      <c r="Y686" s="3"/>
      <c r="Z686" s="3"/>
    </row>
    <row r="687" spans="1:26" ht="22.5" customHeight="1" x14ac:dyDescent="0.85">
      <c r="A687" s="377"/>
      <c r="B687" s="377"/>
      <c r="C687" s="377"/>
      <c r="D687" s="377"/>
      <c r="E687" s="377"/>
      <c r="F687" s="377"/>
      <c r="G687" s="377"/>
      <c r="H687" s="377"/>
      <c r="I687" s="377"/>
      <c r="J687" s="377"/>
      <c r="K687" s="377"/>
      <c r="L687" s="377"/>
      <c r="M687" s="377"/>
      <c r="N687" s="377"/>
      <c r="O687" s="377"/>
      <c r="P687" s="377"/>
      <c r="Q687" s="377"/>
      <c r="R687" s="377"/>
      <c r="S687" s="377"/>
      <c r="T687" s="3"/>
      <c r="U687" s="3"/>
      <c r="V687" s="3"/>
      <c r="W687" s="3"/>
      <c r="X687" s="3"/>
      <c r="Y687" s="3"/>
      <c r="Z687" s="3"/>
    </row>
    <row r="688" spans="1:26" ht="22.5" customHeight="1" x14ac:dyDescent="0.85">
      <c r="A688" s="377"/>
      <c r="B688" s="377"/>
      <c r="C688" s="377"/>
      <c r="D688" s="377"/>
      <c r="E688" s="377"/>
      <c r="F688" s="377"/>
      <c r="G688" s="377"/>
      <c r="H688" s="377"/>
      <c r="I688" s="377"/>
      <c r="J688" s="377"/>
      <c r="K688" s="377"/>
      <c r="L688" s="377"/>
      <c r="M688" s="377"/>
      <c r="N688" s="377"/>
      <c r="O688" s="377"/>
      <c r="P688" s="377"/>
      <c r="Q688" s="377"/>
      <c r="R688" s="377"/>
      <c r="S688" s="377"/>
      <c r="T688" s="3"/>
      <c r="U688" s="3"/>
      <c r="V688" s="3"/>
      <c r="W688" s="3"/>
      <c r="X688" s="3"/>
      <c r="Y688" s="3"/>
      <c r="Z688" s="3"/>
    </row>
    <row r="689" spans="1:26" ht="22.5" customHeight="1" x14ac:dyDescent="0.85">
      <c r="A689" s="377"/>
      <c r="B689" s="377"/>
      <c r="C689" s="377"/>
      <c r="D689" s="377"/>
      <c r="E689" s="377"/>
      <c r="F689" s="377"/>
      <c r="G689" s="377"/>
      <c r="H689" s="377"/>
      <c r="I689" s="377"/>
      <c r="J689" s="377"/>
      <c r="K689" s="377"/>
      <c r="L689" s="377"/>
      <c r="M689" s="377"/>
      <c r="N689" s="377"/>
      <c r="O689" s="377"/>
      <c r="P689" s="377"/>
      <c r="Q689" s="377"/>
      <c r="R689" s="377"/>
      <c r="S689" s="377"/>
      <c r="T689" s="3"/>
      <c r="U689" s="3"/>
      <c r="V689" s="3"/>
      <c r="W689" s="3"/>
      <c r="X689" s="3"/>
      <c r="Y689" s="3"/>
      <c r="Z689" s="3"/>
    </row>
    <row r="690" spans="1:26" ht="22.5" customHeight="1" x14ac:dyDescent="0.85">
      <c r="A690" s="377"/>
      <c r="B690" s="377"/>
      <c r="C690" s="377"/>
      <c r="D690" s="377"/>
      <c r="E690" s="377"/>
      <c r="F690" s="377"/>
      <c r="G690" s="377"/>
      <c r="H690" s="377"/>
      <c r="I690" s="377"/>
      <c r="J690" s="377"/>
      <c r="K690" s="377"/>
      <c r="L690" s="377"/>
      <c r="M690" s="377"/>
      <c r="N690" s="377"/>
      <c r="O690" s="377"/>
      <c r="P690" s="377"/>
      <c r="Q690" s="377"/>
      <c r="R690" s="377"/>
      <c r="S690" s="377"/>
      <c r="T690" s="3"/>
      <c r="U690" s="3"/>
      <c r="V690" s="3"/>
      <c r="W690" s="3"/>
      <c r="X690" s="3"/>
      <c r="Y690" s="3"/>
      <c r="Z690" s="3"/>
    </row>
    <row r="691" spans="1:26" ht="22.5" customHeight="1" x14ac:dyDescent="0.85">
      <c r="A691" s="377"/>
      <c r="B691" s="377"/>
      <c r="C691" s="377"/>
      <c r="D691" s="377"/>
      <c r="E691" s="377"/>
      <c r="F691" s="377"/>
      <c r="G691" s="377"/>
      <c r="H691" s="377"/>
      <c r="I691" s="377"/>
      <c r="J691" s="377"/>
      <c r="K691" s="377"/>
      <c r="L691" s="377"/>
      <c r="M691" s="377"/>
      <c r="N691" s="377"/>
      <c r="O691" s="377"/>
      <c r="P691" s="377"/>
      <c r="Q691" s="377"/>
      <c r="R691" s="377"/>
      <c r="S691" s="377"/>
      <c r="T691" s="3"/>
      <c r="U691" s="3"/>
      <c r="V691" s="3"/>
      <c r="W691" s="3"/>
      <c r="X691" s="3"/>
      <c r="Y691" s="3"/>
      <c r="Z691" s="3"/>
    </row>
    <row r="692" spans="1:26" ht="22.5" customHeight="1" x14ac:dyDescent="0.85">
      <c r="A692" s="377"/>
      <c r="B692" s="377"/>
      <c r="C692" s="377"/>
      <c r="D692" s="377"/>
      <c r="E692" s="377"/>
      <c r="F692" s="377"/>
      <c r="G692" s="377"/>
      <c r="H692" s="377"/>
      <c r="I692" s="377"/>
      <c r="J692" s="377"/>
      <c r="K692" s="377"/>
      <c r="L692" s="377"/>
      <c r="M692" s="377"/>
      <c r="N692" s="377"/>
      <c r="O692" s="377"/>
      <c r="P692" s="377"/>
      <c r="Q692" s="377"/>
      <c r="R692" s="377"/>
      <c r="S692" s="377"/>
      <c r="T692" s="3"/>
      <c r="U692" s="3"/>
      <c r="V692" s="3"/>
      <c r="W692" s="3"/>
      <c r="X692" s="3"/>
      <c r="Y692" s="3"/>
      <c r="Z692" s="3"/>
    </row>
    <row r="693" spans="1:26" ht="22.5" customHeight="1" x14ac:dyDescent="0.85">
      <c r="A693" s="377"/>
      <c r="B693" s="377"/>
      <c r="C693" s="377"/>
      <c r="D693" s="377"/>
      <c r="E693" s="377"/>
      <c r="F693" s="377"/>
      <c r="G693" s="377"/>
      <c r="H693" s="377"/>
      <c r="I693" s="377"/>
      <c r="J693" s="377"/>
      <c r="K693" s="377"/>
      <c r="L693" s="377"/>
      <c r="M693" s="377"/>
      <c r="N693" s="377"/>
      <c r="O693" s="377"/>
      <c r="P693" s="377"/>
      <c r="Q693" s="377"/>
      <c r="R693" s="377"/>
      <c r="S693" s="377"/>
      <c r="T693" s="3"/>
      <c r="U693" s="3"/>
      <c r="V693" s="3"/>
      <c r="W693" s="3"/>
      <c r="X693" s="3"/>
      <c r="Y693" s="3"/>
      <c r="Z693" s="3"/>
    </row>
    <row r="694" spans="1:26" ht="22.5" customHeight="1" x14ac:dyDescent="0.85">
      <c r="A694" s="377"/>
      <c r="B694" s="377"/>
      <c r="C694" s="377"/>
      <c r="D694" s="377"/>
      <c r="E694" s="377"/>
      <c r="F694" s="377"/>
      <c r="G694" s="377"/>
      <c r="H694" s="377"/>
      <c r="I694" s="377"/>
      <c r="J694" s="377"/>
      <c r="K694" s="377"/>
      <c r="L694" s="377"/>
      <c r="M694" s="377"/>
      <c r="N694" s="377"/>
      <c r="O694" s="377"/>
      <c r="P694" s="377"/>
      <c r="Q694" s="377"/>
      <c r="R694" s="377"/>
      <c r="S694" s="377"/>
      <c r="T694" s="3"/>
      <c r="U694" s="3"/>
      <c r="V694" s="3"/>
      <c r="W694" s="3"/>
      <c r="X694" s="3"/>
      <c r="Y694" s="3"/>
      <c r="Z694" s="3"/>
    </row>
    <row r="695" spans="1:26" ht="22.5" customHeight="1" x14ac:dyDescent="0.85">
      <c r="A695" s="377"/>
      <c r="B695" s="377"/>
      <c r="C695" s="377"/>
      <c r="D695" s="377"/>
      <c r="E695" s="377"/>
      <c r="F695" s="377"/>
      <c r="G695" s="377"/>
      <c r="H695" s="377"/>
      <c r="I695" s="377"/>
      <c r="J695" s="377"/>
      <c r="K695" s="377"/>
      <c r="L695" s="377"/>
      <c r="M695" s="377"/>
      <c r="N695" s="377"/>
      <c r="O695" s="377"/>
      <c r="P695" s="377"/>
      <c r="Q695" s="377"/>
      <c r="R695" s="377"/>
      <c r="S695" s="377"/>
      <c r="T695" s="3"/>
      <c r="U695" s="3"/>
      <c r="V695" s="3"/>
      <c r="W695" s="3"/>
      <c r="X695" s="3"/>
      <c r="Y695" s="3"/>
      <c r="Z695" s="3"/>
    </row>
    <row r="696" spans="1:26" ht="22.5" customHeight="1" x14ac:dyDescent="0.85">
      <c r="A696" s="377"/>
      <c r="B696" s="377"/>
      <c r="C696" s="377"/>
      <c r="D696" s="377"/>
      <c r="E696" s="377"/>
      <c r="F696" s="377"/>
      <c r="G696" s="377"/>
      <c r="H696" s="377"/>
      <c r="I696" s="377"/>
      <c r="J696" s="377"/>
      <c r="K696" s="377"/>
      <c r="L696" s="377"/>
      <c r="M696" s="377"/>
      <c r="N696" s="377"/>
      <c r="O696" s="377"/>
      <c r="P696" s="377"/>
      <c r="Q696" s="377"/>
      <c r="R696" s="377"/>
      <c r="S696" s="377"/>
      <c r="T696" s="3"/>
      <c r="U696" s="3"/>
      <c r="V696" s="3"/>
      <c r="W696" s="3"/>
      <c r="X696" s="3"/>
      <c r="Y696" s="3"/>
      <c r="Z696" s="3"/>
    </row>
    <row r="697" spans="1:26" ht="22.5" customHeight="1" x14ac:dyDescent="0.85">
      <c r="A697" s="377"/>
      <c r="B697" s="377"/>
      <c r="C697" s="377"/>
      <c r="D697" s="377"/>
      <c r="E697" s="377"/>
      <c r="F697" s="377"/>
      <c r="G697" s="377"/>
      <c r="H697" s="377"/>
      <c r="I697" s="377"/>
      <c r="J697" s="377"/>
      <c r="K697" s="377"/>
      <c r="L697" s="377"/>
      <c r="M697" s="377"/>
      <c r="N697" s="377"/>
      <c r="O697" s="377"/>
      <c r="P697" s="377"/>
      <c r="Q697" s="377"/>
      <c r="R697" s="377"/>
      <c r="S697" s="377"/>
      <c r="T697" s="3"/>
      <c r="U697" s="3"/>
      <c r="V697" s="3"/>
      <c r="W697" s="3"/>
      <c r="X697" s="3"/>
      <c r="Y697" s="3"/>
      <c r="Z697" s="3"/>
    </row>
    <row r="698" spans="1:26" ht="22.5" customHeight="1" x14ac:dyDescent="0.85">
      <c r="A698" s="377"/>
      <c r="B698" s="377"/>
      <c r="C698" s="377"/>
      <c r="D698" s="377"/>
      <c r="E698" s="377"/>
      <c r="F698" s="377"/>
      <c r="G698" s="377"/>
      <c r="H698" s="377"/>
      <c r="I698" s="377"/>
      <c r="J698" s="377"/>
      <c r="K698" s="377"/>
      <c r="L698" s="377"/>
      <c r="M698" s="377"/>
      <c r="N698" s="377"/>
      <c r="O698" s="377"/>
      <c r="P698" s="377"/>
      <c r="Q698" s="377"/>
      <c r="R698" s="377"/>
      <c r="S698" s="377"/>
      <c r="T698" s="3"/>
      <c r="U698" s="3"/>
      <c r="V698" s="3"/>
      <c r="W698" s="3"/>
      <c r="X698" s="3"/>
      <c r="Y698" s="3"/>
      <c r="Z698" s="3"/>
    </row>
    <row r="699" spans="1:26" ht="22.5" customHeight="1" x14ac:dyDescent="0.85">
      <c r="A699" s="377"/>
      <c r="B699" s="377"/>
      <c r="C699" s="377"/>
      <c r="D699" s="377"/>
      <c r="E699" s="377"/>
      <c r="F699" s="377"/>
      <c r="G699" s="377"/>
      <c r="H699" s="377"/>
      <c r="I699" s="377"/>
      <c r="J699" s="377"/>
      <c r="K699" s="377"/>
      <c r="L699" s="377"/>
      <c r="M699" s="377"/>
      <c r="N699" s="377"/>
      <c r="O699" s="377"/>
      <c r="P699" s="377"/>
      <c r="Q699" s="377"/>
      <c r="R699" s="377"/>
      <c r="S699" s="377"/>
      <c r="T699" s="3"/>
      <c r="U699" s="3"/>
      <c r="V699" s="3"/>
      <c r="W699" s="3"/>
      <c r="X699" s="3"/>
      <c r="Y699" s="3"/>
      <c r="Z699" s="3"/>
    </row>
    <row r="700" spans="1:26" ht="22.5" customHeight="1" x14ac:dyDescent="0.85">
      <c r="A700" s="377"/>
      <c r="B700" s="377"/>
      <c r="C700" s="377"/>
      <c r="D700" s="377"/>
      <c r="E700" s="377"/>
      <c r="F700" s="377"/>
      <c r="G700" s="377"/>
      <c r="H700" s="377"/>
      <c r="I700" s="377"/>
      <c r="J700" s="377"/>
      <c r="K700" s="377"/>
      <c r="L700" s="377"/>
      <c r="M700" s="377"/>
      <c r="N700" s="377"/>
      <c r="O700" s="377"/>
      <c r="P700" s="377"/>
      <c r="Q700" s="377"/>
      <c r="R700" s="377"/>
      <c r="S700" s="377"/>
      <c r="T700" s="3"/>
      <c r="U700" s="3"/>
      <c r="V700" s="3"/>
      <c r="W700" s="3"/>
      <c r="X700" s="3"/>
      <c r="Y700" s="3"/>
      <c r="Z700" s="3"/>
    </row>
    <row r="701" spans="1:26" ht="22.5" customHeight="1" x14ac:dyDescent="0.85">
      <c r="A701" s="377"/>
      <c r="B701" s="377"/>
      <c r="C701" s="377"/>
      <c r="D701" s="377"/>
      <c r="E701" s="377"/>
      <c r="F701" s="377"/>
      <c r="G701" s="377"/>
      <c r="H701" s="377"/>
      <c r="I701" s="377"/>
      <c r="J701" s="377"/>
      <c r="K701" s="377"/>
      <c r="L701" s="377"/>
      <c r="M701" s="377"/>
      <c r="N701" s="377"/>
      <c r="O701" s="377"/>
      <c r="P701" s="377"/>
      <c r="Q701" s="377"/>
      <c r="R701" s="377"/>
      <c r="S701" s="377"/>
      <c r="T701" s="3"/>
      <c r="U701" s="3"/>
      <c r="V701" s="3"/>
      <c r="W701" s="3"/>
      <c r="X701" s="3"/>
      <c r="Y701" s="3"/>
      <c r="Z701" s="3"/>
    </row>
    <row r="702" spans="1:26" ht="22.5" customHeight="1" x14ac:dyDescent="0.85">
      <c r="A702" s="377"/>
      <c r="B702" s="377"/>
      <c r="C702" s="377"/>
      <c r="D702" s="377"/>
      <c r="E702" s="377"/>
      <c r="F702" s="377"/>
      <c r="G702" s="377"/>
      <c r="H702" s="377"/>
      <c r="I702" s="377"/>
      <c r="J702" s="377"/>
      <c r="K702" s="377"/>
      <c r="L702" s="377"/>
      <c r="M702" s="377"/>
      <c r="N702" s="377"/>
      <c r="O702" s="377"/>
      <c r="P702" s="377"/>
      <c r="Q702" s="377"/>
      <c r="R702" s="377"/>
      <c r="S702" s="377"/>
      <c r="T702" s="3"/>
      <c r="U702" s="3"/>
      <c r="V702" s="3"/>
      <c r="W702" s="3"/>
      <c r="X702" s="3"/>
      <c r="Y702" s="3"/>
      <c r="Z702" s="3"/>
    </row>
    <row r="703" spans="1:26" ht="22.5" customHeight="1" x14ac:dyDescent="0.85">
      <c r="A703" s="377"/>
      <c r="B703" s="377"/>
      <c r="C703" s="377"/>
      <c r="D703" s="377"/>
      <c r="E703" s="377"/>
      <c r="F703" s="377"/>
      <c r="G703" s="377"/>
      <c r="H703" s="377"/>
      <c r="I703" s="377"/>
      <c r="J703" s="377"/>
      <c r="K703" s="377"/>
      <c r="L703" s="377"/>
      <c r="M703" s="377"/>
      <c r="N703" s="377"/>
      <c r="O703" s="377"/>
      <c r="P703" s="377"/>
      <c r="Q703" s="377"/>
      <c r="R703" s="377"/>
      <c r="S703" s="377"/>
      <c r="T703" s="3"/>
      <c r="U703" s="3"/>
      <c r="V703" s="3"/>
      <c r="W703" s="3"/>
      <c r="X703" s="3"/>
      <c r="Y703" s="3"/>
      <c r="Z703" s="3"/>
    </row>
    <row r="704" spans="1:26" ht="22.5" customHeight="1" x14ac:dyDescent="0.85">
      <c r="A704" s="377"/>
      <c r="B704" s="377"/>
      <c r="C704" s="377"/>
      <c r="D704" s="377"/>
      <c r="E704" s="377"/>
      <c r="F704" s="377"/>
      <c r="G704" s="377"/>
      <c r="H704" s="377"/>
      <c r="I704" s="377"/>
      <c r="J704" s="377"/>
      <c r="K704" s="377"/>
      <c r="L704" s="377"/>
      <c r="M704" s="377"/>
      <c r="N704" s="377"/>
      <c r="O704" s="377"/>
      <c r="P704" s="377"/>
      <c r="Q704" s="377"/>
      <c r="R704" s="377"/>
      <c r="S704" s="377"/>
      <c r="T704" s="3"/>
      <c r="U704" s="3"/>
      <c r="V704" s="3"/>
      <c r="W704" s="3"/>
      <c r="X704" s="3"/>
      <c r="Y704" s="3"/>
      <c r="Z704" s="3"/>
    </row>
    <row r="705" spans="1:26" ht="22.5" customHeight="1" x14ac:dyDescent="0.85">
      <c r="A705" s="377"/>
      <c r="B705" s="377"/>
      <c r="C705" s="377"/>
      <c r="D705" s="377"/>
      <c r="E705" s="377"/>
      <c r="F705" s="377"/>
      <c r="G705" s="377"/>
      <c r="H705" s="377"/>
      <c r="I705" s="377"/>
      <c r="J705" s="377"/>
      <c r="K705" s="377"/>
      <c r="L705" s="377"/>
      <c r="M705" s="377"/>
      <c r="N705" s="377"/>
      <c r="O705" s="377"/>
      <c r="P705" s="377"/>
      <c r="Q705" s="377"/>
      <c r="R705" s="377"/>
      <c r="S705" s="377"/>
      <c r="T705" s="3"/>
      <c r="U705" s="3"/>
      <c r="V705" s="3"/>
      <c r="W705" s="3"/>
      <c r="X705" s="3"/>
      <c r="Y705" s="3"/>
      <c r="Z705" s="3"/>
    </row>
    <row r="706" spans="1:26" ht="22.5" customHeight="1" x14ac:dyDescent="0.85">
      <c r="A706" s="377"/>
      <c r="B706" s="377"/>
      <c r="C706" s="377"/>
      <c r="D706" s="377"/>
      <c r="E706" s="377"/>
      <c r="F706" s="377"/>
      <c r="G706" s="377"/>
      <c r="H706" s="377"/>
      <c r="I706" s="377"/>
      <c r="J706" s="377"/>
      <c r="K706" s="377"/>
      <c r="L706" s="377"/>
      <c r="M706" s="377"/>
      <c r="N706" s="377"/>
      <c r="O706" s="377"/>
      <c r="P706" s="377"/>
      <c r="Q706" s="377"/>
      <c r="R706" s="377"/>
      <c r="S706" s="377"/>
      <c r="T706" s="3"/>
      <c r="U706" s="3"/>
      <c r="V706" s="3"/>
      <c r="W706" s="3"/>
      <c r="X706" s="3"/>
      <c r="Y706" s="3"/>
      <c r="Z706" s="3"/>
    </row>
    <row r="707" spans="1:26" ht="22.5" customHeight="1" x14ac:dyDescent="0.85">
      <c r="A707" s="377"/>
      <c r="B707" s="377"/>
      <c r="C707" s="377"/>
      <c r="D707" s="377"/>
      <c r="E707" s="377"/>
      <c r="F707" s="377"/>
      <c r="G707" s="377"/>
      <c r="H707" s="377"/>
      <c r="I707" s="377"/>
      <c r="J707" s="377"/>
      <c r="K707" s="377"/>
      <c r="L707" s="377"/>
      <c r="M707" s="377"/>
      <c r="N707" s="377"/>
      <c r="O707" s="377"/>
      <c r="P707" s="377"/>
      <c r="Q707" s="377"/>
      <c r="R707" s="377"/>
      <c r="S707" s="377"/>
      <c r="T707" s="3"/>
      <c r="U707" s="3"/>
      <c r="V707" s="3"/>
      <c r="W707" s="3"/>
      <c r="X707" s="3"/>
      <c r="Y707" s="3"/>
      <c r="Z707" s="3"/>
    </row>
    <row r="708" spans="1:26" ht="22.5" customHeight="1" x14ac:dyDescent="0.85">
      <c r="A708" s="377"/>
      <c r="B708" s="377"/>
      <c r="C708" s="377"/>
      <c r="D708" s="377"/>
      <c r="E708" s="377"/>
      <c r="F708" s="377"/>
      <c r="G708" s="377"/>
      <c r="H708" s="377"/>
      <c r="I708" s="377"/>
      <c r="J708" s="377"/>
      <c r="K708" s="377"/>
      <c r="L708" s="377"/>
      <c r="M708" s="377"/>
      <c r="N708" s="377"/>
      <c r="O708" s="377"/>
      <c r="P708" s="377"/>
      <c r="Q708" s="377"/>
      <c r="R708" s="377"/>
      <c r="S708" s="377"/>
      <c r="T708" s="3"/>
      <c r="U708" s="3"/>
      <c r="V708" s="3"/>
      <c r="W708" s="3"/>
      <c r="X708" s="3"/>
      <c r="Y708" s="3"/>
      <c r="Z708" s="3"/>
    </row>
    <row r="709" spans="1:26" ht="22.5" customHeight="1" x14ac:dyDescent="0.85">
      <c r="A709" s="377"/>
      <c r="B709" s="377"/>
      <c r="C709" s="377"/>
      <c r="D709" s="377"/>
      <c r="E709" s="377"/>
      <c r="F709" s="377"/>
      <c r="G709" s="377"/>
      <c r="H709" s="377"/>
      <c r="I709" s="377"/>
      <c r="J709" s="377"/>
      <c r="K709" s="377"/>
      <c r="L709" s="377"/>
      <c r="M709" s="377"/>
      <c r="N709" s="377"/>
      <c r="O709" s="377"/>
      <c r="P709" s="377"/>
      <c r="Q709" s="377"/>
      <c r="R709" s="377"/>
      <c r="S709" s="377"/>
      <c r="T709" s="3"/>
      <c r="U709" s="3"/>
      <c r="V709" s="3"/>
      <c r="W709" s="3"/>
      <c r="X709" s="3"/>
      <c r="Y709" s="3"/>
      <c r="Z709" s="3"/>
    </row>
    <row r="710" spans="1:26" ht="22.5" customHeight="1" x14ac:dyDescent="0.85">
      <c r="A710" s="377"/>
      <c r="B710" s="377"/>
      <c r="C710" s="377"/>
      <c r="D710" s="377"/>
      <c r="E710" s="377"/>
      <c r="F710" s="377"/>
      <c r="G710" s="377"/>
      <c r="H710" s="377"/>
      <c r="I710" s="377"/>
      <c r="J710" s="377"/>
      <c r="K710" s="377"/>
      <c r="L710" s="377"/>
      <c r="M710" s="377"/>
      <c r="N710" s="377"/>
      <c r="O710" s="377"/>
      <c r="P710" s="377"/>
      <c r="Q710" s="377"/>
      <c r="R710" s="377"/>
      <c r="S710" s="377"/>
      <c r="T710" s="3"/>
      <c r="U710" s="3"/>
      <c r="V710" s="3"/>
      <c r="W710" s="3"/>
      <c r="X710" s="3"/>
      <c r="Y710" s="3"/>
      <c r="Z710" s="3"/>
    </row>
    <row r="711" spans="1:26" ht="22.5" customHeight="1" x14ac:dyDescent="0.85">
      <c r="A711" s="377"/>
      <c r="B711" s="377"/>
      <c r="C711" s="377"/>
      <c r="D711" s="377"/>
      <c r="E711" s="377"/>
      <c r="F711" s="377"/>
      <c r="G711" s="377"/>
      <c r="H711" s="377"/>
      <c r="I711" s="377"/>
      <c r="J711" s="377"/>
      <c r="K711" s="377"/>
      <c r="L711" s="377"/>
      <c r="M711" s="377"/>
      <c r="N711" s="377"/>
      <c r="O711" s="377"/>
      <c r="P711" s="377"/>
      <c r="Q711" s="377"/>
      <c r="R711" s="377"/>
      <c r="S711" s="377"/>
      <c r="T711" s="3"/>
      <c r="U711" s="3"/>
      <c r="V711" s="3"/>
      <c r="W711" s="3"/>
      <c r="X711" s="3"/>
      <c r="Y711" s="3"/>
      <c r="Z711" s="3"/>
    </row>
    <row r="712" spans="1:26" ht="22.5" customHeight="1" x14ac:dyDescent="0.85">
      <c r="A712" s="377"/>
      <c r="B712" s="377"/>
      <c r="C712" s="377"/>
      <c r="D712" s="377"/>
      <c r="E712" s="377"/>
      <c r="F712" s="377"/>
      <c r="G712" s="377"/>
      <c r="H712" s="377"/>
      <c r="I712" s="377"/>
      <c r="J712" s="377"/>
      <c r="K712" s="377"/>
      <c r="L712" s="377"/>
      <c r="M712" s="377"/>
      <c r="N712" s="377"/>
      <c r="O712" s="377"/>
      <c r="P712" s="377"/>
      <c r="Q712" s="377"/>
      <c r="R712" s="377"/>
      <c r="S712" s="377"/>
      <c r="T712" s="3"/>
      <c r="U712" s="3"/>
      <c r="V712" s="3"/>
      <c r="W712" s="3"/>
      <c r="X712" s="3"/>
      <c r="Y712" s="3"/>
      <c r="Z712" s="3"/>
    </row>
    <row r="713" spans="1:26" ht="22.5" customHeight="1" x14ac:dyDescent="0.85">
      <c r="A713" s="377"/>
      <c r="B713" s="377"/>
      <c r="C713" s="377"/>
      <c r="D713" s="377"/>
      <c r="E713" s="377"/>
      <c r="F713" s="377"/>
      <c r="G713" s="377"/>
      <c r="H713" s="377"/>
      <c r="I713" s="377"/>
      <c r="J713" s="377"/>
      <c r="K713" s="377"/>
      <c r="L713" s="377"/>
      <c r="M713" s="377"/>
      <c r="N713" s="377"/>
      <c r="O713" s="377"/>
      <c r="P713" s="377"/>
      <c r="Q713" s="377"/>
      <c r="R713" s="377"/>
      <c r="S713" s="377"/>
      <c r="T713" s="3"/>
      <c r="U713" s="3"/>
      <c r="V713" s="3"/>
      <c r="W713" s="3"/>
      <c r="X713" s="3"/>
      <c r="Y713" s="3"/>
      <c r="Z713" s="3"/>
    </row>
    <row r="714" spans="1:26" ht="22.5" customHeight="1" x14ac:dyDescent="0.85">
      <c r="A714" s="377"/>
      <c r="B714" s="377"/>
      <c r="C714" s="377"/>
      <c r="D714" s="377"/>
      <c r="E714" s="377"/>
      <c r="F714" s="377"/>
      <c r="G714" s="377"/>
      <c r="H714" s="377"/>
      <c r="I714" s="377"/>
      <c r="J714" s="377"/>
      <c r="K714" s="377"/>
      <c r="L714" s="377"/>
      <c r="M714" s="377"/>
      <c r="N714" s="377"/>
      <c r="O714" s="377"/>
      <c r="P714" s="377"/>
      <c r="Q714" s="377"/>
      <c r="R714" s="377"/>
      <c r="S714" s="377"/>
      <c r="T714" s="3"/>
      <c r="U714" s="3"/>
      <c r="V714" s="3"/>
      <c r="W714" s="3"/>
      <c r="X714" s="3"/>
      <c r="Y714" s="3"/>
      <c r="Z714" s="3"/>
    </row>
    <row r="715" spans="1:26" ht="22.5" customHeight="1" x14ac:dyDescent="0.85">
      <c r="A715" s="377"/>
      <c r="B715" s="377"/>
      <c r="C715" s="377"/>
      <c r="D715" s="377"/>
      <c r="E715" s="377"/>
      <c r="F715" s="377"/>
      <c r="G715" s="377"/>
      <c r="H715" s="377"/>
      <c r="I715" s="377"/>
      <c r="J715" s="377"/>
      <c r="K715" s="377"/>
      <c r="L715" s="377"/>
      <c r="M715" s="377"/>
      <c r="N715" s="377"/>
      <c r="O715" s="377"/>
      <c r="P715" s="377"/>
      <c r="Q715" s="377"/>
      <c r="R715" s="377"/>
      <c r="S715" s="377"/>
      <c r="T715" s="3"/>
      <c r="U715" s="3"/>
      <c r="V715" s="3"/>
      <c r="W715" s="3"/>
      <c r="X715" s="3"/>
      <c r="Y715" s="3"/>
      <c r="Z715" s="3"/>
    </row>
    <row r="716" spans="1:26" ht="22.5" customHeight="1" x14ac:dyDescent="0.85">
      <c r="A716" s="377"/>
      <c r="B716" s="377"/>
      <c r="C716" s="377"/>
      <c r="D716" s="377"/>
      <c r="E716" s="377"/>
      <c r="F716" s="377"/>
      <c r="G716" s="377"/>
      <c r="H716" s="377"/>
      <c r="I716" s="377"/>
      <c r="J716" s="377"/>
      <c r="K716" s="377"/>
      <c r="L716" s="377"/>
      <c r="M716" s="377"/>
      <c r="N716" s="377"/>
      <c r="O716" s="377"/>
      <c r="P716" s="377"/>
      <c r="Q716" s="377"/>
      <c r="R716" s="377"/>
      <c r="S716" s="377"/>
      <c r="T716" s="3"/>
      <c r="U716" s="3"/>
      <c r="V716" s="3"/>
      <c r="W716" s="3"/>
      <c r="X716" s="3"/>
      <c r="Y716" s="3"/>
      <c r="Z716" s="3"/>
    </row>
    <row r="717" spans="1:26" ht="22.5" customHeight="1" x14ac:dyDescent="0.85">
      <c r="A717" s="377"/>
      <c r="B717" s="377"/>
      <c r="C717" s="377"/>
      <c r="D717" s="377"/>
      <c r="E717" s="377"/>
      <c r="F717" s="377"/>
      <c r="G717" s="377"/>
      <c r="H717" s="377"/>
      <c r="I717" s="377"/>
      <c r="J717" s="377"/>
      <c r="K717" s="377"/>
      <c r="L717" s="377"/>
      <c r="M717" s="377"/>
      <c r="N717" s="377"/>
      <c r="O717" s="377"/>
      <c r="P717" s="377"/>
      <c r="Q717" s="377"/>
      <c r="R717" s="377"/>
      <c r="S717" s="377"/>
      <c r="T717" s="3"/>
      <c r="U717" s="3"/>
      <c r="V717" s="3"/>
      <c r="W717" s="3"/>
      <c r="X717" s="3"/>
      <c r="Y717" s="3"/>
      <c r="Z717" s="3"/>
    </row>
    <row r="718" spans="1:26" ht="22.5" customHeight="1" x14ac:dyDescent="0.85">
      <c r="A718" s="377"/>
      <c r="B718" s="377"/>
      <c r="C718" s="377"/>
      <c r="D718" s="377"/>
      <c r="E718" s="377"/>
      <c r="F718" s="377"/>
      <c r="G718" s="377"/>
      <c r="H718" s="377"/>
      <c r="I718" s="377"/>
      <c r="J718" s="377"/>
      <c r="K718" s="377"/>
      <c r="L718" s="377"/>
      <c r="M718" s="377"/>
      <c r="N718" s="377"/>
      <c r="O718" s="377"/>
      <c r="P718" s="377"/>
      <c r="Q718" s="377"/>
      <c r="R718" s="377"/>
      <c r="S718" s="377"/>
      <c r="T718" s="3"/>
      <c r="U718" s="3"/>
      <c r="V718" s="3"/>
      <c r="W718" s="3"/>
      <c r="X718" s="3"/>
      <c r="Y718" s="3"/>
      <c r="Z718" s="3"/>
    </row>
    <row r="719" spans="1:26" ht="22.5" customHeight="1" x14ac:dyDescent="0.85">
      <c r="A719" s="377"/>
      <c r="B719" s="377"/>
      <c r="C719" s="377"/>
      <c r="D719" s="377"/>
      <c r="E719" s="377"/>
      <c r="F719" s="377"/>
      <c r="G719" s="377"/>
      <c r="H719" s="377"/>
      <c r="I719" s="377"/>
      <c r="J719" s="377"/>
      <c r="K719" s="377"/>
      <c r="L719" s="377"/>
      <c r="M719" s="377"/>
      <c r="N719" s="377"/>
      <c r="O719" s="377"/>
      <c r="P719" s="377"/>
      <c r="Q719" s="377"/>
      <c r="R719" s="377"/>
      <c r="S719" s="377"/>
      <c r="T719" s="3"/>
      <c r="U719" s="3"/>
      <c r="V719" s="3"/>
      <c r="W719" s="3"/>
      <c r="X719" s="3"/>
      <c r="Y719" s="3"/>
      <c r="Z719" s="3"/>
    </row>
    <row r="720" spans="1:26" ht="22.5" customHeight="1" x14ac:dyDescent="0.85">
      <c r="A720" s="377"/>
      <c r="B720" s="377"/>
      <c r="C720" s="377"/>
      <c r="D720" s="377"/>
      <c r="E720" s="377"/>
      <c r="F720" s="377"/>
      <c r="G720" s="377"/>
      <c r="H720" s="377"/>
      <c r="I720" s="377"/>
      <c r="J720" s="377"/>
      <c r="K720" s="377"/>
      <c r="L720" s="377"/>
      <c r="M720" s="377"/>
      <c r="N720" s="377"/>
      <c r="O720" s="377"/>
      <c r="P720" s="377"/>
      <c r="Q720" s="377"/>
      <c r="R720" s="377"/>
      <c r="S720" s="377"/>
      <c r="T720" s="3"/>
      <c r="U720" s="3"/>
      <c r="V720" s="3"/>
      <c r="W720" s="3"/>
      <c r="X720" s="3"/>
      <c r="Y720" s="3"/>
      <c r="Z720" s="3"/>
    </row>
    <row r="721" spans="1:26" ht="22.5" customHeight="1" x14ac:dyDescent="0.85">
      <c r="A721" s="377"/>
      <c r="B721" s="377"/>
      <c r="C721" s="377"/>
      <c r="D721" s="377"/>
      <c r="E721" s="377"/>
      <c r="F721" s="377"/>
      <c r="G721" s="377"/>
      <c r="H721" s="377"/>
      <c r="I721" s="377"/>
      <c r="J721" s="377"/>
      <c r="K721" s="377"/>
      <c r="L721" s="377"/>
      <c r="M721" s="377"/>
      <c r="N721" s="377"/>
      <c r="O721" s="377"/>
      <c r="P721" s="377"/>
      <c r="Q721" s="377"/>
      <c r="R721" s="377"/>
      <c r="S721" s="377"/>
      <c r="T721" s="3"/>
      <c r="U721" s="3"/>
      <c r="V721" s="3"/>
      <c r="W721" s="3"/>
      <c r="X721" s="3"/>
      <c r="Y721" s="3"/>
      <c r="Z721" s="3"/>
    </row>
    <row r="722" spans="1:26" ht="22.5" customHeight="1" x14ac:dyDescent="0.85">
      <c r="A722" s="377"/>
      <c r="B722" s="377"/>
      <c r="C722" s="377"/>
      <c r="D722" s="377"/>
      <c r="E722" s="377"/>
      <c r="F722" s="377"/>
      <c r="G722" s="377"/>
      <c r="H722" s="377"/>
      <c r="I722" s="377"/>
      <c r="J722" s="377"/>
      <c r="K722" s="377"/>
      <c r="L722" s="377"/>
      <c r="M722" s="377"/>
      <c r="N722" s="377"/>
      <c r="O722" s="377"/>
      <c r="P722" s="377"/>
      <c r="Q722" s="377"/>
      <c r="R722" s="377"/>
      <c r="S722" s="377"/>
      <c r="T722" s="3"/>
      <c r="U722" s="3"/>
      <c r="V722" s="3"/>
      <c r="W722" s="3"/>
      <c r="X722" s="3"/>
      <c r="Y722" s="3"/>
      <c r="Z722" s="3"/>
    </row>
    <row r="723" spans="1:26" ht="22.5" customHeight="1" x14ac:dyDescent="0.85">
      <c r="A723" s="377"/>
      <c r="B723" s="377"/>
      <c r="C723" s="377"/>
      <c r="D723" s="377"/>
      <c r="E723" s="377"/>
      <c r="F723" s="377"/>
      <c r="G723" s="377"/>
      <c r="H723" s="377"/>
      <c r="I723" s="377"/>
      <c r="J723" s="377"/>
      <c r="K723" s="377"/>
      <c r="L723" s="377"/>
      <c r="M723" s="377"/>
      <c r="N723" s="377"/>
      <c r="O723" s="377"/>
      <c r="P723" s="377"/>
      <c r="Q723" s="377"/>
      <c r="R723" s="377"/>
      <c r="S723" s="377"/>
      <c r="T723" s="3"/>
      <c r="U723" s="3"/>
      <c r="V723" s="3"/>
      <c r="W723" s="3"/>
      <c r="X723" s="3"/>
      <c r="Y723" s="3"/>
      <c r="Z723" s="3"/>
    </row>
    <row r="724" spans="1:26" ht="22.5" customHeight="1" x14ac:dyDescent="0.85">
      <c r="A724" s="377"/>
      <c r="B724" s="377"/>
      <c r="C724" s="377"/>
      <c r="D724" s="377"/>
      <c r="E724" s="377"/>
      <c r="F724" s="377"/>
      <c r="G724" s="377"/>
      <c r="H724" s="377"/>
      <c r="I724" s="377"/>
      <c r="J724" s="377"/>
      <c r="K724" s="377"/>
      <c r="L724" s="377"/>
      <c r="M724" s="377"/>
      <c r="N724" s="377"/>
      <c r="O724" s="377"/>
      <c r="P724" s="377"/>
      <c r="Q724" s="377"/>
      <c r="R724" s="377"/>
      <c r="S724" s="377"/>
      <c r="T724" s="3"/>
      <c r="U724" s="3"/>
      <c r="V724" s="3"/>
      <c r="W724" s="3"/>
      <c r="X724" s="3"/>
      <c r="Y724" s="3"/>
      <c r="Z724" s="3"/>
    </row>
    <row r="725" spans="1:26" ht="22.5" customHeight="1" x14ac:dyDescent="0.85">
      <c r="A725" s="377"/>
      <c r="B725" s="377"/>
      <c r="C725" s="377"/>
      <c r="D725" s="377"/>
      <c r="E725" s="377"/>
      <c r="F725" s="377"/>
      <c r="G725" s="377"/>
      <c r="H725" s="377"/>
      <c r="I725" s="377"/>
      <c r="J725" s="377"/>
      <c r="K725" s="377"/>
      <c r="L725" s="377"/>
      <c r="M725" s="377"/>
      <c r="N725" s="377"/>
      <c r="O725" s="377"/>
      <c r="P725" s="377"/>
      <c r="Q725" s="377"/>
      <c r="R725" s="377"/>
      <c r="S725" s="377"/>
      <c r="T725" s="3"/>
      <c r="U725" s="3"/>
      <c r="V725" s="3"/>
      <c r="W725" s="3"/>
      <c r="X725" s="3"/>
      <c r="Y725" s="3"/>
      <c r="Z725" s="3"/>
    </row>
    <row r="726" spans="1:26" ht="22.5" customHeight="1" x14ac:dyDescent="0.85">
      <c r="A726" s="377"/>
      <c r="B726" s="377"/>
      <c r="C726" s="377"/>
      <c r="D726" s="377"/>
      <c r="E726" s="377"/>
      <c r="F726" s="377"/>
      <c r="G726" s="377"/>
      <c r="H726" s="377"/>
      <c r="I726" s="377"/>
      <c r="J726" s="377"/>
      <c r="K726" s="377"/>
      <c r="L726" s="377"/>
      <c r="M726" s="377"/>
      <c r="N726" s="377"/>
      <c r="O726" s="377"/>
      <c r="P726" s="377"/>
      <c r="Q726" s="377"/>
      <c r="R726" s="377"/>
      <c r="S726" s="377"/>
      <c r="T726" s="3"/>
      <c r="U726" s="3"/>
      <c r="V726" s="3"/>
      <c r="W726" s="3"/>
      <c r="X726" s="3"/>
      <c r="Y726" s="3"/>
      <c r="Z726" s="3"/>
    </row>
    <row r="727" spans="1:26" ht="22.5" customHeight="1" x14ac:dyDescent="0.85">
      <c r="A727" s="377"/>
      <c r="B727" s="377"/>
      <c r="C727" s="377"/>
      <c r="D727" s="377"/>
      <c r="E727" s="377"/>
      <c r="F727" s="377"/>
      <c r="G727" s="377"/>
      <c r="H727" s="377"/>
      <c r="I727" s="377"/>
      <c r="J727" s="377"/>
      <c r="K727" s="377"/>
      <c r="L727" s="377"/>
      <c r="M727" s="377"/>
      <c r="N727" s="377"/>
      <c r="O727" s="377"/>
      <c r="P727" s="377"/>
      <c r="Q727" s="377"/>
      <c r="R727" s="377"/>
      <c r="S727" s="377"/>
      <c r="T727" s="3"/>
      <c r="U727" s="3"/>
      <c r="V727" s="3"/>
      <c r="W727" s="3"/>
      <c r="X727" s="3"/>
      <c r="Y727" s="3"/>
      <c r="Z727" s="3"/>
    </row>
    <row r="728" spans="1:26" ht="22.5" customHeight="1" x14ac:dyDescent="0.85">
      <c r="A728" s="377"/>
      <c r="B728" s="377"/>
      <c r="C728" s="377"/>
      <c r="D728" s="377"/>
      <c r="E728" s="377"/>
      <c r="F728" s="377"/>
      <c r="G728" s="377"/>
      <c r="H728" s="377"/>
      <c r="I728" s="377"/>
      <c r="J728" s="377"/>
      <c r="K728" s="377"/>
      <c r="L728" s="377"/>
      <c r="M728" s="377"/>
      <c r="N728" s="377"/>
      <c r="O728" s="377"/>
      <c r="P728" s="377"/>
      <c r="Q728" s="377"/>
      <c r="R728" s="377"/>
      <c r="S728" s="377"/>
      <c r="T728" s="3"/>
      <c r="U728" s="3"/>
      <c r="V728" s="3"/>
      <c r="W728" s="3"/>
      <c r="X728" s="3"/>
      <c r="Y728" s="3"/>
      <c r="Z728" s="3"/>
    </row>
    <row r="729" spans="1:26" ht="22.5" customHeight="1" x14ac:dyDescent="0.85">
      <c r="A729" s="377"/>
      <c r="B729" s="377"/>
      <c r="C729" s="377"/>
      <c r="D729" s="377"/>
      <c r="E729" s="377"/>
      <c r="F729" s="377"/>
      <c r="G729" s="377"/>
      <c r="H729" s="377"/>
      <c r="I729" s="377"/>
      <c r="J729" s="377"/>
      <c r="K729" s="377"/>
      <c r="L729" s="377"/>
      <c r="M729" s="377"/>
      <c r="N729" s="377"/>
      <c r="O729" s="377"/>
      <c r="P729" s="377"/>
      <c r="Q729" s="377"/>
      <c r="R729" s="377"/>
      <c r="S729" s="377"/>
      <c r="T729" s="3"/>
      <c r="U729" s="3"/>
      <c r="V729" s="3"/>
      <c r="W729" s="3"/>
      <c r="X729" s="3"/>
      <c r="Y729" s="3"/>
      <c r="Z729" s="3"/>
    </row>
    <row r="730" spans="1:26" ht="22.5" customHeight="1" x14ac:dyDescent="0.85">
      <c r="A730" s="377"/>
      <c r="B730" s="377"/>
      <c r="C730" s="377"/>
      <c r="D730" s="377"/>
      <c r="E730" s="377"/>
      <c r="F730" s="377"/>
      <c r="G730" s="377"/>
      <c r="H730" s="377"/>
      <c r="I730" s="377"/>
      <c r="J730" s="377"/>
      <c r="K730" s="377"/>
      <c r="L730" s="377"/>
      <c r="M730" s="377"/>
      <c r="N730" s="377"/>
      <c r="O730" s="377"/>
      <c r="P730" s="377"/>
      <c r="Q730" s="377"/>
      <c r="R730" s="377"/>
      <c r="S730" s="377"/>
      <c r="T730" s="3"/>
      <c r="U730" s="3"/>
      <c r="V730" s="3"/>
      <c r="W730" s="3"/>
      <c r="X730" s="3"/>
      <c r="Y730" s="3"/>
      <c r="Z730" s="3"/>
    </row>
    <row r="731" spans="1:26" ht="22.5" customHeight="1" x14ac:dyDescent="0.85">
      <c r="A731" s="377"/>
      <c r="B731" s="377"/>
      <c r="C731" s="377"/>
      <c r="D731" s="377"/>
      <c r="E731" s="377"/>
      <c r="F731" s="377"/>
      <c r="G731" s="377"/>
      <c r="H731" s="377"/>
      <c r="I731" s="377"/>
      <c r="J731" s="377"/>
      <c r="K731" s="377"/>
      <c r="L731" s="377"/>
      <c r="M731" s="377"/>
      <c r="N731" s="377"/>
      <c r="O731" s="377"/>
      <c r="P731" s="377"/>
      <c r="Q731" s="377"/>
      <c r="R731" s="377"/>
      <c r="S731" s="377"/>
      <c r="T731" s="3"/>
      <c r="U731" s="3"/>
      <c r="V731" s="3"/>
      <c r="W731" s="3"/>
      <c r="X731" s="3"/>
      <c r="Y731" s="3"/>
      <c r="Z731" s="3"/>
    </row>
    <row r="732" spans="1:26" ht="22.5" customHeight="1" x14ac:dyDescent="0.85">
      <c r="A732" s="377"/>
      <c r="B732" s="377"/>
      <c r="C732" s="377"/>
      <c r="D732" s="377"/>
      <c r="E732" s="377"/>
      <c r="F732" s="377"/>
      <c r="G732" s="377"/>
      <c r="H732" s="377"/>
      <c r="I732" s="377"/>
      <c r="J732" s="377"/>
      <c r="K732" s="377"/>
      <c r="L732" s="377"/>
      <c r="M732" s="377"/>
      <c r="N732" s="377"/>
      <c r="O732" s="377"/>
      <c r="P732" s="377"/>
      <c r="Q732" s="377"/>
      <c r="R732" s="377"/>
      <c r="S732" s="377"/>
      <c r="T732" s="3"/>
      <c r="U732" s="3"/>
      <c r="V732" s="3"/>
      <c r="W732" s="3"/>
      <c r="X732" s="3"/>
      <c r="Y732" s="3"/>
      <c r="Z732" s="3"/>
    </row>
    <row r="733" spans="1:26" ht="22.5" customHeight="1" x14ac:dyDescent="0.85">
      <c r="A733" s="377"/>
      <c r="B733" s="377"/>
      <c r="C733" s="377"/>
      <c r="D733" s="377"/>
      <c r="E733" s="377"/>
      <c r="F733" s="377"/>
      <c r="G733" s="377"/>
      <c r="H733" s="377"/>
      <c r="I733" s="377"/>
      <c r="J733" s="377"/>
      <c r="K733" s="377"/>
      <c r="L733" s="377"/>
      <c r="M733" s="377"/>
      <c r="N733" s="377"/>
      <c r="O733" s="377"/>
      <c r="P733" s="377"/>
      <c r="Q733" s="377"/>
      <c r="R733" s="377"/>
      <c r="S733" s="377"/>
      <c r="T733" s="3"/>
      <c r="U733" s="3"/>
      <c r="V733" s="3"/>
      <c r="W733" s="3"/>
      <c r="X733" s="3"/>
      <c r="Y733" s="3"/>
      <c r="Z733" s="3"/>
    </row>
    <row r="734" spans="1:26" ht="22.5" customHeight="1" x14ac:dyDescent="0.85">
      <c r="A734" s="377"/>
      <c r="B734" s="377"/>
      <c r="C734" s="377"/>
      <c r="D734" s="377"/>
      <c r="E734" s="377"/>
      <c r="F734" s="377"/>
      <c r="G734" s="377"/>
      <c r="H734" s="377"/>
      <c r="I734" s="377"/>
      <c r="J734" s="377"/>
      <c r="K734" s="377"/>
      <c r="L734" s="377"/>
      <c r="M734" s="377"/>
      <c r="N734" s="377"/>
      <c r="O734" s="377"/>
      <c r="P734" s="377"/>
      <c r="Q734" s="377"/>
      <c r="R734" s="377"/>
      <c r="S734" s="377"/>
      <c r="T734" s="3"/>
      <c r="U734" s="3"/>
      <c r="V734" s="3"/>
      <c r="W734" s="3"/>
      <c r="X734" s="3"/>
      <c r="Y734" s="3"/>
      <c r="Z734" s="3"/>
    </row>
    <row r="735" spans="1:26" ht="22.5" customHeight="1" x14ac:dyDescent="0.85">
      <c r="A735" s="377"/>
      <c r="B735" s="377"/>
      <c r="C735" s="377"/>
      <c r="D735" s="377"/>
      <c r="E735" s="377"/>
      <c r="F735" s="377"/>
      <c r="G735" s="377"/>
      <c r="H735" s="377"/>
      <c r="I735" s="377"/>
      <c r="J735" s="377"/>
      <c r="K735" s="377"/>
      <c r="L735" s="377"/>
      <c r="M735" s="377"/>
      <c r="N735" s="377"/>
      <c r="O735" s="377"/>
      <c r="P735" s="377"/>
      <c r="Q735" s="377"/>
      <c r="R735" s="377"/>
      <c r="S735" s="377"/>
      <c r="T735" s="3"/>
      <c r="U735" s="3"/>
      <c r="V735" s="3"/>
      <c r="W735" s="3"/>
      <c r="X735" s="3"/>
      <c r="Y735" s="3"/>
      <c r="Z735" s="3"/>
    </row>
    <row r="736" spans="1:26" ht="22.5" customHeight="1" x14ac:dyDescent="0.85">
      <c r="A736" s="377"/>
      <c r="B736" s="377"/>
      <c r="C736" s="377"/>
      <c r="D736" s="377"/>
      <c r="E736" s="377"/>
      <c r="F736" s="377"/>
      <c r="G736" s="377"/>
      <c r="H736" s="377"/>
      <c r="I736" s="377"/>
      <c r="J736" s="377"/>
      <c r="K736" s="377"/>
      <c r="L736" s="377"/>
      <c r="M736" s="377"/>
      <c r="N736" s="377"/>
      <c r="O736" s="377"/>
      <c r="P736" s="377"/>
      <c r="Q736" s="377"/>
      <c r="R736" s="377"/>
      <c r="S736" s="377"/>
      <c r="T736" s="3"/>
      <c r="U736" s="3"/>
      <c r="V736" s="3"/>
      <c r="W736" s="3"/>
      <c r="X736" s="3"/>
      <c r="Y736" s="3"/>
      <c r="Z736" s="3"/>
    </row>
    <row r="737" spans="1:26" ht="22.5" customHeight="1" x14ac:dyDescent="0.85">
      <c r="A737" s="377"/>
      <c r="B737" s="377"/>
      <c r="C737" s="377"/>
      <c r="D737" s="377"/>
      <c r="E737" s="377"/>
      <c r="F737" s="377"/>
      <c r="G737" s="377"/>
      <c r="H737" s="377"/>
      <c r="I737" s="377"/>
      <c r="J737" s="377"/>
      <c r="K737" s="377"/>
      <c r="L737" s="377"/>
      <c r="M737" s="377"/>
      <c r="N737" s="377"/>
      <c r="O737" s="377"/>
      <c r="P737" s="377"/>
      <c r="Q737" s="377"/>
      <c r="R737" s="377"/>
      <c r="S737" s="377"/>
      <c r="T737" s="3"/>
      <c r="U737" s="3"/>
      <c r="V737" s="3"/>
      <c r="W737" s="3"/>
      <c r="X737" s="3"/>
      <c r="Y737" s="3"/>
      <c r="Z737" s="3"/>
    </row>
    <row r="738" spans="1:26" ht="22.5" customHeight="1" x14ac:dyDescent="0.85">
      <c r="A738" s="377"/>
      <c r="B738" s="377"/>
      <c r="C738" s="377"/>
      <c r="D738" s="377"/>
      <c r="E738" s="377"/>
      <c r="F738" s="377"/>
      <c r="G738" s="377"/>
      <c r="H738" s="377"/>
      <c r="I738" s="377"/>
      <c r="J738" s="377"/>
      <c r="K738" s="377"/>
      <c r="L738" s="377"/>
      <c r="M738" s="377"/>
      <c r="N738" s="377"/>
      <c r="O738" s="377"/>
      <c r="P738" s="377"/>
      <c r="Q738" s="377"/>
      <c r="R738" s="377"/>
      <c r="S738" s="377"/>
      <c r="T738" s="3"/>
      <c r="U738" s="3"/>
      <c r="V738" s="3"/>
      <c r="W738" s="3"/>
      <c r="X738" s="3"/>
      <c r="Y738" s="3"/>
      <c r="Z738" s="3"/>
    </row>
    <row r="739" spans="1:26" ht="22.5" customHeight="1" x14ac:dyDescent="0.85">
      <c r="A739" s="377"/>
      <c r="B739" s="377"/>
      <c r="C739" s="377"/>
      <c r="D739" s="377"/>
      <c r="E739" s="377"/>
      <c r="F739" s="377"/>
      <c r="G739" s="377"/>
      <c r="H739" s="377"/>
      <c r="I739" s="377"/>
      <c r="J739" s="377"/>
      <c r="K739" s="377"/>
      <c r="L739" s="377"/>
      <c r="M739" s="377"/>
      <c r="N739" s="377"/>
      <c r="O739" s="377"/>
      <c r="P739" s="377"/>
      <c r="Q739" s="377"/>
      <c r="R739" s="377"/>
      <c r="S739" s="377"/>
      <c r="T739" s="3"/>
      <c r="U739" s="3"/>
      <c r="V739" s="3"/>
      <c r="W739" s="3"/>
      <c r="X739" s="3"/>
      <c r="Y739" s="3"/>
      <c r="Z739" s="3"/>
    </row>
    <row r="740" spans="1:26" ht="22.5" customHeight="1" x14ac:dyDescent="0.85">
      <c r="A740" s="377"/>
      <c r="B740" s="377"/>
      <c r="C740" s="377"/>
      <c r="D740" s="377"/>
      <c r="E740" s="377"/>
      <c r="F740" s="377"/>
      <c r="G740" s="377"/>
      <c r="H740" s="377"/>
      <c r="I740" s="377"/>
      <c r="J740" s="377"/>
      <c r="K740" s="377"/>
      <c r="L740" s="377"/>
      <c r="M740" s="377"/>
      <c r="N740" s="377"/>
      <c r="O740" s="377"/>
      <c r="P740" s="377"/>
      <c r="Q740" s="377"/>
      <c r="R740" s="377"/>
      <c r="S740" s="377"/>
      <c r="T740" s="3"/>
      <c r="U740" s="3"/>
      <c r="V740" s="3"/>
      <c r="W740" s="3"/>
      <c r="X740" s="3"/>
      <c r="Y740" s="3"/>
      <c r="Z740" s="3"/>
    </row>
    <row r="741" spans="1:26" ht="22.5" customHeight="1" x14ac:dyDescent="0.85">
      <c r="A741" s="377"/>
      <c r="B741" s="377"/>
      <c r="C741" s="377"/>
      <c r="D741" s="377"/>
      <c r="E741" s="377"/>
      <c r="F741" s="377"/>
      <c r="G741" s="377"/>
      <c r="H741" s="377"/>
      <c r="I741" s="377"/>
      <c r="J741" s="377"/>
      <c r="K741" s="377"/>
      <c r="L741" s="377"/>
      <c r="M741" s="377"/>
      <c r="N741" s="377"/>
      <c r="O741" s="377"/>
      <c r="P741" s="377"/>
      <c r="Q741" s="377"/>
      <c r="R741" s="377"/>
      <c r="S741" s="377"/>
      <c r="T741" s="3"/>
      <c r="U741" s="3"/>
      <c r="V741" s="3"/>
      <c r="W741" s="3"/>
      <c r="X741" s="3"/>
      <c r="Y741" s="3"/>
      <c r="Z741" s="3"/>
    </row>
    <row r="742" spans="1:26" ht="22.5" customHeight="1" x14ac:dyDescent="0.85">
      <c r="A742" s="377"/>
      <c r="B742" s="377"/>
      <c r="C742" s="377"/>
      <c r="D742" s="377"/>
      <c r="E742" s="377"/>
      <c r="F742" s="377"/>
      <c r="G742" s="377"/>
      <c r="H742" s="377"/>
      <c r="I742" s="377"/>
      <c r="J742" s="377"/>
      <c r="K742" s="377"/>
      <c r="L742" s="377"/>
      <c r="M742" s="377"/>
      <c r="N742" s="377"/>
      <c r="O742" s="377"/>
      <c r="P742" s="377"/>
      <c r="Q742" s="377"/>
      <c r="R742" s="377"/>
      <c r="S742" s="377"/>
      <c r="T742" s="3"/>
      <c r="U742" s="3"/>
      <c r="V742" s="3"/>
      <c r="W742" s="3"/>
      <c r="X742" s="3"/>
      <c r="Y742" s="3"/>
      <c r="Z742" s="3"/>
    </row>
    <row r="743" spans="1:26" ht="22.5" customHeight="1" x14ac:dyDescent="0.85">
      <c r="A743" s="377"/>
      <c r="B743" s="377"/>
      <c r="C743" s="377"/>
      <c r="D743" s="377"/>
      <c r="E743" s="377"/>
      <c r="F743" s="377"/>
      <c r="G743" s="377"/>
      <c r="H743" s="377"/>
      <c r="I743" s="377"/>
      <c r="J743" s="377"/>
      <c r="K743" s="377"/>
      <c r="L743" s="377"/>
      <c r="M743" s="377"/>
      <c r="N743" s="377"/>
      <c r="O743" s="377"/>
      <c r="P743" s="377"/>
      <c r="Q743" s="377"/>
      <c r="R743" s="377"/>
      <c r="S743" s="377"/>
      <c r="T743" s="3"/>
      <c r="U743" s="3"/>
      <c r="V743" s="3"/>
      <c r="W743" s="3"/>
      <c r="X743" s="3"/>
      <c r="Y743" s="3"/>
      <c r="Z743" s="3"/>
    </row>
    <row r="744" spans="1:26" ht="22.5" customHeight="1" x14ac:dyDescent="0.85">
      <c r="A744" s="377"/>
      <c r="B744" s="377"/>
      <c r="C744" s="377"/>
      <c r="D744" s="377"/>
      <c r="E744" s="377"/>
      <c r="F744" s="377"/>
      <c r="G744" s="377"/>
      <c r="H744" s="377"/>
      <c r="I744" s="377"/>
      <c r="J744" s="377"/>
      <c r="K744" s="377"/>
      <c r="L744" s="377"/>
      <c r="M744" s="377"/>
      <c r="N744" s="377"/>
      <c r="O744" s="377"/>
      <c r="P744" s="377"/>
      <c r="Q744" s="377"/>
      <c r="R744" s="377"/>
      <c r="S744" s="377"/>
      <c r="T744" s="3"/>
      <c r="U744" s="3"/>
      <c r="V744" s="3"/>
      <c r="W744" s="3"/>
      <c r="X744" s="3"/>
      <c r="Y744" s="3"/>
      <c r="Z744" s="3"/>
    </row>
    <row r="745" spans="1:26" ht="22.5" customHeight="1" x14ac:dyDescent="0.85">
      <c r="A745" s="377"/>
      <c r="B745" s="377"/>
      <c r="C745" s="377"/>
      <c r="D745" s="377"/>
      <c r="E745" s="377"/>
      <c r="F745" s="377"/>
      <c r="G745" s="377"/>
      <c r="H745" s="377"/>
      <c r="I745" s="377"/>
      <c r="J745" s="377"/>
      <c r="K745" s="377"/>
      <c r="L745" s="377"/>
      <c r="M745" s="377"/>
      <c r="N745" s="377"/>
      <c r="O745" s="377"/>
      <c r="P745" s="377"/>
      <c r="Q745" s="377"/>
      <c r="R745" s="377"/>
      <c r="S745" s="377"/>
      <c r="T745" s="3"/>
      <c r="U745" s="3"/>
      <c r="V745" s="3"/>
      <c r="W745" s="3"/>
      <c r="X745" s="3"/>
      <c r="Y745" s="3"/>
      <c r="Z745" s="3"/>
    </row>
    <row r="746" spans="1:26" ht="22.5" customHeight="1" x14ac:dyDescent="0.85">
      <c r="A746" s="377"/>
      <c r="B746" s="377"/>
      <c r="C746" s="377"/>
      <c r="D746" s="377"/>
      <c r="E746" s="377"/>
      <c r="F746" s="377"/>
      <c r="G746" s="377"/>
      <c r="H746" s="377"/>
      <c r="I746" s="377"/>
      <c r="J746" s="377"/>
      <c r="K746" s="377"/>
      <c r="L746" s="377"/>
      <c r="M746" s="377"/>
      <c r="N746" s="377"/>
      <c r="O746" s="377"/>
      <c r="P746" s="377"/>
      <c r="Q746" s="377"/>
      <c r="R746" s="377"/>
      <c r="S746" s="377"/>
      <c r="T746" s="3"/>
      <c r="U746" s="3"/>
      <c r="V746" s="3"/>
      <c r="W746" s="3"/>
      <c r="X746" s="3"/>
      <c r="Y746" s="3"/>
      <c r="Z746" s="3"/>
    </row>
    <row r="747" spans="1:26" ht="22.5" customHeight="1" x14ac:dyDescent="0.85">
      <c r="A747" s="377"/>
      <c r="B747" s="377"/>
      <c r="C747" s="377"/>
      <c r="D747" s="377"/>
      <c r="E747" s="377"/>
      <c r="F747" s="377"/>
      <c r="G747" s="377"/>
      <c r="H747" s="377"/>
      <c r="I747" s="377"/>
      <c r="J747" s="377"/>
      <c r="K747" s="377"/>
      <c r="L747" s="377"/>
      <c r="M747" s="377"/>
      <c r="N747" s="377"/>
      <c r="O747" s="377"/>
      <c r="P747" s="377"/>
      <c r="Q747" s="377"/>
      <c r="R747" s="377"/>
      <c r="S747" s="377"/>
      <c r="T747" s="3"/>
      <c r="U747" s="3"/>
      <c r="V747" s="3"/>
      <c r="W747" s="3"/>
      <c r="X747" s="3"/>
      <c r="Y747" s="3"/>
      <c r="Z747" s="3"/>
    </row>
    <row r="748" spans="1:26" ht="22.5" customHeight="1" x14ac:dyDescent="0.85">
      <c r="A748" s="377"/>
      <c r="B748" s="377"/>
      <c r="C748" s="377"/>
      <c r="D748" s="377"/>
      <c r="E748" s="377"/>
      <c r="F748" s="377"/>
      <c r="G748" s="377"/>
      <c r="H748" s="377"/>
      <c r="I748" s="377"/>
      <c r="J748" s="377"/>
      <c r="K748" s="377"/>
      <c r="L748" s="377"/>
      <c r="M748" s="377"/>
      <c r="N748" s="377"/>
      <c r="O748" s="377"/>
      <c r="P748" s="377"/>
      <c r="Q748" s="377"/>
      <c r="R748" s="377"/>
      <c r="S748" s="377"/>
      <c r="T748" s="3"/>
      <c r="U748" s="3"/>
      <c r="V748" s="3"/>
      <c r="W748" s="3"/>
      <c r="X748" s="3"/>
      <c r="Y748" s="3"/>
      <c r="Z748" s="3"/>
    </row>
    <row r="749" spans="1:26" ht="22.5" customHeight="1" x14ac:dyDescent="0.85">
      <c r="A749" s="377"/>
      <c r="B749" s="377"/>
      <c r="C749" s="377"/>
      <c r="D749" s="377"/>
      <c r="E749" s="377"/>
      <c r="F749" s="377"/>
      <c r="G749" s="377"/>
      <c r="H749" s="377"/>
      <c r="I749" s="377"/>
      <c r="J749" s="377"/>
      <c r="K749" s="377"/>
      <c r="L749" s="377"/>
      <c r="M749" s="377"/>
      <c r="N749" s="377"/>
      <c r="O749" s="377"/>
      <c r="P749" s="377"/>
      <c r="Q749" s="377"/>
      <c r="R749" s="377"/>
      <c r="S749" s="377"/>
      <c r="T749" s="3"/>
      <c r="U749" s="3"/>
      <c r="V749" s="3"/>
      <c r="W749" s="3"/>
      <c r="X749" s="3"/>
      <c r="Y749" s="3"/>
      <c r="Z749" s="3"/>
    </row>
    <row r="750" spans="1:26" ht="22.5" customHeight="1" x14ac:dyDescent="0.85">
      <c r="A750" s="377"/>
      <c r="B750" s="377"/>
      <c r="C750" s="377"/>
      <c r="D750" s="377"/>
      <c r="E750" s="377"/>
      <c r="F750" s="377"/>
      <c r="G750" s="377"/>
      <c r="H750" s="377"/>
      <c r="I750" s="377"/>
      <c r="J750" s="377"/>
      <c r="K750" s="377"/>
      <c r="L750" s="377"/>
      <c r="M750" s="377"/>
      <c r="N750" s="377"/>
      <c r="O750" s="377"/>
      <c r="P750" s="377"/>
      <c r="Q750" s="377"/>
      <c r="R750" s="377"/>
      <c r="S750" s="377"/>
      <c r="T750" s="3"/>
      <c r="U750" s="3"/>
      <c r="V750" s="3"/>
      <c r="W750" s="3"/>
      <c r="X750" s="3"/>
      <c r="Y750" s="3"/>
      <c r="Z750" s="3"/>
    </row>
    <row r="751" spans="1:26" ht="22.5" customHeight="1" x14ac:dyDescent="0.85">
      <c r="A751" s="377"/>
      <c r="B751" s="377"/>
      <c r="C751" s="377"/>
      <c r="D751" s="377"/>
      <c r="E751" s="377"/>
      <c r="F751" s="377"/>
      <c r="G751" s="377"/>
      <c r="H751" s="377"/>
      <c r="I751" s="377"/>
      <c r="J751" s="377"/>
      <c r="K751" s="377"/>
      <c r="L751" s="377"/>
      <c r="M751" s="377"/>
      <c r="N751" s="377"/>
      <c r="O751" s="377"/>
      <c r="P751" s="377"/>
      <c r="Q751" s="377"/>
      <c r="R751" s="377"/>
      <c r="S751" s="377"/>
      <c r="T751" s="3"/>
      <c r="U751" s="3"/>
      <c r="V751" s="3"/>
      <c r="W751" s="3"/>
      <c r="X751" s="3"/>
      <c r="Y751" s="3"/>
      <c r="Z751" s="3"/>
    </row>
    <row r="752" spans="1:26" ht="22.5" customHeight="1" x14ac:dyDescent="0.85">
      <c r="A752" s="377"/>
      <c r="B752" s="377"/>
      <c r="C752" s="377"/>
      <c r="D752" s="377"/>
      <c r="E752" s="377"/>
      <c r="F752" s="377"/>
      <c r="G752" s="377"/>
      <c r="H752" s="377"/>
      <c r="I752" s="377"/>
      <c r="J752" s="377"/>
      <c r="K752" s="377"/>
      <c r="L752" s="377"/>
      <c r="M752" s="377"/>
      <c r="N752" s="377"/>
      <c r="O752" s="377"/>
      <c r="P752" s="377"/>
      <c r="Q752" s="377"/>
      <c r="R752" s="377"/>
      <c r="S752" s="377"/>
      <c r="T752" s="3"/>
      <c r="U752" s="3"/>
      <c r="V752" s="3"/>
      <c r="W752" s="3"/>
      <c r="X752" s="3"/>
      <c r="Y752" s="3"/>
      <c r="Z752" s="3"/>
    </row>
    <row r="753" spans="1:26" ht="22.5" customHeight="1" x14ac:dyDescent="0.85">
      <c r="A753" s="377"/>
      <c r="B753" s="377"/>
      <c r="C753" s="377"/>
      <c r="D753" s="377"/>
      <c r="E753" s="377"/>
      <c r="F753" s="377"/>
      <c r="G753" s="377"/>
      <c r="H753" s="377"/>
      <c r="I753" s="377"/>
      <c r="J753" s="377"/>
      <c r="K753" s="377"/>
      <c r="L753" s="377"/>
      <c r="M753" s="377"/>
      <c r="N753" s="377"/>
      <c r="O753" s="377"/>
      <c r="P753" s="377"/>
      <c r="Q753" s="377"/>
      <c r="R753" s="377"/>
      <c r="S753" s="377"/>
      <c r="T753" s="3"/>
      <c r="U753" s="3"/>
      <c r="V753" s="3"/>
      <c r="W753" s="3"/>
      <c r="X753" s="3"/>
      <c r="Y753" s="3"/>
      <c r="Z753" s="3"/>
    </row>
    <row r="754" spans="1:26" ht="22.5" customHeight="1" x14ac:dyDescent="0.85">
      <c r="A754" s="377"/>
      <c r="B754" s="377"/>
      <c r="C754" s="377"/>
      <c r="D754" s="377"/>
      <c r="E754" s="377"/>
      <c r="F754" s="377"/>
      <c r="G754" s="377"/>
      <c r="H754" s="377"/>
      <c r="I754" s="377"/>
      <c r="J754" s="377"/>
      <c r="K754" s="377"/>
      <c r="L754" s="377"/>
      <c r="M754" s="377"/>
      <c r="N754" s="377"/>
      <c r="O754" s="377"/>
      <c r="P754" s="377"/>
      <c r="Q754" s="377"/>
      <c r="R754" s="377"/>
      <c r="S754" s="377"/>
      <c r="T754" s="3"/>
      <c r="U754" s="3"/>
      <c r="V754" s="3"/>
      <c r="W754" s="3"/>
      <c r="X754" s="3"/>
      <c r="Y754" s="3"/>
      <c r="Z754" s="3"/>
    </row>
    <row r="755" spans="1:26" ht="22.5" customHeight="1" x14ac:dyDescent="0.85">
      <c r="A755" s="377"/>
      <c r="B755" s="377"/>
      <c r="C755" s="377"/>
      <c r="D755" s="377"/>
      <c r="E755" s="377"/>
      <c r="F755" s="377"/>
      <c r="G755" s="377"/>
      <c r="H755" s="377"/>
      <c r="I755" s="377"/>
      <c r="J755" s="377"/>
      <c r="K755" s="377"/>
      <c r="L755" s="377"/>
      <c r="M755" s="377"/>
      <c r="N755" s="377"/>
      <c r="O755" s="377"/>
      <c r="P755" s="377"/>
      <c r="Q755" s="377"/>
      <c r="R755" s="377"/>
      <c r="S755" s="377"/>
      <c r="T755" s="3"/>
      <c r="U755" s="3"/>
      <c r="V755" s="3"/>
      <c r="W755" s="3"/>
      <c r="X755" s="3"/>
      <c r="Y755" s="3"/>
      <c r="Z755" s="3"/>
    </row>
    <row r="756" spans="1:26" ht="22.5" customHeight="1" x14ac:dyDescent="0.85">
      <c r="A756" s="377"/>
      <c r="B756" s="377"/>
      <c r="C756" s="377"/>
      <c r="D756" s="377"/>
      <c r="E756" s="377"/>
      <c r="F756" s="377"/>
      <c r="G756" s="377"/>
      <c r="H756" s="377"/>
      <c r="I756" s="377"/>
      <c r="J756" s="377"/>
      <c r="K756" s="377"/>
      <c r="L756" s="377"/>
      <c r="M756" s="377"/>
      <c r="N756" s="377"/>
      <c r="O756" s="377"/>
      <c r="P756" s="377"/>
      <c r="Q756" s="377"/>
      <c r="R756" s="377"/>
      <c r="S756" s="377"/>
      <c r="T756" s="3"/>
      <c r="U756" s="3"/>
      <c r="V756" s="3"/>
      <c r="W756" s="3"/>
      <c r="X756" s="3"/>
      <c r="Y756" s="3"/>
      <c r="Z756" s="3"/>
    </row>
    <row r="757" spans="1:26" ht="22.5" customHeight="1" x14ac:dyDescent="0.85">
      <c r="A757" s="377"/>
      <c r="B757" s="377"/>
      <c r="C757" s="377"/>
      <c r="D757" s="377"/>
      <c r="E757" s="377"/>
      <c r="F757" s="377"/>
      <c r="G757" s="377"/>
      <c r="H757" s="377"/>
      <c r="I757" s="377"/>
      <c r="J757" s="377"/>
      <c r="K757" s="377"/>
      <c r="L757" s="377"/>
      <c r="M757" s="377"/>
      <c r="N757" s="377"/>
      <c r="O757" s="377"/>
      <c r="P757" s="377"/>
      <c r="Q757" s="377"/>
      <c r="R757" s="377"/>
      <c r="S757" s="377"/>
      <c r="T757" s="3"/>
      <c r="U757" s="3"/>
      <c r="V757" s="3"/>
      <c r="W757" s="3"/>
      <c r="X757" s="3"/>
      <c r="Y757" s="3"/>
      <c r="Z757" s="3"/>
    </row>
    <row r="758" spans="1:26" ht="22.5" customHeight="1" x14ac:dyDescent="0.85">
      <c r="A758" s="377"/>
      <c r="B758" s="377"/>
      <c r="C758" s="377"/>
      <c r="D758" s="377"/>
      <c r="E758" s="377"/>
      <c r="F758" s="377"/>
      <c r="G758" s="377"/>
      <c r="H758" s="377"/>
      <c r="I758" s="377"/>
      <c r="J758" s="377"/>
      <c r="K758" s="377"/>
      <c r="L758" s="377"/>
      <c r="M758" s="377"/>
      <c r="N758" s="377"/>
      <c r="O758" s="377"/>
      <c r="P758" s="377"/>
      <c r="Q758" s="377"/>
      <c r="R758" s="377"/>
      <c r="S758" s="377"/>
      <c r="T758" s="3"/>
      <c r="U758" s="3"/>
      <c r="V758" s="3"/>
      <c r="W758" s="3"/>
      <c r="X758" s="3"/>
      <c r="Y758" s="3"/>
      <c r="Z758" s="3"/>
    </row>
    <row r="759" spans="1:26" ht="22.5" customHeight="1" x14ac:dyDescent="0.85">
      <c r="A759" s="377"/>
      <c r="B759" s="377"/>
      <c r="C759" s="377"/>
      <c r="D759" s="377"/>
      <c r="E759" s="377"/>
      <c r="F759" s="377"/>
      <c r="G759" s="377"/>
      <c r="H759" s="377"/>
      <c r="I759" s="377"/>
      <c r="J759" s="377"/>
      <c r="K759" s="377"/>
      <c r="L759" s="377"/>
      <c r="M759" s="377"/>
      <c r="N759" s="377"/>
      <c r="O759" s="377"/>
      <c r="P759" s="377"/>
      <c r="Q759" s="377"/>
      <c r="R759" s="377"/>
      <c r="S759" s="377"/>
      <c r="T759" s="3"/>
      <c r="U759" s="3"/>
      <c r="V759" s="3"/>
      <c r="W759" s="3"/>
      <c r="X759" s="3"/>
      <c r="Y759" s="3"/>
      <c r="Z759" s="3"/>
    </row>
    <row r="760" spans="1:26" ht="22.5" customHeight="1" x14ac:dyDescent="0.85">
      <c r="A760" s="377"/>
      <c r="B760" s="377"/>
      <c r="C760" s="377"/>
      <c r="D760" s="377"/>
      <c r="E760" s="377"/>
      <c r="F760" s="377"/>
      <c r="G760" s="377"/>
      <c r="H760" s="377"/>
      <c r="I760" s="377"/>
      <c r="J760" s="377"/>
      <c r="K760" s="377"/>
      <c r="L760" s="377"/>
      <c r="M760" s="377"/>
      <c r="N760" s="377"/>
      <c r="O760" s="377"/>
      <c r="P760" s="377"/>
      <c r="Q760" s="377"/>
      <c r="R760" s="377"/>
      <c r="S760" s="377"/>
      <c r="T760" s="3"/>
      <c r="U760" s="3"/>
      <c r="V760" s="3"/>
      <c r="W760" s="3"/>
      <c r="X760" s="3"/>
      <c r="Y760" s="3"/>
      <c r="Z760" s="3"/>
    </row>
    <row r="761" spans="1:26" ht="22.5" customHeight="1" x14ac:dyDescent="0.85">
      <c r="A761" s="377"/>
      <c r="B761" s="377"/>
      <c r="C761" s="377"/>
      <c r="D761" s="377"/>
      <c r="E761" s="377"/>
      <c r="F761" s="377"/>
      <c r="G761" s="377"/>
      <c r="H761" s="377"/>
      <c r="I761" s="377"/>
      <c r="J761" s="377"/>
      <c r="K761" s="377"/>
      <c r="L761" s="377"/>
      <c r="M761" s="377"/>
      <c r="N761" s="377"/>
      <c r="O761" s="377"/>
      <c r="P761" s="377"/>
      <c r="Q761" s="377"/>
      <c r="R761" s="377"/>
      <c r="S761" s="377"/>
      <c r="T761" s="3"/>
      <c r="U761" s="3"/>
      <c r="V761" s="3"/>
      <c r="W761" s="3"/>
      <c r="X761" s="3"/>
      <c r="Y761" s="3"/>
      <c r="Z761" s="3"/>
    </row>
    <row r="762" spans="1:26" ht="22.5" customHeight="1" x14ac:dyDescent="0.85">
      <c r="A762" s="377"/>
      <c r="B762" s="377"/>
      <c r="C762" s="377"/>
      <c r="D762" s="377"/>
      <c r="E762" s="377"/>
      <c r="F762" s="377"/>
      <c r="G762" s="377"/>
      <c r="H762" s="377"/>
      <c r="I762" s="377"/>
      <c r="J762" s="377"/>
      <c r="K762" s="377"/>
      <c r="L762" s="377"/>
      <c r="M762" s="377"/>
      <c r="N762" s="377"/>
      <c r="O762" s="377"/>
      <c r="P762" s="377"/>
      <c r="Q762" s="377"/>
      <c r="R762" s="377"/>
      <c r="S762" s="377"/>
      <c r="T762" s="3"/>
      <c r="U762" s="3"/>
      <c r="V762" s="3"/>
      <c r="W762" s="3"/>
      <c r="X762" s="3"/>
      <c r="Y762" s="3"/>
      <c r="Z762" s="3"/>
    </row>
    <row r="763" spans="1:26" ht="22.5" customHeight="1" x14ac:dyDescent="0.85">
      <c r="A763" s="377"/>
      <c r="B763" s="377"/>
      <c r="C763" s="377"/>
      <c r="D763" s="377"/>
      <c r="E763" s="377"/>
      <c r="F763" s="377"/>
      <c r="G763" s="377"/>
      <c r="H763" s="377"/>
      <c r="I763" s="377"/>
      <c r="J763" s="377"/>
      <c r="K763" s="377"/>
      <c r="L763" s="377"/>
      <c r="M763" s="377"/>
      <c r="N763" s="377"/>
      <c r="O763" s="377"/>
      <c r="P763" s="377"/>
      <c r="Q763" s="377"/>
      <c r="R763" s="377"/>
      <c r="S763" s="377"/>
      <c r="T763" s="3"/>
      <c r="U763" s="3"/>
      <c r="V763" s="3"/>
      <c r="W763" s="3"/>
      <c r="X763" s="3"/>
      <c r="Y763" s="3"/>
      <c r="Z763" s="3"/>
    </row>
    <row r="764" spans="1:26" ht="22.5" customHeight="1" x14ac:dyDescent="0.85">
      <c r="A764" s="377"/>
      <c r="B764" s="377"/>
      <c r="C764" s="377"/>
      <c r="D764" s="377"/>
      <c r="E764" s="377"/>
      <c r="F764" s="377"/>
      <c r="G764" s="377"/>
      <c r="H764" s="377"/>
      <c r="I764" s="377"/>
      <c r="J764" s="377"/>
      <c r="K764" s="377"/>
      <c r="L764" s="377"/>
      <c r="M764" s="377"/>
      <c r="N764" s="377"/>
      <c r="O764" s="377"/>
      <c r="P764" s="377"/>
      <c r="Q764" s="377"/>
      <c r="R764" s="377"/>
      <c r="S764" s="377"/>
      <c r="T764" s="3"/>
      <c r="U764" s="3"/>
      <c r="V764" s="3"/>
      <c r="W764" s="3"/>
      <c r="X764" s="3"/>
      <c r="Y764" s="3"/>
      <c r="Z764" s="3"/>
    </row>
    <row r="765" spans="1:26" ht="22.5" customHeight="1" x14ac:dyDescent="0.85">
      <c r="A765" s="377"/>
      <c r="B765" s="377"/>
      <c r="C765" s="377"/>
      <c r="D765" s="377"/>
      <c r="E765" s="377"/>
      <c r="F765" s="377"/>
      <c r="G765" s="377"/>
      <c r="H765" s="377"/>
      <c r="I765" s="377"/>
      <c r="J765" s="377"/>
      <c r="K765" s="377"/>
      <c r="L765" s="377"/>
      <c r="M765" s="377"/>
      <c r="N765" s="377"/>
      <c r="O765" s="377"/>
      <c r="P765" s="377"/>
      <c r="Q765" s="377"/>
      <c r="R765" s="377"/>
      <c r="S765" s="377"/>
      <c r="T765" s="3"/>
      <c r="U765" s="3"/>
      <c r="V765" s="3"/>
      <c r="W765" s="3"/>
      <c r="X765" s="3"/>
      <c r="Y765" s="3"/>
      <c r="Z765" s="3"/>
    </row>
    <row r="766" spans="1:26" ht="22.5" customHeight="1" x14ac:dyDescent="0.85">
      <c r="A766" s="377"/>
      <c r="B766" s="377"/>
      <c r="C766" s="377"/>
      <c r="D766" s="377"/>
      <c r="E766" s="377"/>
      <c r="F766" s="377"/>
      <c r="G766" s="377"/>
      <c r="H766" s="377"/>
      <c r="I766" s="377"/>
      <c r="J766" s="377"/>
      <c r="K766" s="377"/>
      <c r="L766" s="377"/>
      <c r="M766" s="377"/>
      <c r="N766" s="377"/>
      <c r="O766" s="377"/>
      <c r="P766" s="377"/>
      <c r="Q766" s="377"/>
      <c r="R766" s="377"/>
      <c r="S766" s="377"/>
      <c r="T766" s="3"/>
      <c r="U766" s="3"/>
      <c r="V766" s="3"/>
      <c r="W766" s="3"/>
      <c r="X766" s="3"/>
      <c r="Y766" s="3"/>
      <c r="Z766" s="3"/>
    </row>
    <row r="767" spans="1:26" ht="22.5" customHeight="1" x14ac:dyDescent="0.85">
      <c r="A767" s="377"/>
      <c r="B767" s="377"/>
      <c r="C767" s="377"/>
      <c r="D767" s="377"/>
      <c r="E767" s="377"/>
      <c r="F767" s="377"/>
      <c r="G767" s="377"/>
      <c r="H767" s="377"/>
      <c r="I767" s="377"/>
      <c r="J767" s="377"/>
      <c r="K767" s="377"/>
      <c r="L767" s="377"/>
      <c r="M767" s="377"/>
      <c r="N767" s="377"/>
      <c r="O767" s="377"/>
      <c r="P767" s="377"/>
      <c r="Q767" s="377"/>
      <c r="R767" s="377"/>
      <c r="S767" s="377"/>
      <c r="T767" s="3"/>
      <c r="U767" s="3"/>
      <c r="V767" s="3"/>
      <c r="W767" s="3"/>
      <c r="X767" s="3"/>
      <c r="Y767" s="3"/>
      <c r="Z767" s="3"/>
    </row>
    <row r="768" spans="1:26" ht="22.5" customHeight="1" x14ac:dyDescent="0.85">
      <c r="A768" s="377"/>
      <c r="B768" s="377"/>
      <c r="C768" s="377"/>
      <c r="D768" s="377"/>
      <c r="E768" s="377"/>
      <c r="F768" s="377"/>
      <c r="G768" s="377"/>
      <c r="H768" s="377"/>
      <c r="I768" s="377"/>
      <c r="J768" s="377"/>
      <c r="K768" s="377"/>
      <c r="L768" s="377"/>
      <c r="M768" s="377"/>
      <c r="N768" s="377"/>
      <c r="O768" s="377"/>
      <c r="P768" s="377"/>
      <c r="Q768" s="377"/>
      <c r="R768" s="377"/>
      <c r="S768" s="377"/>
      <c r="T768" s="3"/>
      <c r="U768" s="3"/>
      <c r="V768" s="3"/>
      <c r="W768" s="3"/>
      <c r="X768" s="3"/>
      <c r="Y768" s="3"/>
      <c r="Z768" s="3"/>
    </row>
    <row r="769" spans="1:26" ht="22.5" customHeight="1" x14ac:dyDescent="0.85">
      <c r="A769" s="377"/>
      <c r="B769" s="377"/>
      <c r="C769" s="377"/>
      <c r="D769" s="377"/>
      <c r="E769" s="377"/>
      <c r="F769" s="377"/>
      <c r="G769" s="377"/>
      <c r="H769" s="377"/>
      <c r="I769" s="377"/>
      <c r="J769" s="377"/>
      <c r="K769" s="377"/>
      <c r="L769" s="377"/>
      <c r="M769" s="377"/>
      <c r="N769" s="377"/>
      <c r="O769" s="377"/>
      <c r="P769" s="377"/>
      <c r="Q769" s="377"/>
      <c r="R769" s="377"/>
      <c r="S769" s="377"/>
      <c r="T769" s="3"/>
      <c r="U769" s="3"/>
      <c r="V769" s="3"/>
      <c r="W769" s="3"/>
      <c r="X769" s="3"/>
      <c r="Y769" s="3"/>
      <c r="Z769" s="3"/>
    </row>
    <row r="770" spans="1:26" ht="22.5" customHeight="1" x14ac:dyDescent="0.85">
      <c r="A770" s="377"/>
      <c r="B770" s="377"/>
      <c r="C770" s="377"/>
      <c r="D770" s="377"/>
      <c r="E770" s="377"/>
      <c r="F770" s="377"/>
      <c r="G770" s="377"/>
      <c r="H770" s="377"/>
      <c r="I770" s="377"/>
      <c r="J770" s="377"/>
      <c r="K770" s="377"/>
      <c r="L770" s="377"/>
      <c r="M770" s="377"/>
      <c r="N770" s="377"/>
      <c r="O770" s="377"/>
      <c r="P770" s="377"/>
      <c r="Q770" s="377"/>
      <c r="R770" s="377"/>
      <c r="S770" s="377"/>
      <c r="T770" s="3"/>
      <c r="U770" s="3"/>
      <c r="V770" s="3"/>
      <c r="W770" s="3"/>
      <c r="X770" s="3"/>
      <c r="Y770" s="3"/>
      <c r="Z770" s="3"/>
    </row>
    <row r="771" spans="1:26" ht="22.5" customHeight="1" x14ac:dyDescent="0.85">
      <c r="A771" s="377"/>
      <c r="B771" s="377"/>
      <c r="C771" s="377"/>
      <c r="D771" s="377"/>
      <c r="E771" s="377"/>
      <c r="F771" s="377"/>
      <c r="G771" s="377"/>
      <c r="H771" s="377"/>
      <c r="I771" s="377"/>
      <c r="J771" s="377"/>
      <c r="K771" s="377"/>
      <c r="L771" s="377"/>
      <c r="M771" s="377"/>
      <c r="N771" s="377"/>
      <c r="O771" s="377"/>
      <c r="P771" s="377"/>
      <c r="Q771" s="377"/>
      <c r="R771" s="377"/>
      <c r="S771" s="377"/>
      <c r="T771" s="3"/>
      <c r="U771" s="3"/>
      <c r="V771" s="3"/>
      <c r="W771" s="3"/>
      <c r="X771" s="3"/>
      <c r="Y771" s="3"/>
      <c r="Z771" s="3"/>
    </row>
    <row r="772" spans="1:26" ht="22.5" customHeight="1" x14ac:dyDescent="0.85">
      <c r="A772" s="377"/>
      <c r="B772" s="377"/>
      <c r="C772" s="377"/>
      <c r="D772" s="377"/>
      <c r="E772" s="377"/>
      <c r="F772" s="377"/>
      <c r="G772" s="377"/>
      <c r="H772" s="377"/>
      <c r="I772" s="377"/>
      <c r="J772" s="377"/>
      <c r="K772" s="377"/>
      <c r="L772" s="377"/>
      <c r="M772" s="377"/>
      <c r="N772" s="377"/>
      <c r="O772" s="377"/>
      <c r="P772" s="377"/>
      <c r="Q772" s="377"/>
      <c r="R772" s="377"/>
      <c r="S772" s="377"/>
      <c r="T772" s="3"/>
      <c r="U772" s="3"/>
      <c r="V772" s="3"/>
      <c r="W772" s="3"/>
      <c r="X772" s="3"/>
      <c r="Y772" s="3"/>
      <c r="Z772" s="3"/>
    </row>
    <row r="773" spans="1:26" ht="22.5" customHeight="1" x14ac:dyDescent="0.85">
      <c r="A773" s="377"/>
      <c r="B773" s="377"/>
      <c r="C773" s="377"/>
      <c r="D773" s="377"/>
      <c r="E773" s="377"/>
      <c r="F773" s="377"/>
      <c r="G773" s="377"/>
      <c r="H773" s="377"/>
      <c r="I773" s="377"/>
      <c r="J773" s="377"/>
      <c r="K773" s="377"/>
      <c r="L773" s="377"/>
      <c r="M773" s="377"/>
      <c r="N773" s="377"/>
      <c r="O773" s="377"/>
      <c r="P773" s="377"/>
      <c r="Q773" s="377"/>
      <c r="R773" s="377"/>
      <c r="S773" s="377"/>
      <c r="T773" s="3"/>
      <c r="U773" s="3"/>
      <c r="V773" s="3"/>
      <c r="W773" s="3"/>
      <c r="X773" s="3"/>
      <c r="Y773" s="3"/>
      <c r="Z773" s="3"/>
    </row>
    <row r="774" spans="1:26" ht="22.5" customHeight="1" x14ac:dyDescent="0.85">
      <c r="A774" s="377"/>
      <c r="B774" s="377"/>
      <c r="C774" s="377"/>
      <c r="D774" s="377"/>
      <c r="E774" s="377"/>
      <c r="F774" s="377"/>
      <c r="G774" s="377"/>
      <c r="H774" s="377"/>
      <c r="I774" s="377"/>
      <c r="J774" s="377"/>
      <c r="K774" s="377"/>
      <c r="L774" s="377"/>
      <c r="M774" s="377"/>
      <c r="N774" s="377"/>
      <c r="O774" s="377"/>
      <c r="P774" s="377"/>
      <c r="Q774" s="377"/>
      <c r="R774" s="377"/>
      <c r="S774" s="377"/>
      <c r="T774" s="3"/>
      <c r="U774" s="3"/>
      <c r="V774" s="3"/>
      <c r="W774" s="3"/>
      <c r="X774" s="3"/>
      <c r="Y774" s="3"/>
      <c r="Z774" s="3"/>
    </row>
    <row r="775" spans="1:26" ht="22.5" customHeight="1" x14ac:dyDescent="0.85">
      <c r="A775" s="377"/>
      <c r="B775" s="377"/>
      <c r="C775" s="377"/>
      <c r="D775" s="377"/>
      <c r="E775" s="377"/>
      <c r="F775" s="377"/>
      <c r="G775" s="377"/>
      <c r="H775" s="377"/>
      <c r="I775" s="377"/>
      <c r="J775" s="377"/>
      <c r="K775" s="377"/>
      <c r="L775" s="377"/>
      <c r="M775" s="377"/>
      <c r="N775" s="377"/>
      <c r="O775" s="377"/>
      <c r="P775" s="377"/>
      <c r="Q775" s="377"/>
      <c r="R775" s="377"/>
      <c r="S775" s="377"/>
      <c r="T775" s="3"/>
      <c r="U775" s="3"/>
      <c r="V775" s="3"/>
      <c r="W775" s="3"/>
      <c r="X775" s="3"/>
      <c r="Y775" s="3"/>
      <c r="Z775" s="3"/>
    </row>
    <row r="776" spans="1:26" ht="22.5" customHeight="1" x14ac:dyDescent="0.85">
      <c r="A776" s="377"/>
      <c r="B776" s="377"/>
      <c r="C776" s="377"/>
      <c r="D776" s="377"/>
      <c r="E776" s="377"/>
      <c r="F776" s="377"/>
      <c r="G776" s="377"/>
      <c r="H776" s="377"/>
      <c r="I776" s="377"/>
      <c r="J776" s="377"/>
      <c r="K776" s="377"/>
      <c r="L776" s="377"/>
      <c r="M776" s="377"/>
      <c r="N776" s="377"/>
      <c r="O776" s="377"/>
      <c r="P776" s="377"/>
      <c r="Q776" s="377"/>
      <c r="R776" s="377"/>
      <c r="S776" s="377"/>
      <c r="T776" s="3"/>
      <c r="U776" s="3"/>
      <c r="V776" s="3"/>
      <c r="W776" s="3"/>
      <c r="X776" s="3"/>
      <c r="Y776" s="3"/>
      <c r="Z776" s="3"/>
    </row>
    <row r="777" spans="1:26" ht="22.5" customHeight="1" x14ac:dyDescent="0.85">
      <c r="A777" s="377"/>
      <c r="B777" s="377"/>
      <c r="C777" s="377"/>
      <c r="D777" s="377"/>
      <c r="E777" s="377"/>
      <c r="F777" s="377"/>
      <c r="G777" s="377"/>
      <c r="H777" s="377"/>
      <c r="I777" s="377"/>
      <c r="J777" s="377"/>
      <c r="K777" s="377"/>
      <c r="L777" s="377"/>
      <c r="M777" s="377"/>
      <c r="N777" s="377"/>
      <c r="O777" s="377"/>
      <c r="P777" s="377"/>
      <c r="Q777" s="377"/>
      <c r="R777" s="377"/>
      <c r="S777" s="377"/>
      <c r="T777" s="3"/>
      <c r="U777" s="3"/>
      <c r="V777" s="3"/>
      <c r="W777" s="3"/>
      <c r="X777" s="3"/>
      <c r="Y777" s="3"/>
      <c r="Z777" s="3"/>
    </row>
    <row r="778" spans="1:26" ht="22.5" customHeight="1" x14ac:dyDescent="0.85">
      <c r="A778" s="377"/>
      <c r="B778" s="377"/>
      <c r="C778" s="377"/>
      <c r="D778" s="377"/>
      <c r="E778" s="377"/>
      <c r="F778" s="377"/>
      <c r="G778" s="377"/>
      <c r="H778" s="377"/>
      <c r="I778" s="377"/>
      <c r="J778" s="377"/>
      <c r="K778" s="377"/>
      <c r="L778" s="377"/>
      <c r="M778" s="377"/>
      <c r="N778" s="377"/>
      <c r="O778" s="377"/>
      <c r="P778" s="377"/>
      <c r="Q778" s="377"/>
      <c r="R778" s="377"/>
      <c r="S778" s="377"/>
      <c r="T778" s="3"/>
      <c r="U778" s="3"/>
      <c r="V778" s="3"/>
      <c r="W778" s="3"/>
      <c r="X778" s="3"/>
      <c r="Y778" s="3"/>
      <c r="Z778" s="3"/>
    </row>
    <row r="779" spans="1:26" ht="22.5" customHeight="1" x14ac:dyDescent="0.85">
      <c r="A779" s="377"/>
      <c r="B779" s="377"/>
      <c r="C779" s="377"/>
      <c r="D779" s="377"/>
      <c r="E779" s="377"/>
      <c r="F779" s="377"/>
      <c r="G779" s="377"/>
      <c r="H779" s="377"/>
      <c r="I779" s="377"/>
      <c r="J779" s="377"/>
      <c r="K779" s="377"/>
      <c r="L779" s="377"/>
      <c r="M779" s="377"/>
      <c r="N779" s="377"/>
      <c r="O779" s="377"/>
      <c r="P779" s="377"/>
      <c r="Q779" s="377"/>
      <c r="R779" s="377"/>
      <c r="S779" s="377"/>
      <c r="T779" s="3"/>
      <c r="U779" s="3"/>
      <c r="V779" s="3"/>
      <c r="W779" s="3"/>
      <c r="X779" s="3"/>
      <c r="Y779" s="3"/>
      <c r="Z779" s="3"/>
    </row>
    <row r="780" spans="1:26" ht="22.5" customHeight="1" x14ac:dyDescent="0.85">
      <c r="A780" s="377"/>
      <c r="B780" s="377"/>
      <c r="C780" s="377"/>
      <c r="D780" s="377"/>
      <c r="E780" s="377"/>
      <c r="F780" s="377"/>
      <c r="G780" s="377"/>
      <c r="H780" s="377"/>
      <c r="I780" s="377"/>
      <c r="J780" s="377"/>
      <c r="K780" s="377"/>
      <c r="L780" s="377"/>
      <c r="M780" s="377"/>
      <c r="N780" s="377"/>
      <c r="O780" s="377"/>
      <c r="P780" s="377"/>
      <c r="Q780" s="377"/>
      <c r="R780" s="377"/>
      <c r="S780" s="377"/>
      <c r="T780" s="3"/>
      <c r="U780" s="3"/>
      <c r="V780" s="3"/>
      <c r="W780" s="3"/>
      <c r="X780" s="3"/>
      <c r="Y780" s="3"/>
      <c r="Z780" s="3"/>
    </row>
    <row r="781" spans="1:26" ht="22.5" customHeight="1" x14ac:dyDescent="0.85">
      <c r="A781" s="377"/>
      <c r="B781" s="377"/>
      <c r="C781" s="377"/>
      <c r="D781" s="377"/>
      <c r="E781" s="377"/>
      <c r="F781" s="377"/>
      <c r="G781" s="377"/>
      <c r="H781" s="377"/>
      <c r="I781" s="377"/>
      <c r="J781" s="377"/>
      <c r="K781" s="377"/>
      <c r="L781" s="377"/>
      <c r="M781" s="377"/>
      <c r="N781" s="377"/>
      <c r="O781" s="377"/>
      <c r="P781" s="377"/>
      <c r="Q781" s="377"/>
      <c r="R781" s="377"/>
      <c r="S781" s="377"/>
      <c r="T781" s="3"/>
      <c r="U781" s="3"/>
      <c r="V781" s="3"/>
      <c r="W781" s="3"/>
      <c r="X781" s="3"/>
      <c r="Y781" s="3"/>
      <c r="Z781" s="3"/>
    </row>
    <row r="782" spans="1:26" ht="22.5" customHeight="1" x14ac:dyDescent="0.85">
      <c r="A782" s="377"/>
      <c r="B782" s="377"/>
      <c r="C782" s="377"/>
      <c r="D782" s="377"/>
      <c r="E782" s="377"/>
      <c r="F782" s="377"/>
      <c r="G782" s="377"/>
      <c r="H782" s="377"/>
      <c r="I782" s="377"/>
      <c r="J782" s="377"/>
      <c r="K782" s="377"/>
      <c r="L782" s="377"/>
      <c r="M782" s="377"/>
      <c r="N782" s="377"/>
      <c r="O782" s="377"/>
      <c r="P782" s="377"/>
      <c r="Q782" s="377"/>
      <c r="R782" s="377"/>
      <c r="S782" s="377"/>
      <c r="T782" s="3"/>
      <c r="U782" s="3"/>
      <c r="V782" s="3"/>
      <c r="W782" s="3"/>
      <c r="X782" s="3"/>
      <c r="Y782" s="3"/>
      <c r="Z782" s="3"/>
    </row>
    <row r="783" spans="1:26" ht="22.5" customHeight="1" x14ac:dyDescent="0.85">
      <c r="A783" s="377"/>
      <c r="B783" s="377"/>
      <c r="C783" s="377"/>
      <c r="D783" s="377"/>
      <c r="E783" s="377"/>
      <c r="F783" s="377"/>
      <c r="G783" s="377"/>
      <c r="H783" s="377"/>
      <c r="I783" s="377"/>
      <c r="J783" s="377"/>
      <c r="K783" s="377"/>
      <c r="L783" s="377"/>
      <c r="M783" s="377"/>
      <c r="N783" s="377"/>
      <c r="O783" s="377"/>
      <c r="P783" s="377"/>
      <c r="Q783" s="377"/>
      <c r="R783" s="377"/>
      <c r="S783" s="377"/>
      <c r="T783" s="3"/>
      <c r="U783" s="3"/>
      <c r="V783" s="3"/>
      <c r="W783" s="3"/>
      <c r="X783" s="3"/>
      <c r="Y783" s="3"/>
      <c r="Z783" s="3"/>
    </row>
    <row r="784" spans="1:26" ht="22.5" customHeight="1" x14ac:dyDescent="0.85">
      <c r="A784" s="377"/>
      <c r="B784" s="377"/>
      <c r="C784" s="377"/>
      <c r="D784" s="377"/>
      <c r="E784" s="377"/>
      <c r="F784" s="377"/>
      <c r="G784" s="377"/>
      <c r="H784" s="377"/>
      <c r="I784" s="377"/>
      <c r="J784" s="377"/>
      <c r="K784" s="377"/>
      <c r="L784" s="377"/>
      <c r="M784" s="377"/>
      <c r="N784" s="377"/>
      <c r="O784" s="377"/>
      <c r="P784" s="377"/>
      <c r="Q784" s="377"/>
      <c r="R784" s="377"/>
      <c r="S784" s="377"/>
      <c r="T784" s="3"/>
      <c r="U784" s="3"/>
      <c r="V784" s="3"/>
      <c r="W784" s="3"/>
      <c r="X784" s="3"/>
      <c r="Y784" s="3"/>
      <c r="Z784" s="3"/>
    </row>
    <row r="785" spans="1:26" ht="22.5" customHeight="1" x14ac:dyDescent="0.85">
      <c r="A785" s="377"/>
      <c r="B785" s="377"/>
      <c r="C785" s="377"/>
      <c r="D785" s="377"/>
      <c r="E785" s="377"/>
      <c r="F785" s="377"/>
      <c r="G785" s="377"/>
      <c r="H785" s="377"/>
      <c r="I785" s="377"/>
      <c r="J785" s="377"/>
      <c r="K785" s="377"/>
      <c r="L785" s="377"/>
      <c r="M785" s="377"/>
      <c r="N785" s="377"/>
      <c r="O785" s="377"/>
      <c r="P785" s="377"/>
      <c r="Q785" s="377"/>
      <c r="R785" s="377"/>
      <c r="S785" s="377"/>
      <c r="T785" s="3"/>
      <c r="U785" s="3"/>
      <c r="V785" s="3"/>
      <c r="W785" s="3"/>
      <c r="X785" s="3"/>
      <c r="Y785" s="3"/>
      <c r="Z785" s="3"/>
    </row>
    <row r="786" spans="1:26" ht="22.5" customHeight="1" x14ac:dyDescent="0.85">
      <c r="A786" s="377"/>
      <c r="B786" s="377"/>
      <c r="C786" s="377"/>
      <c r="D786" s="377"/>
      <c r="E786" s="377"/>
      <c r="F786" s="377"/>
      <c r="G786" s="377"/>
      <c r="H786" s="377"/>
      <c r="I786" s="377"/>
      <c r="J786" s="377"/>
      <c r="K786" s="377"/>
      <c r="L786" s="377"/>
      <c r="M786" s="377"/>
      <c r="N786" s="377"/>
      <c r="O786" s="377"/>
      <c r="P786" s="377"/>
      <c r="Q786" s="377"/>
      <c r="R786" s="377"/>
      <c r="S786" s="377"/>
      <c r="T786" s="3"/>
      <c r="U786" s="3"/>
      <c r="V786" s="3"/>
      <c r="W786" s="3"/>
      <c r="X786" s="3"/>
      <c r="Y786" s="3"/>
      <c r="Z786" s="3"/>
    </row>
    <row r="787" spans="1:26" ht="22.5" customHeight="1" x14ac:dyDescent="0.85">
      <c r="A787" s="377"/>
      <c r="B787" s="377"/>
      <c r="C787" s="377"/>
      <c r="D787" s="377"/>
      <c r="E787" s="377"/>
      <c r="F787" s="377"/>
      <c r="G787" s="377"/>
      <c r="H787" s="377"/>
      <c r="I787" s="377"/>
      <c r="J787" s="377"/>
      <c r="K787" s="377"/>
      <c r="L787" s="377"/>
      <c r="M787" s="377"/>
      <c r="N787" s="377"/>
      <c r="O787" s="377"/>
      <c r="P787" s="377"/>
      <c r="Q787" s="377"/>
      <c r="R787" s="377"/>
      <c r="S787" s="377"/>
      <c r="T787" s="3"/>
      <c r="U787" s="3"/>
      <c r="V787" s="3"/>
      <c r="W787" s="3"/>
      <c r="X787" s="3"/>
      <c r="Y787" s="3"/>
      <c r="Z787" s="3"/>
    </row>
    <row r="788" spans="1:26" ht="22.5" customHeight="1" x14ac:dyDescent="0.85">
      <c r="A788" s="377"/>
      <c r="B788" s="377"/>
      <c r="C788" s="377"/>
      <c r="D788" s="377"/>
      <c r="E788" s="377"/>
      <c r="F788" s="377"/>
      <c r="G788" s="377"/>
      <c r="H788" s="377"/>
      <c r="I788" s="377"/>
      <c r="J788" s="377"/>
      <c r="K788" s="377"/>
      <c r="L788" s="377"/>
      <c r="M788" s="377"/>
      <c r="N788" s="377"/>
      <c r="O788" s="377"/>
      <c r="P788" s="377"/>
      <c r="Q788" s="377"/>
      <c r="R788" s="377"/>
      <c r="S788" s="377"/>
      <c r="T788" s="3"/>
      <c r="U788" s="3"/>
      <c r="V788" s="3"/>
      <c r="W788" s="3"/>
      <c r="X788" s="3"/>
      <c r="Y788" s="3"/>
      <c r="Z788" s="3"/>
    </row>
    <row r="789" spans="1:26" ht="22.5" customHeight="1" x14ac:dyDescent="0.85">
      <c r="A789" s="377"/>
      <c r="B789" s="377"/>
      <c r="C789" s="377"/>
      <c r="D789" s="377"/>
      <c r="E789" s="377"/>
      <c r="F789" s="377"/>
      <c r="G789" s="377"/>
      <c r="H789" s="377"/>
      <c r="I789" s="377"/>
      <c r="J789" s="377"/>
      <c r="K789" s="377"/>
      <c r="L789" s="377"/>
      <c r="M789" s="377"/>
      <c r="N789" s="377"/>
      <c r="O789" s="377"/>
      <c r="P789" s="377"/>
      <c r="Q789" s="377"/>
      <c r="R789" s="377"/>
      <c r="S789" s="377"/>
      <c r="T789" s="3"/>
      <c r="U789" s="3"/>
      <c r="V789" s="3"/>
      <c r="W789" s="3"/>
      <c r="X789" s="3"/>
      <c r="Y789" s="3"/>
      <c r="Z789" s="3"/>
    </row>
    <row r="790" spans="1:26" ht="22.5" customHeight="1" x14ac:dyDescent="0.85">
      <c r="A790" s="377"/>
      <c r="B790" s="377"/>
      <c r="C790" s="377"/>
      <c r="D790" s="377"/>
      <c r="E790" s="377"/>
      <c r="F790" s="377"/>
      <c r="G790" s="377"/>
      <c r="H790" s="377"/>
      <c r="I790" s="377"/>
      <c r="J790" s="377"/>
      <c r="K790" s="377"/>
      <c r="L790" s="377"/>
      <c r="M790" s="377"/>
      <c r="N790" s="377"/>
      <c r="O790" s="377"/>
      <c r="P790" s="377"/>
      <c r="Q790" s="377"/>
      <c r="R790" s="377"/>
      <c r="S790" s="377"/>
      <c r="T790" s="3"/>
      <c r="U790" s="3"/>
      <c r="V790" s="3"/>
      <c r="W790" s="3"/>
      <c r="X790" s="3"/>
      <c r="Y790" s="3"/>
      <c r="Z790" s="3"/>
    </row>
    <row r="791" spans="1:26" ht="22.5" customHeight="1" x14ac:dyDescent="0.85">
      <c r="A791" s="377"/>
      <c r="B791" s="377"/>
      <c r="C791" s="377"/>
      <c r="D791" s="377"/>
      <c r="E791" s="377"/>
      <c r="F791" s="377"/>
      <c r="G791" s="377"/>
      <c r="H791" s="377"/>
      <c r="I791" s="377"/>
      <c r="J791" s="377"/>
      <c r="K791" s="377"/>
      <c r="L791" s="377"/>
      <c r="M791" s="377"/>
      <c r="N791" s="377"/>
      <c r="O791" s="377"/>
      <c r="P791" s="377"/>
      <c r="Q791" s="377"/>
      <c r="R791" s="377"/>
      <c r="S791" s="377"/>
      <c r="T791" s="3"/>
      <c r="U791" s="3"/>
      <c r="V791" s="3"/>
      <c r="W791" s="3"/>
      <c r="X791" s="3"/>
      <c r="Y791" s="3"/>
      <c r="Z791" s="3"/>
    </row>
    <row r="792" spans="1:26" ht="22.5" customHeight="1" x14ac:dyDescent="0.85">
      <c r="A792" s="377"/>
      <c r="B792" s="377"/>
      <c r="C792" s="377"/>
      <c r="D792" s="377"/>
      <c r="E792" s="377"/>
      <c r="F792" s="377"/>
      <c r="G792" s="377"/>
      <c r="H792" s="377"/>
      <c r="I792" s="377"/>
      <c r="J792" s="377"/>
      <c r="K792" s="377"/>
      <c r="L792" s="377"/>
      <c r="M792" s="377"/>
      <c r="N792" s="377"/>
      <c r="O792" s="377"/>
      <c r="P792" s="377"/>
      <c r="Q792" s="377"/>
      <c r="R792" s="377"/>
      <c r="S792" s="377"/>
      <c r="T792" s="3"/>
      <c r="U792" s="3"/>
      <c r="V792" s="3"/>
      <c r="W792" s="3"/>
      <c r="X792" s="3"/>
      <c r="Y792" s="3"/>
      <c r="Z792" s="3"/>
    </row>
    <row r="793" spans="1:26" ht="22.5" customHeight="1" x14ac:dyDescent="0.85">
      <c r="A793" s="377"/>
      <c r="B793" s="377"/>
      <c r="C793" s="377"/>
      <c r="D793" s="377"/>
      <c r="E793" s="377"/>
      <c r="F793" s="377"/>
      <c r="G793" s="377"/>
      <c r="H793" s="377"/>
      <c r="I793" s="377"/>
      <c r="J793" s="377"/>
      <c r="K793" s="377"/>
      <c r="L793" s="377"/>
      <c r="M793" s="377"/>
      <c r="N793" s="377"/>
      <c r="O793" s="377"/>
      <c r="P793" s="377"/>
      <c r="Q793" s="377"/>
      <c r="R793" s="377"/>
      <c r="S793" s="377"/>
      <c r="T793" s="3"/>
      <c r="U793" s="3"/>
      <c r="V793" s="3"/>
      <c r="W793" s="3"/>
      <c r="X793" s="3"/>
      <c r="Y793" s="3"/>
      <c r="Z793" s="3"/>
    </row>
    <row r="794" spans="1:26" ht="22.5" customHeight="1" x14ac:dyDescent="0.85">
      <c r="A794" s="377"/>
      <c r="B794" s="377"/>
      <c r="C794" s="377"/>
      <c r="D794" s="377"/>
      <c r="E794" s="377"/>
      <c r="F794" s="377"/>
      <c r="G794" s="377"/>
      <c r="H794" s="377"/>
      <c r="I794" s="377"/>
      <c r="J794" s="377"/>
      <c r="K794" s="377"/>
      <c r="L794" s="377"/>
      <c r="M794" s="377"/>
      <c r="N794" s="377"/>
      <c r="O794" s="377"/>
      <c r="P794" s="377"/>
      <c r="Q794" s="377"/>
      <c r="R794" s="377"/>
      <c r="S794" s="377"/>
      <c r="T794" s="3"/>
      <c r="U794" s="3"/>
      <c r="V794" s="3"/>
      <c r="W794" s="3"/>
      <c r="X794" s="3"/>
      <c r="Y794" s="3"/>
      <c r="Z794" s="3"/>
    </row>
    <row r="795" spans="1:26" ht="22.5" customHeight="1" x14ac:dyDescent="0.85">
      <c r="A795" s="377"/>
      <c r="B795" s="377"/>
      <c r="C795" s="377"/>
      <c r="D795" s="377"/>
      <c r="E795" s="377"/>
      <c r="F795" s="377"/>
      <c r="G795" s="377"/>
      <c r="H795" s="377"/>
      <c r="I795" s="377"/>
      <c r="J795" s="377"/>
      <c r="K795" s="377"/>
      <c r="L795" s="377"/>
      <c r="M795" s="377"/>
      <c r="N795" s="377"/>
      <c r="O795" s="377"/>
      <c r="P795" s="377"/>
      <c r="Q795" s="377"/>
      <c r="R795" s="377"/>
      <c r="S795" s="377"/>
      <c r="T795" s="3"/>
      <c r="U795" s="3"/>
      <c r="V795" s="3"/>
      <c r="W795" s="3"/>
      <c r="X795" s="3"/>
      <c r="Y795" s="3"/>
      <c r="Z795" s="3"/>
    </row>
    <row r="796" spans="1:26" ht="22.5" customHeight="1" x14ac:dyDescent="0.85">
      <c r="A796" s="377"/>
      <c r="B796" s="377"/>
      <c r="C796" s="377"/>
      <c r="D796" s="377"/>
      <c r="E796" s="377"/>
      <c r="F796" s="377"/>
      <c r="G796" s="377"/>
      <c r="H796" s="377"/>
      <c r="I796" s="377"/>
      <c r="J796" s="377"/>
      <c r="K796" s="377"/>
      <c r="L796" s="377"/>
      <c r="M796" s="377"/>
      <c r="N796" s="377"/>
      <c r="O796" s="377"/>
      <c r="P796" s="377"/>
      <c r="Q796" s="377"/>
      <c r="R796" s="377"/>
      <c r="S796" s="377"/>
      <c r="T796" s="3"/>
      <c r="U796" s="3"/>
      <c r="V796" s="3"/>
      <c r="W796" s="3"/>
      <c r="X796" s="3"/>
      <c r="Y796" s="3"/>
      <c r="Z796" s="3"/>
    </row>
    <row r="797" spans="1:26" ht="22.5" customHeight="1" x14ac:dyDescent="0.85">
      <c r="A797" s="377"/>
      <c r="B797" s="377"/>
      <c r="C797" s="377"/>
      <c r="D797" s="377"/>
      <c r="E797" s="377"/>
      <c r="F797" s="377"/>
      <c r="G797" s="377"/>
      <c r="H797" s="377"/>
      <c r="I797" s="377"/>
      <c r="J797" s="377"/>
      <c r="K797" s="377"/>
      <c r="L797" s="377"/>
      <c r="M797" s="377"/>
      <c r="N797" s="377"/>
      <c r="O797" s="377"/>
      <c r="P797" s="377"/>
      <c r="Q797" s="377"/>
      <c r="R797" s="377"/>
      <c r="S797" s="377"/>
      <c r="T797" s="3"/>
      <c r="U797" s="3"/>
      <c r="V797" s="3"/>
      <c r="W797" s="3"/>
      <c r="X797" s="3"/>
      <c r="Y797" s="3"/>
      <c r="Z797" s="3"/>
    </row>
    <row r="798" spans="1:26" ht="22.5" customHeight="1" x14ac:dyDescent="0.85">
      <c r="A798" s="377"/>
      <c r="B798" s="377"/>
      <c r="C798" s="377"/>
      <c r="D798" s="377"/>
      <c r="E798" s="377"/>
      <c r="F798" s="377"/>
      <c r="G798" s="377"/>
      <c r="H798" s="377"/>
      <c r="I798" s="377"/>
      <c r="J798" s="377"/>
      <c r="K798" s="377"/>
      <c r="L798" s="377"/>
      <c r="M798" s="377"/>
      <c r="N798" s="377"/>
      <c r="O798" s="377"/>
      <c r="P798" s="377"/>
      <c r="Q798" s="377"/>
      <c r="R798" s="377"/>
      <c r="S798" s="377"/>
      <c r="T798" s="3"/>
      <c r="U798" s="3"/>
      <c r="V798" s="3"/>
      <c r="W798" s="3"/>
      <c r="X798" s="3"/>
      <c r="Y798" s="3"/>
      <c r="Z798" s="3"/>
    </row>
    <row r="799" spans="1:26" ht="22.5" customHeight="1" x14ac:dyDescent="0.85">
      <c r="A799" s="377"/>
      <c r="B799" s="377"/>
      <c r="C799" s="377"/>
      <c r="D799" s="377"/>
      <c r="E799" s="377"/>
      <c r="F799" s="377"/>
      <c r="G799" s="377"/>
      <c r="H799" s="377"/>
      <c r="I799" s="377"/>
      <c r="J799" s="377"/>
      <c r="K799" s="377"/>
      <c r="L799" s="377"/>
      <c r="M799" s="377"/>
      <c r="N799" s="377"/>
      <c r="O799" s="377"/>
      <c r="P799" s="377"/>
      <c r="Q799" s="377"/>
      <c r="R799" s="377"/>
      <c r="S799" s="377"/>
      <c r="T799" s="3"/>
      <c r="U799" s="3"/>
      <c r="V799" s="3"/>
      <c r="W799" s="3"/>
      <c r="X799" s="3"/>
      <c r="Y799" s="3"/>
      <c r="Z799" s="3"/>
    </row>
    <row r="800" spans="1:26" ht="22.5" customHeight="1" x14ac:dyDescent="0.85">
      <c r="A800" s="377"/>
      <c r="B800" s="377"/>
      <c r="C800" s="377"/>
      <c r="D800" s="377"/>
      <c r="E800" s="377"/>
      <c r="F800" s="377"/>
      <c r="G800" s="377"/>
      <c r="H800" s="377"/>
      <c r="I800" s="377"/>
      <c r="J800" s="377"/>
      <c r="K800" s="377"/>
      <c r="L800" s="377"/>
      <c r="M800" s="377"/>
      <c r="N800" s="377"/>
      <c r="O800" s="377"/>
      <c r="P800" s="377"/>
      <c r="Q800" s="377"/>
      <c r="R800" s="377"/>
      <c r="S800" s="377"/>
      <c r="T800" s="3"/>
      <c r="U800" s="3"/>
      <c r="V800" s="3"/>
      <c r="W800" s="3"/>
      <c r="X800" s="3"/>
      <c r="Y800" s="3"/>
      <c r="Z800" s="3"/>
    </row>
    <row r="801" spans="1:26" ht="22.5" customHeight="1" x14ac:dyDescent="0.85">
      <c r="A801" s="377"/>
      <c r="B801" s="377"/>
      <c r="C801" s="377"/>
      <c r="D801" s="377"/>
      <c r="E801" s="377"/>
      <c r="F801" s="377"/>
      <c r="G801" s="377"/>
      <c r="H801" s="377"/>
      <c r="I801" s="377"/>
      <c r="J801" s="377"/>
      <c r="K801" s="377"/>
      <c r="L801" s="377"/>
      <c r="M801" s="377"/>
      <c r="N801" s="377"/>
      <c r="O801" s="377"/>
      <c r="P801" s="377"/>
      <c r="Q801" s="377"/>
      <c r="R801" s="377"/>
      <c r="S801" s="377"/>
      <c r="T801" s="3"/>
      <c r="U801" s="3"/>
      <c r="V801" s="3"/>
      <c r="W801" s="3"/>
      <c r="X801" s="3"/>
      <c r="Y801" s="3"/>
      <c r="Z801" s="3"/>
    </row>
    <row r="802" spans="1:26" ht="22.5" customHeight="1" x14ac:dyDescent="0.85">
      <c r="A802" s="377"/>
      <c r="B802" s="377"/>
      <c r="C802" s="377"/>
      <c r="D802" s="377"/>
      <c r="E802" s="377"/>
      <c r="F802" s="377"/>
      <c r="G802" s="377"/>
      <c r="H802" s="377"/>
      <c r="I802" s="377"/>
      <c r="J802" s="377"/>
      <c r="K802" s="377"/>
      <c r="L802" s="377"/>
      <c r="M802" s="377"/>
      <c r="N802" s="377"/>
      <c r="O802" s="377"/>
      <c r="P802" s="377"/>
      <c r="Q802" s="377"/>
      <c r="R802" s="377"/>
      <c r="S802" s="377"/>
      <c r="T802" s="3"/>
      <c r="U802" s="3"/>
      <c r="V802" s="3"/>
      <c r="W802" s="3"/>
      <c r="X802" s="3"/>
      <c r="Y802" s="3"/>
      <c r="Z802" s="3"/>
    </row>
    <row r="803" spans="1:26" ht="22.5" customHeight="1" x14ac:dyDescent="0.85">
      <c r="A803" s="377"/>
      <c r="B803" s="377"/>
      <c r="C803" s="377"/>
      <c r="D803" s="377"/>
      <c r="E803" s="377"/>
      <c r="F803" s="377"/>
      <c r="G803" s="377"/>
      <c r="H803" s="377"/>
      <c r="I803" s="377"/>
      <c r="J803" s="377"/>
      <c r="K803" s="377"/>
      <c r="L803" s="377"/>
      <c r="M803" s="377"/>
      <c r="N803" s="377"/>
      <c r="O803" s="377"/>
      <c r="P803" s="377"/>
      <c r="Q803" s="377"/>
      <c r="R803" s="377"/>
      <c r="S803" s="377"/>
      <c r="T803" s="3"/>
      <c r="U803" s="3"/>
      <c r="V803" s="3"/>
      <c r="W803" s="3"/>
      <c r="X803" s="3"/>
      <c r="Y803" s="3"/>
      <c r="Z803" s="3"/>
    </row>
    <row r="804" spans="1:26" ht="22.5" customHeight="1" x14ac:dyDescent="0.85">
      <c r="A804" s="377"/>
      <c r="B804" s="377"/>
      <c r="C804" s="377"/>
      <c r="D804" s="377"/>
      <c r="E804" s="377"/>
      <c r="F804" s="377"/>
      <c r="G804" s="377"/>
      <c r="H804" s="377"/>
      <c r="I804" s="377"/>
      <c r="J804" s="377"/>
      <c r="K804" s="377"/>
      <c r="L804" s="377"/>
      <c r="M804" s="377"/>
      <c r="N804" s="377"/>
      <c r="O804" s="377"/>
      <c r="P804" s="377"/>
      <c r="Q804" s="377"/>
      <c r="R804" s="377"/>
      <c r="S804" s="377"/>
      <c r="T804" s="3"/>
      <c r="U804" s="3"/>
      <c r="V804" s="3"/>
      <c r="W804" s="3"/>
      <c r="X804" s="3"/>
      <c r="Y804" s="3"/>
      <c r="Z804" s="3"/>
    </row>
    <row r="805" spans="1:26" ht="22.5" customHeight="1" x14ac:dyDescent="0.85">
      <c r="A805" s="377"/>
      <c r="B805" s="377"/>
      <c r="C805" s="377"/>
      <c r="D805" s="377"/>
      <c r="E805" s="377"/>
      <c r="F805" s="377"/>
      <c r="G805" s="377"/>
      <c r="H805" s="377"/>
      <c r="I805" s="377"/>
      <c r="J805" s="377"/>
      <c r="K805" s="377"/>
      <c r="L805" s="377"/>
      <c r="M805" s="377"/>
      <c r="N805" s="377"/>
      <c r="O805" s="377"/>
      <c r="P805" s="377"/>
      <c r="Q805" s="377"/>
      <c r="R805" s="377"/>
      <c r="S805" s="377"/>
      <c r="T805" s="3"/>
      <c r="U805" s="3"/>
      <c r="V805" s="3"/>
      <c r="W805" s="3"/>
      <c r="X805" s="3"/>
      <c r="Y805" s="3"/>
      <c r="Z805" s="3"/>
    </row>
    <row r="806" spans="1:26" ht="22.5" customHeight="1" x14ac:dyDescent="0.85">
      <c r="A806" s="377"/>
      <c r="B806" s="377"/>
      <c r="C806" s="377"/>
      <c r="D806" s="377"/>
      <c r="E806" s="377"/>
      <c r="F806" s="377"/>
      <c r="G806" s="377"/>
      <c r="H806" s="377"/>
      <c r="I806" s="377"/>
      <c r="J806" s="377"/>
      <c r="K806" s="377"/>
      <c r="L806" s="377"/>
      <c r="M806" s="377"/>
      <c r="N806" s="377"/>
      <c r="O806" s="377"/>
      <c r="P806" s="377"/>
      <c r="Q806" s="377"/>
      <c r="R806" s="377"/>
      <c r="S806" s="377"/>
      <c r="T806" s="3"/>
      <c r="U806" s="3"/>
      <c r="V806" s="3"/>
      <c r="W806" s="3"/>
      <c r="X806" s="3"/>
      <c r="Y806" s="3"/>
      <c r="Z806" s="3"/>
    </row>
    <row r="807" spans="1:26" ht="22.5" customHeight="1" x14ac:dyDescent="0.85">
      <c r="A807" s="377"/>
      <c r="B807" s="377"/>
      <c r="C807" s="377"/>
      <c r="D807" s="377"/>
      <c r="E807" s="377"/>
      <c r="F807" s="377"/>
      <c r="G807" s="377"/>
      <c r="H807" s="377"/>
      <c r="I807" s="377"/>
      <c r="J807" s="377"/>
      <c r="K807" s="377"/>
      <c r="L807" s="377"/>
      <c r="M807" s="377"/>
      <c r="N807" s="377"/>
      <c r="O807" s="377"/>
      <c r="P807" s="377"/>
      <c r="Q807" s="377"/>
      <c r="R807" s="377"/>
      <c r="S807" s="377"/>
      <c r="T807" s="3"/>
      <c r="U807" s="3"/>
      <c r="V807" s="3"/>
      <c r="W807" s="3"/>
      <c r="X807" s="3"/>
      <c r="Y807" s="3"/>
      <c r="Z807" s="3"/>
    </row>
    <row r="808" spans="1:26" ht="22.5" customHeight="1" x14ac:dyDescent="0.85">
      <c r="A808" s="377"/>
      <c r="B808" s="377"/>
      <c r="C808" s="377"/>
      <c r="D808" s="377"/>
      <c r="E808" s="377"/>
      <c r="F808" s="377"/>
      <c r="G808" s="377"/>
      <c r="H808" s="377"/>
      <c r="I808" s="377"/>
      <c r="J808" s="377"/>
      <c r="K808" s="377"/>
      <c r="L808" s="377"/>
      <c r="M808" s="377"/>
      <c r="N808" s="377"/>
      <c r="O808" s="377"/>
      <c r="P808" s="377"/>
      <c r="Q808" s="377"/>
      <c r="R808" s="377"/>
      <c r="S808" s="377"/>
      <c r="T808" s="3"/>
      <c r="U808" s="3"/>
      <c r="V808" s="3"/>
      <c r="W808" s="3"/>
      <c r="X808" s="3"/>
      <c r="Y808" s="3"/>
      <c r="Z808" s="3"/>
    </row>
    <row r="809" spans="1:26" ht="22.5" customHeight="1" x14ac:dyDescent="0.85">
      <c r="A809" s="377"/>
      <c r="B809" s="377"/>
      <c r="C809" s="377"/>
      <c r="D809" s="377"/>
      <c r="E809" s="377"/>
      <c r="F809" s="377"/>
      <c r="G809" s="377"/>
      <c r="H809" s="377"/>
      <c r="I809" s="377"/>
      <c r="J809" s="377"/>
      <c r="K809" s="377"/>
      <c r="L809" s="377"/>
      <c r="M809" s="377"/>
      <c r="N809" s="377"/>
      <c r="O809" s="377"/>
      <c r="P809" s="377"/>
      <c r="Q809" s="377"/>
      <c r="R809" s="377"/>
      <c r="S809" s="377"/>
      <c r="T809" s="3"/>
      <c r="U809" s="3"/>
      <c r="V809" s="3"/>
      <c r="W809" s="3"/>
      <c r="X809" s="3"/>
      <c r="Y809" s="3"/>
      <c r="Z809" s="3"/>
    </row>
    <row r="810" spans="1:26" ht="22.5" customHeight="1" x14ac:dyDescent="0.85">
      <c r="A810" s="377"/>
      <c r="B810" s="377"/>
      <c r="C810" s="377"/>
      <c r="D810" s="377"/>
      <c r="E810" s="377"/>
      <c r="F810" s="377"/>
      <c r="G810" s="377"/>
      <c r="H810" s="377"/>
      <c r="I810" s="377"/>
      <c r="J810" s="377"/>
      <c r="K810" s="377"/>
      <c r="L810" s="377"/>
      <c r="M810" s="377"/>
      <c r="N810" s="377"/>
      <c r="O810" s="377"/>
      <c r="P810" s="377"/>
      <c r="Q810" s="377"/>
      <c r="R810" s="377"/>
      <c r="S810" s="377"/>
      <c r="T810" s="3"/>
      <c r="U810" s="3"/>
      <c r="V810" s="3"/>
      <c r="W810" s="3"/>
      <c r="X810" s="3"/>
      <c r="Y810" s="3"/>
      <c r="Z810" s="3"/>
    </row>
    <row r="811" spans="1:26" ht="22.5" customHeight="1" x14ac:dyDescent="0.85">
      <c r="A811" s="377"/>
      <c r="B811" s="377"/>
      <c r="C811" s="377"/>
      <c r="D811" s="377"/>
      <c r="E811" s="377"/>
      <c r="F811" s="377"/>
      <c r="G811" s="377"/>
      <c r="H811" s="377"/>
      <c r="I811" s="377"/>
      <c r="J811" s="377"/>
      <c r="K811" s="377"/>
      <c r="L811" s="377"/>
      <c r="M811" s="377"/>
      <c r="N811" s="377"/>
      <c r="O811" s="377"/>
      <c r="P811" s="377"/>
      <c r="Q811" s="377"/>
      <c r="R811" s="377"/>
      <c r="S811" s="377"/>
      <c r="T811" s="3"/>
      <c r="U811" s="3"/>
      <c r="V811" s="3"/>
      <c r="W811" s="3"/>
      <c r="X811" s="3"/>
      <c r="Y811" s="3"/>
      <c r="Z811" s="3"/>
    </row>
    <row r="812" spans="1:26" ht="22.5" customHeight="1" x14ac:dyDescent="0.85">
      <c r="A812" s="377"/>
      <c r="B812" s="377"/>
      <c r="C812" s="377"/>
      <c r="D812" s="377"/>
      <c r="E812" s="377"/>
      <c r="F812" s="377"/>
      <c r="G812" s="377"/>
      <c r="H812" s="377"/>
      <c r="I812" s="377"/>
      <c r="J812" s="377"/>
      <c r="K812" s="377"/>
      <c r="L812" s="377"/>
      <c r="M812" s="377"/>
      <c r="N812" s="377"/>
      <c r="O812" s="377"/>
      <c r="P812" s="377"/>
      <c r="Q812" s="377"/>
      <c r="R812" s="377"/>
      <c r="S812" s="377"/>
      <c r="T812" s="3"/>
      <c r="U812" s="3"/>
      <c r="V812" s="3"/>
      <c r="W812" s="3"/>
      <c r="X812" s="3"/>
      <c r="Y812" s="3"/>
      <c r="Z812" s="3"/>
    </row>
    <row r="813" spans="1:26" ht="22.5" customHeight="1" x14ac:dyDescent="0.85">
      <c r="A813" s="377"/>
      <c r="B813" s="377"/>
      <c r="C813" s="377"/>
      <c r="D813" s="377"/>
      <c r="E813" s="377"/>
      <c r="F813" s="377"/>
      <c r="G813" s="377"/>
      <c r="H813" s="377"/>
      <c r="I813" s="377"/>
      <c r="J813" s="377"/>
      <c r="K813" s="377"/>
      <c r="L813" s="377"/>
      <c r="M813" s="377"/>
      <c r="N813" s="377"/>
      <c r="O813" s="377"/>
      <c r="P813" s="377"/>
      <c r="Q813" s="377"/>
      <c r="R813" s="377"/>
      <c r="S813" s="377"/>
      <c r="T813" s="3"/>
      <c r="U813" s="3"/>
      <c r="V813" s="3"/>
      <c r="W813" s="3"/>
      <c r="X813" s="3"/>
      <c r="Y813" s="3"/>
      <c r="Z813" s="3"/>
    </row>
    <row r="814" spans="1:26" ht="22.5" customHeight="1" x14ac:dyDescent="0.85">
      <c r="A814" s="377"/>
      <c r="B814" s="377"/>
      <c r="C814" s="377"/>
      <c r="D814" s="377"/>
      <c r="E814" s="377"/>
      <c r="F814" s="377"/>
      <c r="G814" s="377"/>
      <c r="H814" s="377"/>
      <c r="I814" s="377"/>
      <c r="J814" s="377"/>
      <c r="K814" s="377"/>
      <c r="L814" s="377"/>
      <c r="M814" s="377"/>
      <c r="N814" s="377"/>
      <c r="O814" s="377"/>
      <c r="P814" s="377"/>
      <c r="Q814" s="377"/>
      <c r="R814" s="377"/>
      <c r="S814" s="377"/>
      <c r="T814" s="3"/>
      <c r="U814" s="3"/>
      <c r="V814" s="3"/>
      <c r="W814" s="3"/>
      <c r="X814" s="3"/>
      <c r="Y814" s="3"/>
      <c r="Z814" s="3"/>
    </row>
    <row r="815" spans="1:26" ht="22.5" customHeight="1" x14ac:dyDescent="0.85">
      <c r="A815" s="377"/>
      <c r="B815" s="377"/>
      <c r="C815" s="377"/>
      <c r="D815" s="377"/>
      <c r="E815" s="377"/>
      <c r="F815" s="377"/>
      <c r="G815" s="377"/>
      <c r="H815" s="377"/>
      <c r="I815" s="377"/>
      <c r="J815" s="377"/>
      <c r="K815" s="377"/>
      <c r="L815" s="377"/>
      <c r="M815" s="377"/>
      <c r="N815" s="377"/>
      <c r="O815" s="377"/>
      <c r="P815" s="377"/>
      <c r="Q815" s="377"/>
      <c r="R815" s="377"/>
      <c r="S815" s="377"/>
      <c r="T815" s="3"/>
      <c r="U815" s="3"/>
      <c r="V815" s="3"/>
      <c r="W815" s="3"/>
      <c r="X815" s="3"/>
      <c r="Y815" s="3"/>
      <c r="Z815" s="3"/>
    </row>
    <row r="816" spans="1:26" ht="22.5" customHeight="1" x14ac:dyDescent="0.85">
      <c r="A816" s="377"/>
      <c r="B816" s="377"/>
      <c r="C816" s="377"/>
      <c r="D816" s="377"/>
      <c r="E816" s="377"/>
      <c r="F816" s="377"/>
      <c r="G816" s="377"/>
      <c r="H816" s="377"/>
      <c r="I816" s="377"/>
      <c r="J816" s="377"/>
      <c r="K816" s="377"/>
      <c r="L816" s="377"/>
      <c r="M816" s="377"/>
      <c r="N816" s="377"/>
      <c r="O816" s="377"/>
      <c r="P816" s="377"/>
      <c r="Q816" s="377"/>
      <c r="R816" s="377"/>
      <c r="S816" s="377"/>
      <c r="T816" s="3"/>
      <c r="U816" s="3"/>
      <c r="V816" s="3"/>
      <c r="W816" s="3"/>
      <c r="X816" s="3"/>
      <c r="Y816" s="3"/>
      <c r="Z816" s="3"/>
    </row>
    <row r="817" spans="1:26" ht="22.5" customHeight="1" x14ac:dyDescent="0.85">
      <c r="A817" s="377"/>
      <c r="B817" s="377"/>
      <c r="C817" s="377"/>
      <c r="D817" s="377"/>
      <c r="E817" s="377"/>
      <c r="F817" s="377"/>
      <c r="G817" s="377"/>
      <c r="H817" s="377"/>
      <c r="I817" s="377"/>
      <c r="J817" s="377"/>
      <c r="K817" s="377"/>
      <c r="L817" s="377"/>
      <c r="M817" s="377"/>
      <c r="N817" s="377"/>
      <c r="O817" s="377"/>
      <c r="P817" s="377"/>
      <c r="Q817" s="377"/>
      <c r="R817" s="377"/>
      <c r="S817" s="377"/>
      <c r="T817" s="3"/>
      <c r="U817" s="3"/>
      <c r="V817" s="3"/>
      <c r="W817" s="3"/>
      <c r="X817" s="3"/>
      <c r="Y817" s="3"/>
      <c r="Z817" s="3"/>
    </row>
    <row r="818" spans="1:26" ht="22.5" customHeight="1" x14ac:dyDescent="0.85">
      <c r="A818" s="377"/>
      <c r="B818" s="377"/>
      <c r="C818" s="377"/>
      <c r="D818" s="377"/>
      <c r="E818" s="377"/>
      <c r="F818" s="377"/>
      <c r="G818" s="377"/>
      <c r="H818" s="377"/>
      <c r="I818" s="377"/>
      <c r="J818" s="377"/>
      <c r="K818" s="377"/>
      <c r="L818" s="377"/>
      <c r="M818" s="377"/>
      <c r="N818" s="377"/>
      <c r="O818" s="377"/>
      <c r="P818" s="377"/>
      <c r="Q818" s="377"/>
      <c r="R818" s="377"/>
      <c r="S818" s="377"/>
      <c r="T818" s="3"/>
      <c r="U818" s="3"/>
      <c r="V818" s="3"/>
      <c r="W818" s="3"/>
      <c r="X818" s="3"/>
      <c r="Y818" s="3"/>
      <c r="Z818" s="3"/>
    </row>
    <row r="819" spans="1:26" ht="22.5" customHeight="1" x14ac:dyDescent="0.85">
      <c r="A819" s="377"/>
      <c r="B819" s="377"/>
      <c r="C819" s="377"/>
      <c r="D819" s="377"/>
      <c r="E819" s="377"/>
      <c r="F819" s="377"/>
      <c r="G819" s="377"/>
      <c r="H819" s="377"/>
      <c r="I819" s="377"/>
      <c r="J819" s="377"/>
      <c r="K819" s="377"/>
      <c r="L819" s="377"/>
      <c r="M819" s="377"/>
      <c r="N819" s="377"/>
      <c r="O819" s="377"/>
      <c r="P819" s="377"/>
      <c r="Q819" s="377"/>
      <c r="R819" s="377"/>
      <c r="S819" s="377"/>
      <c r="T819" s="3"/>
      <c r="U819" s="3"/>
      <c r="V819" s="3"/>
      <c r="W819" s="3"/>
      <c r="X819" s="3"/>
      <c r="Y819" s="3"/>
      <c r="Z819" s="3"/>
    </row>
    <row r="820" spans="1:26" ht="22.5" customHeight="1" x14ac:dyDescent="0.85">
      <c r="A820" s="377"/>
      <c r="B820" s="377"/>
      <c r="C820" s="377"/>
      <c r="D820" s="377"/>
      <c r="E820" s="377"/>
      <c r="F820" s="377"/>
      <c r="G820" s="377"/>
      <c r="H820" s="377"/>
      <c r="I820" s="377"/>
      <c r="J820" s="377"/>
      <c r="K820" s="377"/>
      <c r="L820" s="377"/>
      <c r="M820" s="377"/>
      <c r="N820" s="377"/>
      <c r="O820" s="377"/>
      <c r="P820" s="377"/>
      <c r="Q820" s="377"/>
      <c r="R820" s="377"/>
      <c r="S820" s="377"/>
      <c r="T820" s="3"/>
      <c r="U820" s="3"/>
      <c r="V820" s="3"/>
      <c r="W820" s="3"/>
      <c r="X820" s="3"/>
      <c r="Y820" s="3"/>
      <c r="Z820" s="3"/>
    </row>
    <row r="821" spans="1:26" ht="22.5" customHeight="1" x14ac:dyDescent="0.85">
      <c r="A821" s="377"/>
      <c r="B821" s="377"/>
      <c r="C821" s="377"/>
      <c r="D821" s="377"/>
      <c r="E821" s="377"/>
      <c r="F821" s="377"/>
      <c r="G821" s="377"/>
      <c r="H821" s="377"/>
      <c r="I821" s="377"/>
      <c r="J821" s="377"/>
      <c r="K821" s="377"/>
      <c r="L821" s="377"/>
      <c r="M821" s="377"/>
      <c r="N821" s="377"/>
      <c r="O821" s="377"/>
      <c r="P821" s="377"/>
      <c r="Q821" s="377"/>
      <c r="R821" s="377"/>
      <c r="S821" s="377"/>
      <c r="T821" s="3"/>
      <c r="U821" s="3"/>
      <c r="V821" s="3"/>
      <c r="W821" s="3"/>
      <c r="X821" s="3"/>
      <c r="Y821" s="3"/>
      <c r="Z821" s="3"/>
    </row>
    <row r="822" spans="1:26" ht="22.5" customHeight="1" x14ac:dyDescent="0.85">
      <c r="A822" s="377"/>
      <c r="B822" s="377"/>
      <c r="C822" s="377"/>
      <c r="D822" s="377"/>
      <c r="E822" s="377"/>
      <c r="F822" s="377"/>
      <c r="G822" s="377"/>
      <c r="H822" s="377"/>
      <c r="I822" s="377"/>
      <c r="J822" s="377"/>
      <c r="K822" s="377"/>
      <c r="L822" s="377"/>
      <c r="M822" s="377"/>
      <c r="N822" s="377"/>
      <c r="O822" s="377"/>
      <c r="P822" s="377"/>
      <c r="Q822" s="377"/>
      <c r="R822" s="377"/>
      <c r="S822" s="377"/>
      <c r="T822" s="3"/>
      <c r="U822" s="3"/>
      <c r="V822" s="3"/>
      <c r="W822" s="3"/>
      <c r="X822" s="3"/>
      <c r="Y822" s="3"/>
      <c r="Z822" s="3"/>
    </row>
    <row r="823" spans="1:26" ht="22.5" customHeight="1" x14ac:dyDescent="0.85">
      <c r="A823" s="377"/>
      <c r="B823" s="377"/>
      <c r="C823" s="377"/>
      <c r="D823" s="377"/>
      <c r="E823" s="377"/>
      <c r="F823" s="377"/>
      <c r="G823" s="377"/>
      <c r="H823" s="377"/>
      <c r="I823" s="377"/>
      <c r="J823" s="377"/>
      <c r="K823" s="377"/>
      <c r="L823" s="377"/>
      <c r="M823" s="377"/>
      <c r="N823" s="377"/>
      <c r="O823" s="377"/>
      <c r="P823" s="377"/>
      <c r="Q823" s="377"/>
      <c r="R823" s="377"/>
      <c r="S823" s="377"/>
      <c r="T823" s="3"/>
      <c r="U823" s="3"/>
      <c r="V823" s="3"/>
      <c r="W823" s="3"/>
      <c r="X823" s="3"/>
      <c r="Y823" s="3"/>
      <c r="Z823" s="3"/>
    </row>
    <row r="824" spans="1:26" ht="22.5" customHeight="1" x14ac:dyDescent="0.85">
      <c r="A824" s="377"/>
      <c r="B824" s="377"/>
      <c r="C824" s="377"/>
      <c r="D824" s="377"/>
      <c r="E824" s="377"/>
      <c r="F824" s="377"/>
      <c r="G824" s="377"/>
      <c r="H824" s="377"/>
      <c r="I824" s="377"/>
      <c r="J824" s="377"/>
      <c r="K824" s="377"/>
      <c r="L824" s="377"/>
      <c r="M824" s="377"/>
      <c r="N824" s="377"/>
      <c r="O824" s="377"/>
      <c r="P824" s="377"/>
      <c r="Q824" s="377"/>
      <c r="R824" s="377"/>
      <c r="S824" s="377"/>
      <c r="T824" s="3"/>
      <c r="U824" s="3"/>
      <c r="V824" s="3"/>
      <c r="W824" s="3"/>
      <c r="X824" s="3"/>
      <c r="Y824" s="3"/>
      <c r="Z824" s="3"/>
    </row>
    <row r="825" spans="1:26" ht="22.5" customHeight="1" x14ac:dyDescent="0.85">
      <c r="A825" s="377"/>
      <c r="B825" s="377"/>
      <c r="C825" s="377"/>
      <c r="D825" s="377"/>
      <c r="E825" s="377"/>
      <c r="F825" s="377"/>
      <c r="G825" s="377"/>
      <c r="H825" s="377"/>
      <c r="I825" s="377"/>
      <c r="J825" s="377"/>
      <c r="K825" s="377"/>
      <c r="L825" s="377"/>
      <c r="M825" s="377"/>
      <c r="N825" s="377"/>
      <c r="O825" s="377"/>
      <c r="P825" s="377"/>
      <c r="Q825" s="377"/>
      <c r="R825" s="377"/>
      <c r="S825" s="377"/>
      <c r="T825" s="3"/>
      <c r="U825" s="3"/>
      <c r="V825" s="3"/>
      <c r="W825" s="3"/>
      <c r="X825" s="3"/>
      <c r="Y825" s="3"/>
      <c r="Z825" s="3"/>
    </row>
    <row r="826" spans="1:26" ht="22.5" customHeight="1" x14ac:dyDescent="0.85">
      <c r="A826" s="377"/>
      <c r="B826" s="377"/>
      <c r="C826" s="377"/>
      <c r="D826" s="377"/>
      <c r="E826" s="377"/>
      <c r="F826" s="377"/>
      <c r="G826" s="377"/>
      <c r="H826" s="377"/>
      <c r="I826" s="377"/>
      <c r="J826" s="377"/>
      <c r="K826" s="377"/>
      <c r="L826" s="377"/>
      <c r="M826" s="377"/>
      <c r="N826" s="377"/>
      <c r="O826" s="377"/>
      <c r="P826" s="377"/>
      <c r="Q826" s="377"/>
      <c r="R826" s="377"/>
      <c r="S826" s="377"/>
      <c r="T826" s="3"/>
      <c r="U826" s="3"/>
      <c r="V826" s="3"/>
      <c r="W826" s="3"/>
      <c r="X826" s="3"/>
      <c r="Y826" s="3"/>
      <c r="Z826" s="3"/>
    </row>
    <row r="827" spans="1:26" ht="22.5" customHeight="1" x14ac:dyDescent="0.85">
      <c r="A827" s="377"/>
      <c r="B827" s="377"/>
      <c r="C827" s="377"/>
      <c r="D827" s="377"/>
      <c r="E827" s="377"/>
      <c r="F827" s="377"/>
      <c r="G827" s="377"/>
      <c r="H827" s="377"/>
      <c r="I827" s="377"/>
      <c r="J827" s="377"/>
      <c r="K827" s="377"/>
      <c r="L827" s="377"/>
      <c r="M827" s="377"/>
      <c r="N827" s="377"/>
      <c r="O827" s="377"/>
      <c r="P827" s="377"/>
      <c r="Q827" s="377"/>
      <c r="R827" s="377"/>
      <c r="S827" s="377"/>
      <c r="T827" s="3"/>
      <c r="U827" s="3"/>
      <c r="V827" s="3"/>
      <c r="W827" s="3"/>
      <c r="X827" s="3"/>
      <c r="Y827" s="3"/>
      <c r="Z827" s="3"/>
    </row>
    <row r="828" spans="1:26" ht="22.5" customHeight="1" x14ac:dyDescent="0.85">
      <c r="A828" s="377"/>
      <c r="B828" s="377"/>
      <c r="C828" s="377"/>
      <c r="D828" s="377"/>
      <c r="E828" s="377"/>
      <c r="F828" s="377"/>
      <c r="G828" s="377"/>
      <c r="H828" s="377"/>
      <c r="I828" s="377"/>
      <c r="J828" s="377"/>
      <c r="K828" s="377"/>
      <c r="L828" s="377"/>
      <c r="M828" s="377"/>
      <c r="N828" s="377"/>
      <c r="O828" s="377"/>
      <c r="P828" s="377"/>
      <c r="Q828" s="377"/>
      <c r="R828" s="377"/>
      <c r="S828" s="377"/>
      <c r="T828" s="3"/>
      <c r="U828" s="3"/>
      <c r="V828" s="3"/>
      <c r="W828" s="3"/>
      <c r="X828" s="3"/>
      <c r="Y828" s="3"/>
      <c r="Z828" s="3"/>
    </row>
    <row r="829" spans="1:26" ht="22.5" customHeight="1" x14ac:dyDescent="0.85">
      <c r="A829" s="377"/>
      <c r="B829" s="377"/>
      <c r="C829" s="377"/>
      <c r="D829" s="377"/>
      <c r="E829" s="377"/>
      <c r="F829" s="377"/>
      <c r="G829" s="377"/>
      <c r="H829" s="377"/>
      <c r="I829" s="377"/>
      <c r="J829" s="377"/>
      <c r="K829" s="377"/>
      <c r="L829" s="377"/>
      <c r="M829" s="377"/>
      <c r="N829" s="377"/>
      <c r="O829" s="377"/>
      <c r="P829" s="377"/>
      <c r="Q829" s="377"/>
      <c r="R829" s="377"/>
      <c r="S829" s="377"/>
      <c r="T829" s="3"/>
      <c r="U829" s="3"/>
      <c r="V829" s="3"/>
      <c r="W829" s="3"/>
      <c r="X829" s="3"/>
      <c r="Y829" s="3"/>
      <c r="Z829" s="3"/>
    </row>
    <row r="830" spans="1:26" ht="22.5" customHeight="1" x14ac:dyDescent="0.85">
      <c r="A830" s="377"/>
      <c r="B830" s="377"/>
      <c r="C830" s="377"/>
      <c r="D830" s="377"/>
      <c r="E830" s="377"/>
      <c r="F830" s="377"/>
      <c r="G830" s="377"/>
      <c r="H830" s="377"/>
      <c r="I830" s="377"/>
      <c r="J830" s="377"/>
      <c r="K830" s="377"/>
      <c r="L830" s="377"/>
      <c r="M830" s="377"/>
      <c r="N830" s="377"/>
      <c r="O830" s="377"/>
      <c r="P830" s="377"/>
      <c r="Q830" s="377"/>
      <c r="R830" s="377"/>
      <c r="S830" s="377"/>
      <c r="T830" s="3"/>
      <c r="U830" s="3"/>
      <c r="V830" s="3"/>
      <c r="W830" s="3"/>
      <c r="X830" s="3"/>
      <c r="Y830" s="3"/>
      <c r="Z830" s="3"/>
    </row>
    <row r="831" spans="1:26" ht="22.5" customHeight="1" x14ac:dyDescent="0.85">
      <c r="A831" s="377"/>
      <c r="B831" s="377"/>
      <c r="C831" s="377"/>
      <c r="D831" s="377"/>
      <c r="E831" s="377"/>
      <c r="F831" s="377"/>
      <c r="G831" s="377"/>
      <c r="H831" s="377"/>
      <c r="I831" s="377"/>
      <c r="J831" s="377"/>
      <c r="K831" s="377"/>
      <c r="L831" s="377"/>
      <c r="M831" s="377"/>
      <c r="N831" s="377"/>
      <c r="O831" s="377"/>
      <c r="P831" s="377"/>
      <c r="Q831" s="377"/>
      <c r="R831" s="377"/>
      <c r="S831" s="377"/>
      <c r="T831" s="3"/>
      <c r="U831" s="3"/>
      <c r="V831" s="3"/>
      <c r="W831" s="3"/>
      <c r="X831" s="3"/>
      <c r="Y831" s="3"/>
      <c r="Z831" s="3"/>
    </row>
    <row r="832" spans="1:26" ht="22.5" customHeight="1" x14ac:dyDescent="0.85">
      <c r="A832" s="377"/>
      <c r="B832" s="377"/>
      <c r="C832" s="377"/>
      <c r="D832" s="377"/>
      <c r="E832" s="377"/>
      <c r="F832" s="377"/>
      <c r="G832" s="377"/>
      <c r="H832" s="377"/>
      <c r="I832" s="377"/>
      <c r="J832" s="377"/>
      <c r="K832" s="377"/>
      <c r="L832" s="377"/>
      <c r="M832" s="377"/>
      <c r="N832" s="377"/>
      <c r="O832" s="377"/>
      <c r="P832" s="377"/>
      <c r="Q832" s="377"/>
      <c r="R832" s="377"/>
      <c r="S832" s="377"/>
      <c r="T832" s="3"/>
      <c r="U832" s="3"/>
      <c r="V832" s="3"/>
      <c r="W832" s="3"/>
      <c r="X832" s="3"/>
      <c r="Y832" s="3"/>
      <c r="Z832" s="3"/>
    </row>
    <row r="833" spans="1:26" ht="22.5" customHeight="1" x14ac:dyDescent="0.85">
      <c r="A833" s="377"/>
      <c r="B833" s="377"/>
      <c r="C833" s="377"/>
      <c r="D833" s="377"/>
      <c r="E833" s="377"/>
      <c r="F833" s="377"/>
      <c r="G833" s="377"/>
      <c r="H833" s="377"/>
      <c r="I833" s="377"/>
      <c r="J833" s="377"/>
      <c r="K833" s="377"/>
      <c r="L833" s="377"/>
      <c r="M833" s="377"/>
      <c r="N833" s="377"/>
      <c r="O833" s="377"/>
      <c r="P833" s="377"/>
      <c r="Q833" s="377"/>
      <c r="R833" s="377"/>
      <c r="S833" s="377"/>
      <c r="T833" s="3"/>
      <c r="U833" s="3"/>
      <c r="V833" s="3"/>
      <c r="W833" s="3"/>
      <c r="X833" s="3"/>
      <c r="Y833" s="3"/>
      <c r="Z833" s="3"/>
    </row>
    <row r="834" spans="1:26" ht="22.5" customHeight="1" x14ac:dyDescent="0.85">
      <c r="A834" s="377"/>
      <c r="B834" s="377"/>
      <c r="C834" s="377"/>
      <c r="D834" s="377"/>
      <c r="E834" s="377"/>
      <c r="F834" s="377"/>
      <c r="G834" s="377"/>
      <c r="H834" s="377"/>
      <c r="I834" s="377"/>
      <c r="J834" s="377"/>
      <c r="K834" s="377"/>
      <c r="L834" s="377"/>
      <c r="M834" s="377"/>
      <c r="N834" s="377"/>
      <c r="O834" s="377"/>
      <c r="P834" s="377"/>
      <c r="Q834" s="377"/>
      <c r="R834" s="377"/>
      <c r="S834" s="377"/>
      <c r="T834" s="3"/>
      <c r="U834" s="3"/>
      <c r="V834" s="3"/>
      <c r="W834" s="3"/>
      <c r="X834" s="3"/>
      <c r="Y834" s="3"/>
      <c r="Z834" s="3"/>
    </row>
    <row r="835" spans="1:26" ht="22.5" customHeight="1" x14ac:dyDescent="0.85">
      <c r="A835" s="377"/>
      <c r="B835" s="377"/>
      <c r="C835" s="377"/>
      <c r="D835" s="377"/>
      <c r="E835" s="377"/>
      <c r="F835" s="377"/>
      <c r="G835" s="377"/>
      <c r="H835" s="377"/>
      <c r="I835" s="377"/>
      <c r="J835" s="377"/>
      <c r="K835" s="377"/>
      <c r="L835" s="377"/>
      <c r="M835" s="377"/>
      <c r="N835" s="377"/>
      <c r="O835" s="377"/>
      <c r="P835" s="377"/>
      <c r="Q835" s="377"/>
      <c r="R835" s="377"/>
      <c r="S835" s="377"/>
      <c r="T835" s="3"/>
      <c r="U835" s="3"/>
      <c r="V835" s="3"/>
      <c r="W835" s="3"/>
      <c r="X835" s="3"/>
      <c r="Y835" s="3"/>
      <c r="Z835" s="3"/>
    </row>
    <row r="836" spans="1:26" ht="22.5" customHeight="1" x14ac:dyDescent="0.85">
      <c r="A836" s="377"/>
      <c r="B836" s="377"/>
      <c r="C836" s="377"/>
      <c r="D836" s="377"/>
      <c r="E836" s="377"/>
      <c r="F836" s="377"/>
      <c r="G836" s="377"/>
      <c r="H836" s="377"/>
      <c r="I836" s="377"/>
      <c r="J836" s="377"/>
      <c r="K836" s="377"/>
      <c r="L836" s="377"/>
      <c r="M836" s="377"/>
      <c r="N836" s="377"/>
      <c r="O836" s="377"/>
      <c r="P836" s="377"/>
      <c r="Q836" s="377"/>
      <c r="R836" s="377"/>
      <c r="S836" s="377"/>
      <c r="T836" s="3"/>
      <c r="U836" s="3"/>
      <c r="V836" s="3"/>
      <c r="W836" s="3"/>
      <c r="X836" s="3"/>
      <c r="Y836" s="3"/>
      <c r="Z836" s="3"/>
    </row>
    <row r="837" spans="1:26" ht="22.5" customHeight="1" x14ac:dyDescent="0.85">
      <c r="A837" s="377"/>
      <c r="B837" s="377"/>
      <c r="C837" s="377"/>
      <c r="D837" s="377"/>
      <c r="E837" s="377"/>
      <c r="F837" s="377"/>
      <c r="G837" s="377"/>
      <c r="H837" s="377"/>
      <c r="I837" s="377"/>
      <c r="J837" s="377"/>
      <c r="K837" s="377"/>
      <c r="L837" s="377"/>
      <c r="M837" s="377"/>
      <c r="N837" s="377"/>
      <c r="O837" s="377"/>
      <c r="P837" s="377"/>
      <c r="Q837" s="377"/>
      <c r="R837" s="377"/>
      <c r="S837" s="377"/>
      <c r="T837" s="3"/>
      <c r="U837" s="3"/>
      <c r="V837" s="3"/>
      <c r="W837" s="3"/>
      <c r="X837" s="3"/>
      <c r="Y837" s="3"/>
      <c r="Z837" s="3"/>
    </row>
    <row r="838" spans="1:26" ht="22.5" customHeight="1" x14ac:dyDescent="0.85">
      <c r="A838" s="377"/>
      <c r="B838" s="377"/>
      <c r="C838" s="377"/>
      <c r="D838" s="377"/>
      <c r="E838" s="377"/>
      <c r="F838" s="377"/>
      <c r="G838" s="377"/>
      <c r="H838" s="377"/>
      <c r="I838" s="377"/>
      <c r="J838" s="377"/>
      <c r="K838" s="377"/>
      <c r="L838" s="377"/>
      <c r="M838" s="377"/>
      <c r="N838" s="377"/>
      <c r="O838" s="377"/>
      <c r="P838" s="377"/>
      <c r="Q838" s="377"/>
      <c r="R838" s="377"/>
      <c r="S838" s="377"/>
      <c r="T838" s="3"/>
      <c r="U838" s="3"/>
      <c r="V838" s="3"/>
      <c r="W838" s="3"/>
      <c r="X838" s="3"/>
      <c r="Y838" s="3"/>
      <c r="Z838" s="3"/>
    </row>
    <row r="839" spans="1:26" ht="22.5" customHeight="1" x14ac:dyDescent="0.85">
      <c r="A839" s="377"/>
      <c r="B839" s="377"/>
      <c r="C839" s="377"/>
      <c r="D839" s="377"/>
      <c r="E839" s="377"/>
      <c r="F839" s="377"/>
      <c r="G839" s="377"/>
      <c r="H839" s="377"/>
      <c r="I839" s="377"/>
      <c r="J839" s="377"/>
      <c r="K839" s="377"/>
      <c r="L839" s="377"/>
      <c r="M839" s="377"/>
      <c r="N839" s="377"/>
      <c r="O839" s="377"/>
      <c r="P839" s="377"/>
      <c r="Q839" s="377"/>
      <c r="R839" s="377"/>
      <c r="S839" s="377"/>
      <c r="T839" s="3"/>
      <c r="U839" s="3"/>
      <c r="V839" s="3"/>
      <c r="W839" s="3"/>
      <c r="X839" s="3"/>
      <c r="Y839" s="3"/>
      <c r="Z839" s="3"/>
    </row>
    <row r="840" spans="1:26" ht="22.5" customHeight="1" x14ac:dyDescent="0.85">
      <c r="A840" s="377"/>
      <c r="B840" s="377"/>
      <c r="C840" s="377"/>
      <c r="D840" s="377"/>
      <c r="E840" s="377"/>
      <c r="F840" s="377"/>
      <c r="G840" s="377"/>
      <c r="H840" s="377"/>
      <c r="I840" s="377"/>
      <c r="J840" s="377"/>
      <c r="K840" s="377"/>
      <c r="L840" s="377"/>
      <c r="M840" s="377"/>
      <c r="N840" s="377"/>
      <c r="O840" s="377"/>
      <c r="P840" s="377"/>
      <c r="Q840" s="377"/>
      <c r="R840" s="377"/>
      <c r="S840" s="377"/>
      <c r="T840" s="3"/>
      <c r="U840" s="3"/>
      <c r="V840" s="3"/>
      <c r="W840" s="3"/>
      <c r="X840" s="3"/>
      <c r="Y840" s="3"/>
      <c r="Z840" s="3"/>
    </row>
    <row r="841" spans="1:26" ht="22.5" customHeight="1" x14ac:dyDescent="0.85">
      <c r="A841" s="377"/>
      <c r="B841" s="377"/>
      <c r="C841" s="377"/>
      <c r="D841" s="377"/>
      <c r="E841" s="377"/>
      <c r="F841" s="377"/>
      <c r="G841" s="377"/>
      <c r="H841" s="377"/>
      <c r="I841" s="377"/>
      <c r="J841" s="377"/>
      <c r="K841" s="377"/>
      <c r="L841" s="377"/>
      <c r="M841" s="377"/>
      <c r="N841" s="377"/>
      <c r="O841" s="377"/>
      <c r="P841" s="377"/>
      <c r="Q841" s="377"/>
      <c r="R841" s="377"/>
      <c r="S841" s="377"/>
      <c r="T841" s="3"/>
      <c r="U841" s="3"/>
      <c r="V841" s="3"/>
      <c r="W841" s="3"/>
      <c r="X841" s="3"/>
      <c r="Y841" s="3"/>
      <c r="Z841" s="3"/>
    </row>
    <row r="842" spans="1:26" ht="22.5" customHeight="1" x14ac:dyDescent="0.85">
      <c r="A842" s="377"/>
      <c r="B842" s="377"/>
      <c r="C842" s="377"/>
      <c r="D842" s="377"/>
      <c r="E842" s="377"/>
      <c r="F842" s="377"/>
      <c r="G842" s="377"/>
      <c r="H842" s="377"/>
      <c r="I842" s="377"/>
      <c r="J842" s="377"/>
      <c r="K842" s="377"/>
      <c r="L842" s="377"/>
      <c r="M842" s="377"/>
      <c r="N842" s="377"/>
      <c r="O842" s="377"/>
      <c r="P842" s="377"/>
      <c r="Q842" s="377"/>
      <c r="R842" s="377"/>
      <c r="S842" s="377"/>
      <c r="T842" s="3"/>
      <c r="U842" s="3"/>
      <c r="V842" s="3"/>
      <c r="W842" s="3"/>
      <c r="X842" s="3"/>
      <c r="Y842" s="3"/>
      <c r="Z842" s="3"/>
    </row>
    <row r="843" spans="1:26" ht="22.5" customHeight="1" x14ac:dyDescent="0.85">
      <c r="A843" s="377"/>
      <c r="B843" s="377"/>
      <c r="C843" s="377"/>
      <c r="D843" s="377"/>
      <c r="E843" s="377"/>
      <c r="F843" s="377"/>
      <c r="G843" s="377"/>
      <c r="H843" s="377"/>
      <c r="I843" s="377"/>
      <c r="J843" s="377"/>
      <c r="K843" s="377"/>
      <c r="L843" s="377"/>
      <c r="M843" s="377"/>
      <c r="N843" s="377"/>
      <c r="O843" s="377"/>
      <c r="P843" s="377"/>
      <c r="Q843" s="377"/>
      <c r="R843" s="377"/>
      <c r="S843" s="377"/>
      <c r="T843" s="3"/>
      <c r="U843" s="3"/>
      <c r="V843" s="3"/>
      <c r="W843" s="3"/>
      <c r="X843" s="3"/>
      <c r="Y843" s="3"/>
      <c r="Z843" s="3"/>
    </row>
    <row r="844" spans="1:26" ht="22.5" customHeight="1" x14ac:dyDescent="0.85">
      <c r="A844" s="377"/>
      <c r="B844" s="377"/>
      <c r="C844" s="377"/>
      <c r="D844" s="377"/>
      <c r="E844" s="377"/>
      <c r="F844" s="377"/>
      <c r="G844" s="377"/>
      <c r="H844" s="377"/>
      <c r="I844" s="377"/>
      <c r="J844" s="377"/>
      <c r="K844" s="377"/>
      <c r="L844" s="377"/>
      <c r="M844" s="377"/>
      <c r="N844" s="377"/>
      <c r="O844" s="377"/>
      <c r="P844" s="377"/>
      <c r="Q844" s="377"/>
      <c r="R844" s="377"/>
      <c r="S844" s="377"/>
      <c r="T844" s="3"/>
      <c r="U844" s="3"/>
      <c r="V844" s="3"/>
      <c r="W844" s="3"/>
      <c r="X844" s="3"/>
      <c r="Y844" s="3"/>
      <c r="Z844" s="3"/>
    </row>
    <row r="845" spans="1:26" ht="22.5" customHeight="1" x14ac:dyDescent="0.85">
      <c r="A845" s="377"/>
      <c r="B845" s="377"/>
      <c r="C845" s="377"/>
      <c r="D845" s="377"/>
      <c r="E845" s="377"/>
      <c r="F845" s="377"/>
      <c r="G845" s="377"/>
      <c r="H845" s="377"/>
      <c r="I845" s="377"/>
      <c r="J845" s="377"/>
      <c r="K845" s="377"/>
      <c r="L845" s="377"/>
      <c r="M845" s="377"/>
      <c r="N845" s="377"/>
      <c r="O845" s="377"/>
      <c r="P845" s="377"/>
      <c r="Q845" s="377"/>
      <c r="R845" s="377"/>
      <c r="S845" s="377"/>
      <c r="T845" s="3"/>
      <c r="U845" s="3"/>
      <c r="V845" s="3"/>
      <c r="W845" s="3"/>
      <c r="X845" s="3"/>
      <c r="Y845" s="3"/>
      <c r="Z845" s="3"/>
    </row>
    <row r="846" spans="1:26" ht="22.5" customHeight="1" x14ac:dyDescent="0.85">
      <c r="A846" s="377"/>
      <c r="B846" s="377"/>
      <c r="C846" s="377"/>
      <c r="D846" s="377"/>
      <c r="E846" s="377"/>
      <c r="F846" s="377"/>
      <c r="G846" s="377"/>
      <c r="H846" s="377"/>
      <c r="I846" s="377"/>
      <c r="J846" s="377"/>
      <c r="K846" s="377"/>
      <c r="L846" s="377"/>
      <c r="M846" s="377"/>
      <c r="N846" s="377"/>
      <c r="O846" s="377"/>
      <c r="P846" s="377"/>
      <c r="Q846" s="377"/>
      <c r="R846" s="377"/>
      <c r="S846" s="377"/>
      <c r="T846" s="3"/>
      <c r="U846" s="3"/>
      <c r="V846" s="3"/>
      <c r="W846" s="3"/>
      <c r="X846" s="3"/>
      <c r="Y846" s="3"/>
      <c r="Z846" s="3"/>
    </row>
    <row r="847" spans="1:26" ht="22.5" customHeight="1" x14ac:dyDescent="0.85">
      <c r="A847" s="377"/>
      <c r="B847" s="377"/>
      <c r="C847" s="377"/>
      <c r="D847" s="377"/>
      <c r="E847" s="377"/>
      <c r="F847" s="377"/>
      <c r="G847" s="377"/>
      <c r="H847" s="377"/>
      <c r="I847" s="377"/>
      <c r="J847" s="377"/>
      <c r="K847" s="377"/>
      <c r="L847" s="377"/>
      <c r="M847" s="377"/>
      <c r="N847" s="377"/>
      <c r="O847" s="377"/>
      <c r="P847" s="377"/>
      <c r="Q847" s="377"/>
      <c r="R847" s="377"/>
      <c r="S847" s="377"/>
      <c r="T847" s="3"/>
      <c r="U847" s="3"/>
      <c r="V847" s="3"/>
      <c r="W847" s="3"/>
      <c r="X847" s="3"/>
      <c r="Y847" s="3"/>
      <c r="Z847" s="3"/>
    </row>
    <row r="848" spans="1:26" ht="22.5" customHeight="1" x14ac:dyDescent="0.85">
      <c r="A848" s="377"/>
      <c r="B848" s="377"/>
      <c r="C848" s="377"/>
      <c r="D848" s="377"/>
      <c r="E848" s="377"/>
      <c r="F848" s="377"/>
      <c r="G848" s="377"/>
      <c r="H848" s="377"/>
      <c r="I848" s="377"/>
      <c r="J848" s="377"/>
      <c r="K848" s="377"/>
      <c r="L848" s="377"/>
      <c r="M848" s="377"/>
      <c r="N848" s="377"/>
      <c r="O848" s="377"/>
      <c r="P848" s="377"/>
      <c r="Q848" s="377"/>
      <c r="R848" s="377"/>
      <c r="S848" s="377"/>
      <c r="T848" s="3"/>
      <c r="U848" s="3"/>
      <c r="V848" s="3"/>
      <c r="W848" s="3"/>
      <c r="X848" s="3"/>
      <c r="Y848" s="3"/>
      <c r="Z848" s="3"/>
    </row>
    <row r="849" spans="1:26" ht="22.5" customHeight="1" x14ac:dyDescent="0.85">
      <c r="A849" s="377"/>
      <c r="B849" s="377"/>
      <c r="C849" s="377"/>
      <c r="D849" s="377"/>
      <c r="E849" s="377"/>
      <c r="F849" s="377"/>
      <c r="G849" s="377"/>
      <c r="H849" s="377"/>
      <c r="I849" s="377"/>
      <c r="J849" s="377"/>
      <c r="K849" s="377"/>
      <c r="L849" s="377"/>
      <c r="M849" s="377"/>
      <c r="N849" s="377"/>
      <c r="O849" s="377"/>
      <c r="P849" s="377"/>
      <c r="Q849" s="377"/>
      <c r="R849" s="377"/>
      <c r="S849" s="377"/>
      <c r="T849" s="3"/>
      <c r="U849" s="3"/>
      <c r="V849" s="3"/>
      <c r="W849" s="3"/>
      <c r="X849" s="3"/>
      <c r="Y849" s="3"/>
      <c r="Z849" s="3"/>
    </row>
    <row r="850" spans="1:26" ht="22.5" customHeight="1" x14ac:dyDescent="0.85">
      <c r="A850" s="377"/>
      <c r="B850" s="377"/>
      <c r="C850" s="377"/>
      <c r="D850" s="377"/>
      <c r="E850" s="377"/>
      <c r="F850" s="377"/>
      <c r="G850" s="377"/>
      <c r="H850" s="377"/>
      <c r="I850" s="377"/>
      <c r="J850" s="377"/>
      <c r="K850" s="377"/>
      <c r="L850" s="377"/>
      <c r="M850" s="377"/>
      <c r="N850" s="377"/>
      <c r="O850" s="377"/>
      <c r="P850" s="377"/>
      <c r="Q850" s="377"/>
      <c r="R850" s="377"/>
      <c r="S850" s="377"/>
      <c r="T850" s="3"/>
      <c r="U850" s="3"/>
      <c r="V850" s="3"/>
      <c r="W850" s="3"/>
      <c r="X850" s="3"/>
      <c r="Y850" s="3"/>
      <c r="Z850" s="3"/>
    </row>
    <row r="851" spans="1:26" ht="22.5" customHeight="1" x14ac:dyDescent="0.85">
      <c r="A851" s="377"/>
      <c r="B851" s="377"/>
      <c r="C851" s="377"/>
      <c r="D851" s="377"/>
      <c r="E851" s="377"/>
      <c r="F851" s="377"/>
      <c r="G851" s="377"/>
      <c r="H851" s="377"/>
      <c r="I851" s="377"/>
      <c r="J851" s="377"/>
      <c r="K851" s="377"/>
      <c r="L851" s="377"/>
      <c r="M851" s="377"/>
      <c r="N851" s="377"/>
      <c r="O851" s="377"/>
      <c r="P851" s="377"/>
      <c r="Q851" s="377"/>
      <c r="R851" s="377"/>
      <c r="S851" s="377"/>
      <c r="T851" s="3"/>
      <c r="U851" s="3"/>
      <c r="V851" s="3"/>
      <c r="W851" s="3"/>
      <c r="X851" s="3"/>
      <c r="Y851" s="3"/>
      <c r="Z851" s="3"/>
    </row>
    <row r="852" spans="1:26" ht="22.5" customHeight="1" x14ac:dyDescent="0.85">
      <c r="A852" s="377"/>
      <c r="B852" s="377"/>
      <c r="C852" s="377"/>
      <c r="D852" s="377"/>
      <c r="E852" s="377"/>
      <c r="F852" s="377"/>
      <c r="G852" s="377"/>
      <c r="H852" s="377"/>
      <c r="I852" s="377"/>
      <c r="J852" s="377"/>
      <c r="K852" s="377"/>
      <c r="L852" s="377"/>
      <c r="M852" s="377"/>
      <c r="N852" s="377"/>
      <c r="O852" s="377"/>
      <c r="P852" s="377"/>
      <c r="Q852" s="377"/>
      <c r="R852" s="377"/>
      <c r="S852" s="377"/>
      <c r="T852" s="3"/>
      <c r="U852" s="3"/>
      <c r="V852" s="3"/>
      <c r="W852" s="3"/>
      <c r="X852" s="3"/>
      <c r="Y852" s="3"/>
      <c r="Z852" s="3"/>
    </row>
    <row r="853" spans="1:26" ht="22.5" customHeight="1" x14ac:dyDescent="0.85">
      <c r="A853" s="377"/>
      <c r="B853" s="377"/>
      <c r="C853" s="377"/>
      <c r="D853" s="377"/>
      <c r="E853" s="377"/>
      <c r="F853" s="377"/>
      <c r="G853" s="377"/>
      <c r="H853" s="377"/>
      <c r="I853" s="377"/>
      <c r="J853" s="377"/>
      <c r="K853" s="377"/>
      <c r="L853" s="377"/>
      <c r="M853" s="377"/>
      <c r="N853" s="377"/>
      <c r="O853" s="377"/>
      <c r="P853" s="377"/>
      <c r="Q853" s="377"/>
      <c r="R853" s="377"/>
      <c r="S853" s="377"/>
      <c r="T853" s="3"/>
      <c r="U853" s="3"/>
      <c r="V853" s="3"/>
      <c r="W853" s="3"/>
      <c r="X853" s="3"/>
      <c r="Y853" s="3"/>
      <c r="Z853" s="3"/>
    </row>
    <row r="854" spans="1:26" ht="22.5" customHeight="1" x14ac:dyDescent="0.85">
      <c r="A854" s="377"/>
      <c r="B854" s="377"/>
      <c r="C854" s="377"/>
      <c r="D854" s="377"/>
      <c r="E854" s="377"/>
      <c r="F854" s="377"/>
      <c r="G854" s="377"/>
      <c r="H854" s="377"/>
      <c r="I854" s="377"/>
      <c r="J854" s="377"/>
      <c r="K854" s="377"/>
      <c r="L854" s="377"/>
      <c r="M854" s="377"/>
      <c r="N854" s="377"/>
      <c r="O854" s="377"/>
      <c r="P854" s="377"/>
      <c r="Q854" s="377"/>
      <c r="R854" s="377"/>
      <c r="S854" s="377"/>
      <c r="T854" s="3"/>
      <c r="U854" s="3"/>
      <c r="V854" s="3"/>
      <c r="W854" s="3"/>
      <c r="X854" s="3"/>
      <c r="Y854" s="3"/>
      <c r="Z854" s="3"/>
    </row>
    <row r="855" spans="1:26" ht="22.5" customHeight="1" x14ac:dyDescent="0.85">
      <c r="A855" s="377"/>
      <c r="B855" s="377"/>
      <c r="C855" s="377"/>
      <c r="D855" s="377"/>
      <c r="E855" s="377"/>
      <c r="F855" s="377"/>
      <c r="G855" s="377"/>
      <c r="H855" s="377"/>
      <c r="I855" s="377"/>
      <c r="J855" s="377"/>
      <c r="K855" s="377"/>
      <c r="L855" s="377"/>
      <c r="M855" s="377"/>
      <c r="N855" s="377"/>
      <c r="O855" s="377"/>
      <c r="P855" s="377"/>
      <c r="Q855" s="377"/>
      <c r="R855" s="377"/>
      <c r="S855" s="377"/>
      <c r="T855" s="3"/>
      <c r="U855" s="3"/>
      <c r="V855" s="3"/>
      <c r="W855" s="3"/>
      <c r="X855" s="3"/>
      <c r="Y855" s="3"/>
      <c r="Z855" s="3"/>
    </row>
    <row r="856" spans="1:26" ht="22.5" customHeight="1" x14ac:dyDescent="0.85">
      <c r="A856" s="377"/>
      <c r="B856" s="377"/>
      <c r="C856" s="377"/>
      <c r="D856" s="377"/>
      <c r="E856" s="377"/>
      <c r="F856" s="377"/>
      <c r="G856" s="377"/>
      <c r="H856" s="377"/>
      <c r="I856" s="377"/>
      <c r="J856" s="377"/>
      <c r="K856" s="377"/>
      <c r="L856" s="377"/>
      <c r="M856" s="377"/>
      <c r="N856" s="377"/>
      <c r="O856" s="377"/>
      <c r="P856" s="377"/>
      <c r="Q856" s="377"/>
      <c r="R856" s="377"/>
      <c r="S856" s="377"/>
      <c r="T856" s="3"/>
      <c r="U856" s="3"/>
      <c r="V856" s="3"/>
      <c r="W856" s="3"/>
      <c r="X856" s="3"/>
      <c r="Y856" s="3"/>
      <c r="Z856" s="3"/>
    </row>
    <row r="857" spans="1:26" ht="22.5" customHeight="1" x14ac:dyDescent="0.85">
      <c r="A857" s="377"/>
      <c r="B857" s="377"/>
      <c r="C857" s="377"/>
      <c r="D857" s="377"/>
      <c r="E857" s="377"/>
      <c r="F857" s="377"/>
      <c r="G857" s="377"/>
      <c r="H857" s="377"/>
      <c r="I857" s="377"/>
      <c r="J857" s="377"/>
      <c r="K857" s="377"/>
      <c r="L857" s="377"/>
      <c r="M857" s="377"/>
      <c r="N857" s="377"/>
      <c r="O857" s="377"/>
      <c r="P857" s="377"/>
      <c r="Q857" s="377"/>
      <c r="R857" s="377"/>
      <c r="S857" s="377"/>
      <c r="T857" s="3"/>
      <c r="U857" s="3"/>
      <c r="V857" s="3"/>
      <c r="W857" s="3"/>
      <c r="X857" s="3"/>
      <c r="Y857" s="3"/>
      <c r="Z857" s="3"/>
    </row>
    <row r="858" spans="1:26" ht="22.5" customHeight="1" x14ac:dyDescent="0.85">
      <c r="A858" s="377"/>
      <c r="B858" s="377"/>
      <c r="C858" s="377"/>
      <c r="D858" s="377"/>
      <c r="E858" s="377"/>
      <c r="F858" s="377"/>
      <c r="G858" s="377"/>
      <c r="H858" s="377"/>
      <c r="I858" s="377"/>
      <c r="J858" s="377"/>
      <c r="K858" s="377"/>
      <c r="L858" s="377"/>
      <c r="M858" s="377"/>
      <c r="N858" s="377"/>
      <c r="O858" s="377"/>
      <c r="P858" s="377"/>
      <c r="Q858" s="377"/>
      <c r="R858" s="377"/>
      <c r="S858" s="377"/>
      <c r="T858" s="3"/>
      <c r="U858" s="3"/>
      <c r="V858" s="3"/>
      <c r="W858" s="3"/>
      <c r="X858" s="3"/>
      <c r="Y858" s="3"/>
      <c r="Z858" s="3"/>
    </row>
    <row r="859" spans="1:26" ht="22.5" customHeight="1" x14ac:dyDescent="0.85">
      <c r="A859" s="377"/>
      <c r="B859" s="377"/>
      <c r="C859" s="377"/>
      <c r="D859" s="377"/>
      <c r="E859" s="377"/>
      <c r="F859" s="377"/>
      <c r="G859" s="377"/>
      <c r="H859" s="377"/>
      <c r="I859" s="377"/>
      <c r="J859" s="377"/>
      <c r="K859" s="377"/>
      <c r="L859" s="377"/>
      <c r="M859" s="377"/>
      <c r="N859" s="377"/>
      <c r="O859" s="377"/>
      <c r="P859" s="377"/>
      <c r="Q859" s="377"/>
      <c r="R859" s="377"/>
      <c r="S859" s="377"/>
      <c r="T859" s="3"/>
      <c r="U859" s="3"/>
      <c r="V859" s="3"/>
      <c r="W859" s="3"/>
      <c r="X859" s="3"/>
      <c r="Y859" s="3"/>
      <c r="Z859" s="3"/>
    </row>
    <row r="860" spans="1:26" ht="22.5" customHeight="1" x14ac:dyDescent="0.85">
      <c r="A860" s="377"/>
      <c r="B860" s="377"/>
      <c r="C860" s="377"/>
      <c r="D860" s="377"/>
      <c r="E860" s="377"/>
      <c r="F860" s="377"/>
      <c r="G860" s="377"/>
      <c r="H860" s="377"/>
      <c r="I860" s="377"/>
      <c r="J860" s="377"/>
      <c r="K860" s="377"/>
      <c r="L860" s="377"/>
      <c r="M860" s="377"/>
      <c r="N860" s="377"/>
      <c r="O860" s="377"/>
      <c r="P860" s="377"/>
      <c r="Q860" s="377"/>
      <c r="R860" s="377"/>
      <c r="S860" s="377"/>
      <c r="T860" s="3"/>
      <c r="U860" s="3"/>
      <c r="V860" s="3"/>
      <c r="W860" s="3"/>
      <c r="X860" s="3"/>
      <c r="Y860" s="3"/>
      <c r="Z860" s="3"/>
    </row>
    <row r="861" spans="1:26" ht="22.5" customHeight="1" x14ac:dyDescent="0.85">
      <c r="A861" s="377"/>
      <c r="B861" s="377"/>
      <c r="C861" s="377"/>
      <c r="D861" s="377"/>
      <c r="E861" s="377"/>
      <c r="F861" s="377"/>
      <c r="G861" s="377"/>
      <c r="H861" s="377"/>
      <c r="I861" s="377"/>
      <c r="J861" s="377"/>
      <c r="K861" s="377"/>
      <c r="L861" s="377"/>
      <c r="M861" s="377"/>
      <c r="N861" s="377"/>
      <c r="O861" s="377"/>
      <c r="P861" s="377"/>
      <c r="Q861" s="377"/>
      <c r="R861" s="377"/>
      <c r="S861" s="377"/>
      <c r="T861" s="3"/>
      <c r="U861" s="3"/>
      <c r="V861" s="3"/>
      <c r="W861" s="3"/>
      <c r="X861" s="3"/>
      <c r="Y861" s="3"/>
      <c r="Z861" s="3"/>
    </row>
    <row r="862" spans="1:26" ht="22.5" customHeight="1" x14ac:dyDescent="0.85">
      <c r="A862" s="377"/>
      <c r="B862" s="377"/>
      <c r="C862" s="377"/>
      <c r="D862" s="377"/>
      <c r="E862" s="377"/>
      <c r="F862" s="377"/>
      <c r="G862" s="377"/>
      <c r="H862" s="377"/>
      <c r="I862" s="377"/>
      <c r="J862" s="377"/>
      <c r="K862" s="377"/>
      <c r="L862" s="377"/>
      <c r="M862" s="377"/>
      <c r="N862" s="377"/>
      <c r="O862" s="377"/>
      <c r="P862" s="377"/>
      <c r="Q862" s="377"/>
      <c r="R862" s="377"/>
      <c r="S862" s="377"/>
      <c r="T862" s="3"/>
      <c r="U862" s="3"/>
      <c r="V862" s="3"/>
      <c r="W862" s="3"/>
      <c r="X862" s="3"/>
      <c r="Y862" s="3"/>
      <c r="Z862" s="3"/>
    </row>
    <row r="863" spans="1:26" ht="22.5" customHeight="1" x14ac:dyDescent="0.85">
      <c r="A863" s="377"/>
      <c r="B863" s="377"/>
      <c r="C863" s="377"/>
      <c r="D863" s="377"/>
      <c r="E863" s="377"/>
      <c r="F863" s="377"/>
      <c r="G863" s="377"/>
      <c r="H863" s="377"/>
      <c r="I863" s="377"/>
      <c r="J863" s="377"/>
      <c r="K863" s="377"/>
      <c r="L863" s="377"/>
      <c r="M863" s="377"/>
      <c r="N863" s="377"/>
      <c r="O863" s="377"/>
      <c r="P863" s="377"/>
      <c r="Q863" s="377"/>
      <c r="R863" s="377"/>
      <c r="S863" s="377"/>
      <c r="T863" s="3"/>
      <c r="U863" s="3"/>
      <c r="V863" s="3"/>
      <c r="W863" s="3"/>
      <c r="X863" s="3"/>
      <c r="Y863" s="3"/>
      <c r="Z863" s="3"/>
    </row>
    <row r="864" spans="1:26" ht="22.5" customHeight="1" x14ac:dyDescent="0.85">
      <c r="A864" s="377"/>
      <c r="B864" s="377"/>
      <c r="C864" s="377"/>
      <c r="D864" s="377"/>
      <c r="E864" s="377"/>
      <c r="F864" s="377"/>
      <c r="G864" s="377"/>
      <c r="H864" s="377"/>
      <c r="I864" s="377"/>
      <c r="J864" s="377"/>
      <c r="K864" s="377"/>
      <c r="L864" s="377"/>
      <c r="M864" s="377"/>
      <c r="N864" s="377"/>
      <c r="O864" s="377"/>
      <c r="P864" s="377"/>
      <c r="Q864" s="377"/>
      <c r="R864" s="377"/>
      <c r="S864" s="377"/>
      <c r="T864" s="3"/>
      <c r="U864" s="3"/>
      <c r="V864" s="3"/>
      <c r="W864" s="3"/>
      <c r="X864" s="3"/>
      <c r="Y864" s="3"/>
      <c r="Z864" s="3"/>
    </row>
    <row r="865" spans="1:26" ht="22.5" customHeight="1" x14ac:dyDescent="0.85">
      <c r="A865" s="377"/>
      <c r="B865" s="377"/>
      <c r="C865" s="377"/>
      <c r="D865" s="377"/>
      <c r="E865" s="377"/>
      <c r="F865" s="377"/>
      <c r="G865" s="377"/>
      <c r="H865" s="377"/>
      <c r="I865" s="377"/>
      <c r="J865" s="377"/>
      <c r="K865" s="377"/>
      <c r="L865" s="377"/>
      <c r="M865" s="377"/>
      <c r="N865" s="377"/>
      <c r="O865" s="377"/>
      <c r="P865" s="377"/>
      <c r="Q865" s="377"/>
      <c r="R865" s="377"/>
      <c r="S865" s="377"/>
      <c r="T865" s="3"/>
      <c r="U865" s="3"/>
      <c r="V865" s="3"/>
      <c r="W865" s="3"/>
      <c r="X865" s="3"/>
      <c r="Y865" s="3"/>
      <c r="Z865" s="3"/>
    </row>
    <row r="866" spans="1:26" ht="22.5" customHeight="1" x14ac:dyDescent="0.85">
      <c r="A866" s="377"/>
      <c r="B866" s="377"/>
      <c r="C866" s="377"/>
      <c r="D866" s="377"/>
      <c r="E866" s="377"/>
      <c r="F866" s="377"/>
      <c r="G866" s="377"/>
      <c r="H866" s="377"/>
      <c r="I866" s="377"/>
      <c r="J866" s="377"/>
      <c r="K866" s="377"/>
      <c r="L866" s="377"/>
      <c r="M866" s="377"/>
      <c r="N866" s="377"/>
      <c r="O866" s="377"/>
      <c r="P866" s="377"/>
      <c r="Q866" s="377"/>
      <c r="R866" s="377"/>
      <c r="S866" s="377"/>
      <c r="T866" s="3"/>
      <c r="U866" s="3"/>
      <c r="V866" s="3"/>
      <c r="W866" s="3"/>
      <c r="X866" s="3"/>
      <c r="Y866" s="3"/>
      <c r="Z866" s="3"/>
    </row>
    <row r="867" spans="1:26" ht="22.5" customHeight="1" x14ac:dyDescent="0.85">
      <c r="A867" s="377"/>
      <c r="B867" s="377"/>
      <c r="C867" s="377"/>
      <c r="D867" s="377"/>
      <c r="E867" s="377"/>
      <c r="F867" s="377"/>
      <c r="G867" s="377"/>
      <c r="H867" s="377"/>
      <c r="I867" s="377"/>
      <c r="J867" s="377"/>
      <c r="K867" s="377"/>
      <c r="L867" s="377"/>
      <c r="M867" s="377"/>
      <c r="N867" s="377"/>
      <c r="O867" s="377"/>
      <c r="P867" s="377"/>
      <c r="Q867" s="377"/>
      <c r="R867" s="377"/>
      <c r="S867" s="377"/>
      <c r="T867" s="3"/>
      <c r="U867" s="3"/>
      <c r="V867" s="3"/>
      <c r="W867" s="3"/>
      <c r="X867" s="3"/>
      <c r="Y867" s="3"/>
      <c r="Z867" s="3"/>
    </row>
    <row r="868" spans="1:26" ht="22.5" customHeight="1" x14ac:dyDescent="0.85">
      <c r="A868" s="377"/>
      <c r="B868" s="377"/>
      <c r="C868" s="377"/>
      <c r="D868" s="377"/>
      <c r="E868" s="377"/>
      <c r="F868" s="377"/>
      <c r="G868" s="377"/>
      <c r="H868" s="377"/>
      <c r="I868" s="377"/>
      <c r="J868" s="377"/>
      <c r="K868" s="377"/>
      <c r="L868" s="377"/>
      <c r="M868" s="377"/>
      <c r="N868" s="377"/>
      <c r="O868" s="377"/>
      <c r="P868" s="377"/>
      <c r="Q868" s="377"/>
      <c r="R868" s="377"/>
      <c r="S868" s="377"/>
      <c r="T868" s="3"/>
      <c r="U868" s="3"/>
      <c r="V868" s="3"/>
      <c r="W868" s="3"/>
      <c r="X868" s="3"/>
      <c r="Y868" s="3"/>
      <c r="Z868" s="3"/>
    </row>
    <row r="869" spans="1:26" ht="22.5" customHeight="1" x14ac:dyDescent="0.85">
      <c r="A869" s="377"/>
      <c r="B869" s="377"/>
      <c r="C869" s="377"/>
      <c r="D869" s="377"/>
      <c r="E869" s="377"/>
      <c r="F869" s="377"/>
      <c r="G869" s="377"/>
      <c r="H869" s="377"/>
      <c r="I869" s="377"/>
      <c r="J869" s="377"/>
      <c r="K869" s="377"/>
      <c r="L869" s="377"/>
      <c r="M869" s="377"/>
      <c r="N869" s="377"/>
      <c r="O869" s="377"/>
      <c r="P869" s="377"/>
      <c r="Q869" s="377"/>
      <c r="R869" s="377"/>
      <c r="S869" s="377"/>
      <c r="T869" s="3"/>
      <c r="U869" s="3"/>
      <c r="V869" s="3"/>
      <c r="W869" s="3"/>
      <c r="X869" s="3"/>
      <c r="Y869" s="3"/>
      <c r="Z869" s="3"/>
    </row>
    <row r="870" spans="1:26" ht="22.5" customHeight="1" x14ac:dyDescent="0.85">
      <c r="A870" s="377"/>
      <c r="B870" s="377"/>
      <c r="C870" s="377"/>
      <c r="D870" s="377"/>
      <c r="E870" s="377"/>
      <c r="F870" s="377"/>
      <c r="G870" s="377"/>
      <c r="H870" s="377"/>
      <c r="I870" s="377"/>
      <c r="J870" s="377"/>
      <c r="K870" s="377"/>
      <c r="L870" s="377"/>
      <c r="M870" s="377"/>
      <c r="N870" s="377"/>
      <c r="O870" s="377"/>
      <c r="P870" s="377"/>
      <c r="Q870" s="377"/>
      <c r="R870" s="377"/>
      <c r="S870" s="377"/>
      <c r="T870" s="3"/>
      <c r="U870" s="3"/>
      <c r="V870" s="3"/>
      <c r="W870" s="3"/>
      <c r="X870" s="3"/>
      <c r="Y870" s="3"/>
      <c r="Z870" s="3"/>
    </row>
    <row r="871" spans="1:26" ht="22.5" customHeight="1" x14ac:dyDescent="0.85">
      <c r="A871" s="377"/>
      <c r="B871" s="377"/>
      <c r="C871" s="377"/>
      <c r="D871" s="377"/>
      <c r="E871" s="377"/>
      <c r="F871" s="377"/>
      <c r="G871" s="377"/>
      <c r="H871" s="377"/>
      <c r="I871" s="377"/>
      <c r="J871" s="377"/>
      <c r="K871" s="377"/>
      <c r="L871" s="377"/>
      <c r="M871" s="377"/>
      <c r="N871" s="377"/>
      <c r="O871" s="377"/>
      <c r="P871" s="377"/>
      <c r="Q871" s="377"/>
      <c r="R871" s="377"/>
      <c r="S871" s="377"/>
      <c r="T871" s="3"/>
      <c r="U871" s="3"/>
      <c r="V871" s="3"/>
      <c r="W871" s="3"/>
      <c r="X871" s="3"/>
      <c r="Y871" s="3"/>
      <c r="Z871" s="3"/>
    </row>
    <row r="872" spans="1:26" ht="22.5" customHeight="1" x14ac:dyDescent="0.85">
      <c r="A872" s="377"/>
      <c r="B872" s="377"/>
      <c r="C872" s="377"/>
      <c r="D872" s="377"/>
      <c r="E872" s="377"/>
      <c r="F872" s="377"/>
      <c r="G872" s="377"/>
      <c r="H872" s="377"/>
      <c r="I872" s="377"/>
      <c r="J872" s="377"/>
      <c r="K872" s="377"/>
      <c r="L872" s="377"/>
      <c r="M872" s="377"/>
      <c r="N872" s="377"/>
      <c r="O872" s="377"/>
      <c r="P872" s="377"/>
      <c r="Q872" s="377"/>
      <c r="R872" s="377"/>
      <c r="S872" s="377"/>
      <c r="T872" s="3"/>
      <c r="U872" s="3"/>
      <c r="V872" s="3"/>
      <c r="W872" s="3"/>
      <c r="X872" s="3"/>
      <c r="Y872" s="3"/>
      <c r="Z872" s="3"/>
    </row>
    <row r="873" spans="1:26" ht="22.5" customHeight="1" x14ac:dyDescent="0.85">
      <c r="A873" s="377"/>
      <c r="B873" s="377"/>
      <c r="C873" s="377"/>
      <c r="D873" s="377"/>
      <c r="E873" s="377"/>
      <c r="F873" s="377"/>
      <c r="G873" s="377"/>
      <c r="H873" s="377"/>
      <c r="I873" s="377"/>
      <c r="J873" s="377"/>
      <c r="K873" s="377"/>
      <c r="L873" s="377"/>
      <c r="M873" s="377"/>
      <c r="N873" s="377"/>
      <c r="O873" s="377"/>
      <c r="P873" s="377"/>
      <c r="Q873" s="377"/>
      <c r="R873" s="377"/>
      <c r="S873" s="377"/>
      <c r="T873" s="3"/>
      <c r="U873" s="3"/>
      <c r="V873" s="3"/>
      <c r="W873" s="3"/>
      <c r="X873" s="3"/>
      <c r="Y873" s="3"/>
      <c r="Z873" s="3"/>
    </row>
    <row r="874" spans="1:26" ht="22.5" customHeight="1" x14ac:dyDescent="0.85">
      <c r="A874" s="377"/>
      <c r="B874" s="377"/>
      <c r="C874" s="377"/>
      <c r="D874" s="377"/>
      <c r="E874" s="377"/>
      <c r="F874" s="377"/>
      <c r="G874" s="377"/>
      <c r="H874" s="377"/>
      <c r="I874" s="377"/>
      <c r="J874" s="377"/>
      <c r="K874" s="377"/>
      <c r="L874" s="377"/>
      <c r="M874" s="377"/>
      <c r="N874" s="377"/>
      <c r="O874" s="377"/>
      <c r="P874" s="377"/>
      <c r="Q874" s="377"/>
      <c r="R874" s="377"/>
      <c r="S874" s="377"/>
      <c r="T874" s="3"/>
      <c r="U874" s="3"/>
      <c r="V874" s="3"/>
      <c r="W874" s="3"/>
      <c r="X874" s="3"/>
      <c r="Y874" s="3"/>
      <c r="Z874" s="3"/>
    </row>
    <row r="875" spans="1:26" ht="22.5" customHeight="1" x14ac:dyDescent="0.85">
      <c r="A875" s="377"/>
      <c r="B875" s="377"/>
      <c r="C875" s="377"/>
      <c r="D875" s="377"/>
      <c r="E875" s="377"/>
      <c r="F875" s="377"/>
      <c r="G875" s="377"/>
      <c r="H875" s="377"/>
      <c r="I875" s="377"/>
      <c r="J875" s="377"/>
      <c r="K875" s="377"/>
      <c r="L875" s="377"/>
      <c r="M875" s="377"/>
      <c r="N875" s="377"/>
      <c r="O875" s="377"/>
      <c r="P875" s="377"/>
      <c r="Q875" s="377"/>
      <c r="R875" s="377"/>
      <c r="S875" s="377"/>
      <c r="T875" s="3"/>
      <c r="U875" s="3"/>
      <c r="V875" s="3"/>
      <c r="W875" s="3"/>
      <c r="X875" s="3"/>
      <c r="Y875" s="3"/>
      <c r="Z875" s="3"/>
    </row>
    <row r="876" spans="1:26" ht="22.5" customHeight="1" x14ac:dyDescent="0.85">
      <c r="A876" s="377"/>
      <c r="B876" s="377"/>
      <c r="C876" s="377"/>
      <c r="D876" s="377"/>
      <c r="E876" s="377"/>
      <c r="F876" s="377"/>
      <c r="G876" s="377"/>
      <c r="H876" s="377"/>
      <c r="I876" s="377"/>
      <c r="J876" s="377"/>
      <c r="K876" s="377"/>
      <c r="L876" s="377"/>
      <c r="M876" s="377"/>
      <c r="N876" s="377"/>
      <c r="O876" s="377"/>
      <c r="P876" s="377"/>
      <c r="Q876" s="377"/>
      <c r="R876" s="377"/>
      <c r="S876" s="377"/>
      <c r="T876" s="3"/>
      <c r="U876" s="3"/>
      <c r="V876" s="3"/>
      <c r="W876" s="3"/>
      <c r="X876" s="3"/>
      <c r="Y876" s="3"/>
      <c r="Z876" s="3"/>
    </row>
    <row r="877" spans="1:26" ht="22.5" customHeight="1" x14ac:dyDescent="0.85">
      <c r="A877" s="377"/>
      <c r="B877" s="377"/>
      <c r="C877" s="377"/>
      <c r="D877" s="377"/>
      <c r="E877" s="377"/>
      <c r="F877" s="377"/>
      <c r="G877" s="377"/>
      <c r="H877" s="377"/>
      <c r="I877" s="377"/>
      <c r="J877" s="377"/>
      <c r="K877" s="377"/>
      <c r="L877" s="377"/>
      <c r="M877" s="377"/>
      <c r="N877" s="377"/>
      <c r="O877" s="377"/>
      <c r="P877" s="377"/>
      <c r="Q877" s="377"/>
      <c r="R877" s="377"/>
      <c r="S877" s="377"/>
      <c r="T877" s="3"/>
      <c r="U877" s="3"/>
      <c r="V877" s="3"/>
      <c r="W877" s="3"/>
      <c r="X877" s="3"/>
      <c r="Y877" s="3"/>
      <c r="Z877" s="3"/>
    </row>
    <row r="878" spans="1:26" ht="22.5" customHeight="1" x14ac:dyDescent="0.85">
      <c r="A878" s="377"/>
      <c r="B878" s="377"/>
      <c r="C878" s="377"/>
      <c r="D878" s="377"/>
      <c r="E878" s="377"/>
      <c r="F878" s="377"/>
      <c r="G878" s="377"/>
      <c r="H878" s="377"/>
      <c r="I878" s="377"/>
      <c r="J878" s="377"/>
      <c r="K878" s="377"/>
      <c r="L878" s="377"/>
      <c r="M878" s="377"/>
      <c r="N878" s="377"/>
      <c r="O878" s="377"/>
      <c r="P878" s="377"/>
      <c r="Q878" s="377"/>
      <c r="R878" s="377"/>
      <c r="S878" s="377"/>
      <c r="T878" s="3"/>
      <c r="U878" s="3"/>
      <c r="V878" s="3"/>
      <c r="W878" s="3"/>
      <c r="X878" s="3"/>
      <c r="Y878" s="3"/>
      <c r="Z878" s="3"/>
    </row>
    <row r="879" spans="1:26" ht="22.5" customHeight="1" x14ac:dyDescent="0.85">
      <c r="A879" s="377"/>
      <c r="B879" s="377"/>
      <c r="C879" s="377"/>
      <c r="D879" s="377"/>
      <c r="E879" s="377"/>
      <c r="F879" s="377"/>
      <c r="G879" s="377"/>
      <c r="H879" s="377"/>
      <c r="I879" s="377"/>
      <c r="J879" s="377"/>
      <c r="K879" s="377"/>
      <c r="L879" s="377"/>
      <c r="M879" s="377"/>
      <c r="N879" s="377"/>
      <c r="O879" s="377"/>
      <c r="P879" s="377"/>
      <c r="Q879" s="377"/>
      <c r="R879" s="377"/>
      <c r="S879" s="377"/>
      <c r="T879" s="3"/>
      <c r="U879" s="3"/>
      <c r="V879" s="3"/>
      <c r="W879" s="3"/>
      <c r="X879" s="3"/>
      <c r="Y879" s="3"/>
      <c r="Z879" s="3"/>
    </row>
    <row r="880" spans="1:26" ht="22.5" customHeight="1" x14ac:dyDescent="0.85">
      <c r="A880" s="377"/>
      <c r="B880" s="377"/>
      <c r="C880" s="377"/>
      <c r="D880" s="377"/>
      <c r="E880" s="377"/>
      <c r="F880" s="377"/>
      <c r="G880" s="377"/>
      <c r="H880" s="377"/>
      <c r="I880" s="377"/>
      <c r="J880" s="377"/>
      <c r="K880" s="377"/>
      <c r="L880" s="377"/>
      <c r="M880" s="377"/>
      <c r="N880" s="377"/>
      <c r="O880" s="377"/>
      <c r="P880" s="377"/>
      <c r="Q880" s="377"/>
      <c r="R880" s="377"/>
      <c r="S880" s="377"/>
      <c r="T880" s="3"/>
      <c r="U880" s="3"/>
      <c r="V880" s="3"/>
      <c r="W880" s="3"/>
      <c r="X880" s="3"/>
      <c r="Y880" s="3"/>
      <c r="Z880" s="3"/>
    </row>
    <row r="881" spans="1:26" ht="22.5" customHeight="1" x14ac:dyDescent="0.85">
      <c r="A881" s="377"/>
      <c r="B881" s="377"/>
      <c r="C881" s="377"/>
      <c r="D881" s="377"/>
      <c r="E881" s="377"/>
      <c r="F881" s="377"/>
      <c r="G881" s="377"/>
      <c r="H881" s="377"/>
      <c r="I881" s="377"/>
      <c r="J881" s="377"/>
      <c r="K881" s="377"/>
      <c r="L881" s="377"/>
      <c r="M881" s="377"/>
      <c r="N881" s="377"/>
      <c r="O881" s="377"/>
      <c r="P881" s="377"/>
      <c r="Q881" s="377"/>
      <c r="R881" s="377"/>
      <c r="S881" s="377"/>
      <c r="T881" s="3"/>
      <c r="U881" s="3"/>
      <c r="V881" s="3"/>
      <c r="W881" s="3"/>
      <c r="X881" s="3"/>
      <c r="Y881" s="3"/>
      <c r="Z881" s="3"/>
    </row>
    <row r="882" spans="1:26" ht="22.5" customHeight="1" x14ac:dyDescent="0.85">
      <c r="A882" s="377"/>
      <c r="B882" s="377"/>
      <c r="C882" s="377"/>
      <c r="D882" s="377"/>
      <c r="E882" s="377"/>
      <c r="F882" s="377"/>
      <c r="G882" s="377"/>
      <c r="H882" s="377"/>
      <c r="I882" s="377"/>
      <c r="J882" s="377"/>
      <c r="K882" s="377"/>
      <c r="L882" s="377"/>
      <c r="M882" s="377"/>
      <c r="N882" s="377"/>
      <c r="O882" s="377"/>
      <c r="P882" s="377"/>
      <c r="Q882" s="377"/>
      <c r="R882" s="377"/>
      <c r="S882" s="377"/>
      <c r="T882" s="3"/>
      <c r="U882" s="3"/>
      <c r="V882" s="3"/>
      <c r="W882" s="3"/>
      <c r="X882" s="3"/>
      <c r="Y882" s="3"/>
      <c r="Z882" s="3"/>
    </row>
    <row r="883" spans="1:26" ht="22.5" customHeight="1" x14ac:dyDescent="0.85">
      <c r="A883" s="377"/>
      <c r="B883" s="377"/>
      <c r="C883" s="377"/>
      <c r="D883" s="377"/>
      <c r="E883" s="377"/>
      <c r="F883" s="377"/>
      <c r="G883" s="377"/>
      <c r="H883" s="377"/>
      <c r="I883" s="377"/>
      <c r="J883" s="377"/>
      <c r="K883" s="377"/>
      <c r="L883" s="377"/>
      <c r="M883" s="377"/>
      <c r="N883" s="377"/>
      <c r="O883" s="377"/>
      <c r="P883" s="377"/>
      <c r="Q883" s="377"/>
      <c r="R883" s="377"/>
      <c r="S883" s="377"/>
      <c r="T883" s="3"/>
      <c r="U883" s="3"/>
      <c r="V883" s="3"/>
      <c r="W883" s="3"/>
      <c r="X883" s="3"/>
      <c r="Y883" s="3"/>
      <c r="Z883" s="3"/>
    </row>
    <row r="884" spans="1:26" ht="22.5" customHeight="1" x14ac:dyDescent="0.85">
      <c r="A884" s="377"/>
      <c r="B884" s="377"/>
      <c r="C884" s="377"/>
      <c r="D884" s="377"/>
      <c r="E884" s="377"/>
      <c r="F884" s="377"/>
      <c r="G884" s="377"/>
      <c r="H884" s="377"/>
      <c r="I884" s="377"/>
      <c r="J884" s="377"/>
      <c r="K884" s="377"/>
      <c r="L884" s="377"/>
      <c r="M884" s="377"/>
      <c r="N884" s="377"/>
      <c r="O884" s="377"/>
      <c r="P884" s="377"/>
      <c r="Q884" s="377"/>
      <c r="R884" s="377"/>
      <c r="S884" s="377"/>
      <c r="T884" s="3"/>
      <c r="U884" s="3"/>
      <c r="V884" s="3"/>
      <c r="W884" s="3"/>
      <c r="X884" s="3"/>
      <c r="Y884" s="3"/>
      <c r="Z884" s="3"/>
    </row>
    <row r="885" spans="1:26" ht="22.5" customHeight="1" x14ac:dyDescent="0.85">
      <c r="A885" s="377"/>
      <c r="B885" s="377"/>
      <c r="C885" s="377"/>
      <c r="D885" s="377"/>
      <c r="E885" s="377"/>
      <c r="F885" s="377"/>
      <c r="G885" s="377"/>
      <c r="H885" s="377"/>
      <c r="I885" s="377"/>
      <c r="J885" s="377"/>
      <c r="K885" s="377"/>
      <c r="L885" s="377"/>
      <c r="M885" s="377"/>
      <c r="N885" s="377"/>
      <c r="O885" s="377"/>
      <c r="P885" s="377"/>
      <c r="Q885" s="377"/>
      <c r="R885" s="377"/>
      <c r="S885" s="377"/>
      <c r="T885" s="3"/>
      <c r="U885" s="3"/>
      <c r="V885" s="3"/>
      <c r="W885" s="3"/>
      <c r="X885" s="3"/>
      <c r="Y885" s="3"/>
      <c r="Z885" s="3"/>
    </row>
    <row r="886" spans="1:26" ht="22.5" customHeight="1" x14ac:dyDescent="0.85">
      <c r="A886" s="377"/>
      <c r="B886" s="377"/>
      <c r="C886" s="377"/>
      <c r="D886" s="377"/>
      <c r="E886" s="377"/>
      <c r="F886" s="377"/>
      <c r="G886" s="377"/>
      <c r="H886" s="377"/>
      <c r="I886" s="377"/>
      <c r="J886" s="377"/>
      <c r="K886" s="377"/>
      <c r="L886" s="377"/>
      <c r="M886" s="377"/>
      <c r="N886" s="377"/>
      <c r="O886" s="377"/>
      <c r="P886" s="377"/>
      <c r="Q886" s="377"/>
      <c r="R886" s="377"/>
      <c r="S886" s="377"/>
      <c r="T886" s="3"/>
      <c r="U886" s="3"/>
      <c r="V886" s="3"/>
      <c r="W886" s="3"/>
      <c r="X886" s="3"/>
      <c r="Y886" s="3"/>
      <c r="Z886" s="3"/>
    </row>
    <row r="887" spans="1:26" ht="22.5" customHeight="1" x14ac:dyDescent="0.85">
      <c r="A887" s="377"/>
      <c r="B887" s="377"/>
      <c r="C887" s="377"/>
      <c r="D887" s="377"/>
      <c r="E887" s="377"/>
      <c r="F887" s="377"/>
      <c r="G887" s="377"/>
      <c r="H887" s="377"/>
      <c r="I887" s="377"/>
      <c r="J887" s="377"/>
      <c r="K887" s="377"/>
      <c r="L887" s="377"/>
      <c r="M887" s="377"/>
      <c r="N887" s="377"/>
      <c r="O887" s="377"/>
      <c r="P887" s="377"/>
      <c r="Q887" s="377"/>
      <c r="R887" s="377"/>
      <c r="S887" s="377"/>
      <c r="T887" s="3"/>
      <c r="U887" s="3"/>
      <c r="V887" s="3"/>
      <c r="W887" s="3"/>
      <c r="X887" s="3"/>
      <c r="Y887" s="3"/>
      <c r="Z887" s="3"/>
    </row>
    <row r="888" spans="1:26" ht="22.5" customHeight="1" x14ac:dyDescent="0.85">
      <c r="A888" s="377"/>
      <c r="B888" s="377"/>
      <c r="C888" s="377"/>
      <c r="D888" s="377"/>
      <c r="E888" s="377"/>
      <c r="F888" s="377"/>
      <c r="G888" s="377"/>
      <c r="H888" s="377"/>
      <c r="I888" s="377"/>
      <c r="J888" s="377"/>
      <c r="K888" s="377"/>
      <c r="L888" s="377"/>
      <c r="M888" s="377"/>
      <c r="N888" s="377"/>
      <c r="O888" s="377"/>
      <c r="P888" s="377"/>
      <c r="Q888" s="377"/>
      <c r="R888" s="377"/>
      <c r="S888" s="377"/>
      <c r="T888" s="3"/>
      <c r="U888" s="3"/>
      <c r="V888" s="3"/>
      <c r="W888" s="3"/>
      <c r="X888" s="3"/>
      <c r="Y888" s="3"/>
      <c r="Z888" s="3"/>
    </row>
    <row r="889" spans="1:26" ht="22.5" customHeight="1" x14ac:dyDescent="0.85">
      <c r="A889" s="377"/>
      <c r="B889" s="377"/>
      <c r="C889" s="377"/>
      <c r="D889" s="377"/>
      <c r="E889" s="377"/>
      <c r="F889" s="377"/>
      <c r="G889" s="377"/>
      <c r="H889" s="377"/>
      <c r="I889" s="377"/>
      <c r="J889" s="377"/>
      <c r="K889" s="377"/>
      <c r="L889" s="377"/>
      <c r="M889" s="377"/>
      <c r="N889" s="377"/>
      <c r="O889" s="377"/>
      <c r="P889" s="377"/>
      <c r="Q889" s="377"/>
      <c r="R889" s="377"/>
      <c r="S889" s="377"/>
      <c r="T889" s="3"/>
      <c r="U889" s="3"/>
      <c r="V889" s="3"/>
      <c r="W889" s="3"/>
      <c r="X889" s="3"/>
      <c r="Y889" s="3"/>
      <c r="Z889" s="3"/>
    </row>
    <row r="890" spans="1:26" ht="22.5" customHeight="1" x14ac:dyDescent="0.85">
      <c r="A890" s="377"/>
      <c r="B890" s="377"/>
      <c r="C890" s="377"/>
      <c r="D890" s="377"/>
      <c r="E890" s="377"/>
      <c r="F890" s="377"/>
      <c r="G890" s="377"/>
      <c r="H890" s="377"/>
      <c r="I890" s="377"/>
      <c r="J890" s="377"/>
      <c r="K890" s="377"/>
      <c r="L890" s="377"/>
      <c r="M890" s="377"/>
      <c r="N890" s="377"/>
      <c r="O890" s="377"/>
      <c r="P890" s="377"/>
      <c r="Q890" s="377"/>
      <c r="R890" s="377"/>
      <c r="S890" s="377"/>
      <c r="T890" s="3"/>
      <c r="U890" s="3"/>
      <c r="V890" s="3"/>
      <c r="W890" s="3"/>
      <c r="X890" s="3"/>
      <c r="Y890" s="3"/>
      <c r="Z890" s="3"/>
    </row>
    <row r="891" spans="1:26" ht="22.5" customHeight="1" x14ac:dyDescent="0.85">
      <c r="A891" s="377"/>
      <c r="B891" s="377"/>
      <c r="C891" s="377"/>
      <c r="D891" s="377"/>
      <c r="E891" s="377"/>
      <c r="F891" s="377"/>
      <c r="G891" s="377"/>
      <c r="H891" s="377"/>
      <c r="I891" s="377"/>
      <c r="J891" s="377"/>
      <c r="K891" s="377"/>
      <c r="L891" s="377"/>
      <c r="M891" s="377"/>
      <c r="N891" s="377"/>
      <c r="O891" s="377"/>
      <c r="P891" s="377"/>
      <c r="Q891" s="377"/>
      <c r="R891" s="377"/>
      <c r="S891" s="377"/>
      <c r="T891" s="3"/>
      <c r="U891" s="3"/>
      <c r="V891" s="3"/>
      <c r="W891" s="3"/>
      <c r="X891" s="3"/>
      <c r="Y891" s="3"/>
      <c r="Z891" s="3"/>
    </row>
    <row r="892" spans="1:26" ht="22.5" customHeight="1" x14ac:dyDescent="0.85">
      <c r="A892" s="377"/>
      <c r="B892" s="377"/>
      <c r="C892" s="377"/>
      <c r="D892" s="377"/>
      <c r="E892" s="377"/>
      <c r="F892" s="377"/>
      <c r="G892" s="377"/>
      <c r="H892" s="377"/>
      <c r="I892" s="377"/>
      <c r="J892" s="377"/>
      <c r="K892" s="377"/>
      <c r="L892" s="377"/>
      <c r="M892" s="377"/>
      <c r="N892" s="377"/>
      <c r="O892" s="377"/>
      <c r="P892" s="377"/>
      <c r="Q892" s="377"/>
      <c r="R892" s="377"/>
      <c r="S892" s="377"/>
      <c r="T892" s="3"/>
      <c r="U892" s="3"/>
      <c r="V892" s="3"/>
      <c r="W892" s="3"/>
      <c r="X892" s="3"/>
      <c r="Y892" s="3"/>
      <c r="Z892" s="3"/>
    </row>
    <row r="893" spans="1:26" ht="22.5" customHeight="1" x14ac:dyDescent="0.85">
      <c r="A893" s="377"/>
      <c r="B893" s="377"/>
      <c r="C893" s="377"/>
      <c r="D893" s="377"/>
      <c r="E893" s="377"/>
      <c r="F893" s="377"/>
      <c r="G893" s="377"/>
      <c r="H893" s="377"/>
      <c r="I893" s="377"/>
      <c r="J893" s="377"/>
      <c r="K893" s="377"/>
      <c r="L893" s="377"/>
      <c r="M893" s="377"/>
      <c r="N893" s="377"/>
      <c r="O893" s="377"/>
      <c r="P893" s="377"/>
      <c r="Q893" s="377"/>
      <c r="R893" s="377"/>
      <c r="S893" s="377"/>
      <c r="T893" s="3"/>
      <c r="U893" s="3"/>
      <c r="V893" s="3"/>
      <c r="W893" s="3"/>
      <c r="X893" s="3"/>
      <c r="Y893" s="3"/>
      <c r="Z893" s="3"/>
    </row>
    <row r="894" spans="1:26" ht="22.5" customHeight="1" x14ac:dyDescent="0.85">
      <c r="A894" s="377"/>
      <c r="B894" s="377"/>
      <c r="C894" s="377"/>
      <c r="D894" s="377"/>
      <c r="E894" s="377"/>
      <c r="F894" s="377"/>
      <c r="G894" s="377"/>
      <c r="H894" s="377"/>
      <c r="I894" s="377"/>
      <c r="J894" s="377"/>
      <c r="K894" s="377"/>
      <c r="L894" s="377"/>
      <c r="M894" s="377"/>
      <c r="N894" s="377"/>
      <c r="O894" s="377"/>
      <c r="P894" s="377"/>
      <c r="Q894" s="377"/>
      <c r="R894" s="377"/>
      <c r="S894" s="377"/>
      <c r="T894" s="3"/>
      <c r="U894" s="3"/>
      <c r="V894" s="3"/>
      <c r="W894" s="3"/>
      <c r="X894" s="3"/>
      <c r="Y894" s="3"/>
      <c r="Z894" s="3"/>
    </row>
    <row r="895" spans="1:26" ht="22.5" customHeight="1" x14ac:dyDescent="0.85">
      <c r="A895" s="377"/>
      <c r="B895" s="377"/>
      <c r="C895" s="377"/>
      <c r="D895" s="377"/>
      <c r="E895" s="377"/>
      <c r="F895" s="377"/>
      <c r="G895" s="377"/>
      <c r="H895" s="377"/>
      <c r="I895" s="377"/>
      <c r="J895" s="377"/>
      <c r="K895" s="377"/>
      <c r="L895" s="377"/>
      <c r="M895" s="377"/>
      <c r="N895" s="377"/>
      <c r="O895" s="377"/>
      <c r="P895" s="377"/>
      <c r="Q895" s="377"/>
      <c r="R895" s="377"/>
      <c r="S895" s="377"/>
      <c r="T895" s="3"/>
      <c r="U895" s="3"/>
      <c r="V895" s="3"/>
      <c r="W895" s="3"/>
      <c r="X895" s="3"/>
      <c r="Y895" s="3"/>
      <c r="Z895" s="3"/>
    </row>
    <row r="896" spans="1:26" ht="22.5" customHeight="1" x14ac:dyDescent="0.85">
      <c r="A896" s="377"/>
      <c r="B896" s="377"/>
      <c r="C896" s="377"/>
      <c r="D896" s="377"/>
      <c r="E896" s="377"/>
      <c r="F896" s="377"/>
      <c r="G896" s="377"/>
      <c r="H896" s="377"/>
      <c r="I896" s="377"/>
      <c r="J896" s="377"/>
      <c r="K896" s="377"/>
      <c r="L896" s="377"/>
      <c r="M896" s="377"/>
      <c r="N896" s="377"/>
      <c r="O896" s="377"/>
      <c r="P896" s="377"/>
      <c r="Q896" s="377"/>
      <c r="R896" s="377"/>
      <c r="S896" s="377"/>
      <c r="T896" s="3"/>
      <c r="U896" s="3"/>
      <c r="V896" s="3"/>
      <c r="W896" s="3"/>
      <c r="X896" s="3"/>
      <c r="Y896" s="3"/>
      <c r="Z896" s="3"/>
    </row>
    <row r="897" spans="1:26" ht="22.5" customHeight="1" x14ac:dyDescent="0.85">
      <c r="A897" s="377"/>
      <c r="B897" s="377"/>
      <c r="C897" s="377"/>
      <c r="D897" s="377"/>
      <c r="E897" s="377"/>
      <c r="F897" s="377"/>
      <c r="G897" s="377"/>
      <c r="H897" s="377"/>
      <c r="I897" s="377"/>
      <c r="J897" s="377"/>
      <c r="K897" s="377"/>
      <c r="L897" s="377"/>
      <c r="M897" s="377"/>
      <c r="N897" s="377"/>
      <c r="O897" s="377"/>
      <c r="P897" s="377"/>
      <c r="Q897" s="377"/>
      <c r="R897" s="377"/>
      <c r="S897" s="377"/>
      <c r="T897" s="3"/>
      <c r="U897" s="3"/>
      <c r="V897" s="3"/>
      <c r="W897" s="3"/>
      <c r="X897" s="3"/>
      <c r="Y897" s="3"/>
      <c r="Z897" s="3"/>
    </row>
    <row r="898" spans="1:26" ht="22.5" customHeight="1" x14ac:dyDescent="0.85">
      <c r="A898" s="377"/>
      <c r="B898" s="377"/>
      <c r="C898" s="377"/>
      <c r="D898" s="377"/>
      <c r="E898" s="377"/>
      <c r="F898" s="377"/>
      <c r="G898" s="377"/>
      <c r="H898" s="377"/>
      <c r="I898" s="377"/>
      <c r="J898" s="377"/>
      <c r="K898" s="377"/>
      <c r="L898" s="377"/>
      <c r="M898" s="377"/>
      <c r="N898" s="377"/>
      <c r="O898" s="377"/>
      <c r="P898" s="377"/>
      <c r="Q898" s="377"/>
      <c r="R898" s="377"/>
      <c r="S898" s="377"/>
      <c r="T898" s="3"/>
      <c r="U898" s="3"/>
      <c r="V898" s="3"/>
      <c r="W898" s="3"/>
      <c r="X898" s="3"/>
      <c r="Y898" s="3"/>
      <c r="Z898" s="3"/>
    </row>
    <row r="899" spans="1:26" ht="22.5" customHeight="1" x14ac:dyDescent="0.85">
      <c r="A899" s="377"/>
      <c r="B899" s="377"/>
      <c r="C899" s="377"/>
      <c r="D899" s="377"/>
      <c r="E899" s="377"/>
      <c r="F899" s="377"/>
      <c r="G899" s="377"/>
      <c r="H899" s="377"/>
      <c r="I899" s="377"/>
      <c r="J899" s="377"/>
      <c r="K899" s="377"/>
      <c r="L899" s="377"/>
      <c r="M899" s="377"/>
      <c r="N899" s="377"/>
      <c r="O899" s="377"/>
      <c r="P899" s="377"/>
      <c r="Q899" s="377"/>
      <c r="R899" s="377"/>
      <c r="S899" s="377"/>
      <c r="T899" s="3"/>
      <c r="U899" s="3"/>
      <c r="V899" s="3"/>
      <c r="W899" s="3"/>
      <c r="X899" s="3"/>
      <c r="Y899" s="3"/>
      <c r="Z899" s="3"/>
    </row>
    <row r="900" spans="1:26" ht="22.5" customHeight="1" x14ac:dyDescent="0.85">
      <c r="A900" s="377"/>
      <c r="B900" s="377"/>
      <c r="C900" s="377"/>
      <c r="D900" s="377"/>
      <c r="E900" s="377"/>
      <c r="F900" s="377"/>
      <c r="G900" s="377"/>
      <c r="H900" s="377"/>
      <c r="I900" s="377"/>
      <c r="J900" s="377"/>
      <c r="K900" s="377"/>
      <c r="L900" s="377"/>
      <c r="M900" s="377"/>
      <c r="N900" s="377"/>
      <c r="O900" s="377"/>
      <c r="P900" s="377"/>
      <c r="Q900" s="377"/>
      <c r="R900" s="377"/>
      <c r="S900" s="377"/>
      <c r="T900" s="3"/>
      <c r="U900" s="3"/>
      <c r="V900" s="3"/>
      <c r="W900" s="3"/>
      <c r="X900" s="3"/>
      <c r="Y900" s="3"/>
      <c r="Z900" s="3"/>
    </row>
    <row r="901" spans="1:26" ht="22.5" customHeight="1" x14ac:dyDescent="0.85">
      <c r="A901" s="377"/>
      <c r="B901" s="377"/>
      <c r="C901" s="377"/>
      <c r="D901" s="377"/>
      <c r="E901" s="377"/>
      <c r="F901" s="377"/>
      <c r="G901" s="377"/>
      <c r="H901" s="377"/>
      <c r="I901" s="377"/>
      <c r="J901" s="377"/>
      <c r="K901" s="377"/>
      <c r="L901" s="377"/>
      <c r="M901" s="377"/>
      <c r="N901" s="377"/>
      <c r="O901" s="377"/>
      <c r="P901" s="377"/>
      <c r="Q901" s="377"/>
      <c r="R901" s="377"/>
      <c r="S901" s="377"/>
      <c r="T901" s="3"/>
      <c r="U901" s="3"/>
      <c r="V901" s="3"/>
      <c r="W901" s="3"/>
      <c r="X901" s="3"/>
      <c r="Y901" s="3"/>
      <c r="Z901" s="3"/>
    </row>
    <row r="902" spans="1:26" ht="22.5" customHeight="1" x14ac:dyDescent="0.85">
      <c r="A902" s="377"/>
      <c r="B902" s="377"/>
      <c r="C902" s="377"/>
      <c r="D902" s="377"/>
      <c r="E902" s="377"/>
      <c r="F902" s="377"/>
      <c r="G902" s="377"/>
      <c r="H902" s="377"/>
      <c r="I902" s="377"/>
      <c r="J902" s="377"/>
      <c r="K902" s="377"/>
      <c r="L902" s="377"/>
      <c r="M902" s="377"/>
      <c r="N902" s="377"/>
      <c r="O902" s="377"/>
      <c r="P902" s="377"/>
      <c r="Q902" s="377"/>
      <c r="R902" s="377"/>
      <c r="S902" s="377"/>
      <c r="T902" s="3"/>
      <c r="U902" s="3"/>
      <c r="V902" s="3"/>
      <c r="W902" s="3"/>
      <c r="X902" s="3"/>
      <c r="Y902" s="3"/>
      <c r="Z902" s="3"/>
    </row>
    <row r="903" spans="1:26" ht="22.5" customHeight="1" x14ac:dyDescent="0.85">
      <c r="A903" s="377"/>
      <c r="B903" s="377"/>
      <c r="C903" s="377"/>
      <c r="D903" s="377"/>
      <c r="E903" s="377"/>
      <c r="F903" s="377"/>
      <c r="G903" s="377"/>
      <c r="H903" s="377"/>
      <c r="I903" s="377"/>
      <c r="J903" s="377"/>
      <c r="K903" s="377"/>
      <c r="L903" s="377"/>
      <c r="M903" s="377"/>
      <c r="N903" s="377"/>
      <c r="O903" s="377"/>
      <c r="P903" s="377"/>
      <c r="Q903" s="377"/>
      <c r="R903" s="377"/>
      <c r="S903" s="377"/>
      <c r="T903" s="3"/>
      <c r="U903" s="3"/>
      <c r="V903" s="3"/>
      <c r="W903" s="3"/>
      <c r="X903" s="3"/>
      <c r="Y903" s="3"/>
      <c r="Z903" s="3"/>
    </row>
    <row r="904" spans="1:26" ht="22.5" customHeight="1" x14ac:dyDescent="0.85">
      <c r="A904" s="377"/>
      <c r="B904" s="377"/>
      <c r="C904" s="377"/>
      <c r="D904" s="377"/>
      <c r="E904" s="377"/>
      <c r="F904" s="377"/>
      <c r="G904" s="377"/>
      <c r="H904" s="377"/>
      <c r="I904" s="377"/>
      <c r="J904" s="377"/>
      <c r="K904" s="377"/>
      <c r="L904" s="377"/>
      <c r="M904" s="377"/>
      <c r="N904" s="377"/>
      <c r="O904" s="377"/>
      <c r="P904" s="377"/>
      <c r="Q904" s="377"/>
      <c r="R904" s="377"/>
      <c r="S904" s="377"/>
      <c r="T904" s="3"/>
      <c r="U904" s="3"/>
      <c r="V904" s="3"/>
      <c r="W904" s="3"/>
      <c r="X904" s="3"/>
      <c r="Y904" s="3"/>
      <c r="Z904" s="3"/>
    </row>
    <row r="905" spans="1:26" ht="22.5" customHeight="1" x14ac:dyDescent="0.85">
      <c r="A905" s="377"/>
      <c r="B905" s="377"/>
      <c r="C905" s="377"/>
      <c r="D905" s="377"/>
      <c r="E905" s="377"/>
      <c r="F905" s="377"/>
      <c r="G905" s="377"/>
      <c r="H905" s="377"/>
      <c r="I905" s="377"/>
      <c r="J905" s="377"/>
      <c r="K905" s="377"/>
      <c r="L905" s="377"/>
      <c r="M905" s="377"/>
      <c r="N905" s="377"/>
      <c r="O905" s="377"/>
      <c r="P905" s="377"/>
      <c r="Q905" s="377"/>
      <c r="R905" s="377"/>
      <c r="S905" s="377"/>
      <c r="T905" s="3"/>
      <c r="U905" s="3"/>
      <c r="V905" s="3"/>
      <c r="W905" s="3"/>
      <c r="X905" s="3"/>
      <c r="Y905" s="3"/>
      <c r="Z905" s="3"/>
    </row>
    <row r="906" spans="1:26" ht="22.5" customHeight="1" x14ac:dyDescent="0.85">
      <c r="A906" s="377"/>
      <c r="B906" s="377"/>
      <c r="C906" s="377"/>
      <c r="D906" s="377"/>
      <c r="E906" s="377"/>
      <c r="F906" s="377"/>
      <c r="G906" s="377"/>
      <c r="H906" s="377"/>
      <c r="I906" s="377"/>
      <c r="J906" s="377"/>
      <c r="K906" s="377"/>
      <c r="L906" s="377"/>
      <c r="M906" s="377"/>
      <c r="N906" s="377"/>
      <c r="O906" s="377"/>
      <c r="P906" s="377"/>
      <c r="Q906" s="377"/>
      <c r="R906" s="377"/>
      <c r="S906" s="377"/>
      <c r="T906" s="3"/>
      <c r="U906" s="3"/>
      <c r="V906" s="3"/>
      <c r="W906" s="3"/>
      <c r="X906" s="3"/>
      <c r="Y906" s="3"/>
      <c r="Z906" s="3"/>
    </row>
    <row r="907" spans="1:26" ht="22.5" customHeight="1" x14ac:dyDescent="0.85">
      <c r="A907" s="377"/>
      <c r="B907" s="377"/>
      <c r="C907" s="377"/>
      <c r="D907" s="377"/>
      <c r="E907" s="377"/>
      <c r="F907" s="377"/>
      <c r="G907" s="377"/>
      <c r="H907" s="377"/>
      <c r="I907" s="377"/>
      <c r="J907" s="377"/>
      <c r="K907" s="377"/>
      <c r="L907" s="377"/>
      <c r="M907" s="377"/>
      <c r="N907" s="377"/>
      <c r="O907" s="377"/>
      <c r="P907" s="377"/>
      <c r="Q907" s="377"/>
      <c r="R907" s="377"/>
      <c r="S907" s="377"/>
      <c r="T907" s="3"/>
      <c r="U907" s="3"/>
      <c r="V907" s="3"/>
      <c r="W907" s="3"/>
      <c r="X907" s="3"/>
      <c r="Y907" s="3"/>
      <c r="Z907" s="3"/>
    </row>
    <row r="908" spans="1:26" ht="22.5" customHeight="1" x14ac:dyDescent="0.85">
      <c r="A908" s="377"/>
      <c r="B908" s="377"/>
      <c r="C908" s="377"/>
      <c r="D908" s="377"/>
      <c r="E908" s="377"/>
      <c r="F908" s="377"/>
      <c r="G908" s="377"/>
      <c r="H908" s="377"/>
      <c r="I908" s="377"/>
      <c r="J908" s="377"/>
      <c r="K908" s="377"/>
      <c r="L908" s="377"/>
      <c r="M908" s="377"/>
      <c r="N908" s="377"/>
      <c r="O908" s="377"/>
      <c r="P908" s="377"/>
      <c r="Q908" s="377"/>
      <c r="R908" s="377"/>
      <c r="S908" s="377"/>
      <c r="T908" s="3"/>
      <c r="U908" s="3"/>
      <c r="V908" s="3"/>
      <c r="W908" s="3"/>
      <c r="X908" s="3"/>
      <c r="Y908" s="3"/>
      <c r="Z908" s="3"/>
    </row>
    <row r="909" spans="1:26" ht="22.5" customHeight="1" x14ac:dyDescent="0.85">
      <c r="A909" s="377"/>
      <c r="B909" s="377"/>
      <c r="C909" s="377"/>
      <c r="D909" s="377"/>
      <c r="E909" s="377"/>
      <c r="F909" s="377"/>
      <c r="G909" s="377"/>
      <c r="H909" s="377"/>
      <c r="I909" s="377"/>
      <c r="J909" s="377"/>
      <c r="K909" s="377"/>
      <c r="L909" s="377"/>
      <c r="M909" s="377"/>
      <c r="N909" s="377"/>
      <c r="O909" s="377"/>
      <c r="P909" s="377"/>
      <c r="Q909" s="377"/>
      <c r="R909" s="377"/>
      <c r="S909" s="377"/>
      <c r="T909" s="3"/>
      <c r="U909" s="3"/>
      <c r="V909" s="3"/>
      <c r="W909" s="3"/>
      <c r="X909" s="3"/>
      <c r="Y909" s="3"/>
      <c r="Z909" s="3"/>
    </row>
    <row r="910" spans="1:26" ht="22.5" customHeight="1" x14ac:dyDescent="0.85">
      <c r="A910" s="377"/>
      <c r="B910" s="377"/>
      <c r="C910" s="377"/>
      <c r="D910" s="377"/>
      <c r="E910" s="377"/>
      <c r="F910" s="377"/>
      <c r="G910" s="377"/>
      <c r="H910" s="377"/>
      <c r="I910" s="377"/>
      <c r="J910" s="377"/>
      <c r="K910" s="377"/>
      <c r="L910" s="377"/>
      <c r="M910" s="377"/>
      <c r="N910" s="377"/>
      <c r="O910" s="377"/>
      <c r="P910" s="377"/>
      <c r="Q910" s="377"/>
      <c r="R910" s="377"/>
      <c r="S910" s="377"/>
      <c r="T910" s="3"/>
      <c r="U910" s="3"/>
      <c r="V910" s="3"/>
      <c r="W910" s="3"/>
      <c r="X910" s="3"/>
      <c r="Y910" s="3"/>
      <c r="Z910" s="3"/>
    </row>
    <row r="911" spans="1:26" ht="22.5" customHeight="1" x14ac:dyDescent="0.85">
      <c r="A911" s="377"/>
      <c r="B911" s="377"/>
      <c r="C911" s="377"/>
      <c r="D911" s="377"/>
      <c r="E911" s="377"/>
      <c r="F911" s="377"/>
      <c r="G911" s="377"/>
      <c r="H911" s="377"/>
      <c r="I911" s="377"/>
      <c r="J911" s="377"/>
      <c r="K911" s="377"/>
      <c r="L911" s="377"/>
      <c r="M911" s="377"/>
      <c r="N911" s="377"/>
      <c r="O911" s="377"/>
      <c r="P911" s="377"/>
      <c r="Q911" s="377"/>
      <c r="R911" s="377"/>
      <c r="S911" s="377"/>
      <c r="T911" s="3"/>
      <c r="U911" s="3"/>
      <c r="V911" s="3"/>
      <c r="W911" s="3"/>
      <c r="X911" s="3"/>
      <c r="Y911" s="3"/>
      <c r="Z911" s="3"/>
    </row>
    <row r="912" spans="1:26" ht="22.5" customHeight="1" x14ac:dyDescent="0.85">
      <c r="A912" s="377"/>
      <c r="B912" s="377"/>
      <c r="C912" s="377"/>
      <c r="D912" s="377"/>
      <c r="E912" s="377"/>
      <c r="F912" s="377"/>
      <c r="G912" s="377"/>
      <c r="H912" s="377"/>
      <c r="I912" s="377"/>
      <c r="J912" s="377"/>
      <c r="K912" s="377"/>
      <c r="L912" s="377"/>
      <c r="M912" s="377"/>
      <c r="N912" s="377"/>
      <c r="O912" s="377"/>
      <c r="P912" s="377"/>
      <c r="Q912" s="377"/>
      <c r="R912" s="377"/>
      <c r="S912" s="377"/>
      <c r="T912" s="3"/>
      <c r="U912" s="3"/>
      <c r="V912" s="3"/>
      <c r="W912" s="3"/>
      <c r="X912" s="3"/>
      <c r="Y912" s="3"/>
      <c r="Z912" s="3"/>
    </row>
    <row r="913" spans="1:26" ht="22.5" customHeight="1" x14ac:dyDescent="0.85">
      <c r="A913" s="377"/>
      <c r="B913" s="377"/>
      <c r="C913" s="377"/>
      <c r="D913" s="377"/>
      <c r="E913" s="377"/>
      <c r="F913" s="377"/>
      <c r="G913" s="377"/>
      <c r="H913" s="377"/>
      <c r="I913" s="377"/>
      <c r="J913" s="377"/>
      <c r="K913" s="377"/>
      <c r="L913" s="377"/>
      <c r="M913" s="377"/>
      <c r="N913" s="377"/>
      <c r="O913" s="377"/>
      <c r="P913" s="377"/>
      <c r="Q913" s="377"/>
      <c r="R913" s="377"/>
      <c r="S913" s="377"/>
      <c r="T913" s="3"/>
      <c r="U913" s="3"/>
      <c r="V913" s="3"/>
      <c r="W913" s="3"/>
      <c r="X913" s="3"/>
      <c r="Y913" s="3"/>
      <c r="Z913" s="3"/>
    </row>
    <row r="914" spans="1:26" ht="22.5" customHeight="1" x14ac:dyDescent="0.85">
      <c r="A914" s="377"/>
      <c r="B914" s="377"/>
      <c r="C914" s="377"/>
      <c r="D914" s="377"/>
      <c r="E914" s="377"/>
      <c r="F914" s="377"/>
      <c r="G914" s="377"/>
      <c r="H914" s="377"/>
      <c r="I914" s="377"/>
      <c r="J914" s="377"/>
      <c r="K914" s="377"/>
      <c r="L914" s="377"/>
      <c r="M914" s="377"/>
      <c r="N914" s="377"/>
      <c r="O914" s="377"/>
      <c r="P914" s="377"/>
      <c r="Q914" s="377"/>
      <c r="R914" s="377"/>
      <c r="S914" s="377"/>
      <c r="T914" s="3"/>
      <c r="U914" s="3"/>
      <c r="V914" s="3"/>
      <c r="W914" s="3"/>
      <c r="X914" s="3"/>
      <c r="Y914" s="3"/>
      <c r="Z914" s="3"/>
    </row>
    <row r="915" spans="1:26" ht="22.5" customHeight="1" x14ac:dyDescent="0.85">
      <c r="A915" s="377"/>
      <c r="B915" s="377"/>
      <c r="C915" s="377"/>
      <c r="D915" s="377"/>
      <c r="E915" s="377"/>
      <c r="F915" s="377"/>
      <c r="G915" s="377"/>
      <c r="H915" s="377"/>
      <c r="I915" s="377"/>
      <c r="J915" s="377"/>
      <c r="K915" s="377"/>
      <c r="L915" s="377"/>
      <c r="M915" s="377"/>
      <c r="N915" s="377"/>
      <c r="O915" s="377"/>
      <c r="P915" s="377"/>
      <c r="Q915" s="377"/>
      <c r="R915" s="377"/>
      <c r="S915" s="377"/>
      <c r="T915" s="3"/>
      <c r="U915" s="3"/>
      <c r="V915" s="3"/>
      <c r="W915" s="3"/>
      <c r="X915" s="3"/>
      <c r="Y915" s="3"/>
      <c r="Z915" s="3"/>
    </row>
    <row r="916" spans="1:26" ht="22.5" customHeight="1" x14ac:dyDescent="0.85">
      <c r="A916" s="377"/>
      <c r="B916" s="377"/>
      <c r="C916" s="377"/>
      <c r="D916" s="377"/>
      <c r="E916" s="377"/>
      <c r="F916" s="377"/>
      <c r="G916" s="377"/>
      <c r="H916" s="377"/>
      <c r="I916" s="377"/>
      <c r="J916" s="377"/>
      <c r="K916" s="377"/>
      <c r="L916" s="377"/>
      <c r="M916" s="377"/>
      <c r="N916" s="377"/>
      <c r="O916" s="377"/>
      <c r="P916" s="377"/>
      <c r="Q916" s="377"/>
      <c r="R916" s="377"/>
      <c r="S916" s="377"/>
      <c r="T916" s="3"/>
      <c r="U916" s="3"/>
      <c r="V916" s="3"/>
      <c r="W916" s="3"/>
      <c r="X916" s="3"/>
      <c r="Y916" s="3"/>
      <c r="Z916" s="3"/>
    </row>
    <row r="917" spans="1:26" ht="22.5" customHeight="1" x14ac:dyDescent="0.85">
      <c r="A917" s="377"/>
      <c r="B917" s="377"/>
      <c r="C917" s="377"/>
      <c r="D917" s="377"/>
      <c r="E917" s="377"/>
      <c r="F917" s="377"/>
      <c r="G917" s="377"/>
      <c r="H917" s="377"/>
      <c r="I917" s="377"/>
      <c r="J917" s="377"/>
      <c r="K917" s="377"/>
      <c r="L917" s="377"/>
      <c r="M917" s="377"/>
      <c r="N917" s="377"/>
      <c r="O917" s="377"/>
      <c r="P917" s="377"/>
      <c r="Q917" s="377"/>
      <c r="R917" s="377"/>
      <c r="S917" s="377"/>
      <c r="T917" s="3"/>
      <c r="U917" s="3"/>
      <c r="V917" s="3"/>
      <c r="W917" s="3"/>
      <c r="X917" s="3"/>
      <c r="Y917" s="3"/>
      <c r="Z917" s="3"/>
    </row>
    <row r="918" spans="1:26" ht="22.5" customHeight="1" x14ac:dyDescent="0.85">
      <c r="A918" s="377"/>
      <c r="B918" s="377"/>
      <c r="C918" s="377"/>
      <c r="D918" s="377"/>
      <c r="E918" s="377"/>
      <c r="F918" s="377"/>
      <c r="G918" s="377"/>
      <c r="H918" s="377"/>
      <c r="I918" s="377"/>
      <c r="J918" s="377"/>
      <c r="K918" s="377"/>
      <c r="L918" s="377"/>
      <c r="M918" s="377"/>
      <c r="N918" s="377"/>
      <c r="O918" s="377"/>
      <c r="P918" s="377"/>
      <c r="Q918" s="377"/>
      <c r="R918" s="377"/>
      <c r="S918" s="377"/>
      <c r="T918" s="3"/>
      <c r="U918" s="3"/>
      <c r="V918" s="3"/>
      <c r="W918" s="3"/>
      <c r="X918" s="3"/>
      <c r="Y918" s="3"/>
      <c r="Z918" s="3"/>
    </row>
    <row r="919" spans="1:26" ht="22.5" customHeight="1" x14ac:dyDescent="0.85">
      <c r="A919" s="377"/>
      <c r="B919" s="377"/>
      <c r="C919" s="377"/>
      <c r="D919" s="377"/>
      <c r="E919" s="377"/>
      <c r="F919" s="377"/>
      <c r="G919" s="377"/>
      <c r="H919" s="377"/>
      <c r="I919" s="377"/>
      <c r="J919" s="377"/>
      <c r="K919" s="377"/>
      <c r="L919" s="377"/>
      <c r="M919" s="377"/>
      <c r="N919" s="377"/>
      <c r="O919" s="377"/>
      <c r="P919" s="377"/>
      <c r="Q919" s="377"/>
      <c r="R919" s="377"/>
      <c r="S919" s="377"/>
      <c r="T919" s="3"/>
      <c r="U919" s="3"/>
      <c r="V919" s="3"/>
      <c r="W919" s="3"/>
      <c r="X919" s="3"/>
      <c r="Y919" s="3"/>
      <c r="Z919" s="3"/>
    </row>
    <row r="920" spans="1:26" ht="22.5" customHeight="1" x14ac:dyDescent="0.85">
      <c r="A920" s="377"/>
      <c r="B920" s="377"/>
      <c r="C920" s="377"/>
      <c r="D920" s="377"/>
      <c r="E920" s="377"/>
      <c r="F920" s="377"/>
      <c r="G920" s="377"/>
      <c r="H920" s="377"/>
      <c r="I920" s="377"/>
      <c r="J920" s="377"/>
      <c r="K920" s="377"/>
      <c r="L920" s="377"/>
      <c r="M920" s="377"/>
      <c r="N920" s="377"/>
      <c r="O920" s="377"/>
      <c r="P920" s="377"/>
      <c r="Q920" s="377"/>
      <c r="R920" s="377"/>
      <c r="S920" s="377"/>
      <c r="T920" s="3"/>
      <c r="U920" s="3"/>
      <c r="V920" s="3"/>
      <c r="W920" s="3"/>
      <c r="X920" s="3"/>
      <c r="Y920" s="3"/>
      <c r="Z920" s="3"/>
    </row>
    <row r="921" spans="1:26" ht="22.5" customHeight="1" x14ac:dyDescent="0.85">
      <c r="A921" s="377"/>
      <c r="B921" s="377"/>
      <c r="C921" s="377"/>
      <c r="D921" s="377"/>
      <c r="E921" s="377"/>
      <c r="F921" s="377"/>
      <c r="G921" s="377"/>
      <c r="H921" s="377"/>
      <c r="I921" s="377"/>
      <c r="J921" s="377"/>
      <c r="K921" s="377"/>
      <c r="L921" s="377"/>
      <c r="M921" s="377"/>
      <c r="N921" s="377"/>
      <c r="O921" s="377"/>
      <c r="P921" s="377"/>
      <c r="Q921" s="377"/>
      <c r="R921" s="377"/>
      <c r="S921" s="377"/>
      <c r="T921" s="3"/>
      <c r="U921" s="3"/>
      <c r="V921" s="3"/>
      <c r="W921" s="3"/>
      <c r="X921" s="3"/>
      <c r="Y921" s="3"/>
      <c r="Z921" s="3"/>
    </row>
    <row r="922" spans="1:26" ht="22.5" customHeight="1" x14ac:dyDescent="0.85">
      <c r="A922" s="377"/>
      <c r="B922" s="377"/>
      <c r="C922" s="377"/>
      <c r="D922" s="377"/>
      <c r="E922" s="377"/>
      <c r="F922" s="377"/>
      <c r="G922" s="377"/>
      <c r="H922" s="377"/>
      <c r="I922" s="377"/>
      <c r="J922" s="377"/>
      <c r="K922" s="377"/>
      <c r="L922" s="377"/>
      <c r="M922" s="377"/>
      <c r="N922" s="377"/>
      <c r="O922" s="377"/>
      <c r="P922" s="377"/>
      <c r="Q922" s="377"/>
      <c r="R922" s="377"/>
      <c r="S922" s="377"/>
      <c r="T922" s="3"/>
      <c r="U922" s="3"/>
      <c r="V922" s="3"/>
      <c r="W922" s="3"/>
      <c r="X922" s="3"/>
      <c r="Y922" s="3"/>
      <c r="Z922" s="3"/>
    </row>
    <row r="923" spans="1:26" ht="22.5" customHeight="1" x14ac:dyDescent="0.85">
      <c r="A923" s="377"/>
      <c r="B923" s="377"/>
      <c r="C923" s="377"/>
      <c r="D923" s="377"/>
      <c r="E923" s="377"/>
      <c r="F923" s="377"/>
      <c r="G923" s="377"/>
      <c r="H923" s="377"/>
      <c r="I923" s="377"/>
      <c r="J923" s="377"/>
      <c r="K923" s="377"/>
      <c r="L923" s="377"/>
      <c r="M923" s="377"/>
      <c r="N923" s="377"/>
      <c r="O923" s="377"/>
      <c r="P923" s="377"/>
      <c r="Q923" s="377"/>
      <c r="R923" s="377"/>
      <c r="S923" s="377"/>
      <c r="T923" s="3"/>
      <c r="U923" s="3"/>
      <c r="V923" s="3"/>
      <c r="W923" s="3"/>
      <c r="X923" s="3"/>
      <c r="Y923" s="3"/>
      <c r="Z923" s="3"/>
    </row>
    <row r="924" spans="1:26" ht="22.5" customHeight="1" x14ac:dyDescent="0.85">
      <c r="A924" s="377"/>
      <c r="B924" s="377"/>
      <c r="C924" s="377"/>
      <c r="D924" s="377"/>
      <c r="E924" s="377"/>
      <c r="F924" s="377"/>
      <c r="G924" s="377"/>
      <c r="H924" s="377"/>
      <c r="I924" s="377"/>
      <c r="J924" s="377"/>
      <c r="K924" s="377"/>
      <c r="L924" s="377"/>
      <c r="M924" s="377"/>
      <c r="N924" s="377"/>
      <c r="O924" s="377"/>
      <c r="P924" s="377"/>
      <c r="Q924" s="377"/>
      <c r="R924" s="377"/>
      <c r="S924" s="377"/>
      <c r="T924" s="3"/>
      <c r="U924" s="3"/>
      <c r="V924" s="3"/>
      <c r="W924" s="3"/>
      <c r="X924" s="3"/>
      <c r="Y924" s="3"/>
      <c r="Z924" s="3"/>
    </row>
    <row r="925" spans="1:26" ht="22.5" customHeight="1" x14ac:dyDescent="0.85">
      <c r="A925" s="377"/>
      <c r="B925" s="377"/>
      <c r="C925" s="377"/>
      <c r="D925" s="377"/>
      <c r="E925" s="377"/>
      <c r="F925" s="377"/>
      <c r="G925" s="377"/>
      <c r="H925" s="377"/>
      <c r="I925" s="377"/>
      <c r="J925" s="377"/>
      <c r="K925" s="377"/>
      <c r="L925" s="377"/>
      <c r="M925" s="377"/>
      <c r="N925" s="377"/>
      <c r="O925" s="377"/>
      <c r="P925" s="377"/>
      <c r="Q925" s="377"/>
      <c r="R925" s="377"/>
      <c r="S925" s="377"/>
      <c r="T925" s="3"/>
      <c r="U925" s="3"/>
      <c r="V925" s="3"/>
      <c r="W925" s="3"/>
      <c r="X925" s="3"/>
      <c r="Y925" s="3"/>
      <c r="Z925" s="3"/>
    </row>
    <row r="926" spans="1:26" ht="22.5" customHeight="1" x14ac:dyDescent="0.85">
      <c r="A926" s="377"/>
      <c r="B926" s="377"/>
      <c r="C926" s="377"/>
      <c r="D926" s="377"/>
      <c r="E926" s="377"/>
      <c r="F926" s="377"/>
      <c r="G926" s="377"/>
      <c r="H926" s="377"/>
      <c r="I926" s="377"/>
      <c r="J926" s="377"/>
      <c r="K926" s="377"/>
      <c r="L926" s="377"/>
      <c r="M926" s="377"/>
      <c r="N926" s="377"/>
      <c r="O926" s="377"/>
      <c r="P926" s="377"/>
      <c r="Q926" s="377"/>
      <c r="R926" s="377"/>
      <c r="S926" s="377"/>
      <c r="T926" s="3"/>
      <c r="U926" s="3"/>
      <c r="V926" s="3"/>
      <c r="W926" s="3"/>
      <c r="X926" s="3"/>
      <c r="Y926" s="3"/>
      <c r="Z926" s="3"/>
    </row>
    <row r="927" spans="1:26" ht="22.5" customHeight="1" x14ac:dyDescent="0.85">
      <c r="A927" s="377"/>
      <c r="B927" s="377"/>
      <c r="C927" s="377"/>
      <c r="D927" s="377"/>
      <c r="E927" s="377"/>
      <c r="F927" s="377"/>
      <c r="G927" s="377"/>
      <c r="H927" s="377"/>
      <c r="I927" s="377"/>
      <c r="J927" s="377"/>
      <c r="K927" s="377"/>
      <c r="L927" s="377"/>
      <c r="M927" s="377"/>
      <c r="N927" s="377"/>
      <c r="O927" s="377"/>
      <c r="P927" s="377"/>
      <c r="Q927" s="377"/>
      <c r="R927" s="377"/>
      <c r="S927" s="377"/>
      <c r="T927" s="3"/>
      <c r="U927" s="3"/>
      <c r="V927" s="3"/>
      <c r="W927" s="3"/>
      <c r="X927" s="3"/>
      <c r="Y927" s="3"/>
      <c r="Z927" s="3"/>
    </row>
    <row r="928" spans="1:26" ht="22.5" customHeight="1" x14ac:dyDescent="0.85">
      <c r="A928" s="377"/>
      <c r="B928" s="377"/>
      <c r="C928" s="377"/>
      <c r="D928" s="377"/>
      <c r="E928" s="377"/>
      <c r="F928" s="377"/>
      <c r="G928" s="377"/>
      <c r="H928" s="377"/>
      <c r="I928" s="377"/>
      <c r="J928" s="377"/>
      <c r="K928" s="377"/>
      <c r="L928" s="377"/>
      <c r="M928" s="377"/>
      <c r="N928" s="377"/>
      <c r="O928" s="377"/>
      <c r="P928" s="377"/>
      <c r="Q928" s="377"/>
      <c r="R928" s="377"/>
      <c r="S928" s="377"/>
      <c r="T928" s="3"/>
      <c r="U928" s="3"/>
      <c r="V928" s="3"/>
      <c r="W928" s="3"/>
      <c r="X928" s="3"/>
      <c r="Y928" s="3"/>
      <c r="Z928" s="3"/>
    </row>
    <row r="929" spans="1:26" ht="22.5" customHeight="1" x14ac:dyDescent="0.85">
      <c r="A929" s="377"/>
      <c r="B929" s="377"/>
      <c r="C929" s="377"/>
      <c r="D929" s="377"/>
      <c r="E929" s="377"/>
      <c r="F929" s="377"/>
      <c r="G929" s="377"/>
      <c r="H929" s="377"/>
      <c r="I929" s="377"/>
      <c r="J929" s="377"/>
      <c r="K929" s="377"/>
      <c r="L929" s="377"/>
      <c r="M929" s="377"/>
      <c r="N929" s="377"/>
      <c r="O929" s="377"/>
      <c r="P929" s="377"/>
      <c r="Q929" s="377"/>
      <c r="R929" s="377"/>
      <c r="S929" s="377"/>
      <c r="T929" s="3"/>
      <c r="U929" s="3"/>
      <c r="V929" s="3"/>
      <c r="W929" s="3"/>
      <c r="X929" s="3"/>
      <c r="Y929" s="3"/>
      <c r="Z929" s="3"/>
    </row>
    <row r="930" spans="1:26" ht="22.5" customHeight="1" x14ac:dyDescent="0.85">
      <c r="A930" s="377"/>
      <c r="B930" s="377"/>
      <c r="C930" s="377"/>
      <c r="D930" s="377"/>
      <c r="E930" s="377"/>
      <c r="F930" s="377"/>
      <c r="G930" s="377"/>
      <c r="H930" s="377"/>
      <c r="I930" s="377"/>
      <c r="J930" s="377"/>
      <c r="K930" s="377"/>
      <c r="L930" s="377"/>
      <c r="M930" s="377"/>
      <c r="N930" s="377"/>
      <c r="O930" s="377"/>
      <c r="P930" s="377"/>
      <c r="Q930" s="377"/>
      <c r="R930" s="377"/>
      <c r="S930" s="377"/>
      <c r="T930" s="3"/>
      <c r="U930" s="3"/>
      <c r="V930" s="3"/>
      <c r="W930" s="3"/>
      <c r="X930" s="3"/>
      <c r="Y930" s="3"/>
      <c r="Z930" s="3"/>
    </row>
    <row r="931" spans="1:26" ht="22.5" customHeight="1" x14ac:dyDescent="0.85">
      <c r="A931" s="377"/>
      <c r="B931" s="377"/>
      <c r="C931" s="377"/>
      <c r="D931" s="377"/>
      <c r="E931" s="377"/>
      <c r="F931" s="377"/>
      <c r="G931" s="377"/>
      <c r="H931" s="377"/>
      <c r="I931" s="377"/>
      <c r="J931" s="377"/>
      <c r="K931" s="377"/>
      <c r="L931" s="377"/>
      <c r="M931" s="377"/>
      <c r="N931" s="377"/>
      <c r="O931" s="377"/>
      <c r="P931" s="377"/>
      <c r="Q931" s="377"/>
      <c r="R931" s="377"/>
      <c r="S931" s="377"/>
      <c r="T931" s="3"/>
      <c r="U931" s="3"/>
      <c r="V931" s="3"/>
      <c r="W931" s="3"/>
      <c r="X931" s="3"/>
      <c r="Y931" s="3"/>
      <c r="Z931" s="3"/>
    </row>
    <row r="932" spans="1:26" ht="22.5" customHeight="1" x14ac:dyDescent="0.85">
      <c r="A932" s="377"/>
      <c r="B932" s="377"/>
      <c r="C932" s="377"/>
      <c r="D932" s="377"/>
      <c r="E932" s="377"/>
      <c r="F932" s="377"/>
      <c r="G932" s="377"/>
      <c r="H932" s="377"/>
      <c r="I932" s="377"/>
      <c r="J932" s="377"/>
      <c r="K932" s="377"/>
      <c r="L932" s="377"/>
      <c r="M932" s="377"/>
      <c r="N932" s="377"/>
      <c r="O932" s="377"/>
      <c r="P932" s="377"/>
      <c r="Q932" s="377"/>
      <c r="R932" s="377"/>
      <c r="S932" s="377"/>
      <c r="T932" s="3"/>
      <c r="U932" s="3"/>
      <c r="V932" s="3"/>
      <c r="W932" s="3"/>
      <c r="X932" s="3"/>
      <c r="Y932" s="3"/>
      <c r="Z932" s="3"/>
    </row>
    <row r="933" spans="1:26" ht="22.5" customHeight="1" x14ac:dyDescent="0.85">
      <c r="A933" s="377"/>
      <c r="B933" s="377"/>
      <c r="C933" s="377"/>
      <c r="D933" s="377"/>
      <c r="E933" s="377"/>
      <c r="F933" s="377"/>
      <c r="G933" s="377"/>
      <c r="H933" s="377"/>
      <c r="I933" s="377"/>
      <c r="J933" s="377"/>
      <c r="K933" s="377"/>
      <c r="L933" s="377"/>
      <c r="M933" s="377"/>
      <c r="N933" s="377"/>
      <c r="O933" s="377"/>
      <c r="P933" s="377"/>
      <c r="Q933" s="377"/>
      <c r="R933" s="377"/>
      <c r="S933" s="377"/>
      <c r="T933" s="3"/>
      <c r="U933" s="3"/>
      <c r="V933" s="3"/>
      <c r="W933" s="3"/>
      <c r="X933" s="3"/>
      <c r="Y933" s="3"/>
      <c r="Z933" s="3"/>
    </row>
    <row r="934" spans="1:26" ht="22.5" customHeight="1" x14ac:dyDescent="0.85">
      <c r="A934" s="377"/>
      <c r="B934" s="377"/>
      <c r="C934" s="377"/>
      <c r="D934" s="377"/>
      <c r="E934" s="377"/>
      <c r="F934" s="377"/>
      <c r="G934" s="377"/>
      <c r="H934" s="377"/>
      <c r="I934" s="377"/>
      <c r="J934" s="377"/>
      <c r="K934" s="377"/>
      <c r="L934" s="377"/>
      <c r="M934" s="377"/>
      <c r="N934" s="377"/>
      <c r="O934" s="377"/>
      <c r="P934" s="377"/>
      <c r="Q934" s="377"/>
      <c r="R934" s="377"/>
      <c r="S934" s="377"/>
      <c r="T934" s="3"/>
      <c r="U934" s="3"/>
      <c r="V934" s="3"/>
      <c r="W934" s="3"/>
      <c r="X934" s="3"/>
      <c r="Y934" s="3"/>
      <c r="Z934" s="3"/>
    </row>
    <row r="935" spans="1:26" ht="22.5" customHeight="1" x14ac:dyDescent="0.85">
      <c r="A935" s="377"/>
      <c r="B935" s="377"/>
      <c r="C935" s="377"/>
      <c r="D935" s="377"/>
      <c r="E935" s="377"/>
      <c r="F935" s="377"/>
      <c r="G935" s="377"/>
      <c r="H935" s="377"/>
      <c r="I935" s="377"/>
      <c r="J935" s="377"/>
      <c r="K935" s="377"/>
      <c r="L935" s="377"/>
      <c r="M935" s="377"/>
      <c r="N935" s="377"/>
      <c r="O935" s="377"/>
      <c r="P935" s="377"/>
      <c r="Q935" s="377"/>
      <c r="R935" s="377"/>
      <c r="S935" s="377"/>
      <c r="T935" s="3"/>
      <c r="U935" s="3"/>
      <c r="V935" s="3"/>
      <c r="W935" s="3"/>
      <c r="X935" s="3"/>
      <c r="Y935" s="3"/>
      <c r="Z935" s="3"/>
    </row>
    <row r="936" spans="1:26" ht="22.5" customHeight="1" x14ac:dyDescent="0.85">
      <c r="A936" s="377"/>
      <c r="B936" s="377"/>
      <c r="C936" s="377"/>
      <c r="D936" s="377"/>
      <c r="E936" s="377"/>
      <c r="F936" s="377"/>
      <c r="G936" s="377"/>
      <c r="H936" s="377"/>
      <c r="I936" s="377"/>
      <c r="J936" s="377"/>
      <c r="K936" s="377"/>
      <c r="L936" s="377"/>
      <c r="M936" s="377"/>
      <c r="N936" s="377"/>
      <c r="O936" s="377"/>
      <c r="P936" s="377"/>
      <c r="Q936" s="377"/>
      <c r="R936" s="377"/>
      <c r="S936" s="377"/>
      <c r="T936" s="3"/>
      <c r="U936" s="3"/>
      <c r="V936" s="3"/>
      <c r="W936" s="3"/>
      <c r="X936" s="3"/>
      <c r="Y936" s="3"/>
      <c r="Z936" s="3"/>
    </row>
    <row r="937" spans="1:26" ht="22.5" customHeight="1" x14ac:dyDescent="0.85">
      <c r="A937" s="377"/>
      <c r="B937" s="377"/>
      <c r="C937" s="377"/>
      <c r="D937" s="377"/>
      <c r="E937" s="377"/>
      <c r="F937" s="377"/>
      <c r="G937" s="377"/>
      <c r="H937" s="377"/>
      <c r="I937" s="377"/>
      <c r="J937" s="377"/>
      <c r="K937" s="377"/>
      <c r="L937" s="377"/>
      <c r="M937" s="377"/>
      <c r="N937" s="377"/>
      <c r="O937" s="377"/>
      <c r="P937" s="377"/>
      <c r="Q937" s="377"/>
      <c r="R937" s="377"/>
      <c r="S937" s="377"/>
      <c r="T937" s="3"/>
      <c r="U937" s="3"/>
      <c r="V937" s="3"/>
      <c r="W937" s="3"/>
      <c r="X937" s="3"/>
      <c r="Y937" s="3"/>
      <c r="Z937" s="3"/>
    </row>
    <row r="938" spans="1:26" ht="22.5" customHeight="1" x14ac:dyDescent="0.85">
      <c r="A938" s="377"/>
      <c r="B938" s="377"/>
      <c r="C938" s="377"/>
      <c r="D938" s="377"/>
      <c r="E938" s="377"/>
      <c r="F938" s="377"/>
      <c r="G938" s="377"/>
      <c r="H938" s="377"/>
      <c r="I938" s="377"/>
      <c r="J938" s="377"/>
      <c r="K938" s="377"/>
      <c r="L938" s="377"/>
      <c r="M938" s="377"/>
      <c r="N938" s="377"/>
      <c r="O938" s="377"/>
      <c r="P938" s="377"/>
      <c r="Q938" s="377"/>
      <c r="R938" s="377"/>
      <c r="S938" s="377"/>
      <c r="T938" s="3"/>
      <c r="U938" s="3"/>
      <c r="V938" s="3"/>
      <c r="W938" s="3"/>
      <c r="X938" s="3"/>
      <c r="Y938" s="3"/>
      <c r="Z938" s="3"/>
    </row>
    <row r="939" spans="1:26" ht="22.5" customHeight="1" x14ac:dyDescent="0.85">
      <c r="A939" s="377"/>
      <c r="B939" s="377"/>
      <c r="C939" s="377"/>
      <c r="D939" s="377"/>
      <c r="E939" s="377"/>
      <c r="F939" s="377"/>
      <c r="G939" s="377"/>
      <c r="H939" s="377"/>
      <c r="I939" s="377"/>
      <c r="J939" s="377"/>
      <c r="K939" s="377"/>
      <c r="L939" s="377"/>
      <c r="M939" s="377"/>
      <c r="N939" s="377"/>
      <c r="O939" s="377"/>
      <c r="P939" s="377"/>
      <c r="Q939" s="377"/>
      <c r="R939" s="377"/>
      <c r="S939" s="377"/>
      <c r="T939" s="3"/>
      <c r="U939" s="3"/>
      <c r="V939" s="3"/>
      <c r="W939" s="3"/>
      <c r="X939" s="3"/>
      <c r="Y939" s="3"/>
      <c r="Z939" s="3"/>
    </row>
    <row r="940" spans="1:26" ht="22.5" customHeight="1" x14ac:dyDescent="0.85">
      <c r="A940" s="377"/>
      <c r="B940" s="377"/>
      <c r="C940" s="377"/>
      <c r="D940" s="377"/>
      <c r="E940" s="377"/>
      <c r="F940" s="377"/>
      <c r="G940" s="377"/>
      <c r="H940" s="377"/>
      <c r="I940" s="377"/>
      <c r="J940" s="377"/>
      <c r="K940" s="377"/>
      <c r="L940" s="377"/>
      <c r="M940" s="377"/>
      <c r="N940" s="377"/>
      <c r="O940" s="377"/>
      <c r="P940" s="377"/>
      <c r="Q940" s="377"/>
      <c r="R940" s="377"/>
      <c r="S940" s="377"/>
      <c r="T940" s="3"/>
      <c r="U940" s="3"/>
      <c r="V940" s="3"/>
      <c r="W940" s="3"/>
      <c r="X940" s="3"/>
      <c r="Y940" s="3"/>
      <c r="Z940" s="3"/>
    </row>
    <row r="941" spans="1:26" ht="22.5" customHeight="1" x14ac:dyDescent="0.85">
      <c r="A941" s="377"/>
      <c r="B941" s="377"/>
      <c r="C941" s="377"/>
      <c r="D941" s="377"/>
      <c r="E941" s="377"/>
      <c r="F941" s="377"/>
      <c r="G941" s="377"/>
      <c r="H941" s="377"/>
      <c r="I941" s="377"/>
      <c r="J941" s="377"/>
      <c r="K941" s="377"/>
      <c r="L941" s="377"/>
      <c r="M941" s="377"/>
      <c r="N941" s="377"/>
      <c r="O941" s="377"/>
      <c r="P941" s="377"/>
      <c r="Q941" s="377"/>
      <c r="R941" s="377"/>
      <c r="S941" s="377"/>
      <c r="T941" s="3"/>
      <c r="U941" s="3"/>
      <c r="V941" s="3"/>
      <c r="W941" s="3"/>
      <c r="X941" s="3"/>
      <c r="Y941" s="3"/>
      <c r="Z941" s="3"/>
    </row>
    <row r="942" spans="1:26" ht="22.5" customHeight="1" x14ac:dyDescent="0.85">
      <c r="A942" s="377"/>
      <c r="B942" s="377"/>
      <c r="C942" s="377"/>
      <c r="D942" s="377"/>
      <c r="E942" s="377"/>
      <c r="F942" s="377"/>
      <c r="G942" s="377"/>
      <c r="H942" s="377"/>
      <c r="I942" s="377"/>
      <c r="J942" s="377"/>
      <c r="K942" s="377"/>
      <c r="L942" s="377"/>
      <c r="M942" s="377"/>
      <c r="N942" s="377"/>
      <c r="O942" s="377"/>
      <c r="P942" s="377"/>
      <c r="Q942" s="377"/>
      <c r="R942" s="377"/>
      <c r="S942" s="377"/>
      <c r="T942" s="3"/>
      <c r="U942" s="3"/>
      <c r="V942" s="3"/>
      <c r="W942" s="3"/>
      <c r="X942" s="3"/>
      <c r="Y942" s="3"/>
      <c r="Z942" s="3"/>
    </row>
    <row r="943" spans="1:26" ht="22.5" customHeight="1" x14ac:dyDescent="0.85">
      <c r="A943" s="377"/>
      <c r="B943" s="377"/>
      <c r="C943" s="377"/>
      <c r="D943" s="377"/>
      <c r="E943" s="377"/>
      <c r="F943" s="377"/>
      <c r="G943" s="377"/>
      <c r="H943" s="377"/>
      <c r="I943" s="377"/>
      <c r="J943" s="377"/>
      <c r="K943" s="377"/>
      <c r="L943" s="377"/>
      <c r="M943" s="377"/>
      <c r="N943" s="377"/>
      <c r="O943" s="377"/>
      <c r="P943" s="377"/>
      <c r="Q943" s="377"/>
      <c r="R943" s="377"/>
      <c r="S943" s="377"/>
      <c r="T943" s="3"/>
      <c r="U943" s="3"/>
      <c r="V943" s="3"/>
      <c r="W943" s="3"/>
      <c r="X943" s="3"/>
      <c r="Y943" s="3"/>
      <c r="Z943" s="3"/>
    </row>
    <row r="944" spans="1:26" ht="22.5" customHeight="1" x14ac:dyDescent="0.85">
      <c r="A944" s="377"/>
      <c r="B944" s="377"/>
      <c r="C944" s="377"/>
      <c r="D944" s="377"/>
      <c r="E944" s="377"/>
      <c r="F944" s="377"/>
      <c r="G944" s="377"/>
      <c r="H944" s="377"/>
      <c r="I944" s="377"/>
      <c r="J944" s="377"/>
      <c r="K944" s="377"/>
      <c r="L944" s="377"/>
      <c r="M944" s="377"/>
      <c r="N944" s="377"/>
      <c r="O944" s="377"/>
      <c r="P944" s="377"/>
      <c r="Q944" s="377"/>
      <c r="R944" s="377"/>
      <c r="S944" s="377"/>
      <c r="T944" s="3"/>
      <c r="U944" s="3"/>
      <c r="V944" s="3"/>
      <c r="W944" s="3"/>
      <c r="X944" s="3"/>
      <c r="Y944" s="3"/>
      <c r="Z944" s="3"/>
    </row>
    <row r="945" spans="1:26" ht="22.5" customHeight="1" x14ac:dyDescent="0.85">
      <c r="A945" s="377"/>
      <c r="B945" s="377"/>
      <c r="C945" s="377"/>
      <c r="D945" s="377"/>
      <c r="E945" s="377"/>
      <c r="F945" s="377"/>
      <c r="G945" s="377"/>
      <c r="H945" s="377"/>
      <c r="I945" s="377"/>
      <c r="J945" s="377"/>
      <c r="K945" s="377"/>
      <c r="L945" s="377"/>
      <c r="M945" s="377"/>
      <c r="N945" s="377"/>
      <c r="O945" s="377"/>
      <c r="P945" s="377"/>
      <c r="Q945" s="377"/>
      <c r="R945" s="377"/>
      <c r="S945" s="377"/>
      <c r="T945" s="3"/>
      <c r="U945" s="3"/>
      <c r="V945" s="3"/>
      <c r="W945" s="3"/>
      <c r="X945" s="3"/>
      <c r="Y945" s="3"/>
      <c r="Z945" s="3"/>
    </row>
    <row r="946" spans="1:26" ht="22.5" customHeight="1" x14ac:dyDescent="0.85">
      <c r="A946" s="377"/>
      <c r="B946" s="377"/>
      <c r="C946" s="377"/>
      <c r="D946" s="377"/>
      <c r="E946" s="377"/>
      <c r="F946" s="377"/>
      <c r="G946" s="377"/>
      <c r="H946" s="377"/>
      <c r="I946" s="377"/>
      <c r="J946" s="377"/>
      <c r="K946" s="377"/>
      <c r="L946" s="377"/>
      <c r="M946" s="377"/>
      <c r="N946" s="377"/>
      <c r="O946" s="377"/>
      <c r="P946" s="377"/>
      <c r="Q946" s="377"/>
      <c r="R946" s="377"/>
      <c r="S946" s="377"/>
      <c r="T946" s="3"/>
      <c r="U946" s="3"/>
      <c r="V946" s="3"/>
      <c r="W946" s="3"/>
      <c r="X946" s="3"/>
      <c r="Y946" s="3"/>
      <c r="Z946" s="3"/>
    </row>
    <row r="947" spans="1:26" ht="22.5" customHeight="1" x14ac:dyDescent="0.85">
      <c r="A947" s="377"/>
      <c r="B947" s="377"/>
      <c r="C947" s="377"/>
      <c r="D947" s="377"/>
      <c r="E947" s="377"/>
      <c r="F947" s="377"/>
      <c r="G947" s="377"/>
      <c r="H947" s="377"/>
      <c r="I947" s="377"/>
      <c r="J947" s="377"/>
      <c r="K947" s="377"/>
      <c r="L947" s="377"/>
      <c r="M947" s="377"/>
      <c r="N947" s="377"/>
      <c r="O947" s="377"/>
      <c r="P947" s="377"/>
      <c r="Q947" s="377"/>
      <c r="R947" s="377"/>
      <c r="S947" s="377"/>
      <c r="T947" s="3"/>
      <c r="U947" s="3"/>
      <c r="V947" s="3"/>
      <c r="W947" s="3"/>
      <c r="X947" s="3"/>
      <c r="Y947" s="3"/>
      <c r="Z947" s="3"/>
    </row>
    <row r="948" spans="1:26" ht="22.5" customHeight="1" x14ac:dyDescent="0.85">
      <c r="A948" s="377"/>
      <c r="B948" s="377"/>
      <c r="C948" s="377"/>
      <c r="D948" s="377"/>
      <c r="E948" s="377"/>
      <c r="F948" s="377"/>
      <c r="G948" s="377"/>
      <c r="H948" s="377"/>
      <c r="I948" s="377"/>
      <c r="J948" s="377"/>
      <c r="K948" s="377"/>
      <c r="L948" s="377"/>
      <c r="M948" s="377"/>
      <c r="N948" s="377"/>
      <c r="O948" s="377"/>
      <c r="P948" s="377"/>
      <c r="Q948" s="377"/>
      <c r="R948" s="377"/>
      <c r="S948" s="377"/>
      <c r="T948" s="3"/>
      <c r="U948" s="3"/>
      <c r="V948" s="3"/>
      <c r="W948" s="3"/>
      <c r="X948" s="3"/>
      <c r="Y948" s="3"/>
      <c r="Z948" s="3"/>
    </row>
    <row r="949" spans="1:26" ht="22.5" customHeight="1" x14ac:dyDescent="0.85">
      <c r="A949" s="377"/>
      <c r="B949" s="377"/>
      <c r="C949" s="377"/>
      <c r="D949" s="377"/>
      <c r="E949" s="377"/>
      <c r="F949" s="377"/>
      <c r="G949" s="377"/>
      <c r="H949" s="377"/>
      <c r="I949" s="377"/>
      <c r="J949" s="377"/>
      <c r="K949" s="377"/>
      <c r="L949" s="377"/>
      <c r="M949" s="377"/>
      <c r="N949" s="377"/>
      <c r="O949" s="377"/>
      <c r="P949" s="377"/>
      <c r="Q949" s="377"/>
      <c r="R949" s="377"/>
      <c r="S949" s="377"/>
      <c r="T949" s="3"/>
      <c r="U949" s="3"/>
      <c r="V949" s="3"/>
      <c r="W949" s="3"/>
      <c r="X949" s="3"/>
      <c r="Y949" s="3"/>
      <c r="Z949" s="3"/>
    </row>
    <row r="950" spans="1:26" ht="22.5" customHeight="1" x14ac:dyDescent="0.85">
      <c r="A950" s="377"/>
      <c r="B950" s="377"/>
      <c r="C950" s="377"/>
      <c r="D950" s="377"/>
      <c r="E950" s="377"/>
      <c r="F950" s="377"/>
      <c r="G950" s="377"/>
      <c r="H950" s="377"/>
      <c r="I950" s="377"/>
      <c r="J950" s="377"/>
      <c r="K950" s="377"/>
      <c r="L950" s="377"/>
      <c r="M950" s="377"/>
      <c r="N950" s="377"/>
      <c r="O950" s="377"/>
      <c r="P950" s="377"/>
      <c r="Q950" s="377"/>
      <c r="R950" s="377"/>
      <c r="S950" s="377"/>
      <c r="T950" s="3"/>
      <c r="U950" s="3"/>
      <c r="V950" s="3"/>
      <c r="W950" s="3"/>
      <c r="X950" s="3"/>
      <c r="Y950" s="3"/>
      <c r="Z950" s="3"/>
    </row>
    <row r="951" spans="1:26" ht="22.5" customHeight="1" x14ac:dyDescent="0.85">
      <c r="A951" s="377"/>
      <c r="B951" s="377"/>
      <c r="C951" s="377"/>
      <c r="D951" s="377"/>
      <c r="E951" s="377"/>
      <c r="F951" s="377"/>
      <c r="G951" s="377"/>
      <c r="H951" s="377"/>
      <c r="I951" s="377"/>
      <c r="J951" s="377"/>
      <c r="K951" s="377"/>
      <c r="L951" s="377"/>
      <c r="M951" s="377"/>
      <c r="N951" s="377"/>
      <c r="O951" s="377"/>
      <c r="P951" s="377"/>
      <c r="Q951" s="377"/>
      <c r="R951" s="377"/>
      <c r="S951" s="377"/>
      <c r="T951" s="3"/>
      <c r="U951" s="3"/>
      <c r="V951" s="3"/>
      <c r="W951" s="3"/>
      <c r="X951" s="3"/>
      <c r="Y951" s="3"/>
      <c r="Z951" s="3"/>
    </row>
    <row r="952" spans="1:26" ht="22.5" customHeight="1" x14ac:dyDescent="0.85">
      <c r="A952" s="377"/>
      <c r="B952" s="377"/>
      <c r="C952" s="377"/>
      <c r="D952" s="377"/>
      <c r="E952" s="377"/>
      <c r="F952" s="377"/>
      <c r="G952" s="377"/>
      <c r="H952" s="377"/>
      <c r="I952" s="377"/>
      <c r="J952" s="377"/>
      <c r="K952" s="377"/>
      <c r="L952" s="377"/>
      <c r="M952" s="377"/>
      <c r="N952" s="377"/>
      <c r="O952" s="377"/>
      <c r="P952" s="377"/>
      <c r="Q952" s="377"/>
      <c r="R952" s="377"/>
      <c r="S952" s="377"/>
      <c r="T952" s="3"/>
      <c r="U952" s="3"/>
      <c r="V952" s="3"/>
      <c r="W952" s="3"/>
      <c r="X952" s="3"/>
      <c r="Y952" s="3"/>
      <c r="Z952" s="3"/>
    </row>
    <row r="953" spans="1:26" ht="22.5" customHeight="1" x14ac:dyDescent="0.85">
      <c r="A953" s="377"/>
      <c r="B953" s="377"/>
      <c r="C953" s="377"/>
      <c r="D953" s="377"/>
      <c r="E953" s="377"/>
      <c r="F953" s="377"/>
      <c r="G953" s="377"/>
      <c r="H953" s="377"/>
      <c r="I953" s="377"/>
      <c r="J953" s="377"/>
      <c r="K953" s="377"/>
      <c r="L953" s="377"/>
      <c r="M953" s="377"/>
      <c r="N953" s="377"/>
      <c r="O953" s="377"/>
      <c r="P953" s="377"/>
      <c r="Q953" s="377"/>
      <c r="R953" s="377"/>
      <c r="S953" s="377"/>
      <c r="T953" s="3"/>
      <c r="U953" s="3"/>
      <c r="V953" s="3"/>
      <c r="W953" s="3"/>
      <c r="X953" s="3"/>
      <c r="Y953" s="3"/>
      <c r="Z953" s="3"/>
    </row>
    <row r="954" spans="1:26" ht="22.5" customHeight="1" x14ac:dyDescent="0.85">
      <c r="A954" s="377"/>
      <c r="B954" s="377"/>
      <c r="C954" s="377"/>
      <c r="D954" s="377"/>
      <c r="E954" s="377"/>
      <c r="F954" s="377"/>
      <c r="G954" s="377"/>
      <c r="H954" s="377"/>
      <c r="I954" s="377"/>
      <c r="J954" s="377"/>
      <c r="K954" s="377"/>
      <c r="L954" s="377"/>
      <c r="M954" s="377"/>
      <c r="N954" s="377"/>
      <c r="O954" s="377"/>
      <c r="P954" s="377"/>
      <c r="Q954" s="377"/>
      <c r="R954" s="377"/>
      <c r="S954" s="377"/>
      <c r="T954" s="3"/>
      <c r="U954" s="3"/>
      <c r="V954" s="3"/>
      <c r="W954" s="3"/>
      <c r="X954" s="3"/>
      <c r="Y954" s="3"/>
      <c r="Z954" s="3"/>
    </row>
    <row r="955" spans="1:26" ht="22.5" customHeight="1" x14ac:dyDescent="0.85">
      <c r="A955" s="377"/>
      <c r="B955" s="377"/>
      <c r="C955" s="377"/>
      <c r="D955" s="377"/>
      <c r="E955" s="377"/>
      <c r="F955" s="377"/>
      <c r="G955" s="377"/>
      <c r="H955" s="377"/>
      <c r="I955" s="377"/>
      <c r="J955" s="377"/>
      <c r="K955" s="377"/>
      <c r="L955" s="377"/>
      <c r="M955" s="377"/>
      <c r="N955" s="377"/>
      <c r="O955" s="377"/>
      <c r="P955" s="377"/>
      <c r="Q955" s="377"/>
      <c r="R955" s="377"/>
      <c r="S955" s="377"/>
      <c r="T955" s="3"/>
      <c r="U955" s="3"/>
      <c r="V955" s="3"/>
      <c r="W955" s="3"/>
      <c r="X955" s="3"/>
      <c r="Y955" s="3"/>
      <c r="Z955" s="3"/>
    </row>
    <row r="956" spans="1:26" ht="22.5" customHeight="1" x14ac:dyDescent="0.85">
      <c r="A956" s="377"/>
      <c r="B956" s="377"/>
      <c r="C956" s="377"/>
      <c r="D956" s="377"/>
      <c r="E956" s="377"/>
      <c r="F956" s="377"/>
      <c r="G956" s="377"/>
      <c r="H956" s="377"/>
      <c r="I956" s="377"/>
      <c r="J956" s="377"/>
      <c r="K956" s="377"/>
      <c r="L956" s="377"/>
      <c r="M956" s="377"/>
      <c r="N956" s="377"/>
      <c r="O956" s="377"/>
      <c r="P956" s="377"/>
      <c r="Q956" s="377"/>
      <c r="R956" s="377"/>
      <c r="S956" s="377"/>
      <c r="T956" s="3"/>
      <c r="U956" s="3"/>
      <c r="V956" s="3"/>
      <c r="W956" s="3"/>
      <c r="X956" s="3"/>
      <c r="Y956" s="3"/>
      <c r="Z956" s="3"/>
    </row>
    <row r="957" spans="1:26" ht="22.5" customHeight="1" x14ac:dyDescent="0.85">
      <c r="A957" s="377"/>
      <c r="B957" s="377"/>
      <c r="C957" s="377"/>
      <c r="D957" s="377"/>
      <c r="E957" s="377"/>
      <c r="F957" s="377"/>
      <c r="G957" s="377"/>
      <c r="H957" s="377"/>
      <c r="I957" s="377"/>
      <c r="J957" s="377"/>
      <c r="K957" s="377"/>
      <c r="L957" s="377"/>
      <c r="M957" s="377"/>
      <c r="N957" s="377"/>
      <c r="O957" s="377"/>
      <c r="P957" s="377"/>
      <c r="Q957" s="377"/>
      <c r="R957" s="377"/>
      <c r="S957" s="377"/>
      <c r="T957" s="3"/>
      <c r="U957" s="3"/>
      <c r="V957" s="3"/>
      <c r="W957" s="3"/>
      <c r="X957" s="3"/>
      <c r="Y957" s="3"/>
      <c r="Z957" s="3"/>
    </row>
    <row r="958" spans="1:26" ht="22.5" customHeight="1" x14ac:dyDescent="0.85">
      <c r="A958" s="377"/>
      <c r="B958" s="377"/>
      <c r="C958" s="377"/>
      <c r="D958" s="377"/>
      <c r="E958" s="377"/>
      <c r="F958" s="377"/>
      <c r="G958" s="377"/>
      <c r="H958" s="377"/>
      <c r="I958" s="377"/>
      <c r="J958" s="377"/>
      <c r="K958" s="377"/>
      <c r="L958" s="377"/>
      <c r="M958" s="377"/>
      <c r="N958" s="377"/>
      <c r="O958" s="377"/>
      <c r="P958" s="377"/>
      <c r="Q958" s="377"/>
      <c r="R958" s="377"/>
      <c r="S958" s="377"/>
      <c r="T958" s="3"/>
      <c r="U958" s="3"/>
      <c r="V958" s="3"/>
      <c r="W958" s="3"/>
      <c r="X958" s="3"/>
      <c r="Y958" s="3"/>
      <c r="Z958" s="3"/>
    </row>
    <row r="959" spans="1:26" ht="22.5" customHeight="1" x14ac:dyDescent="0.85">
      <c r="A959" s="377"/>
      <c r="B959" s="377"/>
      <c r="C959" s="377"/>
      <c r="D959" s="377"/>
      <c r="E959" s="377"/>
      <c r="F959" s="377"/>
      <c r="G959" s="377"/>
      <c r="H959" s="377"/>
      <c r="I959" s="377"/>
      <c r="J959" s="377"/>
      <c r="K959" s="377"/>
      <c r="L959" s="377"/>
      <c r="M959" s="377"/>
      <c r="N959" s="377"/>
      <c r="O959" s="377"/>
      <c r="P959" s="377"/>
      <c r="Q959" s="377"/>
      <c r="R959" s="377"/>
      <c r="S959" s="377"/>
      <c r="T959" s="3"/>
      <c r="U959" s="3"/>
      <c r="V959" s="3"/>
      <c r="W959" s="3"/>
      <c r="X959" s="3"/>
      <c r="Y959" s="3"/>
      <c r="Z959" s="3"/>
    </row>
    <row r="960" spans="1:26" ht="22.5" customHeight="1" x14ac:dyDescent="0.85">
      <c r="A960" s="377"/>
      <c r="B960" s="377"/>
      <c r="C960" s="377"/>
      <c r="D960" s="377"/>
      <c r="E960" s="377"/>
      <c r="F960" s="377"/>
      <c r="G960" s="377"/>
      <c r="H960" s="377"/>
      <c r="I960" s="377"/>
      <c r="J960" s="377"/>
      <c r="K960" s="377"/>
      <c r="L960" s="377"/>
      <c r="M960" s="377"/>
      <c r="N960" s="377"/>
      <c r="O960" s="377"/>
      <c r="P960" s="377"/>
      <c r="Q960" s="377"/>
      <c r="R960" s="377"/>
      <c r="S960" s="377"/>
      <c r="T960" s="3"/>
      <c r="U960" s="3"/>
      <c r="V960" s="3"/>
      <c r="W960" s="3"/>
      <c r="X960" s="3"/>
      <c r="Y960" s="3"/>
      <c r="Z960" s="3"/>
    </row>
    <row r="961" spans="1:26" ht="22.5" customHeight="1" x14ac:dyDescent="0.85">
      <c r="A961" s="377"/>
      <c r="B961" s="377"/>
      <c r="C961" s="377"/>
      <c r="D961" s="377"/>
      <c r="E961" s="377"/>
      <c r="F961" s="377"/>
      <c r="G961" s="377"/>
      <c r="H961" s="377"/>
      <c r="I961" s="377"/>
      <c r="J961" s="377"/>
      <c r="K961" s="377"/>
      <c r="L961" s="377"/>
      <c r="M961" s="377"/>
      <c r="N961" s="377"/>
      <c r="O961" s="377"/>
      <c r="P961" s="377"/>
      <c r="Q961" s="377"/>
      <c r="R961" s="377"/>
      <c r="S961" s="377"/>
      <c r="T961" s="3"/>
      <c r="U961" s="3"/>
      <c r="V961" s="3"/>
      <c r="W961" s="3"/>
      <c r="X961" s="3"/>
      <c r="Y961" s="3"/>
      <c r="Z961" s="3"/>
    </row>
    <row r="962" spans="1:26" ht="22.5" customHeight="1" x14ac:dyDescent="0.85">
      <c r="A962" s="377"/>
      <c r="B962" s="377"/>
      <c r="C962" s="377"/>
      <c r="D962" s="377"/>
      <c r="E962" s="377"/>
      <c r="F962" s="377"/>
      <c r="G962" s="377"/>
      <c r="H962" s="377"/>
      <c r="I962" s="377"/>
      <c r="J962" s="377"/>
      <c r="K962" s="377"/>
      <c r="L962" s="377"/>
      <c r="M962" s="377"/>
      <c r="N962" s="377"/>
      <c r="O962" s="377"/>
      <c r="P962" s="377"/>
      <c r="Q962" s="377"/>
      <c r="R962" s="377"/>
      <c r="S962" s="377"/>
      <c r="T962" s="3"/>
      <c r="U962" s="3"/>
      <c r="V962" s="3"/>
      <c r="W962" s="3"/>
      <c r="X962" s="3"/>
      <c r="Y962" s="3"/>
      <c r="Z962" s="3"/>
    </row>
    <row r="963" spans="1:26" ht="22.5" customHeight="1" x14ac:dyDescent="0.85">
      <c r="A963" s="377"/>
      <c r="B963" s="377"/>
      <c r="C963" s="377"/>
      <c r="D963" s="377"/>
      <c r="E963" s="377"/>
      <c r="F963" s="377"/>
      <c r="G963" s="377"/>
      <c r="H963" s="377"/>
      <c r="I963" s="377"/>
      <c r="J963" s="377"/>
      <c r="K963" s="377"/>
      <c r="L963" s="377"/>
      <c r="M963" s="377"/>
      <c r="N963" s="377"/>
      <c r="O963" s="377"/>
      <c r="P963" s="377"/>
      <c r="Q963" s="377"/>
      <c r="R963" s="377"/>
      <c r="S963" s="377"/>
      <c r="T963" s="3"/>
      <c r="U963" s="3"/>
      <c r="V963" s="3"/>
      <c r="W963" s="3"/>
      <c r="X963" s="3"/>
      <c r="Y963" s="3"/>
      <c r="Z963" s="3"/>
    </row>
    <row r="964" spans="1:26" ht="22.5" customHeight="1" x14ac:dyDescent="0.85">
      <c r="A964" s="377"/>
      <c r="B964" s="377"/>
      <c r="C964" s="377"/>
      <c r="D964" s="377"/>
      <c r="E964" s="377"/>
      <c r="F964" s="377"/>
      <c r="G964" s="377"/>
      <c r="H964" s="377"/>
      <c r="I964" s="377"/>
      <c r="J964" s="377"/>
      <c r="K964" s="377"/>
      <c r="L964" s="377"/>
      <c r="M964" s="377"/>
      <c r="N964" s="377"/>
      <c r="O964" s="377"/>
      <c r="P964" s="377"/>
      <c r="Q964" s="377"/>
      <c r="R964" s="377"/>
      <c r="S964" s="377"/>
      <c r="T964" s="3"/>
      <c r="U964" s="3"/>
      <c r="V964" s="3"/>
      <c r="W964" s="3"/>
      <c r="X964" s="3"/>
      <c r="Y964" s="3"/>
      <c r="Z964" s="3"/>
    </row>
    <row r="965" spans="1:26" ht="22.5" customHeight="1" x14ac:dyDescent="0.85">
      <c r="A965" s="377"/>
      <c r="B965" s="377"/>
      <c r="C965" s="377"/>
      <c r="D965" s="377"/>
      <c r="E965" s="377"/>
      <c r="F965" s="377"/>
      <c r="G965" s="377"/>
      <c r="H965" s="377"/>
      <c r="I965" s="377"/>
      <c r="J965" s="377"/>
      <c r="K965" s="377"/>
      <c r="L965" s="377"/>
      <c r="M965" s="377"/>
      <c r="N965" s="377"/>
      <c r="O965" s="377"/>
      <c r="P965" s="377"/>
      <c r="Q965" s="377"/>
      <c r="R965" s="377"/>
      <c r="S965" s="377"/>
      <c r="T965" s="3"/>
      <c r="U965" s="3"/>
      <c r="V965" s="3"/>
      <c r="W965" s="3"/>
      <c r="X965" s="3"/>
      <c r="Y965" s="3"/>
      <c r="Z965" s="3"/>
    </row>
    <row r="966" spans="1:26" ht="22.5" customHeight="1" x14ac:dyDescent="0.85">
      <c r="A966" s="377"/>
      <c r="B966" s="377"/>
      <c r="C966" s="377"/>
      <c r="D966" s="377"/>
      <c r="E966" s="377"/>
      <c r="F966" s="377"/>
      <c r="G966" s="377"/>
      <c r="H966" s="377"/>
      <c r="I966" s="377"/>
      <c r="J966" s="377"/>
      <c r="K966" s="377"/>
      <c r="L966" s="377"/>
      <c r="M966" s="377"/>
      <c r="N966" s="377"/>
      <c r="O966" s="377"/>
      <c r="P966" s="377"/>
      <c r="Q966" s="377"/>
      <c r="R966" s="377"/>
      <c r="S966" s="377"/>
      <c r="T966" s="3"/>
      <c r="U966" s="3"/>
      <c r="V966" s="3"/>
      <c r="W966" s="3"/>
      <c r="X966" s="3"/>
      <c r="Y966" s="3"/>
      <c r="Z966" s="3"/>
    </row>
    <row r="967" spans="1:26" ht="22.5" customHeight="1" x14ac:dyDescent="0.85">
      <c r="A967" s="377"/>
      <c r="B967" s="377"/>
      <c r="C967" s="377"/>
      <c r="D967" s="377"/>
      <c r="E967" s="377"/>
      <c r="F967" s="377"/>
      <c r="G967" s="377"/>
      <c r="H967" s="377"/>
      <c r="I967" s="377"/>
      <c r="J967" s="377"/>
      <c r="K967" s="377"/>
      <c r="L967" s="377"/>
      <c r="M967" s="377"/>
      <c r="N967" s="377"/>
      <c r="O967" s="377"/>
      <c r="P967" s="377"/>
      <c r="Q967" s="377"/>
      <c r="R967" s="377"/>
      <c r="S967" s="377"/>
      <c r="T967" s="3"/>
      <c r="U967" s="3"/>
      <c r="V967" s="3"/>
      <c r="W967" s="3"/>
      <c r="X967" s="3"/>
      <c r="Y967" s="3"/>
      <c r="Z967" s="3"/>
    </row>
    <row r="968" spans="1:26" ht="22.5" customHeight="1" x14ac:dyDescent="0.85">
      <c r="A968" s="377"/>
      <c r="B968" s="377"/>
      <c r="C968" s="377"/>
      <c r="D968" s="377"/>
      <c r="E968" s="377"/>
      <c r="F968" s="377"/>
      <c r="G968" s="377"/>
      <c r="H968" s="377"/>
      <c r="I968" s="377"/>
      <c r="J968" s="377"/>
      <c r="K968" s="377"/>
      <c r="L968" s="377"/>
      <c r="M968" s="377"/>
      <c r="N968" s="377"/>
      <c r="O968" s="377"/>
      <c r="P968" s="377"/>
      <c r="Q968" s="377"/>
      <c r="R968" s="377"/>
      <c r="S968" s="377"/>
      <c r="T968" s="3"/>
      <c r="U968" s="3"/>
      <c r="V968" s="3"/>
      <c r="W968" s="3"/>
      <c r="X968" s="3"/>
      <c r="Y968" s="3"/>
      <c r="Z968" s="3"/>
    </row>
    <row r="969" spans="1:26" ht="22.5" customHeight="1" x14ac:dyDescent="0.85">
      <c r="A969" s="377"/>
      <c r="B969" s="377"/>
      <c r="C969" s="377"/>
      <c r="D969" s="377"/>
      <c r="E969" s="377"/>
      <c r="F969" s="377"/>
      <c r="G969" s="377"/>
      <c r="H969" s="377"/>
      <c r="I969" s="377"/>
      <c r="J969" s="377"/>
      <c r="K969" s="377"/>
      <c r="L969" s="377"/>
      <c r="M969" s="377"/>
      <c r="N969" s="377"/>
      <c r="O969" s="377"/>
      <c r="P969" s="377"/>
      <c r="Q969" s="377"/>
      <c r="R969" s="377"/>
      <c r="S969" s="377"/>
      <c r="T969" s="3"/>
      <c r="U969" s="3"/>
      <c r="V969" s="3"/>
      <c r="W969" s="3"/>
      <c r="X969" s="3"/>
      <c r="Y969" s="3"/>
      <c r="Z969" s="3"/>
    </row>
    <row r="970" spans="1:26" ht="22.5" customHeight="1" x14ac:dyDescent="0.85">
      <c r="A970" s="377"/>
      <c r="B970" s="377"/>
      <c r="C970" s="377"/>
      <c r="D970" s="377"/>
      <c r="E970" s="377"/>
      <c r="F970" s="377"/>
      <c r="G970" s="377"/>
      <c r="H970" s="377"/>
      <c r="I970" s="377"/>
      <c r="J970" s="377"/>
      <c r="K970" s="377"/>
      <c r="L970" s="377"/>
      <c r="M970" s="377"/>
      <c r="N970" s="377"/>
      <c r="O970" s="377"/>
      <c r="P970" s="377"/>
      <c r="Q970" s="377"/>
      <c r="R970" s="377"/>
      <c r="S970" s="377"/>
      <c r="T970" s="3"/>
      <c r="U970" s="3"/>
      <c r="V970" s="3"/>
      <c r="W970" s="3"/>
      <c r="X970" s="3"/>
      <c r="Y970" s="3"/>
      <c r="Z970" s="3"/>
    </row>
    <row r="971" spans="1:26" ht="22.5" customHeight="1" x14ac:dyDescent="0.85">
      <c r="A971" s="377"/>
      <c r="B971" s="377"/>
      <c r="C971" s="377"/>
      <c r="D971" s="377"/>
      <c r="E971" s="377"/>
      <c r="F971" s="377"/>
      <c r="G971" s="377"/>
      <c r="H971" s="377"/>
      <c r="I971" s="377"/>
      <c r="J971" s="377"/>
      <c r="K971" s="377"/>
      <c r="L971" s="377"/>
      <c r="M971" s="377"/>
      <c r="N971" s="377"/>
      <c r="O971" s="377"/>
      <c r="P971" s="377"/>
      <c r="Q971" s="377"/>
      <c r="R971" s="377"/>
      <c r="S971" s="377"/>
      <c r="T971" s="3"/>
      <c r="U971" s="3"/>
      <c r="V971" s="3"/>
      <c r="W971" s="3"/>
      <c r="X971" s="3"/>
      <c r="Y971" s="3"/>
      <c r="Z971" s="3"/>
    </row>
    <row r="972" spans="1:26" ht="22.5" customHeight="1" x14ac:dyDescent="0.85">
      <c r="A972" s="377"/>
      <c r="B972" s="377"/>
      <c r="C972" s="377"/>
      <c r="D972" s="377"/>
      <c r="E972" s="377"/>
      <c r="F972" s="377"/>
      <c r="G972" s="377"/>
      <c r="H972" s="377"/>
      <c r="I972" s="377"/>
      <c r="J972" s="377"/>
      <c r="K972" s="377"/>
      <c r="L972" s="377"/>
      <c r="M972" s="377"/>
      <c r="N972" s="377"/>
      <c r="O972" s="377"/>
      <c r="P972" s="377"/>
      <c r="Q972" s="377"/>
      <c r="R972" s="377"/>
      <c r="S972" s="377"/>
      <c r="T972" s="3"/>
      <c r="U972" s="3"/>
      <c r="V972" s="3"/>
      <c r="W972" s="3"/>
      <c r="X972" s="3"/>
      <c r="Y972" s="3"/>
      <c r="Z972" s="3"/>
    </row>
    <row r="973" spans="1:26" ht="22.5" customHeight="1" x14ac:dyDescent="0.85">
      <c r="A973" s="377"/>
      <c r="B973" s="377"/>
      <c r="C973" s="377"/>
      <c r="D973" s="377"/>
      <c r="E973" s="377"/>
      <c r="F973" s="377"/>
      <c r="G973" s="377"/>
      <c r="H973" s="377"/>
      <c r="I973" s="377"/>
      <c r="J973" s="377"/>
      <c r="K973" s="377"/>
      <c r="L973" s="377"/>
      <c r="M973" s="377"/>
      <c r="N973" s="377"/>
      <c r="O973" s="377"/>
      <c r="P973" s="377"/>
      <c r="Q973" s="377"/>
      <c r="R973" s="377"/>
      <c r="S973" s="377"/>
      <c r="T973" s="3"/>
      <c r="U973" s="3"/>
      <c r="V973" s="3"/>
      <c r="W973" s="3"/>
      <c r="X973" s="3"/>
      <c r="Y973" s="3"/>
      <c r="Z973" s="3"/>
    </row>
    <row r="974" spans="1:26" ht="22.5" customHeight="1" x14ac:dyDescent="0.85">
      <c r="A974" s="377"/>
      <c r="B974" s="377"/>
      <c r="C974" s="377"/>
      <c r="D974" s="377"/>
      <c r="E974" s="377"/>
      <c r="F974" s="377"/>
      <c r="G974" s="377"/>
      <c r="H974" s="377"/>
      <c r="I974" s="377"/>
      <c r="J974" s="377"/>
      <c r="K974" s="377"/>
      <c r="L974" s="377"/>
      <c r="M974" s="377"/>
      <c r="N974" s="377"/>
      <c r="O974" s="377"/>
      <c r="P974" s="377"/>
      <c r="Q974" s="377"/>
      <c r="R974" s="377"/>
      <c r="S974" s="377"/>
      <c r="T974" s="3"/>
      <c r="U974" s="3"/>
      <c r="V974" s="3"/>
      <c r="W974" s="3"/>
      <c r="X974" s="3"/>
      <c r="Y974" s="3"/>
      <c r="Z974" s="3"/>
    </row>
    <row r="975" spans="1:26" ht="22.5" customHeight="1" x14ac:dyDescent="0.85">
      <c r="A975" s="377"/>
      <c r="B975" s="377"/>
      <c r="C975" s="377"/>
      <c r="D975" s="377"/>
      <c r="E975" s="377"/>
      <c r="F975" s="377"/>
      <c r="G975" s="377"/>
      <c r="H975" s="377"/>
      <c r="I975" s="377"/>
      <c r="J975" s="377"/>
      <c r="K975" s="377"/>
      <c r="L975" s="377"/>
      <c r="M975" s="377"/>
      <c r="N975" s="377"/>
      <c r="O975" s="377"/>
      <c r="P975" s="377"/>
      <c r="Q975" s="377"/>
      <c r="R975" s="377"/>
      <c r="S975" s="377"/>
      <c r="T975" s="3"/>
      <c r="U975" s="3"/>
      <c r="V975" s="3"/>
      <c r="W975" s="3"/>
      <c r="X975" s="3"/>
      <c r="Y975" s="3"/>
      <c r="Z975" s="3"/>
    </row>
    <row r="976" spans="1:26" ht="22.5" customHeight="1" x14ac:dyDescent="0.85">
      <c r="A976" s="377"/>
      <c r="B976" s="377"/>
      <c r="C976" s="377"/>
      <c r="D976" s="377"/>
      <c r="E976" s="377"/>
      <c r="F976" s="377"/>
      <c r="G976" s="377"/>
      <c r="H976" s="377"/>
      <c r="I976" s="377"/>
      <c r="J976" s="377"/>
      <c r="K976" s="377"/>
      <c r="L976" s="377"/>
      <c r="M976" s="377"/>
      <c r="N976" s="377"/>
      <c r="O976" s="377"/>
      <c r="P976" s="377"/>
      <c r="Q976" s="377"/>
      <c r="R976" s="377"/>
      <c r="S976" s="377"/>
      <c r="T976" s="3"/>
      <c r="U976" s="3"/>
      <c r="V976" s="3"/>
      <c r="W976" s="3"/>
      <c r="X976" s="3"/>
      <c r="Y976" s="3"/>
      <c r="Z976" s="3"/>
    </row>
    <row r="977" spans="1:26" ht="22.5" customHeight="1" x14ac:dyDescent="0.85">
      <c r="A977" s="377"/>
      <c r="B977" s="377"/>
      <c r="C977" s="377"/>
      <c r="D977" s="377"/>
      <c r="E977" s="377"/>
      <c r="F977" s="377"/>
      <c r="G977" s="377"/>
      <c r="H977" s="377"/>
      <c r="I977" s="377"/>
      <c r="J977" s="377"/>
      <c r="K977" s="377"/>
      <c r="L977" s="377"/>
      <c r="M977" s="377"/>
      <c r="N977" s="377"/>
      <c r="O977" s="377"/>
      <c r="P977" s="377"/>
      <c r="Q977" s="377"/>
      <c r="R977" s="377"/>
      <c r="S977" s="377"/>
      <c r="T977" s="3"/>
      <c r="U977" s="3"/>
      <c r="V977" s="3"/>
      <c r="W977" s="3"/>
      <c r="X977" s="3"/>
      <c r="Y977" s="3"/>
      <c r="Z977" s="3"/>
    </row>
    <row r="978" spans="1:26" ht="22.5" customHeight="1" x14ac:dyDescent="0.85">
      <c r="A978" s="377"/>
      <c r="B978" s="377"/>
      <c r="C978" s="377"/>
      <c r="D978" s="377"/>
      <c r="E978" s="377"/>
      <c r="F978" s="377"/>
      <c r="G978" s="377"/>
      <c r="H978" s="377"/>
      <c r="I978" s="377"/>
      <c r="J978" s="377"/>
      <c r="K978" s="377"/>
      <c r="L978" s="377"/>
      <c r="M978" s="377"/>
      <c r="N978" s="377"/>
      <c r="O978" s="377"/>
      <c r="P978" s="377"/>
      <c r="Q978" s="377"/>
      <c r="R978" s="377"/>
      <c r="S978" s="377"/>
      <c r="T978" s="3"/>
      <c r="U978" s="3"/>
      <c r="V978" s="3"/>
      <c r="W978" s="3"/>
      <c r="X978" s="3"/>
      <c r="Y978" s="3"/>
      <c r="Z978" s="3"/>
    </row>
    <row r="979" spans="1:26" ht="22.5" customHeight="1" x14ac:dyDescent="0.85">
      <c r="A979" s="377"/>
      <c r="B979" s="377"/>
      <c r="C979" s="377"/>
      <c r="D979" s="377"/>
      <c r="E979" s="377"/>
      <c r="F979" s="377"/>
      <c r="G979" s="377"/>
      <c r="H979" s="377"/>
      <c r="I979" s="377"/>
      <c r="J979" s="377"/>
      <c r="K979" s="377"/>
      <c r="L979" s="377"/>
      <c r="M979" s="377"/>
      <c r="N979" s="377"/>
      <c r="O979" s="377"/>
      <c r="P979" s="377"/>
      <c r="Q979" s="377"/>
      <c r="R979" s="377"/>
      <c r="S979" s="377"/>
      <c r="T979" s="3"/>
      <c r="U979" s="3"/>
      <c r="V979" s="3"/>
      <c r="W979" s="3"/>
      <c r="X979" s="3"/>
      <c r="Y979" s="3"/>
      <c r="Z979" s="3"/>
    </row>
    <row r="980" spans="1:26" ht="22.5" customHeight="1" x14ac:dyDescent="0.85">
      <c r="A980" s="377"/>
      <c r="B980" s="377"/>
      <c r="C980" s="377"/>
      <c r="D980" s="377"/>
      <c r="E980" s="377"/>
      <c r="F980" s="377"/>
      <c r="G980" s="377"/>
      <c r="H980" s="377"/>
      <c r="I980" s="377"/>
      <c r="J980" s="377"/>
      <c r="K980" s="377"/>
      <c r="L980" s="377"/>
      <c r="M980" s="377"/>
      <c r="N980" s="377"/>
      <c r="O980" s="377"/>
      <c r="P980" s="377"/>
      <c r="Q980" s="377"/>
      <c r="R980" s="377"/>
      <c r="S980" s="377"/>
      <c r="T980" s="3"/>
      <c r="U980" s="3"/>
      <c r="V980" s="3"/>
      <c r="W980" s="3"/>
      <c r="X980" s="3"/>
      <c r="Y980" s="3"/>
      <c r="Z980" s="3"/>
    </row>
    <row r="981" spans="1:26" ht="22.5" customHeight="1" x14ac:dyDescent="0.85">
      <c r="A981" s="377"/>
      <c r="B981" s="377"/>
      <c r="C981" s="377"/>
      <c r="D981" s="377"/>
      <c r="E981" s="377"/>
      <c r="F981" s="377"/>
      <c r="G981" s="377"/>
      <c r="H981" s="377"/>
      <c r="I981" s="377"/>
      <c r="J981" s="377"/>
      <c r="K981" s="377"/>
      <c r="L981" s="377"/>
      <c r="M981" s="377"/>
      <c r="N981" s="377"/>
      <c r="O981" s="377"/>
      <c r="P981" s="377"/>
      <c r="Q981" s="377"/>
      <c r="R981" s="377"/>
      <c r="S981" s="377"/>
      <c r="T981" s="3"/>
      <c r="U981" s="3"/>
      <c r="V981" s="3"/>
      <c r="W981" s="3"/>
      <c r="X981" s="3"/>
      <c r="Y981" s="3"/>
      <c r="Z981" s="3"/>
    </row>
    <row r="982" spans="1:26" ht="22.5" customHeight="1" x14ac:dyDescent="0.85">
      <c r="A982" s="377"/>
      <c r="B982" s="377"/>
      <c r="C982" s="377"/>
      <c r="D982" s="377"/>
      <c r="E982" s="377"/>
      <c r="F982" s="377"/>
      <c r="G982" s="377"/>
      <c r="H982" s="377"/>
      <c r="I982" s="377"/>
      <c r="J982" s="377"/>
      <c r="K982" s="377"/>
      <c r="L982" s="377"/>
      <c r="M982" s="377"/>
      <c r="N982" s="377"/>
      <c r="O982" s="377"/>
      <c r="P982" s="377"/>
      <c r="Q982" s="377"/>
      <c r="R982" s="377"/>
      <c r="S982" s="377"/>
      <c r="T982" s="3"/>
      <c r="U982" s="3"/>
      <c r="V982" s="3"/>
      <c r="W982" s="3"/>
      <c r="X982" s="3"/>
      <c r="Y982" s="3"/>
      <c r="Z982" s="3"/>
    </row>
    <row r="983" spans="1:26" ht="22.5" customHeight="1" x14ac:dyDescent="0.85">
      <c r="A983" s="377"/>
      <c r="B983" s="377"/>
      <c r="C983" s="377"/>
      <c r="D983" s="377"/>
      <c r="E983" s="377"/>
      <c r="F983" s="377"/>
      <c r="G983" s="377"/>
      <c r="H983" s="377"/>
      <c r="I983" s="377"/>
      <c r="J983" s="377"/>
      <c r="K983" s="377"/>
      <c r="L983" s="377"/>
      <c r="M983" s="377"/>
      <c r="N983" s="377"/>
      <c r="O983" s="377"/>
      <c r="P983" s="377"/>
      <c r="Q983" s="377"/>
      <c r="R983" s="377"/>
      <c r="S983" s="377"/>
      <c r="T983" s="3"/>
      <c r="U983" s="3"/>
      <c r="V983" s="3"/>
      <c r="W983" s="3"/>
      <c r="X983" s="3"/>
      <c r="Y983" s="3"/>
      <c r="Z983" s="3"/>
    </row>
    <row r="984" spans="1:26" ht="22.5" customHeight="1" x14ac:dyDescent="0.85">
      <c r="A984" s="377"/>
      <c r="B984" s="377"/>
      <c r="C984" s="377"/>
      <c r="D984" s="377"/>
      <c r="E984" s="377"/>
      <c r="F984" s="377"/>
      <c r="G984" s="377"/>
      <c r="H984" s="377"/>
      <c r="I984" s="377"/>
      <c r="J984" s="377"/>
      <c r="K984" s="377"/>
      <c r="L984" s="377"/>
      <c r="M984" s="377"/>
      <c r="N984" s="377"/>
      <c r="O984" s="377"/>
      <c r="P984" s="377"/>
      <c r="Q984" s="377"/>
      <c r="R984" s="377"/>
      <c r="S984" s="377"/>
      <c r="T984" s="3"/>
      <c r="U984" s="3"/>
      <c r="V984" s="3"/>
      <c r="W984" s="3"/>
      <c r="X984" s="3"/>
      <c r="Y984" s="3"/>
      <c r="Z984" s="3"/>
    </row>
    <row r="985" spans="1:26" ht="22.5" customHeight="1" x14ac:dyDescent="0.85">
      <c r="A985" s="377"/>
      <c r="B985" s="377"/>
      <c r="C985" s="377"/>
      <c r="D985" s="377"/>
      <c r="E985" s="377"/>
      <c r="F985" s="377"/>
      <c r="G985" s="377"/>
      <c r="H985" s="377"/>
      <c r="I985" s="377"/>
      <c r="J985" s="377"/>
      <c r="K985" s="377"/>
      <c r="L985" s="377"/>
      <c r="M985" s="377"/>
      <c r="N985" s="377"/>
      <c r="O985" s="377"/>
      <c r="P985" s="377"/>
      <c r="Q985" s="377"/>
      <c r="R985" s="377"/>
      <c r="S985" s="377"/>
      <c r="T985" s="3"/>
      <c r="U985" s="3"/>
      <c r="V985" s="3"/>
      <c r="W985" s="3"/>
      <c r="X985" s="3"/>
      <c r="Y985" s="3"/>
      <c r="Z985" s="3"/>
    </row>
    <row r="986" spans="1:26" ht="22.5" customHeight="1" x14ac:dyDescent="0.85">
      <c r="A986" s="377"/>
      <c r="B986" s="377"/>
      <c r="C986" s="377"/>
      <c r="D986" s="377"/>
      <c r="E986" s="377"/>
      <c r="F986" s="377"/>
      <c r="G986" s="377"/>
      <c r="H986" s="377"/>
      <c r="I986" s="377"/>
      <c r="J986" s="377"/>
      <c r="K986" s="377"/>
      <c r="L986" s="377"/>
      <c r="M986" s="377"/>
      <c r="N986" s="377"/>
      <c r="O986" s="377"/>
      <c r="P986" s="377"/>
      <c r="Q986" s="377"/>
      <c r="R986" s="377"/>
      <c r="S986" s="377"/>
      <c r="T986" s="3"/>
      <c r="U986" s="3"/>
      <c r="V986" s="3"/>
      <c r="W986" s="3"/>
      <c r="X986" s="3"/>
      <c r="Y986" s="3"/>
      <c r="Z986" s="3"/>
    </row>
    <row r="987" spans="1:26" ht="22.5" customHeight="1" x14ac:dyDescent="0.85">
      <c r="A987" s="377"/>
      <c r="B987" s="377"/>
      <c r="C987" s="377"/>
      <c r="D987" s="377"/>
      <c r="E987" s="377"/>
      <c r="F987" s="377"/>
      <c r="G987" s="377"/>
      <c r="H987" s="377"/>
      <c r="I987" s="377"/>
      <c r="J987" s="377"/>
      <c r="K987" s="377"/>
      <c r="L987" s="377"/>
      <c r="M987" s="377"/>
      <c r="N987" s="377"/>
      <c r="O987" s="377"/>
      <c r="P987" s="377"/>
      <c r="Q987" s="377"/>
      <c r="R987" s="377"/>
      <c r="S987" s="377"/>
      <c r="T987" s="3"/>
      <c r="U987" s="3"/>
      <c r="V987" s="3"/>
      <c r="W987" s="3"/>
      <c r="X987" s="3"/>
      <c r="Y987" s="3"/>
      <c r="Z987" s="3"/>
    </row>
    <row r="988" spans="1:26" ht="22.5" customHeight="1" x14ac:dyDescent="0.85">
      <c r="A988" s="377"/>
      <c r="B988" s="377"/>
      <c r="C988" s="377"/>
      <c r="D988" s="377"/>
      <c r="E988" s="377"/>
      <c r="F988" s="377"/>
      <c r="G988" s="377"/>
      <c r="H988" s="377"/>
      <c r="I988" s="377"/>
      <c r="J988" s="377"/>
      <c r="K988" s="377"/>
      <c r="L988" s="377"/>
      <c r="M988" s="377"/>
      <c r="N988" s="377"/>
      <c r="O988" s="377"/>
      <c r="P988" s="377"/>
      <c r="Q988" s="377"/>
      <c r="R988" s="377"/>
      <c r="S988" s="377"/>
      <c r="T988" s="3"/>
      <c r="U988" s="3"/>
      <c r="V988" s="3"/>
      <c r="W988" s="3"/>
      <c r="X988" s="3"/>
      <c r="Y988" s="3"/>
      <c r="Z988" s="3"/>
    </row>
    <row r="989" spans="1:26" ht="22.5" customHeight="1" x14ac:dyDescent="0.85">
      <c r="A989" s="377"/>
      <c r="B989" s="377"/>
      <c r="C989" s="377"/>
      <c r="D989" s="377"/>
      <c r="E989" s="377"/>
      <c r="F989" s="377"/>
      <c r="G989" s="377"/>
      <c r="H989" s="377"/>
      <c r="I989" s="377"/>
      <c r="J989" s="377"/>
      <c r="K989" s="377"/>
      <c r="L989" s="377"/>
      <c r="M989" s="377"/>
      <c r="N989" s="377"/>
      <c r="O989" s="377"/>
      <c r="P989" s="377"/>
      <c r="Q989" s="377"/>
      <c r="R989" s="377"/>
      <c r="S989" s="377"/>
      <c r="T989" s="3"/>
      <c r="U989" s="3"/>
      <c r="V989" s="3"/>
      <c r="W989" s="3"/>
      <c r="X989" s="3"/>
      <c r="Y989" s="3"/>
      <c r="Z989" s="3"/>
    </row>
    <row r="990" spans="1:26" ht="22.5" customHeight="1" x14ac:dyDescent="0.85">
      <c r="A990" s="377"/>
      <c r="B990" s="377"/>
      <c r="C990" s="377"/>
      <c r="D990" s="377"/>
      <c r="E990" s="377"/>
      <c r="F990" s="377"/>
      <c r="G990" s="377"/>
      <c r="H990" s="377"/>
      <c r="I990" s="377"/>
      <c r="J990" s="377"/>
      <c r="K990" s="377"/>
      <c r="L990" s="377"/>
      <c r="M990" s="377"/>
      <c r="N990" s="377"/>
      <c r="O990" s="377"/>
      <c r="P990" s="377"/>
      <c r="Q990" s="377"/>
      <c r="R990" s="377"/>
      <c r="S990" s="377"/>
      <c r="T990" s="3"/>
      <c r="U990" s="3"/>
      <c r="V990" s="3"/>
      <c r="W990" s="3"/>
      <c r="X990" s="3"/>
      <c r="Y990" s="3"/>
      <c r="Z990" s="3"/>
    </row>
    <row r="991" spans="1:26" ht="22.5" customHeight="1" x14ac:dyDescent="0.85">
      <c r="A991" s="377"/>
      <c r="B991" s="377"/>
      <c r="C991" s="377"/>
      <c r="D991" s="377"/>
      <c r="E991" s="377"/>
      <c r="F991" s="377"/>
      <c r="G991" s="377"/>
      <c r="H991" s="377"/>
      <c r="I991" s="377"/>
      <c r="J991" s="377"/>
      <c r="K991" s="377"/>
      <c r="L991" s="377"/>
      <c r="M991" s="377"/>
      <c r="N991" s="377"/>
      <c r="O991" s="377"/>
      <c r="P991" s="377"/>
      <c r="Q991" s="377"/>
      <c r="R991" s="377"/>
      <c r="S991" s="377"/>
      <c r="T991" s="3"/>
      <c r="U991" s="3"/>
      <c r="V991" s="3"/>
      <c r="W991" s="3"/>
      <c r="X991" s="3"/>
      <c r="Y991" s="3"/>
      <c r="Z991" s="3"/>
    </row>
    <row r="992" spans="1:26" ht="22.5" customHeight="1" x14ac:dyDescent="0.85">
      <c r="A992" s="377"/>
      <c r="B992" s="377"/>
      <c r="C992" s="377"/>
      <c r="D992" s="377"/>
      <c r="E992" s="377"/>
      <c r="F992" s="377"/>
      <c r="G992" s="377"/>
      <c r="H992" s="377"/>
      <c r="I992" s="377"/>
      <c r="J992" s="377"/>
      <c r="K992" s="377"/>
      <c r="L992" s="377"/>
      <c r="M992" s="377"/>
      <c r="N992" s="377"/>
      <c r="O992" s="377"/>
      <c r="P992" s="377"/>
      <c r="Q992" s="377"/>
      <c r="R992" s="377"/>
      <c r="S992" s="377"/>
      <c r="T992" s="3"/>
      <c r="U992" s="3"/>
      <c r="V992" s="3"/>
      <c r="W992" s="3"/>
      <c r="X992" s="3"/>
      <c r="Y992" s="3"/>
      <c r="Z992" s="3"/>
    </row>
    <row r="993" spans="1:26" ht="22.5" customHeight="1" x14ac:dyDescent="0.85">
      <c r="A993" s="377"/>
      <c r="B993" s="377"/>
      <c r="C993" s="377"/>
      <c r="D993" s="377"/>
      <c r="E993" s="377"/>
      <c r="F993" s="377"/>
      <c r="G993" s="377"/>
      <c r="H993" s="377"/>
      <c r="I993" s="377"/>
      <c r="J993" s="377"/>
      <c r="K993" s="377"/>
      <c r="L993" s="377"/>
      <c r="M993" s="377"/>
      <c r="N993" s="377"/>
      <c r="O993" s="377"/>
      <c r="P993" s="377"/>
      <c r="Q993" s="377"/>
      <c r="R993" s="377"/>
      <c r="S993" s="377"/>
      <c r="T993" s="3"/>
      <c r="U993" s="3"/>
      <c r="V993" s="3"/>
      <c r="W993" s="3"/>
      <c r="X993" s="3"/>
      <c r="Y993" s="3"/>
      <c r="Z993" s="3"/>
    </row>
    <row r="994" spans="1:26" ht="22.5" customHeight="1" x14ac:dyDescent="0.85">
      <c r="A994" s="377"/>
      <c r="B994" s="377"/>
      <c r="C994" s="377"/>
      <c r="D994" s="377"/>
      <c r="E994" s="377"/>
      <c r="F994" s="377"/>
      <c r="G994" s="377"/>
      <c r="H994" s="377"/>
      <c r="I994" s="377"/>
      <c r="J994" s="377"/>
      <c r="K994" s="377"/>
      <c r="L994" s="377"/>
      <c r="M994" s="377"/>
      <c r="N994" s="377"/>
      <c r="O994" s="377"/>
      <c r="P994" s="377"/>
      <c r="Q994" s="377"/>
      <c r="R994" s="377"/>
      <c r="S994" s="377"/>
      <c r="T994" s="3"/>
      <c r="U994" s="3"/>
      <c r="V994" s="3"/>
      <c r="W994" s="3"/>
      <c r="X994" s="3"/>
      <c r="Y994" s="3"/>
      <c r="Z994" s="3"/>
    </row>
    <row r="995" spans="1:26" ht="22.5" customHeight="1" x14ac:dyDescent="0.85">
      <c r="A995" s="377"/>
      <c r="B995" s="377"/>
      <c r="C995" s="377"/>
      <c r="D995" s="377"/>
      <c r="E995" s="377"/>
      <c r="F995" s="377"/>
      <c r="G995" s="377"/>
      <c r="H995" s="377"/>
      <c r="I995" s="377"/>
      <c r="J995" s="377"/>
      <c r="K995" s="377"/>
      <c r="L995" s="377"/>
      <c r="M995" s="377"/>
      <c r="N995" s="377"/>
      <c r="O995" s="377"/>
      <c r="P995" s="377"/>
      <c r="Q995" s="377"/>
      <c r="R995" s="377"/>
      <c r="S995" s="377"/>
      <c r="T995" s="3"/>
      <c r="U995" s="3"/>
      <c r="V995" s="3"/>
      <c r="W995" s="3"/>
      <c r="X995" s="3"/>
      <c r="Y995" s="3"/>
      <c r="Z995" s="3"/>
    </row>
    <row r="996" spans="1:26" ht="22.5" customHeight="1" x14ac:dyDescent="0.85">
      <c r="A996" s="377"/>
      <c r="B996" s="377"/>
      <c r="C996" s="377"/>
      <c r="D996" s="377"/>
      <c r="E996" s="377"/>
      <c r="F996" s="377"/>
      <c r="G996" s="377"/>
      <c r="H996" s="377"/>
      <c r="I996" s="377"/>
      <c r="J996" s="377"/>
      <c r="K996" s="377"/>
      <c r="L996" s="377"/>
      <c r="M996" s="377"/>
      <c r="N996" s="377"/>
      <c r="O996" s="377"/>
      <c r="P996" s="377"/>
      <c r="Q996" s="377"/>
      <c r="R996" s="377"/>
      <c r="S996" s="377"/>
      <c r="T996" s="3"/>
      <c r="U996" s="3"/>
      <c r="V996" s="3"/>
      <c r="W996" s="3"/>
      <c r="X996" s="3"/>
      <c r="Y996" s="3"/>
      <c r="Z996" s="3"/>
    </row>
    <row r="997" spans="1:26" ht="22.5" customHeight="1" x14ac:dyDescent="0.85">
      <c r="A997" s="377"/>
      <c r="B997" s="377"/>
      <c r="C997" s="377"/>
      <c r="D997" s="377"/>
      <c r="E997" s="377"/>
      <c r="F997" s="377"/>
      <c r="G997" s="377"/>
      <c r="H997" s="377"/>
      <c r="I997" s="377"/>
      <c r="J997" s="377"/>
      <c r="K997" s="377"/>
      <c r="L997" s="377"/>
      <c r="M997" s="377"/>
      <c r="N997" s="377"/>
      <c r="O997" s="377"/>
      <c r="P997" s="377"/>
      <c r="Q997" s="377"/>
      <c r="R997" s="377"/>
      <c r="S997" s="377"/>
      <c r="T997" s="3"/>
      <c r="U997" s="3"/>
      <c r="V997" s="3"/>
      <c r="W997" s="3"/>
      <c r="X997" s="3"/>
      <c r="Y997" s="3"/>
      <c r="Z997" s="3"/>
    </row>
    <row r="998" spans="1:26" ht="22.5" customHeight="1" x14ac:dyDescent="0.85">
      <c r="A998" s="377"/>
      <c r="B998" s="377"/>
      <c r="C998" s="377"/>
      <c r="D998" s="377"/>
      <c r="E998" s="377"/>
      <c r="F998" s="377"/>
      <c r="G998" s="377"/>
      <c r="H998" s="377"/>
      <c r="I998" s="377"/>
      <c r="J998" s="377"/>
      <c r="K998" s="377"/>
      <c r="L998" s="377"/>
      <c r="M998" s="377"/>
      <c r="N998" s="377"/>
      <c r="O998" s="377"/>
      <c r="P998" s="377"/>
      <c r="Q998" s="377"/>
      <c r="R998" s="377"/>
      <c r="S998" s="377"/>
      <c r="T998" s="3"/>
      <c r="U998" s="3"/>
      <c r="V998" s="3"/>
      <c r="W998" s="3"/>
      <c r="X998" s="3"/>
      <c r="Y998" s="3"/>
      <c r="Z998" s="3"/>
    </row>
    <row r="999" spans="1:26" ht="22.5" customHeight="1" x14ac:dyDescent="0.85">
      <c r="A999" s="377"/>
      <c r="B999" s="377"/>
      <c r="C999" s="377"/>
      <c r="D999" s="377"/>
      <c r="E999" s="377"/>
      <c r="F999" s="377"/>
      <c r="G999" s="377"/>
      <c r="H999" s="377"/>
      <c r="I999" s="377"/>
      <c r="J999" s="377"/>
      <c r="K999" s="377"/>
      <c r="L999" s="377"/>
      <c r="M999" s="377"/>
      <c r="N999" s="377"/>
      <c r="O999" s="377"/>
      <c r="P999" s="377"/>
      <c r="Q999" s="377"/>
      <c r="R999" s="377"/>
      <c r="S999" s="377"/>
      <c r="T999" s="3"/>
      <c r="U999" s="3"/>
      <c r="V999" s="3"/>
      <c r="W999" s="3"/>
      <c r="X999" s="3"/>
      <c r="Y999" s="3"/>
      <c r="Z999" s="3"/>
    </row>
    <row r="1000" spans="1:26" ht="22.5" customHeight="1" x14ac:dyDescent="0.85">
      <c r="A1000" s="377"/>
      <c r="B1000" s="377"/>
      <c r="C1000" s="377"/>
      <c r="D1000" s="377"/>
      <c r="E1000" s="377"/>
      <c r="F1000" s="377"/>
      <c r="G1000" s="377"/>
      <c r="H1000" s="377"/>
      <c r="I1000" s="377"/>
      <c r="J1000" s="377"/>
      <c r="K1000" s="377"/>
      <c r="L1000" s="377"/>
      <c r="M1000" s="377"/>
      <c r="N1000" s="377"/>
      <c r="O1000" s="377"/>
      <c r="P1000" s="377"/>
      <c r="Q1000" s="377"/>
      <c r="R1000" s="377"/>
      <c r="S1000" s="377"/>
      <c r="T1000" s="3"/>
      <c r="U1000" s="3"/>
      <c r="V1000" s="3"/>
      <c r="W1000" s="3"/>
      <c r="X1000" s="3"/>
      <c r="Y1000" s="3"/>
      <c r="Z1000" s="3"/>
    </row>
  </sheetData>
  <mergeCells count="29">
    <mergeCell ref="A2:J2"/>
    <mergeCell ref="A12:N12"/>
    <mergeCell ref="A13:N13"/>
    <mergeCell ref="A14:N14"/>
    <mergeCell ref="A15:N15"/>
    <mergeCell ref="A16:N16"/>
    <mergeCell ref="A17:N17"/>
    <mergeCell ref="A22:J22"/>
    <mergeCell ref="E23:J23"/>
    <mergeCell ref="E24:J32"/>
    <mergeCell ref="A33:J33"/>
    <mergeCell ref="E34:J34"/>
    <mergeCell ref="E35:J43"/>
    <mergeCell ref="A44:J44"/>
    <mergeCell ref="G52:H52"/>
    <mergeCell ref="A134:E134"/>
    <mergeCell ref="A142:K142"/>
    <mergeCell ref="E45:J45"/>
    <mergeCell ref="E46:J50"/>
    <mergeCell ref="A52:B52"/>
    <mergeCell ref="C52:D52"/>
    <mergeCell ref="E52:F52"/>
    <mergeCell ref="A65:S65"/>
    <mergeCell ref="A66:S66"/>
    <mergeCell ref="A90:J90"/>
    <mergeCell ref="A100:E100"/>
    <mergeCell ref="A113:F113"/>
    <mergeCell ref="A118:I118"/>
    <mergeCell ref="A126:E126"/>
  </mergeCells>
  <pageMargins left="0.7" right="0.7" top="0.75" bottom="0.75" header="0" footer="0"/>
  <pageSetup orientation="portrai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00708A"/>
  </sheetPr>
  <dimension ref="A1:Z1000"/>
  <sheetViews>
    <sheetView workbookViewId="0"/>
  </sheetViews>
  <sheetFormatPr defaultColWidth="11.23046875" defaultRowHeight="15" customHeight="1" outlineLevelRow="1" x14ac:dyDescent="0.85"/>
  <cols>
    <col min="1" max="1" width="35.3828125" customWidth="1"/>
    <col min="2" max="6" width="31" customWidth="1"/>
    <col min="7" max="7" width="23.61328125" customWidth="1"/>
    <col min="8" max="26" width="11" customWidth="1"/>
  </cols>
  <sheetData>
    <row r="1" spans="1:26" ht="37.799999999999997" x14ac:dyDescent="0.85">
      <c r="A1" s="786" t="s">
        <v>1031</v>
      </c>
      <c r="B1" s="765"/>
      <c r="C1" s="765"/>
      <c r="D1" s="765"/>
      <c r="E1" s="765"/>
      <c r="F1" s="765"/>
      <c r="G1" s="762"/>
      <c r="H1" s="3"/>
      <c r="I1" s="3"/>
      <c r="J1" s="3"/>
      <c r="K1" s="3"/>
      <c r="L1" s="3"/>
      <c r="M1" s="3"/>
      <c r="N1" s="3"/>
      <c r="O1" s="3"/>
      <c r="P1" s="3"/>
      <c r="Q1" s="3"/>
      <c r="R1" s="3"/>
      <c r="S1" s="3"/>
      <c r="T1" s="3"/>
      <c r="U1" s="3"/>
      <c r="V1" s="3"/>
      <c r="W1" s="3"/>
      <c r="X1" s="3"/>
      <c r="Y1" s="3"/>
      <c r="Z1" s="3"/>
    </row>
    <row r="2" spans="1:26" ht="27" customHeight="1" x14ac:dyDescent="0.85">
      <c r="A2" s="872" t="s">
        <v>581</v>
      </c>
      <c r="B2" s="765"/>
      <c r="C2" s="765"/>
      <c r="D2" s="765"/>
      <c r="E2" s="765"/>
      <c r="F2" s="765"/>
      <c r="G2" s="762"/>
      <c r="H2" s="3"/>
      <c r="I2" s="3"/>
      <c r="J2" s="3"/>
      <c r="K2" s="3"/>
      <c r="L2" s="3"/>
      <c r="M2" s="3"/>
      <c r="N2" s="3"/>
      <c r="O2" s="3"/>
      <c r="P2" s="3"/>
      <c r="Q2" s="3"/>
      <c r="R2" s="3"/>
      <c r="S2" s="3"/>
      <c r="T2" s="3"/>
      <c r="U2" s="3"/>
      <c r="V2" s="3"/>
      <c r="W2" s="3"/>
      <c r="X2" s="3"/>
      <c r="Y2" s="3"/>
      <c r="Z2" s="3"/>
    </row>
    <row r="3" spans="1:26" ht="45" hidden="1" customHeight="1" outlineLevel="1" x14ac:dyDescent="0.85">
      <c r="A3" s="326" t="s">
        <v>582</v>
      </c>
      <c r="B3" s="357" t="s">
        <v>1032</v>
      </c>
      <c r="C3" s="357" t="s">
        <v>1033</v>
      </c>
      <c r="D3" s="358" t="s">
        <v>120</v>
      </c>
      <c r="E3" s="326" t="s">
        <v>121</v>
      </c>
      <c r="F3" s="326" t="s">
        <v>122</v>
      </c>
      <c r="G3" s="30"/>
      <c r="H3" s="3"/>
      <c r="I3" s="3"/>
      <c r="J3" s="3"/>
      <c r="K3" s="3"/>
      <c r="L3" s="3"/>
      <c r="M3" s="3"/>
      <c r="N3" s="3"/>
      <c r="O3" s="3"/>
      <c r="P3" s="3"/>
      <c r="Q3" s="3"/>
      <c r="R3" s="3"/>
      <c r="S3" s="3"/>
      <c r="T3" s="3"/>
      <c r="U3" s="3"/>
      <c r="V3" s="3"/>
      <c r="W3" s="3"/>
      <c r="X3" s="3"/>
      <c r="Y3" s="3"/>
      <c r="Z3" s="3"/>
    </row>
    <row r="4" spans="1:26" ht="24" hidden="1" outlineLevel="1" x14ac:dyDescent="0.85">
      <c r="A4" s="89" t="s">
        <v>105</v>
      </c>
      <c r="B4" s="103">
        <f t="shared" ref="B4:B8" si="0">SUM(D4:F4)</f>
        <v>10904.712752023692</v>
      </c>
      <c r="C4" s="429" t="s">
        <v>106</v>
      </c>
      <c r="D4" s="103">
        <f>SUM(G58,G64,G68)</f>
        <v>10881.175140508007</v>
      </c>
      <c r="E4" s="103">
        <f t="shared" ref="E4:E5" si="1">G72</f>
        <v>22.923267935026768</v>
      </c>
      <c r="F4" s="430">
        <f>E78</f>
        <v>0.6143435806587173</v>
      </c>
      <c r="G4" s="30"/>
      <c r="H4" s="3"/>
      <c r="I4" s="3"/>
      <c r="J4" s="3"/>
      <c r="K4" s="3"/>
      <c r="L4" s="3"/>
      <c r="M4" s="3"/>
      <c r="N4" s="3"/>
      <c r="O4" s="3"/>
      <c r="P4" s="3"/>
      <c r="Q4" s="3"/>
      <c r="R4" s="3"/>
      <c r="S4" s="3"/>
      <c r="T4" s="3"/>
      <c r="U4" s="3"/>
      <c r="V4" s="3"/>
      <c r="W4" s="3"/>
      <c r="X4" s="3"/>
      <c r="Y4" s="3"/>
      <c r="Z4" s="3"/>
    </row>
    <row r="5" spans="1:26" ht="24" hidden="1" customHeight="1" outlineLevel="1" x14ac:dyDescent="0.85">
      <c r="A5" s="89" t="s">
        <v>126</v>
      </c>
      <c r="B5" s="103">
        <f t="shared" si="0"/>
        <v>10996.72754110582</v>
      </c>
      <c r="C5" s="429">
        <f t="shared" ref="C5:C8" si="2">B5/$B$10</f>
        <v>0.45816683296088567</v>
      </c>
      <c r="D5" s="103">
        <f>SUM(G58,G63,G64,G68)</f>
        <v>10973.189929590135</v>
      </c>
      <c r="E5" s="103">
        <f t="shared" si="1"/>
        <v>22.923267935026768</v>
      </c>
      <c r="F5" s="430">
        <f>E78</f>
        <v>0.6143435806587173</v>
      </c>
      <c r="G5" s="30"/>
      <c r="H5" s="3"/>
      <c r="I5" s="3"/>
      <c r="J5" s="3"/>
      <c r="K5" s="3"/>
      <c r="L5" s="3"/>
      <c r="M5" s="3"/>
      <c r="N5" s="3"/>
      <c r="O5" s="3"/>
      <c r="P5" s="3"/>
      <c r="Q5" s="3"/>
      <c r="R5" s="3"/>
      <c r="S5" s="3"/>
      <c r="T5" s="3"/>
      <c r="U5" s="3"/>
      <c r="V5" s="3"/>
      <c r="W5" s="3"/>
      <c r="X5" s="3"/>
      <c r="Y5" s="3"/>
      <c r="Z5" s="3"/>
    </row>
    <row r="6" spans="1:26" ht="24" hidden="1" customHeight="1" outlineLevel="1" x14ac:dyDescent="0.85">
      <c r="A6" s="89" t="s">
        <v>127</v>
      </c>
      <c r="B6" s="103">
        <f t="shared" si="0"/>
        <v>597.66495907857188</v>
      </c>
      <c r="C6" s="429">
        <f t="shared" si="2"/>
        <v>2.4901068108593924E-2</v>
      </c>
      <c r="D6" s="103">
        <f>SUM(G55,G62)</f>
        <v>597.66495907857188</v>
      </c>
      <c r="E6" s="103">
        <v>0</v>
      </c>
      <c r="F6" s="103" t="s">
        <v>106</v>
      </c>
      <c r="G6" s="30"/>
      <c r="H6" s="3"/>
      <c r="I6" s="3"/>
      <c r="J6" s="3"/>
      <c r="K6" s="3"/>
      <c r="L6" s="3"/>
      <c r="M6" s="3"/>
      <c r="N6" s="3"/>
      <c r="O6" s="3"/>
      <c r="P6" s="3"/>
      <c r="Q6" s="3"/>
      <c r="R6" s="3"/>
      <c r="S6" s="3"/>
      <c r="T6" s="3"/>
      <c r="U6" s="3"/>
      <c r="V6" s="3"/>
      <c r="W6" s="3"/>
      <c r="X6" s="3"/>
      <c r="Y6" s="3"/>
      <c r="Z6" s="3"/>
    </row>
    <row r="7" spans="1:26" ht="24" hidden="1" customHeight="1" outlineLevel="1" x14ac:dyDescent="0.85">
      <c r="A7" s="89" t="s">
        <v>128</v>
      </c>
      <c r="B7" s="103">
        <f t="shared" si="0"/>
        <v>0</v>
      </c>
      <c r="C7" s="429">
        <f t="shared" si="2"/>
        <v>0</v>
      </c>
      <c r="D7" s="103">
        <v>0</v>
      </c>
      <c r="E7" s="103">
        <v>0</v>
      </c>
      <c r="F7" s="103" t="s">
        <v>106</v>
      </c>
      <c r="G7" s="30"/>
      <c r="H7" s="3"/>
      <c r="I7" s="3"/>
      <c r="J7" s="3"/>
      <c r="K7" s="3"/>
      <c r="L7" s="3"/>
      <c r="M7" s="3"/>
      <c r="N7" s="3"/>
      <c r="O7" s="3"/>
      <c r="P7" s="3"/>
      <c r="Q7" s="3"/>
      <c r="R7" s="3"/>
      <c r="S7" s="3"/>
      <c r="T7" s="3"/>
      <c r="U7" s="3"/>
      <c r="V7" s="3"/>
      <c r="W7" s="3"/>
      <c r="X7" s="3"/>
      <c r="Y7" s="3"/>
      <c r="Z7" s="3"/>
    </row>
    <row r="8" spans="1:26" ht="24" hidden="1" customHeight="1" outlineLevel="1" x14ac:dyDescent="0.85">
      <c r="A8" s="89" t="s">
        <v>129</v>
      </c>
      <c r="B8" s="103">
        <f t="shared" si="0"/>
        <v>605.93503775015995</v>
      </c>
      <c r="C8" s="429">
        <f t="shared" si="2"/>
        <v>2.524563204719614E-2</v>
      </c>
      <c r="D8" s="103">
        <f>SUM(G56,G57)</f>
        <v>605.93503775015995</v>
      </c>
      <c r="E8" s="103">
        <v>0</v>
      </c>
      <c r="F8" s="103" t="s">
        <v>106</v>
      </c>
      <c r="G8" s="30"/>
      <c r="H8" s="3"/>
      <c r="I8" s="3"/>
      <c r="J8" s="3"/>
      <c r="K8" s="3"/>
      <c r="L8" s="3"/>
      <c r="M8" s="3"/>
      <c r="N8" s="3"/>
      <c r="O8" s="3"/>
      <c r="P8" s="3"/>
      <c r="Q8" s="3"/>
      <c r="R8" s="3"/>
      <c r="S8" s="3"/>
      <c r="T8" s="3"/>
      <c r="U8" s="3"/>
      <c r="V8" s="3"/>
      <c r="W8" s="3"/>
      <c r="X8" s="3"/>
      <c r="Y8" s="3"/>
      <c r="Z8" s="3"/>
    </row>
    <row r="9" spans="1:26" ht="24" hidden="1" customHeight="1" outlineLevel="1" x14ac:dyDescent="0.85">
      <c r="A9" s="431" t="s">
        <v>590</v>
      </c>
      <c r="B9" s="432">
        <f>B4</f>
        <v>10904.712752023692</v>
      </c>
      <c r="C9" s="433" t="s">
        <v>106</v>
      </c>
      <c r="D9" s="432">
        <f t="shared" ref="D9:F9" si="3">D4</f>
        <v>10881.175140508007</v>
      </c>
      <c r="E9" s="432">
        <f t="shared" si="3"/>
        <v>22.923267935026768</v>
      </c>
      <c r="F9" s="434">
        <f t="shared" si="3"/>
        <v>0.6143435806587173</v>
      </c>
      <c r="G9" s="30"/>
      <c r="H9" s="3"/>
      <c r="I9" s="3"/>
      <c r="J9" s="3"/>
      <c r="K9" s="3"/>
      <c r="L9" s="3"/>
      <c r="M9" s="3"/>
      <c r="N9" s="3"/>
      <c r="O9" s="3"/>
      <c r="P9" s="3"/>
      <c r="Q9" s="3"/>
      <c r="R9" s="3"/>
      <c r="S9" s="3"/>
      <c r="T9" s="3"/>
      <c r="U9" s="3"/>
      <c r="V9" s="3"/>
      <c r="W9" s="3"/>
      <c r="X9" s="3"/>
      <c r="Y9" s="3"/>
      <c r="Z9" s="3"/>
    </row>
    <row r="10" spans="1:26" ht="24" hidden="1" customHeight="1" outlineLevel="1" x14ac:dyDescent="0.85">
      <c r="A10" s="431" t="s">
        <v>1034</v>
      </c>
      <c r="B10" s="432">
        <f>SUM(B5:B8)+F49</f>
        <v>24001.579228334551</v>
      </c>
      <c r="C10" s="433">
        <f>SUM(C5:C8)</f>
        <v>0.50831353311667571</v>
      </c>
      <c r="D10" s="432">
        <f>SUM(D5:D8)+F49</f>
        <v>23978.041616818868</v>
      </c>
      <c r="E10" s="432">
        <f t="shared" ref="E10:F10" si="4">E5</f>
        <v>22.923267935026768</v>
      </c>
      <c r="F10" s="434">
        <f t="shared" si="4"/>
        <v>0.6143435806587173</v>
      </c>
      <c r="G10" s="274"/>
      <c r="H10" s="3"/>
      <c r="I10" s="3"/>
      <c r="J10" s="3"/>
      <c r="K10" s="3"/>
      <c r="L10" s="3"/>
      <c r="M10" s="3"/>
      <c r="N10" s="3"/>
      <c r="O10" s="3"/>
      <c r="P10" s="3"/>
      <c r="Q10" s="3"/>
      <c r="R10" s="3"/>
      <c r="S10" s="3"/>
      <c r="T10" s="3"/>
      <c r="U10" s="3"/>
      <c r="V10" s="3"/>
      <c r="W10" s="3"/>
      <c r="X10" s="3"/>
      <c r="Y10" s="3"/>
      <c r="Z10" s="3"/>
    </row>
    <row r="11" spans="1:26" ht="26.4" collapsed="1" x14ac:dyDescent="0.85">
      <c r="A11" s="858" t="s">
        <v>591</v>
      </c>
      <c r="B11" s="765"/>
      <c r="C11" s="765"/>
      <c r="D11" s="765"/>
      <c r="E11" s="765"/>
      <c r="F11" s="765"/>
      <c r="G11" s="762"/>
      <c r="H11" s="3"/>
      <c r="I11" s="3"/>
      <c r="J11" s="3"/>
      <c r="K11" s="3"/>
      <c r="L11" s="3"/>
      <c r="M11" s="3"/>
      <c r="N11" s="3"/>
      <c r="O11" s="3"/>
      <c r="P11" s="3"/>
      <c r="Q11" s="3"/>
      <c r="R11" s="3"/>
      <c r="S11" s="3"/>
      <c r="T11" s="3"/>
      <c r="U11" s="3"/>
      <c r="V11" s="3"/>
      <c r="W11" s="3"/>
      <c r="X11" s="3"/>
      <c r="Y11" s="3"/>
      <c r="Z11" s="3"/>
    </row>
    <row r="12" spans="1:26" ht="24" hidden="1" outlineLevel="1" x14ac:dyDescent="0.85">
      <c r="A12" s="875" t="s">
        <v>1035</v>
      </c>
      <c r="B12" s="790"/>
      <c r="C12" s="790"/>
      <c r="D12" s="790"/>
      <c r="E12" s="790"/>
      <c r="F12" s="790"/>
      <c r="G12" s="791"/>
      <c r="H12" s="3"/>
      <c r="I12" s="3"/>
      <c r="J12" s="3"/>
      <c r="K12" s="3"/>
      <c r="L12" s="3"/>
      <c r="M12" s="3"/>
      <c r="N12" s="3"/>
      <c r="O12" s="3"/>
      <c r="P12" s="3"/>
      <c r="Q12" s="3"/>
      <c r="R12" s="3"/>
      <c r="S12" s="3"/>
      <c r="T12" s="3"/>
      <c r="U12" s="3"/>
      <c r="V12" s="3"/>
      <c r="W12" s="3"/>
      <c r="X12" s="3"/>
      <c r="Y12" s="3"/>
      <c r="Z12" s="3"/>
    </row>
    <row r="13" spans="1:26" ht="24" hidden="1" outlineLevel="1" x14ac:dyDescent="0.85">
      <c r="A13" s="875" t="s">
        <v>1036</v>
      </c>
      <c r="B13" s="790"/>
      <c r="C13" s="790"/>
      <c r="D13" s="790"/>
      <c r="E13" s="790"/>
      <c r="F13" s="790"/>
      <c r="G13" s="791"/>
      <c r="H13" s="3"/>
      <c r="I13" s="3"/>
      <c r="J13" s="3"/>
      <c r="K13" s="3"/>
      <c r="L13" s="3"/>
      <c r="M13" s="3"/>
      <c r="N13" s="3"/>
      <c r="O13" s="3"/>
      <c r="P13" s="3"/>
      <c r="Q13" s="3"/>
      <c r="R13" s="3"/>
      <c r="S13" s="3"/>
      <c r="T13" s="3"/>
      <c r="U13" s="3"/>
      <c r="V13" s="3"/>
      <c r="W13" s="3"/>
      <c r="X13" s="3"/>
      <c r="Y13" s="3"/>
      <c r="Z13" s="3"/>
    </row>
    <row r="14" spans="1:26" ht="24" hidden="1" outlineLevel="1" x14ac:dyDescent="0.85">
      <c r="A14" s="875" t="s">
        <v>1037</v>
      </c>
      <c r="B14" s="790"/>
      <c r="C14" s="790"/>
      <c r="D14" s="790"/>
      <c r="E14" s="790"/>
      <c r="F14" s="790"/>
      <c r="G14" s="791"/>
      <c r="H14" s="3"/>
      <c r="I14" s="3"/>
      <c r="J14" s="3"/>
      <c r="K14" s="3"/>
      <c r="L14" s="3"/>
      <c r="M14" s="3"/>
      <c r="N14" s="3"/>
      <c r="O14" s="3"/>
      <c r="P14" s="3"/>
      <c r="Q14" s="3"/>
      <c r="R14" s="3"/>
      <c r="S14" s="3"/>
      <c r="T14" s="3"/>
      <c r="U14" s="3"/>
      <c r="V14" s="3"/>
      <c r="W14" s="3"/>
      <c r="X14" s="3"/>
      <c r="Y14" s="3"/>
      <c r="Z14" s="3"/>
    </row>
    <row r="15" spans="1:26" ht="24" hidden="1" outlineLevel="1" x14ac:dyDescent="0.85">
      <c r="A15" s="875" t="s">
        <v>1038</v>
      </c>
      <c r="B15" s="790"/>
      <c r="C15" s="790"/>
      <c r="D15" s="790"/>
      <c r="E15" s="790"/>
      <c r="F15" s="790"/>
      <c r="G15" s="791"/>
      <c r="H15" s="3"/>
      <c r="I15" s="3"/>
      <c r="J15" s="3"/>
      <c r="K15" s="3"/>
      <c r="L15" s="3"/>
      <c r="M15" s="3"/>
      <c r="N15" s="3"/>
      <c r="O15" s="3"/>
      <c r="P15" s="3"/>
      <c r="Q15" s="3"/>
      <c r="R15" s="3"/>
      <c r="S15" s="3"/>
      <c r="T15" s="3"/>
      <c r="U15" s="3"/>
      <c r="V15" s="3"/>
      <c r="W15" s="3"/>
      <c r="X15" s="3"/>
      <c r="Y15" s="3"/>
      <c r="Z15" s="3"/>
    </row>
    <row r="16" spans="1:26" ht="24" hidden="1" outlineLevel="1" x14ac:dyDescent="0.85">
      <c r="A16" s="435" t="s">
        <v>1039</v>
      </c>
      <c r="B16" s="274"/>
      <c r="C16" s="274"/>
      <c r="D16" s="274"/>
      <c r="E16" s="274"/>
      <c r="F16" s="274"/>
      <c r="G16" s="274"/>
      <c r="H16" s="3"/>
      <c r="I16" s="3"/>
      <c r="J16" s="3"/>
      <c r="K16" s="3"/>
      <c r="L16" s="3"/>
      <c r="M16" s="3"/>
      <c r="N16" s="3"/>
      <c r="O16" s="3"/>
      <c r="P16" s="3"/>
      <c r="Q16" s="3"/>
      <c r="R16" s="3"/>
      <c r="S16" s="3"/>
      <c r="T16" s="3"/>
      <c r="U16" s="3"/>
      <c r="V16" s="3"/>
      <c r="W16" s="3"/>
      <c r="X16" s="3"/>
      <c r="Y16" s="3"/>
      <c r="Z16" s="3"/>
    </row>
    <row r="17" spans="1:26" ht="26.4" collapsed="1" x14ac:dyDescent="0.85">
      <c r="A17" s="872" t="s">
        <v>1040</v>
      </c>
      <c r="B17" s="765"/>
      <c r="C17" s="765"/>
      <c r="D17" s="765"/>
      <c r="E17" s="765"/>
      <c r="F17" s="765"/>
      <c r="G17" s="762"/>
      <c r="H17" s="3"/>
      <c r="I17" s="3"/>
      <c r="J17" s="3"/>
      <c r="K17" s="3"/>
      <c r="L17" s="3"/>
      <c r="M17" s="3"/>
      <c r="N17" s="3"/>
      <c r="O17" s="3"/>
      <c r="P17" s="3"/>
      <c r="Q17" s="3"/>
      <c r="R17" s="3"/>
      <c r="S17" s="3"/>
      <c r="T17" s="3"/>
      <c r="U17" s="3"/>
      <c r="V17" s="3"/>
      <c r="W17" s="3"/>
      <c r="X17" s="3"/>
      <c r="Y17" s="3"/>
      <c r="Z17" s="3"/>
    </row>
    <row r="18" spans="1:26" ht="24" hidden="1" customHeight="1" outlineLevel="1" x14ac:dyDescent="0.85">
      <c r="A18" s="839" t="s">
        <v>883</v>
      </c>
      <c r="B18" s="813"/>
      <c r="C18" s="813"/>
      <c r="D18" s="813"/>
      <c r="E18" s="813"/>
      <c r="F18" s="814"/>
      <c r="G18" s="407"/>
      <c r="H18" s="3"/>
      <c r="I18" s="3"/>
      <c r="J18" s="3"/>
      <c r="K18" s="3"/>
      <c r="L18" s="3"/>
      <c r="M18" s="3"/>
      <c r="N18" s="3"/>
      <c r="O18" s="3"/>
      <c r="P18" s="3"/>
      <c r="Q18" s="3"/>
      <c r="R18" s="3"/>
      <c r="S18" s="3"/>
      <c r="T18" s="3"/>
      <c r="U18" s="3"/>
      <c r="V18" s="3"/>
      <c r="W18" s="3"/>
      <c r="X18" s="3"/>
      <c r="Y18" s="3"/>
      <c r="Z18" s="3"/>
    </row>
    <row r="19" spans="1:26" ht="24" hidden="1" customHeight="1" outlineLevel="1" x14ac:dyDescent="0.85">
      <c r="A19" s="436" t="s">
        <v>606</v>
      </c>
      <c r="B19" s="436" t="s">
        <v>212</v>
      </c>
      <c r="C19" s="436" t="s">
        <v>251</v>
      </c>
      <c r="D19" s="436" t="s">
        <v>608</v>
      </c>
      <c r="E19" s="876" t="s">
        <v>138</v>
      </c>
      <c r="F19" s="762"/>
      <c r="G19" s="407"/>
      <c r="H19" s="3"/>
      <c r="I19" s="3"/>
      <c r="J19" s="3"/>
      <c r="K19" s="3"/>
      <c r="L19" s="3"/>
      <c r="M19" s="3"/>
      <c r="N19" s="3"/>
      <c r="O19" s="3"/>
      <c r="P19" s="3"/>
      <c r="Q19" s="3"/>
      <c r="R19" s="3"/>
      <c r="S19" s="3"/>
      <c r="T19" s="3"/>
      <c r="U19" s="3"/>
      <c r="V19" s="3"/>
      <c r="W19" s="3"/>
      <c r="X19" s="3"/>
      <c r="Y19" s="3"/>
      <c r="Z19" s="3"/>
    </row>
    <row r="20" spans="1:26" ht="24" hidden="1" customHeight="1" outlineLevel="1" x14ac:dyDescent="0.85">
      <c r="A20" s="268" t="s">
        <v>1041</v>
      </c>
      <c r="B20" s="268" t="s">
        <v>619</v>
      </c>
      <c r="C20" s="437">
        <f>'On-Road Data'!C35</f>
        <v>1.021E-2</v>
      </c>
      <c r="D20" s="268" t="s">
        <v>1042</v>
      </c>
      <c r="E20" s="862" t="s">
        <v>907</v>
      </c>
      <c r="F20" s="825"/>
      <c r="G20" s="407"/>
      <c r="H20" s="3"/>
      <c r="I20" s="3"/>
      <c r="J20" s="3"/>
      <c r="K20" s="3"/>
      <c r="L20" s="3"/>
      <c r="M20" s="3"/>
      <c r="N20" s="3"/>
      <c r="O20" s="3"/>
      <c r="P20" s="3"/>
      <c r="Q20" s="3"/>
      <c r="R20" s="3"/>
      <c r="S20" s="3"/>
      <c r="T20" s="3"/>
      <c r="U20" s="3"/>
      <c r="V20" s="3"/>
      <c r="W20" s="3"/>
      <c r="X20" s="3"/>
      <c r="Y20" s="3"/>
      <c r="Z20" s="3"/>
    </row>
    <row r="21" spans="1:26" ht="24" hidden="1" customHeight="1" outlineLevel="1" x14ac:dyDescent="0.85">
      <c r="A21" s="271" t="s">
        <v>1043</v>
      </c>
      <c r="B21" s="268" t="s">
        <v>1044</v>
      </c>
      <c r="C21" s="393">
        <v>0.8</v>
      </c>
      <c r="D21" s="268" t="s">
        <v>1045</v>
      </c>
      <c r="E21" s="809"/>
      <c r="F21" s="826"/>
      <c r="G21" s="407"/>
      <c r="H21" s="3"/>
      <c r="I21" s="3"/>
      <c r="J21" s="3"/>
      <c r="K21" s="3"/>
      <c r="L21" s="3"/>
      <c r="M21" s="3"/>
      <c r="N21" s="3"/>
      <c r="O21" s="3"/>
      <c r="P21" s="3"/>
      <c r="Q21" s="3"/>
      <c r="R21" s="3"/>
      <c r="S21" s="3"/>
      <c r="T21" s="3"/>
      <c r="U21" s="3"/>
      <c r="V21" s="3"/>
      <c r="W21" s="3"/>
      <c r="X21" s="3"/>
      <c r="Y21" s="3"/>
      <c r="Z21" s="3"/>
    </row>
    <row r="22" spans="1:26" ht="24" hidden="1" customHeight="1" outlineLevel="1" x14ac:dyDescent="0.85">
      <c r="A22" s="271" t="s">
        <v>1046</v>
      </c>
      <c r="B22" s="268" t="s">
        <v>1047</v>
      </c>
      <c r="C22" s="438">
        <v>5.1000000000000004E-3</v>
      </c>
      <c r="D22" s="268" t="s">
        <v>1048</v>
      </c>
      <c r="E22" s="809"/>
      <c r="F22" s="826"/>
      <c r="G22" s="407"/>
      <c r="H22" s="3"/>
      <c r="I22" s="3"/>
      <c r="J22" s="3"/>
      <c r="K22" s="3"/>
      <c r="L22" s="3"/>
      <c r="M22" s="3"/>
      <c r="N22" s="3"/>
      <c r="O22" s="3"/>
      <c r="P22" s="3"/>
      <c r="Q22" s="3"/>
      <c r="R22" s="3"/>
      <c r="S22" s="3"/>
      <c r="T22" s="3"/>
      <c r="U22" s="3"/>
      <c r="V22" s="3"/>
      <c r="W22" s="3"/>
      <c r="X22" s="3"/>
      <c r="Y22" s="3"/>
      <c r="Z22" s="3"/>
    </row>
    <row r="23" spans="1:26" ht="24" hidden="1" customHeight="1" outlineLevel="1" x14ac:dyDescent="0.85">
      <c r="A23" s="271" t="s">
        <v>1049</v>
      </c>
      <c r="B23" s="268" t="s">
        <v>1044</v>
      </c>
      <c r="C23" s="393">
        <v>0.26</v>
      </c>
      <c r="D23" s="268" t="s">
        <v>1050</v>
      </c>
      <c r="E23" s="809"/>
      <c r="F23" s="826"/>
      <c r="G23" s="407"/>
      <c r="H23" s="3"/>
      <c r="I23" s="3"/>
      <c r="J23" s="3"/>
      <c r="K23" s="3"/>
      <c r="L23" s="3"/>
      <c r="M23" s="3"/>
      <c r="N23" s="3"/>
      <c r="O23" s="3"/>
      <c r="P23" s="3"/>
      <c r="Q23" s="3"/>
      <c r="R23" s="3"/>
      <c r="S23" s="3"/>
      <c r="T23" s="3"/>
      <c r="U23" s="3"/>
      <c r="V23" s="3"/>
      <c r="W23" s="3"/>
      <c r="X23" s="3"/>
      <c r="Y23" s="3"/>
      <c r="Z23" s="3"/>
    </row>
    <row r="24" spans="1:26" ht="24" hidden="1" customHeight="1" outlineLevel="1" x14ac:dyDescent="0.85">
      <c r="A24" s="271" t="s">
        <v>1051</v>
      </c>
      <c r="B24" s="268" t="s">
        <v>1047</v>
      </c>
      <c r="C24" s="438">
        <v>4.7999999999999996E-3</v>
      </c>
      <c r="D24" s="268" t="s">
        <v>1052</v>
      </c>
      <c r="E24" s="810"/>
      <c r="F24" s="767"/>
      <c r="G24" s="407"/>
      <c r="H24" s="3"/>
      <c r="I24" s="3"/>
      <c r="J24" s="3"/>
      <c r="K24" s="3"/>
      <c r="L24" s="3"/>
      <c r="M24" s="3"/>
      <c r="N24" s="3"/>
      <c r="O24" s="3"/>
      <c r="P24" s="3"/>
      <c r="Q24" s="3"/>
      <c r="R24" s="3"/>
      <c r="S24" s="3"/>
      <c r="T24" s="3"/>
      <c r="U24" s="3"/>
      <c r="V24" s="3"/>
      <c r="W24" s="3"/>
      <c r="X24" s="3"/>
      <c r="Y24" s="3"/>
      <c r="Z24" s="3"/>
    </row>
    <row r="25" spans="1:26" ht="24" hidden="1" customHeight="1" outlineLevel="1" x14ac:dyDescent="0.85">
      <c r="A25" s="804" t="s">
        <v>862</v>
      </c>
      <c r="B25" s="765"/>
      <c r="C25" s="765"/>
      <c r="D25" s="765"/>
      <c r="E25" s="765"/>
      <c r="F25" s="762"/>
      <c r="G25" s="407"/>
      <c r="H25" s="3"/>
      <c r="I25" s="3"/>
      <c r="J25" s="3"/>
      <c r="K25" s="3"/>
      <c r="L25" s="3"/>
      <c r="M25" s="3"/>
      <c r="N25" s="3"/>
      <c r="O25" s="3"/>
      <c r="P25" s="3"/>
      <c r="Q25" s="3"/>
      <c r="R25" s="3"/>
      <c r="S25" s="3"/>
      <c r="T25" s="3"/>
      <c r="U25" s="3"/>
      <c r="V25" s="3"/>
      <c r="W25" s="3"/>
      <c r="X25" s="3"/>
      <c r="Y25" s="3"/>
      <c r="Z25" s="3"/>
    </row>
    <row r="26" spans="1:26" ht="24" hidden="1" customHeight="1" outlineLevel="1" x14ac:dyDescent="0.85">
      <c r="A26" s="289" t="s">
        <v>606</v>
      </c>
      <c r="B26" s="289" t="s">
        <v>212</v>
      </c>
      <c r="C26" s="289" t="s">
        <v>251</v>
      </c>
      <c r="D26" s="289" t="s">
        <v>608</v>
      </c>
      <c r="E26" s="864" t="s">
        <v>138</v>
      </c>
      <c r="F26" s="762"/>
      <c r="G26" s="407"/>
      <c r="H26" s="3"/>
      <c r="I26" s="3"/>
      <c r="J26" s="3"/>
      <c r="K26" s="3"/>
      <c r="L26" s="3"/>
      <c r="M26" s="3"/>
      <c r="N26" s="3"/>
      <c r="O26" s="3"/>
      <c r="P26" s="3"/>
      <c r="Q26" s="3"/>
      <c r="R26" s="3"/>
      <c r="S26" s="3"/>
      <c r="T26" s="3"/>
      <c r="U26" s="3"/>
      <c r="V26" s="3"/>
      <c r="W26" s="3"/>
      <c r="X26" s="3"/>
      <c r="Y26" s="3"/>
      <c r="Z26" s="3"/>
    </row>
    <row r="27" spans="1:26" ht="24" hidden="1" customHeight="1" outlineLevel="1" x14ac:dyDescent="0.85">
      <c r="A27" s="268" t="s">
        <v>1053</v>
      </c>
      <c r="B27" s="280" t="s">
        <v>619</v>
      </c>
      <c r="C27" s="439">
        <f>'On-Road Data'!C24</f>
        <v>8.7799999999999996E-3</v>
      </c>
      <c r="D27" s="176" t="s">
        <v>1054</v>
      </c>
      <c r="E27" s="862" t="s">
        <v>1055</v>
      </c>
      <c r="F27" s="825"/>
      <c r="G27" s="407"/>
      <c r="H27" s="3"/>
      <c r="I27" s="3"/>
      <c r="J27" s="3"/>
      <c r="K27" s="3"/>
      <c r="L27" s="3"/>
      <c r="M27" s="3"/>
      <c r="N27" s="3"/>
      <c r="O27" s="3"/>
      <c r="P27" s="3"/>
      <c r="Q27" s="3"/>
      <c r="R27" s="3"/>
      <c r="S27" s="3"/>
      <c r="T27" s="3"/>
      <c r="U27" s="3"/>
      <c r="V27" s="3"/>
      <c r="W27" s="3"/>
      <c r="X27" s="3"/>
      <c r="Y27" s="3"/>
      <c r="Z27" s="3"/>
    </row>
    <row r="28" spans="1:26" ht="15.75" hidden="1" customHeight="1" outlineLevel="1" x14ac:dyDescent="0.85">
      <c r="A28" s="271" t="s">
        <v>1056</v>
      </c>
      <c r="B28" s="282" t="s">
        <v>1047</v>
      </c>
      <c r="C28" s="439">
        <f>'On-Road Data'!C26</f>
        <v>7.6E-3</v>
      </c>
      <c r="D28" s="268" t="s">
        <v>1057</v>
      </c>
      <c r="E28" s="809"/>
      <c r="F28" s="826"/>
      <c r="G28" s="407"/>
      <c r="H28" s="3"/>
      <c r="I28" s="3"/>
      <c r="J28" s="3"/>
      <c r="K28" s="3"/>
      <c r="L28" s="3"/>
      <c r="M28" s="3"/>
      <c r="N28" s="3"/>
      <c r="O28" s="3"/>
      <c r="P28" s="3"/>
      <c r="Q28" s="3"/>
      <c r="R28" s="3"/>
      <c r="S28" s="3"/>
      <c r="T28" s="3"/>
      <c r="U28" s="3"/>
      <c r="V28" s="3"/>
      <c r="W28" s="3"/>
      <c r="X28" s="3"/>
      <c r="Y28" s="3"/>
      <c r="Z28" s="3"/>
    </row>
    <row r="29" spans="1:26" ht="15.75" hidden="1" customHeight="1" outlineLevel="1" x14ac:dyDescent="0.85">
      <c r="A29" s="271" t="s">
        <v>1058</v>
      </c>
      <c r="B29" s="282" t="s">
        <v>1047</v>
      </c>
      <c r="C29" s="439">
        <f>'On-Road Data'!C30</f>
        <v>7.4000000000000003E-3</v>
      </c>
      <c r="D29" s="268" t="s">
        <v>1059</v>
      </c>
      <c r="E29" s="810"/>
      <c r="F29" s="767"/>
      <c r="G29" s="407"/>
      <c r="H29" s="3"/>
      <c r="I29" s="3"/>
      <c r="J29" s="3"/>
      <c r="K29" s="3"/>
      <c r="L29" s="3"/>
      <c r="M29" s="3"/>
      <c r="N29" s="3"/>
      <c r="O29" s="3"/>
      <c r="P29" s="3"/>
      <c r="Q29" s="3"/>
      <c r="R29" s="3"/>
      <c r="S29" s="3"/>
      <c r="T29" s="3"/>
      <c r="U29" s="3"/>
      <c r="V29" s="3"/>
      <c r="W29" s="3"/>
      <c r="X29" s="3"/>
      <c r="Y29" s="3"/>
      <c r="Z29" s="3"/>
    </row>
    <row r="30" spans="1:26" ht="15.75" hidden="1" customHeight="1" outlineLevel="1" x14ac:dyDescent="0.85">
      <c r="A30" s="804" t="s">
        <v>1060</v>
      </c>
      <c r="B30" s="765"/>
      <c r="C30" s="765"/>
      <c r="D30" s="765"/>
      <c r="E30" s="765"/>
      <c r="F30" s="762"/>
      <c r="G30" s="407"/>
      <c r="H30" s="3"/>
      <c r="I30" s="3"/>
      <c r="J30" s="3"/>
      <c r="K30" s="3"/>
      <c r="L30" s="3"/>
      <c r="M30" s="3"/>
      <c r="N30" s="3"/>
      <c r="O30" s="3"/>
      <c r="P30" s="3"/>
      <c r="Q30" s="3"/>
      <c r="R30" s="3"/>
      <c r="S30" s="3"/>
      <c r="T30" s="3"/>
      <c r="U30" s="3"/>
      <c r="V30" s="3"/>
      <c r="W30" s="3"/>
      <c r="X30" s="3"/>
      <c r="Y30" s="3"/>
      <c r="Z30" s="3"/>
    </row>
    <row r="31" spans="1:26" ht="15.75" hidden="1" customHeight="1" outlineLevel="1" x14ac:dyDescent="0.85">
      <c r="A31" s="289" t="s">
        <v>606</v>
      </c>
      <c r="B31" s="289" t="s">
        <v>212</v>
      </c>
      <c r="C31" s="289" t="s">
        <v>251</v>
      </c>
      <c r="D31" s="289" t="s">
        <v>608</v>
      </c>
      <c r="E31" s="864" t="s">
        <v>138</v>
      </c>
      <c r="F31" s="762"/>
      <c r="G31" s="407"/>
      <c r="H31" s="3"/>
      <c r="I31" s="3"/>
      <c r="J31" s="3"/>
      <c r="K31" s="3"/>
      <c r="L31" s="3"/>
      <c r="M31" s="3"/>
      <c r="N31" s="3"/>
      <c r="O31" s="3"/>
      <c r="P31" s="3"/>
      <c r="Q31" s="3"/>
      <c r="R31" s="3"/>
      <c r="S31" s="3"/>
      <c r="T31" s="3"/>
      <c r="U31" s="3"/>
      <c r="V31" s="3"/>
      <c r="W31" s="3"/>
      <c r="X31" s="3"/>
      <c r="Y31" s="3"/>
      <c r="Z31" s="3"/>
    </row>
    <row r="32" spans="1:26" ht="15.75" hidden="1" customHeight="1" outlineLevel="1" x14ac:dyDescent="0.85">
      <c r="A32" s="268" t="s">
        <v>1061</v>
      </c>
      <c r="B32" s="271" t="s">
        <v>619</v>
      </c>
      <c r="C32" s="438">
        <f>0.05444/'Conversion Factors and GWP'!$A$7</f>
        <v>5.4440000000000001E-5</v>
      </c>
      <c r="D32" s="176" t="s">
        <v>1062</v>
      </c>
      <c r="E32" s="862" t="s">
        <v>907</v>
      </c>
      <c r="F32" s="825"/>
      <c r="G32" s="407"/>
      <c r="H32" s="3"/>
      <c r="I32" s="3"/>
      <c r="J32" s="3"/>
      <c r="K32" s="3"/>
      <c r="L32" s="3"/>
      <c r="M32" s="3"/>
      <c r="N32" s="3"/>
      <c r="O32" s="3"/>
      <c r="P32" s="3"/>
      <c r="Q32" s="3"/>
      <c r="R32" s="3"/>
      <c r="S32" s="3"/>
      <c r="T32" s="3"/>
      <c r="U32" s="3"/>
      <c r="V32" s="3"/>
      <c r="W32" s="3"/>
      <c r="X32" s="3"/>
      <c r="Y32" s="3"/>
      <c r="Z32" s="3"/>
    </row>
    <row r="33" spans="1:26" ht="15.75" hidden="1" customHeight="1" outlineLevel="1" x14ac:dyDescent="0.85">
      <c r="A33" s="271" t="s">
        <v>1063</v>
      </c>
      <c r="B33" s="271" t="s">
        <v>220</v>
      </c>
      <c r="C33" s="440">
        <v>2.7530000000000001</v>
      </c>
      <c r="D33" s="268" t="s">
        <v>1064</v>
      </c>
      <c r="E33" s="809"/>
      <c r="F33" s="826"/>
      <c r="G33" s="407"/>
      <c r="H33" s="3"/>
      <c r="I33" s="3"/>
      <c r="J33" s="3"/>
      <c r="K33" s="3"/>
      <c r="L33" s="3"/>
      <c r="M33" s="3"/>
      <c r="N33" s="3"/>
      <c r="O33" s="3"/>
      <c r="P33" s="3"/>
      <c r="Q33" s="3"/>
      <c r="R33" s="3"/>
      <c r="S33" s="3"/>
      <c r="T33" s="3"/>
      <c r="U33" s="3"/>
      <c r="V33" s="3"/>
      <c r="W33" s="3"/>
      <c r="X33" s="3"/>
      <c r="Y33" s="3"/>
      <c r="Z33" s="3"/>
    </row>
    <row r="34" spans="1:26" ht="15.75" hidden="1" customHeight="1" outlineLevel="1" x14ac:dyDescent="0.85">
      <c r="A34" s="271" t="s">
        <v>1065</v>
      </c>
      <c r="B34" s="271" t="s">
        <v>220</v>
      </c>
      <c r="C34" s="440">
        <v>1.0699999999999999E-2</v>
      </c>
      <c r="D34" s="268" t="s">
        <v>1066</v>
      </c>
      <c r="E34" s="810"/>
      <c r="F34" s="767"/>
      <c r="G34" s="407"/>
      <c r="H34" s="3"/>
      <c r="I34" s="3"/>
      <c r="J34" s="3"/>
      <c r="K34" s="3"/>
      <c r="L34" s="3"/>
      <c r="M34" s="3"/>
      <c r="N34" s="3"/>
      <c r="O34" s="3"/>
      <c r="P34" s="3"/>
      <c r="Q34" s="3"/>
      <c r="R34" s="3"/>
      <c r="S34" s="3"/>
      <c r="T34" s="3"/>
      <c r="U34" s="3"/>
      <c r="V34" s="3"/>
      <c r="W34" s="3"/>
      <c r="X34" s="3"/>
      <c r="Y34" s="3"/>
      <c r="Z34" s="3"/>
    </row>
    <row r="35" spans="1:26" ht="24" hidden="1" customHeight="1" outlineLevel="1" x14ac:dyDescent="0.85">
      <c r="A35" s="804" t="s">
        <v>1067</v>
      </c>
      <c r="B35" s="765"/>
      <c r="C35" s="765"/>
      <c r="D35" s="765"/>
      <c r="E35" s="765"/>
      <c r="F35" s="762"/>
      <c r="G35" s="407"/>
      <c r="H35" s="3"/>
      <c r="I35" s="3"/>
      <c r="J35" s="3"/>
      <c r="K35" s="3"/>
      <c r="L35" s="3"/>
      <c r="M35" s="3"/>
      <c r="N35" s="3"/>
      <c r="O35" s="3"/>
      <c r="P35" s="3"/>
      <c r="Q35" s="3"/>
      <c r="R35" s="3"/>
      <c r="S35" s="3"/>
      <c r="T35" s="3"/>
      <c r="U35" s="3"/>
      <c r="V35" s="3"/>
      <c r="W35" s="3"/>
      <c r="X35" s="3"/>
      <c r="Y35" s="3"/>
      <c r="Z35" s="3"/>
    </row>
    <row r="36" spans="1:26" ht="24" hidden="1" customHeight="1" outlineLevel="1" x14ac:dyDescent="0.85">
      <c r="A36" s="864" t="s">
        <v>212</v>
      </c>
      <c r="B36" s="762"/>
      <c r="C36" s="289" t="s">
        <v>251</v>
      </c>
      <c r="D36" s="289" t="s">
        <v>608</v>
      </c>
      <c r="E36" s="864" t="s">
        <v>138</v>
      </c>
      <c r="F36" s="762"/>
      <c r="G36" s="407"/>
      <c r="H36" s="3"/>
      <c r="I36" s="3"/>
      <c r="J36" s="3"/>
      <c r="K36" s="3"/>
      <c r="L36" s="3"/>
      <c r="M36" s="3"/>
      <c r="N36" s="3"/>
      <c r="O36" s="3"/>
      <c r="P36" s="3"/>
      <c r="Q36" s="3"/>
      <c r="R36" s="3"/>
      <c r="S36" s="3"/>
      <c r="T36" s="3"/>
      <c r="U36" s="3"/>
      <c r="V36" s="3"/>
      <c r="W36" s="3"/>
      <c r="X36" s="3"/>
      <c r="Y36" s="3"/>
      <c r="Z36" s="3"/>
    </row>
    <row r="37" spans="1:26" ht="15.75" hidden="1" customHeight="1" outlineLevel="1" x14ac:dyDescent="0.85">
      <c r="A37" s="863" t="s">
        <v>1068</v>
      </c>
      <c r="B37" s="762"/>
      <c r="C37" s="393">
        <v>2.84</v>
      </c>
      <c r="D37" s="441" t="s">
        <v>1069</v>
      </c>
      <c r="E37" s="874" t="s">
        <v>1070</v>
      </c>
      <c r="F37" s="762"/>
      <c r="G37" s="407"/>
      <c r="H37" s="3"/>
      <c r="I37" s="3"/>
      <c r="J37" s="3"/>
      <c r="K37" s="3"/>
      <c r="L37" s="3"/>
      <c r="M37" s="3"/>
      <c r="N37" s="3"/>
      <c r="O37" s="3"/>
      <c r="P37" s="3"/>
      <c r="Q37" s="3"/>
      <c r="R37" s="3"/>
      <c r="S37" s="3"/>
      <c r="T37" s="3"/>
      <c r="U37" s="3"/>
      <c r="V37" s="3"/>
      <c r="W37" s="3"/>
      <c r="X37" s="3"/>
      <c r="Y37" s="3"/>
      <c r="Z37" s="3"/>
    </row>
    <row r="38" spans="1:26" ht="24" hidden="1" customHeight="1" outlineLevel="1" x14ac:dyDescent="0.85">
      <c r="A38" s="804" t="s">
        <v>1071</v>
      </c>
      <c r="B38" s="765"/>
      <c r="C38" s="762"/>
      <c r="D38" s="407"/>
      <c r="E38" s="407"/>
      <c r="F38" s="442"/>
      <c r="G38" s="407"/>
      <c r="H38" s="3"/>
      <c r="I38" s="3"/>
      <c r="J38" s="3"/>
      <c r="K38" s="3"/>
      <c r="L38" s="3"/>
      <c r="M38" s="3"/>
      <c r="N38" s="3"/>
      <c r="O38" s="3"/>
      <c r="P38" s="3"/>
      <c r="Q38" s="3"/>
      <c r="R38" s="3"/>
      <c r="S38" s="3"/>
      <c r="T38" s="3"/>
      <c r="U38" s="3"/>
      <c r="V38" s="3"/>
      <c r="W38" s="3"/>
      <c r="X38" s="3"/>
      <c r="Y38" s="3"/>
      <c r="Z38" s="3"/>
    </row>
    <row r="39" spans="1:26" ht="24" hidden="1" customHeight="1" outlineLevel="1" x14ac:dyDescent="0.85">
      <c r="A39" s="289" t="s">
        <v>212</v>
      </c>
      <c r="B39" s="289" t="s">
        <v>1072</v>
      </c>
      <c r="C39" s="289" t="s">
        <v>608</v>
      </c>
      <c r="D39" s="407"/>
      <c r="E39" s="407"/>
      <c r="F39" s="442"/>
      <c r="G39" s="442"/>
      <c r="H39" s="3"/>
      <c r="I39" s="3"/>
      <c r="J39" s="3"/>
      <c r="K39" s="3"/>
      <c r="L39" s="3"/>
      <c r="M39" s="3"/>
      <c r="N39" s="3"/>
      <c r="O39" s="3"/>
      <c r="P39" s="3"/>
      <c r="Q39" s="3"/>
      <c r="R39" s="3"/>
      <c r="S39" s="3"/>
      <c r="T39" s="3"/>
      <c r="U39" s="3"/>
      <c r="V39" s="3"/>
      <c r="W39" s="3"/>
      <c r="X39" s="3"/>
      <c r="Y39" s="3"/>
      <c r="Z39" s="3"/>
    </row>
    <row r="40" spans="1:26" ht="24" hidden="1" customHeight="1" outlineLevel="1" x14ac:dyDescent="0.85">
      <c r="A40" s="396" t="s">
        <v>1073</v>
      </c>
      <c r="B40" s="443">
        <v>7.1</v>
      </c>
      <c r="C40" s="444" t="s">
        <v>923</v>
      </c>
      <c r="D40" s="407"/>
      <c r="E40" s="407"/>
      <c r="F40" s="407"/>
      <c r="G40" s="407"/>
      <c r="H40" s="3"/>
      <c r="I40" s="3"/>
      <c r="J40" s="3"/>
      <c r="K40" s="3"/>
      <c r="L40" s="3"/>
      <c r="M40" s="3"/>
      <c r="N40" s="3"/>
      <c r="O40" s="3"/>
      <c r="P40" s="3"/>
      <c r="Q40" s="3"/>
      <c r="R40" s="3"/>
      <c r="S40" s="3"/>
      <c r="T40" s="3"/>
      <c r="U40" s="3"/>
      <c r="V40" s="3"/>
      <c r="W40" s="3"/>
      <c r="X40" s="3"/>
      <c r="Y40" s="3"/>
      <c r="Z40" s="3"/>
    </row>
    <row r="41" spans="1:26" ht="24" hidden="1" customHeight="1" outlineLevel="1" x14ac:dyDescent="0.85">
      <c r="A41" s="396" t="s">
        <v>1074</v>
      </c>
      <c r="B41" s="443">
        <v>6.59</v>
      </c>
      <c r="C41" s="444" t="s">
        <v>923</v>
      </c>
      <c r="D41" s="407"/>
      <c r="E41" s="407"/>
      <c r="F41" s="407"/>
      <c r="G41" s="407"/>
      <c r="H41" s="3"/>
      <c r="I41" s="3"/>
      <c r="J41" s="3"/>
      <c r="K41" s="3"/>
      <c r="L41" s="3"/>
      <c r="M41" s="3"/>
      <c r="N41" s="3"/>
      <c r="O41" s="3"/>
      <c r="P41" s="3"/>
      <c r="Q41" s="3"/>
      <c r="R41" s="3"/>
      <c r="S41" s="3"/>
      <c r="T41" s="3"/>
      <c r="U41" s="3"/>
      <c r="V41" s="3"/>
      <c r="W41" s="3"/>
      <c r="X41" s="3"/>
      <c r="Y41" s="3"/>
      <c r="Z41" s="3"/>
    </row>
    <row r="42" spans="1:26" ht="24" hidden="1" customHeight="1" outlineLevel="1" x14ac:dyDescent="0.85">
      <c r="A42" s="445" t="s">
        <v>1075</v>
      </c>
      <c r="B42" s="446">
        <v>2.84</v>
      </c>
      <c r="C42" s="447" t="s">
        <v>1069</v>
      </c>
      <c r="D42" s="407"/>
      <c r="E42" s="407"/>
      <c r="F42" s="407"/>
      <c r="G42" s="407"/>
      <c r="H42" s="3"/>
      <c r="I42" s="3"/>
      <c r="J42" s="3"/>
      <c r="K42" s="3"/>
      <c r="L42" s="3"/>
      <c r="M42" s="3"/>
      <c r="N42" s="3"/>
      <c r="O42" s="3"/>
      <c r="P42" s="3"/>
      <c r="Q42" s="3"/>
      <c r="R42" s="3"/>
      <c r="S42" s="3"/>
      <c r="T42" s="3"/>
      <c r="U42" s="3"/>
      <c r="V42" s="3"/>
      <c r="W42" s="3"/>
      <c r="X42" s="3"/>
      <c r="Y42" s="3"/>
      <c r="Z42" s="3"/>
    </row>
    <row r="43" spans="1:26" ht="24" hidden="1" customHeight="1" outlineLevel="1" x14ac:dyDescent="0.85">
      <c r="A43" s="448" t="s">
        <v>1076</v>
      </c>
      <c r="B43" s="449">
        <v>4</v>
      </c>
      <c r="C43" s="268" t="s">
        <v>1077</v>
      </c>
      <c r="D43" s="276"/>
      <c r="E43" s="276"/>
      <c r="F43" s="276"/>
      <c r="G43" s="276"/>
      <c r="H43" s="3"/>
      <c r="I43" s="3"/>
      <c r="J43" s="3"/>
      <c r="K43" s="3"/>
      <c r="L43" s="3"/>
      <c r="M43" s="3"/>
      <c r="N43" s="3"/>
      <c r="O43" s="3"/>
      <c r="P43" s="3"/>
      <c r="Q43" s="3"/>
      <c r="R43" s="3"/>
      <c r="S43" s="3"/>
      <c r="T43" s="3"/>
      <c r="U43" s="3"/>
      <c r="V43" s="3"/>
      <c r="W43" s="3"/>
      <c r="X43" s="3"/>
      <c r="Y43" s="3"/>
      <c r="Z43" s="3"/>
    </row>
    <row r="44" spans="1:26" ht="32.25" customHeight="1" collapsed="1" x14ac:dyDescent="0.85">
      <c r="A44" s="872" t="s">
        <v>254</v>
      </c>
      <c r="B44" s="765"/>
      <c r="C44" s="765"/>
      <c r="D44" s="765"/>
      <c r="E44" s="765"/>
      <c r="F44" s="765"/>
      <c r="G44" s="762"/>
      <c r="H44" s="3"/>
      <c r="I44" s="3"/>
      <c r="J44" s="3"/>
      <c r="K44" s="3"/>
      <c r="L44" s="3"/>
      <c r="M44" s="3"/>
      <c r="N44" s="3"/>
      <c r="O44" s="3"/>
      <c r="P44" s="3"/>
      <c r="Q44" s="3"/>
      <c r="R44" s="3"/>
      <c r="S44" s="3"/>
      <c r="T44" s="3"/>
      <c r="U44" s="3"/>
      <c r="V44" s="3"/>
      <c r="W44" s="3"/>
      <c r="X44" s="3"/>
      <c r="Y44" s="3"/>
      <c r="Z44" s="3"/>
    </row>
    <row r="45" spans="1:26" ht="24" hidden="1" customHeight="1" outlineLevel="1" x14ac:dyDescent="0.85">
      <c r="A45" s="839" t="s">
        <v>1078</v>
      </c>
      <c r="B45" s="813"/>
      <c r="C45" s="813"/>
      <c r="D45" s="813"/>
      <c r="E45" s="813"/>
      <c r="F45" s="813"/>
      <c r="G45" s="814"/>
      <c r="H45" s="3"/>
      <c r="I45" s="3"/>
      <c r="J45" s="3"/>
      <c r="K45" s="3"/>
      <c r="L45" s="3"/>
      <c r="M45" s="3"/>
      <c r="N45" s="3"/>
      <c r="O45" s="3"/>
      <c r="P45" s="3"/>
      <c r="Q45" s="3"/>
      <c r="R45" s="3"/>
      <c r="S45" s="3"/>
      <c r="T45" s="3"/>
      <c r="U45" s="3"/>
      <c r="V45" s="3"/>
      <c r="W45" s="3"/>
      <c r="X45" s="3"/>
      <c r="Y45" s="3"/>
      <c r="Z45" s="3"/>
    </row>
    <row r="46" spans="1:26" ht="24" hidden="1" customHeight="1" outlineLevel="1" x14ac:dyDescent="0.85">
      <c r="A46" s="805" t="s">
        <v>883</v>
      </c>
      <c r="B46" s="765"/>
      <c r="C46" s="765"/>
      <c r="D46" s="765"/>
      <c r="E46" s="765"/>
      <c r="F46" s="765"/>
      <c r="G46" s="762"/>
      <c r="H46" s="3"/>
      <c r="I46" s="3"/>
      <c r="J46" s="3"/>
      <c r="K46" s="3"/>
      <c r="L46" s="3"/>
      <c r="M46" s="3"/>
      <c r="N46" s="3"/>
      <c r="O46" s="3"/>
      <c r="P46" s="3"/>
      <c r="Q46" s="3"/>
      <c r="R46" s="3"/>
      <c r="S46" s="3"/>
      <c r="T46" s="3"/>
      <c r="U46" s="3"/>
      <c r="V46" s="3"/>
      <c r="W46" s="3"/>
      <c r="X46" s="3"/>
      <c r="Y46" s="3"/>
      <c r="Z46" s="3"/>
    </row>
    <row r="47" spans="1:26" ht="24" hidden="1" customHeight="1" outlineLevel="1" x14ac:dyDescent="0.85">
      <c r="A47" s="357" t="s">
        <v>1079</v>
      </c>
      <c r="B47" s="72" t="s">
        <v>1080</v>
      </c>
      <c r="C47" s="357" t="s">
        <v>1081</v>
      </c>
      <c r="D47" s="72" t="s">
        <v>1082</v>
      </c>
      <c r="E47" s="72" t="s">
        <v>1083</v>
      </c>
      <c r="F47" s="72" t="s">
        <v>1084</v>
      </c>
      <c r="G47" s="3"/>
      <c r="H47" s="3"/>
      <c r="I47" s="3"/>
      <c r="J47" s="3"/>
      <c r="K47" s="3"/>
      <c r="L47" s="3"/>
      <c r="M47" s="3"/>
      <c r="N47" s="3"/>
      <c r="O47" s="3"/>
      <c r="P47" s="3"/>
      <c r="Q47" s="3"/>
      <c r="R47" s="3"/>
      <c r="S47" s="3"/>
      <c r="T47" s="3"/>
      <c r="U47" s="3"/>
      <c r="V47" s="3"/>
      <c r="W47" s="3"/>
      <c r="X47" s="3"/>
      <c r="Y47" s="3"/>
      <c r="Z47" s="3"/>
    </row>
    <row r="48" spans="1:26" ht="24" hidden="1" customHeight="1" outlineLevel="1" x14ac:dyDescent="0.85">
      <c r="A48" s="89" t="s">
        <v>1085</v>
      </c>
      <c r="B48" s="450">
        <f>1145608</f>
        <v>1145608</v>
      </c>
      <c r="C48" s="103">
        <f>(B48*$C$20)</f>
        <v>11696.65768</v>
      </c>
      <c r="D48" s="451">
        <f>(C21*B48/'Conversion Factors and GWP'!$A$8)</f>
        <v>0.91648640000000003</v>
      </c>
      <c r="E48" s="451">
        <f>(B48*C23/'Conversion Factors and GWP'!$A$8)</f>
        <v>0.29785808000000003</v>
      </c>
      <c r="F48" s="103">
        <f>C48+('Conversion Factors and GWP'!$C$31*D48)+('Conversion Factors and GWP'!$C$32*E48)</f>
        <v>11801.2516904</v>
      </c>
      <c r="G48" s="3"/>
      <c r="H48" s="3"/>
      <c r="I48" s="3"/>
      <c r="J48" s="3"/>
      <c r="K48" s="3"/>
      <c r="L48" s="3"/>
      <c r="M48" s="3"/>
      <c r="N48" s="3"/>
      <c r="O48" s="3"/>
      <c r="P48" s="3"/>
      <c r="Q48" s="3"/>
      <c r="R48" s="3"/>
      <c r="S48" s="3"/>
      <c r="T48" s="3"/>
      <c r="U48" s="3"/>
      <c r="V48" s="3"/>
      <c r="W48" s="3"/>
      <c r="X48" s="3"/>
      <c r="Y48" s="3"/>
      <c r="Z48" s="3"/>
    </row>
    <row r="49" spans="1:26" ht="24" hidden="1" customHeight="1" outlineLevel="1" x14ac:dyDescent="0.85">
      <c r="A49" s="452" t="s">
        <v>1086</v>
      </c>
      <c r="B49" s="453">
        <f t="shared" ref="B49:F49" si="5">SUM(B48)</f>
        <v>1145608</v>
      </c>
      <c r="C49" s="453">
        <f t="shared" si="5"/>
        <v>11696.65768</v>
      </c>
      <c r="D49" s="454">
        <f t="shared" si="5"/>
        <v>0.91648640000000003</v>
      </c>
      <c r="E49" s="454">
        <f t="shared" si="5"/>
        <v>0.29785808000000003</v>
      </c>
      <c r="F49" s="453">
        <f t="shared" si="5"/>
        <v>11801.2516904</v>
      </c>
      <c r="G49" s="3"/>
      <c r="H49" s="3"/>
      <c r="I49" s="3"/>
      <c r="J49" s="3"/>
      <c r="K49" s="3"/>
      <c r="L49" s="3"/>
      <c r="M49" s="3"/>
      <c r="N49" s="3"/>
      <c r="O49" s="3"/>
      <c r="P49" s="3"/>
      <c r="Q49" s="3"/>
      <c r="R49" s="3"/>
      <c r="S49" s="3"/>
      <c r="T49" s="3"/>
      <c r="U49" s="3"/>
      <c r="V49" s="3"/>
      <c r="W49" s="3"/>
      <c r="X49" s="3"/>
      <c r="Y49" s="3"/>
      <c r="Z49" s="3"/>
    </row>
    <row r="50" spans="1:26" ht="24" hidden="1" customHeight="1" outlineLevel="1" x14ac:dyDescent="0.85">
      <c r="A50" s="873" t="s">
        <v>119</v>
      </c>
      <c r="B50" s="762"/>
      <c r="C50" s="455">
        <f t="shared" ref="C50:F50" si="6">SUM(C48)</f>
        <v>11696.65768</v>
      </c>
      <c r="D50" s="456">
        <f t="shared" si="6"/>
        <v>0.91648640000000003</v>
      </c>
      <c r="E50" s="456">
        <f t="shared" si="6"/>
        <v>0.29785808000000003</v>
      </c>
      <c r="F50" s="455">
        <f t="shared" si="6"/>
        <v>11801.2516904</v>
      </c>
      <c r="G50" s="3"/>
      <c r="H50" s="3"/>
      <c r="I50" s="3"/>
      <c r="J50" s="3"/>
      <c r="K50" s="3"/>
      <c r="L50" s="3"/>
      <c r="M50" s="3"/>
      <c r="N50" s="3"/>
      <c r="O50" s="3"/>
      <c r="P50" s="3"/>
      <c r="Q50" s="3"/>
      <c r="R50" s="3"/>
      <c r="S50" s="3"/>
      <c r="T50" s="3"/>
      <c r="U50" s="3"/>
      <c r="V50" s="3"/>
      <c r="W50" s="3"/>
      <c r="X50" s="3"/>
      <c r="Y50" s="3"/>
      <c r="Z50" s="3"/>
    </row>
    <row r="51" spans="1:26" ht="24" hidden="1" customHeight="1" outlineLevel="1" x14ac:dyDescent="0.85">
      <c r="A51" s="276"/>
      <c r="B51" s="276"/>
      <c r="C51" s="276"/>
      <c r="D51" s="276"/>
      <c r="E51" s="276"/>
      <c r="F51" s="276"/>
      <c r="G51" s="276"/>
      <c r="H51" s="3"/>
      <c r="I51" s="3"/>
      <c r="J51" s="3"/>
      <c r="K51" s="3"/>
      <c r="L51" s="3"/>
      <c r="M51" s="3"/>
      <c r="N51" s="3"/>
      <c r="O51" s="3"/>
      <c r="P51" s="3"/>
      <c r="Q51" s="3"/>
      <c r="R51" s="3"/>
      <c r="S51" s="3"/>
      <c r="T51" s="3"/>
      <c r="U51" s="3"/>
      <c r="V51" s="3"/>
      <c r="W51" s="3"/>
      <c r="X51" s="3"/>
      <c r="Y51" s="3"/>
      <c r="Z51" s="3"/>
    </row>
    <row r="52" spans="1:26" ht="24" hidden="1" customHeight="1" outlineLevel="1" x14ac:dyDescent="0.85">
      <c r="A52" s="804" t="s">
        <v>1087</v>
      </c>
      <c r="B52" s="765"/>
      <c r="C52" s="765"/>
      <c r="D52" s="765"/>
      <c r="E52" s="765"/>
      <c r="F52" s="765"/>
      <c r="G52" s="762"/>
      <c r="H52" s="3"/>
      <c r="I52" s="3"/>
      <c r="J52" s="3"/>
      <c r="K52" s="3"/>
      <c r="L52" s="3"/>
      <c r="M52" s="3"/>
      <c r="N52" s="3"/>
      <c r="O52" s="3"/>
      <c r="P52" s="3"/>
      <c r="Q52" s="3"/>
      <c r="R52" s="3"/>
      <c r="S52" s="3"/>
      <c r="T52" s="3"/>
      <c r="U52" s="3"/>
      <c r="V52" s="3"/>
      <c r="W52" s="3"/>
      <c r="X52" s="3"/>
      <c r="Y52" s="3"/>
      <c r="Z52" s="3"/>
    </row>
    <row r="53" spans="1:26" ht="24" hidden="1" customHeight="1" outlineLevel="1" x14ac:dyDescent="0.85">
      <c r="A53" s="805" t="s">
        <v>862</v>
      </c>
      <c r="B53" s="765"/>
      <c r="C53" s="765"/>
      <c r="D53" s="765"/>
      <c r="E53" s="765"/>
      <c r="F53" s="765"/>
      <c r="G53" s="762"/>
      <c r="H53" s="3"/>
      <c r="I53" s="3"/>
      <c r="J53" s="3"/>
      <c r="K53" s="3"/>
      <c r="L53" s="3"/>
      <c r="M53" s="3"/>
      <c r="N53" s="3"/>
      <c r="O53" s="3"/>
      <c r="P53" s="3"/>
      <c r="Q53" s="3"/>
      <c r="R53" s="3"/>
      <c r="S53" s="3"/>
      <c r="T53" s="3"/>
      <c r="U53" s="3"/>
      <c r="V53" s="3"/>
      <c r="W53" s="3"/>
      <c r="X53" s="3"/>
      <c r="Y53" s="3"/>
      <c r="Z53" s="3"/>
    </row>
    <row r="54" spans="1:26" ht="24" hidden="1" customHeight="1" outlineLevel="1" x14ac:dyDescent="0.85">
      <c r="A54" s="357" t="s">
        <v>1079</v>
      </c>
      <c r="B54" s="72" t="s">
        <v>1088</v>
      </c>
      <c r="C54" s="326" t="s">
        <v>435</v>
      </c>
      <c r="D54" s="72" t="s">
        <v>1089</v>
      </c>
      <c r="E54" s="72" t="s">
        <v>1090</v>
      </c>
      <c r="F54" s="72" t="s">
        <v>1091</v>
      </c>
      <c r="G54" s="72" t="s">
        <v>1092</v>
      </c>
      <c r="H54" s="3"/>
      <c r="I54" s="3"/>
      <c r="J54" s="3"/>
      <c r="K54" s="3"/>
      <c r="L54" s="3"/>
      <c r="M54" s="3"/>
      <c r="N54" s="3"/>
      <c r="O54" s="3"/>
      <c r="P54" s="3"/>
      <c r="Q54" s="3"/>
      <c r="R54" s="3"/>
      <c r="S54" s="3"/>
      <c r="T54" s="3"/>
      <c r="U54" s="3"/>
      <c r="V54" s="3"/>
      <c r="W54" s="3"/>
      <c r="X54" s="3"/>
      <c r="Y54" s="3"/>
      <c r="Z54" s="3"/>
    </row>
    <row r="55" spans="1:26" ht="24" hidden="1" customHeight="1" outlineLevel="1" x14ac:dyDescent="0.85">
      <c r="A55" s="89" t="s">
        <v>1093</v>
      </c>
      <c r="B55" s="450">
        <v>27511</v>
      </c>
      <c r="C55" s="457">
        <f t="shared" ref="C55:C58" si="7">B55*$B$40</f>
        <v>195328.09999999998</v>
      </c>
      <c r="D55" s="458">
        <f t="shared" ref="D55:D58" si="8">(B55*$C$27)</f>
        <v>241.54657999999998</v>
      </c>
      <c r="E55" s="459">
        <f>(C55*$C$28/'Conversion Factors and GWP'!$A$8)</f>
        <v>1.4844935599999999E-3</v>
      </c>
      <c r="F55" s="459">
        <f>(C55*$C$29/'Conversion Factors and GWP'!$A$8)</f>
        <v>1.4454279399999997E-3</v>
      </c>
      <c r="G55" s="103">
        <f>D55+('Conversion Factors and GWP'!$C$31*E55)+('Conversion Factors and GWP'!$C$32*F55)</f>
        <v>241.97118422377997</v>
      </c>
      <c r="H55" s="3"/>
      <c r="I55" s="3"/>
      <c r="J55" s="3"/>
      <c r="K55" s="3"/>
      <c r="L55" s="3"/>
      <c r="M55" s="3"/>
      <c r="N55" s="3"/>
      <c r="O55" s="3"/>
      <c r="P55" s="3"/>
      <c r="Q55" s="3"/>
      <c r="R55" s="3"/>
      <c r="S55" s="3"/>
      <c r="T55" s="3"/>
      <c r="U55" s="3"/>
      <c r="V55" s="3"/>
      <c r="W55" s="3"/>
      <c r="X55" s="3"/>
      <c r="Y55" s="3"/>
      <c r="Z55" s="3"/>
    </row>
    <row r="56" spans="1:26" ht="24" hidden="1" customHeight="1" outlineLevel="1" x14ac:dyDescent="0.85">
      <c r="A56" s="89" t="s">
        <v>1094</v>
      </c>
      <c r="B56" s="450">
        <v>48756</v>
      </c>
      <c r="C56" s="457">
        <f t="shared" si="7"/>
        <v>346167.6</v>
      </c>
      <c r="D56" s="458">
        <f t="shared" si="8"/>
        <v>428.07767999999999</v>
      </c>
      <c r="E56" s="459">
        <f>(C56*$C$28/'Conversion Factors and GWP'!$A$8)</f>
        <v>2.6308737600000002E-3</v>
      </c>
      <c r="F56" s="459">
        <f>(C56*$C$29/'Conversion Factors and GWP'!$A$8)</f>
        <v>2.5616402399999999E-3</v>
      </c>
      <c r="G56" s="103">
        <f>D56+('Conversion Factors and GWP'!$C$31*E56)+('Conversion Factors and GWP'!$C$32*F56)</f>
        <v>428.83017912887999</v>
      </c>
      <c r="H56" s="3"/>
      <c r="I56" s="3"/>
      <c r="J56" s="3"/>
      <c r="K56" s="3"/>
      <c r="L56" s="3"/>
      <c r="M56" s="3"/>
      <c r="N56" s="3"/>
      <c r="O56" s="3"/>
      <c r="P56" s="3"/>
      <c r="Q56" s="3"/>
      <c r="R56" s="3"/>
      <c r="S56" s="3"/>
      <c r="T56" s="3"/>
      <c r="U56" s="3"/>
      <c r="V56" s="3"/>
      <c r="W56" s="3"/>
      <c r="X56" s="3"/>
      <c r="Y56" s="3"/>
      <c r="Z56" s="3"/>
    </row>
    <row r="57" spans="1:26" ht="24" hidden="1" customHeight="1" outlineLevel="1" x14ac:dyDescent="0.85">
      <c r="A57" s="89" t="s">
        <v>1095</v>
      </c>
      <c r="B57" s="450">
        <v>20136</v>
      </c>
      <c r="C57" s="457">
        <f t="shared" si="7"/>
        <v>142965.6</v>
      </c>
      <c r="D57" s="458">
        <f t="shared" si="8"/>
        <v>176.79407999999998</v>
      </c>
      <c r="E57" s="459">
        <f>(C57*$C$28/'Conversion Factors and GWP'!$A$8)</f>
        <v>1.0865385599999999E-3</v>
      </c>
      <c r="F57" s="459">
        <f>(C57*$C$29/'Conversion Factors and GWP'!$A$8)</f>
        <v>1.0579454400000002E-3</v>
      </c>
      <c r="G57" s="103">
        <f>D57+('Conversion Factors and GWP'!$C$31*E57)+('Conversion Factors and GWP'!$C$32*F57)</f>
        <v>177.10485862127996</v>
      </c>
      <c r="H57" s="3"/>
      <c r="I57" s="3"/>
      <c r="J57" s="3"/>
      <c r="K57" s="3"/>
      <c r="L57" s="3"/>
      <c r="M57" s="3"/>
      <c r="N57" s="3"/>
      <c r="O57" s="3"/>
      <c r="P57" s="3"/>
      <c r="Q57" s="3"/>
      <c r="R57" s="3"/>
      <c r="S57" s="3"/>
      <c r="T57" s="3"/>
      <c r="U57" s="3"/>
      <c r="V57" s="3"/>
      <c r="W57" s="3"/>
      <c r="X57" s="3"/>
      <c r="Y57" s="3"/>
      <c r="Z57" s="3"/>
    </row>
    <row r="58" spans="1:26" ht="24" hidden="1" customHeight="1" outlineLevel="1" x14ac:dyDescent="0.85">
      <c r="A58" s="89" t="s">
        <v>1096</v>
      </c>
      <c r="B58" s="450">
        <v>318854.59999999998</v>
      </c>
      <c r="C58" s="457">
        <f t="shared" si="7"/>
        <v>2263867.6599999997</v>
      </c>
      <c r="D58" s="458">
        <f t="shared" si="8"/>
        <v>2799.5433879999996</v>
      </c>
      <c r="E58" s="451">
        <f>(C58*$C$28/'Conversion Factors and GWP'!$A$8)</f>
        <v>1.7205394215999998E-2</v>
      </c>
      <c r="F58" s="451">
        <f>(C58*$C$29/'Conversion Factors and GWP'!$A$8)</f>
        <v>1.6752620683999998E-2</v>
      </c>
      <c r="G58" s="103">
        <f>D58+('Conversion Factors and GWP'!$C$31*E58)+('Conversion Factors and GWP'!$C$32*F58)</f>
        <v>2804.4645835193078</v>
      </c>
      <c r="H58" s="3"/>
      <c r="I58" s="3"/>
      <c r="J58" s="3"/>
      <c r="K58" s="3"/>
      <c r="L58" s="3"/>
      <c r="M58" s="3"/>
      <c r="N58" s="3"/>
      <c r="O58" s="3"/>
      <c r="P58" s="3"/>
      <c r="Q58" s="3"/>
      <c r="R58" s="3"/>
      <c r="S58" s="3"/>
      <c r="T58" s="3"/>
      <c r="U58" s="3"/>
      <c r="V58" s="3"/>
      <c r="W58" s="3"/>
      <c r="X58" s="3"/>
      <c r="Y58" s="3"/>
      <c r="Z58" s="3"/>
    </row>
    <row r="59" spans="1:26" ht="24" hidden="1" customHeight="1" outlineLevel="1" x14ac:dyDescent="0.85">
      <c r="A59" s="452" t="s">
        <v>1097</v>
      </c>
      <c r="B59" s="453">
        <f t="shared" ref="B59:G59" si="9">SUM(B55:B58)</f>
        <v>415257.59999999998</v>
      </c>
      <c r="C59" s="453">
        <f t="shared" si="9"/>
        <v>2948328.9599999995</v>
      </c>
      <c r="D59" s="453">
        <f t="shared" si="9"/>
        <v>3645.9617279999993</v>
      </c>
      <c r="E59" s="454">
        <f t="shared" si="9"/>
        <v>2.2407300095999998E-2</v>
      </c>
      <c r="F59" s="454">
        <f t="shared" si="9"/>
        <v>2.1817634303999998E-2</v>
      </c>
      <c r="G59" s="453">
        <f t="shared" si="9"/>
        <v>3652.3708054932476</v>
      </c>
      <c r="H59" s="3"/>
      <c r="I59" s="3"/>
      <c r="J59" s="3"/>
      <c r="K59" s="3"/>
      <c r="L59" s="3"/>
      <c r="M59" s="3"/>
      <c r="N59" s="3"/>
      <c r="O59" s="3"/>
      <c r="P59" s="3"/>
      <c r="Q59" s="3"/>
      <c r="R59" s="3"/>
      <c r="S59" s="3"/>
      <c r="T59" s="3"/>
      <c r="U59" s="3"/>
      <c r="V59" s="3"/>
      <c r="W59" s="3"/>
      <c r="X59" s="3"/>
      <c r="Y59" s="3"/>
      <c r="Z59" s="3"/>
    </row>
    <row r="60" spans="1:26" ht="24" hidden="1" customHeight="1" outlineLevel="1" x14ac:dyDescent="0.85">
      <c r="A60" s="805" t="s">
        <v>883</v>
      </c>
      <c r="B60" s="765"/>
      <c r="C60" s="765"/>
      <c r="D60" s="765"/>
      <c r="E60" s="765"/>
      <c r="F60" s="765"/>
      <c r="G60" s="762"/>
      <c r="H60" s="3"/>
      <c r="I60" s="3"/>
      <c r="J60" s="3"/>
      <c r="K60" s="3"/>
      <c r="L60" s="3"/>
      <c r="M60" s="3"/>
      <c r="N60" s="3"/>
      <c r="O60" s="3"/>
      <c r="P60" s="3"/>
      <c r="Q60" s="3"/>
      <c r="R60" s="3"/>
      <c r="S60" s="3"/>
      <c r="T60" s="3"/>
      <c r="U60" s="3"/>
      <c r="V60" s="3"/>
      <c r="W60" s="3"/>
      <c r="X60" s="3"/>
      <c r="Y60" s="3"/>
      <c r="Z60" s="3"/>
    </row>
    <row r="61" spans="1:26" ht="24" hidden="1" customHeight="1" outlineLevel="1" x14ac:dyDescent="0.85">
      <c r="A61" s="357" t="s">
        <v>1079</v>
      </c>
      <c r="B61" s="72" t="s">
        <v>1080</v>
      </c>
      <c r="C61" s="326" t="s">
        <v>435</v>
      </c>
      <c r="D61" s="72" t="s">
        <v>1098</v>
      </c>
      <c r="E61" s="72" t="s">
        <v>1099</v>
      </c>
      <c r="F61" s="72" t="s">
        <v>1100</v>
      </c>
      <c r="G61" s="72" t="s">
        <v>1101</v>
      </c>
      <c r="H61" s="3"/>
      <c r="I61" s="3"/>
      <c r="J61" s="3"/>
      <c r="K61" s="3"/>
      <c r="L61" s="3"/>
      <c r="M61" s="3"/>
      <c r="N61" s="3"/>
      <c r="O61" s="3"/>
      <c r="P61" s="3"/>
      <c r="Q61" s="3"/>
      <c r="R61" s="3"/>
      <c r="S61" s="3"/>
      <c r="T61" s="3"/>
      <c r="U61" s="3"/>
      <c r="V61" s="3"/>
      <c r="W61" s="3"/>
      <c r="X61" s="3"/>
      <c r="Y61" s="3"/>
      <c r="Z61" s="3"/>
    </row>
    <row r="62" spans="1:26" ht="24" hidden="1" customHeight="1" outlineLevel="1" x14ac:dyDescent="0.85">
      <c r="A62" s="89" t="s">
        <v>1102</v>
      </c>
      <c r="B62" s="450">
        <v>34806</v>
      </c>
      <c r="C62" s="457">
        <f t="shared" ref="C62:C64" si="10">B62*$B$41</f>
        <v>229371.54</v>
      </c>
      <c r="D62" s="458">
        <f t="shared" ref="D62:D64" si="11">(B62*$C$20)</f>
        <v>355.36926</v>
      </c>
      <c r="E62" s="459">
        <f>(C62*$C$22/'Conversion Factors and GWP'!$A$8)</f>
        <v>1.1697948540000003E-3</v>
      </c>
      <c r="F62" s="459">
        <f>(C62*$C$24/'Conversion Factors and GWP'!$A$8)</f>
        <v>1.1009833919999998E-3</v>
      </c>
      <c r="G62" s="103">
        <f>D62+('Conversion Factors and GWP'!$C$31*E62)+('Conversion Factors and GWP'!$C$32*F62)</f>
        <v>355.69377485479197</v>
      </c>
      <c r="H62" s="3"/>
      <c r="I62" s="3"/>
      <c r="J62" s="3"/>
      <c r="K62" s="3"/>
      <c r="L62" s="3"/>
      <c r="M62" s="3"/>
      <c r="N62" s="3"/>
      <c r="O62" s="3"/>
      <c r="P62" s="3"/>
      <c r="Q62" s="3"/>
      <c r="R62" s="3"/>
      <c r="S62" s="3"/>
      <c r="T62" s="3"/>
      <c r="U62" s="3"/>
      <c r="V62" s="3"/>
      <c r="W62" s="3"/>
      <c r="X62" s="3"/>
      <c r="Y62" s="3"/>
      <c r="Z62" s="3"/>
    </row>
    <row r="63" spans="1:26" ht="24" hidden="1" customHeight="1" outlineLevel="1" x14ac:dyDescent="0.85">
      <c r="A63" s="89" t="s">
        <v>1103</v>
      </c>
      <c r="B63" s="450">
        <v>9004</v>
      </c>
      <c r="C63" s="457">
        <f t="shared" si="10"/>
        <v>59336.36</v>
      </c>
      <c r="D63" s="458">
        <f t="shared" si="11"/>
        <v>91.930840000000003</v>
      </c>
      <c r="E63" s="460">
        <f>(C63*$C$22/'Conversion Factors and GWP'!$A$8)</f>
        <v>3.0261543600000005E-4</v>
      </c>
      <c r="F63" s="460">
        <f>(C63*$C$24/'Conversion Factors and GWP'!$A$8)</f>
        <v>2.8481452799999999E-4</v>
      </c>
      <c r="G63" s="103">
        <f>D63+('Conversion Factors and GWP'!$C$31*E63)+('Conversion Factors and GWP'!$C$32*F63)</f>
        <v>92.014789082128004</v>
      </c>
      <c r="H63" s="3"/>
      <c r="I63" s="3"/>
      <c r="J63" s="3"/>
      <c r="K63" s="3"/>
      <c r="L63" s="3"/>
      <c r="M63" s="3"/>
      <c r="N63" s="3"/>
      <c r="O63" s="3"/>
      <c r="P63" s="3"/>
      <c r="Q63" s="3"/>
      <c r="R63" s="3"/>
      <c r="S63" s="3"/>
      <c r="T63" s="3"/>
      <c r="U63" s="3"/>
      <c r="V63" s="3"/>
      <c r="W63" s="3"/>
      <c r="X63" s="3"/>
      <c r="Y63" s="3"/>
      <c r="Z63" s="3"/>
    </row>
    <row r="64" spans="1:26" ht="24" hidden="1" customHeight="1" outlineLevel="1" x14ac:dyDescent="0.85">
      <c r="A64" s="89" t="s">
        <v>1104</v>
      </c>
      <c r="B64" s="450">
        <v>782046.99999999988</v>
      </c>
      <c r="C64" s="457">
        <f t="shared" si="10"/>
        <v>5153689.7299999995</v>
      </c>
      <c r="D64" s="458">
        <f t="shared" si="11"/>
        <v>7984.6998699999995</v>
      </c>
      <c r="E64" s="451">
        <f>(C64*$C$22/'Conversion Factors and GWP'!$A$8)</f>
        <v>2.6283817623E-2</v>
      </c>
      <c r="F64" s="451">
        <f>(C64*$C$24/'Conversion Factors and GWP'!$A$8)</f>
        <v>2.4737710703999993E-2</v>
      </c>
      <c r="G64" s="103">
        <f>D64+('Conversion Factors and GWP'!$C$31*E64)+('Conversion Factors and GWP'!$C$32*F64)</f>
        <v>7991.9913102300034</v>
      </c>
      <c r="H64" s="3"/>
      <c r="I64" s="3"/>
      <c r="J64" s="3"/>
      <c r="K64" s="3"/>
      <c r="L64" s="3"/>
      <c r="M64" s="3"/>
      <c r="N64" s="3"/>
      <c r="O64" s="3"/>
      <c r="P64" s="3"/>
      <c r="Q64" s="3"/>
      <c r="R64" s="3"/>
      <c r="S64" s="3"/>
      <c r="T64" s="3"/>
      <c r="U64" s="3"/>
      <c r="V64" s="3"/>
      <c r="W64" s="3"/>
      <c r="X64" s="3"/>
      <c r="Y64" s="3"/>
      <c r="Z64" s="3"/>
    </row>
    <row r="65" spans="1:26" ht="24" hidden="1" customHeight="1" outlineLevel="1" x14ac:dyDescent="0.85">
      <c r="A65" s="452" t="s">
        <v>1086</v>
      </c>
      <c r="B65" s="453">
        <f t="shared" ref="B65:G65" si="12">SUM(B62:B64)</f>
        <v>825856.99999999988</v>
      </c>
      <c r="C65" s="453">
        <f t="shared" si="12"/>
        <v>5442397.6299999999</v>
      </c>
      <c r="D65" s="453">
        <f t="shared" si="12"/>
        <v>8431.9999699999989</v>
      </c>
      <c r="E65" s="454">
        <f t="shared" si="12"/>
        <v>2.7756227913E-2</v>
      </c>
      <c r="F65" s="454">
        <f t="shared" si="12"/>
        <v>2.6123508623999994E-2</v>
      </c>
      <c r="G65" s="453">
        <f t="shared" si="12"/>
        <v>8439.6998741669231</v>
      </c>
      <c r="H65" s="3"/>
      <c r="I65" s="3"/>
      <c r="J65" s="3"/>
      <c r="K65" s="3"/>
      <c r="L65" s="3"/>
      <c r="M65" s="3"/>
      <c r="N65" s="3"/>
      <c r="O65" s="3"/>
      <c r="P65" s="3"/>
      <c r="Q65" s="3"/>
      <c r="R65" s="3"/>
      <c r="S65" s="3"/>
      <c r="T65" s="3"/>
      <c r="U65" s="3"/>
      <c r="V65" s="3"/>
      <c r="W65" s="3"/>
      <c r="X65" s="3"/>
      <c r="Y65" s="3"/>
      <c r="Z65" s="3"/>
    </row>
    <row r="66" spans="1:26" ht="24" hidden="1" customHeight="1" outlineLevel="1" x14ac:dyDescent="0.85">
      <c r="A66" s="805" t="s">
        <v>1105</v>
      </c>
      <c r="B66" s="765"/>
      <c r="C66" s="765"/>
      <c r="D66" s="765"/>
      <c r="E66" s="765"/>
      <c r="F66" s="765"/>
      <c r="G66" s="762"/>
      <c r="H66" s="3"/>
      <c r="I66" s="3"/>
      <c r="J66" s="3"/>
      <c r="K66" s="3"/>
      <c r="L66" s="3"/>
      <c r="M66" s="3"/>
      <c r="N66" s="3"/>
      <c r="O66" s="3"/>
      <c r="P66" s="3"/>
      <c r="Q66" s="3"/>
      <c r="R66" s="3"/>
      <c r="S66" s="3"/>
      <c r="T66" s="3"/>
      <c r="U66" s="3"/>
      <c r="V66" s="3"/>
      <c r="W66" s="3"/>
      <c r="X66" s="3"/>
      <c r="Y66" s="3"/>
      <c r="Z66" s="3"/>
    </row>
    <row r="67" spans="1:26" ht="24" hidden="1" customHeight="1" outlineLevel="1" x14ac:dyDescent="0.85">
      <c r="A67" s="357" t="s">
        <v>1079</v>
      </c>
      <c r="B67" s="72" t="s">
        <v>1106</v>
      </c>
      <c r="C67" s="326" t="s">
        <v>435</v>
      </c>
      <c r="D67" s="72" t="s">
        <v>1107</v>
      </c>
      <c r="E67" s="72" t="s">
        <v>1108</v>
      </c>
      <c r="F67" s="72" t="s">
        <v>1109</v>
      </c>
      <c r="G67" s="72" t="s">
        <v>1110</v>
      </c>
      <c r="H67" s="3"/>
      <c r="I67" s="3"/>
      <c r="J67" s="3"/>
      <c r="K67" s="3"/>
      <c r="L67" s="3"/>
      <c r="M67" s="3"/>
      <c r="N67" s="3"/>
      <c r="O67" s="3"/>
      <c r="P67" s="3"/>
      <c r="Q67" s="3"/>
      <c r="R67" s="3"/>
      <c r="S67" s="3"/>
      <c r="T67" s="3"/>
      <c r="U67" s="3"/>
      <c r="V67" s="3"/>
      <c r="W67" s="3"/>
      <c r="X67" s="3"/>
      <c r="Y67" s="3"/>
      <c r="Z67" s="3"/>
    </row>
    <row r="68" spans="1:26" ht="24" hidden="1" customHeight="1" outlineLevel="1" x14ac:dyDescent="0.85">
      <c r="A68" s="89" t="s">
        <v>1104</v>
      </c>
      <c r="B68" s="450">
        <v>252323.36956521741</v>
      </c>
      <c r="C68" s="457">
        <f>B68*'Conversion Factors and GWP'!C23*'Transit Data'!B43</f>
        <v>888178.2608695653</v>
      </c>
      <c r="D68" s="458">
        <f>(B68*$C$32)</f>
        <v>13.736484239130435</v>
      </c>
      <c r="E68" s="458">
        <f>(C68*$C$33/'Conversion Factors and GWP'!$A$8)</f>
        <v>2.445154752173913</v>
      </c>
      <c r="F68" s="461">
        <f>(C68*$C$34/'Conversion Factors and GWP'!$A$8)</f>
        <v>9.5035073913043496E-3</v>
      </c>
      <c r="G68" s="103">
        <f>D68+('Conversion Factors and GWP'!$C$31*E68)+('Conversion Factors and GWP'!$C$32*F68)</f>
        <v>84.719246758695647</v>
      </c>
      <c r="H68" s="3"/>
      <c r="I68" s="3"/>
      <c r="J68" s="3"/>
      <c r="K68" s="3"/>
      <c r="L68" s="3"/>
      <c r="M68" s="3"/>
      <c r="N68" s="3"/>
      <c r="O68" s="3"/>
      <c r="P68" s="3"/>
      <c r="Q68" s="3"/>
      <c r="R68" s="3"/>
      <c r="S68" s="3"/>
      <c r="T68" s="3"/>
      <c r="U68" s="3"/>
      <c r="V68" s="3"/>
      <c r="W68" s="3"/>
      <c r="X68" s="3"/>
      <c r="Y68" s="3"/>
      <c r="Z68" s="3"/>
    </row>
    <row r="69" spans="1:26" ht="24" hidden="1" customHeight="1" outlineLevel="1" x14ac:dyDescent="0.85">
      <c r="A69" s="452" t="s">
        <v>1111</v>
      </c>
      <c r="B69" s="453">
        <f t="shared" ref="B69:G69" si="13">B68</f>
        <v>252323.36956521741</v>
      </c>
      <c r="C69" s="453">
        <f t="shared" si="13"/>
        <v>888178.2608695653</v>
      </c>
      <c r="D69" s="453">
        <f t="shared" si="13"/>
        <v>13.736484239130435</v>
      </c>
      <c r="E69" s="453">
        <f t="shared" si="13"/>
        <v>2.445154752173913</v>
      </c>
      <c r="F69" s="462">
        <f t="shared" si="13"/>
        <v>9.5035073913043496E-3</v>
      </c>
      <c r="G69" s="453">
        <f t="shared" si="13"/>
        <v>84.719246758695647</v>
      </c>
      <c r="H69" s="3"/>
      <c r="I69" s="3"/>
      <c r="J69" s="3"/>
      <c r="K69" s="3"/>
      <c r="L69" s="3"/>
      <c r="M69" s="3"/>
      <c r="N69" s="3"/>
      <c r="O69" s="3"/>
      <c r="P69" s="3"/>
      <c r="Q69" s="3"/>
      <c r="R69" s="3"/>
      <c r="S69" s="3"/>
      <c r="T69" s="3"/>
      <c r="U69" s="3"/>
      <c r="V69" s="3"/>
      <c r="W69" s="3"/>
      <c r="X69" s="3"/>
      <c r="Y69" s="3"/>
      <c r="Z69" s="3"/>
    </row>
    <row r="70" spans="1:26" ht="24" hidden="1" customHeight="1" outlineLevel="1" x14ac:dyDescent="0.85">
      <c r="A70" s="805" t="s">
        <v>139</v>
      </c>
      <c r="B70" s="765"/>
      <c r="C70" s="765"/>
      <c r="D70" s="765"/>
      <c r="E70" s="765"/>
      <c r="F70" s="765"/>
      <c r="G70" s="762"/>
      <c r="H70" s="3"/>
      <c r="I70" s="3"/>
      <c r="J70" s="3"/>
      <c r="K70" s="3"/>
      <c r="L70" s="3"/>
      <c r="M70" s="3"/>
      <c r="N70" s="3"/>
      <c r="O70" s="3"/>
      <c r="P70" s="3"/>
      <c r="Q70" s="3"/>
      <c r="R70" s="3"/>
      <c r="S70" s="3"/>
      <c r="T70" s="3"/>
      <c r="U70" s="3"/>
      <c r="V70" s="3"/>
      <c r="W70" s="3"/>
      <c r="X70" s="3"/>
      <c r="Y70" s="3"/>
      <c r="Z70" s="3"/>
    </row>
    <row r="71" spans="1:26" ht="24" hidden="1" customHeight="1" outlineLevel="1" x14ac:dyDescent="0.85">
      <c r="A71" s="357" t="s">
        <v>1079</v>
      </c>
      <c r="B71" s="72" t="s">
        <v>255</v>
      </c>
      <c r="C71" s="326" t="s">
        <v>435</v>
      </c>
      <c r="D71" s="72" t="s">
        <v>1112</v>
      </c>
      <c r="E71" s="72" t="s">
        <v>1113</v>
      </c>
      <c r="F71" s="72" t="s">
        <v>1114</v>
      </c>
      <c r="G71" s="72" t="s">
        <v>1115</v>
      </c>
      <c r="H71" s="3"/>
      <c r="I71" s="3"/>
      <c r="J71" s="3"/>
      <c r="K71" s="3"/>
      <c r="L71" s="3"/>
      <c r="M71" s="3"/>
      <c r="N71" s="3"/>
      <c r="O71" s="3"/>
      <c r="P71" s="3"/>
      <c r="Q71" s="3"/>
      <c r="R71" s="3"/>
      <c r="S71" s="3"/>
      <c r="T71" s="3"/>
      <c r="U71" s="3"/>
      <c r="V71" s="3"/>
      <c r="W71" s="3"/>
      <c r="X71" s="3"/>
      <c r="Y71" s="3"/>
      <c r="Z71" s="3"/>
    </row>
    <row r="72" spans="1:26" ht="24" hidden="1" customHeight="1" outlineLevel="1" x14ac:dyDescent="0.85">
      <c r="A72" s="89" t="s">
        <v>1104</v>
      </c>
      <c r="B72" s="450">
        <v>88578.938999999998</v>
      </c>
      <c r="C72" s="39">
        <f>B72/$B$42</f>
        <v>31189.767253521128</v>
      </c>
      <c r="D72" s="458">
        <f>(B72/'Conversion Factors and GWP'!$A$5)*'Energy Data'!$D$26</f>
        <v>22.791361004700001</v>
      </c>
      <c r="E72" s="459">
        <f>(B72/'Conversion Factors and GWP'!$A$5)*'Energy Data'!$D$28</f>
        <v>2.0491177114423348E-3</v>
      </c>
      <c r="F72" s="460">
        <f>(B72/'Conversion Factors and GWP'!$A$5)*'Energy Data'!$D$29</f>
        <v>2.812514505901244E-4</v>
      </c>
      <c r="G72" s="103">
        <f>D72+('Conversion Factors and GWP'!$C$31*E72)+('Conversion Factors and GWP'!$C$32*F72)</f>
        <v>22.923267935026768</v>
      </c>
      <c r="H72" s="3"/>
      <c r="I72" s="3"/>
      <c r="J72" s="3"/>
      <c r="K72" s="3"/>
      <c r="L72" s="3"/>
      <c r="M72" s="3"/>
      <c r="N72" s="3"/>
      <c r="O72" s="3"/>
      <c r="P72" s="3"/>
      <c r="Q72" s="3"/>
      <c r="R72" s="3"/>
      <c r="S72" s="3"/>
      <c r="T72" s="3"/>
      <c r="U72" s="3"/>
      <c r="V72" s="3"/>
      <c r="W72" s="3"/>
      <c r="X72" s="3"/>
      <c r="Y72" s="3"/>
      <c r="Z72" s="3"/>
    </row>
    <row r="73" spans="1:26" ht="24" hidden="1" customHeight="1" outlineLevel="1" x14ac:dyDescent="0.85">
      <c r="A73" s="431" t="s">
        <v>424</v>
      </c>
      <c r="B73" s="463">
        <f t="shared" ref="B73:G73" si="14">SUM(B72)</f>
        <v>88578.938999999998</v>
      </c>
      <c r="C73" s="463">
        <f t="shared" si="14"/>
        <v>31189.767253521128</v>
      </c>
      <c r="D73" s="463">
        <f t="shared" si="14"/>
        <v>22.791361004700001</v>
      </c>
      <c r="E73" s="464">
        <f t="shared" si="14"/>
        <v>2.0491177114423348E-3</v>
      </c>
      <c r="F73" s="465">
        <f t="shared" si="14"/>
        <v>2.812514505901244E-4</v>
      </c>
      <c r="G73" s="463">
        <f t="shared" si="14"/>
        <v>22.923267935026768</v>
      </c>
      <c r="H73" s="3"/>
      <c r="I73" s="3"/>
      <c r="J73" s="3"/>
      <c r="K73" s="3"/>
      <c r="L73" s="3"/>
      <c r="M73" s="3"/>
      <c r="N73" s="3"/>
      <c r="O73" s="3"/>
      <c r="P73" s="3"/>
      <c r="Q73" s="3"/>
      <c r="R73" s="3"/>
      <c r="S73" s="3"/>
      <c r="T73" s="3"/>
      <c r="U73" s="3"/>
      <c r="V73" s="3"/>
      <c r="W73" s="3"/>
      <c r="X73" s="3"/>
      <c r="Y73" s="3"/>
      <c r="Z73" s="3"/>
    </row>
    <row r="74" spans="1:26" ht="24" hidden="1" customHeight="1" outlineLevel="1" x14ac:dyDescent="0.85">
      <c r="A74" s="873" t="s">
        <v>119</v>
      </c>
      <c r="B74" s="762"/>
      <c r="C74" s="455">
        <f t="shared" ref="C74:G74" si="15">SUM(C59,C65,C69,C73)</f>
        <v>9310094.6181230862</v>
      </c>
      <c r="D74" s="455">
        <f t="shared" si="15"/>
        <v>12114.48954324383</v>
      </c>
      <c r="E74" s="455">
        <f t="shared" si="15"/>
        <v>2.4973673978943554</v>
      </c>
      <c r="F74" s="466">
        <f t="shared" si="15"/>
        <v>5.7725901769894464E-2</v>
      </c>
      <c r="G74" s="455">
        <f t="shared" si="15"/>
        <v>12199.713194353892</v>
      </c>
      <c r="H74" s="3"/>
      <c r="I74" s="3"/>
      <c r="J74" s="3"/>
      <c r="K74" s="3"/>
      <c r="L74" s="3"/>
      <c r="M74" s="3"/>
      <c r="N74" s="3"/>
      <c r="O74" s="3"/>
      <c r="P74" s="3"/>
      <c r="Q74" s="3"/>
      <c r="R74" s="3"/>
      <c r="S74" s="3"/>
      <c r="T74" s="3"/>
      <c r="U74" s="3"/>
      <c r="V74" s="3"/>
      <c r="W74" s="3"/>
      <c r="X74" s="3"/>
      <c r="Y74" s="3"/>
      <c r="Z74" s="3"/>
    </row>
    <row r="75" spans="1:26" ht="24" hidden="1" customHeight="1" outlineLevel="1" x14ac:dyDescent="0.85">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24" hidden="1" customHeight="1" outlineLevel="1" x14ac:dyDescent="0.85">
      <c r="A76" s="334" t="s">
        <v>426</v>
      </c>
      <c r="B76" s="341"/>
      <c r="C76" s="341"/>
      <c r="D76" s="341"/>
      <c r="E76" s="342"/>
      <c r="F76" s="3"/>
      <c r="G76" s="3"/>
      <c r="H76" s="3"/>
      <c r="I76" s="3"/>
      <c r="J76" s="3"/>
      <c r="K76" s="3"/>
      <c r="L76" s="3"/>
      <c r="M76" s="3"/>
      <c r="N76" s="3"/>
      <c r="O76" s="3"/>
      <c r="P76" s="3"/>
      <c r="Q76" s="3"/>
      <c r="R76" s="3"/>
      <c r="S76" s="3"/>
      <c r="T76" s="3"/>
      <c r="U76" s="3"/>
      <c r="V76" s="3"/>
      <c r="W76" s="3"/>
      <c r="X76" s="3"/>
      <c r="Y76" s="3"/>
      <c r="Z76" s="3"/>
    </row>
    <row r="77" spans="1:26" ht="24" hidden="1" customHeight="1" outlineLevel="1" x14ac:dyDescent="0.85">
      <c r="A77" s="357" t="s">
        <v>1116</v>
      </c>
      <c r="B77" s="72" t="s">
        <v>1117</v>
      </c>
      <c r="C77" s="72" t="s">
        <v>1118</v>
      </c>
      <c r="D77" s="72" t="s">
        <v>1119</v>
      </c>
      <c r="E77" s="72" t="s">
        <v>1120</v>
      </c>
      <c r="F77" s="3"/>
      <c r="G77" s="3"/>
      <c r="H77" s="3"/>
      <c r="I77" s="3"/>
      <c r="J77" s="3"/>
      <c r="K77" s="3"/>
      <c r="L77" s="3"/>
      <c r="M77" s="3"/>
      <c r="N77" s="3"/>
      <c r="O77" s="3"/>
      <c r="P77" s="3"/>
      <c r="Q77" s="3"/>
      <c r="R77" s="3"/>
      <c r="S77" s="3"/>
      <c r="T77" s="3"/>
      <c r="U77" s="3"/>
      <c r="V77" s="3"/>
      <c r="W77" s="3"/>
      <c r="X77" s="3"/>
      <c r="Y77" s="3"/>
      <c r="Z77" s="3"/>
    </row>
    <row r="78" spans="1:26" ht="24" hidden="1" customHeight="1" outlineLevel="1" x14ac:dyDescent="0.85">
      <c r="A78" s="457">
        <f>B73*'Energy Data'!$C$32</f>
        <v>2373.9155651999999</v>
      </c>
      <c r="B78" s="460">
        <f>(A78/'Conversion Factors and GWP'!$A$5)*'Energy Data'!$D$26</f>
        <v>0.61080847492595991</v>
      </c>
      <c r="C78" s="467">
        <f>(A78/'Conversion Factors and GWP'!$A$5)*'Energy Data'!$D$28</f>
        <v>5.4916354666654566E-5</v>
      </c>
      <c r="D78" s="468">
        <f>(A78/'Conversion Factors and GWP'!$A$5)*'Energy Data'!$D$29</f>
        <v>7.5375388758153335E-6</v>
      </c>
      <c r="E78" s="430">
        <f>B78+(C78*'Conversion Factors and GWP'!$C$31)+('Conversion Factors and GWP'!$C$32*'Transit Data'!D78)</f>
        <v>0.6143435806587173</v>
      </c>
      <c r="F78" s="3"/>
      <c r="G78" s="3"/>
      <c r="H78" s="3"/>
      <c r="I78" s="3"/>
      <c r="J78" s="3"/>
      <c r="K78" s="3"/>
      <c r="L78" s="3"/>
      <c r="M78" s="3"/>
      <c r="N78" s="3"/>
      <c r="O78" s="3"/>
      <c r="P78" s="3"/>
      <c r="Q78" s="3"/>
      <c r="R78" s="3"/>
      <c r="S78" s="3"/>
      <c r="T78" s="3"/>
      <c r="U78" s="3"/>
      <c r="V78" s="3"/>
      <c r="W78" s="3"/>
      <c r="X78" s="3"/>
      <c r="Y78" s="3"/>
      <c r="Z78" s="3"/>
    </row>
    <row r="79" spans="1:26" ht="24" customHeight="1" collapsed="1" x14ac:dyDescent="0.85">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24" customHeight="1" x14ac:dyDescent="0.85">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24" customHeight="1" x14ac:dyDescent="0.85">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24" customHeight="1" x14ac:dyDescent="0.85">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24" customHeight="1" x14ac:dyDescent="0.85">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24" customHeight="1" x14ac:dyDescent="0.85">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24" customHeight="1" x14ac:dyDescent="0.85">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24" customHeight="1" x14ac:dyDescent="0.85">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24" customHeight="1" x14ac:dyDescent="0.85">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24" customHeight="1" x14ac:dyDescent="0.85">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24" customHeight="1" x14ac:dyDescent="0.85">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24" customHeight="1" x14ac:dyDescent="0.85">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24" customHeight="1" x14ac:dyDescent="0.85">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24" customHeight="1" x14ac:dyDescent="0.85">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24" customHeight="1" x14ac:dyDescent="0.85">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24" customHeight="1" x14ac:dyDescent="0.85">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24" customHeight="1" x14ac:dyDescent="0.85">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24" customHeight="1" x14ac:dyDescent="0.85">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24" customHeight="1" x14ac:dyDescent="0.85">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24" customHeight="1" x14ac:dyDescent="0.85">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24" customHeight="1" x14ac:dyDescent="0.85">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24" customHeight="1" x14ac:dyDescent="0.8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24" customHeight="1" x14ac:dyDescent="0.8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24" customHeight="1" x14ac:dyDescent="0.8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24" customHeight="1" x14ac:dyDescent="0.8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24" customHeight="1" x14ac:dyDescent="0.8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24" customHeight="1" x14ac:dyDescent="0.8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24" customHeight="1" x14ac:dyDescent="0.8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24" customHeight="1" x14ac:dyDescent="0.8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24" customHeight="1" x14ac:dyDescent="0.8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24" customHeight="1" x14ac:dyDescent="0.8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24" customHeight="1" x14ac:dyDescent="0.8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24" customHeight="1" x14ac:dyDescent="0.8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24" customHeight="1" x14ac:dyDescent="0.8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24" customHeight="1" x14ac:dyDescent="0.8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24" customHeight="1" x14ac:dyDescent="0.8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24" customHeight="1" x14ac:dyDescent="0.8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24" customHeight="1" x14ac:dyDescent="0.8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24" customHeight="1" x14ac:dyDescent="0.8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24" customHeight="1" x14ac:dyDescent="0.8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24" customHeight="1" x14ac:dyDescent="0.8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24" customHeight="1" x14ac:dyDescent="0.8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24" customHeight="1" x14ac:dyDescent="0.8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24" customHeight="1" x14ac:dyDescent="0.8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24" customHeight="1" x14ac:dyDescent="0.8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24" customHeight="1" x14ac:dyDescent="0.8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24" customHeight="1" x14ac:dyDescent="0.8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24" customHeight="1" x14ac:dyDescent="0.8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24" customHeight="1" x14ac:dyDescent="0.8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24" customHeight="1" x14ac:dyDescent="0.8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24" customHeight="1" x14ac:dyDescent="0.8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24" customHeight="1" x14ac:dyDescent="0.8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24" customHeight="1" x14ac:dyDescent="0.8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24" customHeight="1" x14ac:dyDescent="0.8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24" customHeight="1" x14ac:dyDescent="0.8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24" customHeight="1" x14ac:dyDescent="0.8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24" customHeight="1" x14ac:dyDescent="0.8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24" customHeight="1" x14ac:dyDescent="0.8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24" customHeight="1" x14ac:dyDescent="0.8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24" customHeight="1" x14ac:dyDescent="0.8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24" customHeight="1" x14ac:dyDescent="0.8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24" customHeight="1" x14ac:dyDescent="0.8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24" customHeight="1" x14ac:dyDescent="0.8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24" customHeight="1" x14ac:dyDescent="0.8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24" customHeight="1" x14ac:dyDescent="0.8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24" customHeight="1" x14ac:dyDescent="0.8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24" customHeight="1" x14ac:dyDescent="0.8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24" customHeight="1" x14ac:dyDescent="0.8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24" customHeight="1" x14ac:dyDescent="0.8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24" customHeight="1" x14ac:dyDescent="0.8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24" customHeight="1" x14ac:dyDescent="0.8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24" customHeight="1" x14ac:dyDescent="0.8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24" customHeight="1" x14ac:dyDescent="0.8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24" customHeight="1" x14ac:dyDescent="0.8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24" customHeight="1" x14ac:dyDescent="0.8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24" customHeight="1" x14ac:dyDescent="0.8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24" customHeight="1" x14ac:dyDescent="0.8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24" customHeight="1" x14ac:dyDescent="0.8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24" customHeight="1" x14ac:dyDescent="0.8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24" customHeight="1" x14ac:dyDescent="0.8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24" customHeight="1" x14ac:dyDescent="0.8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24" customHeight="1" x14ac:dyDescent="0.8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24" customHeight="1" x14ac:dyDescent="0.8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24" customHeight="1" x14ac:dyDescent="0.8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24" customHeight="1" x14ac:dyDescent="0.8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24" customHeight="1" x14ac:dyDescent="0.8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24" customHeight="1" x14ac:dyDescent="0.8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24" customHeight="1" x14ac:dyDescent="0.8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24" customHeight="1" x14ac:dyDescent="0.8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24" customHeight="1" x14ac:dyDescent="0.8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24" customHeight="1" x14ac:dyDescent="0.8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24" customHeight="1" x14ac:dyDescent="0.8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24" customHeight="1" x14ac:dyDescent="0.8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24" customHeight="1" x14ac:dyDescent="0.8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24" customHeight="1" x14ac:dyDescent="0.8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24" customHeight="1" x14ac:dyDescent="0.8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24" customHeight="1" x14ac:dyDescent="0.8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24" customHeight="1" x14ac:dyDescent="0.8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24" customHeight="1" x14ac:dyDescent="0.8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24" customHeight="1" x14ac:dyDescent="0.8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24" customHeight="1" x14ac:dyDescent="0.8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24" customHeight="1" x14ac:dyDescent="0.8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24" customHeight="1" x14ac:dyDescent="0.8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24" customHeight="1" x14ac:dyDescent="0.8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24" customHeight="1" x14ac:dyDescent="0.8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24" customHeight="1" x14ac:dyDescent="0.8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24" customHeight="1" x14ac:dyDescent="0.8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24" customHeight="1" x14ac:dyDescent="0.8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24" customHeight="1" x14ac:dyDescent="0.8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24" customHeight="1" x14ac:dyDescent="0.8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24" customHeight="1" x14ac:dyDescent="0.8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24" customHeight="1" x14ac:dyDescent="0.8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24" customHeight="1" x14ac:dyDescent="0.8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24" customHeight="1" x14ac:dyDescent="0.8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24" customHeight="1" x14ac:dyDescent="0.8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24" customHeight="1" x14ac:dyDescent="0.8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24" customHeight="1" x14ac:dyDescent="0.8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24" customHeight="1" x14ac:dyDescent="0.8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24" customHeight="1" x14ac:dyDescent="0.8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24" customHeight="1" x14ac:dyDescent="0.8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24" customHeight="1" x14ac:dyDescent="0.8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24" customHeight="1" x14ac:dyDescent="0.8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24" customHeight="1" x14ac:dyDescent="0.8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24" customHeight="1" x14ac:dyDescent="0.8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24" customHeight="1" x14ac:dyDescent="0.8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24" customHeight="1" x14ac:dyDescent="0.8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24" customHeight="1" x14ac:dyDescent="0.8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24" customHeight="1" x14ac:dyDescent="0.8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24" customHeight="1" x14ac:dyDescent="0.8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24" customHeight="1" x14ac:dyDescent="0.8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24" customHeight="1" x14ac:dyDescent="0.8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24" customHeight="1" x14ac:dyDescent="0.8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24" customHeight="1" x14ac:dyDescent="0.8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24" customHeight="1" x14ac:dyDescent="0.8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24" customHeight="1" x14ac:dyDescent="0.8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24" customHeight="1" x14ac:dyDescent="0.8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24" customHeight="1" x14ac:dyDescent="0.8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24" customHeight="1" x14ac:dyDescent="0.8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24" customHeight="1" x14ac:dyDescent="0.8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24" customHeight="1" x14ac:dyDescent="0.8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24" customHeight="1" x14ac:dyDescent="0.8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24" customHeight="1" x14ac:dyDescent="0.8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24" customHeight="1" x14ac:dyDescent="0.8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24" customHeight="1" x14ac:dyDescent="0.8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24" customHeight="1" x14ac:dyDescent="0.8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24" customHeight="1" x14ac:dyDescent="0.8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24" customHeight="1" x14ac:dyDescent="0.8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24" customHeight="1" x14ac:dyDescent="0.8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24" customHeight="1" x14ac:dyDescent="0.8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24" customHeight="1" x14ac:dyDescent="0.8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24" customHeight="1" x14ac:dyDescent="0.8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24" customHeight="1" x14ac:dyDescent="0.8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24" customHeight="1" x14ac:dyDescent="0.8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24" customHeight="1" x14ac:dyDescent="0.8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24" customHeight="1" x14ac:dyDescent="0.8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24" customHeight="1" x14ac:dyDescent="0.8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24" customHeight="1" x14ac:dyDescent="0.8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24" customHeight="1" x14ac:dyDescent="0.8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24" customHeight="1" x14ac:dyDescent="0.8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24" customHeight="1" x14ac:dyDescent="0.8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24" customHeight="1" x14ac:dyDescent="0.8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24" customHeight="1" x14ac:dyDescent="0.8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24" customHeight="1" x14ac:dyDescent="0.8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24" customHeight="1" x14ac:dyDescent="0.8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24" customHeight="1" x14ac:dyDescent="0.8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24" customHeight="1" x14ac:dyDescent="0.8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24" customHeight="1" x14ac:dyDescent="0.8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24" customHeight="1" x14ac:dyDescent="0.8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24" customHeight="1" x14ac:dyDescent="0.8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24" customHeight="1" x14ac:dyDescent="0.8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24" customHeight="1" x14ac:dyDescent="0.8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24" customHeight="1" x14ac:dyDescent="0.8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24" customHeight="1" x14ac:dyDescent="0.8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24" customHeight="1" x14ac:dyDescent="0.8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24" customHeight="1" x14ac:dyDescent="0.8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24" customHeight="1" x14ac:dyDescent="0.8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24" customHeight="1" x14ac:dyDescent="0.8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24" customHeight="1" x14ac:dyDescent="0.8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24" customHeight="1" x14ac:dyDescent="0.8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24" customHeight="1" x14ac:dyDescent="0.8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24" customHeight="1" x14ac:dyDescent="0.8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24" customHeight="1" x14ac:dyDescent="0.8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24" customHeight="1" x14ac:dyDescent="0.8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24" customHeight="1" x14ac:dyDescent="0.8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24" customHeight="1" x14ac:dyDescent="0.8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24" customHeight="1" x14ac:dyDescent="0.8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24" customHeight="1" x14ac:dyDescent="0.8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24" customHeight="1" x14ac:dyDescent="0.8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24" customHeight="1" x14ac:dyDescent="0.8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24" customHeight="1" x14ac:dyDescent="0.8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24" customHeight="1" x14ac:dyDescent="0.8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24" customHeight="1" x14ac:dyDescent="0.8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24" customHeight="1" x14ac:dyDescent="0.8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24" customHeight="1" x14ac:dyDescent="0.8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24" customHeight="1" x14ac:dyDescent="0.8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24" customHeight="1" x14ac:dyDescent="0.8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24" customHeight="1" x14ac:dyDescent="0.8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24" customHeight="1" x14ac:dyDescent="0.8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24" customHeight="1" x14ac:dyDescent="0.8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24" customHeight="1" x14ac:dyDescent="0.8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8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8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8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8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8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8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8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8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8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8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8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8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8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8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8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8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8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8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8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8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8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8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8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8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8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8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8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8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8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8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8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8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8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8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8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8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8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8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8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8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8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8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8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8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8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8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8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8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8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8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8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8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8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8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8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8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8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8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8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8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8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8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8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8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8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8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8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8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8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8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8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8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8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8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8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8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8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8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8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8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8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8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8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8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8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8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8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8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8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8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8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8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8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8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8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8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8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8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8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8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8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8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8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8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8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8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8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8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8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8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8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8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8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8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8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8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8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8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8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8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8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8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8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8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8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8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8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8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8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8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8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8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8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8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8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8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8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8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8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8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8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8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8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8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8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8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8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8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8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8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8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8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8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8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8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8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8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8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8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8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8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8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8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8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8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8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8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8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8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8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8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8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8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8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8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8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8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8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8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8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8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8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8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8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8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8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8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8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8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8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8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8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8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8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8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8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8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8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8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8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8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8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8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8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8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8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8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8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8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8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8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8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8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8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8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8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8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8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8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8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8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8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8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8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8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8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8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8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8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8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8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8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8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8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8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8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8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8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8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8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8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8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8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8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8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8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8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8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8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8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8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8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8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8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8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8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8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8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8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8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8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8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8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8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8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8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8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8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8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8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8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8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8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8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8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8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8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8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8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8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8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8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8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8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8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8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8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8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8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8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8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8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8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8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8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8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8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8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8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8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8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8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8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8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8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8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8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8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8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8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8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8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8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8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8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8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8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8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8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8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8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8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8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8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8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8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8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8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8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8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8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8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8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8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8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8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8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8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8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8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8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8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8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8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8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8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8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8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8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8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8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8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8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8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8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8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8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8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8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8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8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8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8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8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8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8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8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8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8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8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8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8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8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8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8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8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8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8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8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8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8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8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8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8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8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8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8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8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8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8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8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8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8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8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8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8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8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8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8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8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8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8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8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8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8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8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8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8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8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8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8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8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8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8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8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8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8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8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8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8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8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8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8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8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8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8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8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8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8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8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8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8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8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8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8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8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8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8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8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8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8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8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8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8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8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8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8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8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8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8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8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8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8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8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8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8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8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8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8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8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8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8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8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8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8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8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8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8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8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8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8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8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8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8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8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8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8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8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8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8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8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8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8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8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8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8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8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8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8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8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8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8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8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8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8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8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8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8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8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8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8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8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8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8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8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8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8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8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8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8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8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8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8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8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8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8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8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8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8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8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8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8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8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8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8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8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8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8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8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8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8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8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8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8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8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8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8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8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8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8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8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8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8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8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8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8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8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8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8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8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8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8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8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8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8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8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8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8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8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8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8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8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8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8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8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8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8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8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8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8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8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8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8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8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8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8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8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8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8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8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8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8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8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8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8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8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8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8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8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8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8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8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8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8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8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8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8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8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8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8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8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8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8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8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8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8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8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8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8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8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8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8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8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8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8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8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8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8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8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8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8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8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8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8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8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8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8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8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8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8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8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8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8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8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8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8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8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8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8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8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8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8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8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8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8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8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8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8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8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8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8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8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8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8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8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8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8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8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8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8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8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8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8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8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8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8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8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8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8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8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8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8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8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8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8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8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8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8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8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8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8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8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8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8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8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8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8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8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8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8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8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8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8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8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8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8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8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8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8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8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8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8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8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8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8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8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8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8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8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8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8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8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8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8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8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8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8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8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8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8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8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8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33">
    <mergeCell ref="A1:G1"/>
    <mergeCell ref="A2:G2"/>
    <mergeCell ref="A11:G11"/>
    <mergeCell ref="A12:G12"/>
    <mergeCell ref="A13:G13"/>
    <mergeCell ref="A14:G14"/>
    <mergeCell ref="A15:G15"/>
    <mergeCell ref="E27:F29"/>
    <mergeCell ref="E31:F31"/>
    <mergeCell ref="E32:F34"/>
    <mergeCell ref="A17:G17"/>
    <mergeCell ref="A18:F18"/>
    <mergeCell ref="E19:F19"/>
    <mergeCell ref="E20:F24"/>
    <mergeCell ref="A25:F25"/>
    <mergeCell ref="E26:F26"/>
    <mergeCell ref="A30:F30"/>
    <mergeCell ref="A35:F35"/>
    <mergeCell ref="A36:B36"/>
    <mergeCell ref="E36:F36"/>
    <mergeCell ref="A37:B37"/>
    <mergeCell ref="E37:F37"/>
    <mergeCell ref="A38:C38"/>
    <mergeCell ref="A44:G44"/>
    <mergeCell ref="A70:G70"/>
    <mergeCell ref="A74:B74"/>
    <mergeCell ref="A45:G45"/>
    <mergeCell ref="A46:G46"/>
    <mergeCell ref="A50:B50"/>
    <mergeCell ref="A52:G52"/>
    <mergeCell ref="A53:G53"/>
    <mergeCell ref="A60:G60"/>
    <mergeCell ref="A66:G66"/>
  </mergeCells>
  <pageMargins left="0.7" right="0.7" top="0.75" bottom="0.75" header="0" footer="0"/>
  <pageSetup orientation="portrai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00708A"/>
  </sheetPr>
  <dimension ref="A1:AE1000"/>
  <sheetViews>
    <sheetView workbookViewId="0"/>
  </sheetViews>
  <sheetFormatPr defaultColWidth="11.23046875" defaultRowHeight="15" customHeight="1" outlineLevelRow="1" x14ac:dyDescent="0.85"/>
  <cols>
    <col min="1" max="1" width="41.921875" customWidth="1"/>
    <col min="2" max="2" width="18.921875" customWidth="1"/>
    <col min="3" max="14" width="17.61328125" customWidth="1"/>
    <col min="15" max="31" width="9.23046875" customWidth="1"/>
  </cols>
  <sheetData>
    <row r="1" spans="1:31" ht="22.5" customHeight="1" x14ac:dyDescent="0.85">
      <c r="A1" s="786" t="s">
        <v>69</v>
      </c>
      <c r="B1" s="765"/>
      <c r="C1" s="765"/>
      <c r="D1" s="765"/>
      <c r="E1" s="765"/>
      <c r="F1" s="765"/>
      <c r="G1" s="765"/>
      <c r="H1" s="765"/>
      <c r="I1" s="765"/>
      <c r="J1" s="765"/>
      <c r="K1" s="762"/>
      <c r="L1" s="15"/>
      <c r="M1" s="15"/>
      <c r="N1" s="15"/>
      <c r="O1" s="15"/>
      <c r="P1" s="3"/>
      <c r="Q1" s="3"/>
      <c r="R1" s="3"/>
      <c r="S1" s="3"/>
      <c r="T1" s="3"/>
      <c r="U1" s="3"/>
      <c r="V1" s="3"/>
      <c r="W1" s="3"/>
      <c r="X1" s="3"/>
      <c r="Y1" s="3"/>
      <c r="Z1" s="3"/>
      <c r="AA1" s="3"/>
      <c r="AB1" s="3"/>
      <c r="AC1" s="3"/>
      <c r="AD1" s="3"/>
      <c r="AE1" s="3"/>
    </row>
    <row r="2" spans="1:31" ht="22.5" customHeight="1" x14ac:dyDescent="0.85">
      <c r="A2" s="858" t="s">
        <v>393</v>
      </c>
      <c r="B2" s="765"/>
      <c r="C2" s="765"/>
      <c r="D2" s="765"/>
      <c r="E2" s="765"/>
      <c r="F2" s="765"/>
      <c r="G2" s="765"/>
      <c r="H2" s="765"/>
      <c r="I2" s="765"/>
      <c r="J2" s="765"/>
      <c r="K2" s="762"/>
      <c r="L2" s="15"/>
      <c r="M2" s="15"/>
      <c r="N2" s="15"/>
      <c r="O2" s="15"/>
      <c r="P2" s="3"/>
      <c r="Q2" s="3"/>
      <c r="R2" s="3"/>
      <c r="S2" s="3"/>
      <c r="T2" s="3"/>
      <c r="U2" s="3"/>
      <c r="V2" s="3"/>
      <c r="W2" s="3"/>
      <c r="X2" s="3"/>
      <c r="Y2" s="3"/>
      <c r="Z2" s="3"/>
      <c r="AA2" s="3"/>
      <c r="AB2" s="3"/>
      <c r="AC2" s="3"/>
      <c r="AD2" s="3"/>
      <c r="AE2" s="3"/>
    </row>
    <row r="3" spans="1:31" ht="22.5" hidden="1" customHeight="1" outlineLevel="1" x14ac:dyDescent="0.85">
      <c r="A3" s="326" t="s">
        <v>582</v>
      </c>
      <c r="B3" s="72" t="s">
        <v>1121</v>
      </c>
      <c r="C3" s="72" t="s">
        <v>1122</v>
      </c>
      <c r="D3" s="72" t="s">
        <v>120</v>
      </c>
      <c r="E3" s="72" t="s">
        <v>121</v>
      </c>
      <c r="F3" s="72" t="s">
        <v>122</v>
      </c>
      <c r="G3" s="469"/>
      <c r="H3" s="15"/>
      <c r="I3" s="15"/>
      <c r="J3" s="3"/>
      <c r="K3" s="469"/>
      <c r="L3" s="15"/>
      <c r="M3" s="15"/>
      <c r="N3" s="15"/>
      <c r="O3" s="15"/>
      <c r="P3" s="3"/>
      <c r="Q3" s="3"/>
      <c r="R3" s="3"/>
      <c r="S3" s="3"/>
      <c r="T3" s="3"/>
      <c r="U3" s="3"/>
      <c r="V3" s="3"/>
      <c r="W3" s="3"/>
      <c r="X3" s="3"/>
      <c r="Y3" s="3"/>
      <c r="Z3" s="3"/>
      <c r="AA3" s="3"/>
      <c r="AB3" s="3"/>
      <c r="AC3" s="3"/>
      <c r="AD3" s="3"/>
      <c r="AE3" s="3"/>
    </row>
    <row r="4" spans="1:31" ht="22.5" hidden="1" customHeight="1" outlineLevel="1" x14ac:dyDescent="0.85">
      <c r="A4" s="89" t="s">
        <v>105</v>
      </c>
      <c r="B4" s="259">
        <f t="shared" ref="B4:B8" si="0">D4+F4</f>
        <v>282105.35830398061</v>
      </c>
      <c r="C4" s="258" t="s">
        <v>106</v>
      </c>
      <c r="D4" s="259">
        <f>K43+K44+E64</f>
        <v>28249.864606659077</v>
      </c>
      <c r="E4" s="268" t="s">
        <v>106</v>
      </c>
      <c r="F4" s="259">
        <f>K45+K46+E63</f>
        <v>253855.49369732151</v>
      </c>
      <c r="G4" s="470"/>
      <c r="H4" s="15"/>
      <c r="I4" s="15"/>
      <c r="J4" s="15"/>
      <c r="K4" s="470"/>
      <c r="L4" s="15"/>
      <c r="M4" s="15"/>
      <c r="N4" s="15"/>
      <c r="O4" s="15"/>
      <c r="P4" s="15"/>
      <c r="Q4" s="15"/>
      <c r="R4" s="15"/>
      <c r="S4" s="15"/>
      <c r="T4" s="15"/>
      <c r="U4" s="15"/>
      <c r="V4" s="15"/>
      <c r="W4" s="15"/>
      <c r="X4" s="15"/>
      <c r="Y4" s="15"/>
      <c r="Z4" s="15"/>
      <c r="AA4" s="15"/>
      <c r="AB4" s="15"/>
      <c r="AC4" s="15"/>
      <c r="AD4" s="15"/>
      <c r="AE4" s="15"/>
    </row>
    <row r="5" spans="1:31" ht="22.5" hidden="1" customHeight="1" outlineLevel="1" x14ac:dyDescent="0.85">
      <c r="A5" s="89" t="s">
        <v>126</v>
      </c>
      <c r="B5" s="259">
        <f t="shared" si="0"/>
        <v>282105.35830398061</v>
      </c>
      <c r="C5" s="258">
        <f t="shared" ref="C5:C8" si="1">B5/$B$10</f>
        <v>1</v>
      </c>
      <c r="D5" s="259">
        <f>K47+K48+E64</f>
        <v>28249.864606659077</v>
      </c>
      <c r="E5" s="268" t="s">
        <v>106</v>
      </c>
      <c r="F5" s="259">
        <f>K49+K50+E63</f>
        <v>253855.49369732151</v>
      </c>
      <c r="G5" s="470"/>
      <c r="H5" s="15"/>
      <c r="I5" s="15"/>
      <c r="J5" s="15"/>
      <c r="K5" s="470"/>
      <c r="L5" s="15"/>
      <c r="M5" s="15"/>
      <c r="N5" s="15"/>
      <c r="O5" s="15"/>
      <c r="P5" s="15"/>
      <c r="Q5" s="15"/>
      <c r="R5" s="15"/>
      <c r="S5" s="15"/>
      <c r="T5" s="15"/>
      <c r="U5" s="15"/>
      <c r="V5" s="15"/>
      <c r="W5" s="15"/>
      <c r="X5" s="15"/>
      <c r="Y5" s="15"/>
      <c r="Z5" s="15"/>
      <c r="AA5" s="15"/>
      <c r="AB5" s="15"/>
      <c r="AC5" s="15"/>
      <c r="AD5" s="15"/>
      <c r="AE5" s="15"/>
    </row>
    <row r="6" spans="1:31" ht="22.5" hidden="1" customHeight="1" outlineLevel="1" x14ac:dyDescent="0.85">
      <c r="A6" s="89" t="s">
        <v>127</v>
      </c>
      <c r="B6" s="259">
        <f t="shared" si="0"/>
        <v>0</v>
      </c>
      <c r="C6" s="258">
        <f t="shared" si="1"/>
        <v>0</v>
      </c>
      <c r="D6" s="259">
        <v>0</v>
      </c>
      <c r="E6" s="268" t="s">
        <v>106</v>
      </c>
      <c r="F6" s="259">
        <v>0</v>
      </c>
      <c r="G6" s="470"/>
      <c r="H6" s="15"/>
      <c r="I6" s="15"/>
      <c r="J6" s="15"/>
      <c r="K6" s="470"/>
      <c r="L6" s="15"/>
      <c r="M6" s="15"/>
      <c r="N6" s="15"/>
      <c r="O6" s="15"/>
      <c r="P6" s="15"/>
      <c r="Q6" s="15"/>
      <c r="R6" s="15"/>
      <c r="S6" s="15"/>
      <c r="T6" s="15"/>
      <c r="U6" s="15"/>
      <c r="V6" s="15"/>
      <c r="W6" s="15"/>
      <c r="X6" s="15"/>
      <c r="Y6" s="15"/>
      <c r="Z6" s="15"/>
      <c r="AA6" s="15"/>
      <c r="AB6" s="15"/>
      <c r="AC6" s="15"/>
      <c r="AD6" s="15"/>
      <c r="AE6" s="15"/>
    </row>
    <row r="7" spans="1:31" ht="22.5" hidden="1" customHeight="1" outlineLevel="1" x14ac:dyDescent="0.85">
      <c r="A7" s="89" t="s">
        <v>128</v>
      </c>
      <c r="B7" s="259">
        <f t="shared" si="0"/>
        <v>0</v>
      </c>
      <c r="C7" s="258">
        <f t="shared" si="1"/>
        <v>0</v>
      </c>
      <c r="D7" s="259">
        <v>0</v>
      </c>
      <c r="E7" s="268" t="s">
        <v>106</v>
      </c>
      <c r="F7" s="259">
        <v>0</v>
      </c>
      <c r="G7" s="470"/>
      <c r="H7" s="15"/>
      <c r="I7" s="15"/>
      <c r="J7" s="15"/>
      <c r="K7" s="470"/>
      <c r="L7" s="15"/>
      <c r="M7" s="15"/>
      <c r="N7" s="15"/>
      <c r="O7" s="15"/>
      <c r="P7" s="15"/>
      <c r="Q7" s="15"/>
      <c r="R7" s="15"/>
      <c r="S7" s="15"/>
      <c r="T7" s="15"/>
      <c r="U7" s="15"/>
      <c r="V7" s="15"/>
      <c r="W7" s="15"/>
      <c r="X7" s="15"/>
      <c r="Y7" s="15"/>
      <c r="Z7" s="15"/>
      <c r="AA7" s="15"/>
      <c r="AB7" s="15"/>
      <c r="AC7" s="15"/>
      <c r="AD7" s="15"/>
      <c r="AE7" s="15"/>
    </row>
    <row r="8" spans="1:31" ht="22.5" hidden="1" customHeight="1" outlineLevel="1" x14ac:dyDescent="0.85">
      <c r="A8" s="89" t="s">
        <v>129</v>
      </c>
      <c r="B8" s="259">
        <f t="shared" si="0"/>
        <v>0</v>
      </c>
      <c r="C8" s="258">
        <f t="shared" si="1"/>
        <v>0</v>
      </c>
      <c r="D8" s="259">
        <v>0</v>
      </c>
      <c r="E8" s="268" t="s">
        <v>106</v>
      </c>
      <c r="F8" s="259">
        <v>0</v>
      </c>
      <c r="G8" s="470"/>
      <c r="H8" s="15"/>
      <c r="I8" s="15"/>
      <c r="J8" s="470"/>
      <c r="K8" s="470"/>
      <c r="L8" s="15"/>
      <c r="M8" s="15"/>
      <c r="N8" s="15"/>
      <c r="O8" s="15"/>
      <c r="P8" s="15"/>
      <c r="Q8" s="15"/>
      <c r="R8" s="15"/>
      <c r="S8" s="15"/>
      <c r="T8" s="15"/>
      <c r="U8" s="15"/>
      <c r="V8" s="15"/>
      <c r="W8" s="15"/>
      <c r="X8" s="15"/>
      <c r="Y8" s="15"/>
      <c r="Z8" s="15"/>
      <c r="AA8" s="15"/>
      <c r="AB8" s="15"/>
      <c r="AC8" s="15"/>
      <c r="AD8" s="15"/>
      <c r="AE8" s="15"/>
    </row>
    <row r="9" spans="1:31" ht="22.5" hidden="1" customHeight="1" outlineLevel="1" x14ac:dyDescent="0.85">
      <c r="A9" s="471" t="s">
        <v>590</v>
      </c>
      <c r="B9" s="347">
        <f>B4</f>
        <v>282105.35830398061</v>
      </c>
      <c r="C9" s="324" t="s">
        <v>106</v>
      </c>
      <c r="D9" s="347">
        <f>D4</f>
        <v>28249.864606659077</v>
      </c>
      <c r="E9" s="347" t="s">
        <v>106</v>
      </c>
      <c r="F9" s="347">
        <f>F4</f>
        <v>253855.49369732151</v>
      </c>
      <c r="G9" s="470"/>
      <c r="H9" s="15"/>
      <c r="I9" s="15"/>
      <c r="J9" s="470"/>
      <c r="K9" s="470"/>
      <c r="L9" s="15"/>
      <c r="M9" s="15"/>
      <c r="N9" s="15"/>
      <c r="O9" s="15"/>
      <c r="P9" s="15"/>
      <c r="Q9" s="15"/>
      <c r="R9" s="15"/>
      <c r="S9" s="15"/>
      <c r="T9" s="15"/>
      <c r="U9" s="15"/>
      <c r="V9" s="15"/>
      <c r="W9" s="15"/>
      <c r="X9" s="15"/>
      <c r="Y9" s="15"/>
      <c r="Z9" s="15"/>
      <c r="AA9" s="15"/>
      <c r="AB9" s="15"/>
      <c r="AC9" s="15"/>
      <c r="AD9" s="15"/>
      <c r="AE9" s="15"/>
    </row>
    <row r="10" spans="1:31" ht="22.5" hidden="1" customHeight="1" outlineLevel="1" x14ac:dyDescent="0.85">
      <c r="A10" s="471" t="s">
        <v>111</v>
      </c>
      <c r="B10" s="347">
        <f t="shared" ref="B10:D10" si="2">SUM(B5:B8)</f>
        <v>282105.35830398061</v>
      </c>
      <c r="C10" s="324">
        <f t="shared" si="2"/>
        <v>1</v>
      </c>
      <c r="D10" s="347">
        <f t="shared" si="2"/>
        <v>28249.864606659077</v>
      </c>
      <c r="E10" s="347" t="s">
        <v>106</v>
      </c>
      <c r="F10" s="347">
        <f>SUM(F5:F8)</f>
        <v>253855.49369732151</v>
      </c>
      <c r="G10" s="472"/>
      <c r="H10" s="470"/>
      <c r="I10" s="470"/>
      <c r="J10" s="470"/>
      <c r="K10" s="470"/>
      <c r="L10" s="15"/>
      <c r="M10" s="15"/>
      <c r="N10" s="15"/>
      <c r="O10" s="15"/>
      <c r="P10" s="15"/>
      <c r="Q10" s="15"/>
      <c r="R10" s="15"/>
      <c r="S10" s="15"/>
      <c r="T10" s="15"/>
      <c r="U10" s="15"/>
      <c r="V10" s="15"/>
      <c r="W10" s="15"/>
      <c r="X10" s="15"/>
      <c r="Y10" s="15"/>
      <c r="Z10" s="15"/>
      <c r="AA10" s="15"/>
      <c r="AB10" s="15"/>
      <c r="AC10" s="15"/>
      <c r="AD10" s="15"/>
      <c r="AE10" s="15"/>
    </row>
    <row r="11" spans="1:31" ht="22.5" customHeight="1" collapsed="1" x14ac:dyDescent="0.85">
      <c r="A11" s="858" t="s">
        <v>591</v>
      </c>
      <c r="B11" s="765"/>
      <c r="C11" s="765"/>
      <c r="D11" s="765"/>
      <c r="E11" s="765"/>
      <c r="F11" s="765"/>
      <c r="G11" s="765"/>
      <c r="H11" s="765"/>
      <c r="I11" s="765"/>
      <c r="J11" s="765"/>
      <c r="K11" s="762"/>
      <c r="L11" s="15"/>
      <c r="M11" s="15"/>
      <c r="N11" s="15"/>
      <c r="O11" s="15"/>
      <c r="P11" s="3"/>
      <c r="Q11" s="3"/>
      <c r="R11" s="3"/>
      <c r="S11" s="3"/>
      <c r="T11" s="3"/>
      <c r="U11" s="3"/>
      <c r="V11" s="3"/>
      <c r="W11" s="3"/>
      <c r="X11" s="3"/>
      <c r="Y11" s="3"/>
      <c r="Z11" s="3"/>
      <c r="AA11" s="3"/>
      <c r="AB11" s="3"/>
      <c r="AC11" s="3"/>
      <c r="AD11" s="3"/>
      <c r="AE11" s="3"/>
    </row>
    <row r="12" spans="1:31" ht="22.5" hidden="1" customHeight="1" outlineLevel="1" x14ac:dyDescent="0.85">
      <c r="A12" s="880" t="s">
        <v>1123</v>
      </c>
      <c r="B12" s="790"/>
      <c r="C12" s="790"/>
      <c r="D12" s="790"/>
      <c r="E12" s="790"/>
      <c r="F12" s="790"/>
      <c r="G12" s="790"/>
      <c r="H12" s="790"/>
      <c r="I12" s="790"/>
      <c r="J12" s="790"/>
      <c r="K12" s="791"/>
      <c r="L12" s="15"/>
      <c r="M12" s="15"/>
      <c r="N12" s="15"/>
      <c r="O12" s="15"/>
      <c r="P12" s="15"/>
      <c r="Q12" s="15"/>
      <c r="R12" s="15"/>
      <c r="S12" s="15"/>
      <c r="T12" s="15"/>
      <c r="U12" s="15"/>
      <c r="V12" s="15"/>
      <c r="W12" s="15"/>
      <c r="X12" s="15"/>
      <c r="Y12" s="15"/>
      <c r="Z12" s="15"/>
      <c r="AA12" s="15"/>
      <c r="AB12" s="15"/>
      <c r="AC12" s="15"/>
      <c r="AD12" s="15"/>
      <c r="AE12" s="15"/>
    </row>
    <row r="13" spans="1:31" ht="22.5" hidden="1" customHeight="1" outlineLevel="1" x14ac:dyDescent="0.85">
      <c r="A13" s="374" t="s">
        <v>1124</v>
      </c>
      <c r="B13" s="374"/>
      <c r="C13" s="374"/>
      <c r="D13" s="374"/>
      <c r="E13" s="374"/>
      <c r="F13" s="374"/>
      <c r="G13" s="374"/>
      <c r="H13" s="374"/>
      <c r="I13" s="374"/>
      <c r="J13" s="374"/>
      <c r="K13" s="374"/>
      <c r="L13" s="15"/>
      <c r="M13" s="15"/>
      <c r="N13" s="15"/>
      <c r="O13" s="15"/>
      <c r="P13" s="15"/>
      <c r="Q13" s="15"/>
      <c r="R13" s="15"/>
      <c r="S13" s="15"/>
      <c r="T13" s="15"/>
      <c r="U13" s="15"/>
      <c r="V13" s="15"/>
      <c r="W13" s="15"/>
      <c r="X13" s="15"/>
      <c r="Y13" s="15"/>
      <c r="Z13" s="15"/>
      <c r="AA13" s="15"/>
      <c r="AB13" s="15"/>
      <c r="AC13" s="15"/>
      <c r="AD13" s="15"/>
      <c r="AE13" s="15"/>
    </row>
    <row r="14" spans="1:31" ht="22.5" hidden="1" customHeight="1" outlineLevel="1" x14ac:dyDescent="0.85">
      <c r="A14" s="374" t="s">
        <v>1125</v>
      </c>
      <c r="B14" s="374"/>
      <c r="C14" s="374"/>
      <c r="D14" s="374"/>
      <c r="E14" s="374"/>
      <c r="F14" s="374"/>
      <c r="G14" s="374"/>
      <c r="H14" s="374"/>
      <c r="I14" s="374"/>
      <c r="J14" s="374"/>
      <c r="K14" s="374"/>
      <c r="L14" s="15"/>
      <c r="M14" s="15"/>
      <c r="N14" s="15"/>
      <c r="O14" s="15"/>
      <c r="P14" s="15"/>
      <c r="Q14" s="15"/>
      <c r="R14" s="15"/>
      <c r="S14" s="15"/>
      <c r="T14" s="15"/>
      <c r="U14" s="15"/>
      <c r="V14" s="15"/>
      <c r="W14" s="15"/>
      <c r="X14" s="15"/>
      <c r="Y14" s="15"/>
      <c r="Z14" s="15"/>
      <c r="AA14" s="15"/>
      <c r="AB14" s="15"/>
      <c r="AC14" s="15"/>
      <c r="AD14" s="15"/>
      <c r="AE14" s="15"/>
    </row>
    <row r="15" spans="1:31" ht="22.5" hidden="1" customHeight="1" outlineLevel="1" x14ac:dyDescent="0.85">
      <c r="A15" s="374" t="s">
        <v>1126</v>
      </c>
      <c r="B15" s="374"/>
      <c r="C15" s="374"/>
      <c r="D15" s="374"/>
      <c r="E15" s="374"/>
      <c r="F15" s="374"/>
      <c r="G15" s="374"/>
      <c r="H15" s="374"/>
      <c r="I15" s="374"/>
      <c r="J15" s="374"/>
      <c r="K15" s="374"/>
      <c r="L15" s="15"/>
      <c r="M15" s="15"/>
      <c r="N15" s="15"/>
      <c r="O15" s="15"/>
      <c r="P15" s="15"/>
      <c r="Q15" s="15"/>
      <c r="R15" s="15"/>
      <c r="S15" s="15"/>
      <c r="T15" s="15"/>
      <c r="U15" s="15"/>
      <c r="V15" s="15"/>
      <c r="W15" s="15"/>
      <c r="X15" s="15"/>
      <c r="Y15" s="15"/>
      <c r="Z15" s="15"/>
      <c r="AA15" s="15"/>
      <c r="AB15" s="15"/>
      <c r="AC15" s="15"/>
      <c r="AD15" s="15"/>
      <c r="AE15" s="15"/>
    </row>
    <row r="16" spans="1:31" ht="24" customHeight="1" collapsed="1" x14ac:dyDescent="0.85">
      <c r="A16" s="858" t="s">
        <v>1127</v>
      </c>
      <c r="B16" s="765"/>
      <c r="C16" s="765"/>
      <c r="D16" s="765"/>
      <c r="E16" s="765"/>
      <c r="F16" s="765"/>
      <c r="G16" s="765"/>
      <c r="H16" s="765"/>
      <c r="I16" s="765"/>
      <c r="J16" s="765"/>
      <c r="K16" s="762"/>
      <c r="L16" s="15"/>
      <c r="M16" s="15"/>
      <c r="N16" s="15"/>
      <c r="O16" s="15"/>
      <c r="P16" s="15"/>
      <c r="Q16" s="15"/>
      <c r="R16" s="15"/>
      <c r="S16" s="15"/>
      <c r="T16" s="15"/>
      <c r="U16" s="15"/>
      <c r="V16" s="15"/>
      <c r="W16" s="15"/>
      <c r="X16" s="15"/>
      <c r="Y16" s="15"/>
      <c r="Z16" s="15"/>
      <c r="AA16" s="15"/>
      <c r="AB16" s="15"/>
      <c r="AC16" s="15"/>
      <c r="AD16" s="15"/>
      <c r="AE16" s="15"/>
    </row>
    <row r="17" spans="1:31" ht="22.5" hidden="1" customHeight="1" outlineLevel="1" x14ac:dyDescent="0.85">
      <c r="A17" s="839" t="s">
        <v>306</v>
      </c>
      <c r="B17" s="813"/>
      <c r="C17" s="813"/>
      <c r="D17" s="813"/>
      <c r="E17" s="813"/>
      <c r="F17" s="813"/>
      <c r="G17" s="813"/>
      <c r="H17" s="814"/>
      <c r="I17" s="3"/>
      <c r="J17" s="3"/>
      <c r="K17" s="3"/>
      <c r="L17" s="15"/>
      <c r="M17" s="15"/>
      <c r="N17" s="15"/>
      <c r="O17" s="15"/>
      <c r="P17" s="15"/>
      <c r="Q17" s="15"/>
      <c r="R17" s="15"/>
      <c r="S17" s="15"/>
      <c r="T17" s="15"/>
      <c r="U17" s="15"/>
      <c r="V17" s="15"/>
      <c r="W17" s="15"/>
      <c r="X17" s="15"/>
      <c r="Y17" s="15"/>
      <c r="Z17" s="15"/>
      <c r="AA17" s="15"/>
      <c r="AB17" s="15"/>
      <c r="AC17" s="15"/>
      <c r="AD17" s="15"/>
      <c r="AE17" s="15"/>
    </row>
    <row r="18" spans="1:31" ht="24" hidden="1" customHeight="1" outlineLevel="1" x14ac:dyDescent="0.85">
      <c r="A18" s="473" t="s">
        <v>606</v>
      </c>
      <c r="B18" s="473" t="s">
        <v>251</v>
      </c>
      <c r="C18" s="473" t="s">
        <v>608</v>
      </c>
      <c r="D18" s="881" t="s">
        <v>138</v>
      </c>
      <c r="E18" s="813"/>
      <c r="F18" s="813"/>
      <c r="G18" s="813"/>
      <c r="H18" s="814"/>
      <c r="I18" s="3"/>
      <c r="J18" s="3"/>
      <c r="K18" s="3"/>
      <c r="L18" s="15"/>
      <c r="M18" s="15"/>
      <c r="N18" s="15"/>
      <c r="O18" s="15"/>
      <c r="P18" s="15"/>
      <c r="Q18" s="15"/>
      <c r="R18" s="15"/>
      <c r="S18" s="15"/>
      <c r="T18" s="15"/>
      <c r="U18" s="15"/>
      <c r="V18" s="15"/>
      <c r="W18" s="15"/>
      <c r="X18" s="15"/>
      <c r="Y18" s="15"/>
      <c r="Z18" s="15"/>
      <c r="AA18" s="15"/>
      <c r="AB18" s="15"/>
      <c r="AC18" s="15"/>
      <c r="AD18" s="15"/>
      <c r="AE18" s="15"/>
    </row>
    <row r="19" spans="1:31" ht="24" hidden="1" customHeight="1" outlineLevel="1" x14ac:dyDescent="0.85">
      <c r="A19" s="176" t="s">
        <v>1128</v>
      </c>
      <c r="B19" s="474">
        <v>9.75</v>
      </c>
      <c r="C19" s="280" t="s">
        <v>1129</v>
      </c>
      <c r="D19" s="834" t="s">
        <v>907</v>
      </c>
      <c r="E19" s="828"/>
      <c r="F19" s="828"/>
      <c r="G19" s="828"/>
      <c r="H19" s="825"/>
      <c r="I19" s="3"/>
      <c r="J19" s="3"/>
      <c r="K19" s="3"/>
      <c r="L19" s="15"/>
      <c r="M19" s="15"/>
      <c r="N19" s="15"/>
      <c r="O19" s="15"/>
      <c r="P19" s="15"/>
      <c r="Q19" s="15"/>
      <c r="R19" s="15"/>
      <c r="S19" s="15"/>
      <c r="T19" s="15"/>
      <c r="U19" s="15"/>
      <c r="V19" s="15"/>
      <c r="W19" s="15"/>
      <c r="X19" s="15"/>
      <c r="Y19" s="15"/>
      <c r="Z19" s="15"/>
      <c r="AA19" s="15"/>
      <c r="AB19" s="15"/>
      <c r="AC19" s="15"/>
      <c r="AD19" s="15"/>
      <c r="AE19" s="15"/>
    </row>
    <row r="20" spans="1:31" ht="24" hidden="1" customHeight="1" outlineLevel="1" x14ac:dyDescent="0.85">
      <c r="A20" s="176" t="s">
        <v>1130</v>
      </c>
      <c r="B20" s="475">
        <v>0</v>
      </c>
      <c r="C20" s="176" t="s">
        <v>1131</v>
      </c>
      <c r="D20" s="809"/>
      <c r="E20" s="785"/>
      <c r="F20" s="785"/>
      <c r="G20" s="785"/>
      <c r="H20" s="826"/>
      <c r="I20" s="3"/>
      <c r="J20" s="3"/>
      <c r="K20" s="3"/>
      <c r="L20" s="15"/>
      <c r="M20" s="15"/>
      <c r="N20" s="15"/>
      <c r="O20" s="15"/>
      <c r="P20" s="15"/>
      <c r="Q20" s="15"/>
      <c r="R20" s="15"/>
      <c r="S20" s="15"/>
      <c r="T20" s="15"/>
      <c r="U20" s="15"/>
      <c r="V20" s="15"/>
      <c r="W20" s="15"/>
      <c r="X20" s="15"/>
      <c r="Y20" s="15"/>
      <c r="Z20" s="15"/>
      <c r="AA20" s="15"/>
      <c r="AB20" s="15"/>
      <c r="AC20" s="15"/>
      <c r="AD20" s="15"/>
      <c r="AE20" s="15"/>
    </row>
    <row r="21" spans="1:31" ht="24" hidden="1" customHeight="1" outlineLevel="1" x14ac:dyDescent="0.85">
      <c r="A21" s="177" t="s">
        <v>1132</v>
      </c>
      <c r="B21" s="476">
        <v>0.3</v>
      </c>
      <c r="C21" s="176" t="s">
        <v>1133</v>
      </c>
      <c r="D21" s="810"/>
      <c r="E21" s="830"/>
      <c r="F21" s="830"/>
      <c r="G21" s="830"/>
      <c r="H21" s="767"/>
      <c r="I21" s="3"/>
      <c r="J21" s="3"/>
      <c r="K21" s="3"/>
      <c r="L21" s="15"/>
      <c r="M21" s="15"/>
      <c r="N21" s="15"/>
      <c r="O21" s="15"/>
      <c r="P21" s="15"/>
      <c r="Q21" s="15"/>
      <c r="R21" s="15"/>
      <c r="S21" s="15"/>
      <c r="T21" s="15"/>
      <c r="U21" s="15"/>
      <c r="V21" s="15"/>
      <c r="W21" s="15"/>
      <c r="X21" s="15"/>
      <c r="Y21" s="15"/>
      <c r="Z21" s="15"/>
      <c r="AA21" s="15"/>
      <c r="AB21" s="15"/>
      <c r="AC21" s="15"/>
      <c r="AD21" s="15"/>
      <c r="AE21" s="15"/>
    </row>
    <row r="22" spans="1:31" ht="24" hidden="1" customHeight="1" outlineLevel="1" x14ac:dyDescent="0.85">
      <c r="A22" s="804" t="s">
        <v>1134</v>
      </c>
      <c r="B22" s="765"/>
      <c r="C22" s="765"/>
      <c r="D22" s="765"/>
      <c r="E22" s="765"/>
      <c r="F22" s="765"/>
      <c r="G22" s="765"/>
      <c r="H22" s="762"/>
      <c r="I22" s="3"/>
      <c r="J22" s="3"/>
      <c r="K22" s="3"/>
      <c r="L22" s="15"/>
      <c r="M22" s="15"/>
      <c r="N22" s="15"/>
      <c r="O22" s="15"/>
      <c r="P22" s="15"/>
      <c r="Q22" s="15"/>
      <c r="R22" s="15"/>
      <c r="S22" s="15"/>
      <c r="T22" s="15"/>
      <c r="U22" s="15"/>
      <c r="V22" s="15"/>
      <c r="W22" s="15"/>
      <c r="X22" s="15"/>
      <c r="Y22" s="15"/>
      <c r="Z22" s="15"/>
      <c r="AA22" s="15"/>
      <c r="AB22" s="15"/>
      <c r="AC22" s="15"/>
      <c r="AD22" s="15"/>
      <c r="AE22" s="15"/>
    </row>
    <row r="23" spans="1:31" ht="24" hidden="1" customHeight="1" outlineLevel="1" x14ac:dyDescent="0.85">
      <c r="A23" s="473" t="s">
        <v>606</v>
      </c>
      <c r="B23" s="473" t="s">
        <v>251</v>
      </c>
      <c r="C23" s="473" t="s">
        <v>608</v>
      </c>
      <c r="D23" s="881" t="s">
        <v>138</v>
      </c>
      <c r="E23" s="813"/>
      <c r="F23" s="813"/>
      <c r="G23" s="813"/>
      <c r="H23" s="814"/>
      <c r="I23" s="3"/>
      <c r="J23" s="3"/>
      <c r="K23" s="3"/>
      <c r="L23" s="15"/>
      <c r="M23" s="15"/>
      <c r="N23" s="15"/>
      <c r="O23" s="15"/>
      <c r="P23" s="15"/>
      <c r="Q23" s="15"/>
      <c r="R23" s="15"/>
      <c r="S23" s="15"/>
      <c r="T23" s="15"/>
      <c r="U23" s="15"/>
      <c r="V23" s="15"/>
      <c r="W23" s="15"/>
      <c r="X23" s="15"/>
      <c r="Y23" s="15"/>
      <c r="Z23" s="15"/>
      <c r="AA23" s="15"/>
      <c r="AB23" s="15"/>
      <c r="AC23" s="15"/>
      <c r="AD23" s="15"/>
      <c r="AE23" s="15"/>
    </row>
    <row r="24" spans="1:31" ht="24" hidden="1" customHeight="1" outlineLevel="1" x14ac:dyDescent="0.85">
      <c r="A24" s="176" t="s">
        <v>1135</v>
      </c>
      <c r="B24" s="474">
        <v>8.31</v>
      </c>
      <c r="C24" s="282" t="s">
        <v>1136</v>
      </c>
      <c r="D24" s="834" t="s">
        <v>907</v>
      </c>
      <c r="E24" s="828"/>
      <c r="F24" s="828"/>
      <c r="G24" s="828"/>
      <c r="H24" s="825"/>
      <c r="I24" s="3"/>
      <c r="J24" s="3"/>
      <c r="K24" s="3"/>
      <c r="L24" s="15"/>
      <c r="M24" s="15"/>
      <c r="N24" s="15"/>
      <c r="O24" s="15"/>
      <c r="P24" s="15"/>
      <c r="Q24" s="15"/>
      <c r="R24" s="15"/>
      <c r="S24" s="15"/>
      <c r="T24" s="15"/>
      <c r="U24" s="15"/>
      <c r="V24" s="15"/>
      <c r="W24" s="15"/>
      <c r="X24" s="15"/>
      <c r="Y24" s="15"/>
      <c r="Z24" s="15"/>
      <c r="AA24" s="15"/>
      <c r="AB24" s="15"/>
      <c r="AC24" s="15"/>
      <c r="AD24" s="15"/>
      <c r="AE24" s="15"/>
    </row>
    <row r="25" spans="1:31" ht="22.5" hidden="1" customHeight="1" outlineLevel="1" x14ac:dyDescent="0.85">
      <c r="A25" s="177" t="s">
        <v>1137</v>
      </c>
      <c r="B25" s="474">
        <v>7.06</v>
      </c>
      <c r="C25" s="282" t="s">
        <v>1138</v>
      </c>
      <c r="D25" s="809"/>
      <c r="E25" s="785"/>
      <c r="F25" s="785"/>
      <c r="G25" s="785"/>
      <c r="H25" s="826"/>
      <c r="I25" s="3"/>
      <c r="J25" s="3"/>
      <c r="K25" s="3"/>
      <c r="L25" s="15"/>
      <c r="M25" s="15"/>
      <c r="N25" s="15"/>
      <c r="O25" s="15"/>
      <c r="P25" s="15"/>
      <c r="Q25" s="15"/>
      <c r="R25" s="15"/>
      <c r="S25" s="15"/>
      <c r="T25" s="15"/>
      <c r="U25" s="15"/>
      <c r="V25" s="15"/>
      <c r="W25" s="15"/>
      <c r="X25" s="15"/>
      <c r="Y25" s="15"/>
      <c r="Z25" s="15"/>
      <c r="AA25" s="15"/>
      <c r="AB25" s="15"/>
      <c r="AC25" s="15"/>
      <c r="AD25" s="15"/>
      <c r="AE25" s="15"/>
    </row>
    <row r="26" spans="1:31" ht="24" hidden="1" customHeight="1" outlineLevel="1" x14ac:dyDescent="0.85">
      <c r="A26" s="180" t="s">
        <v>1139</v>
      </c>
      <c r="B26" s="477">
        <v>0.11</v>
      </c>
      <c r="C26" s="478" t="s">
        <v>1140</v>
      </c>
      <c r="D26" s="809"/>
      <c r="E26" s="785"/>
      <c r="F26" s="785"/>
      <c r="G26" s="785"/>
      <c r="H26" s="826"/>
      <c r="I26" s="3"/>
      <c r="J26" s="3"/>
      <c r="K26" s="3"/>
      <c r="L26" s="15"/>
      <c r="M26" s="15"/>
      <c r="N26" s="15"/>
      <c r="O26" s="15"/>
      <c r="P26" s="15"/>
      <c r="Q26" s="15"/>
      <c r="R26" s="15"/>
      <c r="S26" s="15"/>
      <c r="T26" s="15"/>
      <c r="U26" s="15"/>
      <c r="V26" s="15"/>
      <c r="W26" s="15"/>
      <c r="X26" s="15"/>
      <c r="Y26" s="15"/>
      <c r="Z26" s="15"/>
      <c r="AA26" s="15"/>
      <c r="AB26" s="15"/>
      <c r="AC26" s="15"/>
      <c r="AD26" s="15"/>
      <c r="AE26" s="15"/>
    </row>
    <row r="27" spans="1:31" ht="22.5" hidden="1" customHeight="1" outlineLevel="1" x14ac:dyDescent="0.85">
      <c r="A27" s="804" t="s">
        <v>1141</v>
      </c>
      <c r="B27" s="765"/>
      <c r="C27" s="765"/>
      <c r="D27" s="765"/>
      <c r="E27" s="765"/>
      <c r="F27" s="765"/>
      <c r="G27" s="765"/>
      <c r="H27" s="762"/>
      <c r="I27" s="3"/>
      <c r="J27" s="3"/>
      <c r="K27" s="3"/>
      <c r="L27" s="3"/>
      <c r="M27" s="3"/>
      <c r="N27" s="3"/>
      <c r="O27" s="3"/>
      <c r="P27" s="3"/>
      <c r="Q27" s="3"/>
      <c r="R27" s="3"/>
      <c r="S27" s="3"/>
      <c r="T27" s="3"/>
      <c r="U27" s="3"/>
      <c r="V27" s="3"/>
      <c r="W27" s="3"/>
      <c r="X27" s="3"/>
      <c r="Y27" s="3"/>
      <c r="Z27" s="3"/>
      <c r="AA27" s="3"/>
      <c r="AB27" s="3"/>
      <c r="AC27" s="3"/>
      <c r="AD27" s="3"/>
      <c r="AE27" s="3"/>
    </row>
    <row r="28" spans="1:31" ht="22.5" hidden="1" customHeight="1" outlineLevel="1" x14ac:dyDescent="0.85">
      <c r="A28" s="473" t="s">
        <v>1142</v>
      </c>
      <c r="B28" s="473" t="s">
        <v>251</v>
      </c>
      <c r="C28" s="473" t="s">
        <v>608</v>
      </c>
      <c r="D28" s="881" t="s">
        <v>138</v>
      </c>
      <c r="E28" s="813"/>
      <c r="F28" s="813"/>
      <c r="G28" s="813"/>
      <c r="H28" s="814"/>
      <c r="I28" s="3"/>
      <c r="J28" s="3"/>
      <c r="K28" s="3"/>
      <c r="L28" s="3"/>
      <c r="M28" s="3"/>
      <c r="N28" s="3"/>
      <c r="O28" s="3"/>
      <c r="P28" s="3"/>
      <c r="Q28" s="3"/>
      <c r="R28" s="3"/>
      <c r="S28" s="3"/>
      <c r="T28" s="3"/>
      <c r="U28" s="3"/>
      <c r="V28" s="3"/>
      <c r="W28" s="3"/>
      <c r="X28" s="3"/>
      <c r="Y28" s="3"/>
      <c r="Z28" s="3"/>
      <c r="AA28" s="3"/>
      <c r="AB28" s="3"/>
      <c r="AC28" s="3"/>
      <c r="AD28" s="3"/>
      <c r="AE28" s="3"/>
    </row>
    <row r="29" spans="1:31" ht="23.25" hidden="1" customHeight="1" outlineLevel="1" x14ac:dyDescent="0.85">
      <c r="A29" s="177" t="s">
        <v>1143</v>
      </c>
      <c r="B29" s="474">
        <v>33.168700000000001</v>
      </c>
      <c r="C29" s="479" t="s">
        <v>1144</v>
      </c>
      <c r="D29" s="834" t="s">
        <v>1145</v>
      </c>
      <c r="E29" s="828"/>
      <c r="F29" s="828"/>
      <c r="G29" s="828"/>
      <c r="H29" s="825"/>
      <c r="I29" s="3"/>
      <c r="J29" s="3"/>
      <c r="K29" s="3"/>
      <c r="L29" s="3"/>
      <c r="M29" s="3"/>
      <c r="N29" s="3"/>
      <c r="O29" s="3"/>
      <c r="P29" s="3"/>
      <c r="Q29" s="3"/>
      <c r="R29" s="3"/>
      <c r="S29" s="3"/>
      <c r="T29" s="3"/>
      <c r="U29" s="3"/>
      <c r="V29" s="3"/>
      <c r="W29" s="3"/>
      <c r="X29" s="3"/>
      <c r="Y29" s="3"/>
      <c r="Z29" s="3"/>
      <c r="AA29" s="3"/>
      <c r="AB29" s="3"/>
      <c r="AC29" s="3"/>
      <c r="AD29" s="3"/>
      <c r="AE29" s="3"/>
    </row>
    <row r="30" spans="1:31" ht="22.5" hidden="1" customHeight="1" outlineLevel="1" x14ac:dyDescent="0.85">
      <c r="A30" s="177" t="s">
        <v>1146</v>
      </c>
      <c r="B30" s="474">
        <v>88.490571428571428</v>
      </c>
      <c r="C30" s="479" t="s">
        <v>1144</v>
      </c>
      <c r="D30" s="809"/>
      <c r="E30" s="785"/>
      <c r="F30" s="785"/>
      <c r="G30" s="785"/>
      <c r="H30" s="826"/>
      <c r="I30" s="3"/>
      <c r="J30" s="3"/>
      <c r="K30" s="3"/>
      <c r="L30" s="3"/>
      <c r="M30" s="3"/>
      <c r="N30" s="3"/>
      <c r="O30" s="3"/>
      <c r="P30" s="3"/>
      <c r="Q30" s="3"/>
      <c r="R30" s="3"/>
      <c r="S30" s="3"/>
      <c r="T30" s="3"/>
      <c r="U30" s="3"/>
      <c r="V30" s="3"/>
      <c r="W30" s="3"/>
      <c r="X30" s="3"/>
      <c r="Y30" s="3"/>
      <c r="Z30" s="3"/>
      <c r="AA30" s="3"/>
      <c r="AB30" s="3"/>
      <c r="AC30" s="3"/>
      <c r="AD30" s="3"/>
      <c r="AE30" s="3"/>
    </row>
    <row r="31" spans="1:31" ht="22.5" hidden="1" customHeight="1" outlineLevel="1" x14ac:dyDescent="0.85">
      <c r="A31" s="177" t="s">
        <v>1147</v>
      </c>
      <c r="B31" s="474">
        <v>553.40737929032252</v>
      </c>
      <c r="C31" s="479" t="s">
        <v>1144</v>
      </c>
      <c r="D31" s="809"/>
      <c r="E31" s="785"/>
      <c r="F31" s="785"/>
      <c r="G31" s="785"/>
      <c r="H31" s="826"/>
      <c r="I31" s="3"/>
      <c r="J31" s="3"/>
      <c r="K31" s="3"/>
      <c r="L31" s="3"/>
      <c r="M31" s="3"/>
      <c r="N31" s="3"/>
      <c r="O31" s="3"/>
      <c r="P31" s="3"/>
      <c r="Q31" s="3"/>
      <c r="R31" s="3"/>
      <c r="S31" s="3"/>
      <c r="T31" s="3"/>
      <c r="U31" s="3"/>
      <c r="V31" s="3"/>
      <c r="W31" s="3"/>
      <c r="X31" s="3"/>
      <c r="Y31" s="3"/>
      <c r="Z31" s="3"/>
      <c r="AA31" s="3"/>
      <c r="AB31" s="3"/>
      <c r="AC31" s="3"/>
      <c r="AD31" s="3"/>
      <c r="AE31" s="3"/>
    </row>
    <row r="32" spans="1:31" ht="22.5" hidden="1" customHeight="1" outlineLevel="1" x14ac:dyDescent="0.85">
      <c r="A32" s="177" t="s">
        <v>1148</v>
      </c>
      <c r="B32" s="474">
        <v>8.9734666666666669</v>
      </c>
      <c r="C32" s="479" t="s">
        <v>1144</v>
      </c>
      <c r="D32" s="809"/>
      <c r="E32" s="785"/>
      <c r="F32" s="785"/>
      <c r="G32" s="785"/>
      <c r="H32" s="826"/>
      <c r="I32" s="3"/>
      <c r="J32" s="3"/>
      <c r="K32" s="3"/>
      <c r="L32" s="3"/>
      <c r="M32" s="3"/>
      <c r="N32" s="3"/>
      <c r="O32" s="3"/>
      <c r="P32" s="3"/>
      <c r="Q32" s="3"/>
      <c r="R32" s="3"/>
      <c r="S32" s="3"/>
      <c r="T32" s="3"/>
      <c r="U32" s="3"/>
      <c r="V32" s="3"/>
      <c r="W32" s="3"/>
      <c r="X32" s="3"/>
      <c r="Y32" s="3"/>
      <c r="Z32" s="3"/>
      <c r="AA32" s="3"/>
      <c r="AB32" s="3"/>
      <c r="AC32" s="3"/>
      <c r="AD32" s="3"/>
      <c r="AE32" s="3"/>
    </row>
    <row r="33" spans="1:31" ht="22.5" hidden="1" customHeight="1" outlineLevel="1" x14ac:dyDescent="0.85">
      <c r="A33" s="177" t="s">
        <v>1149</v>
      </c>
      <c r="B33" s="474">
        <v>76.90586619585298</v>
      </c>
      <c r="C33" s="479" t="s">
        <v>1144</v>
      </c>
      <c r="D33" s="810"/>
      <c r="E33" s="830"/>
      <c r="F33" s="830"/>
      <c r="G33" s="830"/>
      <c r="H33" s="767"/>
      <c r="I33" s="3"/>
      <c r="J33" s="3"/>
      <c r="K33" s="3"/>
      <c r="L33" s="3"/>
      <c r="M33" s="3"/>
      <c r="N33" s="3"/>
      <c r="O33" s="3"/>
      <c r="P33" s="3"/>
      <c r="Q33" s="3"/>
      <c r="R33" s="3"/>
      <c r="S33" s="3"/>
      <c r="T33" s="3"/>
      <c r="U33" s="3"/>
      <c r="V33" s="3"/>
      <c r="W33" s="3"/>
      <c r="X33" s="3"/>
      <c r="Y33" s="3"/>
      <c r="Z33" s="3"/>
      <c r="AA33" s="3"/>
      <c r="AB33" s="3"/>
      <c r="AC33" s="3"/>
      <c r="AD33" s="3"/>
      <c r="AE33" s="3"/>
    </row>
    <row r="34" spans="1:31" ht="22.5" hidden="1" customHeight="1" outlineLevel="1" x14ac:dyDescent="0.85">
      <c r="A34" s="3"/>
      <c r="B34" s="3"/>
      <c r="C34" s="3"/>
      <c r="D34" s="3"/>
      <c r="E34" s="3"/>
      <c r="F34" s="3"/>
      <c r="G34" s="3"/>
      <c r="H34" s="3"/>
      <c r="I34" s="3"/>
      <c r="J34" s="3"/>
      <c r="K34" s="3"/>
      <c r="L34" s="3"/>
      <c r="M34" s="3"/>
      <c r="N34" s="3"/>
      <c r="O34" s="3"/>
      <c r="P34" s="3"/>
      <c r="Q34" s="3"/>
      <c r="R34" s="3"/>
      <c r="S34" s="3"/>
      <c r="T34" s="3"/>
      <c r="U34" s="3"/>
      <c r="V34" s="3"/>
      <c r="W34" s="3"/>
      <c r="X34" s="3"/>
      <c r="Y34" s="3"/>
      <c r="Z34" s="3"/>
      <c r="AA34" s="3"/>
      <c r="AB34" s="3"/>
      <c r="AC34" s="3"/>
      <c r="AD34" s="3"/>
      <c r="AE34" s="3"/>
    </row>
    <row r="35" spans="1:31" ht="22.5" customHeight="1" collapsed="1" x14ac:dyDescent="0.85">
      <c r="A35" s="858" t="s">
        <v>254</v>
      </c>
      <c r="B35" s="765"/>
      <c r="C35" s="765"/>
      <c r="D35" s="765"/>
      <c r="E35" s="765"/>
      <c r="F35" s="765"/>
      <c r="G35" s="765"/>
      <c r="H35" s="765"/>
      <c r="I35" s="765"/>
      <c r="J35" s="765"/>
      <c r="K35" s="762"/>
      <c r="L35" s="15"/>
      <c r="M35" s="15"/>
      <c r="N35" s="15"/>
      <c r="O35" s="15"/>
      <c r="P35" s="3"/>
      <c r="Q35" s="3"/>
      <c r="R35" s="3"/>
      <c r="S35" s="3"/>
      <c r="T35" s="3"/>
      <c r="U35" s="3"/>
      <c r="V35" s="3"/>
      <c r="W35" s="3"/>
      <c r="X35" s="3"/>
      <c r="Y35" s="3"/>
      <c r="Z35" s="3"/>
      <c r="AA35" s="3"/>
      <c r="AB35" s="3"/>
      <c r="AC35" s="3"/>
      <c r="AD35" s="3"/>
      <c r="AE35" s="3"/>
    </row>
    <row r="36" spans="1:31" ht="22.5" hidden="1" customHeight="1" outlineLevel="1" x14ac:dyDescent="0.85">
      <c r="A36" s="804" t="s">
        <v>314</v>
      </c>
      <c r="B36" s="765"/>
      <c r="C36" s="765"/>
      <c r="D36" s="765"/>
      <c r="E36" s="765"/>
      <c r="F36" s="765"/>
      <c r="G36" s="765"/>
      <c r="H36" s="765"/>
      <c r="I36" s="765"/>
      <c r="J36" s="765"/>
      <c r="K36" s="762"/>
      <c r="L36" s="15"/>
      <c r="M36" s="15"/>
      <c r="N36" s="15"/>
      <c r="O36" s="15"/>
      <c r="P36" s="3"/>
      <c r="Q36" s="3"/>
      <c r="R36" s="3"/>
      <c r="S36" s="3"/>
      <c r="T36" s="3"/>
      <c r="U36" s="3"/>
      <c r="V36" s="3"/>
      <c r="W36" s="3"/>
      <c r="X36" s="3"/>
      <c r="Y36" s="3"/>
      <c r="Z36" s="3"/>
      <c r="AA36" s="3"/>
      <c r="AB36" s="3"/>
      <c r="AC36" s="3"/>
      <c r="AD36" s="3"/>
      <c r="AE36" s="3"/>
    </row>
    <row r="37" spans="1:31" ht="22.5" hidden="1" customHeight="1" outlineLevel="1" x14ac:dyDescent="0.85">
      <c r="A37" s="841" t="s">
        <v>300</v>
      </c>
      <c r="B37" s="841" t="s">
        <v>1150</v>
      </c>
      <c r="C37" s="470"/>
      <c r="D37" s="470"/>
      <c r="E37" s="470"/>
      <c r="F37" s="470"/>
      <c r="G37" s="470"/>
      <c r="H37" s="470"/>
      <c r="I37" s="470"/>
      <c r="J37" s="470"/>
      <c r="K37" s="470"/>
      <c r="L37" s="470"/>
      <c r="M37" s="15"/>
      <c r="N37" s="15"/>
      <c r="O37" s="15"/>
      <c r="P37" s="15"/>
      <c r="Q37" s="15"/>
      <c r="R37" s="15"/>
      <c r="S37" s="15"/>
      <c r="T37" s="15"/>
      <c r="U37" s="15"/>
      <c r="V37" s="15"/>
      <c r="W37" s="15"/>
      <c r="X37" s="15"/>
      <c r="Y37" s="15"/>
      <c r="Z37" s="15"/>
      <c r="AA37" s="15"/>
      <c r="AB37" s="15"/>
      <c r="AC37" s="15"/>
      <c r="AD37" s="15"/>
      <c r="AE37" s="15"/>
    </row>
    <row r="38" spans="1:31" ht="22.5" hidden="1" customHeight="1" outlineLevel="1" x14ac:dyDescent="0.85">
      <c r="A38" s="797"/>
      <c r="B38" s="797"/>
      <c r="C38" s="470"/>
      <c r="D38" s="470"/>
      <c r="E38" s="470"/>
      <c r="F38" s="470"/>
      <c r="G38" s="470"/>
      <c r="H38" s="470"/>
      <c r="I38" s="470"/>
      <c r="J38" s="470"/>
      <c r="K38" s="470"/>
      <c r="L38" s="470"/>
      <c r="M38" s="15"/>
      <c r="N38" s="15"/>
      <c r="O38" s="15"/>
      <c r="P38" s="15"/>
      <c r="Q38" s="15"/>
      <c r="R38" s="15"/>
      <c r="S38" s="15"/>
      <c r="T38" s="15"/>
      <c r="U38" s="15"/>
      <c r="V38" s="15"/>
      <c r="W38" s="15"/>
      <c r="X38" s="15"/>
      <c r="Y38" s="15"/>
      <c r="Z38" s="15"/>
      <c r="AA38" s="15"/>
      <c r="AB38" s="15"/>
      <c r="AC38" s="15"/>
      <c r="AD38" s="15"/>
      <c r="AE38" s="15"/>
    </row>
    <row r="39" spans="1:31" ht="22.5" hidden="1" customHeight="1" outlineLevel="1" x14ac:dyDescent="0.85">
      <c r="A39" s="89" t="s">
        <v>306</v>
      </c>
      <c r="B39" s="480">
        <v>27096703</v>
      </c>
      <c r="C39" s="470"/>
      <c r="D39" s="470"/>
      <c r="E39" s="470"/>
      <c r="F39" s="470"/>
      <c r="G39" s="470"/>
      <c r="H39" s="470"/>
      <c r="I39" s="470"/>
      <c r="J39" s="470"/>
      <c r="K39" s="470"/>
      <c r="L39" s="470"/>
      <c r="M39" s="15"/>
      <c r="N39" s="15"/>
      <c r="O39" s="15"/>
      <c r="P39" s="15"/>
      <c r="Q39" s="15"/>
      <c r="R39" s="15"/>
      <c r="S39" s="15"/>
      <c r="T39" s="15"/>
      <c r="U39" s="15"/>
      <c r="V39" s="15"/>
      <c r="W39" s="15"/>
      <c r="X39" s="15"/>
      <c r="Y39" s="15"/>
      <c r="Z39" s="15"/>
      <c r="AA39" s="15"/>
      <c r="AB39" s="15"/>
      <c r="AC39" s="15"/>
      <c r="AD39" s="15"/>
      <c r="AE39" s="15"/>
    </row>
    <row r="40" spans="1:31" ht="22.5" hidden="1" customHeight="1" outlineLevel="1" x14ac:dyDescent="0.85">
      <c r="A40" s="89" t="s">
        <v>1134</v>
      </c>
      <c r="B40" s="480">
        <v>0</v>
      </c>
      <c r="C40" s="470"/>
      <c r="D40" s="470"/>
      <c r="E40" s="470"/>
      <c r="F40" s="470"/>
      <c r="G40" s="470"/>
      <c r="H40" s="470"/>
      <c r="I40" s="470"/>
      <c r="J40" s="470"/>
      <c r="K40" s="470"/>
      <c r="L40" s="470"/>
      <c r="M40" s="15"/>
      <c r="N40" s="15"/>
      <c r="O40" s="15"/>
      <c r="P40" s="15"/>
      <c r="Q40" s="15"/>
      <c r="R40" s="15"/>
      <c r="S40" s="15"/>
      <c r="T40" s="15"/>
      <c r="U40" s="15"/>
      <c r="V40" s="15"/>
      <c r="W40" s="15"/>
      <c r="X40" s="15"/>
      <c r="Y40" s="15"/>
      <c r="Z40" s="15"/>
      <c r="AA40" s="15"/>
      <c r="AB40" s="15"/>
      <c r="AC40" s="15"/>
      <c r="AD40" s="15"/>
      <c r="AE40" s="15"/>
    </row>
    <row r="41" spans="1:31" ht="20.25" hidden="1" customHeight="1" outlineLevel="1" x14ac:dyDescent="0.85">
      <c r="A41" s="877" t="s">
        <v>1151</v>
      </c>
      <c r="B41" s="877" t="s">
        <v>102</v>
      </c>
      <c r="C41" s="877" t="s">
        <v>1152</v>
      </c>
      <c r="D41" s="877" t="s">
        <v>117</v>
      </c>
      <c r="E41" s="877" t="s">
        <v>1153</v>
      </c>
      <c r="F41" s="877" t="s">
        <v>300</v>
      </c>
      <c r="G41" s="877" t="s">
        <v>1154</v>
      </c>
      <c r="H41" s="877" t="s">
        <v>1155</v>
      </c>
      <c r="I41" s="877" t="s">
        <v>1156</v>
      </c>
      <c r="J41" s="877" t="s">
        <v>1157</v>
      </c>
      <c r="K41" s="877" t="s">
        <v>1158</v>
      </c>
      <c r="L41" s="15"/>
      <c r="M41" s="15"/>
      <c r="N41" s="15"/>
      <c r="O41" s="15"/>
      <c r="P41" s="15"/>
      <c r="Q41" s="15"/>
      <c r="R41" s="15"/>
      <c r="S41" s="15"/>
      <c r="T41" s="15"/>
      <c r="U41" s="15"/>
      <c r="V41" s="15"/>
      <c r="W41" s="15"/>
      <c r="X41" s="15"/>
      <c r="Y41" s="15"/>
      <c r="Z41" s="15"/>
      <c r="AA41" s="15"/>
      <c r="AB41" s="15"/>
      <c r="AC41" s="15"/>
      <c r="AD41" s="15"/>
      <c r="AE41" s="15"/>
    </row>
    <row r="42" spans="1:31" ht="20.25" hidden="1" customHeight="1" outlineLevel="1" x14ac:dyDescent="0.85">
      <c r="A42" s="878"/>
      <c r="B42" s="878"/>
      <c r="C42" s="878"/>
      <c r="D42" s="878"/>
      <c r="E42" s="878"/>
      <c r="F42" s="878"/>
      <c r="G42" s="878"/>
      <c r="H42" s="878"/>
      <c r="I42" s="878"/>
      <c r="J42" s="878"/>
      <c r="K42" s="878"/>
      <c r="L42" s="15"/>
      <c r="M42" s="15"/>
      <c r="N42" s="15"/>
      <c r="O42" s="15"/>
      <c r="P42" s="15"/>
      <c r="Q42" s="15"/>
      <c r="R42" s="15"/>
      <c r="S42" s="15"/>
      <c r="T42" s="15"/>
      <c r="U42" s="15"/>
      <c r="V42" s="15"/>
      <c r="W42" s="15"/>
      <c r="X42" s="15"/>
      <c r="Y42" s="15"/>
      <c r="Z42" s="15"/>
      <c r="AA42" s="15"/>
      <c r="AB42" s="15"/>
      <c r="AC42" s="15"/>
      <c r="AD42" s="15"/>
      <c r="AE42" s="15"/>
    </row>
    <row r="43" spans="1:31" ht="24.75" hidden="1" customHeight="1" outlineLevel="1" x14ac:dyDescent="0.85">
      <c r="A43" s="879" t="s">
        <v>314</v>
      </c>
      <c r="B43" s="879" t="s">
        <v>105</v>
      </c>
      <c r="C43" s="879" t="s">
        <v>1159</v>
      </c>
      <c r="D43" s="879">
        <v>1</v>
      </c>
      <c r="E43" s="882">
        <v>9.5630501791119399E-2</v>
      </c>
      <c r="F43" s="177" t="s">
        <v>306</v>
      </c>
      <c r="G43" s="39">
        <f>B39*E43</f>
        <v>2591271.3047749302</v>
      </c>
      <c r="H43" s="39">
        <f>(G43*$B$19)/'Conversion Factors and GWP'!$A$7</f>
        <v>25264.895221555569</v>
      </c>
      <c r="I43" s="39">
        <f>(G43*$B$20)/'Conversion Factors and GWP'!$A$8</f>
        <v>0</v>
      </c>
      <c r="J43" s="481">
        <f>(G43*$B$21)/'Conversion Factors and GWP'!$A$8</f>
        <v>0.77738139143247897</v>
      </c>
      <c r="K43" s="39">
        <f>H43+(I43*'Conversion Factors and GWP'!$C$31)+(J43*'Conversion Factors and GWP'!$C$32)</f>
        <v>25470.901290285175</v>
      </c>
      <c r="L43" s="15"/>
      <c r="M43" s="15"/>
      <c r="N43" s="15"/>
      <c r="O43" s="15"/>
      <c r="P43" s="15"/>
      <c r="Q43" s="15"/>
      <c r="R43" s="15"/>
      <c r="S43" s="15"/>
      <c r="T43" s="15"/>
      <c r="U43" s="15"/>
      <c r="V43" s="15"/>
      <c r="W43" s="15"/>
      <c r="X43" s="15"/>
      <c r="Y43" s="15"/>
      <c r="Z43" s="15"/>
      <c r="AA43" s="15"/>
      <c r="AB43" s="15"/>
      <c r="AC43" s="15"/>
      <c r="AD43" s="15"/>
      <c r="AE43" s="15"/>
    </row>
    <row r="44" spans="1:31" ht="24.75" hidden="1" customHeight="1" outlineLevel="1" x14ac:dyDescent="0.85">
      <c r="A44" s="855"/>
      <c r="B44" s="855"/>
      <c r="C44" s="797"/>
      <c r="D44" s="797"/>
      <c r="E44" s="797"/>
      <c r="F44" s="177" t="s">
        <v>1134</v>
      </c>
      <c r="G44" s="39">
        <f>B40*E43</f>
        <v>0</v>
      </c>
      <c r="H44" s="39">
        <f>(G44*$B$24)/'Conversion Factors and GWP'!$A$7</f>
        <v>0</v>
      </c>
      <c r="I44" s="39">
        <f>(G44*$B$25)/'Conversion Factors and GWP'!$A$8</f>
        <v>0</v>
      </c>
      <c r="J44" s="39">
        <f>(G44*$B$26)/'Conversion Factors and GWP'!$A$8</f>
        <v>0</v>
      </c>
      <c r="K44" s="39">
        <f>H44+(I44*'Conversion Factors and GWP'!$C$31)+(J44*'Conversion Factors and GWP'!$C$32)</f>
        <v>0</v>
      </c>
      <c r="L44" s="15"/>
      <c r="M44" s="15"/>
      <c r="N44" s="15"/>
      <c r="O44" s="15"/>
      <c r="P44" s="15"/>
      <c r="Q44" s="15"/>
      <c r="R44" s="15"/>
      <c r="S44" s="15"/>
      <c r="T44" s="15"/>
      <c r="U44" s="15"/>
      <c r="V44" s="15"/>
      <c r="W44" s="15"/>
      <c r="X44" s="15"/>
      <c r="Y44" s="15"/>
      <c r="Z44" s="15"/>
      <c r="AA44" s="15"/>
      <c r="AB44" s="15"/>
      <c r="AC44" s="15"/>
      <c r="AD44" s="15"/>
      <c r="AE44" s="15"/>
    </row>
    <row r="45" spans="1:31" ht="24.75" hidden="1" customHeight="1" outlineLevel="1" x14ac:dyDescent="0.85">
      <c r="A45" s="855"/>
      <c r="B45" s="855"/>
      <c r="C45" s="879" t="s">
        <v>1160</v>
      </c>
      <c r="D45" s="879">
        <v>3</v>
      </c>
      <c r="E45" s="882">
        <v>0.90436949820888102</v>
      </c>
      <c r="F45" s="177" t="s">
        <v>306</v>
      </c>
      <c r="G45" s="39">
        <f>B39*E45</f>
        <v>24505431.695225082</v>
      </c>
      <c r="H45" s="39">
        <f>(G45*$B$19)/'Conversion Factors and GWP'!$A$7</f>
        <v>238927.95902844454</v>
      </c>
      <c r="I45" s="39">
        <f>(G45*$B$20)/'Conversion Factors and GWP'!$A$8</f>
        <v>0</v>
      </c>
      <c r="J45" s="482">
        <f>(G45*$B$21)/'Conversion Factors and GWP'!$A$8</f>
        <v>7.3516295085675241</v>
      </c>
      <c r="K45" s="39">
        <f>H45+(I45*'Conversion Factors and GWP'!$C$31)+(J45*'Conversion Factors and GWP'!$C$32)</f>
        <v>240876.14084821494</v>
      </c>
      <c r="L45" s="15"/>
      <c r="M45" s="15"/>
      <c r="N45" s="15"/>
      <c r="O45" s="15"/>
      <c r="P45" s="15"/>
      <c r="Q45" s="15"/>
      <c r="R45" s="15"/>
      <c r="S45" s="15"/>
      <c r="T45" s="15"/>
      <c r="U45" s="15"/>
      <c r="V45" s="15"/>
      <c r="W45" s="15"/>
      <c r="X45" s="15"/>
      <c r="Y45" s="15"/>
      <c r="Z45" s="15"/>
      <c r="AA45" s="15"/>
      <c r="AB45" s="15"/>
      <c r="AC45" s="15"/>
      <c r="AD45" s="15"/>
      <c r="AE45" s="15"/>
    </row>
    <row r="46" spans="1:31" ht="24.75" hidden="1" customHeight="1" outlineLevel="1" x14ac:dyDescent="0.85">
      <c r="A46" s="855"/>
      <c r="B46" s="797"/>
      <c r="C46" s="797"/>
      <c r="D46" s="797"/>
      <c r="E46" s="797"/>
      <c r="F46" s="177" t="s">
        <v>1134</v>
      </c>
      <c r="G46" s="39">
        <f>B40*E45</f>
        <v>0</v>
      </c>
      <c r="H46" s="39">
        <f>(G46*$B$24)/'Conversion Factors and GWP'!$A$7</f>
        <v>0</v>
      </c>
      <c r="I46" s="39">
        <f>(G46*$B$25)/'Conversion Factors and GWP'!$A$8</f>
        <v>0</v>
      </c>
      <c r="J46" s="39">
        <f>(G46*$B$26)/'Conversion Factors and GWP'!$A$8</f>
        <v>0</v>
      </c>
      <c r="K46" s="39">
        <f>H46+(I46*'Conversion Factors and GWP'!$C$31)+(J46*'Conversion Factors and GWP'!$C$32)</f>
        <v>0</v>
      </c>
      <c r="L46" s="15"/>
      <c r="M46" s="15"/>
      <c r="N46" s="15"/>
      <c r="O46" s="15"/>
      <c r="P46" s="15"/>
      <c r="Q46" s="15"/>
      <c r="R46" s="15"/>
      <c r="S46" s="15"/>
      <c r="T46" s="15"/>
      <c r="U46" s="15"/>
      <c r="V46" s="15"/>
      <c r="W46" s="15"/>
      <c r="X46" s="15"/>
      <c r="Y46" s="15"/>
      <c r="Z46" s="15"/>
      <c r="AA46" s="15"/>
      <c r="AB46" s="15"/>
      <c r="AC46" s="15"/>
      <c r="AD46" s="15"/>
      <c r="AE46" s="15"/>
    </row>
    <row r="47" spans="1:31" ht="24" hidden="1" customHeight="1" outlineLevel="1" x14ac:dyDescent="0.85">
      <c r="A47" s="855"/>
      <c r="B47" s="879" t="s">
        <v>107</v>
      </c>
      <c r="C47" s="879" t="s">
        <v>1159</v>
      </c>
      <c r="D47" s="879">
        <v>1</v>
      </c>
      <c r="E47" s="882">
        <v>9.5630501791119399E-2</v>
      </c>
      <c r="F47" s="177" t="s">
        <v>306</v>
      </c>
      <c r="G47" s="39">
        <f>B39*E47</f>
        <v>2591271.3047749302</v>
      </c>
      <c r="H47" s="39">
        <f>(G47*$B$19)/'Conversion Factors and GWP'!$A$7</f>
        <v>25264.895221555569</v>
      </c>
      <c r="I47" s="39">
        <f>(G47*$B$20)/'Conversion Factors and GWP'!$A$8</f>
        <v>0</v>
      </c>
      <c r="J47" s="481">
        <f>(G47*$B$21)/'Conversion Factors and GWP'!$A$8</f>
        <v>0.77738139143247897</v>
      </c>
      <c r="K47" s="39">
        <f>H47+(I47*'Conversion Factors and GWP'!$C$31)+(J47*'Conversion Factors and GWP'!$C$32)</f>
        <v>25470.901290285175</v>
      </c>
      <c r="L47" s="15"/>
      <c r="M47" s="15"/>
      <c r="N47" s="15"/>
      <c r="O47" s="15"/>
      <c r="P47" s="15"/>
      <c r="Q47" s="15"/>
      <c r="R47" s="15"/>
      <c r="S47" s="15"/>
      <c r="T47" s="15"/>
      <c r="U47" s="15"/>
      <c r="V47" s="15"/>
      <c r="W47" s="15"/>
      <c r="X47" s="15"/>
      <c r="Y47" s="15"/>
      <c r="Z47" s="15"/>
      <c r="AA47" s="15"/>
      <c r="AB47" s="15"/>
      <c r="AC47" s="15"/>
      <c r="AD47" s="15"/>
      <c r="AE47" s="15"/>
    </row>
    <row r="48" spans="1:31" ht="24" hidden="1" customHeight="1" outlineLevel="1" x14ac:dyDescent="0.85">
      <c r="A48" s="855"/>
      <c r="B48" s="855"/>
      <c r="C48" s="797"/>
      <c r="D48" s="797"/>
      <c r="E48" s="797"/>
      <c r="F48" s="177" t="s">
        <v>1134</v>
      </c>
      <c r="G48" s="39">
        <f>B40*E47</f>
        <v>0</v>
      </c>
      <c r="H48" s="39">
        <f>(G48*$B$24)/'Conversion Factors and GWP'!$A$7</f>
        <v>0</v>
      </c>
      <c r="I48" s="39">
        <f>(G48*$B$25)/'Conversion Factors and GWP'!$A$8</f>
        <v>0</v>
      </c>
      <c r="J48" s="39">
        <f>(G48*$B$26)/'Conversion Factors and GWP'!$A$8</f>
        <v>0</v>
      </c>
      <c r="K48" s="39">
        <f>H48+(I48*'Conversion Factors and GWP'!$C$31)+(J48*'Conversion Factors and GWP'!$C$32)</f>
        <v>0</v>
      </c>
      <c r="L48" s="15"/>
      <c r="M48" s="15"/>
      <c r="N48" s="15"/>
      <c r="O48" s="15"/>
      <c r="P48" s="15"/>
      <c r="Q48" s="15"/>
      <c r="R48" s="15"/>
      <c r="S48" s="15"/>
      <c r="T48" s="15"/>
      <c r="U48" s="15"/>
      <c r="V48" s="15"/>
      <c r="W48" s="15"/>
      <c r="X48" s="15"/>
      <c r="Y48" s="15"/>
      <c r="Z48" s="15"/>
      <c r="AA48" s="15"/>
      <c r="AB48" s="15"/>
      <c r="AC48" s="15"/>
      <c r="AD48" s="15"/>
      <c r="AE48" s="15"/>
    </row>
    <row r="49" spans="1:31" ht="24" hidden="1" customHeight="1" outlineLevel="1" x14ac:dyDescent="0.85">
      <c r="A49" s="855"/>
      <c r="B49" s="855"/>
      <c r="C49" s="879" t="s">
        <v>1160</v>
      </c>
      <c r="D49" s="879">
        <v>3</v>
      </c>
      <c r="E49" s="882">
        <v>0.90436949820888102</v>
      </c>
      <c r="F49" s="177" t="s">
        <v>306</v>
      </c>
      <c r="G49" s="39">
        <f>B39*E49</f>
        <v>24505431.695225082</v>
      </c>
      <c r="H49" s="39">
        <f>(G49*$B$19)/'Conversion Factors and GWP'!$A$7</f>
        <v>238927.95902844454</v>
      </c>
      <c r="I49" s="39">
        <f>(G49*$B$20)/'Conversion Factors and GWP'!$A$8</f>
        <v>0</v>
      </c>
      <c r="J49" s="482">
        <f>(G49*$B$21)/'Conversion Factors and GWP'!$A$8</f>
        <v>7.3516295085675241</v>
      </c>
      <c r="K49" s="39">
        <f>H49+(I49*'Conversion Factors and GWP'!$C$31)+(J49*'Conversion Factors and GWP'!$C$32)</f>
        <v>240876.14084821494</v>
      </c>
      <c r="L49" s="15"/>
      <c r="M49" s="15"/>
      <c r="N49" s="15"/>
      <c r="O49" s="15"/>
      <c r="P49" s="15"/>
      <c r="Q49" s="15"/>
      <c r="R49" s="15"/>
      <c r="S49" s="15"/>
      <c r="T49" s="15"/>
      <c r="U49" s="15"/>
      <c r="V49" s="15"/>
      <c r="W49" s="15"/>
      <c r="X49" s="15"/>
      <c r="Y49" s="15"/>
      <c r="Z49" s="15"/>
      <c r="AA49" s="15"/>
      <c r="AB49" s="15"/>
      <c r="AC49" s="15"/>
      <c r="AD49" s="15"/>
      <c r="AE49" s="15"/>
    </row>
    <row r="50" spans="1:31" ht="24.75" hidden="1" customHeight="1" outlineLevel="1" x14ac:dyDescent="0.85">
      <c r="A50" s="797"/>
      <c r="B50" s="797"/>
      <c r="C50" s="797"/>
      <c r="D50" s="797"/>
      <c r="E50" s="797"/>
      <c r="F50" s="177" t="s">
        <v>1134</v>
      </c>
      <c r="G50" s="39">
        <f>B40*E49</f>
        <v>0</v>
      </c>
      <c r="H50" s="39">
        <f>(G50*$B$24)/'Conversion Factors and GWP'!$A$7</f>
        <v>0</v>
      </c>
      <c r="I50" s="39">
        <f>(G50*$B$25)/'Conversion Factors and GWP'!$A$8</f>
        <v>0</v>
      </c>
      <c r="J50" s="39">
        <f>(G50*$B$26)/'Conversion Factors and GWP'!$A$8</f>
        <v>0</v>
      </c>
      <c r="K50" s="39">
        <f>H50+(I50*'Conversion Factors and GWP'!$C$31)+(J50*'Conversion Factors and GWP'!$C$32)</f>
        <v>0</v>
      </c>
      <c r="L50" s="15"/>
      <c r="M50" s="15"/>
      <c r="N50" s="15"/>
      <c r="O50" s="15"/>
      <c r="P50" s="15"/>
      <c r="Q50" s="15"/>
      <c r="R50" s="15"/>
      <c r="S50" s="15"/>
      <c r="T50" s="15"/>
      <c r="U50" s="15"/>
      <c r="V50" s="15"/>
      <c r="W50" s="15"/>
      <c r="X50" s="15"/>
      <c r="Y50" s="15"/>
      <c r="Z50" s="15"/>
      <c r="AA50" s="15"/>
      <c r="AB50" s="15"/>
      <c r="AC50" s="15"/>
      <c r="AD50" s="15"/>
      <c r="AE50" s="15"/>
    </row>
    <row r="51" spans="1:31" ht="24.75" hidden="1" customHeight="1" outlineLevel="1" x14ac:dyDescent="0.85">
      <c r="A51" s="883" t="s">
        <v>959</v>
      </c>
      <c r="B51" s="765"/>
      <c r="C51" s="765"/>
      <c r="D51" s="765"/>
      <c r="E51" s="765"/>
      <c r="F51" s="762"/>
      <c r="G51" s="453">
        <f t="shared" ref="G51:K51" si="3">SUM(G43:G46)</f>
        <v>27096703.000000011</v>
      </c>
      <c r="H51" s="453">
        <f t="shared" si="3"/>
        <v>264192.85425000009</v>
      </c>
      <c r="I51" s="453">
        <f t="shared" si="3"/>
        <v>0</v>
      </c>
      <c r="J51" s="453">
        <f t="shared" si="3"/>
        <v>8.1290109000000026</v>
      </c>
      <c r="K51" s="453">
        <f t="shared" si="3"/>
        <v>266347.04213850014</v>
      </c>
      <c r="L51" s="15"/>
      <c r="M51" s="15"/>
      <c r="N51" s="15"/>
      <c r="O51" s="15"/>
      <c r="P51" s="15"/>
      <c r="Q51" s="15"/>
      <c r="R51" s="15"/>
      <c r="S51" s="15"/>
      <c r="T51" s="15"/>
      <c r="U51" s="15"/>
      <c r="V51" s="15"/>
      <c r="W51" s="15"/>
      <c r="X51" s="15"/>
      <c r="Y51" s="15"/>
      <c r="Z51" s="15"/>
      <c r="AA51" s="15"/>
      <c r="AB51" s="15"/>
      <c r="AC51" s="15"/>
      <c r="AD51" s="15"/>
      <c r="AE51" s="15"/>
    </row>
    <row r="52" spans="1:31" ht="24.75" hidden="1" customHeight="1" outlineLevel="1" x14ac:dyDescent="0.85">
      <c r="A52" s="883" t="s">
        <v>1161</v>
      </c>
      <c r="B52" s="765"/>
      <c r="C52" s="765"/>
      <c r="D52" s="765"/>
      <c r="E52" s="765"/>
      <c r="F52" s="762"/>
      <c r="G52" s="453">
        <f t="shared" ref="G52:K52" si="4">SUM(G47:G50)</f>
        <v>27096703.000000011</v>
      </c>
      <c r="H52" s="453">
        <f t="shared" si="4"/>
        <v>264192.85425000009</v>
      </c>
      <c r="I52" s="453">
        <f t="shared" si="4"/>
        <v>0</v>
      </c>
      <c r="J52" s="453">
        <f t="shared" si="4"/>
        <v>8.1290109000000026</v>
      </c>
      <c r="K52" s="453">
        <f t="shared" si="4"/>
        <v>266347.04213850014</v>
      </c>
      <c r="L52" s="15"/>
      <c r="M52" s="15"/>
      <c r="N52" s="15"/>
      <c r="O52" s="15"/>
      <c r="P52" s="15"/>
      <c r="Q52" s="15"/>
      <c r="R52" s="15"/>
      <c r="S52" s="15"/>
      <c r="T52" s="15"/>
      <c r="U52" s="15"/>
      <c r="V52" s="15"/>
      <c r="W52" s="15"/>
      <c r="X52" s="15"/>
      <c r="Y52" s="15"/>
      <c r="Z52" s="15"/>
      <c r="AA52" s="15"/>
      <c r="AB52" s="15"/>
      <c r="AC52" s="15"/>
      <c r="AD52" s="15"/>
      <c r="AE52" s="15"/>
    </row>
    <row r="53" spans="1:31" ht="24.75" hidden="1" customHeight="1" outlineLevel="1" x14ac:dyDescent="0.85">
      <c r="A53" s="3"/>
      <c r="B53" s="3"/>
      <c r="C53" s="3"/>
      <c r="D53" s="3"/>
      <c r="E53" s="3"/>
      <c r="F53" s="483"/>
      <c r="G53" s="484"/>
      <c r="H53" s="484"/>
      <c r="I53" s="485"/>
      <c r="J53" s="486"/>
      <c r="K53" s="484"/>
      <c r="L53" s="15"/>
      <c r="M53" s="15"/>
      <c r="N53" s="15"/>
      <c r="O53" s="15"/>
      <c r="P53" s="15"/>
      <c r="Q53" s="15"/>
      <c r="R53" s="15"/>
      <c r="S53" s="15"/>
      <c r="T53" s="15"/>
      <c r="U53" s="15"/>
      <c r="V53" s="15"/>
      <c r="W53" s="15"/>
      <c r="X53" s="15"/>
      <c r="Y53" s="15"/>
      <c r="Z53" s="15"/>
      <c r="AA53" s="15"/>
      <c r="AB53" s="15"/>
      <c r="AC53" s="15"/>
      <c r="AD53" s="15"/>
      <c r="AE53" s="15"/>
    </row>
    <row r="54" spans="1:31" ht="24.75" hidden="1" customHeight="1" outlineLevel="1" x14ac:dyDescent="0.85">
      <c r="A54" s="334" t="s">
        <v>1162</v>
      </c>
      <c r="B54" s="341"/>
      <c r="C54" s="341"/>
      <c r="D54" s="341"/>
      <c r="E54" s="342"/>
      <c r="F54" s="3"/>
      <c r="G54" s="3"/>
      <c r="H54" s="484"/>
      <c r="I54" s="485"/>
      <c r="J54" s="486"/>
      <c r="K54" s="484"/>
      <c r="L54" s="15"/>
      <c r="M54" s="15"/>
      <c r="N54" s="15"/>
      <c r="O54" s="15"/>
      <c r="P54" s="15"/>
      <c r="Q54" s="15"/>
      <c r="R54" s="15"/>
      <c r="S54" s="15"/>
      <c r="T54" s="15"/>
      <c r="U54" s="15"/>
      <c r="V54" s="15"/>
      <c r="W54" s="15"/>
      <c r="X54" s="15"/>
      <c r="Y54" s="15"/>
      <c r="Z54" s="15"/>
      <c r="AA54" s="15"/>
      <c r="AB54" s="15"/>
      <c r="AC54" s="15"/>
      <c r="AD54" s="15"/>
      <c r="AE54" s="15"/>
    </row>
    <row r="55" spans="1:31" ht="40.5" hidden="1" customHeight="1" outlineLevel="1" x14ac:dyDescent="0.85">
      <c r="A55" s="289" t="s">
        <v>1142</v>
      </c>
      <c r="B55" s="289" t="s">
        <v>1163</v>
      </c>
      <c r="C55" s="289" t="s">
        <v>300</v>
      </c>
      <c r="D55" s="289" t="s">
        <v>1164</v>
      </c>
      <c r="E55" s="289" t="s">
        <v>118</v>
      </c>
      <c r="F55" s="3"/>
      <c r="G55" s="3"/>
      <c r="H55" s="3"/>
      <c r="I55" s="3"/>
      <c r="J55" s="3"/>
      <c r="K55" s="3"/>
      <c r="L55" s="15"/>
      <c r="M55" s="15"/>
      <c r="N55" s="15"/>
      <c r="O55" s="15"/>
      <c r="P55" s="15"/>
      <c r="Q55" s="15"/>
      <c r="R55" s="15"/>
      <c r="S55" s="15"/>
      <c r="T55" s="15"/>
      <c r="U55" s="15"/>
      <c r="V55" s="15"/>
      <c r="W55" s="15"/>
      <c r="X55" s="15"/>
      <c r="Y55" s="15"/>
      <c r="Z55" s="15"/>
      <c r="AA55" s="15"/>
      <c r="AB55" s="15"/>
      <c r="AC55" s="15"/>
      <c r="AD55" s="15"/>
      <c r="AE55" s="15"/>
    </row>
    <row r="56" spans="1:31" ht="22.5" hidden="1" customHeight="1" outlineLevel="1" x14ac:dyDescent="0.85">
      <c r="A56" s="54" t="s">
        <v>1165</v>
      </c>
      <c r="B56" s="480">
        <v>0</v>
      </c>
      <c r="C56" s="177" t="s">
        <v>306</v>
      </c>
      <c r="D56" s="39">
        <v>0</v>
      </c>
      <c r="E56" s="39">
        <f>D56/'Conversion Factors and GWP'!$A$7</f>
        <v>0</v>
      </c>
      <c r="F56" s="3"/>
      <c r="G56" s="3"/>
      <c r="H56" s="3"/>
      <c r="I56" s="3"/>
      <c r="J56" s="3"/>
      <c r="K56" s="3"/>
      <c r="L56" s="3"/>
      <c r="M56" s="3"/>
      <c r="N56" s="3"/>
      <c r="O56" s="3"/>
      <c r="P56" s="3"/>
      <c r="Q56" s="3"/>
      <c r="R56" s="3"/>
      <c r="S56" s="3"/>
      <c r="T56" s="3"/>
      <c r="U56" s="3"/>
      <c r="V56" s="3"/>
      <c r="W56" s="3"/>
      <c r="X56" s="3"/>
      <c r="Y56" s="3"/>
      <c r="Z56" s="3"/>
      <c r="AA56" s="3"/>
      <c r="AB56" s="3"/>
      <c r="AC56" s="3"/>
      <c r="AD56" s="3"/>
      <c r="AE56" s="3"/>
    </row>
    <row r="57" spans="1:31" ht="22.5" hidden="1" customHeight="1" outlineLevel="1" x14ac:dyDescent="0.85">
      <c r="A57" s="54" t="s">
        <v>1166</v>
      </c>
      <c r="B57" s="480">
        <v>259</v>
      </c>
      <c r="C57" s="177" t="s">
        <v>1134</v>
      </c>
      <c r="D57" s="39">
        <f>B57*$B$29</f>
        <v>8590.6933000000008</v>
      </c>
      <c r="E57" s="39">
        <f>D57/'Conversion Factors and GWP'!$A$7</f>
        <v>8.5906933000000016</v>
      </c>
      <c r="F57" s="3"/>
      <c r="G57" s="3"/>
      <c r="H57" s="3"/>
      <c r="I57" s="3"/>
      <c r="J57" s="3"/>
      <c r="K57" s="3"/>
      <c r="L57" s="3"/>
      <c r="M57" s="3"/>
      <c r="N57" s="3"/>
      <c r="O57" s="3"/>
      <c r="P57" s="3"/>
      <c r="Q57" s="3"/>
      <c r="R57" s="3"/>
      <c r="S57" s="3"/>
      <c r="T57" s="3"/>
      <c r="U57" s="3"/>
      <c r="V57" s="3"/>
      <c r="W57" s="3"/>
      <c r="X57" s="3"/>
      <c r="Y57" s="3"/>
      <c r="Z57" s="3"/>
      <c r="AA57" s="3"/>
      <c r="AB57" s="3"/>
      <c r="AC57" s="3"/>
      <c r="AD57" s="3"/>
      <c r="AE57" s="3"/>
    </row>
    <row r="58" spans="1:31" ht="22.5" hidden="1" customHeight="1" outlineLevel="1" x14ac:dyDescent="0.85">
      <c r="A58" s="54" t="s">
        <v>1167</v>
      </c>
      <c r="B58" s="480">
        <v>22802</v>
      </c>
      <c r="C58" s="177" t="s">
        <v>306</v>
      </c>
      <c r="D58" s="39">
        <f t="shared" ref="D58:D59" si="5">B58*$B$31</f>
        <v>12618795.062577935</v>
      </c>
      <c r="E58" s="39">
        <f>D58/'Conversion Factors and GWP'!$A$7</f>
        <v>12618.795062577936</v>
      </c>
      <c r="F58" s="3"/>
      <c r="G58" s="3"/>
      <c r="H58" s="3"/>
      <c r="I58" s="3"/>
      <c r="J58" s="3"/>
      <c r="K58" s="3"/>
      <c r="L58" s="3"/>
      <c r="M58" s="3"/>
      <c r="N58" s="3"/>
      <c r="O58" s="3"/>
      <c r="P58" s="3"/>
      <c r="Q58" s="3"/>
      <c r="R58" s="3"/>
      <c r="S58" s="3"/>
      <c r="T58" s="3"/>
      <c r="U58" s="3"/>
      <c r="V58" s="3"/>
      <c r="W58" s="3"/>
      <c r="X58" s="3"/>
      <c r="Y58" s="3"/>
      <c r="Z58" s="3"/>
      <c r="AA58" s="3"/>
      <c r="AB58" s="3"/>
      <c r="AC58" s="3"/>
      <c r="AD58" s="3"/>
      <c r="AE58" s="3"/>
    </row>
    <row r="59" spans="1:31" ht="22.5" hidden="1" customHeight="1" outlineLevel="1" x14ac:dyDescent="0.85">
      <c r="A59" s="54" t="s">
        <v>1168</v>
      </c>
      <c r="B59" s="480">
        <v>636</v>
      </c>
      <c r="C59" s="177" t="s">
        <v>306</v>
      </c>
      <c r="D59" s="39">
        <f t="shared" si="5"/>
        <v>351967.0932286451</v>
      </c>
      <c r="E59" s="39">
        <f>D59/'Conversion Factors and GWP'!$A$7</f>
        <v>351.96709322864513</v>
      </c>
      <c r="F59" s="3"/>
      <c r="G59" s="3"/>
      <c r="H59" s="3"/>
      <c r="I59" s="3"/>
      <c r="J59" s="3"/>
      <c r="K59" s="3"/>
      <c r="L59" s="3"/>
      <c r="M59" s="3"/>
      <c r="N59" s="3"/>
      <c r="O59" s="3"/>
      <c r="P59" s="3"/>
      <c r="Q59" s="3"/>
      <c r="R59" s="3"/>
      <c r="S59" s="3"/>
      <c r="T59" s="3"/>
      <c r="U59" s="3"/>
      <c r="V59" s="3"/>
      <c r="W59" s="3"/>
      <c r="X59" s="3"/>
      <c r="Y59" s="3"/>
      <c r="Z59" s="3"/>
      <c r="AA59" s="3"/>
      <c r="AB59" s="3"/>
      <c r="AC59" s="3"/>
      <c r="AD59" s="3"/>
      <c r="AE59" s="3"/>
    </row>
    <row r="60" spans="1:31" ht="22.5" hidden="1" customHeight="1" outlineLevel="1" x14ac:dyDescent="0.85">
      <c r="A60" s="54" t="s">
        <v>1169</v>
      </c>
      <c r="B60" s="480">
        <v>31227</v>
      </c>
      <c r="C60" s="177" t="s">
        <v>1134</v>
      </c>
      <c r="D60" s="39">
        <f>B60*$B$33</f>
        <v>2401539.483697901</v>
      </c>
      <c r="E60" s="39">
        <f>D60/'Conversion Factors and GWP'!$A$7</f>
        <v>2401.5394836979012</v>
      </c>
      <c r="F60" s="3"/>
      <c r="G60" s="3"/>
      <c r="H60" s="3"/>
      <c r="I60" s="3"/>
      <c r="J60" s="3"/>
      <c r="K60" s="3"/>
      <c r="L60" s="3"/>
      <c r="M60" s="3"/>
      <c r="N60" s="3"/>
      <c r="O60" s="3"/>
      <c r="P60" s="3"/>
      <c r="Q60" s="3"/>
      <c r="R60" s="3"/>
      <c r="S60" s="3"/>
      <c r="T60" s="3"/>
      <c r="U60" s="3"/>
      <c r="V60" s="3"/>
      <c r="W60" s="3"/>
      <c r="X60" s="3"/>
      <c r="Y60" s="3"/>
      <c r="Z60" s="3"/>
      <c r="AA60" s="3"/>
      <c r="AB60" s="3"/>
      <c r="AC60" s="3"/>
      <c r="AD60" s="3"/>
      <c r="AE60" s="3"/>
    </row>
    <row r="61" spans="1:31" ht="22.5" hidden="1" customHeight="1" outlineLevel="1" x14ac:dyDescent="0.85">
      <c r="A61" s="54" t="s">
        <v>1170</v>
      </c>
      <c r="B61" s="480">
        <v>682</v>
      </c>
      <c r="C61" s="177" t="s">
        <v>306</v>
      </c>
      <c r="D61" s="39">
        <f>B61*$B$31</f>
        <v>377423.83267599996</v>
      </c>
      <c r="E61" s="39">
        <f>D61/'Conversion Factors and GWP'!$A$7</f>
        <v>377.42383267599996</v>
      </c>
      <c r="F61" s="3"/>
      <c r="G61" s="3"/>
      <c r="H61" s="3"/>
      <c r="I61" s="3"/>
      <c r="J61" s="3"/>
      <c r="K61" s="3"/>
      <c r="L61" s="3"/>
      <c r="M61" s="3"/>
      <c r="N61" s="3"/>
      <c r="O61" s="3"/>
      <c r="P61" s="3"/>
      <c r="Q61" s="3"/>
      <c r="R61" s="3"/>
      <c r="S61" s="3"/>
      <c r="T61" s="3"/>
      <c r="U61" s="3"/>
      <c r="V61" s="3"/>
      <c r="W61" s="3"/>
      <c r="X61" s="3"/>
      <c r="Y61" s="3"/>
      <c r="Z61" s="3"/>
      <c r="AA61" s="3"/>
      <c r="AB61" s="3"/>
      <c r="AC61" s="3"/>
      <c r="AD61" s="3"/>
      <c r="AE61" s="3"/>
    </row>
    <row r="62" spans="1:31" ht="22.5" hidden="1" customHeight="1" outlineLevel="1" x14ac:dyDescent="0.85">
      <c r="A62" s="452" t="s">
        <v>119</v>
      </c>
      <c r="B62" s="453">
        <f>SUM(B56:B61)</f>
        <v>55606</v>
      </c>
      <c r="C62" s="453"/>
      <c r="D62" s="453">
        <f t="shared" ref="D62:E62" si="6">SUM(D56:D61)</f>
        <v>15758316.16548048</v>
      </c>
      <c r="E62" s="453">
        <f t="shared" si="6"/>
        <v>15758.316165480483</v>
      </c>
      <c r="F62" s="3"/>
      <c r="G62" s="3"/>
      <c r="H62" s="3"/>
      <c r="I62" s="3"/>
      <c r="J62" s="3"/>
      <c r="K62" s="3"/>
      <c r="L62" s="3"/>
      <c r="M62" s="3"/>
      <c r="N62" s="3"/>
      <c r="O62" s="3"/>
      <c r="P62" s="3"/>
      <c r="Q62" s="3"/>
      <c r="R62" s="3"/>
      <c r="S62" s="3"/>
      <c r="T62" s="3"/>
      <c r="U62" s="3"/>
      <c r="V62" s="3"/>
      <c r="W62" s="3"/>
      <c r="X62" s="3"/>
      <c r="Y62" s="3"/>
      <c r="Z62" s="3"/>
      <c r="AA62" s="3"/>
      <c r="AB62" s="3"/>
      <c r="AC62" s="3"/>
      <c r="AD62" s="3"/>
      <c r="AE62" s="3"/>
    </row>
    <row r="63" spans="1:31" ht="22.5" hidden="1" customHeight="1" outlineLevel="1" x14ac:dyDescent="0.85">
      <c r="A63" s="487" t="s">
        <v>1171</v>
      </c>
      <c r="B63" s="455">
        <f>SUM(B56:B59)</f>
        <v>23697</v>
      </c>
      <c r="C63" s="455"/>
      <c r="D63" s="455">
        <f t="shared" ref="D63:E63" si="7">SUM(D56:D59)</f>
        <v>12979352.84910658</v>
      </c>
      <c r="E63" s="455">
        <f t="shared" si="7"/>
        <v>12979.352849106581</v>
      </c>
      <c r="F63" s="3"/>
      <c r="G63" s="3"/>
      <c r="H63" s="3"/>
      <c r="I63" s="3"/>
      <c r="J63" s="3"/>
      <c r="K63" s="3"/>
      <c r="L63" s="3"/>
      <c r="M63" s="3"/>
      <c r="N63" s="3"/>
      <c r="O63" s="3"/>
      <c r="P63" s="3"/>
      <c r="Q63" s="3"/>
      <c r="R63" s="3"/>
      <c r="S63" s="3"/>
      <c r="T63" s="3"/>
      <c r="U63" s="3"/>
      <c r="V63" s="3"/>
      <c r="W63" s="3"/>
      <c r="X63" s="3"/>
      <c r="Y63" s="3"/>
      <c r="Z63" s="3"/>
      <c r="AA63" s="3"/>
      <c r="AB63" s="3"/>
      <c r="AC63" s="3"/>
      <c r="AD63" s="3"/>
      <c r="AE63" s="3"/>
    </row>
    <row r="64" spans="1:31" ht="22.5" hidden="1" customHeight="1" outlineLevel="1" x14ac:dyDescent="0.85">
      <c r="A64" s="487" t="s">
        <v>1172</v>
      </c>
      <c r="B64" s="455">
        <f>SUM(B60:B61)</f>
        <v>31909</v>
      </c>
      <c r="C64" s="455"/>
      <c r="D64" s="455">
        <f t="shared" ref="D64:E64" si="8">SUM(D60:D61)</f>
        <v>2778963.316373901</v>
      </c>
      <c r="E64" s="455">
        <f t="shared" si="8"/>
        <v>2778.9633163739013</v>
      </c>
      <c r="F64" s="3"/>
      <c r="G64" s="3"/>
      <c r="H64" s="3"/>
      <c r="I64" s="3"/>
      <c r="J64" s="3"/>
      <c r="K64" s="3"/>
      <c r="L64" s="3"/>
      <c r="M64" s="3"/>
      <c r="N64" s="3"/>
      <c r="O64" s="3"/>
      <c r="P64" s="3"/>
      <c r="Q64" s="3"/>
      <c r="R64" s="3"/>
      <c r="S64" s="3"/>
      <c r="T64" s="3"/>
      <c r="U64" s="3"/>
      <c r="V64" s="3"/>
      <c r="W64" s="3"/>
      <c r="X64" s="3"/>
      <c r="Y64" s="3"/>
      <c r="Z64" s="3"/>
      <c r="AA64" s="3"/>
      <c r="AB64" s="3"/>
      <c r="AC64" s="3"/>
      <c r="AD64" s="3"/>
      <c r="AE64" s="3"/>
    </row>
    <row r="65" spans="1:31" ht="22.5" customHeight="1" collapsed="1" x14ac:dyDescent="0.85">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row>
    <row r="66" spans="1:31" ht="22.5" customHeight="1" x14ac:dyDescent="0.85">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row>
    <row r="67" spans="1:31" ht="22.5" customHeight="1" x14ac:dyDescent="0.85">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row>
    <row r="68" spans="1:31" ht="22.5" customHeight="1" x14ac:dyDescent="0.85">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row>
    <row r="69" spans="1:31" ht="22.5" customHeight="1" x14ac:dyDescent="0.85">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row>
    <row r="70" spans="1:31" ht="22.5" customHeight="1" x14ac:dyDescent="0.85">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row>
    <row r="71" spans="1:31" ht="22.5" customHeight="1" x14ac:dyDescent="0.85">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row>
    <row r="72" spans="1:31" ht="22.5" customHeight="1" x14ac:dyDescent="0.85">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row>
    <row r="73" spans="1:31" ht="22.5" customHeight="1" x14ac:dyDescent="0.85">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row>
    <row r="74" spans="1:31" ht="22.5" customHeight="1" x14ac:dyDescent="0.85">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row>
    <row r="75" spans="1:31" ht="22.5" customHeight="1" x14ac:dyDescent="0.85">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row>
    <row r="76" spans="1:31" ht="22.5" customHeight="1" x14ac:dyDescent="0.85">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row>
    <row r="77" spans="1:31" ht="22.5" customHeight="1" x14ac:dyDescent="0.85">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row>
    <row r="78" spans="1:31" ht="22.5" customHeight="1" x14ac:dyDescent="0.85">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row>
    <row r="79" spans="1:31" ht="22.5" customHeight="1" x14ac:dyDescent="0.85">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row>
    <row r="80" spans="1:31" ht="22.5" customHeight="1" x14ac:dyDescent="0.85">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row>
    <row r="81" spans="1:31" ht="22.5" customHeight="1" x14ac:dyDescent="0.85">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row>
    <row r="82" spans="1:31" ht="22.5" customHeight="1" x14ac:dyDescent="0.85">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row>
    <row r="83" spans="1:31" ht="22.5" customHeight="1" x14ac:dyDescent="0.85">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row>
    <row r="84" spans="1:31" ht="22.5" customHeight="1" x14ac:dyDescent="0.85">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row>
    <row r="85" spans="1:31" ht="22.5" customHeight="1" x14ac:dyDescent="0.85">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row>
    <row r="86" spans="1:31" ht="22.5" customHeight="1" x14ac:dyDescent="0.85">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row>
    <row r="87" spans="1:31" ht="22.5" customHeight="1" x14ac:dyDescent="0.85">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row>
    <row r="88" spans="1:31" ht="22.5" customHeight="1" x14ac:dyDescent="0.85">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row>
    <row r="89" spans="1:31" ht="22.5" customHeight="1" x14ac:dyDescent="0.85">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row>
    <row r="90" spans="1:31" ht="22.5" customHeight="1" x14ac:dyDescent="0.85">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row>
    <row r="91" spans="1:31" ht="22.5" customHeight="1" x14ac:dyDescent="0.85">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row>
    <row r="92" spans="1:31" ht="22.5" customHeight="1" x14ac:dyDescent="0.85">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row>
    <row r="93" spans="1:31" ht="22.5" customHeight="1" x14ac:dyDescent="0.85">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row>
    <row r="94" spans="1:31" ht="22.5" customHeight="1" x14ac:dyDescent="0.85">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row>
    <row r="95" spans="1:31" ht="22.5" customHeight="1" x14ac:dyDescent="0.85">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row>
    <row r="96" spans="1:31" ht="22.5" customHeight="1" x14ac:dyDescent="0.85">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row>
    <row r="97" spans="1:31" ht="22.5" customHeight="1" x14ac:dyDescent="0.85">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row>
    <row r="98" spans="1:31" ht="22.5" customHeight="1" x14ac:dyDescent="0.85">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row>
    <row r="99" spans="1:31" ht="22.5" customHeight="1" x14ac:dyDescent="0.85">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row>
    <row r="100" spans="1:31" ht="22.5" customHeight="1" x14ac:dyDescent="0.8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row>
    <row r="101" spans="1:31" ht="22.5" customHeight="1" x14ac:dyDescent="0.8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row>
    <row r="102" spans="1:31" ht="22.5" customHeight="1" x14ac:dyDescent="0.8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row>
    <row r="103" spans="1:31" ht="22.5" customHeight="1" x14ac:dyDescent="0.8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row>
    <row r="104" spans="1:31" ht="22.5" customHeight="1" x14ac:dyDescent="0.8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row>
    <row r="105" spans="1:31" ht="22.5" customHeight="1" x14ac:dyDescent="0.8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row>
    <row r="106" spans="1:31" ht="22.5" customHeight="1" x14ac:dyDescent="0.8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row>
    <row r="107" spans="1:31" ht="22.5" customHeight="1" x14ac:dyDescent="0.8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row>
    <row r="108" spans="1:31" ht="22.5" customHeight="1" x14ac:dyDescent="0.8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row>
    <row r="109" spans="1:31" ht="22.5" customHeight="1" x14ac:dyDescent="0.8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row>
    <row r="110" spans="1:31" ht="22.5" customHeight="1" x14ac:dyDescent="0.8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row>
    <row r="111" spans="1:31" ht="22.5" customHeight="1" x14ac:dyDescent="0.8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row>
    <row r="112" spans="1:31" ht="22.5" customHeight="1" x14ac:dyDescent="0.8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row>
    <row r="113" spans="1:31" ht="22.5" customHeight="1" x14ac:dyDescent="0.8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row>
    <row r="114" spans="1:31" ht="22.5" customHeight="1" x14ac:dyDescent="0.8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row>
    <row r="115" spans="1:31" ht="22.5" customHeight="1" x14ac:dyDescent="0.8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row>
    <row r="116" spans="1:31" ht="22.5" customHeight="1" x14ac:dyDescent="0.8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row>
    <row r="117" spans="1:31" ht="22.5" customHeight="1" x14ac:dyDescent="0.8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row>
    <row r="118" spans="1:31" ht="22.5" customHeight="1" x14ac:dyDescent="0.8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row>
    <row r="119" spans="1:31" ht="22.5" customHeight="1" x14ac:dyDescent="0.8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row>
    <row r="120" spans="1:31" ht="22.5" customHeight="1" x14ac:dyDescent="0.8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row>
    <row r="121" spans="1:31" ht="22.5" customHeight="1" x14ac:dyDescent="0.8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row>
    <row r="122" spans="1:31" ht="22.5" customHeight="1" x14ac:dyDescent="0.8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row>
    <row r="123" spans="1:31" ht="22.5" customHeight="1" x14ac:dyDescent="0.8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row>
    <row r="124" spans="1:31" ht="22.5" customHeight="1" x14ac:dyDescent="0.8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row>
    <row r="125" spans="1:31" ht="22.5" customHeight="1" x14ac:dyDescent="0.8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row>
    <row r="126" spans="1:31" ht="22.5" customHeight="1" x14ac:dyDescent="0.8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row>
    <row r="127" spans="1:31" ht="22.5" customHeight="1" x14ac:dyDescent="0.8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row>
    <row r="128" spans="1:31" ht="22.5" customHeight="1" x14ac:dyDescent="0.8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row>
    <row r="129" spans="1:31" ht="22.5" customHeight="1" x14ac:dyDescent="0.8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row>
    <row r="130" spans="1:31" ht="22.5" customHeight="1" x14ac:dyDescent="0.8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row>
    <row r="131" spans="1:31" ht="22.5" customHeight="1" x14ac:dyDescent="0.8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row>
    <row r="132" spans="1:31" ht="22.5" customHeight="1" x14ac:dyDescent="0.8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row>
    <row r="133" spans="1:31" ht="22.5" customHeight="1" x14ac:dyDescent="0.8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row>
    <row r="134" spans="1:31" ht="22.5" customHeight="1" x14ac:dyDescent="0.8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row>
    <row r="135" spans="1:31" ht="22.5" customHeight="1" x14ac:dyDescent="0.8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row>
    <row r="136" spans="1:31" ht="22.5" customHeight="1" x14ac:dyDescent="0.8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row>
    <row r="137" spans="1:31" ht="22.5" customHeight="1" x14ac:dyDescent="0.8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row>
    <row r="138" spans="1:31" ht="22.5" customHeight="1" x14ac:dyDescent="0.8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row>
    <row r="139" spans="1:31" ht="22.5" customHeight="1" x14ac:dyDescent="0.8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row>
    <row r="140" spans="1:31" ht="22.5" customHeight="1" x14ac:dyDescent="0.8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row>
    <row r="141" spans="1:31" ht="22.5" customHeight="1" x14ac:dyDescent="0.8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row>
    <row r="142" spans="1:31" ht="22.5" customHeight="1" x14ac:dyDescent="0.8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row>
    <row r="143" spans="1:31" ht="22.5" customHeight="1" x14ac:dyDescent="0.8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row>
    <row r="144" spans="1:31" ht="22.5" customHeight="1" x14ac:dyDescent="0.8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row>
    <row r="145" spans="1:31" ht="22.5" customHeight="1" x14ac:dyDescent="0.8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row>
    <row r="146" spans="1:31" ht="22.5" customHeight="1" x14ac:dyDescent="0.8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row>
    <row r="147" spans="1:31" ht="22.5" customHeight="1" x14ac:dyDescent="0.8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row>
    <row r="148" spans="1:31" ht="22.5" customHeight="1" x14ac:dyDescent="0.8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row>
    <row r="149" spans="1:31" ht="22.5" customHeight="1" x14ac:dyDescent="0.8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row>
    <row r="150" spans="1:31" ht="22.5" customHeight="1" x14ac:dyDescent="0.8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row>
    <row r="151" spans="1:31" ht="22.5" customHeight="1" x14ac:dyDescent="0.8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1:31" ht="22.5" customHeight="1" x14ac:dyDescent="0.8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row>
    <row r="153" spans="1:31" ht="22.5" customHeight="1" x14ac:dyDescent="0.8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row>
    <row r="154" spans="1:31" ht="22.5" customHeight="1" x14ac:dyDescent="0.8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row>
    <row r="155" spans="1:31" ht="22.5" customHeight="1" x14ac:dyDescent="0.8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row>
    <row r="156" spans="1:31" ht="22.5" customHeight="1" x14ac:dyDescent="0.8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row>
    <row r="157" spans="1:31" ht="22.5" customHeight="1" x14ac:dyDescent="0.8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row>
    <row r="158" spans="1:31" ht="22.5" customHeight="1" x14ac:dyDescent="0.8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row>
    <row r="159" spans="1:31" ht="22.5" customHeight="1" x14ac:dyDescent="0.8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row>
    <row r="160" spans="1:31" ht="22.5" customHeight="1" x14ac:dyDescent="0.8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row>
    <row r="161" spans="1:31" ht="22.5" customHeight="1" x14ac:dyDescent="0.8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row>
    <row r="162" spans="1:31" ht="22.5" customHeight="1" x14ac:dyDescent="0.8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row>
    <row r="163" spans="1:31" ht="22.5" customHeight="1" x14ac:dyDescent="0.8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row>
    <row r="164" spans="1:31" ht="22.5" customHeight="1" x14ac:dyDescent="0.8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row>
    <row r="165" spans="1:31" ht="22.5" customHeight="1" x14ac:dyDescent="0.8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row>
    <row r="166" spans="1:31" ht="22.5" customHeight="1" x14ac:dyDescent="0.8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row>
    <row r="167" spans="1:31" ht="22.5" customHeight="1" x14ac:dyDescent="0.8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row>
    <row r="168" spans="1:31" ht="22.5" customHeight="1" x14ac:dyDescent="0.8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row>
    <row r="169" spans="1:31" ht="22.5" customHeight="1" x14ac:dyDescent="0.8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row>
    <row r="170" spans="1:31" ht="22.5" customHeight="1" x14ac:dyDescent="0.8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row>
    <row r="171" spans="1:31" ht="22.5" customHeight="1" x14ac:dyDescent="0.8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row>
    <row r="172" spans="1:31" ht="22.5" customHeight="1" x14ac:dyDescent="0.8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row>
    <row r="173" spans="1:31" ht="22.5" customHeight="1" x14ac:dyDescent="0.8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row>
    <row r="174" spans="1:31" ht="22.5" customHeight="1" x14ac:dyDescent="0.8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row>
    <row r="175" spans="1:31" ht="22.5" customHeight="1" x14ac:dyDescent="0.8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row>
    <row r="176" spans="1:31" ht="22.5" customHeight="1" x14ac:dyDescent="0.8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row>
    <row r="177" spans="1:31" ht="22.5" customHeight="1" x14ac:dyDescent="0.8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row>
    <row r="178" spans="1:31" ht="22.5" customHeight="1" x14ac:dyDescent="0.8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row>
    <row r="179" spans="1:31" ht="22.5" customHeight="1" x14ac:dyDescent="0.8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row>
    <row r="180" spans="1:31" ht="22.5" customHeight="1" x14ac:dyDescent="0.8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row>
    <row r="181" spans="1:31" ht="22.5" customHeight="1" x14ac:dyDescent="0.8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row>
    <row r="182" spans="1:31" ht="22.5" customHeight="1" x14ac:dyDescent="0.8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row>
    <row r="183" spans="1:31" ht="22.5" customHeight="1" x14ac:dyDescent="0.8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row>
    <row r="184" spans="1:31" ht="22.5" customHeight="1" x14ac:dyDescent="0.8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row>
    <row r="185" spans="1:31" ht="22.5" customHeight="1" x14ac:dyDescent="0.8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row>
    <row r="186" spans="1:31" ht="22.5" customHeight="1" x14ac:dyDescent="0.8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row>
    <row r="187" spans="1:31" ht="22.5" customHeight="1" x14ac:dyDescent="0.8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row>
    <row r="188" spans="1:31" ht="22.5" customHeight="1" x14ac:dyDescent="0.8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row>
    <row r="189" spans="1:31" ht="22.5" customHeight="1" x14ac:dyDescent="0.8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row>
    <row r="190" spans="1:31" ht="22.5" customHeight="1" x14ac:dyDescent="0.8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row>
    <row r="191" spans="1:31" ht="22.5" customHeight="1" x14ac:dyDescent="0.8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row>
    <row r="192" spans="1:31" ht="22.5" customHeight="1" x14ac:dyDescent="0.8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row>
    <row r="193" spans="1:31" ht="22.5" customHeight="1" x14ac:dyDescent="0.8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row>
    <row r="194" spans="1:31" ht="22.5" customHeight="1" x14ac:dyDescent="0.8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row>
    <row r="195" spans="1:31" ht="22.5" customHeight="1" x14ac:dyDescent="0.8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row>
    <row r="196" spans="1:31" ht="22.5" customHeight="1" x14ac:dyDescent="0.8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row>
    <row r="197" spans="1:31" ht="22.5" customHeight="1" x14ac:dyDescent="0.8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row>
    <row r="198" spans="1:31" ht="22.5" customHeight="1" x14ac:dyDescent="0.8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row>
    <row r="199" spans="1:31" ht="22.5" customHeight="1" x14ac:dyDescent="0.8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row>
    <row r="200" spans="1:31" ht="22.5" customHeight="1" x14ac:dyDescent="0.8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row>
    <row r="201" spans="1:31" ht="22.5" customHeight="1" x14ac:dyDescent="0.8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row>
    <row r="202" spans="1:31" ht="22.5" customHeight="1" x14ac:dyDescent="0.8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row>
    <row r="203" spans="1:31" ht="22.5" customHeight="1" x14ac:dyDescent="0.8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row>
    <row r="204" spans="1:31" ht="22.5" customHeight="1" x14ac:dyDescent="0.8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row>
    <row r="205" spans="1:31" ht="22.5" customHeight="1" x14ac:dyDescent="0.8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row>
    <row r="206" spans="1:31" ht="22.5" customHeight="1" x14ac:dyDescent="0.8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row>
    <row r="207" spans="1:31" ht="22.5" customHeight="1" x14ac:dyDescent="0.8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row>
    <row r="208" spans="1:31" ht="22.5" customHeight="1" x14ac:dyDescent="0.8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row>
    <row r="209" spans="1:31" ht="22.5" customHeight="1" x14ac:dyDescent="0.8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row>
    <row r="210" spans="1:31" ht="22.5" customHeight="1" x14ac:dyDescent="0.8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row>
    <row r="211" spans="1:31" ht="22.5" customHeight="1" x14ac:dyDescent="0.8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row>
    <row r="212" spans="1:31" ht="22.5" customHeight="1" x14ac:dyDescent="0.8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row>
    <row r="213" spans="1:31" ht="22.5" customHeight="1" x14ac:dyDescent="0.8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row>
    <row r="214" spans="1:31" ht="22.5" customHeight="1" x14ac:dyDescent="0.8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row>
    <row r="215" spans="1:31" ht="22.5" customHeight="1" x14ac:dyDescent="0.8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row>
    <row r="216" spans="1:31" ht="22.5" customHeight="1" x14ac:dyDescent="0.8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row>
    <row r="217" spans="1:31" ht="22.5" customHeight="1" x14ac:dyDescent="0.8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row>
    <row r="218" spans="1:31" ht="22.5" customHeight="1" x14ac:dyDescent="0.8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row>
    <row r="219" spans="1:31" ht="22.5" customHeight="1" x14ac:dyDescent="0.8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row>
    <row r="220" spans="1:31" ht="22.5" customHeight="1" x14ac:dyDescent="0.8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row>
    <row r="221" spans="1:31" ht="22.5" customHeight="1" x14ac:dyDescent="0.8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row>
    <row r="222" spans="1:31" ht="22.5" customHeight="1" x14ac:dyDescent="0.8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row>
    <row r="223" spans="1:31" ht="22.5" customHeight="1" x14ac:dyDescent="0.8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row>
    <row r="224" spans="1:31" ht="22.5" customHeight="1" x14ac:dyDescent="0.8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row>
    <row r="225" spans="1:31" ht="22.5" customHeight="1" x14ac:dyDescent="0.8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row>
    <row r="226" spans="1:31" ht="22.5" customHeight="1" x14ac:dyDescent="0.8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row>
    <row r="227" spans="1:31" ht="22.5" customHeight="1" x14ac:dyDescent="0.8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row>
    <row r="228" spans="1:31" ht="22.5" customHeight="1" x14ac:dyDescent="0.8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row>
    <row r="229" spans="1:31" ht="22.5" customHeight="1" x14ac:dyDescent="0.8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row>
    <row r="230" spans="1:31" ht="22.5" customHeight="1" x14ac:dyDescent="0.8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row>
    <row r="231" spans="1:31" ht="22.5" customHeight="1" x14ac:dyDescent="0.8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row>
    <row r="232" spans="1:31" ht="22.5" customHeight="1" x14ac:dyDescent="0.8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row>
    <row r="233" spans="1:31" ht="22.5" customHeight="1" x14ac:dyDescent="0.8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row>
    <row r="234" spans="1:31" ht="22.5" customHeight="1" x14ac:dyDescent="0.8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row>
    <row r="235" spans="1:31" ht="22.5" customHeight="1" x14ac:dyDescent="0.8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row>
    <row r="236" spans="1:31" ht="22.5" customHeight="1" x14ac:dyDescent="0.8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row>
    <row r="237" spans="1:31" ht="22.5" customHeight="1" x14ac:dyDescent="0.8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row>
    <row r="238" spans="1:31" ht="22.5" customHeight="1" x14ac:dyDescent="0.8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row>
    <row r="239" spans="1:31" ht="22.5" customHeight="1" x14ac:dyDescent="0.8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row>
    <row r="240" spans="1:31" ht="22.5" customHeight="1" x14ac:dyDescent="0.8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row>
    <row r="241" spans="1:31" ht="22.5" customHeight="1" x14ac:dyDescent="0.8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row>
    <row r="242" spans="1:31" ht="22.5" customHeight="1" x14ac:dyDescent="0.8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row>
    <row r="243" spans="1:31" ht="22.5" customHeight="1" x14ac:dyDescent="0.8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row>
    <row r="244" spans="1:31" ht="22.5" customHeight="1" x14ac:dyDescent="0.8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row>
    <row r="245" spans="1:31" ht="22.5" customHeight="1" x14ac:dyDescent="0.8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row>
    <row r="246" spans="1:31" ht="22.5" customHeight="1" x14ac:dyDescent="0.8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row>
    <row r="247" spans="1:31" ht="22.5" customHeight="1" x14ac:dyDescent="0.8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row>
    <row r="248" spans="1:31" ht="22.5" customHeight="1" x14ac:dyDescent="0.8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row>
    <row r="249" spans="1:31" ht="22.5" customHeight="1" x14ac:dyDescent="0.8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row>
    <row r="250" spans="1:31" ht="22.5" customHeight="1" x14ac:dyDescent="0.8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row>
    <row r="251" spans="1:31" ht="22.5" customHeight="1" x14ac:dyDescent="0.8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row>
    <row r="252" spans="1:31" ht="22.5" customHeight="1" x14ac:dyDescent="0.8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row>
    <row r="253" spans="1:31" ht="22.5" customHeight="1" x14ac:dyDescent="0.8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row>
    <row r="254" spans="1:31" ht="22.5" customHeight="1" x14ac:dyDescent="0.8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row>
    <row r="255" spans="1:31" ht="22.5" customHeight="1" x14ac:dyDescent="0.8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row>
    <row r="256" spans="1:31" ht="22.5" customHeight="1" x14ac:dyDescent="0.8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row>
    <row r="257" spans="1:31" ht="22.5" customHeight="1" x14ac:dyDescent="0.8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row>
    <row r="258" spans="1:31" ht="22.5" customHeight="1" x14ac:dyDescent="0.8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row>
    <row r="259" spans="1:31" ht="22.5" customHeight="1" x14ac:dyDescent="0.8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row>
    <row r="260" spans="1:31" ht="22.5" customHeight="1" x14ac:dyDescent="0.8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row>
    <row r="261" spans="1:31" ht="22.5" customHeight="1" x14ac:dyDescent="0.8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row>
    <row r="262" spans="1:31" ht="22.5" customHeight="1" x14ac:dyDescent="0.8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row>
    <row r="263" spans="1:31" ht="22.5" customHeight="1" x14ac:dyDescent="0.8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row>
    <row r="264" spans="1:31" ht="22.5" customHeight="1" x14ac:dyDescent="0.8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row>
    <row r="265" spans="1:31" ht="22.5" customHeight="1" x14ac:dyDescent="0.8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row>
    <row r="266" spans="1:31" ht="22.5" customHeight="1" x14ac:dyDescent="0.8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row>
    <row r="267" spans="1:31" ht="22.5" customHeight="1" x14ac:dyDescent="0.8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row>
    <row r="268" spans="1:31" ht="22.5" customHeight="1" x14ac:dyDescent="0.8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row>
    <row r="269" spans="1:31" ht="22.5" customHeight="1" x14ac:dyDescent="0.8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row>
    <row r="270" spans="1:31" ht="22.5" customHeight="1" x14ac:dyDescent="0.8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row>
    <row r="271" spans="1:31" ht="22.5" customHeight="1" x14ac:dyDescent="0.8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row>
    <row r="272" spans="1:31" ht="22.5" customHeight="1" x14ac:dyDescent="0.8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row>
    <row r="273" spans="1:31" ht="22.5" customHeight="1" x14ac:dyDescent="0.8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row>
    <row r="274" spans="1:31" ht="22.5" customHeight="1" x14ac:dyDescent="0.8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row>
    <row r="275" spans="1:31" ht="22.5" customHeight="1" x14ac:dyDescent="0.8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row>
    <row r="276" spans="1:31" ht="22.5" customHeight="1" x14ac:dyDescent="0.8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row>
    <row r="277" spans="1:31" ht="22.5" customHeight="1" x14ac:dyDescent="0.8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row>
    <row r="278" spans="1:31" ht="22.5" customHeight="1" x14ac:dyDescent="0.8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row>
    <row r="279" spans="1:31" ht="22.5" customHeight="1" x14ac:dyDescent="0.8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row>
    <row r="280" spans="1:31" ht="22.5" customHeight="1" x14ac:dyDescent="0.8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row>
    <row r="281" spans="1:31" ht="22.5" customHeight="1" x14ac:dyDescent="0.8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row>
    <row r="282" spans="1:31" ht="22.5" customHeight="1" x14ac:dyDescent="0.8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row>
    <row r="283" spans="1:31" ht="22.5" customHeight="1" x14ac:dyDescent="0.8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row>
    <row r="284" spans="1:31" ht="22.5" customHeight="1" x14ac:dyDescent="0.8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row>
    <row r="285" spans="1:31" ht="22.5" customHeight="1" x14ac:dyDescent="0.8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row>
    <row r="286" spans="1:31" ht="22.5" customHeight="1" x14ac:dyDescent="0.8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row>
    <row r="287" spans="1:31" ht="22.5" customHeight="1" x14ac:dyDescent="0.8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row>
    <row r="288" spans="1:31" ht="22.5" customHeight="1" x14ac:dyDescent="0.8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row>
    <row r="289" spans="1:31" ht="22.5" customHeight="1" x14ac:dyDescent="0.8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row>
    <row r="290" spans="1:31" ht="22.5" customHeight="1" x14ac:dyDescent="0.8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row>
    <row r="291" spans="1:31" ht="22.5" customHeight="1" x14ac:dyDescent="0.8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row>
    <row r="292" spans="1:31" ht="22.5" customHeight="1" x14ac:dyDescent="0.8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row>
    <row r="293" spans="1:31" ht="22.5" customHeight="1" x14ac:dyDescent="0.8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row>
    <row r="294" spans="1:31" ht="22.5" customHeight="1" x14ac:dyDescent="0.8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row>
    <row r="295" spans="1:31" ht="22.5" customHeight="1" x14ac:dyDescent="0.8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row>
    <row r="296" spans="1:31" ht="22.5" customHeight="1" x14ac:dyDescent="0.8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row>
    <row r="297" spans="1:31" ht="22.5" customHeight="1" x14ac:dyDescent="0.8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row>
    <row r="298" spans="1:31" ht="22.5" customHeight="1" x14ac:dyDescent="0.8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row>
    <row r="299" spans="1:31" ht="22.5" customHeight="1" x14ac:dyDescent="0.8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row>
    <row r="300" spans="1:31" ht="22.5" customHeight="1" x14ac:dyDescent="0.8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row>
    <row r="301" spans="1:31" ht="22.5" customHeight="1" x14ac:dyDescent="0.8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row>
    <row r="302" spans="1:31" ht="22.5" customHeight="1" x14ac:dyDescent="0.8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row>
    <row r="303" spans="1:31" ht="22.5" customHeight="1" x14ac:dyDescent="0.8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row>
    <row r="304" spans="1:31" ht="22.5" customHeight="1" x14ac:dyDescent="0.8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row>
    <row r="305" spans="1:31" ht="22.5" customHeight="1" x14ac:dyDescent="0.8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row>
    <row r="306" spans="1:31" ht="22.5" customHeight="1" x14ac:dyDescent="0.8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row>
    <row r="307" spans="1:31" ht="22.5" customHeight="1" x14ac:dyDescent="0.8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row>
    <row r="308" spans="1:31" ht="22.5" customHeight="1" x14ac:dyDescent="0.8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row>
    <row r="309" spans="1:31" ht="22.5" customHeight="1" x14ac:dyDescent="0.8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row>
    <row r="310" spans="1:31" ht="22.5" customHeight="1" x14ac:dyDescent="0.8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row>
    <row r="311" spans="1:31" ht="22.5" customHeight="1" x14ac:dyDescent="0.8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row>
    <row r="312" spans="1:31" ht="22.5" customHeight="1" x14ac:dyDescent="0.8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row>
    <row r="313" spans="1:31" ht="22.5" customHeight="1" x14ac:dyDescent="0.8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row>
    <row r="314" spans="1:31" ht="22.5" customHeight="1" x14ac:dyDescent="0.8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row>
    <row r="315" spans="1:31" ht="22.5" customHeight="1" x14ac:dyDescent="0.8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row>
    <row r="316" spans="1:31" ht="22.5" customHeight="1" x14ac:dyDescent="0.8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row>
    <row r="317" spans="1:31" ht="22.5" customHeight="1" x14ac:dyDescent="0.8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row>
    <row r="318" spans="1:31" ht="22.5" customHeight="1" x14ac:dyDescent="0.8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row>
    <row r="319" spans="1:31" ht="22.5" customHeight="1" x14ac:dyDescent="0.8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row>
    <row r="320" spans="1:31" ht="22.5" customHeight="1" x14ac:dyDescent="0.8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row>
    <row r="321" spans="1:31" ht="22.5" customHeight="1" x14ac:dyDescent="0.8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row>
    <row r="322" spans="1:31" ht="22.5" customHeight="1" x14ac:dyDescent="0.8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row>
    <row r="323" spans="1:31" ht="22.5" customHeight="1" x14ac:dyDescent="0.8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row>
    <row r="324" spans="1:31" ht="22.5" customHeight="1" x14ac:dyDescent="0.8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row>
    <row r="325" spans="1:31" ht="22.5" customHeight="1" x14ac:dyDescent="0.8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row>
    <row r="326" spans="1:31" ht="22.5" customHeight="1" x14ac:dyDescent="0.8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row>
    <row r="327" spans="1:31" ht="22.5" customHeight="1" x14ac:dyDescent="0.8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row>
    <row r="328" spans="1:31" ht="22.5" customHeight="1" x14ac:dyDescent="0.8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row>
    <row r="329" spans="1:31" ht="22.5" customHeight="1" x14ac:dyDescent="0.8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row>
    <row r="330" spans="1:31" ht="22.5" customHeight="1" x14ac:dyDescent="0.8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row>
    <row r="331" spans="1:31" ht="22.5" customHeight="1" x14ac:dyDescent="0.8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row>
    <row r="332" spans="1:31" ht="22.5" customHeight="1" x14ac:dyDescent="0.8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row>
    <row r="333" spans="1:31" ht="22.5" customHeight="1" x14ac:dyDescent="0.8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row>
    <row r="334" spans="1:31" ht="22.5" customHeight="1" x14ac:dyDescent="0.8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row>
    <row r="335" spans="1:31" ht="22.5" customHeight="1" x14ac:dyDescent="0.8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row>
    <row r="336" spans="1:31" ht="22.5" customHeight="1" x14ac:dyDescent="0.8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row>
    <row r="337" spans="1:31" ht="22.5" customHeight="1" x14ac:dyDescent="0.8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row>
    <row r="338" spans="1:31" ht="22.5" customHeight="1" x14ac:dyDescent="0.8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row>
    <row r="339" spans="1:31" ht="22.5" customHeight="1" x14ac:dyDescent="0.8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row>
    <row r="340" spans="1:31" ht="22.5" customHeight="1" x14ac:dyDescent="0.8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row>
    <row r="341" spans="1:31" ht="22.5" customHeight="1" x14ac:dyDescent="0.8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row>
    <row r="342" spans="1:31" ht="22.5" customHeight="1" x14ac:dyDescent="0.8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row>
    <row r="343" spans="1:31" ht="22.5" customHeight="1" x14ac:dyDescent="0.8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row>
    <row r="344" spans="1:31" ht="22.5" customHeight="1" x14ac:dyDescent="0.8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row>
    <row r="345" spans="1:31" ht="22.5" customHeight="1" x14ac:dyDescent="0.8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row>
    <row r="346" spans="1:31" ht="22.5" customHeight="1" x14ac:dyDescent="0.8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row>
    <row r="347" spans="1:31" ht="22.5" customHeight="1" x14ac:dyDescent="0.8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row>
    <row r="348" spans="1:31" ht="22.5" customHeight="1" x14ac:dyDescent="0.8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row>
    <row r="349" spans="1:31" ht="22.5" customHeight="1" x14ac:dyDescent="0.8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row>
    <row r="350" spans="1:31" ht="22.5" customHeight="1" x14ac:dyDescent="0.8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row>
    <row r="351" spans="1:31" ht="22.5" customHeight="1" x14ac:dyDescent="0.8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row>
    <row r="352" spans="1:31" ht="22.5" customHeight="1" x14ac:dyDescent="0.8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row>
    <row r="353" spans="1:31" ht="22.5" customHeight="1" x14ac:dyDescent="0.8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row>
    <row r="354" spans="1:31" ht="22.5" customHeight="1" x14ac:dyDescent="0.8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c r="AA354" s="3"/>
      <c r="AB354" s="3"/>
      <c r="AC354" s="3"/>
      <c r="AD354" s="3"/>
      <c r="AE354" s="3"/>
    </row>
    <row r="355" spans="1:31" ht="22.5" customHeight="1" x14ac:dyDescent="0.8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c r="AA355" s="3"/>
      <c r="AB355" s="3"/>
      <c r="AC355" s="3"/>
      <c r="AD355" s="3"/>
      <c r="AE355" s="3"/>
    </row>
    <row r="356" spans="1:31" ht="22.5" customHeight="1" x14ac:dyDescent="0.8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c r="AA356" s="3"/>
      <c r="AB356" s="3"/>
      <c r="AC356" s="3"/>
      <c r="AD356" s="3"/>
      <c r="AE356" s="3"/>
    </row>
    <row r="357" spans="1:31" ht="22.5" customHeight="1" x14ac:dyDescent="0.8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c r="AA357" s="3"/>
      <c r="AB357" s="3"/>
      <c r="AC357" s="3"/>
      <c r="AD357" s="3"/>
      <c r="AE357" s="3"/>
    </row>
    <row r="358" spans="1:31" ht="22.5" customHeight="1" x14ac:dyDescent="0.8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row>
    <row r="359" spans="1:31" ht="22.5" customHeight="1" x14ac:dyDescent="0.8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row>
    <row r="360" spans="1:31" ht="22.5" customHeight="1" x14ac:dyDescent="0.8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c r="AA360" s="3"/>
      <c r="AB360" s="3"/>
      <c r="AC360" s="3"/>
      <c r="AD360" s="3"/>
      <c r="AE360" s="3"/>
    </row>
    <row r="361" spans="1:31" ht="22.5" customHeight="1" x14ac:dyDescent="0.8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c r="AA361" s="3"/>
      <c r="AB361" s="3"/>
      <c r="AC361" s="3"/>
      <c r="AD361" s="3"/>
      <c r="AE361" s="3"/>
    </row>
    <row r="362" spans="1:31" ht="22.5" customHeight="1" x14ac:dyDescent="0.8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c r="AA362" s="3"/>
      <c r="AB362" s="3"/>
      <c r="AC362" s="3"/>
      <c r="AD362" s="3"/>
      <c r="AE362" s="3"/>
    </row>
    <row r="363" spans="1:31" ht="22.5" customHeight="1" x14ac:dyDescent="0.8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row>
    <row r="364" spans="1:31" ht="22.5" customHeight="1" x14ac:dyDescent="0.8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row>
    <row r="365" spans="1:31" ht="22.5" customHeight="1" x14ac:dyDescent="0.8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row>
    <row r="366" spans="1:31" ht="22.5" customHeight="1" x14ac:dyDescent="0.8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c r="AA366" s="3"/>
      <c r="AB366" s="3"/>
      <c r="AC366" s="3"/>
      <c r="AD366" s="3"/>
      <c r="AE366" s="3"/>
    </row>
    <row r="367" spans="1:31" ht="22.5" customHeight="1" x14ac:dyDescent="0.8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c r="AA367" s="3"/>
      <c r="AB367" s="3"/>
      <c r="AC367" s="3"/>
      <c r="AD367" s="3"/>
      <c r="AE367" s="3"/>
    </row>
    <row r="368" spans="1:31" ht="22.5" customHeight="1" x14ac:dyDescent="0.8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c r="AA368" s="3"/>
      <c r="AB368" s="3"/>
      <c r="AC368" s="3"/>
      <c r="AD368" s="3"/>
      <c r="AE368" s="3"/>
    </row>
    <row r="369" spans="1:31" ht="22.5" customHeight="1" x14ac:dyDescent="0.8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c r="AA369" s="3"/>
      <c r="AB369" s="3"/>
      <c r="AC369" s="3"/>
      <c r="AD369" s="3"/>
      <c r="AE369" s="3"/>
    </row>
    <row r="370" spans="1:31" ht="22.5" customHeight="1" x14ac:dyDescent="0.8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row>
    <row r="371" spans="1:31" ht="22.5" customHeight="1" x14ac:dyDescent="0.8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c r="AA371" s="3"/>
      <c r="AB371" s="3"/>
      <c r="AC371" s="3"/>
      <c r="AD371" s="3"/>
      <c r="AE371" s="3"/>
    </row>
    <row r="372" spans="1:31" ht="22.5" customHeight="1" x14ac:dyDescent="0.8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c r="AA372" s="3"/>
      <c r="AB372" s="3"/>
      <c r="AC372" s="3"/>
      <c r="AD372" s="3"/>
      <c r="AE372" s="3"/>
    </row>
    <row r="373" spans="1:31" ht="22.5" customHeight="1" x14ac:dyDescent="0.8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c r="AA373" s="3"/>
      <c r="AB373" s="3"/>
      <c r="AC373" s="3"/>
      <c r="AD373" s="3"/>
      <c r="AE373" s="3"/>
    </row>
    <row r="374" spans="1:31" ht="22.5" customHeight="1" x14ac:dyDescent="0.8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c r="AA374" s="3"/>
      <c r="AB374" s="3"/>
      <c r="AC374" s="3"/>
      <c r="AD374" s="3"/>
      <c r="AE374" s="3"/>
    </row>
    <row r="375" spans="1:31" ht="22.5" customHeight="1" x14ac:dyDescent="0.8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row>
    <row r="376" spans="1:31" ht="22.5" customHeight="1" x14ac:dyDescent="0.8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row>
    <row r="377" spans="1:31" ht="22.5" customHeight="1" x14ac:dyDescent="0.8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row>
    <row r="378" spans="1:31" ht="22.5" customHeight="1" x14ac:dyDescent="0.8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row>
    <row r="379" spans="1:31" ht="22.5" customHeight="1" x14ac:dyDescent="0.8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row>
    <row r="380" spans="1:31" ht="22.5" customHeight="1" x14ac:dyDescent="0.8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row>
    <row r="381" spans="1:31" ht="22.5" customHeight="1" x14ac:dyDescent="0.8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
    </row>
    <row r="382" spans="1:31" ht="22.5" customHeight="1" x14ac:dyDescent="0.8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c r="AA382" s="3"/>
      <c r="AB382" s="3"/>
      <c r="AC382" s="3"/>
      <c r="AD382" s="3"/>
      <c r="AE382" s="3"/>
    </row>
    <row r="383" spans="1:31" ht="22.5" customHeight="1" x14ac:dyDescent="0.8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c r="AA383" s="3"/>
      <c r="AB383" s="3"/>
      <c r="AC383" s="3"/>
      <c r="AD383" s="3"/>
      <c r="AE383" s="3"/>
    </row>
    <row r="384" spans="1:31" ht="22.5" customHeight="1" x14ac:dyDescent="0.8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c r="AA384" s="3"/>
      <c r="AB384" s="3"/>
      <c r="AC384" s="3"/>
      <c r="AD384" s="3"/>
      <c r="AE384" s="3"/>
    </row>
    <row r="385" spans="1:31" ht="22.5" customHeight="1" x14ac:dyDescent="0.8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c r="AA385" s="3"/>
      <c r="AB385" s="3"/>
      <c r="AC385" s="3"/>
      <c r="AD385" s="3"/>
      <c r="AE385" s="3"/>
    </row>
    <row r="386" spans="1:31" ht="22.5" customHeight="1" x14ac:dyDescent="0.8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c r="AA386" s="3"/>
      <c r="AB386" s="3"/>
      <c r="AC386" s="3"/>
      <c r="AD386" s="3"/>
      <c r="AE386" s="3"/>
    </row>
    <row r="387" spans="1:31" ht="22.5" customHeight="1" x14ac:dyDescent="0.8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c r="AA387" s="3"/>
      <c r="AB387" s="3"/>
      <c r="AC387" s="3"/>
      <c r="AD387" s="3"/>
      <c r="AE387" s="3"/>
    </row>
    <row r="388" spans="1:31" ht="22.5" customHeight="1" x14ac:dyDescent="0.8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row>
    <row r="389" spans="1:31" ht="22.5" customHeight="1" x14ac:dyDescent="0.8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row>
    <row r="390" spans="1:31" ht="22.5" customHeight="1" x14ac:dyDescent="0.8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row>
    <row r="391" spans="1:31" ht="22.5" customHeight="1" x14ac:dyDescent="0.8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row>
    <row r="392" spans="1:31" ht="22.5" customHeight="1" x14ac:dyDescent="0.8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
    </row>
    <row r="393" spans="1:31" ht="22.5" customHeight="1" x14ac:dyDescent="0.8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c r="AA393" s="3"/>
      <c r="AB393" s="3"/>
      <c r="AC393" s="3"/>
      <c r="AD393" s="3"/>
      <c r="AE393" s="3"/>
    </row>
    <row r="394" spans="1:31" ht="22.5" customHeight="1" x14ac:dyDescent="0.8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c r="AA394" s="3"/>
      <c r="AB394" s="3"/>
      <c r="AC394" s="3"/>
      <c r="AD394" s="3"/>
      <c r="AE394" s="3"/>
    </row>
    <row r="395" spans="1:31" ht="22.5" customHeight="1" x14ac:dyDescent="0.8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row>
    <row r="396" spans="1:31" ht="22.5" customHeight="1" x14ac:dyDescent="0.8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c r="AA396" s="3"/>
      <c r="AB396" s="3"/>
      <c r="AC396" s="3"/>
      <c r="AD396" s="3"/>
      <c r="AE396" s="3"/>
    </row>
    <row r="397" spans="1:31" ht="22.5" customHeight="1" x14ac:dyDescent="0.8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c r="AA397" s="3"/>
      <c r="AB397" s="3"/>
      <c r="AC397" s="3"/>
      <c r="AD397" s="3"/>
      <c r="AE397" s="3"/>
    </row>
    <row r="398" spans="1:31" ht="22.5" customHeight="1" x14ac:dyDescent="0.8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c r="AA398" s="3"/>
      <c r="AB398" s="3"/>
      <c r="AC398" s="3"/>
      <c r="AD398" s="3"/>
      <c r="AE398" s="3"/>
    </row>
    <row r="399" spans="1:31" ht="22.5" customHeight="1" x14ac:dyDescent="0.8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c r="AA399" s="3"/>
      <c r="AB399" s="3"/>
      <c r="AC399" s="3"/>
      <c r="AD399" s="3"/>
      <c r="AE399" s="3"/>
    </row>
    <row r="400" spans="1:31" ht="22.5" customHeight="1" x14ac:dyDescent="0.8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
    </row>
    <row r="401" spans="1:31" ht="22.5" customHeight="1" x14ac:dyDescent="0.8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c r="AA401" s="3"/>
      <c r="AB401" s="3"/>
      <c r="AC401" s="3"/>
      <c r="AD401" s="3"/>
      <c r="AE401" s="3"/>
    </row>
    <row r="402" spans="1:31" ht="22.5" customHeight="1" x14ac:dyDescent="0.8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c r="AA402" s="3"/>
      <c r="AB402" s="3"/>
      <c r="AC402" s="3"/>
      <c r="AD402" s="3"/>
      <c r="AE402" s="3"/>
    </row>
    <row r="403" spans="1:31" ht="22.5" customHeight="1" x14ac:dyDescent="0.8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c r="AA403" s="3"/>
      <c r="AB403" s="3"/>
      <c r="AC403" s="3"/>
      <c r="AD403" s="3"/>
      <c r="AE403" s="3"/>
    </row>
    <row r="404" spans="1:31" ht="22.5" customHeight="1" x14ac:dyDescent="0.8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c r="AA404" s="3"/>
      <c r="AB404" s="3"/>
      <c r="AC404" s="3"/>
      <c r="AD404" s="3"/>
      <c r="AE404" s="3"/>
    </row>
    <row r="405" spans="1:31" ht="22.5" customHeight="1" x14ac:dyDescent="0.8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c r="AA405" s="3"/>
      <c r="AB405" s="3"/>
      <c r="AC405" s="3"/>
      <c r="AD405" s="3"/>
      <c r="AE405" s="3"/>
    </row>
    <row r="406" spans="1:31" ht="22.5" customHeight="1" x14ac:dyDescent="0.8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row>
    <row r="407" spans="1:31" ht="22.5" customHeight="1" x14ac:dyDescent="0.8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row>
    <row r="408" spans="1:31" ht="22.5" customHeight="1" x14ac:dyDescent="0.8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c r="AA408" s="3"/>
      <c r="AB408" s="3"/>
      <c r="AC408" s="3"/>
      <c r="AD408" s="3"/>
      <c r="AE408" s="3"/>
    </row>
    <row r="409" spans="1:31" ht="22.5" customHeight="1" x14ac:dyDescent="0.8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c r="AA409" s="3"/>
      <c r="AB409" s="3"/>
      <c r="AC409" s="3"/>
      <c r="AD409" s="3"/>
      <c r="AE409" s="3"/>
    </row>
    <row r="410" spans="1:31" ht="22.5" customHeight="1" x14ac:dyDescent="0.8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c r="AA410" s="3"/>
      <c r="AB410" s="3"/>
      <c r="AC410" s="3"/>
      <c r="AD410" s="3"/>
      <c r="AE410" s="3"/>
    </row>
    <row r="411" spans="1:31" ht="22.5" customHeight="1" x14ac:dyDescent="0.8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c r="AA411" s="3"/>
      <c r="AB411" s="3"/>
      <c r="AC411" s="3"/>
      <c r="AD411" s="3"/>
      <c r="AE411" s="3"/>
    </row>
    <row r="412" spans="1:31" ht="22.5" customHeight="1" x14ac:dyDescent="0.8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c r="AA412" s="3"/>
      <c r="AB412" s="3"/>
      <c r="AC412" s="3"/>
      <c r="AD412" s="3"/>
      <c r="AE412" s="3"/>
    </row>
    <row r="413" spans="1:31" ht="22.5" customHeight="1" x14ac:dyDescent="0.8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c r="AA413" s="3"/>
      <c r="AB413" s="3"/>
      <c r="AC413" s="3"/>
      <c r="AD413" s="3"/>
      <c r="AE413" s="3"/>
    </row>
    <row r="414" spans="1:31" ht="22.5" customHeight="1" x14ac:dyDescent="0.8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c r="AA414" s="3"/>
      <c r="AB414" s="3"/>
      <c r="AC414" s="3"/>
      <c r="AD414" s="3"/>
      <c r="AE414" s="3"/>
    </row>
    <row r="415" spans="1:31" ht="22.5" customHeight="1" x14ac:dyDescent="0.8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c r="AA415" s="3"/>
      <c r="AB415" s="3"/>
      <c r="AC415" s="3"/>
      <c r="AD415" s="3"/>
      <c r="AE415" s="3"/>
    </row>
    <row r="416" spans="1:31" ht="22.5" customHeight="1" x14ac:dyDescent="0.8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c r="AA416" s="3"/>
      <c r="AB416" s="3"/>
      <c r="AC416" s="3"/>
      <c r="AD416" s="3"/>
      <c r="AE416" s="3"/>
    </row>
    <row r="417" spans="1:31" ht="22.5" customHeight="1" x14ac:dyDescent="0.8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row>
    <row r="418" spans="1:31" ht="22.5" customHeight="1" x14ac:dyDescent="0.8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row>
    <row r="419" spans="1:31" ht="22.5" customHeight="1" x14ac:dyDescent="0.8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row>
    <row r="420" spans="1:31" ht="22.5" customHeight="1" x14ac:dyDescent="0.8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row>
    <row r="421" spans="1:31" ht="22.5" customHeight="1" x14ac:dyDescent="0.8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c r="AA421" s="3"/>
      <c r="AB421" s="3"/>
      <c r="AC421" s="3"/>
      <c r="AD421" s="3"/>
      <c r="AE421" s="3"/>
    </row>
    <row r="422" spans="1:31" ht="22.5" customHeight="1" x14ac:dyDescent="0.8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c r="AA422" s="3"/>
      <c r="AB422" s="3"/>
      <c r="AC422" s="3"/>
      <c r="AD422" s="3"/>
      <c r="AE422" s="3"/>
    </row>
    <row r="423" spans="1:31" ht="22.5" customHeight="1" x14ac:dyDescent="0.8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c r="AA423" s="3"/>
      <c r="AB423" s="3"/>
      <c r="AC423" s="3"/>
      <c r="AD423" s="3"/>
      <c r="AE423" s="3"/>
    </row>
    <row r="424" spans="1:31" ht="22.5" customHeight="1" x14ac:dyDescent="0.8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c r="AA424" s="3"/>
      <c r="AB424" s="3"/>
      <c r="AC424" s="3"/>
      <c r="AD424" s="3"/>
      <c r="AE424" s="3"/>
    </row>
    <row r="425" spans="1:31" ht="22.5" customHeight="1" x14ac:dyDescent="0.8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row>
    <row r="426" spans="1:31" ht="22.5" customHeight="1" x14ac:dyDescent="0.8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c r="AA426" s="3"/>
      <c r="AB426" s="3"/>
      <c r="AC426" s="3"/>
      <c r="AD426" s="3"/>
      <c r="AE426" s="3"/>
    </row>
    <row r="427" spans="1:31" ht="22.5" customHeight="1" x14ac:dyDescent="0.8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c r="AA427" s="3"/>
      <c r="AB427" s="3"/>
      <c r="AC427" s="3"/>
      <c r="AD427" s="3"/>
      <c r="AE427" s="3"/>
    </row>
    <row r="428" spans="1:31" ht="22.5" customHeight="1" x14ac:dyDescent="0.8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c r="AA428" s="3"/>
      <c r="AB428" s="3"/>
      <c r="AC428" s="3"/>
      <c r="AD428" s="3"/>
      <c r="AE428" s="3"/>
    </row>
    <row r="429" spans="1:31" ht="22.5" customHeight="1" x14ac:dyDescent="0.8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c r="AA429" s="3"/>
      <c r="AB429" s="3"/>
      <c r="AC429" s="3"/>
      <c r="AD429" s="3"/>
      <c r="AE429" s="3"/>
    </row>
    <row r="430" spans="1:31" ht="22.5" customHeight="1" x14ac:dyDescent="0.8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row>
    <row r="431" spans="1:31" ht="22.5" customHeight="1" x14ac:dyDescent="0.8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row>
    <row r="432" spans="1:31" ht="22.5" customHeight="1" x14ac:dyDescent="0.8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row>
    <row r="433" spans="1:31" ht="22.5" customHeight="1" x14ac:dyDescent="0.8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row>
    <row r="434" spans="1:31" ht="22.5" customHeight="1" x14ac:dyDescent="0.8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row>
    <row r="435" spans="1:31" ht="22.5" customHeight="1" x14ac:dyDescent="0.8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row>
    <row r="436" spans="1:31" ht="22.5" customHeight="1" x14ac:dyDescent="0.8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row>
    <row r="437" spans="1:31" ht="22.5" customHeight="1" x14ac:dyDescent="0.8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c r="AA437" s="3"/>
      <c r="AB437" s="3"/>
      <c r="AC437" s="3"/>
      <c r="AD437" s="3"/>
      <c r="AE437" s="3"/>
    </row>
    <row r="438" spans="1:31" ht="22.5" customHeight="1" x14ac:dyDescent="0.8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c r="AA438" s="3"/>
      <c r="AB438" s="3"/>
      <c r="AC438" s="3"/>
      <c r="AD438" s="3"/>
      <c r="AE438" s="3"/>
    </row>
    <row r="439" spans="1:31" ht="22.5" customHeight="1" x14ac:dyDescent="0.8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c r="AA439" s="3"/>
      <c r="AB439" s="3"/>
      <c r="AC439" s="3"/>
      <c r="AD439" s="3"/>
      <c r="AE439" s="3"/>
    </row>
    <row r="440" spans="1:31" ht="22.5" customHeight="1" x14ac:dyDescent="0.8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c r="AA440" s="3"/>
      <c r="AB440" s="3"/>
      <c r="AC440" s="3"/>
      <c r="AD440" s="3"/>
      <c r="AE440" s="3"/>
    </row>
    <row r="441" spans="1:31" ht="22.5" customHeight="1" x14ac:dyDescent="0.8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row>
    <row r="442" spans="1:31" ht="22.5" customHeight="1" x14ac:dyDescent="0.8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row>
    <row r="443" spans="1:31" ht="22.5" customHeight="1" x14ac:dyDescent="0.8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row>
    <row r="444" spans="1:31" ht="22.5" customHeight="1" x14ac:dyDescent="0.8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row>
    <row r="445" spans="1:31" ht="22.5" customHeight="1" x14ac:dyDescent="0.8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row>
    <row r="446" spans="1:31" ht="22.5" customHeight="1" x14ac:dyDescent="0.8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row>
    <row r="447" spans="1:31" ht="22.5" customHeight="1" x14ac:dyDescent="0.8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row>
    <row r="448" spans="1:31" ht="22.5" customHeight="1" x14ac:dyDescent="0.8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c r="AA448" s="3"/>
      <c r="AB448" s="3"/>
      <c r="AC448" s="3"/>
      <c r="AD448" s="3"/>
      <c r="AE448" s="3"/>
    </row>
    <row r="449" spans="1:31" ht="22.5" customHeight="1" x14ac:dyDescent="0.8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c r="AA449" s="3"/>
      <c r="AB449" s="3"/>
      <c r="AC449" s="3"/>
      <c r="AD449" s="3"/>
      <c r="AE449" s="3"/>
    </row>
    <row r="450" spans="1:31" ht="22.5" customHeight="1" x14ac:dyDescent="0.8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c r="AA450" s="3"/>
      <c r="AB450" s="3"/>
      <c r="AC450" s="3"/>
      <c r="AD450" s="3"/>
      <c r="AE450" s="3"/>
    </row>
    <row r="451" spans="1:31" ht="22.5" customHeight="1" x14ac:dyDescent="0.8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c r="AA451" s="3"/>
      <c r="AB451" s="3"/>
      <c r="AC451" s="3"/>
      <c r="AD451" s="3"/>
      <c r="AE451" s="3"/>
    </row>
    <row r="452" spans="1:31" ht="22.5" customHeight="1" x14ac:dyDescent="0.8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row>
    <row r="453" spans="1:31" ht="22.5" customHeight="1" x14ac:dyDescent="0.8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row>
    <row r="454" spans="1:31" ht="22.5" customHeight="1" x14ac:dyDescent="0.8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row>
    <row r="455" spans="1:31" ht="22.5" customHeight="1" x14ac:dyDescent="0.8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c r="AA455" s="3"/>
      <c r="AB455" s="3"/>
      <c r="AC455" s="3"/>
      <c r="AD455" s="3"/>
      <c r="AE455" s="3"/>
    </row>
    <row r="456" spans="1:31" ht="22.5" customHeight="1" x14ac:dyDescent="0.8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c r="AA456" s="3"/>
      <c r="AB456" s="3"/>
      <c r="AC456" s="3"/>
      <c r="AD456" s="3"/>
      <c r="AE456" s="3"/>
    </row>
    <row r="457" spans="1:31" ht="22.5" customHeight="1" x14ac:dyDescent="0.8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row>
    <row r="458" spans="1:31" ht="22.5" customHeight="1" x14ac:dyDescent="0.8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row>
    <row r="459" spans="1:31" ht="22.5" customHeight="1" x14ac:dyDescent="0.8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row>
    <row r="460" spans="1:31" ht="22.5" customHeight="1" x14ac:dyDescent="0.8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c r="AA460" s="3"/>
      <c r="AB460" s="3"/>
      <c r="AC460" s="3"/>
      <c r="AD460" s="3"/>
      <c r="AE460" s="3"/>
    </row>
    <row r="461" spans="1:31" ht="22.5" customHeight="1" x14ac:dyDescent="0.8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c r="AA461" s="3"/>
      <c r="AB461" s="3"/>
      <c r="AC461" s="3"/>
      <c r="AD461" s="3"/>
      <c r="AE461" s="3"/>
    </row>
    <row r="462" spans="1:31" ht="22.5" customHeight="1" x14ac:dyDescent="0.8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row>
    <row r="463" spans="1:31" ht="22.5" customHeight="1" x14ac:dyDescent="0.8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row>
    <row r="464" spans="1:31" ht="22.5" customHeight="1" x14ac:dyDescent="0.8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c r="AA464" s="3"/>
      <c r="AB464" s="3"/>
      <c r="AC464" s="3"/>
      <c r="AD464" s="3"/>
      <c r="AE464" s="3"/>
    </row>
    <row r="465" spans="1:31" ht="22.5" customHeight="1" x14ac:dyDescent="0.8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c r="AA465" s="3"/>
      <c r="AB465" s="3"/>
      <c r="AC465" s="3"/>
      <c r="AD465" s="3"/>
      <c r="AE465" s="3"/>
    </row>
    <row r="466" spans="1:31" ht="22.5" customHeight="1" x14ac:dyDescent="0.8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c r="AA466" s="3"/>
      <c r="AB466" s="3"/>
      <c r="AC466" s="3"/>
      <c r="AD466" s="3"/>
      <c r="AE466" s="3"/>
    </row>
    <row r="467" spans="1:31" ht="22.5" customHeight="1" x14ac:dyDescent="0.8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row>
    <row r="468" spans="1:31" ht="22.5" customHeight="1" x14ac:dyDescent="0.8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c r="AA468" s="3"/>
      <c r="AB468" s="3"/>
      <c r="AC468" s="3"/>
      <c r="AD468" s="3"/>
      <c r="AE468" s="3"/>
    </row>
    <row r="469" spans="1:31" ht="22.5" customHeight="1" x14ac:dyDescent="0.8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c r="AA469" s="3"/>
      <c r="AB469" s="3"/>
      <c r="AC469" s="3"/>
      <c r="AD469" s="3"/>
      <c r="AE469" s="3"/>
    </row>
    <row r="470" spans="1:31" ht="22.5" customHeight="1" x14ac:dyDescent="0.8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row>
    <row r="471" spans="1:31" ht="22.5" customHeight="1" x14ac:dyDescent="0.8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row>
    <row r="472" spans="1:31" ht="22.5" customHeight="1" x14ac:dyDescent="0.8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row>
    <row r="473" spans="1:31" ht="22.5" customHeight="1" x14ac:dyDescent="0.8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row>
    <row r="474" spans="1:31" ht="22.5" customHeight="1" x14ac:dyDescent="0.8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c r="AA474" s="3"/>
      <c r="AB474" s="3"/>
      <c r="AC474" s="3"/>
      <c r="AD474" s="3"/>
      <c r="AE474" s="3"/>
    </row>
    <row r="475" spans="1:31" ht="22.5" customHeight="1" x14ac:dyDescent="0.8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c r="AA475" s="3"/>
      <c r="AB475" s="3"/>
      <c r="AC475" s="3"/>
      <c r="AD475" s="3"/>
      <c r="AE475" s="3"/>
    </row>
    <row r="476" spans="1:31" ht="22.5" customHeight="1" x14ac:dyDescent="0.8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c r="AA476" s="3"/>
      <c r="AB476" s="3"/>
      <c r="AC476" s="3"/>
      <c r="AD476" s="3"/>
      <c r="AE476" s="3"/>
    </row>
    <row r="477" spans="1:31" ht="22.5" customHeight="1" x14ac:dyDescent="0.8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c r="AA477" s="3"/>
      <c r="AB477" s="3"/>
      <c r="AC477" s="3"/>
      <c r="AD477" s="3"/>
      <c r="AE477" s="3"/>
    </row>
    <row r="478" spans="1:31" ht="22.5" customHeight="1" x14ac:dyDescent="0.8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c r="AA478" s="3"/>
      <c r="AB478" s="3"/>
      <c r="AC478" s="3"/>
      <c r="AD478" s="3"/>
      <c r="AE478" s="3"/>
    </row>
    <row r="479" spans="1:31" ht="22.5" customHeight="1" x14ac:dyDescent="0.8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c r="AA479" s="3"/>
      <c r="AB479" s="3"/>
      <c r="AC479" s="3"/>
      <c r="AD479" s="3"/>
      <c r="AE479" s="3"/>
    </row>
    <row r="480" spans="1:31" ht="22.5" customHeight="1" x14ac:dyDescent="0.8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row>
    <row r="481" spans="1:31" ht="22.5" customHeight="1" x14ac:dyDescent="0.8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row>
    <row r="482" spans="1:31" ht="22.5" customHeight="1" x14ac:dyDescent="0.8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row>
    <row r="483" spans="1:31" ht="22.5" customHeight="1" x14ac:dyDescent="0.8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row>
    <row r="484" spans="1:31" ht="22.5" customHeight="1" x14ac:dyDescent="0.8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row>
    <row r="485" spans="1:31" ht="22.5" customHeight="1" x14ac:dyDescent="0.8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row>
    <row r="486" spans="1:31" ht="22.5" customHeight="1" x14ac:dyDescent="0.8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
    </row>
    <row r="487" spans="1:31" ht="22.5" customHeight="1" x14ac:dyDescent="0.8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row>
    <row r="488" spans="1:31" ht="22.5" customHeight="1" x14ac:dyDescent="0.8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row>
    <row r="489" spans="1:31" ht="22.5" customHeight="1" x14ac:dyDescent="0.8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row>
    <row r="490" spans="1:31" ht="22.5" customHeight="1" x14ac:dyDescent="0.8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row>
    <row r="491" spans="1:31" ht="22.5" customHeight="1" x14ac:dyDescent="0.8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row>
    <row r="492" spans="1:31" ht="22.5" customHeight="1" x14ac:dyDescent="0.8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c r="AA492" s="3"/>
      <c r="AB492" s="3"/>
      <c r="AC492" s="3"/>
      <c r="AD492" s="3"/>
      <c r="AE492" s="3"/>
    </row>
    <row r="493" spans="1:31" ht="22.5" customHeight="1" x14ac:dyDescent="0.8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row>
    <row r="494" spans="1:31" ht="22.5" customHeight="1" x14ac:dyDescent="0.8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c r="AA494" s="3"/>
      <c r="AB494" s="3"/>
      <c r="AC494" s="3"/>
      <c r="AD494" s="3"/>
      <c r="AE494" s="3"/>
    </row>
    <row r="495" spans="1:31" ht="22.5" customHeight="1" x14ac:dyDescent="0.8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c r="AA495" s="3"/>
      <c r="AB495" s="3"/>
      <c r="AC495" s="3"/>
      <c r="AD495" s="3"/>
      <c r="AE495" s="3"/>
    </row>
    <row r="496" spans="1:31" ht="22.5" customHeight="1" x14ac:dyDescent="0.8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c r="AA496" s="3"/>
      <c r="AB496" s="3"/>
      <c r="AC496" s="3"/>
      <c r="AD496" s="3"/>
      <c r="AE496" s="3"/>
    </row>
    <row r="497" spans="1:31" ht="22.5" customHeight="1" x14ac:dyDescent="0.8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c r="AA497" s="3"/>
      <c r="AB497" s="3"/>
      <c r="AC497" s="3"/>
      <c r="AD497" s="3"/>
      <c r="AE497" s="3"/>
    </row>
    <row r="498" spans="1:31" ht="22.5" customHeight="1" x14ac:dyDescent="0.8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c r="AA498" s="3"/>
      <c r="AB498" s="3"/>
      <c r="AC498" s="3"/>
      <c r="AD498" s="3"/>
      <c r="AE498" s="3"/>
    </row>
    <row r="499" spans="1:31" ht="22.5" customHeight="1" x14ac:dyDescent="0.8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c r="AA499" s="3"/>
      <c r="AB499" s="3"/>
      <c r="AC499" s="3"/>
      <c r="AD499" s="3"/>
      <c r="AE499" s="3"/>
    </row>
    <row r="500" spans="1:31" ht="22.5" customHeight="1" x14ac:dyDescent="0.8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c r="AA500" s="3"/>
      <c r="AB500" s="3"/>
      <c r="AC500" s="3"/>
      <c r="AD500" s="3"/>
      <c r="AE500" s="3"/>
    </row>
    <row r="501" spans="1:31" ht="22.5" customHeight="1" x14ac:dyDescent="0.8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row>
    <row r="502" spans="1:31" ht="22.5" customHeight="1" x14ac:dyDescent="0.8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c r="AA502" s="3"/>
      <c r="AB502" s="3"/>
      <c r="AC502" s="3"/>
      <c r="AD502" s="3"/>
      <c r="AE502" s="3"/>
    </row>
    <row r="503" spans="1:31" ht="22.5" customHeight="1" x14ac:dyDescent="0.8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c r="AA503" s="3"/>
      <c r="AB503" s="3"/>
      <c r="AC503" s="3"/>
      <c r="AD503" s="3"/>
      <c r="AE503" s="3"/>
    </row>
    <row r="504" spans="1:31" ht="22.5" customHeight="1" x14ac:dyDescent="0.8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c r="AA504" s="3"/>
      <c r="AB504" s="3"/>
      <c r="AC504" s="3"/>
      <c r="AD504" s="3"/>
      <c r="AE504" s="3"/>
    </row>
    <row r="505" spans="1:31" ht="22.5" customHeight="1" x14ac:dyDescent="0.8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c r="AA505" s="3"/>
      <c r="AB505" s="3"/>
      <c r="AC505" s="3"/>
      <c r="AD505" s="3"/>
      <c r="AE505" s="3"/>
    </row>
    <row r="506" spans="1:31" ht="22.5" customHeight="1" x14ac:dyDescent="0.8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c r="AA506" s="3"/>
      <c r="AB506" s="3"/>
      <c r="AC506" s="3"/>
      <c r="AD506" s="3"/>
      <c r="AE506" s="3"/>
    </row>
    <row r="507" spans="1:31" ht="22.5" customHeight="1" x14ac:dyDescent="0.8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c r="AA507" s="3"/>
      <c r="AB507" s="3"/>
      <c r="AC507" s="3"/>
      <c r="AD507" s="3"/>
      <c r="AE507" s="3"/>
    </row>
    <row r="508" spans="1:31" ht="22.5" customHeight="1" x14ac:dyDescent="0.8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c r="AA508" s="3"/>
      <c r="AB508" s="3"/>
      <c r="AC508" s="3"/>
      <c r="AD508" s="3"/>
      <c r="AE508" s="3"/>
    </row>
    <row r="509" spans="1:31" ht="22.5" customHeight="1" x14ac:dyDescent="0.8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c r="AA509" s="3"/>
      <c r="AB509" s="3"/>
      <c r="AC509" s="3"/>
      <c r="AD509" s="3"/>
      <c r="AE509" s="3"/>
    </row>
    <row r="510" spans="1:31" ht="22.5" customHeight="1" x14ac:dyDescent="0.8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row>
    <row r="511" spans="1:31" ht="22.5" customHeight="1" x14ac:dyDescent="0.8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c r="AA511" s="3"/>
      <c r="AB511" s="3"/>
      <c r="AC511" s="3"/>
      <c r="AD511" s="3"/>
      <c r="AE511" s="3"/>
    </row>
    <row r="512" spans="1:31" ht="22.5" customHeight="1" x14ac:dyDescent="0.8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c r="AA512" s="3"/>
      <c r="AB512" s="3"/>
      <c r="AC512" s="3"/>
      <c r="AD512" s="3"/>
      <c r="AE512" s="3"/>
    </row>
    <row r="513" spans="1:31" ht="22.5" customHeight="1" x14ac:dyDescent="0.8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c r="AA513" s="3"/>
      <c r="AB513" s="3"/>
      <c r="AC513" s="3"/>
      <c r="AD513" s="3"/>
      <c r="AE513" s="3"/>
    </row>
    <row r="514" spans="1:31" ht="22.5" customHeight="1" x14ac:dyDescent="0.8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c r="AA514" s="3"/>
      <c r="AB514" s="3"/>
      <c r="AC514" s="3"/>
      <c r="AD514" s="3"/>
      <c r="AE514" s="3"/>
    </row>
    <row r="515" spans="1:31" ht="22.5" customHeight="1" x14ac:dyDescent="0.8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c r="AA515" s="3"/>
      <c r="AB515" s="3"/>
      <c r="AC515" s="3"/>
      <c r="AD515" s="3"/>
      <c r="AE515" s="3"/>
    </row>
    <row r="516" spans="1:31" ht="22.5" customHeight="1" x14ac:dyDescent="0.8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c r="AA516" s="3"/>
      <c r="AB516" s="3"/>
      <c r="AC516" s="3"/>
      <c r="AD516" s="3"/>
      <c r="AE516" s="3"/>
    </row>
    <row r="517" spans="1:31" ht="22.5" customHeight="1" x14ac:dyDescent="0.8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c r="AA517" s="3"/>
      <c r="AB517" s="3"/>
      <c r="AC517" s="3"/>
      <c r="AD517" s="3"/>
      <c r="AE517" s="3"/>
    </row>
    <row r="518" spans="1:31" ht="22.5" customHeight="1" x14ac:dyDescent="0.8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c r="AA518" s="3"/>
      <c r="AB518" s="3"/>
      <c r="AC518" s="3"/>
      <c r="AD518" s="3"/>
      <c r="AE518" s="3"/>
    </row>
    <row r="519" spans="1:31" ht="22.5" customHeight="1" x14ac:dyDescent="0.8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c r="AA519" s="3"/>
      <c r="AB519" s="3"/>
      <c r="AC519" s="3"/>
      <c r="AD519" s="3"/>
      <c r="AE519" s="3"/>
    </row>
    <row r="520" spans="1:31" ht="22.5" customHeight="1" x14ac:dyDescent="0.8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c r="AA520" s="3"/>
      <c r="AB520" s="3"/>
      <c r="AC520" s="3"/>
      <c r="AD520" s="3"/>
      <c r="AE520" s="3"/>
    </row>
    <row r="521" spans="1:31" ht="22.5" customHeight="1" x14ac:dyDescent="0.8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c r="AA521" s="3"/>
      <c r="AB521" s="3"/>
      <c r="AC521" s="3"/>
      <c r="AD521" s="3"/>
      <c r="AE521" s="3"/>
    </row>
    <row r="522" spans="1:31" ht="22.5" customHeight="1" x14ac:dyDescent="0.8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row>
    <row r="523" spans="1:31" ht="22.5" customHeight="1" x14ac:dyDescent="0.8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c r="AA523" s="3"/>
      <c r="AB523" s="3"/>
      <c r="AC523" s="3"/>
      <c r="AD523" s="3"/>
      <c r="AE523" s="3"/>
    </row>
    <row r="524" spans="1:31" ht="22.5" customHeight="1" x14ac:dyDescent="0.8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c r="AA524" s="3"/>
      <c r="AB524" s="3"/>
      <c r="AC524" s="3"/>
      <c r="AD524" s="3"/>
      <c r="AE524" s="3"/>
    </row>
    <row r="525" spans="1:31" ht="22.5" customHeight="1" x14ac:dyDescent="0.8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c r="AA525" s="3"/>
      <c r="AB525" s="3"/>
      <c r="AC525" s="3"/>
      <c r="AD525" s="3"/>
      <c r="AE525" s="3"/>
    </row>
    <row r="526" spans="1:31" ht="22.5" customHeight="1" x14ac:dyDescent="0.8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c r="AA526" s="3"/>
      <c r="AB526" s="3"/>
      <c r="AC526" s="3"/>
      <c r="AD526" s="3"/>
      <c r="AE526" s="3"/>
    </row>
    <row r="527" spans="1:31" ht="22.5" customHeight="1" x14ac:dyDescent="0.8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c r="AA527" s="3"/>
      <c r="AB527" s="3"/>
      <c r="AC527" s="3"/>
      <c r="AD527" s="3"/>
      <c r="AE527" s="3"/>
    </row>
    <row r="528" spans="1:31" ht="22.5" customHeight="1" x14ac:dyDescent="0.8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c r="AA528" s="3"/>
      <c r="AB528" s="3"/>
      <c r="AC528" s="3"/>
      <c r="AD528" s="3"/>
      <c r="AE528" s="3"/>
    </row>
    <row r="529" spans="1:31" ht="22.5" customHeight="1" x14ac:dyDescent="0.8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c r="AA529" s="3"/>
      <c r="AB529" s="3"/>
      <c r="AC529" s="3"/>
      <c r="AD529" s="3"/>
      <c r="AE529" s="3"/>
    </row>
    <row r="530" spans="1:31" ht="22.5" customHeight="1" x14ac:dyDescent="0.8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c r="AA530" s="3"/>
      <c r="AB530" s="3"/>
      <c r="AC530" s="3"/>
      <c r="AD530" s="3"/>
      <c r="AE530" s="3"/>
    </row>
    <row r="531" spans="1:31" ht="22.5" customHeight="1" x14ac:dyDescent="0.8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c r="AA531" s="3"/>
      <c r="AB531" s="3"/>
      <c r="AC531" s="3"/>
      <c r="AD531" s="3"/>
      <c r="AE531" s="3"/>
    </row>
    <row r="532" spans="1:31" ht="22.5" customHeight="1" x14ac:dyDescent="0.8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c r="AA532" s="3"/>
      <c r="AB532" s="3"/>
      <c r="AC532" s="3"/>
      <c r="AD532" s="3"/>
      <c r="AE532" s="3"/>
    </row>
    <row r="533" spans="1:31" ht="22.5" customHeight="1" x14ac:dyDescent="0.8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c r="AA533" s="3"/>
      <c r="AB533" s="3"/>
      <c r="AC533" s="3"/>
      <c r="AD533" s="3"/>
      <c r="AE533" s="3"/>
    </row>
    <row r="534" spans="1:31" ht="22.5" customHeight="1" x14ac:dyDescent="0.8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c r="AA534" s="3"/>
      <c r="AB534" s="3"/>
      <c r="AC534" s="3"/>
      <c r="AD534" s="3"/>
      <c r="AE534" s="3"/>
    </row>
    <row r="535" spans="1:31" ht="22.5" customHeight="1" x14ac:dyDescent="0.8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c r="AA535" s="3"/>
      <c r="AB535" s="3"/>
      <c r="AC535" s="3"/>
      <c r="AD535" s="3"/>
      <c r="AE535" s="3"/>
    </row>
    <row r="536" spans="1:31" ht="22.5" customHeight="1" x14ac:dyDescent="0.8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row>
    <row r="537" spans="1:31" ht="22.5" customHeight="1" x14ac:dyDescent="0.8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c r="AA537" s="3"/>
      <c r="AB537" s="3"/>
      <c r="AC537" s="3"/>
      <c r="AD537" s="3"/>
      <c r="AE537" s="3"/>
    </row>
    <row r="538" spans="1:31" ht="22.5" customHeight="1" x14ac:dyDescent="0.8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c r="AA538" s="3"/>
      <c r="AB538" s="3"/>
      <c r="AC538" s="3"/>
      <c r="AD538" s="3"/>
      <c r="AE538" s="3"/>
    </row>
    <row r="539" spans="1:31" ht="22.5" customHeight="1" x14ac:dyDescent="0.8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c r="AA539" s="3"/>
      <c r="AB539" s="3"/>
      <c r="AC539" s="3"/>
      <c r="AD539" s="3"/>
      <c r="AE539" s="3"/>
    </row>
    <row r="540" spans="1:31" ht="22.5" customHeight="1" x14ac:dyDescent="0.8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c r="AA540" s="3"/>
      <c r="AB540" s="3"/>
      <c r="AC540" s="3"/>
      <c r="AD540" s="3"/>
      <c r="AE540" s="3"/>
    </row>
    <row r="541" spans="1:31" ht="22.5" customHeight="1" x14ac:dyDescent="0.8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c r="AA541" s="3"/>
      <c r="AB541" s="3"/>
      <c r="AC541" s="3"/>
      <c r="AD541" s="3"/>
      <c r="AE541" s="3"/>
    </row>
    <row r="542" spans="1:31" ht="22.5" customHeight="1" x14ac:dyDescent="0.8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c r="AA542" s="3"/>
      <c r="AB542" s="3"/>
      <c r="AC542" s="3"/>
      <c r="AD542" s="3"/>
      <c r="AE542" s="3"/>
    </row>
    <row r="543" spans="1:31" ht="22.5" customHeight="1" x14ac:dyDescent="0.8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row>
    <row r="544" spans="1:31" ht="22.5" customHeight="1" x14ac:dyDescent="0.8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c r="AA544" s="3"/>
      <c r="AB544" s="3"/>
      <c r="AC544" s="3"/>
      <c r="AD544" s="3"/>
      <c r="AE544" s="3"/>
    </row>
    <row r="545" spans="1:31" ht="22.5" customHeight="1" x14ac:dyDescent="0.8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c r="AA545" s="3"/>
      <c r="AB545" s="3"/>
      <c r="AC545" s="3"/>
      <c r="AD545" s="3"/>
      <c r="AE545" s="3"/>
    </row>
    <row r="546" spans="1:31" ht="22.5" customHeight="1" x14ac:dyDescent="0.8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row>
    <row r="547" spans="1:31" ht="22.5" customHeight="1" x14ac:dyDescent="0.8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c r="AA547" s="3"/>
      <c r="AB547" s="3"/>
      <c r="AC547" s="3"/>
      <c r="AD547" s="3"/>
      <c r="AE547" s="3"/>
    </row>
    <row r="548" spans="1:31" ht="22.5" customHeight="1" x14ac:dyDescent="0.8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c r="AA548" s="3"/>
      <c r="AB548" s="3"/>
      <c r="AC548" s="3"/>
      <c r="AD548" s="3"/>
      <c r="AE548" s="3"/>
    </row>
    <row r="549" spans="1:31" ht="22.5" customHeight="1" x14ac:dyDescent="0.8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c r="AA549" s="3"/>
      <c r="AB549" s="3"/>
      <c r="AC549" s="3"/>
      <c r="AD549" s="3"/>
      <c r="AE549" s="3"/>
    </row>
    <row r="550" spans="1:31" ht="22.5" customHeight="1" x14ac:dyDescent="0.8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c r="AA550" s="3"/>
      <c r="AB550" s="3"/>
      <c r="AC550" s="3"/>
      <c r="AD550" s="3"/>
      <c r="AE550" s="3"/>
    </row>
    <row r="551" spans="1:31" ht="22.5" customHeight="1" x14ac:dyDescent="0.8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c r="AA551" s="3"/>
      <c r="AB551" s="3"/>
      <c r="AC551" s="3"/>
      <c r="AD551" s="3"/>
      <c r="AE551" s="3"/>
    </row>
    <row r="552" spans="1:31" ht="22.5" customHeight="1" x14ac:dyDescent="0.8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c r="AA552" s="3"/>
      <c r="AB552" s="3"/>
      <c r="AC552" s="3"/>
      <c r="AD552" s="3"/>
      <c r="AE552" s="3"/>
    </row>
    <row r="553" spans="1:31" ht="22.5" customHeight="1" x14ac:dyDescent="0.8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c r="AA553" s="3"/>
      <c r="AB553" s="3"/>
      <c r="AC553" s="3"/>
      <c r="AD553" s="3"/>
      <c r="AE553" s="3"/>
    </row>
    <row r="554" spans="1:31" ht="22.5" customHeight="1" x14ac:dyDescent="0.8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c r="AA554" s="3"/>
      <c r="AB554" s="3"/>
      <c r="AC554" s="3"/>
      <c r="AD554" s="3"/>
      <c r="AE554" s="3"/>
    </row>
    <row r="555" spans="1:31" ht="22.5" customHeight="1" x14ac:dyDescent="0.8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c r="AA555" s="3"/>
      <c r="AB555" s="3"/>
      <c r="AC555" s="3"/>
      <c r="AD555" s="3"/>
      <c r="AE555" s="3"/>
    </row>
    <row r="556" spans="1:31" ht="22.5" customHeight="1" x14ac:dyDescent="0.8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c r="AA556" s="3"/>
      <c r="AB556" s="3"/>
      <c r="AC556" s="3"/>
      <c r="AD556" s="3"/>
      <c r="AE556" s="3"/>
    </row>
    <row r="557" spans="1:31" ht="22.5" customHeight="1" x14ac:dyDescent="0.8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c r="AA557" s="3"/>
      <c r="AB557" s="3"/>
      <c r="AC557" s="3"/>
      <c r="AD557" s="3"/>
      <c r="AE557" s="3"/>
    </row>
    <row r="558" spans="1:31" ht="22.5" customHeight="1" x14ac:dyDescent="0.8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c r="AA558" s="3"/>
      <c r="AB558" s="3"/>
      <c r="AC558" s="3"/>
      <c r="AD558" s="3"/>
      <c r="AE558" s="3"/>
    </row>
    <row r="559" spans="1:31" ht="22.5" customHeight="1" x14ac:dyDescent="0.8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c r="AA559" s="3"/>
      <c r="AB559" s="3"/>
      <c r="AC559" s="3"/>
      <c r="AD559" s="3"/>
      <c r="AE559" s="3"/>
    </row>
    <row r="560" spans="1:31" ht="22.5" customHeight="1" x14ac:dyDescent="0.8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c r="AA560" s="3"/>
      <c r="AB560" s="3"/>
      <c r="AC560" s="3"/>
      <c r="AD560" s="3"/>
      <c r="AE560" s="3"/>
    </row>
    <row r="561" spans="1:31" ht="22.5" customHeight="1" x14ac:dyDescent="0.8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c r="AA561" s="3"/>
      <c r="AB561" s="3"/>
      <c r="AC561" s="3"/>
      <c r="AD561" s="3"/>
      <c r="AE561" s="3"/>
    </row>
    <row r="562" spans="1:31" ht="22.5" customHeight="1" x14ac:dyDescent="0.8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c r="AA562" s="3"/>
      <c r="AB562" s="3"/>
      <c r="AC562" s="3"/>
      <c r="AD562" s="3"/>
      <c r="AE562" s="3"/>
    </row>
    <row r="563" spans="1:31" ht="22.5" customHeight="1" x14ac:dyDescent="0.8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c r="AA563" s="3"/>
      <c r="AB563" s="3"/>
      <c r="AC563" s="3"/>
      <c r="AD563" s="3"/>
      <c r="AE563" s="3"/>
    </row>
    <row r="564" spans="1:31" ht="22.5" customHeight="1" x14ac:dyDescent="0.8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c r="AA564" s="3"/>
      <c r="AB564" s="3"/>
      <c r="AC564" s="3"/>
      <c r="AD564" s="3"/>
      <c r="AE564" s="3"/>
    </row>
    <row r="565" spans="1:31" ht="22.5" customHeight="1" x14ac:dyDescent="0.8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c r="AA565" s="3"/>
      <c r="AB565" s="3"/>
      <c r="AC565" s="3"/>
      <c r="AD565" s="3"/>
      <c r="AE565" s="3"/>
    </row>
    <row r="566" spans="1:31" ht="22.5" customHeight="1" x14ac:dyDescent="0.8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c r="AA566" s="3"/>
      <c r="AB566" s="3"/>
      <c r="AC566" s="3"/>
      <c r="AD566" s="3"/>
      <c r="AE566" s="3"/>
    </row>
    <row r="567" spans="1:31" ht="22.5" customHeight="1" x14ac:dyDescent="0.8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c r="AA567" s="3"/>
      <c r="AB567" s="3"/>
      <c r="AC567" s="3"/>
      <c r="AD567" s="3"/>
      <c r="AE567" s="3"/>
    </row>
    <row r="568" spans="1:31" ht="22.5" customHeight="1" x14ac:dyDescent="0.8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c r="AA568" s="3"/>
      <c r="AB568" s="3"/>
      <c r="AC568" s="3"/>
      <c r="AD568" s="3"/>
      <c r="AE568" s="3"/>
    </row>
    <row r="569" spans="1:31" ht="22.5" customHeight="1" x14ac:dyDescent="0.8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c r="AA569" s="3"/>
      <c r="AB569" s="3"/>
      <c r="AC569" s="3"/>
      <c r="AD569" s="3"/>
      <c r="AE569" s="3"/>
    </row>
    <row r="570" spans="1:31" ht="22.5" customHeight="1" x14ac:dyDescent="0.8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c r="AA570" s="3"/>
      <c r="AB570" s="3"/>
      <c r="AC570" s="3"/>
      <c r="AD570" s="3"/>
      <c r="AE570" s="3"/>
    </row>
    <row r="571" spans="1:31" ht="22.5" customHeight="1" x14ac:dyDescent="0.8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c r="AA571" s="3"/>
      <c r="AB571" s="3"/>
      <c r="AC571" s="3"/>
      <c r="AD571" s="3"/>
      <c r="AE571" s="3"/>
    </row>
    <row r="572" spans="1:31" ht="22.5" customHeight="1" x14ac:dyDescent="0.8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c r="AA572" s="3"/>
      <c r="AB572" s="3"/>
      <c r="AC572" s="3"/>
      <c r="AD572" s="3"/>
      <c r="AE572" s="3"/>
    </row>
    <row r="573" spans="1:31" ht="22.5" customHeight="1" x14ac:dyDescent="0.8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c r="AA573" s="3"/>
      <c r="AB573" s="3"/>
      <c r="AC573" s="3"/>
      <c r="AD573" s="3"/>
      <c r="AE573" s="3"/>
    </row>
    <row r="574" spans="1:31" ht="22.5" customHeight="1" x14ac:dyDescent="0.8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c r="AA574" s="3"/>
      <c r="AB574" s="3"/>
      <c r="AC574" s="3"/>
      <c r="AD574" s="3"/>
      <c r="AE574" s="3"/>
    </row>
    <row r="575" spans="1:31" ht="22.5" customHeight="1" x14ac:dyDescent="0.8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c r="AA575" s="3"/>
      <c r="AB575" s="3"/>
      <c r="AC575" s="3"/>
      <c r="AD575" s="3"/>
      <c r="AE575" s="3"/>
    </row>
    <row r="576" spans="1:31" ht="22.5" customHeight="1" x14ac:dyDescent="0.8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c r="AA576" s="3"/>
      <c r="AB576" s="3"/>
      <c r="AC576" s="3"/>
      <c r="AD576" s="3"/>
      <c r="AE576" s="3"/>
    </row>
    <row r="577" spans="1:31" ht="22.5" customHeight="1" x14ac:dyDescent="0.8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c r="AA577" s="3"/>
      <c r="AB577" s="3"/>
      <c r="AC577" s="3"/>
      <c r="AD577" s="3"/>
      <c r="AE577" s="3"/>
    </row>
    <row r="578" spans="1:31" ht="22.5" customHeight="1" x14ac:dyDescent="0.8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c r="AA578" s="3"/>
      <c r="AB578" s="3"/>
      <c r="AC578" s="3"/>
      <c r="AD578" s="3"/>
      <c r="AE578" s="3"/>
    </row>
    <row r="579" spans="1:31" ht="22.5" customHeight="1" x14ac:dyDescent="0.8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c r="AA579" s="3"/>
      <c r="AB579" s="3"/>
      <c r="AC579" s="3"/>
      <c r="AD579" s="3"/>
      <c r="AE579" s="3"/>
    </row>
    <row r="580" spans="1:31" ht="22.5" customHeight="1" x14ac:dyDescent="0.8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c r="AA580" s="3"/>
      <c r="AB580" s="3"/>
      <c r="AC580" s="3"/>
      <c r="AD580" s="3"/>
      <c r="AE580" s="3"/>
    </row>
    <row r="581" spans="1:31" ht="22.5" customHeight="1" x14ac:dyDescent="0.8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c r="AA581" s="3"/>
      <c r="AB581" s="3"/>
      <c r="AC581" s="3"/>
      <c r="AD581" s="3"/>
      <c r="AE581" s="3"/>
    </row>
    <row r="582" spans="1:31" ht="22.5" customHeight="1" x14ac:dyDescent="0.8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c r="AA582" s="3"/>
      <c r="AB582" s="3"/>
      <c r="AC582" s="3"/>
      <c r="AD582" s="3"/>
      <c r="AE582" s="3"/>
    </row>
    <row r="583" spans="1:31" ht="22.5" customHeight="1" x14ac:dyDescent="0.8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c r="AA583" s="3"/>
      <c r="AB583" s="3"/>
      <c r="AC583" s="3"/>
      <c r="AD583" s="3"/>
      <c r="AE583" s="3"/>
    </row>
    <row r="584" spans="1:31" ht="22.5" customHeight="1" x14ac:dyDescent="0.8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c r="AA584" s="3"/>
      <c r="AB584" s="3"/>
      <c r="AC584" s="3"/>
      <c r="AD584" s="3"/>
      <c r="AE584" s="3"/>
    </row>
    <row r="585" spans="1:31" ht="22.5" customHeight="1" x14ac:dyDescent="0.8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c r="AA585" s="3"/>
      <c r="AB585" s="3"/>
      <c r="AC585" s="3"/>
      <c r="AD585" s="3"/>
      <c r="AE585" s="3"/>
    </row>
    <row r="586" spans="1:31" ht="22.5" customHeight="1" x14ac:dyDescent="0.8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c r="AA586" s="3"/>
      <c r="AB586" s="3"/>
      <c r="AC586" s="3"/>
      <c r="AD586" s="3"/>
      <c r="AE586" s="3"/>
    </row>
    <row r="587" spans="1:31" ht="22.5" customHeight="1" x14ac:dyDescent="0.8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c r="AA587" s="3"/>
      <c r="AB587" s="3"/>
      <c r="AC587" s="3"/>
      <c r="AD587" s="3"/>
      <c r="AE587" s="3"/>
    </row>
    <row r="588" spans="1:31" ht="22.5" customHeight="1" x14ac:dyDescent="0.8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c r="AA588" s="3"/>
      <c r="AB588" s="3"/>
      <c r="AC588" s="3"/>
      <c r="AD588" s="3"/>
      <c r="AE588" s="3"/>
    </row>
    <row r="589" spans="1:31" ht="22.5" customHeight="1" x14ac:dyDescent="0.8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c r="AA589" s="3"/>
      <c r="AB589" s="3"/>
      <c r="AC589" s="3"/>
      <c r="AD589" s="3"/>
      <c r="AE589" s="3"/>
    </row>
    <row r="590" spans="1:31" ht="22.5" customHeight="1" x14ac:dyDescent="0.8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c r="AA590" s="3"/>
      <c r="AB590" s="3"/>
      <c r="AC590" s="3"/>
      <c r="AD590" s="3"/>
      <c r="AE590" s="3"/>
    </row>
    <row r="591" spans="1:31" ht="22.5" customHeight="1" x14ac:dyDescent="0.8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c r="AA591" s="3"/>
      <c r="AB591" s="3"/>
      <c r="AC591" s="3"/>
      <c r="AD591" s="3"/>
      <c r="AE591" s="3"/>
    </row>
    <row r="592" spans="1:31" ht="22.5" customHeight="1" x14ac:dyDescent="0.8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c r="AA592" s="3"/>
      <c r="AB592" s="3"/>
      <c r="AC592" s="3"/>
      <c r="AD592" s="3"/>
      <c r="AE592" s="3"/>
    </row>
    <row r="593" spans="1:31" ht="22.5" customHeight="1" x14ac:dyDescent="0.8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c r="AA593" s="3"/>
      <c r="AB593" s="3"/>
      <c r="AC593" s="3"/>
      <c r="AD593" s="3"/>
      <c r="AE593" s="3"/>
    </row>
    <row r="594" spans="1:31" ht="22.5" customHeight="1" x14ac:dyDescent="0.8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c r="AA594" s="3"/>
      <c r="AB594" s="3"/>
      <c r="AC594" s="3"/>
      <c r="AD594" s="3"/>
      <c r="AE594" s="3"/>
    </row>
    <row r="595" spans="1:31" ht="22.5" customHeight="1" x14ac:dyDescent="0.8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c r="AA595" s="3"/>
      <c r="AB595" s="3"/>
      <c r="AC595" s="3"/>
      <c r="AD595" s="3"/>
      <c r="AE595" s="3"/>
    </row>
    <row r="596" spans="1:31" ht="22.5" customHeight="1" x14ac:dyDescent="0.8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c r="AA596" s="3"/>
      <c r="AB596" s="3"/>
      <c r="AC596" s="3"/>
      <c r="AD596" s="3"/>
      <c r="AE596" s="3"/>
    </row>
    <row r="597" spans="1:31" ht="22.5" customHeight="1" x14ac:dyDescent="0.8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c r="AA597" s="3"/>
      <c r="AB597" s="3"/>
      <c r="AC597" s="3"/>
      <c r="AD597" s="3"/>
      <c r="AE597" s="3"/>
    </row>
    <row r="598" spans="1:31" ht="22.5" customHeight="1" x14ac:dyDescent="0.8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c r="AA598" s="3"/>
      <c r="AB598" s="3"/>
      <c r="AC598" s="3"/>
      <c r="AD598" s="3"/>
      <c r="AE598" s="3"/>
    </row>
    <row r="599" spans="1:31" ht="22.5" customHeight="1" x14ac:dyDescent="0.8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c r="AA599" s="3"/>
      <c r="AB599" s="3"/>
      <c r="AC599" s="3"/>
      <c r="AD599" s="3"/>
      <c r="AE599" s="3"/>
    </row>
    <row r="600" spans="1:31" ht="22.5" customHeight="1" x14ac:dyDescent="0.8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c r="AA600" s="3"/>
      <c r="AB600" s="3"/>
      <c r="AC600" s="3"/>
      <c r="AD600" s="3"/>
      <c r="AE600" s="3"/>
    </row>
    <row r="601" spans="1:31" ht="22.5" customHeight="1" x14ac:dyDescent="0.8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c r="AA601" s="3"/>
      <c r="AB601" s="3"/>
      <c r="AC601" s="3"/>
      <c r="AD601" s="3"/>
      <c r="AE601" s="3"/>
    </row>
    <row r="602" spans="1:31" ht="22.5" customHeight="1" x14ac:dyDescent="0.8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c r="AA602" s="3"/>
      <c r="AB602" s="3"/>
      <c r="AC602" s="3"/>
      <c r="AD602" s="3"/>
      <c r="AE602" s="3"/>
    </row>
    <row r="603" spans="1:31" ht="22.5" customHeight="1" x14ac:dyDescent="0.8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c r="AA603" s="3"/>
      <c r="AB603" s="3"/>
      <c r="AC603" s="3"/>
      <c r="AD603" s="3"/>
      <c r="AE603" s="3"/>
    </row>
    <row r="604" spans="1:31" ht="22.5" customHeight="1" x14ac:dyDescent="0.8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c r="AA604" s="3"/>
      <c r="AB604" s="3"/>
      <c r="AC604" s="3"/>
      <c r="AD604" s="3"/>
      <c r="AE604" s="3"/>
    </row>
    <row r="605" spans="1:31" ht="22.5" customHeight="1" x14ac:dyDescent="0.8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c r="AA605" s="3"/>
      <c r="AB605" s="3"/>
      <c r="AC605" s="3"/>
      <c r="AD605" s="3"/>
      <c r="AE605" s="3"/>
    </row>
    <row r="606" spans="1:31" ht="22.5" customHeight="1" x14ac:dyDescent="0.8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c r="AA606" s="3"/>
      <c r="AB606" s="3"/>
      <c r="AC606" s="3"/>
      <c r="AD606" s="3"/>
      <c r="AE606" s="3"/>
    </row>
    <row r="607" spans="1:31" ht="22.5" customHeight="1" x14ac:dyDescent="0.8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c r="AA607" s="3"/>
      <c r="AB607" s="3"/>
      <c r="AC607" s="3"/>
      <c r="AD607" s="3"/>
      <c r="AE607" s="3"/>
    </row>
    <row r="608" spans="1:31" ht="22.5" customHeight="1" x14ac:dyDescent="0.8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c r="AA608" s="3"/>
      <c r="AB608" s="3"/>
      <c r="AC608" s="3"/>
      <c r="AD608" s="3"/>
      <c r="AE608" s="3"/>
    </row>
    <row r="609" spans="1:31" ht="22.5" customHeight="1" x14ac:dyDescent="0.8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c r="AA609" s="3"/>
      <c r="AB609" s="3"/>
      <c r="AC609" s="3"/>
      <c r="AD609" s="3"/>
      <c r="AE609" s="3"/>
    </row>
    <row r="610" spans="1:31" ht="22.5" customHeight="1" x14ac:dyDescent="0.8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c r="AA610" s="3"/>
      <c r="AB610" s="3"/>
      <c r="AC610" s="3"/>
      <c r="AD610" s="3"/>
      <c r="AE610" s="3"/>
    </row>
    <row r="611" spans="1:31" ht="22.5" customHeight="1" x14ac:dyDescent="0.8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c r="AA611" s="3"/>
      <c r="AB611" s="3"/>
      <c r="AC611" s="3"/>
      <c r="AD611" s="3"/>
      <c r="AE611" s="3"/>
    </row>
    <row r="612" spans="1:31" ht="22.5" customHeight="1" x14ac:dyDescent="0.8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c r="AA612" s="3"/>
      <c r="AB612" s="3"/>
      <c r="AC612" s="3"/>
      <c r="AD612" s="3"/>
      <c r="AE612" s="3"/>
    </row>
    <row r="613" spans="1:31" ht="22.5" customHeight="1" x14ac:dyDescent="0.8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c r="AA613" s="3"/>
      <c r="AB613" s="3"/>
      <c r="AC613" s="3"/>
      <c r="AD613" s="3"/>
      <c r="AE613" s="3"/>
    </row>
    <row r="614" spans="1:31" ht="22.5" customHeight="1" x14ac:dyDescent="0.8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c r="AA614" s="3"/>
      <c r="AB614" s="3"/>
      <c r="AC614" s="3"/>
      <c r="AD614" s="3"/>
      <c r="AE614" s="3"/>
    </row>
    <row r="615" spans="1:31" ht="22.5" customHeight="1" x14ac:dyDescent="0.8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c r="AA615" s="3"/>
      <c r="AB615" s="3"/>
      <c r="AC615" s="3"/>
      <c r="AD615" s="3"/>
      <c r="AE615" s="3"/>
    </row>
    <row r="616" spans="1:31" ht="22.5" customHeight="1" x14ac:dyDescent="0.8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c r="AA616" s="3"/>
      <c r="AB616" s="3"/>
      <c r="AC616" s="3"/>
      <c r="AD616" s="3"/>
      <c r="AE616" s="3"/>
    </row>
    <row r="617" spans="1:31" ht="22.5" customHeight="1" x14ac:dyDescent="0.8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c r="AA617" s="3"/>
      <c r="AB617" s="3"/>
      <c r="AC617" s="3"/>
      <c r="AD617" s="3"/>
      <c r="AE617" s="3"/>
    </row>
    <row r="618" spans="1:31" ht="22.5" customHeight="1" x14ac:dyDescent="0.8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c r="AA618" s="3"/>
      <c r="AB618" s="3"/>
      <c r="AC618" s="3"/>
      <c r="AD618" s="3"/>
      <c r="AE618" s="3"/>
    </row>
    <row r="619" spans="1:31" ht="22.5" customHeight="1" x14ac:dyDescent="0.8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c r="AA619" s="3"/>
      <c r="AB619" s="3"/>
      <c r="AC619" s="3"/>
      <c r="AD619" s="3"/>
      <c r="AE619" s="3"/>
    </row>
    <row r="620" spans="1:31" ht="22.5" customHeight="1" x14ac:dyDescent="0.8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c r="AA620" s="3"/>
      <c r="AB620" s="3"/>
      <c r="AC620" s="3"/>
      <c r="AD620" s="3"/>
      <c r="AE620" s="3"/>
    </row>
    <row r="621" spans="1:31" ht="22.5" customHeight="1" x14ac:dyDescent="0.8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c r="AA621" s="3"/>
      <c r="AB621" s="3"/>
      <c r="AC621" s="3"/>
      <c r="AD621" s="3"/>
      <c r="AE621" s="3"/>
    </row>
    <row r="622" spans="1:31" ht="22.5" customHeight="1" x14ac:dyDescent="0.8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c r="AA622" s="3"/>
      <c r="AB622" s="3"/>
      <c r="AC622" s="3"/>
      <c r="AD622" s="3"/>
      <c r="AE622" s="3"/>
    </row>
    <row r="623" spans="1:31" ht="22.5" customHeight="1" x14ac:dyDescent="0.8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c r="AA623" s="3"/>
      <c r="AB623" s="3"/>
      <c r="AC623" s="3"/>
      <c r="AD623" s="3"/>
      <c r="AE623" s="3"/>
    </row>
    <row r="624" spans="1:31" ht="22.5" customHeight="1" x14ac:dyDescent="0.8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c r="AA624" s="3"/>
      <c r="AB624" s="3"/>
      <c r="AC624" s="3"/>
      <c r="AD624" s="3"/>
      <c r="AE624" s="3"/>
    </row>
    <row r="625" spans="1:31" ht="22.5" customHeight="1" x14ac:dyDescent="0.8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c r="AA625" s="3"/>
      <c r="AB625" s="3"/>
      <c r="AC625" s="3"/>
      <c r="AD625" s="3"/>
      <c r="AE625" s="3"/>
    </row>
    <row r="626" spans="1:31" ht="22.5" customHeight="1" x14ac:dyDescent="0.8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c r="AA626" s="3"/>
      <c r="AB626" s="3"/>
      <c r="AC626" s="3"/>
      <c r="AD626" s="3"/>
      <c r="AE626" s="3"/>
    </row>
    <row r="627" spans="1:31" ht="22.5" customHeight="1" x14ac:dyDescent="0.8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c r="AA627" s="3"/>
      <c r="AB627" s="3"/>
      <c r="AC627" s="3"/>
      <c r="AD627" s="3"/>
      <c r="AE627" s="3"/>
    </row>
    <row r="628" spans="1:31" ht="22.5" customHeight="1" x14ac:dyDescent="0.8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c r="AA628" s="3"/>
      <c r="AB628" s="3"/>
      <c r="AC628" s="3"/>
      <c r="AD628" s="3"/>
      <c r="AE628" s="3"/>
    </row>
    <row r="629" spans="1:31" ht="22.5" customHeight="1" x14ac:dyDescent="0.8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c r="AA629" s="3"/>
      <c r="AB629" s="3"/>
      <c r="AC629" s="3"/>
      <c r="AD629" s="3"/>
      <c r="AE629" s="3"/>
    </row>
    <row r="630" spans="1:31" ht="22.5" customHeight="1" x14ac:dyDescent="0.8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c r="AA630" s="3"/>
      <c r="AB630" s="3"/>
      <c r="AC630" s="3"/>
      <c r="AD630" s="3"/>
      <c r="AE630" s="3"/>
    </row>
    <row r="631" spans="1:31" ht="22.5" customHeight="1" x14ac:dyDescent="0.8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c r="AA631" s="3"/>
      <c r="AB631" s="3"/>
      <c r="AC631" s="3"/>
      <c r="AD631" s="3"/>
      <c r="AE631" s="3"/>
    </row>
    <row r="632" spans="1:31" ht="22.5" customHeight="1" x14ac:dyDescent="0.8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c r="AA632" s="3"/>
      <c r="AB632" s="3"/>
      <c r="AC632" s="3"/>
      <c r="AD632" s="3"/>
      <c r="AE632" s="3"/>
    </row>
    <row r="633" spans="1:31" ht="22.5" customHeight="1" x14ac:dyDescent="0.8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c r="AA633" s="3"/>
      <c r="AB633" s="3"/>
      <c r="AC633" s="3"/>
      <c r="AD633" s="3"/>
      <c r="AE633" s="3"/>
    </row>
    <row r="634" spans="1:31" ht="22.5" customHeight="1" x14ac:dyDescent="0.8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c r="AA634" s="3"/>
      <c r="AB634" s="3"/>
      <c r="AC634" s="3"/>
      <c r="AD634" s="3"/>
      <c r="AE634" s="3"/>
    </row>
    <row r="635" spans="1:31" ht="22.5" customHeight="1" x14ac:dyDescent="0.8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c r="AA635" s="3"/>
      <c r="AB635" s="3"/>
      <c r="AC635" s="3"/>
      <c r="AD635" s="3"/>
      <c r="AE635" s="3"/>
    </row>
    <row r="636" spans="1:31" ht="22.5" customHeight="1" x14ac:dyDescent="0.8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c r="AA636" s="3"/>
      <c r="AB636" s="3"/>
      <c r="AC636" s="3"/>
      <c r="AD636" s="3"/>
      <c r="AE636" s="3"/>
    </row>
    <row r="637" spans="1:31" ht="22.5" customHeight="1" x14ac:dyDescent="0.8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c r="AA637" s="3"/>
      <c r="AB637" s="3"/>
      <c r="AC637" s="3"/>
      <c r="AD637" s="3"/>
      <c r="AE637" s="3"/>
    </row>
    <row r="638" spans="1:31" ht="22.5" customHeight="1" x14ac:dyDescent="0.8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c r="AA638" s="3"/>
      <c r="AB638" s="3"/>
      <c r="AC638" s="3"/>
      <c r="AD638" s="3"/>
      <c r="AE638" s="3"/>
    </row>
    <row r="639" spans="1:31" ht="22.5" customHeight="1" x14ac:dyDescent="0.8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c r="AA639" s="3"/>
      <c r="AB639" s="3"/>
      <c r="AC639" s="3"/>
      <c r="AD639" s="3"/>
      <c r="AE639" s="3"/>
    </row>
    <row r="640" spans="1:31" ht="22.5" customHeight="1" x14ac:dyDescent="0.8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c r="AA640" s="3"/>
      <c r="AB640" s="3"/>
      <c r="AC640" s="3"/>
      <c r="AD640" s="3"/>
      <c r="AE640" s="3"/>
    </row>
    <row r="641" spans="1:31" ht="22.5" customHeight="1" x14ac:dyDescent="0.8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c r="AA641" s="3"/>
      <c r="AB641" s="3"/>
      <c r="AC641" s="3"/>
      <c r="AD641" s="3"/>
      <c r="AE641" s="3"/>
    </row>
    <row r="642" spans="1:31" ht="22.5" customHeight="1" x14ac:dyDescent="0.8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c r="AA642" s="3"/>
      <c r="AB642" s="3"/>
      <c r="AC642" s="3"/>
      <c r="AD642" s="3"/>
      <c r="AE642" s="3"/>
    </row>
    <row r="643" spans="1:31" ht="22.5" customHeight="1" x14ac:dyDescent="0.8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c r="AA643" s="3"/>
      <c r="AB643" s="3"/>
      <c r="AC643" s="3"/>
      <c r="AD643" s="3"/>
      <c r="AE643" s="3"/>
    </row>
    <row r="644" spans="1:31" ht="22.5" customHeight="1" x14ac:dyDescent="0.8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c r="AA644" s="3"/>
      <c r="AB644" s="3"/>
      <c r="AC644" s="3"/>
      <c r="AD644" s="3"/>
      <c r="AE644" s="3"/>
    </row>
    <row r="645" spans="1:31" ht="22.5" customHeight="1" x14ac:dyDescent="0.8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c r="AA645" s="3"/>
      <c r="AB645" s="3"/>
      <c r="AC645" s="3"/>
      <c r="AD645" s="3"/>
      <c r="AE645" s="3"/>
    </row>
    <row r="646" spans="1:31" ht="22.5" customHeight="1" x14ac:dyDescent="0.8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c r="AA646" s="3"/>
      <c r="AB646" s="3"/>
      <c r="AC646" s="3"/>
      <c r="AD646" s="3"/>
      <c r="AE646" s="3"/>
    </row>
    <row r="647" spans="1:31" ht="22.5" customHeight="1" x14ac:dyDescent="0.8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c r="AA647" s="3"/>
      <c r="AB647" s="3"/>
      <c r="AC647" s="3"/>
      <c r="AD647" s="3"/>
      <c r="AE647" s="3"/>
    </row>
    <row r="648" spans="1:31" ht="22.5" customHeight="1" x14ac:dyDescent="0.8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c r="AA648" s="3"/>
      <c r="AB648" s="3"/>
      <c r="AC648" s="3"/>
      <c r="AD648" s="3"/>
      <c r="AE648" s="3"/>
    </row>
    <row r="649" spans="1:31" ht="22.5" customHeight="1" x14ac:dyDescent="0.8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c r="AA649" s="3"/>
      <c r="AB649" s="3"/>
      <c r="AC649" s="3"/>
      <c r="AD649" s="3"/>
      <c r="AE649" s="3"/>
    </row>
    <row r="650" spans="1:31" ht="22.5" customHeight="1" x14ac:dyDescent="0.8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c r="AA650" s="3"/>
      <c r="AB650" s="3"/>
      <c r="AC650" s="3"/>
      <c r="AD650" s="3"/>
      <c r="AE650" s="3"/>
    </row>
    <row r="651" spans="1:31" ht="22.5" customHeight="1" x14ac:dyDescent="0.8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c r="AA651" s="3"/>
      <c r="AB651" s="3"/>
      <c r="AC651" s="3"/>
      <c r="AD651" s="3"/>
      <c r="AE651" s="3"/>
    </row>
    <row r="652" spans="1:31" ht="22.5" customHeight="1" x14ac:dyDescent="0.8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c r="AA652" s="3"/>
      <c r="AB652" s="3"/>
      <c r="AC652" s="3"/>
      <c r="AD652" s="3"/>
      <c r="AE652" s="3"/>
    </row>
    <row r="653" spans="1:31" ht="22.5" customHeight="1" x14ac:dyDescent="0.8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c r="AA653" s="3"/>
      <c r="AB653" s="3"/>
      <c r="AC653" s="3"/>
      <c r="AD653" s="3"/>
      <c r="AE653" s="3"/>
    </row>
    <row r="654" spans="1:31" ht="22.5" customHeight="1" x14ac:dyDescent="0.8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c r="AA654" s="3"/>
      <c r="AB654" s="3"/>
      <c r="AC654" s="3"/>
      <c r="AD654" s="3"/>
      <c r="AE654" s="3"/>
    </row>
    <row r="655" spans="1:31" ht="22.5" customHeight="1" x14ac:dyDescent="0.8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c r="AA655" s="3"/>
      <c r="AB655" s="3"/>
      <c r="AC655" s="3"/>
      <c r="AD655" s="3"/>
      <c r="AE655" s="3"/>
    </row>
    <row r="656" spans="1:31" ht="22.5" customHeight="1" x14ac:dyDescent="0.8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c r="AA656" s="3"/>
      <c r="AB656" s="3"/>
      <c r="AC656" s="3"/>
      <c r="AD656" s="3"/>
      <c r="AE656" s="3"/>
    </row>
    <row r="657" spans="1:31" ht="22.5" customHeight="1" x14ac:dyDescent="0.8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c r="AA657" s="3"/>
      <c r="AB657" s="3"/>
      <c r="AC657" s="3"/>
      <c r="AD657" s="3"/>
      <c r="AE657" s="3"/>
    </row>
    <row r="658" spans="1:31" ht="22.5" customHeight="1" x14ac:dyDescent="0.8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c r="AA658" s="3"/>
      <c r="AB658" s="3"/>
      <c r="AC658" s="3"/>
      <c r="AD658" s="3"/>
      <c r="AE658" s="3"/>
    </row>
    <row r="659" spans="1:31" ht="22.5" customHeight="1" x14ac:dyDescent="0.8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c r="AA659" s="3"/>
      <c r="AB659" s="3"/>
      <c r="AC659" s="3"/>
      <c r="AD659" s="3"/>
      <c r="AE659" s="3"/>
    </row>
    <row r="660" spans="1:31" ht="22.5" customHeight="1" x14ac:dyDescent="0.8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c r="AA660" s="3"/>
      <c r="AB660" s="3"/>
      <c r="AC660" s="3"/>
      <c r="AD660" s="3"/>
      <c r="AE660" s="3"/>
    </row>
    <row r="661" spans="1:31" ht="22.5" customHeight="1" x14ac:dyDescent="0.8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c r="AA661" s="3"/>
      <c r="AB661" s="3"/>
      <c r="AC661" s="3"/>
      <c r="AD661" s="3"/>
      <c r="AE661" s="3"/>
    </row>
    <row r="662" spans="1:31" ht="22.5" customHeight="1" x14ac:dyDescent="0.8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c r="AA662" s="3"/>
      <c r="AB662" s="3"/>
      <c r="AC662" s="3"/>
      <c r="AD662" s="3"/>
      <c r="AE662" s="3"/>
    </row>
    <row r="663" spans="1:31" ht="22.5" customHeight="1" x14ac:dyDescent="0.8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c r="AA663" s="3"/>
      <c r="AB663" s="3"/>
      <c r="AC663" s="3"/>
      <c r="AD663" s="3"/>
      <c r="AE663" s="3"/>
    </row>
    <row r="664" spans="1:31" ht="22.5" customHeight="1" x14ac:dyDescent="0.8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c r="AA664" s="3"/>
      <c r="AB664" s="3"/>
      <c r="AC664" s="3"/>
      <c r="AD664" s="3"/>
      <c r="AE664" s="3"/>
    </row>
    <row r="665" spans="1:31" ht="22.5" customHeight="1" x14ac:dyDescent="0.8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c r="AA665" s="3"/>
      <c r="AB665" s="3"/>
      <c r="AC665" s="3"/>
      <c r="AD665" s="3"/>
      <c r="AE665" s="3"/>
    </row>
    <row r="666" spans="1:31" ht="22.5" customHeight="1" x14ac:dyDescent="0.8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c r="AA666" s="3"/>
      <c r="AB666" s="3"/>
      <c r="AC666" s="3"/>
      <c r="AD666" s="3"/>
      <c r="AE666" s="3"/>
    </row>
    <row r="667" spans="1:31" ht="22.5" customHeight="1" x14ac:dyDescent="0.8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c r="AA667" s="3"/>
      <c r="AB667" s="3"/>
      <c r="AC667" s="3"/>
      <c r="AD667" s="3"/>
      <c r="AE667" s="3"/>
    </row>
    <row r="668" spans="1:31" ht="22.5" customHeight="1" x14ac:dyDescent="0.8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c r="AA668" s="3"/>
      <c r="AB668" s="3"/>
      <c r="AC668" s="3"/>
      <c r="AD668" s="3"/>
      <c r="AE668" s="3"/>
    </row>
    <row r="669" spans="1:31" ht="22.5" customHeight="1" x14ac:dyDescent="0.8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c r="AA669" s="3"/>
      <c r="AB669" s="3"/>
      <c r="AC669" s="3"/>
      <c r="AD669" s="3"/>
      <c r="AE669" s="3"/>
    </row>
    <row r="670" spans="1:31" ht="22.5" customHeight="1" x14ac:dyDescent="0.8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c r="AA670" s="3"/>
      <c r="AB670" s="3"/>
      <c r="AC670" s="3"/>
      <c r="AD670" s="3"/>
      <c r="AE670" s="3"/>
    </row>
    <row r="671" spans="1:31" ht="22.5" customHeight="1" x14ac:dyDescent="0.8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c r="AA671" s="3"/>
      <c r="AB671" s="3"/>
      <c r="AC671" s="3"/>
      <c r="AD671" s="3"/>
      <c r="AE671" s="3"/>
    </row>
    <row r="672" spans="1:31" ht="22.5" customHeight="1" x14ac:dyDescent="0.8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c r="AA672" s="3"/>
      <c r="AB672" s="3"/>
      <c r="AC672" s="3"/>
      <c r="AD672" s="3"/>
      <c r="AE672" s="3"/>
    </row>
    <row r="673" spans="1:31" ht="22.5" customHeight="1" x14ac:dyDescent="0.8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c r="AA673" s="3"/>
      <c r="AB673" s="3"/>
      <c r="AC673" s="3"/>
      <c r="AD673" s="3"/>
      <c r="AE673" s="3"/>
    </row>
    <row r="674" spans="1:31" ht="22.5" customHeight="1" x14ac:dyDescent="0.8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c r="AA674" s="3"/>
      <c r="AB674" s="3"/>
      <c r="AC674" s="3"/>
      <c r="AD674" s="3"/>
      <c r="AE674" s="3"/>
    </row>
    <row r="675" spans="1:31" ht="22.5" customHeight="1" x14ac:dyDescent="0.8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c r="AA675" s="3"/>
      <c r="AB675" s="3"/>
      <c r="AC675" s="3"/>
      <c r="AD675" s="3"/>
      <c r="AE675" s="3"/>
    </row>
    <row r="676" spans="1:31" ht="22.5" customHeight="1" x14ac:dyDescent="0.8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c r="AA676" s="3"/>
      <c r="AB676" s="3"/>
      <c r="AC676" s="3"/>
      <c r="AD676" s="3"/>
      <c r="AE676" s="3"/>
    </row>
    <row r="677" spans="1:31" ht="22.5" customHeight="1" x14ac:dyDescent="0.8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c r="AA677" s="3"/>
      <c r="AB677" s="3"/>
      <c r="AC677" s="3"/>
      <c r="AD677" s="3"/>
      <c r="AE677" s="3"/>
    </row>
    <row r="678" spans="1:31" ht="22.5" customHeight="1" x14ac:dyDescent="0.8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c r="AA678" s="3"/>
      <c r="AB678" s="3"/>
      <c r="AC678" s="3"/>
      <c r="AD678" s="3"/>
      <c r="AE678" s="3"/>
    </row>
    <row r="679" spans="1:31" ht="22.5" customHeight="1" x14ac:dyDescent="0.8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c r="AA679" s="3"/>
      <c r="AB679" s="3"/>
      <c r="AC679" s="3"/>
      <c r="AD679" s="3"/>
      <c r="AE679" s="3"/>
    </row>
    <row r="680" spans="1:31" ht="22.5" customHeight="1" x14ac:dyDescent="0.8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c r="AA680" s="3"/>
      <c r="AB680" s="3"/>
      <c r="AC680" s="3"/>
      <c r="AD680" s="3"/>
      <c r="AE680" s="3"/>
    </row>
    <row r="681" spans="1:31" ht="22.5" customHeight="1" x14ac:dyDescent="0.8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c r="AA681" s="3"/>
      <c r="AB681" s="3"/>
      <c r="AC681" s="3"/>
      <c r="AD681" s="3"/>
      <c r="AE681" s="3"/>
    </row>
    <row r="682" spans="1:31" ht="22.5" customHeight="1" x14ac:dyDescent="0.8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c r="AA682" s="3"/>
      <c r="AB682" s="3"/>
      <c r="AC682" s="3"/>
      <c r="AD682" s="3"/>
      <c r="AE682" s="3"/>
    </row>
    <row r="683" spans="1:31" ht="22.5" customHeight="1" x14ac:dyDescent="0.8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c r="AA683" s="3"/>
      <c r="AB683" s="3"/>
      <c r="AC683" s="3"/>
      <c r="AD683" s="3"/>
      <c r="AE683" s="3"/>
    </row>
    <row r="684" spans="1:31" ht="22.5" customHeight="1" x14ac:dyDescent="0.8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c r="AA684" s="3"/>
      <c r="AB684" s="3"/>
      <c r="AC684" s="3"/>
      <c r="AD684" s="3"/>
      <c r="AE684" s="3"/>
    </row>
    <row r="685" spans="1:31" ht="22.5" customHeight="1" x14ac:dyDescent="0.8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c r="AA685" s="3"/>
      <c r="AB685" s="3"/>
      <c r="AC685" s="3"/>
      <c r="AD685" s="3"/>
      <c r="AE685" s="3"/>
    </row>
    <row r="686" spans="1:31" ht="22.5" customHeight="1" x14ac:dyDescent="0.8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c r="AA686" s="3"/>
      <c r="AB686" s="3"/>
      <c r="AC686" s="3"/>
      <c r="AD686" s="3"/>
      <c r="AE686" s="3"/>
    </row>
    <row r="687" spans="1:31" ht="22.5" customHeight="1" x14ac:dyDescent="0.8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c r="AA687" s="3"/>
      <c r="AB687" s="3"/>
      <c r="AC687" s="3"/>
      <c r="AD687" s="3"/>
      <c r="AE687" s="3"/>
    </row>
    <row r="688" spans="1:31" ht="22.5" customHeight="1" x14ac:dyDescent="0.8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c r="AA688" s="3"/>
      <c r="AB688" s="3"/>
      <c r="AC688" s="3"/>
      <c r="AD688" s="3"/>
      <c r="AE688" s="3"/>
    </row>
    <row r="689" spans="1:31" ht="22.5" customHeight="1" x14ac:dyDescent="0.8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c r="AA689" s="3"/>
      <c r="AB689" s="3"/>
      <c r="AC689" s="3"/>
      <c r="AD689" s="3"/>
      <c r="AE689" s="3"/>
    </row>
    <row r="690" spans="1:31" ht="22.5" customHeight="1" x14ac:dyDescent="0.8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c r="AA690" s="3"/>
      <c r="AB690" s="3"/>
      <c r="AC690" s="3"/>
      <c r="AD690" s="3"/>
      <c r="AE690" s="3"/>
    </row>
    <row r="691" spans="1:31" ht="22.5" customHeight="1" x14ac:dyDescent="0.8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c r="AA691" s="3"/>
      <c r="AB691" s="3"/>
      <c r="AC691" s="3"/>
      <c r="AD691" s="3"/>
      <c r="AE691" s="3"/>
    </row>
    <row r="692" spans="1:31" ht="22.5" customHeight="1" x14ac:dyDescent="0.8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c r="AA692" s="3"/>
      <c r="AB692" s="3"/>
      <c r="AC692" s="3"/>
      <c r="AD692" s="3"/>
      <c r="AE692" s="3"/>
    </row>
    <row r="693" spans="1:31" ht="22.5" customHeight="1" x14ac:dyDescent="0.8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c r="AA693" s="3"/>
      <c r="AB693" s="3"/>
      <c r="AC693" s="3"/>
      <c r="AD693" s="3"/>
      <c r="AE693" s="3"/>
    </row>
    <row r="694" spans="1:31" ht="22.5" customHeight="1" x14ac:dyDescent="0.8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c r="AA694" s="3"/>
      <c r="AB694" s="3"/>
      <c r="AC694" s="3"/>
      <c r="AD694" s="3"/>
      <c r="AE694" s="3"/>
    </row>
    <row r="695" spans="1:31" ht="22.5" customHeight="1" x14ac:dyDescent="0.8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c r="AA695" s="3"/>
      <c r="AB695" s="3"/>
      <c r="AC695" s="3"/>
      <c r="AD695" s="3"/>
      <c r="AE695" s="3"/>
    </row>
    <row r="696" spans="1:31" ht="22.5" customHeight="1" x14ac:dyDescent="0.8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c r="AA696" s="3"/>
      <c r="AB696" s="3"/>
      <c r="AC696" s="3"/>
      <c r="AD696" s="3"/>
      <c r="AE696" s="3"/>
    </row>
    <row r="697" spans="1:31" ht="22.5" customHeight="1" x14ac:dyDescent="0.8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c r="AA697" s="3"/>
      <c r="AB697" s="3"/>
      <c r="AC697" s="3"/>
      <c r="AD697" s="3"/>
      <c r="AE697" s="3"/>
    </row>
    <row r="698" spans="1:31" ht="22.5" customHeight="1" x14ac:dyDescent="0.8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c r="AA698" s="3"/>
      <c r="AB698" s="3"/>
      <c r="AC698" s="3"/>
      <c r="AD698" s="3"/>
      <c r="AE698" s="3"/>
    </row>
    <row r="699" spans="1:31" ht="22.5" customHeight="1" x14ac:dyDescent="0.8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c r="AA699" s="3"/>
      <c r="AB699" s="3"/>
      <c r="AC699" s="3"/>
      <c r="AD699" s="3"/>
      <c r="AE699" s="3"/>
    </row>
    <row r="700" spans="1:31" ht="22.5" customHeight="1" x14ac:dyDescent="0.8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c r="AA700" s="3"/>
      <c r="AB700" s="3"/>
      <c r="AC700" s="3"/>
      <c r="AD700" s="3"/>
      <c r="AE700" s="3"/>
    </row>
    <row r="701" spans="1:31" ht="22.5" customHeight="1" x14ac:dyDescent="0.8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c r="AA701" s="3"/>
      <c r="AB701" s="3"/>
      <c r="AC701" s="3"/>
      <c r="AD701" s="3"/>
      <c r="AE701" s="3"/>
    </row>
    <row r="702" spans="1:31" ht="22.5" customHeight="1" x14ac:dyDescent="0.8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c r="AA702" s="3"/>
      <c r="AB702" s="3"/>
      <c r="AC702" s="3"/>
      <c r="AD702" s="3"/>
      <c r="AE702" s="3"/>
    </row>
    <row r="703" spans="1:31" ht="22.5" customHeight="1" x14ac:dyDescent="0.8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c r="AA703" s="3"/>
      <c r="AB703" s="3"/>
      <c r="AC703" s="3"/>
      <c r="AD703" s="3"/>
      <c r="AE703" s="3"/>
    </row>
    <row r="704" spans="1:31" ht="22.5" customHeight="1" x14ac:dyDescent="0.8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c r="AA704" s="3"/>
      <c r="AB704" s="3"/>
      <c r="AC704" s="3"/>
      <c r="AD704" s="3"/>
      <c r="AE704" s="3"/>
    </row>
    <row r="705" spans="1:31" ht="22.5" customHeight="1" x14ac:dyDescent="0.8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c r="AA705" s="3"/>
      <c r="AB705" s="3"/>
      <c r="AC705" s="3"/>
      <c r="AD705" s="3"/>
      <c r="AE705" s="3"/>
    </row>
    <row r="706" spans="1:31" ht="22.5" customHeight="1" x14ac:dyDescent="0.8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c r="AA706" s="3"/>
      <c r="AB706" s="3"/>
      <c r="AC706" s="3"/>
      <c r="AD706" s="3"/>
      <c r="AE706" s="3"/>
    </row>
    <row r="707" spans="1:31" ht="22.5" customHeight="1" x14ac:dyDescent="0.8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c r="AA707" s="3"/>
      <c r="AB707" s="3"/>
      <c r="AC707" s="3"/>
      <c r="AD707" s="3"/>
      <c r="AE707" s="3"/>
    </row>
    <row r="708" spans="1:31" ht="22.5" customHeight="1" x14ac:dyDescent="0.8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c r="AA708" s="3"/>
      <c r="AB708" s="3"/>
      <c r="AC708" s="3"/>
      <c r="AD708" s="3"/>
      <c r="AE708" s="3"/>
    </row>
    <row r="709" spans="1:31" ht="22.5" customHeight="1" x14ac:dyDescent="0.8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c r="AA709" s="3"/>
      <c r="AB709" s="3"/>
      <c r="AC709" s="3"/>
      <c r="AD709" s="3"/>
      <c r="AE709" s="3"/>
    </row>
    <row r="710" spans="1:31" ht="22.5" customHeight="1" x14ac:dyDescent="0.8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c r="AA710" s="3"/>
      <c r="AB710" s="3"/>
      <c r="AC710" s="3"/>
      <c r="AD710" s="3"/>
      <c r="AE710" s="3"/>
    </row>
    <row r="711" spans="1:31" ht="22.5" customHeight="1" x14ac:dyDescent="0.8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c r="AA711" s="3"/>
      <c r="AB711" s="3"/>
      <c r="AC711" s="3"/>
      <c r="AD711" s="3"/>
      <c r="AE711" s="3"/>
    </row>
    <row r="712" spans="1:31" ht="22.5" customHeight="1" x14ac:dyDescent="0.8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c r="AA712" s="3"/>
      <c r="AB712" s="3"/>
      <c r="AC712" s="3"/>
      <c r="AD712" s="3"/>
      <c r="AE712" s="3"/>
    </row>
    <row r="713" spans="1:31" ht="22.5" customHeight="1" x14ac:dyDescent="0.8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c r="AA713" s="3"/>
      <c r="AB713" s="3"/>
      <c r="AC713" s="3"/>
      <c r="AD713" s="3"/>
      <c r="AE713" s="3"/>
    </row>
    <row r="714" spans="1:31" ht="22.5" customHeight="1" x14ac:dyDescent="0.8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c r="AA714" s="3"/>
      <c r="AB714" s="3"/>
      <c r="AC714" s="3"/>
      <c r="AD714" s="3"/>
      <c r="AE714" s="3"/>
    </row>
    <row r="715" spans="1:31" ht="22.5" customHeight="1" x14ac:dyDescent="0.8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c r="AA715" s="3"/>
      <c r="AB715" s="3"/>
      <c r="AC715" s="3"/>
      <c r="AD715" s="3"/>
      <c r="AE715" s="3"/>
    </row>
    <row r="716" spans="1:31" ht="22.5" customHeight="1" x14ac:dyDescent="0.8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c r="AA716" s="3"/>
      <c r="AB716" s="3"/>
      <c r="AC716" s="3"/>
      <c r="AD716" s="3"/>
      <c r="AE716" s="3"/>
    </row>
    <row r="717" spans="1:31" ht="22.5" customHeight="1" x14ac:dyDescent="0.8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c r="AA717" s="3"/>
      <c r="AB717" s="3"/>
      <c r="AC717" s="3"/>
      <c r="AD717" s="3"/>
      <c r="AE717" s="3"/>
    </row>
    <row r="718" spans="1:31" ht="22.5" customHeight="1" x14ac:dyDescent="0.8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c r="AA718" s="3"/>
      <c r="AB718" s="3"/>
      <c r="AC718" s="3"/>
      <c r="AD718" s="3"/>
      <c r="AE718" s="3"/>
    </row>
    <row r="719" spans="1:31" ht="22.5" customHeight="1" x14ac:dyDescent="0.8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c r="AA719" s="3"/>
      <c r="AB719" s="3"/>
      <c r="AC719" s="3"/>
      <c r="AD719" s="3"/>
      <c r="AE719" s="3"/>
    </row>
    <row r="720" spans="1:31" ht="22.5" customHeight="1" x14ac:dyDescent="0.8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c r="AA720" s="3"/>
      <c r="AB720" s="3"/>
      <c r="AC720" s="3"/>
      <c r="AD720" s="3"/>
      <c r="AE720" s="3"/>
    </row>
    <row r="721" spans="1:31" ht="22.5" customHeight="1" x14ac:dyDescent="0.8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c r="AA721" s="3"/>
      <c r="AB721" s="3"/>
      <c r="AC721" s="3"/>
      <c r="AD721" s="3"/>
      <c r="AE721" s="3"/>
    </row>
    <row r="722" spans="1:31" ht="22.5" customHeight="1" x14ac:dyDescent="0.8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c r="AA722" s="3"/>
      <c r="AB722" s="3"/>
      <c r="AC722" s="3"/>
      <c r="AD722" s="3"/>
      <c r="AE722" s="3"/>
    </row>
    <row r="723" spans="1:31" ht="22.5" customHeight="1" x14ac:dyDescent="0.8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c r="AA723" s="3"/>
      <c r="AB723" s="3"/>
      <c r="AC723" s="3"/>
      <c r="AD723" s="3"/>
      <c r="AE723" s="3"/>
    </row>
    <row r="724" spans="1:31" ht="22.5" customHeight="1" x14ac:dyDescent="0.8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c r="AA724" s="3"/>
      <c r="AB724" s="3"/>
      <c r="AC724" s="3"/>
      <c r="AD724" s="3"/>
      <c r="AE724" s="3"/>
    </row>
    <row r="725" spans="1:31" ht="22.5" customHeight="1" x14ac:dyDescent="0.8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c r="AA725" s="3"/>
      <c r="AB725" s="3"/>
      <c r="AC725" s="3"/>
      <c r="AD725" s="3"/>
      <c r="AE725" s="3"/>
    </row>
    <row r="726" spans="1:31" ht="22.5" customHeight="1" x14ac:dyDescent="0.8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c r="AA726" s="3"/>
      <c r="AB726" s="3"/>
      <c r="AC726" s="3"/>
      <c r="AD726" s="3"/>
      <c r="AE726" s="3"/>
    </row>
    <row r="727" spans="1:31" ht="22.5" customHeight="1" x14ac:dyDescent="0.8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c r="AA727" s="3"/>
      <c r="AB727" s="3"/>
      <c r="AC727" s="3"/>
      <c r="AD727" s="3"/>
      <c r="AE727" s="3"/>
    </row>
    <row r="728" spans="1:31" ht="22.5" customHeight="1" x14ac:dyDescent="0.8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c r="AA728" s="3"/>
      <c r="AB728" s="3"/>
      <c r="AC728" s="3"/>
      <c r="AD728" s="3"/>
      <c r="AE728" s="3"/>
    </row>
    <row r="729" spans="1:31" ht="22.5" customHeight="1" x14ac:dyDescent="0.8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c r="AA729" s="3"/>
      <c r="AB729" s="3"/>
      <c r="AC729" s="3"/>
      <c r="AD729" s="3"/>
      <c r="AE729" s="3"/>
    </row>
    <row r="730" spans="1:31" ht="22.5" customHeight="1" x14ac:dyDescent="0.8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c r="AA730" s="3"/>
      <c r="AB730" s="3"/>
      <c r="AC730" s="3"/>
      <c r="AD730" s="3"/>
      <c r="AE730" s="3"/>
    </row>
    <row r="731" spans="1:31" ht="22.5" customHeight="1" x14ac:dyDescent="0.8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c r="AA731" s="3"/>
      <c r="AB731" s="3"/>
      <c r="AC731" s="3"/>
      <c r="AD731" s="3"/>
      <c r="AE731" s="3"/>
    </row>
    <row r="732" spans="1:31" ht="22.5" customHeight="1" x14ac:dyDescent="0.8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c r="AA732" s="3"/>
      <c r="AB732" s="3"/>
      <c r="AC732" s="3"/>
      <c r="AD732" s="3"/>
      <c r="AE732" s="3"/>
    </row>
    <row r="733" spans="1:31" ht="22.5" customHeight="1" x14ac:dyDescent="0.8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c r="AA733" s="3"/>
      <c r="AB733" s="3"/>
      <c r="AC733" s="3"/>
      <c r="AD733" s="3"/>
      <c r="AE733" s="3"/>
    </row>
    <row r="734" spans="1:31" ht="22.5" customHeight="1" x14ac:dyDescent="0.8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c r="AA734" s="3"/>
      <c r="AB734" s="3"/>
      <c r="AC734" s="3"/>
      <c r="AD734" s="3"/>
      <c r="AE734" s="3"/>
    </row>
    <row r="735" spans="1:31" ht="22.5" customHeight="1" x14ac:dyDescent="0.8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c r="AA735" s="3"/>
      <c r="AB735" s="3"/>
      <c r="AC735" s="3"/>
      <c r="AD735" s="3"/>
      <c r="AE735" s="3"/>
    </row>
    <row r="736" spans="1:31" ht="22.5" customHeight="1" x14ac:dyDescent="0.8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c r="AA736" s="3"/>
      <c r="AB736" s="3"/>
      <c r="AC736" s="3"/>
      <c r="AD736" s="3"/>
      <c r="AE736" s="3"/>
    </row>
    <row r="737" spans="1:31" ht="22.5" customHeight="1" x14ac:dyDescent="0.8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c r="AA737" s="3"/>
      <c r="AB737" s="3"/>
      <c r="AC737" s="3"/>
      <c r="AD737" s="3"/>
      <c r="AE737" s="3"/>
    </row>
    <row r="738" spans="1:31" ht="22.5" customHeight="1" x14ac:dyDescent="0.8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c r="AA738" s="3"/>
      <c r="AB738" s="3"/>
      <c r="AC738" s="3"/>
      <c r="AD738" s="3"/>
      <c r="AE738" s="3"/>
    </row>
    <row r="739" spans="1:31" ht="22.5" customHeight="1" x14ac:dyDescent="0.8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c r="AA739" s="3"/>
      <c r="AB739" s="3"/>
      <c r="AC739" s="3"/>
      <c r="AD739" s="3"/>
      <c r="AE739" s="3"/>
    </row>
    <row r="740" spans="1:31" ht="22.5" customHeight="1" x14ac:dyDescent="0.8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c r="AA740" s="3"/>
      <c r="AB740" s="3"/>
      <c r="AC740" s="3"/>
      <c r="AD740" s="3"/>
      <c r="AE740" s="3"/>
    </row>
    <row r="741" spans="1:31" ht="22.5" customHeight="1" x14ac:dyDescent="0.8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c r="AA741" s="3"/>
      <c r="AB741" s="3"/>
      <c r="AC741" s="3"/>
      <c r="AD741" s="3"/>
      <c r="AE741" s="3"/>
    </row>
    <row r="742" spans="1:31" ht="22.5" customHeight="1" x14ac:dyDescent="0.8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c r="AA742" s="3"/>
      <c r="AB742" s="3"/>
      <c r="AC742" s="3"/>
      <c r="AD742" s="3"/>
      <c r="AE742" s="3"/>
    </row>
    <row r="743" spans="1:31" ht="22.5" customHeight="1" x14ac:dyDescent="0.8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c r="AA743" s="3"/>
      <c r="AB743" s="3"/>
      <c r="AC743" s="3"/>
      <c r="AD743" s="3"/>
      <c r="AE743" s="3"/>
    </row>
    <row r="744" spans="1:31" ht="22.5" customHeight="1" x14ac:dyDescent="0.8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c r="AA744" s="3"/>
      <c r="AB744" s="3"/>
      <c r="AC744" s="3"/>
      <c r="AD744" s="3"/>
      <c r="AE744" s="3"/>
    </row>
    <row r="745" spans="1:31" ht="22.5" customHeight="1" x14ac:dyDescent="0.8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c r="AA745" s="3"/>
      <c r="AB745" s="3"/>
      <c r="AC745" s="3"/>
      <c r="AD745" s="3"/>
      <c r="AE745" s="3"/>
    </row>
    <row r="746" spans="1:31" ht="22.5" customHeight="1" x14ac:dyDescent="0.8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c r="AA746" s="3"/>
      <c r="AB746" s="3"/>
      <c r="AC746" s="3"/>
      <c r="AD746" s="3"/>
      <c r="AE746" s="3"/>
    </row>
    <row r="747" spans="1:31" ht="22.5" customHeight="1" x14ac:dyDescent="0.8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c r="AA747" s="3"/>
      <c r="AB747" s="3"/>
      <c r="AC747" s="3"/>
      <c r="AD747" s="3"/>
      <c r="AE747" s="3"/>
    </row>
    <row r="748" spans="1:31" ht="22.5" customHeight="1" x14ac:dyDescent="0.8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c r="AA748" s="3"/>
      <c r="AB748" s="3"/>
      <c r="AC748" s="3"/>
      <c r="AD748" s="3"/>
      <c r="AE748" s="3"/>
    </row>
    <row r="749" spans="1:31" ht="22.5" customHeight="1" x14ac:dyDescent="0.8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c r="AA749" s="3"/>
      <c r="AB749" s="3"/>
      <c r="AC749" s="3"/>
      <c r="AD749" s="3"/>
      <c r="AE749" s="3"/>
    </row>
    <row r="750" spans="1:31" ht="22.5" customHeight="1" x14ac:dyDescent="0.8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c r="AA750" s="3"/>
      <c r="AB750" s="3"/>
      <c r="AC750" s="3"/>
      <c r="AD750" s="3"/>
      <c r="AE750" s="3"/>
    </row>
    <row r="751" spans="1:31" ht="22.5" customHeight="1" x14ac:dyDescent="0.8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c r="AA751" s="3"/>
      <c r="AB751" s="3"/>
      <c r="AC751" s="3"/>
      <c r="AD751" s="3"/>
      <c r="AE751" s="3"/>
    </row>
    <row r="752" spans="1:31" ht="22.5" customHeight="1" x14ac:dyDescent="0.8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c r="AA752" s="3"/>
      <c r="AB752" s="3"/>
      <c r="AC752" s="3"/>
      <c r="AD752" s="3"/>
      <c r="AE752" s="3"/>
    </row>
    <row r="753" spans="1:31" ht="22.5" customHeight="1" x14ac:dyDescent="0.8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c r="AA753" s="3"/>
      <c r="AB753" s="3"/>
      <c r="AC753" s="3"/>
      <c r="AD753" s="3"/>
      <c r="AE753" s="3"/>
    </row>
    <row r="754" spans="1:31" ht="22.5" customHeight="1" x14ac:dyDescent="0.8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c r="AA754" s="3"/>
      <c r="AB754" s="3"/>
      <c r="AC754" s="3"/>
      <c r="AD754" s="3"/>
      <c r="AE754" s="3"/>
    </row>
    <row r="755" spans="1:31" ht="22.5" customHeight="1" x14ac:dyDescent="0.8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c r="AA755" s="3"/>
      <c r="AB755" s="3"/>
      <c r="AC755" s="3"/>
      <c r="AD755" s="3"/>
      <c r="AE755" s="3"/>
    </row>
    <row r="756" spans="1:31" ht="22.5" customHeight="1" x14ac:dyDescent="0.8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c r="AA756" s="3"/>
      <c r="AB756" s="3"/>
      <c r="AC756" s="3"/>
      <c r="AD756" s="3"/>
      <c r="AE756" s="3"/>
    </row>
    <row r="757" spans="1:31" ht="22.5" customHeight="1" x14ac:dyDescent="0.8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c r="AA757" s="3"/>
      <c r="AB757" s="3"/>
      <c r="AC757" s="3"/>
      <c r="AD757" s="3"/>
      <c r="AE757" s="3"/>
    </row>
    <row r="758" spans="1:31" ht="22.5" customHeight="1" x14ac:dyDescent="0.8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c r="AA758" s="3"/>
      <c r="AB758" s="3"/>
      <c r="AC758" s="3"/>
      <c r="AD758" s="3"/>
      <c r="AE758" s="3"/>
    </row>
    <row r="759" spans="1:31" ht="22.5" customHeight="1" x14ac:dyDescent="0.8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c r="AA759" s="3"/>
      <c r="AB759" s="3"/>
      <c r="AC759" s="3"/>
      <c r="AD759" s="3"/>
      <c r="AE759" s="3"/>
    </row>
    <row r="760" spans="1:31" ht="22.5" customHeight="1" x14ac:dyDescent="0.8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c r="AA760" s="3"/>
      <c r="AB760" s="3"/>
      <c r="AC760" s="3"/>
      <c r="AD760" s="3"/>
      <c r="AE760" s="3"/>
    </row>
    <row r="761" spans="1:31" ht="22.5" customHeight="1" x14ac:dyDescent="0.8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c r="AA761" s="3"/>
      <c r="AB761" s="3"/>
      <c r="AC761" s="3"/>
      <c r="AD761" s="3"/>
      <c r="AE761" s="3"/>
    </row>
    <row r="762" spans="1:31" ht="22.5" customHeight="1" x14ac:dyDescent="0.8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c r="AA762" s="3"/>
      <c r="AB762" s="3"/>
      <c r="AC762" s="3"/>
      <c r="AD762" s="3"/>
      <c r="AE762" s="3"/>
    </row>
    <row r="763" spans="1:31" ht="22.5" customHeight="1" x14ac:dyDescent="0.8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c r="AA763" s="3"/>
      <c r="AB763" s="3"/>
      <c r="AC763" s="3"/>
      <c r="AD763" s="3"/>
      <c r="AE763" s="3"/>
    </row>
    <row r="764" spans="1:31" ht="22.5" customHeight="1" x14ac:dyDescent="0.8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c r="AA764" s="3"/>
      <c r="AB764" s="3"/>
      <c r="AC764" s="3"/>
      <c r="AD764" s="3"/>
      <c r="AE764" s="3"/>
    </row>
    <row r="765" spans="1:31" ht="22.5" customHeight="1" x14ac:dyDescent="0.8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c r="AA765" s="3"/>
      <c r="AB765" s="3"/>
      <c r="AC765" s="3"/>
      <c r="AD765" s="3"/>
      <c r="AE765" s="3"/>
    </row>
    <row r="766" spans="1:31" ht="22.5" customHeight="1" x14ac:dyDescent="0.8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c r="AA766" s="3"/>
      <c r="AB766" s="3"/>
      <c r="AC766" s="3"/>
      <c r="AD766" s="3"/>
      <c r="AE766" s="3"/>
    </row>
    <row r="767" spans="1:31" ht="22.5" customHeight="1" x14ac:dyDescent="0.8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c r="AA767" s="3"/>
      <c r="AB767" s="3"/>
      <c r="AC767" s="3"/>
      <c r="AD767" s="3"/>
      <c r="AE767" s="3"/>
    </row>
    <row r="768" spans="1:31" ht="22.5" customHeight="1" x14ac:dyDescent="0.8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c r="AA768" s="3"/>
      <c r="AB768" s="3"/>
      <c r="AC768" s="3"/>
      <c r="AD768" s="3"/>
      <c r="AE768" s="3"/>
    </row>
    <row r="769" spans="1:31" ht="22.5" customHeight="1" x14ac:dyDescent="0.8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c r="AA769" s="3"/>
      <c r="AB769" s="3"/>
      <c r="AC769" s="3"/>
      <c r="AD769" s="3"/>
      <c r="AE769" s="3"/>
    </row>
    <row r="770" spans="1:31" ht="22.5" customHeight="1" x14ac:dyDescent="0.8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c r="AA770" s="3"/>
      <c r="AB770" s="3"/>
      <c r="AC770" s="3"/>
      <c r="AD770" s="3"/>
      <c r="AE770" s="3"/>
    </row>
    <row r="771" spans="1:31" ht="22.5" customHeight="1" x14ac:dyDescent="0.8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c r="AA771" s="3"/>
      <c r="AB771" s="3"/>
      <c r="AC771" s="3"/>
      <c r="AD771" s="3"/>
      <c r="AE771" s="3"/>
    </row>
    <row r="772" spans="1:31" ht="22.5" customHeight="1" x14ac:dyDescent="0.8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c r="AA772" s="3"/>
      <c r="AB772" s="3"/>
      <c r="AC772" s="3"/>
      <c r="AD772" s="3"/>
      <c r="AE772" s="3"/>
    </row>
    <row r="773" spans="1:31" ht="22.5" customHeight="1" x14ac:dyDescent="0.8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c r="AA773" s="3"/>
      <c r="AB773" s="3"/>
      <c r="AC773" s="3"/>
      <c r="AD773" s="3"/>
      <c r="AE773" s="3"/>
    </row>
    <row r="774" spans="1:31" ht="22.5" customHeight="1" x14ac:dyDescent="0.8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c r="AA774" s="3"/>
      <c r="AB774" s="3"/>
      <c r="AC774" s="3"/>
      <c r="AD774" s="3"/>
      <c r="AE774" s="3"/>
    </row>
    <row r="775" spans="1:31" ht="22.5" customHeight="1" x14ac:dyDescent="0.8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c r="AA775" s="3"/>
      <c r="AB775" s="3"/>
      <c r="AC775" s="3"/>
      <c r="AD775" s="3"/>
      <c r="AE775" s="3"/>
    </row>
    <row r="776" spans="1:31" ht="22.5" customHeight="1" x14ac:dyDescent="0.8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c r="AA776" s="3"/>
      <c r="AB776" s="3"/>
      <c r="AC776" s="3"/>
      <c r="AD776" s="3"/>
      <c r="AE776" s="3"/>
    </row>
    <row r="777" spans="1:31" ht="22.5" customHeight="1" x14ac:dyDescent="0.8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c r="AA777" s="3"/>
      <c r="AB777" s="3"/>
      <c r="AC777" s="3"/>
      <c r="AD777" s="3"/>
      <c r="AE777" s="3"/>
    </row>
    <row r="778" spans="1:31" ht="22.5" customHeight="1" x14ac:dyDescent="0.8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c r="AA778" s="3"/>
      <c r="AB778" s="3"/>
      <c r="AC778" s="3"/>
      <c r="AD778" s="3"/>
      <c r="AE778" s="3"/>
    </row>
    <row r="779" spans="1:31" ht="22.5" customHeight="1" x14ac:dyDescent="0.8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c r="AA779" s="3"/>
      <c r="AB779" s="3"/>
      <c r="AC779" s="3"/>
      <c r="AD779" s="3"/>
      <c r="AE779" s="3"/>
    </row>
    <row r="780" spans="1:31" ht="22.5" customHeight="1" x14ac:dyDescent="0.8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c r="AA780" s="3"/>
      <c r="AB780" s="3"/>
      <c r="AC780" s="3"/>
      <c r="AD780" s="3"/>
      <c r="AE780" s="3"/>
    </row>
    <row r="781" spans="1:31" ht="22.5" customHeight="1" x14ac:dyDescent="0.8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c r="AA781" s="3"/>
      <c r="AB781" s="3"/>
      <c r="AC781" s="3"/>
      <c r="AD781" s="3"/>
      <c r="AE781" s="3"/>
    </row>
    <row r="782" spans="1:31" ht="22.5" customHeight="1" x14ac:dyDescent="0.8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c r="AA782" s="3"/>
      <c r="AB782" s="3"/>
      <c r="AC782" s="3"/>
      <c r="AD782" s="3"/>
      <c r="AE782" s="3"/>
    </row>
    <row r="783" spans="1:31" ht="22.5" customHeight="1" x14ac:dyDescent="0.8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c r="AA783" s="3"/>
      <c r="AB783" s="3"/>
      <c r="AC783" s="3"/>
      <c r="AD783" s="3"/>
      <c r="AE783" s="3"/>
    </row>
    <row r="784" spans="1:31" ht="22.5" customHeight="1" x14ac:dyDescent="0.8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c r="AA784" s="3"/>
      <c r="AB784" s="3"/>
      <c r="AC784" s="3"/>
      <c r="AD784" s="3"/>
      <c r="AE784" s="3"/>
    </row>
    <row r="785" spans="1:31" ht="22.5" customHeight="1" x14ac:dyDescent="0.8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c r="AA785" s="3"/>
      <c r="AB785" s="3"/>
      <c r="AC785" s="3"/>
      <c r="AD785" s="3"/>
      <c r="AE785" s="3"/>
    </row>
    <row r="786" spans="1:31" ht="22.5" customHeight="1" x14ac:dyDescent="0.8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c r="AA786" s="3"/>
      <c r="AB786" s="3"/>
      <c r="AC786" s="3"/>
      <c r="AD786" s="3"/>
      <c r="AE786" s="3"/>
    </row>
    <row r="787" spans="1:31" ht="22.5" customHeight="1" x14ac:dyDescent="0.8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c r="AA787" s="3"/>
      <c r="AB787" s="3"/>
      <c r="AC787" s="3"/>
      <c r="AD787" s="3"/>
      <c r="AE787" s="3"/>
    </row>
    <row r="788" spans="1:31" ht="22.5" customHeight="1" x14ac:dyDescent="0.8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c r="AA788" s="3"/>
      <c r="AB788" s="3"/>
      <c r="AC788" s="3"/>
      <c r="AD788" s="3"/>
      <c r="AE788" s="3"/>
    </row>
    <row r="789" spans="1:31" ht="22.5" customHeight="1" x14ac:dyDescent="0.8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c r="AA789" s="3"/>
      <c r="AB789" s="3"/>
      <c r="AC789" s="3"/>
      <c r="AD789" s="3"/>
      <c r="AE789" s="3"/>
    </row>
    <row r="790" spans="1:31" ht="22.5" customHeight="1" x14ac:dyDescent="0.8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c r="AA790" s="3"/>
      <c r="AB790" s="3"/>
      <c r="AC790" s="3"/>
      <c r="AD790" s="3"/>
      <c r="AE790" s="3"/>
    </row>
    <row r="791" spans="1:31" ht="22.5" customHeight="1" x14ac:dyDescent="0.8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c r="AA791" s="3"/>
      <c r="AB791" s="3"/>
      <c r="AC791" s="3"/>
      <c r="AD791" s="3"/>
      <c r="AE791" s="3"/>
    </row>
    <row r="792" spans="1:31" ht="22.5" customHeight="1" x14ac:dyDescent="0.8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c r="AA792" s="3"/>
      <c r="AB792" s="3"/>
      <c r="AC792" s="3"/>
      <c r="AD792" s="3"/>
      <c r="AE792" s="3"/>
    </row>
    <row r="793" spans="1:31" ht="22.5" customHeight="1" x14ac:dyDescent="0.8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c r="AA793" s="3"/>
      <c r="AB793" s="3"/>
      <c r="AC793" s="3"/>
      <c r="AD793" s="3"/>
      <c r="AE793" s="3"/>
    </row>
    <row r="794" spans="1:31" ht="22.5" customHeight="1" x14ac:dyDescent="0.8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c r="AA794" s="3"/>
      <c r="AB794" s="3"/>
      <c r="AC794" s="3"/>
      <c r="AD794" s="3"/>
      <c r="AE794" s="3"/>
    </row>
    <row r="795" spans="1:31" ht="22.5" customHeight="1" x14ac:dyDescent="0.8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c r="AA795" s="3"/>
      <c r="AB795" s="3"/>
      <c r="AC795" s="3"/>
      <c r="AD795" s="3"/>
      <c r="AE795" s="3"/>
    </row>
    <row r="796" spans="1:31" ht="22.5" customHeight="1" x14ac:dyDescent="0.8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c r="AA796" s="3"/>
      <c r="AB796" s="3"/>
      <c r="AC796" s="3"/>
      <c r="AD796" s="3"/>
      <c r="AE796" s="3"/>
    </row>
    <row r="797" spans="1:31" ht="22.5" customHeight="1" x14ac:dyDescent="0.8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c r="AA797" s="3"/>
      <c r="AB797" s="3"/>
      <c r="AC797" s="3"/>
      <c r="AD797" s="3"/>
      <c r="AE797" s="3"/>
    </row>
    <row r="798" spans="1:31" ht="22.5" customHeight="1" x14ac:dyDescent="0.8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c r="AA798" s="3"/>
      <c r="AB798" s="3"/>
      <c r="AC798" s="3"/>
      <c r="AD798" s="3"/>
      <c r="AE798" s="3"/>
    </row>
    <row r="799" spans="1:31" ht="22.5" customHeight="1" x14ac:dyDescent="0.8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c r="AA799" s="3"/>
      <c r="AB799" s="3"/>
      <c r="AC799" s="3"/>
      <c r="AD799" s="3"/>
      <c r="AE799" s="3"/>
    </row>
    <row r="800" spans="1:31" ht="22.5" customHeight="1" x14ac:dyDescent="0.8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c r="AA800" s="3"/>
      <c r="AB800" s="3"/>
      <c r="AC800" s="3"/>
      <c r="AD800" s="3"/>
      <c r="AE800" s="3"/>
    </row>
    <row r="801" spans="1:31" ht="22.5" customHeight="1" x14ac:dyDescent="0.8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c r="AA801" s="3"/>
      <c r="AB801" s="3"/>
      <c r="AC801" s="3"/>
      <c r="AD801" s="3"/>
      <c r="AE801" s="3"/>
    </row>
    <row r="802" spans="1:31" ht="22.5" customHeight="1" x14ac:dyDescent="0.8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c r="AA802" s="3"/>
      <c r="AB802" s="3"/>
      <c r="AC802" s="3"/>
      <c r="AD802" s="3"/>
      <c r="AE802" s="3"/>
    </row>
    <row r="803" spans="1:31" ht="22.5" customHeight="1" x14ac:dyDescent="0.8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c r="AA803" s="3"/>
      <c r="AB803" s="3"/>
      <c r="AC803" s="3"/>
      <c r="AD803" s="3"/>
      <c r="AE803" s="3"/>
    </row>
    <row r="804" spans="1:31" ht="22.5" customHeight="1" x14ac:dyDescent="0.8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c r="AA804" s="3"/>
      <c r="AB804" s="3"/>
      <c r="AC804" s="3"/>
      <c r="AD804" s="3"/>
      <c r="AE804" s="3"/>
    </row>
    <row r="805" spans="1:31" ht="22.5" customHeight="1" x14ac:dyDescent="0.8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c r="AA805" s="3"/>
      <c r="AB805" s="3"/>
      <c r="AC805" s="3"/>
      <c r="AD805" s="3"/>
      <c r="AE805" s="3"/>
    </row>
    <row r="806" spans="1:31" ht="22.5" customHeight="1" x14ac:dyDescent="0.8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c r="AA806" s="3"/>
      <c r="AB806" s="3"/>
      <c r="AC806" s="3"/>
      <c r="AD806" s="3"/>
      <c r="AE806" s="3"/>
    </row>
    <row r="807" spans="1:31" ht="22.5" customHeight="1" x14ac:dyDescent="0.8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c r="AA807" s="3"/>
      <c r="AB807" s="3"/>
      <c r="AC807" s="3"/>
      <c r="AD807" s="3"/>
      <c r="AE807" s="3"/>
    </row>
    <row r="808" spans="1:31" ht="22.5" customHeight="1" x14ac:dyDescent="0.8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c r="AA808" s="3"/>
      <c r="AB808" s="3"/>
      <c r="AC808" s="3"/>
      <c r="AD808" s="3"/>
      <c r="AE808" s="3"/>
    </row>
    <row r="809" spans="1:31" ht="22.5" customHeight="1" x14ac:dyDescent="0.8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c r="AA809" s="3"/>
      <c r="AB809" s="3"/>
      <c r="AC809" s="3"/>
      <c r="AD809" s="3"/>
      <c r="AE809" s="3"/>
    </row>
    <row r="810" spans="1:31" ht="22.5" customHeight="1" x14ac:dyDescent="0.8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c r="AA810" s="3"/>
      <c r="AB810" s="3"/>
      <c r="AC810" s="3"/>
      <c r="AD810" s="3"/>
      <c r="AE810" s="3"/>
    </row>
    <row r="811" spans="1:31" ht="22.5" customHeight="1" x14ac:dyDescent="0.8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c r="AA811" s="3"/>
      <c r="AB811" s="3"/>
      <c r="AC811" s="3"/>
      <c r="AD811" s="3"/>
      <c r="AE811" s="3"/>
    </row>
    <row r="812" spans="1:31" ht="22.5" customHeight="1" x14ac:dyDescent="0.8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c r="AA812" s="3"/>
      <c r="AB812" s="3"/>
      <c r="AC812" s="3"/>
      <c r="AD812" s="3"/>
      <c r="AE812" s="3"/>
    </row>
    <row r="813" spans="1:31" ht="22.5" customHeight="1" x14ac:dyDescent="0.8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c r="AA813" s="3"/>
      <c r="AB813" s="3"/>
      <c r="AC813" s="3"/>
      <c r="AD813" s="3"/>
      <c r="AE813" s="3"/>
    </row>
    <row r="814" spans="1:31" ht="22.5" customHeight="1" x14ac:dyDescent="0.8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c r="AA814" s="3"/>
      <c r="AB814" s="3"/>
      <c r="AC814" s="3"/>
      <c r="AD814" s="3"/>
      <c r="AE814" s="3"/>
    </row>
    <row r="815" spans="1:31" ht="22.5" customHeight="1" x14ac:dyDescent="0.8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c r="AA815" s="3"/>
      <c r="AB815" s="3"/>
      <c r="AC815" s="3"/>
      <c r="AD815" s="3"/>
      <c r="AE815" s="3"/>
    </row>
    <row r="816" spans="1:31" ht="22.5" customHeight="1" x14ac:dyDescent="0.8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c r="AA816" s="3"/>
      <c r="AB816" s="3"/>
      <c r="AC816" s="3"/>
      <c r="AD816" s="3"/>
      <c r="AE816" s="3"/>
    </row>
    <row r="817" spans="1:31" ht="22.5" customHeight="1" x14ac:dyDescent="0.8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c r="AA817" s="3"/>
      <c r="AB817" s="3"/>
      <c r="AC817" s="3"/>
      <c r="AD817" s="3"/>
      <c r="AE817" s="3"/>
    </row>
    <row r="818" spans="1:31" ht="22.5" customHeight="1" x14ac:dyDescent="0.8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c r="AA818" s="3"/>
      <c r="AB818" s="3"/>
      <c r="AC818" s="3"/>
      <c r="AD818" s="3"/>
      <c r="AE818" s="3"/>
    </row>
    <row r="819" spans="1:31" ht="22.5" customHeight="1" x14ac:dyDescent="0.8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c r="AA819" s="3"/>
      <c r="AB819" s="3"/>
      <c r="AC819" s="3"/>
      <c r="AD819" s="3"/>
      <c r="AE819" s="3"/>
    </row>
    <row r="820" spans="1:31" ht="22.5" customHeight="1" x14ac:dyDescent="0.8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c r="AA820" s="3"/>
      <c r="AB820" s="3"/>
      <c r="AC820" s="3"/>
      <c r="AD820" s="3"/>
      <c r="AE820" s="3"/>
    </row>
    <row r="821" spans="1:31" ht="22.5" customHeight="1" x14ac:dyDescent="0.8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c r="AA821" s="3"/>
      <c r="AB821" s="3"/>
      <c r="AC821" s="3"/>
      <c r="AD821" s="3"/>
      <c r="AE821" s="3"/>
    </row>
    <row r="822" spans="1:31" ht="22.5" customHeight="1" x14ac:dyDescent="0.8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c r="AA822" s="3"/>
      <c r="AB822" s="3"/>
      <c r="AC822" s="3"/>
      <c r="AD822" s="3"/>
      <c r="AE822" s="3"/>
    </row>
    <row r="823" spans="1:31" ht="22.5" customHeight="1" x14ac:dyDescent="0.8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c r="AA823" s="3"/>
      <c r="AB823" s="3"/>
      <c r="AC823" s="3"/>
      <c r="AD823" s="3"/>
      <c r="AE823" s="3"/>
    </row>
    <row r="824" spans="1:31" ht="22.5" customHeight="1" x14ac:dyDescent="0.8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c r="AA824" s="3"/>
      <c r="AB824" s="3"/>
      <c r="AC824" s="3"/>
      <c r="AD824" s="3"/>
      <c r="AE824" s="3"/>
    </row>
    <row r="825" spans="1:31" ht="22.5" customHeight="1" x14ac:dyDescent="0.8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c r="AA825" s="3"/>
      <c r="AB825" s="3"/>
      <c r="AC825" s="3"/>
      <c r="AD825" s="3"/>
      <c r="AE825" s="3"/>
    </row>
    <row r="826" spans="1:31" ht="22.5" customHeight="1" x14ac:dyDescent="0.8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c r="AA826" s="3"/>
      <c r="AB826" s="3"/>
      <c r="AC826" s="3"/>
      <c r="AD826" s="3"/>
      <c r="AE826" s="3"/>
    </row>
    <row r="827" spans="1:31" ht="22.5" customHeight="1" x14ac:dyDescent="0.8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c r="AA827" s="3"/>
      <c r="AB827" s="3"/>
      <c r="AC827" s="3"/>
      <c r="AD827" s="3"/>
      <c r="AE827" s="3"/>
    </row>
    <row r="828" spans="1:31" ht="22.5" customHeight="1" x14ac:dyDescent="0.8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c r="AA828" s="3"/>
      <c r="AB828" s="3"/>
      <c r="AC828" s="3"/>
      <c r="AD828" s="3"/>
      <c r="AE828" s="3"/>
    </row>
    <row r="829" spans="1:31" ht="22.5" customHeight="1" x14ac:dyDescent="0.8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c r="AA829" s="3"/>
      <c r="AB829" s="3"/>
      <c r="AC829" s="3"/>
      <c r="AD829" s="3"/>
      <c r="AE829" s="3"/>
    </row>
    <row r="830" spans="1:31" ht="22.5" customHeight="1" x14ac:dyDescent="0.8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c r="AA830" s="3"/>
      <c r="AB830" s="3"/>
      <c r="AC830" s="3"/>
      <c r="AD830" s="3"/>
      <c r="AE830" s="3"/>
    </row>
    <row r="831" spans="1:31" ht="22.5" customHeight="1" x14ac:dyDescent="0.8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c r="AA831" s="3"/>
      <c r="AB831" s="3"/>
      <c r="AC831" s="3"/>
      <c r="AD831" s="3"/>
      <c r="AE831" s="3"/>
    </row>
    <row r="832" spans="1:31" ht="22.5" customHeight="1" x14ac:dyDescent="0.8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c r="AA832" s="3"/>
      <c r="AB832" s="3"/>
      <c r="AC832" s="3"/>
      <c r="AD832" s="3"/>
      <c r="AE832" s="3"/>
    </row>
    <row r="833" spans="1:31" ht="22.5" customHeight="1" x14ac:dyDescent="0.8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c r="AA833" s="3"/>
      <c r="AB833" s="3"/>
      <c r="AC833" s="3"/>
      <c r="AD833" s="3"/>
      <c r="AE833" s="3"/>
    </row>
    <row r="834" spans="1:31" ht="22.5" customHeight="1" x14ac:dyDescent="0.8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c r="AA834" s="3"/>
      <c r="AB834" s="3"/>
      <c r="AC834" s="3"/>
      <c r="AD834" s="3"/>
      <c r="AE834" s="3"/>
    </row>
    <row r="835" spans="1:31" ht="22.5" customHeight="1" x14ac:dyDescent="0.8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c r="AA835" s="3"/>
      <c r="AB835" s="3"/>
      <c r="AC835" s="3"/>
      <c r="AD835" s="3"/>
      <c r="AE835" s="3"/>
    </row>
    <row r="836" spans="1:31" ht="22.5" customHeight="1" x14ac:dyDescent="0.8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c r="AA836" s="3"/>
      <c r="AB836" s="3"/>
      <c r="AC836" s="3"/>
      <c r="AD836" s="3"/>
      <c r="AE836" s="3"/>
    </row>
    <row r="837" spans="1:31" ht="22.5" customHeight="1" x14ac:dyDescent="0.8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c r="AA837" s="3"/>
      <c r="AB837" s="3"/>
      <c r="AC837" s="3"/>
      <c r="AD837" s="3"/>
      <c r="AE837" s="3"/>
    </row>
    <row r="838" spans="1:31" ht="22.5" customHeight="1" x14ac:dyDescent="0.8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c r="AA838" s="3"/>
      <c r="AB838" s="3"/>
      <c r="AC838" s="3"/>
      <c r="AD838" s="3"/>
      <c r="AE838" s="3"/>
    </row>
    <row r="839" spans="1:31" ht="22.5" customHeight="1" x14ac:dyDescent="0.8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c r="AA839" s="3"/>
      <c r="AB839" s="3"/>
      <c r="AC839" s="3"/>
      <c r="AD839" s="3"/>
      <c r="AE839" s="3"/>
    </row>
    <row r="840" spans="1:31" ht="22.5" customHeight="1" x14ac:dyDescent="0.8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c r="AA840" s="3"/>
      <c r="AB840" s="3"/>
      <c r="AC840" s="3"/>
      <c r="AD840" s="3"/>
      <c r="AE840" s="3"/>
    </row>
    <row r="841" spans="1:31" ht="22.5" customHeight="1" x14ac:dyDescent="0.8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c r="AA841" s="3"/>
      <c r="AB841" s="3"/>
      <c r="AC841" s="3"/>
      <c r="AD841" s="3"/>
      <c r="AE841" s="3"/>
    </row>
    <row r="842" spans="1:31" ht="22.5" customHeight="1" x14ac:dyDescent="0.8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c r="AA842" s="3"/>
      <c r="AB842" s="3"/>
      <c r="AC842" s="3"/>
      <c r="AD842" s="3"/>
      <c r="AE842" s="3"/>
    </row>
    <row r="843" spans="1:31" ht="22.5" customHeight="1" x14ac:dyDescent="0.8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c r="AA843" s="3"/>
      <c r="AB843" s="3"/>
      <c r="AC843" s="3"/>
      <c r="AD843" s="3"/>
      <c r="AE843" s="3"/>
    </row>
    <row r="844" spans="1:31" ht="22.5" customHeight="1" x14ac:dyDescent="0.8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c r="AA844" s="3"/>
      <c r="AB844" s="3"/>
      <c r="AC844" s="3"/>
      <c r="AD844" s="3"/>
      <c r="AE844" s="3"/>
    </row>
    <row r="845" spans="1:31" ht="22.5" customHeight="1" x14ac:dyDescent="0.8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c r="AA845" s="3"/>
      <c r="AB845" s="3"/>
      <c r="AC845" s="3"/>
      <c r="AD845" s="3"/>
      <c r="AE845" s="3"/>
    </row>
    <row r="846" spans="1:31" ht="22.5" customHeight="1" x14ac:dyDescent="0.8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c r="AA846" s="3"/>
      <c r="AB846" s="3"/>
      <c r="AC846" s="3"/>
      <c r="AD846" s="3"/>
      <c r="AE846" s="3"/>
    </row>
    <row r="847" spans="1:31" ht="22.5" customHeight="1" x14ac:dyDescent="0.8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c r="AA847" s="3"/>
      <c r="AB847" s="3"/>
      <c r="AC847" s="3"/>
      <c r="AD847" s="3"/>
      <c r="AE847" s="3"/>
    </row>
    <row r="848" spans="1:31" ht="22.5" customHeight="1" x14ac:dyDescent="0.8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c r="AA848" s="3"/>
      <c r="AB848" s="3"/>
      <c r="AC848" s="3"/>
      <c r="AD848" s="3"/>
      <c r="AE848" s="3"/>
    </row>
    <row r="849" spans="1:31" ht="22.5" customHeight="1" x14ac:dyDescent="0.8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c r="AA849" s="3"/>
      <c r="AB849" s="3"/>
      <c r="AC849" s="3"/>
      <c r="AD849" s="3"/>
      <c r="AE849" s="3"/>
    </row>
    <row r="850" spans="1:31" ht="22.5" customHeight="1" x14ac:dyDescent="0.8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c r="AA850" s="3"/>
      <c r="AB850" s="3"/>
      <c r="AC850" s="3"/>
      <c r="AD850" s="3"/>
      <c r="AE850" s="3"/>
    </row>
    <row r="851" spans="1:31" ht="22.5" customHeight="1" x14ac:dyDescent="0.8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c r="AA851" s="3"/>
      <c r="AB851" s="3"/>
      <c r="AC851" s="3"/>
      <c r="AD851" s="3"/>
      <c r="AE851" s="3"/>
    </row>
    <row r="852" spans="1:31" ht="22.5" customHeight="1" x14ac:dyDescent="0.8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c r="AA852" s="3"/>
      <c r="AB852" s="3"/>
      <c r="AC852" s="3"/>
      <c r="AD852" s="3"/>
      <c r="AE852" s="3"/>
    </row>
    <row r="853" spans="1:31" ht="22.5" customHeight="1" x14ac:dyDescent="0.8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c r="AA853" s="3"/>
      <c r="AB853" s="3"/>
      <c r="AC853" s="3"/>
      <c r="AD853" s="3"/>
      <c r="AE853" s="3"/>
    </row>
    <row r="854" spans="1:31" ht="22.5" customHeight="1" x14ac:dyDescent="0.8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c r="AA854" s="3"/>
      <c r="AB854" s="3"/>
      <c r="AC854" s="3"/>
      <c r="AD854" s="3"/>
      <c r="AE854" s="3"/>
    </row>
    <row r="855" spans="1:31" ht="22.5" customHeight="1" x14ac:dyDescent="0.8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c r="AA855" s="3"/>
      <c r="AB855" s="3"/>
      <c r="AC855" s="3"/>
      <c r="AD855" s="3"/>
      <c r="AE855" s="3"/>
    </row>
    <row r="856" spans="1:31" ht="22.5" customHeight="1" x14ac:dyDescent="0.8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c r="AA856" s="3"/>
      <c r="AB856" s="3"/>
      <c r="AC856" s="3"/>
      <c r="AD856" s="3"/>
      <c r="AE856" s="3"/>
    </row>
    <row r="857" spans="1:31" ht="22.5" customHeight="1" x14ac:dyDescent="0.8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c r="AA857" s="3"/>
      <c r="AB857" s="3"/>
      <c r="AC857" s="3"/>
      <c r="AD857" s="3"/>
      <c r="AE857" s="3"/>
    </row>
    <row r="858" spans="1:31" ht="22.5" customHeight="1" x14ac:dyDescent="0.8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c r="AA858" s="3"/>
      <c r="AB858" s="3"/>
      <c r="AC858" s="3"/>
      <c r="AD858" s="3"/>
      <c r="AE858" s="3"/>
    </row>
    <row r="859" spans="1:31" ht="22.5" customHeight="1" x14ac:dyDescent="0.8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c r="AA859" s="3"/>
      <c r="AB859" s="3"/>
      <c r="AC859" s="3"/>
      <c r="AD859" s="3"/>
      <c r="AE859" s="3"/>
    </row>
    <row r="860" spans="1:31" ht="22.5" customHeight="1" x14ac:dyDescent="0.8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c r="AA860" s="3"/>
      <c r="AB860" s="3"/>
      <c r="AC860" s="3"/>
      <c r="AD860" s="3"/>
      <c r="AE860" s="3"/>
    </row>
    <row r="861" spans="1:31" ht="22.5" customHeight="1" x14ac:dyDescent="0.8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c r="AA861" s="3"/>
      <c r="AB861" s="3"/>
      <c r="AC861" s="3"/>
      <c r="AD861" s="3"/>
      <c r="AE861" s="3"/>
    </row>
    <row r="862" spans="1:31" ht="22.5" customHeight="1" x14ac:dyDescent="0.8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c r="AA862" s="3"/>
      <c r="AB862" s="3"/>
      <c r="AC862" s="3"/>
      <c r="AD862" s="3"/>
      <c r="AE862" s="3"/>
    </row>
    <row r="863" spans="1:31" ht="22.5" customHeight="1" x14ac:dyDescent="0.8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c r="AA863" s="3"/>
      <c r="AB863" s="3"/>
      <c r="AC863" s="3"/>
      <c r="AD863" s="3"/>
      <c r="AE863" s="3"/>
    </row>
    <row r="864" spans="1:31" ht="22.5" customHeight="1" x14ac:dyDescent="0.8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c r="AA864" s="3"/>
      <c r="AB864" s="3"/>
      <c r="AC864" s="3"/>
      <c r="AD864" s="3"/>
      <c r="AE864" s="3"/>
    </row>
    <row r="865" spans="1:31" ht="22.5" customHeight="1" x14ac:dyDescent="0.8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c r="AA865" s="3"/>
      <c r="AB865" s="3"/>
      <c r="AC865" s="3"/>
      <c r="AD865" s="3"/>
      <c r="AE865" s="3"/>
    </row>
    <row r="866" spans="1:31" ht="22.5" customHeight="1" x14ac:dyDescent="0.8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c r="AA866" s="3"/>
      <c r="AB866" s="3"/>
      <c r="AC866" s="3"/>
      <c r="AD866" s="3"/>
      <c r="AE866" s="3"/>
    </row>
    <row r="867" spans="1:31" ht="22.5" customHeight="1" x14ac:dyDescent="0.8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c r="AA867" s="3"/>
      <c r="AB867" s="3"/>
      <c r="AC867" s="3"/>
      <c r="AD867" s="3"/>
      <c r="AE867" s="3"/>
    </row>
    <row r="868" spans="1:31" ht="22.5" customHeight="1" x14ac:dyDescent="0.8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c r="AA868" s="3"/>
      <c r="AB868" s="3"/>
      <c r="AC868" s="3"/>
      <c r="AD868" s="3"/>
      <c r="AE868" s="3"/>
    </row>
    <row r="869" spans="1:31" ht="22.5" customHeight="1" x14ac:dyDescent="0.8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c r="AA869" s="3"/>
      <c r="AB869" s="3"/>
      <c r="AC869" s="3"/>
      <c r="AD869" s="3"/>
      <c r="AE869" s="3"/>
    </row>
    <row r="870" spans="1:31" ht="22.5" customHeight="1" x14ac:dyDescent="0.8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c r="AA870" s="3"/>
      <c r="AB870" s="3"/>
      <c r="AC870" s="3"/>
      <c r="AD870" s="3"/>
      <c r="AE870" s="3"/>
    </row>
    <row r="871" spans="1:31" ht="22.5" customHeight="1" x14ac:dyDescent="0.8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c r="AA871" s="3"/>
      <c r="AB871" s="3"/>
      <c r="AC871" s="3"/>
      <c r="AD871" s="3"/>
      <c r="AE871" s="3"/>
    </row>
    <row r="872" spans="1:31" ht="22.5" customHeight="1" x14ac:dyDescent="0.8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c r="AA872" s="3"/>
      <c r="AB872" s="3"/>
      <c r="AC872" s="3"/>
      <c r="AD872" s="3"/>
      <c r="AE872" s="3"/>
    </row>
    <row r="873" spans="1:31" ht="22.5" customHeight="1" x14ac:dyDescent="0.8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c r="AA873" s="3"/>
      <c r="AB873" s="3"/>
      <c r="AC873" s="3"/>
      <c r="AD873" s="3"/>
      <c r="AE873" s="3"/>
    </row>
    <row r="874" spans="1:31" ht="22.5" customHeight="1" x14ac:dyDescent="0.8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c r="AA874" s="3"/>
      <c r="AB874" s="3"/>
      <c r="AC874" s="3"/>
      <c r="AD874" s="3"/>
      <c r="AE874" s="3"/>
    </row>
    <row r="875" spans="1:31" ht="22.5" customHeight="1" x14ac:dyDescent="0.8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c r="AA875" s="3"/>
      <c r="AB875" s="3"/>
      <c r="AC875" s="3"/>
      <c r="AD875" s="3"/>
      <c r="AE875" s="3"/>
    </row>
    <row r="876" spans="1:31" ht="22.5" customHeight="1" x14ac:dyDescent="0.8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c r="AA876" s="3"/>
      <c r="AB876" s="3"/>
      <c r="AC876" s="3"/>
      <c r="AD876" s="3"/>
      <c r="AE876" s="3"/>
    </row>
    <row r="877" spans="1:31" ht="22.5" customHeight="1" x14ac:dyDescent="0.8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c r="AA877" s="3"/>
      <c r="AB877" s="3"/>
      <c r="AC877" s="3"/>
      <c r="AD877" s="3"/>
      <c r="AE877" s="3"/>
    </row>
    <row r="878" spans="1:31" ht="22.5" customHeight="1" x14ac:dyDescent="0.8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c r="AA878" s="3"/>
      <c r="AB878" s="3"/>
      <c r="AC878" s="3"/>
      <c r="AD878" s="3"/>
      <c r="AE878" s="3"/>
    </row>
    <row r="879" spans="1:31" ht="22.5" customHeight="1" x14ac:dyDescent="0.8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c r="AA879" s="3"/>
      <c r="AB879" s="3"/>
      <c r="AC879" s="3"/>
      <c r="AD879" s="3"/>
      <c r="AE879" s="3"/>
    </row>
    <row r="880" spans="1:31" ht="22.5" customHeight="1" x14ac:dyDescent="0.8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c r="AA880" s="3"/>
      <c r="AB880" s="3"/>
      <c r="AC880" s="3"/>
      <c r="AD880" s="3"/>
      <c r="AE880" s="3"/>
    </row>
    <row r="881" spans="1:31" ht="22.5" customHeight="1" x14ac:dyDescent="0.8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c r="AA881" s="3"/>
      <c r="AB881" s="3"/>
      <c r="AC881" s="3"/>
      <c r="AD881" s="3"/>
      <c r="AE881" s="3"/>
    </row>
    <row r="882" spans="1:31" ht="22.5" customHeight="1" x14ac:dyDescent="0.8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c r="AA882" s="3"/>
      <c r="AB882" s="3"/>
      <c r="AC882" s="3"/>
      <c r="AD882" s="3"/>
      <c r="AE882" s="3"/>
    </row>
    <row r="883" spans="1:31" ht="22.5" customHeight="1" x14ac:dyDescent="0.8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c r="AA883" s="3"/>
      <c r="AB883" s="3"/>
      <c r="AC883" s="3"/>
      <c r="AD883" s="3"/>
      <c r="AE883" s="3"/>
    </row>
    <row r="884" spans="1:31" ht="22.5" customHeight="1" x14ac:dyDescent="0.8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c r="AA884" s="3"/>
      <c r="AB884" s="3"/>
      <c r="AC884" s="3"/>
      <c r="AD884" s="3"/>
      <c r="AE884" s="3"/>
    </row>
    <row r="885" spans="1:31" ht="22.5" customHeight="1" x14ac:dyDescent="0.8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c r="AA885" s="3"/>
      <c r="AB885" s="3"/>
      <c r="AC885" s="3"/>
      <c r="AD885" s="3"/>
      <c r="AE885" s="3"/>
    </row>
    <row r="886" spans="1:31" ht="22.5" customHeight="1" x14ac:dyDescent="0.8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c r="AA886" s="3"/>
      <c r="AB886" s="3"/>
      <c r="AC886" s="3"/>
      <c r="AD886" s="3"/>
      <c r="AE886" s="3"/>
    </row>
    <row r="887" spans="1:31" ht="22.5" customHeight="1" x14ac:dyDescent="0.8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c r="AA887" s="3"/>
      <c r="AB887" s="3"/>
      <c r="AC887" s="3"/>
      <c r="AD887" s="3"/>
      <c r="AE887" s="3"/>
    </row>
    <row r="888" spans="1:31" ht="22.5" customHeight="1" x14ac:dyDescent="0.8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c r="AA888" s="3"/>
      <c r="AB888" s="3"/>
      <c r="AC888" s="3"/>
      <c r="AD888" s="3"/>
      <c r="AE888" s="3"/>
    </row>
    <row r="889" spans="1:31" ht="22.5" customHeight="1" x14ac:dyDescent="0.8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c r="AA889" s="3"/>
      <c r="AB889" s="3"/>
      <c r="AC889" s="3"/>
      <c r="AD889" s="3"/>
      <c r="AE889" s="3"/>
    </row>
    <row r="890" spans="1:31" ht="22.5" customHeight="1" x14ac:dyDescent="0.8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c r="AA890" s="3"/>
      <c r="AB890" s="3"/>
      <c r="AC890" s="3"/>
      <c r="AD890" s="3"/>
      <c r="AE890" s="3"/>
    </row>
    <row r="891" spans="1:31" ht="22.5" customHeight="1" x14ac:dyDescent="0.8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c r="AA891" s="3"/>
      <c r="AB891" s="3"/>
      <c r="AC891" s="3"/>
      <c r="AD891" s="3"/>
      <c r="AE891" s="3"/>
    </row>
    <row r="892" spans="1:31" ht="22.5" customHeight="1" x14ac:dyDescent="0.8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c r="AA892" s="3"/>
      <c r="AB892" s="3"/>
      <c r="AC892" s="3"/>
      <c r="AD892" s="3"/>
      <c r="AE892" s="3"/>
    </row>
    <row r="893" spans="1:31" ht="22.5" customHeight="1" x14ac:dyDescent="0.8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c r="AA893" s="3"/>
      <c r="AB893" s="3"/>
      <c r="AC893" s="3"/>
      <c r="AD893" s="3"/>
      <c r="AE893" s="3"/>
    </row>
    <row r="894" spans="1:31" ht="22.5" customHeight="1" x14ac:dyDescent="0.8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c r="AA894" s="3"/>
      <c r="AB894" s="3"/>
      <c r="AC894" s="3"/>
      <c r="AD894" s="3"/>
      <c r="AE894" s="3"/>
    </row>
    <row r="895" spans="1:31" ht="22.5" customHeight="1" x14ac:dyDescent="0.8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c r="AA895" s="3"/>
      <c r="AB895" s="3"/>
      <c r="AC895" s="3"/>
      <c r="AD895" s="3"/>
      <c r="AE895" s="3"/>
    </row>
    <row r="896" spans="1:31" ht="22.5" customHeight="1" x14ac:dyDescent="0.8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c r="AA896" s="3"/>
      <c r="AB896" s="3"/>
      <c r="AC896" s="3"/>
      <c r="AD896" s="3"/>
      <c r="AE896" s="3"/>
    </row>
    <row r="897" spans="1:31" ht="22.5" customHeight="1" x14ac:dyDescent="0.8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c r="AA897" s="3"/>
      <c r="AB897" s="3"/>
      <c r="AC897" s="3"/>
      <c r="AD897" s="3"/>
      <c r="AE897" s="3"/>
    </row>
    <row r="898" spans="1:31" ht="22.5" customHeight="1" x14ac:dyDescent="0.8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c r="AA898" s="3"/>
      <c r="AB898" s="3"/>
      <c r="AC898" s="3"/>
      <c r="AD898" s="3"/>
      <c r="AE898" s="3"/>
    </row>
    <row r="899" spans="1:31" ht="22.5" customHeight="1" x14ac:dyDescent="0.8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c r="AA899" s="3"/>
      <c r="AB899" s="3"/>
      <c r="AC899" s="3"/>
      <c r="AD899" s="3"/>
      <c r="AE899" s="3"/>
    </row>
    <row r="900" spans="1:31" ht="22.5" customHeight="1" x14ac:dyDescent="0.8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c r="AA900" s="3"/>
      <c r="AB900" s="3"/>
      <c r="AC900" s="3"/>
      <c r="AD900" s="3"/>
      <c r="AE900" s="3"/>
    </row>
    <row r="901" spans="1:31" ht="22.5" customHeight="1" x14ac:dyDescent="0.8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row>
    <row r="902" spans="1:31" ht="22.5" customHeight="1" x14ac:dyDescent="0.8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c r="AA902" s="3"/>
      <c r="AB902" s="3"/>
      <c r="AC902" s="3"/>
      <c r="AD902" s="3"/>
      <c r="AE902" s="3"/>
    </row>
    <row r="903" spans="1:31" ht="22.5" customHeight="1" x14ac:dyDescent="0.8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c r="AA903" s="3"/>
      <c r="AB903" s="3"/>
      <c r="AC903" s="3"/>
      <c r="AD903" s="3"/>
      <c r="AE903" s="3"/>
    </row>
    <row r="904" spans="1:31" ht="22.5" customHeight="1" x14ac:dyDescent="0.8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c r="AA904" s="3"/>
      <c r="AB904" s="3"/>
      <c r="AC904" s="3"/>
      <c r="AD904" s="3"/>
      <c r="AE904" s="3"/>
    </row>
    <row r="905" spans="1:31" ht="22.5" customHeight="1" x14ac:dyDescent="0.8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c r="AA905" s="3"/>
      <c r="AB905" s="3"/>
      <c r="AC905" s="3"/>
      <c r="AD905" s="3"/>
      <c r="AE905" s="3"/>
    </row>
    <row r="906" spans="1:31" ht="22.5" customHeight="1" x14ac:dyDescent="0.8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c r="AA906" s="3"/>
      <c r="AB906" s="3"/>
      <c r="AC906" s="3"/>
      <c r="AD906" s="3"/>
      <c r="AE906" s="3"/>
    </row>
    <row r="907" spans="1:31" ht="22.5" customHeight="1" x14ac:dyDescent="0.8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c r="AA907" s="3"/>
      <c r="AB907" s="3"/>
      <c r="AC907" s="3"/>
      <c r="AD907" s="3"/>
      <c r="AE907" s="3"/>
    </row>
    <row r="908" spans="1:31" ht="22.5" customHeight="1" x14ac:dyDescent="0.8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c r="AA908" s="3"/>
      <c r="AB908" s="3"/>
      <c r="AC908" s="3"/>
      <c r="AD908" s="3"/>
      <c r="AE908" s="3"/>
    </row>
    <row r="909" spans="1:31" ht="22.5" customHeight="1" x14ac:dyDescent="0.8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c r="AA909" s="3"/>
      <c r="AB909" s="3"/>
      <c r="AC909" s="3"/>
      <c r="AD909" s="3"/>
      <c r="AE909" s="3"/>
    </row>
    <row r="910" spans="1:31" ht="22.5" customHeight="1" x14ac:dyDescent="0.8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c r="AA910" s="3"/>
      <c r="AB910" s="3"/>
      <c r="AC910" s="3"/>
      <c r="AD910" s="3"/>
      <c r="AE910" s="3"/>
    </row>
    <row r="911" spans="1:31" ht="22.5" customHeight="1" x14ac:dyDescent="0.8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c r="AA911" s="3"/>
      <c r="AB911" s="3"/>
      <c r="AC911" s="3"/>
      <c r="AD911" s="3"/>
      <c r="AE911" s="3"/>
    </row>
    <row r="912" spans="1:31" ht="22.5" customHeight="1" x14ac:dyDescent="0.8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row>
    <row r="913" spans="1:31" ht="22.5" customHeight="1" x14ac:dyDescent="0.8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row>
    <row r="914" spans="1:31" ht="22.5" customHeight="1" x14ac:dyDescent="0.8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row>
    <row r="915" spans="1:31" ht="22.5" customHeight="1" x14ac:dyDescent="0.8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c r="AA915" s="3"/>
      <c r="AB915" s="3"/>
      <c r="AC915" s="3"/>
      <c r="AD915" s="3"/>
      <c r="AE915" s="3"/>
    </row>
    <row r="916" spans="1:31" ht="22.5" customHeight="1" x14ac:dyDescent="0.8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c r="AA916" s="3"/>
      <c r="AB916" s="3"/>
      <c r="AC916" s="3"/>
      <c r="AD916" s="3"/>
      <c r="AE916" s="3"/>
    </row>
    <row r="917" spans="1:31" ht="22.5" customHeight="1" x14ac:dyDescent="0.8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c r="AA917" s="3"/>
      <c r="AB917" s="3"/>
      <c r="AC917" s="3"/>
      <c r="AD917" s="3"/>
      <c r="AE917" s="3"/>
    </row>
    <row r="918" spans="1:31" ht="22.5" customHeight="1" x14ac:dyDescent="0.8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c r="AA918" s="3"/>
      <c r="AB918" s="3"/>
      <c r="AC918" s="3"/>
      <c r="AD918" s="3"/>
      <c r="AE918" s="3"/>
    </row>
    <row r="919" spans="1:31" ht="22.5" customHeight="1" x14ac:dyDescent="0.8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c r="AA919" s="3"/>
      <c r="AB919" s="3"/>
      <c r="AC919" s="3"/>
      <c r="AD919" s="3"/>
      <c r="AE919" s="3"/>
    </row>
    <row r="920" spans="1:31" ht="22.5" customHeight="1" x14ac:dyDescent="0.8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c r="AA920" s="3"/>
      <c r="AB920" s="3"/>
      <c r="AC920" s="3"/>
      <c r="AD920" s="3"/>
      <c r="AE920" s="3"/>
    </row>
    <row r="921" spans="1:31" ht="22.5" customHeight="1" x14ac:dyDescent="0.8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c r="AA921" s="3"/>
      <c r="AB921" s="3"/>
      <c r="AC921" s="3"/>
      <c r="AD921" s="3"/>
      <c r="AE921" s="3"/>
    </row>
    <row r="922" spans="1:31" ht="22.5" customHeight="1" x14ac:dyDescent="0.8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c r="AA922" s="3"/>
      <c r="AB922" s="3"/>
      <c r="AC922" s="3"/>
      <c r="AD922" s="3"/>
      <c r="AE922" s="3"/>
    </row>
    <row r="923" spans="1:31" ht="22.5" customHeight="1" x14ac:dyDescent="0.8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c r="AA923" s="3"/>
      <c r="AB923" s="3"/>
      <c r="AC923" s="3"/>
      <c r="AD923" s="3"/>
      <c r="AE923" s="3"/>
    </row>
    <row r="924" spans="1:31" ht="22.5" customHeight="1" x14ac:dyDescent="0.8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c r="AA924" s="3"/>
      <c r="AB924" s="3"/>
      <c r="AC924" s="3"/>
      <c r="AD924" s="3"/>
      <c r="AE924" s="3"/>
    </row>
    <row r="925" spans="1:31" ht="22.5" customHeight="1" x14ac:dyDescent="0.8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c r="AA925" s="3"/>
      <c r="AB925" s="3"/>
      <c r="AC925" s="3"/>
      <c r="AD925" s="3"/>
      <c r="AE925" s="3"/>
    </row>
    <row r="926" spans="1:31" ht="22.5" customHeight="1" x14ac:dyDescent="0.8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c r="AA926" s="3"/>
      <c r="AB926" s="3"/>
      <c r="AC926" s="3"/>
      <c r="AD926" s="3"/>
      <c r="AE926" s="3"/>
    </row>
    <row r="927" spans="1:31" ht="22.5" customHeight="1" x14ac:dyDescent="0.8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c r="AA927" s="3"/>
      <c r="AB927" s="3"/>
      <c r="AC927" s="3"/>
      <c r="AD927" s="3"/>
      <c r="AE927" s="3"/>
    </row>
    <row r="928" spans="1:31" ht="22.5" customHeight="1" x14ac:dyDescent="0.8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c r="AA928" s="3"/>
      <c r="AB928" s="3"/>
      <c r="AC928" s="3"/>
      <c r="AD928" s="3"/>
      <c r="AE928" s="3"/>
    </row>
    <row r="929" spans="1:31" ht="22.5" customHeight="1" x14ac:dyDescent="0.8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row>
    <row r="930" spans="1:31" ht="22.5" customHeight="1" x14ac:dyDescent="0.8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c r="AA930" s="3"/>
      <c r="AB930" s="3"/>
      <c r="AC930" s="3"/>
      <c r="AD930" s="3"/>
      <c r="AE930" s="3"/>
    </row>
    <row r="931" spans="1:31" ht="22.5" customHeight="1" x14ac:dyDescent="0.8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c r="AA931" s="3"/>
      <c r="AB931" s="3"/>
      <c r="AC931" s="3"/>
      <c r="AD931" s="3"/>
      <c r="AE931" s="3"/>
    </row>
    <row r="932" spans="1:31" ht="22.5" customHeight="1" x14ac:dyDescent="0.8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c r="AA932" s="3"/>
      <c r="AB932" s="3"/>
      <c r="AC932" s="3"/>
      <c r="AD932" s="3"/>
      <c r="AE932" s="3"/>
    </row>
    <row r="933" spans="1:31" ht="22.5" customHeight="1" x14ac:dyDescent="0.8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c r="AA933" s="3"/>
      <c r="AB933" s="3"/>
      <c r="AC933" s="3"/>
      <c r="AD933" s="3"/>
      <c r="AE933" s="3"/>
    </row>
    <row r="934" spans="1:31" ht="22.5" customHeight="1" x14ac:dyDescent="0.8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c r="AA934" s="3"/>
      <c r="AB934" s="3"/>
      <c r="AC934" s="3"/>
      <c r="AD934" s="3"/>
      <c r="AE934" s="3"/>
    </row>
    <row r="935" spans="1:31" ht="22.5" customHeight="1" x14ac:dyDescent="0.8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c r="AA935" s="3"/>
      <c r="AB935" s="3"/>
      <c r="AC935" s="3"/>
      <c r="AD935" s="3"/>
      <c r="AE935" s="3"/>
    </row>
    <row r="936" spans="1:31" ht="22.5" customHeight="1" x14ac:dyDescent="0.8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c r="AA936" s="3"/>
      <c r="AB936" s="3"/>
      <c r="AC936" s="3"/>
      <c r="AD936" s="3"/>
      <c r="AE936" s="3"/>
    </row>
    <row r="937" spans="1:31" ht="22.5" customHeight="1" x14ac:dyDescent="0.8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row>
    <row r="938" spans="1:31" ht="22.5" customHeight="1" x14ac:dyDescent="0.8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c r="AA938" s="3"/>
      <c r="AB938" s="3"/>
      <c r="AC938" s="3"/>
      <c r="AD938" s="3"/>
      <c r="AE938" s="3"/>
    </row>
    <row r="939" spans="1:31" ht="22.5" customHeight="1" x14ac:dyDescent="0.8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c r="AA939" s="3"/>
      <c r="AB939" s="3"/>
      <c r="AC939" s="3"/>
      <c r="AD939" s="3"/>
      <c r="AE939" s="3"/>
    </row>
    <row r="940" spans="1:31" ht="22.5" customHeight="1" x14ac:dyDescent="0.8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c r="AA940" s="3"/>
      <c r="AB940" s="3"/>
      <c r="AC940" s="3"/>
      <c r="AD940" s="3"/>
      <c r="AE940" s="3"/>
    </row>
    <row r="941" spans="1:31" ht="22.5" customHeight="1" x14ac:dyDescent="0.8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row>
    <row r="942" spans="1:31" ht="22.5" customHeight="1" x14ac:dyDescent="0.8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row>
    <row r="943" spans="1:31" ht="22.5" customHeight="1" x14ac:dyDescent="0.8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c r="AA943" s="3"/>
      <c r="AB943" s="3"/>
      <c r="AC943" s="3"/>
      <c r="AD943" s="3"/>
      <c r="AE943" s="3"/>
    </row>
    <row r="944" spans="1:31" ht="22.5" customHeight="1" x14ac:dyDescent="0.8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c r="AA944" s="3"/>
      <c r="AB944" s="3"/>
      <c r="AC944" s="3"/>
      <c r="AD944" s="3"/>
      <c r="AE944" s="3"/>
    </row>
    <row r="945" spans="1:31" ht="22.5" customHeight="1" x14ac:dyDescent="0.8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c r="AA945" s="3"/>
      <c r="AB945" s="3"/>
      <c r="AC945" s="3"/>
      <c r="AD945" s="3"/>
      <c r="AE945" s="3"/>
    </row>
    <row r="946" spans="1:31" ht="22.5" customHeight="1" x14ac:dyDescent="0.8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c r="AA946" s="3"/>
      <c r="AB946" s="3"/>
      <c r="AC946" s="3"/>
      <c r="AD946" s="3"/>
      <c r="AE946" s="3"/>
    </row>
    <row r="947" spans="1:31" ht="22.5" customHeight="1" x14ac:dyDescent="0.8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c r="AA947" s="3"/>
      <c r="AB947" s="3"/>
      <c r="AC947" s="3"/>
      <c r="AD947" s="3"/>
      <c r="AE947" s="3"/>
    </row>
    <row r="948" spans="1:31" ht="22.5" customHeight="1" x14ac:dyDescent="0.8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c r="AA948" s="3"/>
      <c r="AB948" s="3"/>
      <c r="AC948" s="3"/>
      <c r="AD948" s="3"/>
      <c r="AE948" s="3"/>
    </row>
    <row r="949" spans="1:31" ht="22.5" customHeight="1" x14ac:dyDescent="0.8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c r="AA949" s="3"/>
      <c r="AB949" s="3"/>
      <c r="AC949" s="3"/>
      <c r="AD949" s="3"/>
      <c r="AE949" s="3"/>
    </row>
    <row r="950" spans="1:31" ht="22.5" customHeight="1" x14ac:dyDescent="0.8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row>
    <row r="951" spans="1:31" ht="22.5" customHeight="1" x14ac:dyDescent="0.8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c r="AA951" s="3"/>
      <c r="AB951" s="3"/>
      <c r="AC951" s="3"/>
      <c r="AD951" s="3"/>
      <c r="AE951" s="3"/>
    </row>
    <row r="952" spans="1:31" ht="22.5" customHeight="1" x14ac:dyDescent="0.8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c r="AA952" s="3"/>
      <c r="AB952" s="3"/>
      <c r="AC952" s="3"/>
      <c r="AD952" s="3"/>
      <c r="AE952" s="3"/>
    </row>
    <row r="953" spans="1:31" ht="22.5" customHeight="1" x14ac:dyDescent="0.8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c r="AA953" s="3"/>
      <c r="AB953" s="3"/>
      <c r="AC953" s="3"/>
      <c r="AD953" s="3"/>
      <c r="AE953" s="3"/>
    </row>
    <row r="954" spans="1:31" ht="22.5" customHeight="1" x14ac:dyDescent="0.8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c r="AA954" s="3"/>
      <c r="AB954" s="3"/>
      <c r="AC954" s="3"/>
      <c r="AD954" s="3"/>
      <c r="AE954" s="3"/>
    </row>
    <row r="955" spans="1:31" ht="22.5" customHeight="1" x14ac:dyDescent="0.8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c r="AA955" s="3"/>
      <c r="AB955" s="3"/>
      <c r="AC955" s="3"/>
      <c r="AD955" s="3"/>
      <c r="AE955" s="3"/>
    </row>
    <row r="956" spans="1:31" ht="22.5" customHeight="1" x14ac:dyDescent="0.8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c r="AA956" s="3"/>
      <c r="AB956" s="3"/>
      <c r="AC956" s="3"/>
      <c r="AD956" s="3"/>
      <c r="AE956" s="3"/>
    </row>
    <row r="957" spans="1:31" ht="22.5" customHeight="1" x14ac:dyDescent="0.8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c r="AA957" s="3"/>
      <c r="AB957" s="3"/>
      <c r="AC957" s="3"/>
      <c r="AD957" s="3"/>
      <c r="AE957" s="3"/>
    </row>
    <row r="958" spans="1:31" ht="22.5" customHeight="1" x14ac:dyDescent="0.8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c r="AA958" s="3"/>
      <c r="AB958" s="3"/>
      <c r="AC958" s="3"/>
      <c r="AD958" s="3"/>
      <c r="AE958" s="3"/>
    </row>
    <row r="959" spans="1:31" ht="22.5" customHeight="1" x14ac:dyDescent="0.8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c r="AA959" s="3"/>
      <c r="AB959" s="3"/>
      <c r="AC959" s="3"/>
      <c r="AD959" s="3"/>
      <c r="AE959" s="3"/>
    </row>
    <row r="960" spans="1:31" ht="22.5" customHeight="1" x14ac:dyDescent="0.8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c r="AA960" s="3"/>
      <c r="AB960" s="3"/>
      <c r="AC960" s="3"/>
      <c r="AD960" s="3"/>
      <c r="AE960" s="3"/>
    </row>
    <row r="961" spans="1:31" ht="22.5" customHeight="1" x14ac:dyDescent="0.8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c r="AA961" s="3"/>
      <c r="AB961" s="3"/>
      <c r="AC961" s="3"/>
      <c r="AD961" s="3"/>
      <c r="AE961" s="3"/>
    </row>
    <row r="962" spans="1:31" ht="22.5" customHeight="1" x14ac:dyDescent="0.8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c r="AA962" s="3"/>
      <c r="AB962" s="3"/>
      <c r="AC962" s="3"/>
      <c r="AD962" s="3"/>
      <c r="AE962" s="3"/>
    </row>
    <row r="963" spans="1:31" ht="22.5" customHeight="1" x14ac:dyDescent="0.8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c r="AA963" s="3"/>
      <c r="AB963" s="3"/>
      <c r="AC963" s="3"/>
      <c r="AD963" s="3"/>
      <c r="AE963" s="3"/>
    </row>
    <row r="964" spans="1:31" ht="22.5" customHeight="1" x14ac:dyDescent="0.8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c r="AA964" s="3"/>
      <c r="AB964" s="3"/>
      <c r="AC964" s="3"/>
      <c r="AD964" s="3"/>
      <c r="AE964" s="3"/>
    </row>
    <row r="965" spans="1:31" ht="22.5" customHeight="1" x14ac:dyDescent="0.8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c r="AA965" s="3"/>
      <c r="AB965" s="3"/>
      <c r="AC965" s="3"/>
      <c r="AD965" s="3"/>
      <c r="AE965" s="3"/>
    </row>
    <row r="966" spans="1:31" ht="22.5" customHeight="1" x14ac:dyDescent="0.8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c r="AA966" s="3"/>
      <c r="AB966" s="3"/>
      <c r="AC966" s="3"/>
      <c r="AD966" s="3"/>
      <c r="AE966" s="3"/>
    </row>
    <row r="967" spans="1:31" ht="22.5" customHeight="1" x14ac:dyDescent="0.8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c r="AA967" s="3"/>
      <c r="AB967" s="3"/>
      <c r="AC967" s="3"/>
      <c r="AD967" s="3"/>
      <c r="AE967" s="3"/>
    </row>
    <row r="968" spans="1:31" ht="22.5" customHeight="1" x14ac:dyDescent="0.8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c r="AA968" s="3"/>
      <c r="AB968" s="3"/>
      <c r="AC968" s="3"/>
      <c r="AD968" s="3"/>
      <c r="AE968" s="3"/>
    </row>
    <row r="969" spans="1:31" ht="22.5" customHeight="1" x14ac:dyDescent="0.8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c r="AA969" s="3"/>
      <c r="AB969" s="3"/>
      <c r="AC969" s="3"/>
      <c r="AD969" s="3"/>
      <c r="AE969" s="3"/>
    </row>
    <row r="970" spans="1:31" ht="22.5" customHeight="1" x14ac:dyDescent="0.8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c r="AA970" s="3"/>
      <c r="AB970" s="3"/>
      <c r="AC970" s="3"/>
      <c r="AD970" s="3"/>
      <c r="AE970" s="3"/>
    </row>
    <row r="971" spans="1:31" ht="22.5" customHeight="1" x14ac:dyDescent="0.8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c r="AA971" s="3"/>
      <c r="AB971" s="3"/>
      <c r="AC971" s="3"/>
      <c r="AD971" s="3"/>
      <c r="AE971" s="3"/>
    </row>
    <row r="972" spans="1:31" ht="22.5" customHeight="1" x14ac:dyDescent="0.8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c r="AA972" s="3"/>
      <c r="AB972" s="3"/>
      <c r="AC972" s="3"/>
      <c r="AD972" s="3"/>
      <c r="AE972" s="3"/>
    </row>
    <row r="973" spans="1:31" ht="22.5" customHeight="1" x14ac:dyDescent="0.8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c r="AA973" s="3"/>
      <c r="AB973" s="3"/>
      <c r="AC973" s="3"/>
      <c r="AD973" s="3"/>
      <c r="AE973" s="3"/>
    </row>
    <row r="974" spans="1:31" ht="22.5" customHeight="1" x14ac:dyDescent="0.8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c r="AA974" s="3"/>
      <c r="AB974" s="3"/>
      <c r="AC974" s="3"/>
      <c r="AD974" s="3"/>
      <c r="AE974" s="3"/>
    </row>
    <row r="975" spans="1:31" ht="22.5" customHeight="1" x14ac:dyDescent="0.8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c r="AA975" s="3"/>
      <c r="AB975" s="3"/>
      <c r="AC975" s="3"/>
      <c r="AD975" s="3"/>
      <c r="AE975" s="3"/>
    </row>
    <row r="976" spans="1:31" ht="22.5" customHeight="1" x14ac:dyDescent="0.8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c r="AA976" s="3"/>
      <c r="AB976" s="3"/>
      <c r="AC976" s="3"/>
      <c r="AD976" s="3"/>
      <c r="AE976" s="3"/>
    </row>
    <row r="977" spans="1:31" ht="22.5" customHeight="1" x14ac:dyDescent="0.8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c r="AA977" s="3"/>
      <c r="AB977" s="3"/>
      <c r="AC977" s="3"/>
      <c r="AD977" s="3"/>
      <c r="AE977" s="3"/>
    </row>
    <row r="978" spans="1:31" ht="22.5" customHeight="1" x14ac:dyDescent="0.8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c r="AA978" s="3"/>
      <c r="AB978" s="3"/>
      <c r="AC978" s="3"/>
      <c r="AD978" s="3"/>
      <c r="AE978" s="3"/>
    </row>
    <row r="979" spans="1:31" ht="22.5" customHeight="1" x14ac:dyDescent="0.8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c r="AA979" s="3"/>
      <c r="AB979" s="3"/>
      <c r="AC979" s="3"/>
      <c r="AD979" s="3"/>
      <c r="AE979" s="3"/>
    </row>
    <row r="980" spans="1:31" ht="22.5" customHeight="1" x14ac:dyDescent="0.8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c r="AA980" s="3"/>
      <c r="AB980" s="3"/>
      <c r="AC980" s="3"/>
      <c r="AD980" s="3"/>
      <c r="AE980" s="3"/>
    </row>
    <row r="981" spans="1:31" ht="22.5" customHeight="1" x14ac:dyDescent="0.8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c r="AA981" s="3"/>
      <c r="AB981" s="3"/>
      <c r="AC981" s="3"/>
      <c r="AD981" s="3"/>
      <c r="AE981" s="3"/>
    </row>
    <row r="982" spans="1:31" ht="22.5" customHeight="1" x14ac:dyDescent="0.8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c r="AA982" s="3"/>
      <c r="AB982" s="3"/>
      <c r="AC982" s="3"/>
      <c r="AD982" s="3"/>
      <c r="AE982" s="3"/>
    </row>
    <row r="983" spans="1:31" ht="22.5" customHeight="1" x14ac:dyDescent="0.8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c r="AA983" s="3"/>
      <c r="AB983" s="3"/>
      <c r="AC983" s="3"/>
      <c r="AD983" s="3"/>
      <c r="AE983" s="3"/>
    </row>
    <row r="984" spans="1:31" ht="22.5" customHeight="1" x14ac:dyDescent="0.8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c r="AA984" s="3"/>
      <c r="AB984" s="3"/>
      <c r="AC984" s="3"/>
      <c r="AD984" s="3"/>
      <c r="AE984" s="3"/>
    </row>
    <row r="985" spans="1:31" ht="22.5" customHeight="1" x14ac:dyDescent="0.8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c r="AA985" s="3"/>
      <c r="AB985" s="3"/>
      <c r="AC985" s="3"/>
      <c r="AD985" s="3"/>
      <c r="AE985" s="3"/>
    </row>
    <row r="986" spans="1:31" ht="22.5" customHeight="1" x14ac:dyDescent="0.8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c r="AA986" s="3"/>
      <c r="AB986" s="3"/>
      <c r="AC986" s="3"/>
      <c r="AD986" s="3"/>
      <c r="AE986" s="3"/>
    </row>
    <row r="987" spans="1:31" ht="22.5" customHeight="1" x14ac:dyDescent="0.8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c r="AA987" s="3"/>
      <c r="AB987" s="3"/>
      <c r="AC987" s="3"/>
      <c r="AD987" s="3"/>
      <c r="AE987" s="3"/>
    </row>
    <row r="988" spans="1:31" ht="22.5" customHeight="1" x14ac:dyDescent="0.8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c r="AA988" s="3"/>
      <c r="AB988" s="3"/>
      <c r="AC988" s="3"/>
      <c r="AD988" s="3"/>
      <c r="AE988" s="3"/>
    </row>
    <row r="989" spans="1:31" ht="22.5" customHeight="1" x14ac:dyDescent="0.8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c r="AA989" s="3"/>
      <c r="AB989" s="3"/>
      <c r="AC989" s="3"/>
      <c r="AD989" s="3"/>
      <c r="AE989" s="3"/>
    </row>
    <row r="990" spans="1:31" ht="22.5" customHeight="1" x14ac:dyDescent="0.8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c r="AA990" s="3"/>
      <c r="AB990" s="3"/>
      <c r="AC990" s="3"/>
      <c r="AD990" s="3"/>
      <c r="AE990" s="3"/>
    </row>
    <row r="991" spans="1:31" ht="22.5" customHeight="1" x14ac:dyDescent="0.8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c r="AA991" s="3"/>
      <c r="AB991" s="3"/>
      <c r="AC991" s="3"/>
      <c r="AD991" s="3"/>
      <c r="AE991" s="3"/>
    </row>
    <row r="992" spans="1:31" ht="22.5" customHeight="1" x14ac:dyDescent="0.8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c r="AA992" s="3"/>
      <c r="AB992" s="3"/>
      <c r="AC992" s="3"/>
      <c r="AD992" s="3"/>
      <c r="AE992" s="3"/>
    </row>
    <row r="993" spans="1:31" ht="22.5" customHeight="1" x14ac:dyDescent="0.8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c r="AA993" s="3"/>
      <c r="AB993" s="3"/>
      <c r="AC993" s="3"/>
      <c r="AD993" s="3"/>
      <c r="AE993" s="3"/>
    </row>
    <row r="994" spans="1:31" ht="22.5" customHeight="1" x14ac:dyDescent="0.8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c r="AA994" s="3"/>
      <c r="AB994" s="3"/>
      <c r="AC994" s="3"/>
      <c r="AD994" s="3"/>
      <c r="AE994" s="3"/>
    </row>
    <row r="995" spans="1:31" ht="22.5" customHeight="1" x14ac:dyDescent="0.8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c r="AA995" s="3"/>
      <c r="AB995" s="3"/>
      <c r="AC995" s="3"/>
      <c r="AD995" s="3"/>
      <c r="AE995" s="3"/>
    </row>
    <row r="996" spans="1:31" ht="22.5" customHeight="1" x14ac:dyDescent="0.8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c r="AA996" s="3"/>
      <c r="AB996" s="3"/>
      <c r="AC996" s="3"/>
      <c r="AD996" s="3"/>
      <c r="AE996" s="3"/>
    </row>
    <row r="997" spans="1:31" ht="22.5" customHeight="1" x14ac:dyDescent="0.8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c r="AA997" s="3"/>
      <c r="AB997" s="3"/>
      <c r="AC997" s="3"/>
      <c r="AD997" s="3"/>
      <c r="AE997" s="3"/>
    </row>
    <row r="998" spans="1:31" ht="22.5" customHeight="1" x14ac:dyDescent="0.8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c r="AA998" s="3"/>
      <c r="AB998" s="3"/>
      <c r="AC998" s="3"/>
      <c r="AD998" s="3"/>
      <c r="AE998" s="3"/>
    </row>
    <row r="999" spans="1:31" ht="22.5" customHeight="1" x14ac:dyDescent="0.8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c r="AA999" s="3"/>
      <c r="AB999" s="3"/>
      <c r="AC999" s="3"/>
      <c r="AD999" s="3"/>
      <c r="AE999" s="3"/>
    </row>
    <row r="1000" spans="1:31" ht="22.5" customHeight="1" x14ac:dyDescent="0.8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c r="AA1000" s="3"/>
      <c r="AB1000" s="3"/>
      <c r="AC1000" s="3"/>
      <c r="AD1000" s="3"/>
      <c r="AE1000" s="3"/>
    </row>
  </sheetData>
  <mergeCells count="46">
    <mergeCell ref="D49:D50"/>
    <mergeCell ref="E49:E50"/>
    <mergeCell ref="A51:F51"/>
    <mergeCell ref="A52:F52"/>
    <mergeCell ref="D41:D42"/>
    <mergeCell ref="E41:E42"/>
    <mergeCell ref="A43:A50"/>
    <mergeCell ref="D43:D44"/>
    <mergeCell ref="E43:E44"/>
    <mergeCell ref="E45:E46"/>
    <mergeCell ref="E47:E48"/>
    <mergeCell ref="C45:C46"/>
    <mergeCell ref="D45:D46"/>
    <mergeCell ref="B43:B46"/>
    <mergeCell ref="B47:B50"/>
    <mergeCell ref="C47:C48"/>
    <mergeCell ref="D47:D48"/>
    <mergeCell ref="C43:C44"/>
    <mergeCell ref="C49:C50"/>
    <mergeCell ref="A1:K1"/>
    <mergeCell ref="A2:K2"/>
    <mergeCell ref="A11:K11"/>
    <mergeCell ref="A12:K12"/>
    <mergeCell ref="A16:K16"/>
    <mergeCell ref="A17:H17"/>
    <mergeCell ref="D18:H18"/>
    <mergeCell ref="D19:H21"/>
    <mergeCell ref="A22:H22"/>
    <mergeCell ref="D23:H23"/>
    <mergeCell ref="D24:H26"/>
    <mergeCell ref="A27:H27"/>
    <mergeCell ref="D28:H28"/>
    <mergeCell ref="D29:H33"/>
    <mergeCell ref="F41:F42"/>
    <mergeCell ref="G41:G42"/>
    <mergeCell ref="H41:H42"/>
    <mergeCell ref="I41:I42"/>
    <mergeCell ref="J41:J42"/>
    <mergeCell ref="K41:K42"/>
    <mergeCell ref="A35:K35"/>
    <mergeCell ref="A36:K36"/>
    <mergeCell ref="A37:A38"/>
    <mergeCell ref="B37:B38"/>
    <mergeCell ref="A41:A42"/>
    <mergeCell ref="B41:B42"/>
    <mergeCell ref="C41:C42"/>
  </mergeCells>
  <pageMargins left="0.7" right="0.7" top="0.75" bottom="0.75" header="0" footer="0"/>
  <pageSetup orientation="portrai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00708A"/>
  </sheetPr>
  <dimension ref="A1:Z1000"/>
  <sheetViews>
    <sheetView workbookViewId="0"/>
  </sheetViews>
  <sheetFormatPr defaultColWidth="11.23046875" defaultRowHeight="15" customHeight="1" outlineLevelRow="1" x14ac:dyDescent="0.85"/>
  <cols>
    <col min="1" max="1" width="46.07421875" customWidth="1"/>
    <col min="2" max="9" width="18.3828125" customWidth="1"/>
    <col min="10" max="26" width="9.07421875" customWidth="1"/>
  </cols>
  <sheetData>
    <row r="1" spans="1:26" ht="22.5" customHeight="1" x14ac:dyDescent="0.85">
      <c r="A1" s="786" t="s">
        <v>71</v>
      </c>
      <c r="B1" s="765"/>
      <c r="C1" s="765"/>
      <c r="D1" s="765"/>
      <c r="E1" s="765"/>
      <c r="F1" s="765"/>
      <c r="G1" s="765"/>
      <c r="H1" s="765"/>
      <c r="I1" s="762"/>
      <c r="J1" s="3"/>
      <c r="K1" s="3"/>
      <c r="L1" s="3"/>
      <c r="M1" s="3"/>
      <c r="N1" s="3"/>
      <c r="O1" s="3"/>
      <c r="P1" s="3"/>
      <c r="Q1" s="3"/>
      <c r="R1" s="3"/>
      <c r="S1" s="3"/>
      <c r="T1" s="3"/>
      <c r="U1" s="3"/>
      <c r="V1" s="3"/>
      <c r="W1" s="3"/>
      <c r="X1" s="3"/>
      <c r="Y1" s="3"/>
      <c r="Z1" s="3"/>
    </row>
    <row r="2" spans="1:26" ht="22.5" customHeight="1" x14ac:dyDescent="0.85">
      <c r="A2" s="776" t="s">
        <v>393</v>
      </c>
      <c r="B2" s="765"/>
      <c r="C2" s="765"/>
      <c r="D2" s="765"/>
      <c r="E2" s="765"/>
      <c r="F2" s="765"/>
      <c r="G2" s="765"/>
      <c r="H2" s="765"/>
      <c r="I2" s="762"/>
      <c r="J2" s="3"/>
      <c r="K2" s="3"/>
      <c r="L2" s="3"/>
      <c r="M2" s="3"/>
      <c r="N2" s="3"/>
      <c r="O2" s="3"/>
      <c r="P2" s="3"/>
      <c r="Q2" s="3"/>
      <c r="R2" s="3"/>
      <c r="S2" s="3"/>
      <c r="T2" s="3"/>
      <c r="U2" s="3"/>
      <c r="V2" s="3"/>
      <c r="W2" s="3"/>
      <c r="X2" s="3"/>
      <c r="Y2" s="3"/>
      <c r="Z2" s="3"/>
    </row>
    <row r="3" spans="1:26" ht="22.5" hidden="1" customHeight="1" outlineLevel="1" x14ac:dyDescent="0.85">
      <c r="A3" s="326" t="s">
        <v>582</v>
      </c>
      <c r="B3" s="72" t="s">
        <v>1121</v>
      </c>
      <c r="C3" s="72" t="s">
        <v>1173</v>
      </c>
      <c r="D3" s="72" t="s">
        <v>120</v>
      </c>
      <c r="E3" s="72" t="s">
        <v>121</v>
      </c>
      <c r="F3" s="72" t="s">
        <v>122</v>
      </c>
      <c r="G3" s="469"/>
      <c r="H3" s="15"/>
      <c r="I3" s="15"/>
      <c r="J3" s="3"/>
      <c r="K3" s="3"/>
      <c r="L3" s="3"/>
      <c r="M3" s="3"/>
      <c r="N3" s="3"/>
      <c r="O3" s="3"/>
      <c r="P3" s="3"/>
      <c r="Q3" s="3"/>
      <c r="R3" s="3"/>
      <c r="S3" s="3"/>
      <c r="T3" s="3"/>
      <c r="U3" s="3"/>
      <c r="V3" s="3"/>
      <c r="W3" s="3"/>
      <c r="X3" s="3"/>
      <c r="Y3" s="3"/>
      <c r="Z3" s="3"/>
    </row>
    <row r="4" spans="1:26" ht="22.5" hidden="1" customHeight="1" outlineLevel="1" x14ac:dyDescent="0.85">
      <c r="A4" s="89" t="s">
        <v>105</v>
      </c>
      <c r="B4" s="259">
        <f t="shared" ref="B4:B8" si="0">E36</f>
        <v>79004.937282497689</v>
      </c>
      <c r="C4" s="258" t="s">
        <v>106</v>
      </c>
      <c r="D4" s="259">
        <f t="shared" ref="D4:D8" si="1">E36</f>
        <v>79004.937282497689</v>
      </c>
      <c r="E4" s="268" t="s">
        <v>106</v>
      </c>
      <c r="F4" s="259" t="s">
        <v>106</v>
      </c>
      <c r="G4" s="470"/>
      <c r="H4" s="470"/>
      <c r="I4" s="470"/>
      <c r="J4" s="15"/>
      <c r="K4" s="15"/>
      <c r="L4" s="15"/>
      <c r="M4" s="15"/>
      <c r="N4" s="15"/>
      <c r="O4" s="15"/>
      <c r="P4" s="15"/>
      <c r="Q4" s="15"/>
      <c r="R4" s="15"/>
      <c r="S4" s="15"/>
      <c r="T4" s="15"/>
      <c r="U4" s="15"/>
      <c r="V4" s="15"/>
      <c r="W4" s="15"/>
      <c r="X4" s="15"/>
      <c r="Y4" s="15"/>
      <c r="Z4" s="15"/>
    </row>
    <row r="5" spans="1:26" ht="22.5" hidden="1" customHeight="1" outlineLevel="1" x14ac:dyDescent="0.85">
      <c r="A5" s="89" t="s">
        <v>126</v>
      </c>
      <c r="B5" s="259">
        <f t="shared" si="0"/>
        <v>489904.86153308279</v>
      </c>
      <c r="C5" s="258">
        <f t="shared" ref="C5:C8" si="2">B5/$B$10</f>
        <v>0.77467929882641495</v>
      </c>
      <c r="D5" s="259">
        <f t="shared" si="1"/>
        <v>489904.86153308279</v>
      </c>
      <c r="E5" s="268" t="s">
        <v>106</v>
      </c>
      <c r="F5" s="259" t="s">
        <v>106</v>
      </c>
      <c r="G5" s="470"/>
      <c r="H5" s="15"/>
      <c r="I5" s="15"/>
      <c r="J5" s="15"/>
      <c r="K5" s="15"/>
      <c r="L5" s="15"/>
      <c r="M5" s="15"/>
      <c r="N5" s="15"/>
      <c r="O5" s="15"/>
      <c r="P5" s="15"/>
      <c r="Q5" s="15"/>
      <c r="R5" s="15"/>
      <c r="S5" s="15"/>
      <c r="T5" s="15"/>
      <c r="U5" s="15"/>
      <c r="V5" s="15"/>
      <c r="W5" s="15"/>
      <c r="X5" s="15"/>
      <c r="Y5" s="15"/>
      <c r="Z5" s="15"/>
    </row>
    <row r="6" spans="1:26" ht="22.5" hidden="1" customHeight="1" outlineLevel="1" x14ac:dyDescent="0.85">
      <c r="A6" s="89" t="s">
        <v>127</v>
      </c>
      <c r="B6" s="259">
        <f t="shared" si="0"/>
        <v>106643.84104664477</v>
      </c>
      <c r="C6" s="258">
        <f t="shared" si="2"/>
        <v>0.16863432574977932</v>
      </c>
      <c r="D6" s="259">
        <f t="shared" si="1"/>
        <v>106643.84104664477</v>
      </c>
      <c r="E6" s="268" t="s">
        <v>106</v>
      </c>
      <c r="F6" s="259" t="s">
        <v>106</v>
      </c>
      <c r="G6" s="470"/>
      <c r="H6" s="470"/>
      <c r="I6" s="470"/>
      <c r="J6" s="15"/>
      <c r="K6" s="15"/>
      <c r="L6" s="15"/>
      <c r="M6" s="15"/>
      <c r="N6" s="15"/>
      <c r="O6" s="15"/>
      <c r="P6" s="15"/>
      <c r="Q6" s="15"/>
      <c r="R6" s="15"/>
      <c r="S6" s="15"/>
      <c r="T6" s="15"/>
      <c r="U6" s="15"/>
      <c r="V6" s="15"/>
      <c r="W6" s="15"/>
      <c r="X6" s="15"/>
      <c r="Y6" s="15"/>
      <c r="Z6" s="15"/>
    </row>
    <row r="7" spans="1:26" ht="22.5" hidden="1" customHeight="1" outlineLevel="1" x14ac:dyDescent="0.85">
      <c r="A7" s="89" t="s">
        <v>128</v>
      </c>
      <c r="B7" s="259">
        <f t="shared" si="0"/>
        <v>16681.795604508501</v>
      </c>
      <c r="C7" s="258">
        <f t="shared" si="2"/>
        <v>2.6378676222206739E-2</v>
      </c>
      <c r="D7" s="259">
        <f t="shared" si="1"/>
        <v>16681.795604508501</v>
      </c>
      <c r="E7" s="268" t="s">
        <v>106</v>
      </c>
      <c r="F7" s="259" t="s">
        <v>106</v>
      </c>
      <c r="G7" s="470"/>
      <c r="H7" s="15"/>
      <c r="I7" s="15"/>
      <c r="J7" s="15"/>
      <c r="K7" s="15"/>
      <c r="L7" s="15"/>
      <c r="M7" s="15"/>
      <c r="N7" s="15"/>
      <c r="O7" s="15"/>
      <c r="P7" s="15"/>
      <c r="Q7" s="15"/>
      <c r="R7" s="15"/>
      <c r="S7" s="15"/>
      <c r="T7" s="15"/>
      <c r="U7" s="15"/>
      <c r="V7" s="15"/>
      <c r="W7" s="15"/>
      <c r="X7" s="15"/>
      <c r="Y7" s="15"/>
      <c r="Z7" s="15"/>
    </row>
    <row r="8" spans="1:26" ht="22.5" hidden="1" customHeight="1" outlineLevel="1" x14ac:dyDescent="0.85">
      <c r="A8" s="89" t="s">
        <v>129</v>
      </c>
      <c r="B8" s="259">
        <f t="shared" si="0"/>
        <v>19166.497934357136</v>
      </c>
      <c r="C8" s="258">
        <f t="shared" si="2"/>
        <v>3.0307699201599071E-2</v>
      </c>
      <c r="D8" s="259">
        <f t="shared" si="1"/>
        <v>19166.497934357136</v>
      </c>
      <c r="E8" s="268" t="s">
        <v>106</v>
      </c>
      <c r="F8" s="259" t="s">
        <v>106</v>
      </c>
      <c r="G8" s="470"/>
      <c r="H8" s="470"/>
      <c r="I8" s="470"/>
      <c r="J8" s="470"/>
      <c r="K8" s="15"/>
      <c r="L8" s="15"/>
      <c r="M8" s="15"/>
      <c r="N8" s="15"/>
      <c r="O8" s="15"/>
      <c r="P8" s="15"/>
      <c r="Q8" s="15"/>
      <c r="R8" s="15"/>
      <c r="S8" s="15"/>
      <c r="T8" s="15"/>
      <c r="U8" s="15"/>
      <c r="V8" s="15"/>
      <c r="W8" s="15"/>
      <c r="X8" s="15"/>
      <c r="Y8" s="15"/>
      <c r="Z8" s="15"/>
    </row>
    <row r="9" spans="1:26" ht="22.5" hidden="1" customHeight="1" outlineLevel="1" x14ac:dyDescent="0.85">
      <c r="A9" s="488" t="s">
        <v>590</v>
      </c>
      <c r="B9" s="261">
        <f>B4</f>
        <v>79004.937282497689</v>
      </c>
      <c r="C9" s="262" t="s">
        <v>106</v>
      </c>
      <c r="D9" s="261">
        <f>D4</f>
        <v>79004.937282497689</v>
      </c>
      <c r="E9" s="261" t="s">
        <v>106</v>
      </c>
      <c r="F9" s="261" t="s">
        <v>106</v>
      </c>
      <c r="G9" s="470"/>
      <c r="H9" s="15"/>
      <c r="I9" s="15"/>
      <c r="J9" s="470"/>
      <c r="K9" s="15"/>
      <c r="L9" s="15"/>
      <c r="M9" s="15"/>
      <c r="N9" s="15"/>
      <c r="O9" s="15"/>
      <c r="P9" s="15"/>
      <c r="Q9" s="15"/>
      <c r="R9" s="15"/>
      <c r="S9" s="15"/>
      <c r="T9" s="15"/>
      <c r="U9" s="15"/>
      <c r="V9" s="15"/>
      <c r="W9" s="15"/>
      <c r="X9" s="15"/>
      <c r="Y9" s="15"/>
      <c r="Z9" s="15"/>
    </row>
    <row r="10" spans="1:26" ht="22.5" hidden="1" customHeight="1" outlineLevel="1" x14ac:dyDescent="0.85">
      <c r="A10" s="488" t="s">
        <v>111</v>
      </c>
      <c r="B10" s="261">
        <f t="shared" ref="B10:D10" si="3">SUM(B5:B8)</f>
        <v>632396.99611859315</v>
      </c>
      <c r="C10" s="262">
        <f t="shared" si="3"/>
        <v>1</v>
      </c>
      <c r="D10" s="261">
        <f t="shared" si="3"/>
        <v>632396.99611859315</v>
      </c>
      <c r="E10" s="261" t="s">
        <v>106</v>
      </c>
      <c r="F10" s="261" t="s">
        <v>106</v>
      </c>
      <c r="G10" s="472"/>
      <c r="H10" s="470"/>
      <c r="I10" s="470"/>
      <c r="J10" s="470"/>
      <c r="K10" s="15"/>
      <c r="L10" s="15"/>
      <c r="M10" s="15"/>
      <c r="N10" s="15"/>
      <c r="O10" s="15"/>
      <c r="P10" s="15"/>
      <c r="Q10" s="15"/>
      <c r="R10" s="15"/>
      <c r="S10" s="15"/>
      <c r="T10" s="15"/>
      <c r="U10" s="15"/>
      <c r="V10" s="15"/>
      <c r="W10" s="15"/>
      <c r="X10" s="15"/>
      <c r="Y10" s="15"/>
      <c r="Z10" s="15"/>
    </row>
    <row r="11" spans="1:26" ht="22.5" hidden="1" customHeight="1" outlineLevel="1" x14ac:dyDescent="0.85">
      <c r="A11" s="89" t="s">
        <v>1174</v>
      </c>
      <c r="B11" s="259">
        <f t="shared" ref="B11:B12" si="4">H47+H49</f>
        <v>706.17498143800003</v>
      </c>
      <c r="C11" s="470"/>
      <c r="D11" s="470"/>
      <c r="E11" s="470"/>
      <c r="F11" s="470"/>
      <c r="G11" s="472"/>
      <c r="H11" s="470"/>
      <c r="I11" s="470"/>
      <c r="J11" s="470"/>
      <c r="K11" s="15"/>
      <c r="L11" s="15"/>
      <c r="M11" s="15"/>
      <c r="N11" s="15"/>
      <c r="O11" s="15"/>
      <c r="P11" s="15"/>
      <c r="Q11" s="15"/>
      <c r="R11" s="15"/>
      <c r="S11" s="15"/>
      <c r="T11" s="15"/>
      <c r="U11" s="15"/>
      <c r="V11" s="15"/>
      <c r="W11" s="15"/>
      <c r="X11" s="15"/>
      <c r="Y11" s="15"/>
      <c r="Z11" s="15"/>
    </row>
    <row r="12" spans="1:26" ht="22.5" hidden="1" customHeight="1" outlineLevel="1" x14ac:dyDescent="0.85">
      <c r="A12" s="89" t="s">
        <v>1175</v>
      </c>
      <c r="B12" s="259">
        <f t="shared" si="4"/>
        <v>706.17498143800003</v>
      </c>
      <c r="C12" s="470"/>
      <c r="D12" s="470"/>
      <c r="E12" s="470"/>
      <c r="F12" s="470"/>
      <c r="G12" s="489"/>
      <c r="H12" s="489"/>
      <c r="I12" s="470"/>
      <c r="J12" s="15"/>
      <c r="K12" s="15"/>
      <c r="L12" s="15"/>
      <c r="M12" s="15"/>
      <c r="N12" s="15"/>
      <c r="O12" s="15"/>
      <c r="P12" s="15"/>
      <c r="Q12" s="15"/>
      <c r="R12" s="15"/>
      <c r="S12" s="15"/>
      <c r="T12" s="15"/>
      <c r="U12" s="15"/>
      <c r="V12" s="15"/>
      <c r="W12" s="15"/>
      <c r="X12" s="15"/>
      <c r="Y12" s="15"/>
      <c r="Z12" s="15"/>
    </row>
    <row r="13" spans="1:26" ht="22.5" hidden="1" customHeight="1" outlineLevel="1" x14ac:dyDescent="0.85">
      <c r="A13" s="398"/>
      <c r="B13" s="490"/>
      <c r="C13" s="417"/>
      <c r="D13" s="490"/>
      <c r="E13" s="143"/>
      <c r="F13" s="490"/>
      <c r="G13" s="489"/>
      <c r="H13" s="489"/>
      <c r="I13" s="398"/>
      <c r="J13" s="15"/>
      <c r="K13" s="15"/>
      <c r="L13" s="15"/>
      <c r="M13" s="15"/>
      <c r="N13" s="15"/>
      <c r="O13" s="15"/>
      <c r="P13" s="15"/>
      <c r="Q13" s="15"/>
      <c r="R13" s="15"/>
      <c r="S13" s="15"/>
      <c r="T13" s="15"/>
      <c r="U13" s="15"/>
      <c r="V13" s="15"/>
      <c r="W13" s="15"/>
      <c r="X13" s="15"/>
      <c r="Y13" s="15"/>
      <c r="Z13" s="15"/>
    </row>
    <row r="14" spans="1:26" ht="22.5" customHeight="1" collapsed="1" x14ac:dyDescent="0.85">
      <c r="A14" s="491" t="s">
        <v>1176</v>
      </c>
      <c r="B14" s="492"/>
      <c r="C14" s="492"/>
      <c r="D14" s="492"/>
      <c r="E14" s="492"/>
      <c r="F14" s="492"/>
      <c r="G14" s="492"/>
      <c r="H14" s="492"/>
      <c r="I14" s="493"/>
      <c r="J14" s="3"/>
      <c r="K14" s="3"/>
      <c r="L14" s="3"/>
      <c r="M14" s="3"/>
      <c r="N14" s="3"/>
      <c r="O14" s="3"/>
      <c r="P14" s="3"/>
      <c r="Q14" s="3"/>
      <c r="R14" s="3"/>
      <c r="S14" s="3"/>
      <c r="T14" s="3"/>
      <c r="U14" s="3"/>
      <c r="V14" s="3"/>
      <c r="W14" s="3"/>
      <c r="X14" s="3"/>
      <c r="Y14" s="3"/>
      <c r="Z14" s="3"/>
    </row>
    <row r="15" spans="1:26" ht="38.25" hidden="1" customHeight="1" outlineLevel="1" x14ac:dyDescent="0.85">
      <c r="A15" s="840" t="s">
        <v>1177</v>
      </c>
      <c r="B15" s="790"/>
      <c r="C15" s="790"/>
      <c r="D15" s="790"/>
      <c r="E15" s="790"/>
      <c r="F15" s="790"/>
      <c r="G15" s="790"/>
      <c r="H15" s="791"/>
      <c r="I15" s="3"/>
      <c r="J15" s="3"/>
      <c r="K15" s="3"/>
      <c r="L15" s="3"/>
      <c r="M15" s="3"/>
      <c r="N15" s="3"/>
      <c r="O15" s="3"/>
      <c r="P15" s="3"/>
      <c r="Q15" s="3"/>
      <c r="R15" s="3"/>
      <c r="S15" s="3"/>
      <c r="T15" s="3"/>
      <c r="U15" s="3"/>
      <c r="V15" s="3"/>
      <c r="W15" s="3"/>
      <c r="X15" s="3"/>
      <c r="Y15" s="3"/>
      <c r="Z15" s="3"/>
    </row>
    <row r="16" spans="1:26" ht="38.25" hidden="1" customHeight="1" outlineLevel="1" x14ac:dyDescent="0.85">
      <c r="A16" s="840" t="s">
        <v>1178</v>
      </c>
      <c r="B16" s="790"/>
      <c r="C16" s="790"/>
      <c r="D16" s="790"/>
      <c r="E16" s="790"/>
      <c r="F16" s="790"/>
      <c r="G16" s="790"/>
      <c r="H16" s="791"/>
      <c r="I16" s="3"/>
      <c r="J16" s="3"/>
      <c r="K16" s="3"/>
      <c r="L16" s="3"/>
      <c r="M16" s="3"/>
      <c r="N16" s="3"/>
      <c r="O16" s="3"/>
      <c r="P16" s="3"/>
      <c r="Q16" s="3"/>
      <c r="R16" s="3"/>
      <c r="S16" s="3"/>
      <c r="T16" s="3"/>
      <c r="U16" s="3"/>
      <c r="V16" s="3"/>
      <c r="W16" s="3"/>
      <c r="X16" s="3"/>
      <c r="Y16" s="3"/>
      <c r="Z16" s="3"/>
    </row>
    <row r="17" spans="1:26" ht="22.5" hidden="1" customHeight="1" outlineLevel="1" x14ac:dyDescent="0.85">
      <c r="A17" s="265" t="s">
        <v>1179</v>
      </c>
      <c r="B17" s="494"/>
      <c r="C17" s="494"/>
      <c r="D17" s="494"/>
      <c r="E17" s="494"/>
      <c r="F17" s="494"/>
      <c r="G17" s="494"/>
      <c r="H17" s="494"/>
      <c r="I17" s="3"/>
      <c r="J17" s="3"/>
      <c r="K17" s="3"/>
      <c r="L17" s="3"/>
      <c r="M17" s="3"/>
      <c r="N17" s="3"/>
      <c r="O17" s="3"/>
      <c r="P17" s="3"/>
      <c r="Q17" s="3"/>
      <c r="R17" s="3"/>
      <c r="S17" s="3"/>
      <c r="T17" s="3"/>
      <c r="U17" s="3"/>
      <c r="V17" s="3"/>
      <c r="W17" s="3"/>
      <c r="X17" s="3"/>
      <c r="Y17" s="3"/>
      <c r="Z17" s="3"/>
    </row>
    <row r="18" spans="1:26" ht="22.5" customHeight="1" collapsed="1" x14ac:dyDescent="0.85">
      <c r="A18" s="495" t="s">
        <v>183</v>
      </c>
      <c r="B18" s="496"/>
      <c r="C18" s="496"/>
      <c r="D18" s="496"/>
      <c r="E18" s="496"/>
      <c r="F18" s="496"/>
      <c r="G18" s="496"/>
      <c r="H18" s="496"/>
      <c r="I18" s="497"/>
      <c r="J18" s="3"/>
      <c r="K18" s="3"/>
      <c r="L18" s="3"/>
      <c r="M18" s="3"/>
      <c r="N18" s="3"/>
      <c r="O18" s="3"/>
      <c r="P18" s="3"/>
      <c r="Q18" s="3"/>
      <c r="R18" s="3"/>
      <c r="S18" s="3"/>
      <c r="T18" s="3"/>
      <c r="U18" s="3"/>
      <c r="V18" s="3"/>
      <c r="W18" s="3"/>
      <c r="X18" s="3"/>
      <c r="Y18" s="3"/>
      <c r="Z18" s="3"/>
    </row>
    <row r="19" spans="1:26" ht="22.5" hidden="1" customHeight="1" outlineLevel="1" x14ac:dyDescent="0.85">
      <c r="A19" s="804" t="s">
        <v>862</v>
      </c>
      <c r="B19" s="765"/>
      <c r="C19" s="765"/>
      <c r="D19" s="765"/>
      <c r="E19" s="765"/>
      <c r="F19" s="765"/>
      <c r="G19" s="765"/>
      <c r="H19" s="765"/>
      <c r="I19" s="762"/>
      <c r="J19" s="3"/>
      <c r="K19" s="3"/>
      <c r="L19" s="3"/>
      <c r="M19" s="3"/>
      <c r="N19" s="3"/>
      <c r="O19" s="3"/>
      <c r="P19" s="3"/>
      <c r="Q19" s="3"/>
      <c r="R19" s="3"/>
      <c r="S19" s="3"/>
      <c r="T19" s="3"/>
      <c r="U19" s="3"/>
      <c r="V19" s="3"/>
      <c r="W19" s="3"/>
      <c r="X19" s="3"/>
      <c r="Y19" s="3"/>
      <c r="Z19" s="3"/>
    </row>
    <row r="20" spans="1:26" ht="22.5" hidden="1" customHeight="1" outlineLevel="1" x14ac:dyDescent="0.85">
      <c r="A20" s="498" t="s">
        <v>606</v>
      </c>
      <c r="B20" s="498" t="s">
        <v>212</v>
      </c>
      <c r="C20" s="498" t="s">
        <v>251</v>
      </c>
      <c r="D20" s="498" t="s">
        <v>608</v>
      </c>
      <c r="E20" s="885" t="s">
        <v>138</v>
      </c>
      <c r="F20" s="813"/>
      <c r="G20" s="814"/>
      <c r="H20" s="3"/>
      <c r="I20" s="3"/>
      <c r="J20" s="3"/>
      <c r="K20" s="3"/>
      <c r="L20" s="3"/>
      <c r="M20" s="3"/>
      <c r="N20" s="3"/>
      <c r="O20" s="3"/>
      <c r="P20" s="3"/>
      <c r="Q20" s="3"/>
      <c r="R20" s="3"/>
      <c r="S20" s="3"/>
      <c r="T20" s="3"/>
      <c r="U20" s="3"/>
      <c r="V20" s="3"/>
      <c r="W20" s="3"/>
      <c r="X20" s="3"/>
      <c r="Y20" s="3"/>
      <c r="Z20" s="3"/>
    </row>
    <row r="21" spans="1:26" ht="24" hidden="1" customHeight="1" outlineLevel="1" x14ac:dyDescent="0.85">
      <c r="A21" s="499" t="s">
        <v>1180</v>
      </c>
      <c r="B21" s="500" t="s">
        <v>619</v>
      </c>
      <c r="C21" s="501">
        <f>8.78/'Conversion Factors and GWP'!$A$7</f>
        <v>8.7799999999999996E-3</v>
      </c>
      <c r="D21" s="502" t="s">
        <v>1181</v>
      </c>
      <c r="E21" s="861" t="s">
        <v>907</v>
      </c>
      <c r="F21" s="828"/>
      <c r="G21" s="825"/>
      <c r="H21" s="15"/>
      <c r="I21" s="15"/>
      <c r="J21" s="15"/>
      <c r="K21" s="15"/>
      <c r="L21" s="15"/>
      <c r="M21" s="15"/>
      <c r="N21" s="15"/>
      <c r="O21" s="15"/>
      <c r="P21" s="15"/>
      <c r="Q21" s="15"/>
      <c r="R21" s="15"/>
      <c r="S21" s="15"/>
      <c r="T21" s="15"/>
      <c r="U21" s="15"/>
      <c r="V21" s="15"/>
      <c r="W21" s="15"/>
      <c r="X21" s="15"/>
      <c r="Y21" s="15"/>
      <c r="Z21" s="15"/>
    </row>
    <row r="22" spans="1:26" ht="22.5" hidden="1" customHeight="1" outlineLevel="1" x14ac:dyDescent="0.85">
      <c r="A22" s="499" t="s">
        <v>1182</v>
      </c>
      <c r="B22" s="500" t="s">
        <v>1183</v>
      </c>
      <c r="C22" s="503">
        <v>1.02</v>
      </c>
      <c r="D22" s="502" t="s">
        <v>1184</v>
      </c>
      <c r="E22" s="809"/>
      <c r="F22" s="785"/>
      <c r="G22" s="826"/>
      <c r="H22" s="15"/>
      <c r="I22" s="15"/>
      <c r="J22" s="15"/>
      <c r="K22" s="15"/>
      <c r="L22" s="15"/>
      <c r="M22" s="15"/>
      <c r="N22" s="15"/>
      <c r="O22" s="15"/>
      <c r="P22" s="15"/>
      <c r="Q22" s="15"/>
      <c r="R22" s="15"/>
      <c r="S22" s="15"/>
      <c r="T22" s="15"/>
      <c r="U22" s="15"/>
      <c r="V22" s="15"/>
      <c r="W22" s="15"/>
      <c r="X22" s="15"/>
      <c r="Y22" s="15"/>
      <c r="Z22" s="15"/>
    </row>
    <row r="23" spans="1:26" ht="22.5" hidden="1" customHeight="1" outlineLevel="1" x14ac:dyDescent="0.85">
      <c r="A23" s="504" t="s">
        <v>1185</v>
      </c>
      <c r="B23" s="505" t="s">
        <v>1183</v>
      </c>
      <c r="C23" s="506">
        <v>1.07</v>
      </c>
      <c r="D23" s="507" t="s">
        <v>1186</v>
      </c>
      <c r="E23" s="821"/>
      <c r="F23" s="822"/>
      <c r="G23" s="886"/>
      <c r="H23" s="15"/>
      <c r="I23" s="15"/>
      <c r="J23" s="15"/>
      <c r="K23" s="15"/>
      <c r="L23" s="15"/>
      <c r="M23" s="15"/>
      <c r="N23" s="15"/>
      <c r="O23" s="15"/>
      <c r="P23" s="15"/>
      <c r="Q23" s="15"/>
      <c r="R23" s="15"/>
      <c r="S23" s="15"/>
      <c r="T23" s="15"/>
      <c r="U23" s="15"/>
      <c r="V23" s="15"/>
      <c r="W23" s="15"/>
      <c r="X23" s="15"/>
      <c r="Y23" s="15"/>
      <c r="Z23" s="15"/>
    </row>
    <row r="24" spans="1:26" ht="22.5" hidden="1" customHeight="1" outlineLevel="1" x14ac:dyDescent="0.85">
      <c r="A24" s="804" t="s">
        <v>1187</v>
      </c>
      <c r="B24" s="765"/>
      <c r="C24" s="765"/>
      <c r="D24" s="765"/>
      <c r="E24" s="765"/>
      <c r="F24" s="765"/>
      <c r="G24" s="765"/>
      <c r="H24" s="765"/>
      <c r="I24" s="762"/>
      <c r="J24" s="3"/>
      <c r="K24" s="3"/>
      <c r="L24" s="3"/>
      <c r="M24" s="3"/>
      <c r="N24" s="3"/>
      <c r="O24" s="3"/>
      <c r="P24" s="3"/>
      <c r="Q24" s="3"/>
      <c r="R24" s="3"/>
      <c r="S24" s="3"/>
      <c r="T24" s="3"/>
      <c r="U24" s="3"/>
      <c r="V24" s="3"/>
      <c r="W24" s="3"/>
      <c r="X24" s="3"/>
      <c r="Y24" s="3"/>
      <c r="Z24" s="3"/>
    </row>
    <row r="25" spans="1:26" ht="22.5" hidden="1" customHeight="1" outlineLevel="1" x14ac:dyDescent="0.85">
      <c r="A25" s="498" t="s">
        <v>606</v>
      </c>
      <c r="B25" s="498" t="s">
        <v>212</v>
      </c>
      <c r="C25" s="498" t="s">
        <v>251</v>
      </c>
      <c r="D25" s="498" t="s">
        <v>608</v>
      </c>
      <c r="E25" s="885" t="s">
        <v>138</v>
      </c>
      <c r="F25" s="813"/>
      <c r="G25" s="814"/>
      <c r="H25" s="3"/>
      <c r="I25" s="3"/>
      <c r="J25" s="3"/>
      <c r="K25" s="3"/>
      <c r="L25" s="3"/>
      <c r="M25" s="3"/>
      <c r="N25" s="3"/>
      <c r="O25" s="3"/>
      <c r="P25" s="3"/>
      <c r="Q25" s="3"/>
      <c r="R25" s="3"/>
      <c r="S25" s="3"/>
      <c r="T25" s="3"/>
      <c r="U25" s="3"/>
      <c r="V25" s="3"/>
      <c r="W25" s="3"/>
      <c r="X25" s="3"/>
      <c r="Y25" s="3"/>
      <c r="Z25" s="3"/>
    </row>
    <row r="26" spans="1:26" ht="20.25" hidden="1" customHeight="1" outlineLevel="1" x14ac:dyDescent="0.85">
      <c r="A26" s="499" t="s">
        <v>1188</v>
      </c>
      <c r="B26" s="500" t="s">
        <v>619</v>
      </c>
      <c r="C26" s="508">
        <f>9.45/'Conversion Factors and GWP'!$A$7</f>
        <v>9.4500000000000001E-3</v>
      </c>
      <c r="D26" s="502" t="s">
        <v>1189</v>
      </c>
      <c r="E26" s="887" t="s">
        <v>907</v>
      </c>
      <c r="F26" s="769"/>
      <c r="G26" s="770"/>
      <c r="H26" s="15"/>
      <c r="I26" s="15"/>
      <c r="J26" s="15"/>
      <c r="K26" s="15"/>
      <c r="L26" s="15"/>
      <c r="M26" s="15"/>
      <c r="N26" s="15"/>
      <c r="O26" s="15"/>
      <c r="P26" s="15"/>
      <c r="Q26" s="15"/>
      <c r="R26" s="15"/>
      <c r="S26" s="15"/>
      <c r="T26" s="15"/>
      <c r="U26" s="15"/>
      <c r="V26" s="15"/>
      <c r="W26" s="15"/>
      <c r="X26" s="15"/>
      <c r="Y26" s="15"/>
      <c r="Z26" s="15"/>
    </row>
    <row r="27" spans="1:26" ht="22.5" hidden="1" customHeight="1" outlineLevel="1" x14ac:dyDescent="0.85">
      <c r="A27" s="804" t="s">
        <v>1190</v>
      </c>
      <c r="B27" s="765"/>
      <c r="C27" s="765"/>
      <c r="D27" s="765"/>
      <c r="E27" s="765"/>
      <c r="F27" s="765"/>
      <c r="G27" s="765"/>
      <c r="H27" s="765"/>
      <c r="I27" s="762"/>
      <c r="J27" s="15"/>
      <c r="K27" s="15"/>
      <c r="L27" s="15"/>
      <c r="M27" s="15"/>
      <c r="N27" s="15"/>
      <c r="O27" s="15"/>
      <c r="P27" s="15"/>
      <c r="Q27" s="15"/>
      <c r="R27" s="15"/>
      <c r="S27" s="15"/>
      <c r="T27" s="15"/>
      <c r="U27" s="15"/>
      <c r="V27" s="15"/>
      <c r="W27" s="15"/>
      <c r="X27" s="15"/>
      <c r="Y27" s="15"/>
      <c r="Z27" s="15"/>
    </row>
    <row r="28" spans="1:26" ht="22.5" hidden="1" customHeight="1" outlineLevel="1" x14ac:dyDescent="0.85">
      <c r="A28" s="509" t="s">
        <v>606</v>
      </c>
      <c r="B28" s="509" t="s">
        <v>212</v>
      </c>
      <c r="C28" s="509" t="s">
        <v>251</v>
      </c>
      <c r="D28" s="509" t="s">
        <v>608</v>
      </c>
      <c r="E28" s="888" t="s">
        <v>138</v>
      </c>
      <c r="F28" s="790"/>
      <c r="G28" s="778"/>
      <c r="H28" s="3"/>
      <c r="I28" s="3"/>
      <c r="J28" s="15"/>
      <c r="K28" s="15"/>
      <c r="L28" s="15"/>
      <c r="M28" s="15"/>
      <c r="N28" s="15"/>
      <c r="O28" s="15"/>
      <c r="P28" s="15"/>
      <c r="Q28" s="15"/>
      <c r="R28" s="15"/>
      <c r="S28" s="15"/>
      <c r="T28" s="15"/>
      <c r="U28" s="15"/>
      <c r="V28" s="15"/>
      <c r="W28" s="15"/>
      <c r="X28" s="15"/>
      <c r="Y28" s="15"/>
      <c r="Z28" s="15"/>
    </row>
    <row r="29" spans="1:26" ht="22.5" hidden="1" customHeight="1" outlineLevel="1" x14ac:dyDescent="0.85">
      <c r="A29" s="268" t="s">
        <v>1191</v>
      </c>
      <c r="B29" s="280" t="s">
        <v>619</v>
      </c>
      <c r="C29" s="379">
        <v>1.021E-2</v>
      </c>
      <c r="D29" s="176" t="s">
        <v>1192</v>
      </c>
      <c r="E29" s="861" t="s">
        <v>907</v>
      </c>
      <c r="F29" s="828"/>
      <c r="G29" s="825"/>
      <c r="H29" s="15"/>
      <c r="I29" s="15"/>
      <c r="J29" s="15"/>
      <c r="K29" s="15"/>
      <c r="L29" s="15"/>
      <c r="M29" s="15"/>
      <c r="N29" s="15"/>
      <c r="O29" s="15"/>
      <c r="P29" s="15"/>
      <c r="Q29" s="15"/>
      <c r="R29" s="15"/>
      <c r="S29" s="15"/>
      <c r="T29" s="15"/>
      <c r="U29" s="15"/>
      <c r="V29" s="15"/>
      <c r="W29" s="15"/>
      <c r="X29" s="15"/>
      <c r="Y29" s="15"/>
      <c r="Z29" s="15"/>
    </row>
    <row r="30" spans="1:26" ht="22.5" hidden="1" customHeight="1" outlineLevel="1" x14ac:dyDescent="0.85">
      <c r="A30" s="268" t="s">
        <v>1193</v>
      </c>
      <c r="B30" s="280" t="s">
        <v>1183</v>
      </c>
      <c r="C30" s="510">
        <v>1.89</v>
      </c>
      <c r="D30" s="176" t="s">
        <v>1194</v>
      </c>
      <c r="E30" s="809"/>
      <c r="F30" s="785"/>
      <c r="G30" s="826"/>
      <c r="H30" s="15"/>
      <c r="I30" s="15"/>
      <c r="J30" s="15"/>
      <c r="K30" s="15"/>
      <c r="L30" s="15"/>
      <c r="M30" s="15"/>
      <c r="N30" s="15"/>
      <c r="O30" s="15"/>
      <c r="P30" s="15"/>
      <c r="Q30" s="15"/>
      <c r="R30" s="15"/>
      <c r="S30" s="15"/>
      <c r="T30" s="15"/>
      <c r="U30" s="15"/>
      <c r="V30" s="15"/>
      <c r="W30" s="15"/>
      <c r="X30" s="15"/>
      <c r="Y30" s="15"/>
      <c r="Z30" s="15"/>
    </row>
    <row r="31" spans="1:26" ht="22.5" hidden="1" customHeight="1" outlineLevel="1" x14ac:dyDescent="0.85">
      <c r="A31" s="268" t="s">
        <v>1195</v>
      </c>
      <c r="B31" s="280" t="s">
        <v>1183</v>
      </c>
      <c r="C31" s="510">
        <v>1.06</v>
      </c>
      <c r="D31" s="176" t="s">
        <v>1196</v>
      </c>
      <c r="E31" s="810"/>
      <c r="F31" s="830"/>
      <c r="G31" s="767"/>
      <c r="H31" s="15"/>
      <c r="I31" s="15"/>
      <c r="J31" s="15"/>
      <c r="K31" s="15"/>
      <c r="L31" s="15"/>
      <c r="M31" s="15"/>
      <c r="N31" s="15"/>
      <c r="O31" s="15"/>
      <c r="P31" s="15"/>
      <c r="Q31" s="15"/>
      <c r="R31" s="15"/>
      <c r="S31" s="15"/>
      <c r="T31" s="15"/>
      <c r="U31" s="15"/>
      <c r="V31" s="15"/>
      <c r="W31" s="15"/>
      <c r="X31" s="15"/>
      <c r="Y31" s="15"/>
      <c r="Z31" s="15"/>
    </row>
    <row r="32" spans="1:26" ht="22.5" hidden="1" customHeight="1" outlineLevel="1" x14ac:dyDescent="0.85">
      <c r="A32" s="511"/>
      <c r="B32" s="512"/>
      <c r="C32" s="512"/>
      <c r="D32" s="512"/>
      <c r="E32" s="512"/>
      <c r="F32" s="512"/>
      <c r="G32" s="512"/>
      <c r="H32" s="512"/>
      <c r="I32" s="15"/>
      <c r="J32" s="15"/>
      <c r="K32" s="15"/>
      <c r="L32" s="15"/>
      <c r="M32" s="15"/>
      <c r="N32" s="15"/>
      <c r="O32" s="15"/>
      <c r="P32" s="15"/>
      <c r="Q32" s="15"/>
      <c r="R32" s="15"/>
      <c r="S32" s="15"/>
      <c r="T32" s="15"/>
      <c r="U32" s="15"/>
      <c r="V32" s="15"/>
      <c r="W32" s="15"/>
      <c r="X32" s="15"/>
      <c r="Y32" s="15"/>
      <c r="Z32" s="15"/>
    </row>
    <row r="33" spans="1:26" ht="22.5" customHeight="1" collapsed="1" x14ac:dyDescent="0.85">
      <c r="A33" s="491" t="s">
        <v>254</v>
      </c>
      <c r="B33" s="492"/>
      <c r="C33" s="492"/>
      <c r="D33" s="492"/>
      <c r="E33" s="492"/>
      <c r="F33" s="492"/>
      <c r="G33" s="492"/>
      <c r="H33" s="492"/>
      <c r="I33" s="493"/>
      <c r="J33" s="3"/>
      <c r="K33" s="3"/>
      <c r="L33" s="3"/>
      <c r="M33" s="3"/>
      <c r="N33" s="3"/>
      <c r="O33" s="3"/>
      <c r="P33" s="3"/>
      <c r="Q33" s="3"/>
      <c r="R33" s="3"/>
      <c r="S33" s="3"/>
      <c r="T33" s="3"/>
      <c r="U33" s="3"/>
      <c r="V33" s="3"/>
      <c r="W33" s="3"/>
      <c r="X33" s="3"/>
      <c r="Y33" s="3"/>
      <c r="Z33" s="3"/>
    </row>
    <row r="34" spans="1:26" ht="22.5" hidden="1" customHeight="1" outlineLevel="1" x14ac:dyDescent="0.85">
      <c r="A34" s="513" t="s">
        <v>1197</v>
      </c>
      <c r="B34" s="514"/>
      <c r="C34" s="514"/>
      <c r="D34" s="514"/>
      <c r="E34" s="515"/>
      <c r="F34" s="3"/>
      <c r="G34" s="3"/>
      <c r="H34" s="3"/>
      <c r="I34" s="3"/>
      <c r="J34" s="3"/>
      <c r="K34" s="3"/>
      <c r="L34" s="3"/>
      <c r="M34" s="3"/>
      <c r="N34" s="3"/>
      <c r="O34" s="3"/>
      <c r="P34" s="3"/>
      <c r="Q34" s="3"/>
      <c r="R34" s="3"/>
      <c r="S34" s="3"/>
      <c r="T34" s="3"/>
      <c r="U34" s="3"/>
      <c r="V34" s="3"/>
      <c r="W34" s="3"/>
      <c r="X34" s="3"/>
      <c r="Y34" s="3"/>
      <c r="Z34" s="3"/>
    </row>
    <row r="35" spans="1:26" ht="22.5" hidden="1" customHeight="1" outlineLevel="1" x14ac:dyDescent="0.85">
      <c r="A35" s="516"/>
      <c r="B35" s="516" t="s">
        <v>1198</v>
      </c>
      <c r="C35" s="516" t="s">
        <v>1199</v>
      </c>
      <c r="D35" s="516" t="s">
        <v>1200</v>
      </c>
      <c r="E35" s="516" t="s">
        <v>118</v>
      </c>
      <c r="F35" s="3"/>
      <c r="G35" s="3"/>
      <c r="H35" s="3"/>
      <c r="I35" s="3"/>
      <c r="J35" s="3"/>
      <c r="K35" s="3"/>
      <c r="L35" s="3"/>
      <c r="M35" s="3"/>
      <c r="N35" s="3"/>
      <c r="O35" s="3"/>
      <c r="P35" s="3"/>
      <c r="Q35" s="3"/>
      <c r="R35" s="3"/>
      <c r="S35" s="3"/>
      <c r="T35" s="3"/>
      <c r="U35" s="3"/>
      <c r="V35" s="3"/>
      <c r="W35" s="3"/>
      <c r="X35" s="3"/>
      <c r="Y35" s="3"/>
      <c r="Z35" s="3"/>
    </row>
    <row r="36" spans="1:26" ht="22.5" hidden="1" customHeight="1" outlineLevel="1" x14ac:dyDescent="0.85">
      <c r="A36" s="86" t="s">
        <v>105</v>
      </c>
      <c r="B36" s="480">
        <v>86552.316884704633</v>
      </c>
      <c r="C36" s="480">
        <v>19.131933612804787</v>
      </c>
      <c r="D36" s="480">
        <v>0</v>
      </c>
      <c r="E36" s="517">
        <f>(B36*'Conversion Factors and GWP'!$A$26)+(C36*'Conversion Factors and GWP'!$C$31*'Conversion Factors and GWP'!$A$26)+(D36*'Conversion Factors and GWP'!$C$32*'Conversion Factors and GWP'!$A$26)</f>
        <v>79004.937282497689</v>
      </c>
      <c r="F36" s="3"/>
      <c r="G36" s="3"/>
      <c r="H36" s="3"/>
      <c r="I36" s="3"/>
      <c r="J36" s="3"/>
      <c r="K36" s="3"/>
      <c r="L36" s="3"/>
      <c r="M36" s="3"/>
      <c r="N36" s="3"/>
      <c r="O36" s="3"/>
      <c r="P36" s="3"/>
      <c r="Q36" s="3"/>
      <c r="R36" s="3"/>
      <c r="S36" s="3"/>
      <c r="T36" s="3"/>
      <c r="U36" s="3"/>
      <c r="V36" s="3"/>
      <c r="W36" s="3"/>
      <c r="X36" s="3"/>
      <c r="Y36" s="3"/>
      <c r="Z36" s="3"/>
    </row>
    <row r="37" spans="1:26" ht="22.5" hidden="1" customHeight="1" outlineLevel="1" x14ac:dyDescent="0.85">
      <c r="A37" s="86" t="s">
        <v>107</v>
      </c>
      <c r="B37" s="480">
        <v>536705.70824138005</v>
      </c>
      <c r="C37" s="480">
        <v>118.63596896390001</v>
      </c>
      <c r="D37" s="480">
        <v>0</v>
      </c>
      <c r="E37" s="517">
        <f>(B37*'Conversion Factors and GWP'!$A$26)+(C37*'Conversion Factors and GWP'!$C$31*'Conversion Factors and GWP'!$A$26)+(D37*'Conversion Factors and GWP'!$C$32*'Conversion Factors and GWP'!$A$26)</f>
        <v>489904.86153308279</v>
      </c>
      <c r="F37" s="3"/>
      <c r="G37" s="3"/>
      <c r="H37" s="3"/>
      <c r="I37" s="3"/>
      <c r="J37" s="3"/>
      <c r="K37" s="3"/>
      <c r="L37" s="3"/>
      <c r="M37" s="3"/>
      <c r="N37" s="3"/>
      <c r="O37" s="3"/>
      <c r="P37" s="3"/>
      <c r="Q37" s="3"/>
      <c r="R37" s="3"/>
      <c r="S37" s="3"/>
      <c r="T37" s="3"/>
      <c r="U37" s="3"/>
      <c r="V37" s="3"/>
      <c r="W37" s="3"/>
      <c r="X37" s="3"/>
      <c r="Y37" s="3"/>
      <c r="Z37" s="3"/>
    </row>
    <row r="38" spans="1:26" ht="22.5" hidden="1" customHeight="1" outlineLevel="1" x14ac:dyDescent="0.85">
      <c r="A38" s="518" t="s">
        <v>108</v>
      </c>
      <c r="B38" s="480">
        <v>116648.30104642997</v>
      </c>
      <c r="C38" s="480">
        <v>32.370624586699989</v>
      </c>
      <c r="D38" s="480">
        <v>0</v>
      </c>
      <c r="E38" s="517">
        <f>(B38*'Conversion Factors and GWP'!$A$26)+(C38*'Conversion Factors and GWP'!$C$31*'Conversion Factors and GWP'!$A$26)+(D38*'Conversion Factors and GWP'!$C$32*'Conversion Factors and GWP'!$A$26)</f>
        <v>106643.84104664477</v>
      </c>
      <c r="F38" s="3"/>
      <c r="G38" s="3"/>
      <c r="H38" s="3"/>
      <c r="I38" s="3"/>
      <c r="J38" s="3"/>
      <c r="K38" s="3"/>
      <c r="L38" s="3"/>
      <c r="M38" s="3"/>
      <c r="N38" s="3"/>
      <c r="O38" s="3"/>
      <c r="P38" s="3"/>
      <c r="Q38" s="3"/>
      <c r="R38" s="3"/>
      <c r="S38" s="3"/>
      <c r="T38" s="3"/>
      <c r="U38" s="3"/>
      <c r="V38" s="3"/>
      <c r="W38" s="3"/>
      <c r="X38" s="3"/>
      <c r="Y38" s="3"/>
      <c r="Z38" s="3"/>
    </row>
    <row r="39" spans="1:26" ht="22.5" hidden="1" customHeight="1" outlineLevel="1" x14ac:dyDescent="0.85">
      <c r="A39" s="518" t="s">
        <v>109</v>
      </c>
      <c r="B39" s="480">
        <v>17752.062529098999</v>
      </c>
      <c r="C39" s="480">
        <v>22.7308636468</v>
      </c>
      <c r="D39" s="480">
        <v>0</v>
      </c>
      <c r="E39" s="517">
        <f>(B39*'Conversion Factors and GWP'!$A$26)+(C39*'Conversion Factors and GWP'!$C$31*'Conversion Factors and GWP'!$A$26)+(D39*'Conversion Factors and GWP'!$C$32*'Conversion Factors and GWP'!$A$26)</f>
        <v>16681.795604508501</v>
      </c>
      <c r="F39" s="3"/>
      <c r="G39" s="3"/>
      <c r="H39" s="3"/>
      <c r="I39" s="3"/>
      <c r="J39" s="3"/>
      <c r="K39" s="3"/>
      <c r="L39" s="3"/>
      <c r="M39" s="3"/>
      <c r="N39" s="3"/>
      <c r="O39" s="3"/>
      <c r="P39" s="3"/>
      <c r="Q39" s="3"/>
      <c r="R39" s="3"/>
      <c r="S39" s="3"/>
      <c r="T39" s="3"/>
      <c r="U39" s="3"/>
      <c r="V39" s="3"/>
      <c r="W39" s="3"/>
      <c r="X39" s="3"/>
      <c r="Y39" s="3"/>
      <c r="Z39" s="3"/>
    </row>
    <row r="40" spans="1:26" ht="22.5" hidden="1" customHeight="1" outlineLevel="1" x14ac:dyDescent="0.85">
      <c r="A40" s="518" t="s">
        <v>110</v>
      </c>
      <c r="B40" s="480">
        <v>20851.241550705003</v>
      </c>
      <c r="C40" s="480">
        <v>9.8642806428999954</v>
      </c>
      <c r="D40" s="480">
        <v>0</v>
      </c>
      <c r="E40" s="517">
        <f>(B40*'Conversion Factors and GWP'!$A$26)+(C40*'Conversion Factors and GWP'!$C$31*'Conversion Factors and GWP'!$A$26)+(D40*'Conversion Factors and GWP'!$C$32*'Conversion Factors and GWP'!$A$26)</f>
        <v>19166.497934357136</v>
      </c>
      <c r="F40" s="3"/>
      <c r="G40" s="3"/>
      <c r="H40" s="3"/>
      <c r="I40" s="3"/>
      <c r="J40" s="3"/>
      <c r="K40" s="3"/>
      <c r="L40" s="3"/>
      <c r="M40" s="3"/>
      <c r="N40" s="3"/>
      <c r="O40" s="3"/>
      <c r="P40" s="3"/>
      <c r="Q40" s="3"/>
      <c r="R40" s="3"/>
      <c r="S40" s="3"/>
      <c r="T40" s="3"/>
      <c r="U40" s="3"/>
      <c r="V40" s="3"/>
      <c r="W40" s="3"/>
      <c r="X40" s="3"/>
      <c r="Y40" s="3"/>
      <c r="Z40" s="3"/>
    </row>
    <row r="41" spans="1:26" ht="22.5" hidden="1" customHeight="1" outlineLevel="1" x14ac:dyDescent="0.85">
      <c r="A41" s="519" t="s">
        <v>119</v>
      </c>
      <c r="B41" s="520">
        <f t="shared" ref="B41:E41" si="5">SUM(B37:B40)</f>
        <v>691957.31336761417</v>
      </c>
      <c r="C41" s="520">
        <f t="shared" si="5"/>
        <v>183.60173784029999</v>
      </c>
      <c r="D41" s="520">
        <f t="shared" si="5"/>
        <v>0</v>
      </c>
      <c r="E41" s="520">
        <f t="shared" si="5"/>
        <v>632396.99611859315</v>
      </c>
      <c r="F41" s="3"/>
      <c r="G41" s="3"/>
      <c r="H41" s="3"/>
      <c r="I41" s="3"/>
      <c r="J41" s="3"/>
      <c r="K41" s="3"/>
      <c r="L41" s="3"/>
      <c r="M41" s="3"/>
      <c r="N41" s="3"/>
      <c r="O41" s="3"/>
      <c r="P41" s="3"/>
      <c r="Q41" s="3"/>
      <c r="R41" s="3"/>
      <c r="S41" s="3"/>
      <c r="T41" s="3"/>
      <c r="U41" s="3"/>
      <c r="V41" s="3"/>
      <c r="W41" s="3"/>
      <c r="X41" s="3"/>
      <c r="Y41" s="3"/>
      <c r="Z41" s="3"/>
    </row>
    <row r="42" spans="1:26" ht="22.5" hidden="1" customHeight="1" outlineLevel="1" x14ac:dyDescent="0.85">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22.5" hidden="1" customHeight="1" outlineLevel="1" x14ac:dyDescent="0.85">
      <c r="A43" s="521" t="s">
        <v>1201</v>
      </c>
      <c r="B43" s="522" t="s">
        <v>1150</v>
      </c>
      <c r="C43" s="3"/>
      <c r="D43" s="3"/>
      <c r="E43" s="523"/>
      <c r="F43" s="779" t="s">
        <v>1202</v>
      </c>
      <c r="G43" s="762"/>
      <c r="H43" s="523"/>
      <c r="I43" s="523"/>
      <c r="J43" s="523"/>
      <c r="K43" s="3"/>
      <c r="L43" s="3"/>
      <c r="M43" s="3"/>
      <c r="N43" s="3"/>
      <c r="O43" s="3"/>
      <c r="P43" s="3"/>
      <c r="Q43" s="3"/>
      <c r="R43" s="3"/>
      <c r="S43" s="3"/>
      <c r="T43" s="3"/>
      <c r="U43" s="3"/>
      <c r="V43" s="3"/>
      <c r="W43" s="3"/>
      <c r="X43" s="3"/>
      <c r="Y43" s="3"/>
      <c r="Z43" s="3"/>
    </row>
    <row r="44" spans="1:26" ht="22.5" hidden="1" customHeight="1" outlineLevel="1" x14ac:dyDescent="0.85">
      <c r="A44" s="89" t="s">
        <v>1203</v>
      </c>
      <c r="B44" s="480">
        <v>30041</v>
      </c>
      <c r="C44" s="523"/>
      <c r="D44" s="523"/>
      <c r="E44" s="523"/>
      <c r="F44" s="38" t="s">
        <v>1204</v>
      </c>
      <c r="G44" s="524">
        <v>0.05</v>
      </c>
      <c r="H44" s="523"/>
      <c r="I44" s="523"/>
      <c r="J44" s="523"/>
      <c r="K44" s="3"/>
      <c r="L44" s="3"/>
      <c r="M44" s="3"/>
      <c r="N44" s="3"/>
      <c r="O44" s="3"/>
      <c r="P44" s="3"/>
      <c r="Q44" s="3"/>
      <c r="R44" s="3"/>
      <c r="S44" s="3"/>
      <c r="T44" s="3"/>
      <c r="U44" s="3"/>
      <c r="V44" s="3"/>
      <c r="W44" s="3"/>
      <c r="X44" s="3"/>
      <c r="Y44" s="3"/>
      <c r="Z44" s="3"/>
    </row>
    <row r="45" spans="1:26" ht="22.5" hidden="1" customHeight="1" outlineLevel="1" x14ac:dyDescent="0.85">
      <c r="A45" s="89" t="s">
        <v>1205</v>
      </c>
      <c r="B45" s="480">
        <v>43232</v>
      </c>
      <c r="C45" s="523"/>
      <c r="D45" s="523"/>
      <c r="E45" s="523"/>
      <c r="F45" s="523"/>
      <c r="G45" s="523"/>
      <c r="H45" s="523"/>
      <c r="I45" s="523"/>
      <c r="J45" s="523"/>
      <c r="K45" s="3"/>
      <c r="L45" s="3"/>
      <c r="M45" s="3"/>
      <c r="N45" s="3"/>
      <c r="O45" s="3"/>
      <c r="P45" s="3"/>
      <c r="Q45" s="3"/>
      <c r="R45" s="3"/>
      <c r="S45" s="3"/>
      <c r="T45" s="3"/>
      <c r="U45" s="3"/>
      <c r="V45" s="3"/>
      <c r="W45" s="3"/>
      <c r="X45" s="3"/>
      <c r="Y45" s="3"/>
      <c r="Z45" s="3"/>
    </row>
    <row r="46" spans="1:26" ht="22.5" hidden="1" customHeight="1" outlineLevel="1" x14ac:dyDescent="0.85">
      <c r="A46" s="525" t="str">
        <f>D46</f>
        <v>Fuel Used (gal)</v>
      </c>
      <c r="B46" s="526" t="s">
        <v>102</v>
      </c>
      <c r="C46" s="526" t="s">
        <v>1206</v>
      </c>
      <c r="D46" s="527" t="s">
        <v>1207</v>
      </c>
      <c r="E46" s="527" t="s">
        <v>1208</v>
      </c>
      <c r="F46" s="527" t="s">
        <v>1209</v>
      </c>
      <c r="G46" s="527" t="s">
        <v>1210</v>
      </c>
      <c r="H46" s="528" t="s">
        <v>118</v>
      </c>
      <c r="I46" s="527" t="s">
        <v>1211</v>
      </c>
      <c r="J46" s="3"/>
      <c r="K46" s="3"/>
      <c r="L46" s="3"/>
      <c r="M46" s="3"/>
      <c r="N46" s="3"/>
      <c r="O46" s="3"/>
      <c r="P46" s="3"/>
      <c r="Q46" s="3"/>
      <c r="R46" s="3"/>
      <c r="S46" s="3"/>
      <c r="T46" s="3"/>
      <c r="U46" s="3"/>
      <c r="V46" s="3"/>
      <c r="W46" s="3"/>
      <c r="X46" s="3"/>
      <c r="Y46" s="3"/>
      <c r="Z46" s="3"/>
    </row>
    <row r="47" spans="1:26" ht="22.5" hidden="1" customHeight="1" outlineLevel="1" x14ac:dyDescent="0.85">
      <c r="A47" s="884" t="s">
        <v>1212</v>
      </c>
      <c r="B47" s="86" t="s">
        <v>105</v>
      </c>
      <c r="C47" s="529">
        <v>1</v>
      </c>
      <c r="D47" s="530">
        <f t="shared" ref="D47:D48" si="6">$B$44*C47</f>
        <v>30041</v>
      </c>
      <c r="E47" s="531">
        <f t="shared" ref="E47:E48" si="7">D47*$C$21</f>
        <v>263.75997999999998</v>
      </c>
      <c r="F47" s="532">
        <f>(D47*$C$22)/'Conversion Factors and GWP'!$A$8</f>
        <v>3.064182E-2</v>
      </c>
      <c r="G47" s="532">
        <f>(D47*$C$23)/'Conversion Factors and GWP'!$A$8</f>
        <v>3.2143870000000005E-2</v>
      </c>
      <c r="H47" s="531">
        <f>E47+(F47*'Conversion Factors and GWP'!$C$31)+('Off-Road Data'!G47*'Conversion Factors and GWP'!$C$32)</f>
        <v>273.13607650999995</v>
      </c>
      <c r="I47" s="531">
        <v>0</v>
      </c>
      <c r="J47" s="3"/>
      <c r="K47" s="3"/>
      <c r="L47" s="3"/>
      <c r="M47" s="3"/>
      <c r="N47" s="3"/>
      <c r="O47" s="3"/>
      <c r="P47" s="3"/>
      <c r="Q47" s="3"/>
      <c r="R47" s="3"/>
      <c r="S47" s="3"/>
      <c r="T47" s="3"/>
      <c r="U47" s="3"/>
      <c r="V47" s="3"/>
      <c r="W47" s="3"/>
      <c r="X47" s="3"/>
      <c r="Y47" s="3"/>
      <c r="Z47" s="3"/>
    </row>
    <row r="48" spans="1:26" ht="22.5" hidden="1" customHeight="1" outlineLevel="1" x14ac:dyDescent="0.85">
      <c r="A48" s="797"/>
      <c r="B48" s="86" t="s">
        <v>107</v>
      </c>
      <c r="C48" s="529">
        <v>1</v>
      </c>
      <c r="D48" s="530">
        <f t="shared" si="6"/>
        <v>30041</v>
      </c>
      <c r="E48" s="531">
        <f t="shared" si="7"/>
        <v>263.75997999999998</v>
      </c>
      <c r="F48" s="532">
        <f>(D48*$C$22)/'Conversion Factors and GWP'!$A$8</f>
        <v>3.064182E-2</v>
      </c>
      <c r="G48" s="532">
        <f>(D48*$C$23)/'Conversion Factors and GWP'!$A$8</f>
        <v>3.2143870000000005E-2</v>
      </c>
      <c r="H48" s="531">
        <f>E48+(F48*'Conversion Factors and GWP'!$C$31)+('Off-Road Data'!G48*'Conversion Factors and GWP'!$C$32)</f>
        <v>273.13607650999995</v>
      </c>
      <c r="I48" s="531">
        <v>0</v>
      </c>
      <c r="J48" s="3"/>
      <c r="K48" s="3"/>
      <c r="L48" s="3"/>
      <c r="M48" s="3"/>
      <c r="N48" s="3"/>
      <c r="O48" s="3"/>
      <c r="P48" s="3"/>
      <c r="Q48" s="3"/>
      <c r="R48" s="3"/>
      <c r="S48" s="3"/>
      <c r="T48" s="3"/>
      <c r="U48" s="3"/>
      <c r="V48" s="3"/>
      <c r="W48" s="3"/>
      <c r="X48" s="3"/>
      <c r="Y48" s="3"/>
      <c r="Z48" s="3"/>
    </row>
    <row r="49" spans="1:26" ht="22.5" hidden="1" customHeight="1" outlineLevel="1" x14ac:dyDescent="0.85">
      <c r="A49" s="884" t="s">
        <v>1204</v>
      </c>
      <c r="B49" s="86" t="s">
        <v>105</v>
      </c>
      <c r="C49" s="529">
        <v>1</v>
      </c>
      <c r="D49" s="530">
        <f t="shared" ref="D49:D50" si="8">$B$45*C49</f>
        <v>43232</v>
      </c>
      <c r="E49" s="531">
        <f>$D$49*(1-$G$44)*$C$29</f>
        <v>419.32878400000004</v>
      </c>
      <c r="F49" s="532">
        <f>($D$49*(1-$G$44)*$C$30)/'Conversion Factors and GWP'!$A$8</f>
        <v>7.7623055999999996E-2</v>
      </c>
      <c r="G49" s="532">
        <f>($D$49*(1-$G$44)*$C$31)/'Conversion Factors and GWP'!$A$8</f>
        <v>4.3534624000000001E-2</v>
      </c>
      <c r="H49" s="531">
        <f>E49+(F49*'Conversion Factors and GWP'!$C$31)+('Off-Road Data'!G49*'Conversion Factors and GWP'!$C$32)</f>
        <v>433.03890492800002</v>
      </c>
      <c r="I49" s="531">
        <f t="shared" ref="I49:I50" si="9">$G$44*$B$45*$C$26</f>
        <v>20.427119999999999</v>
      </c>
      <c r="J49" s="3"/>
      <c r="K49" s="3"/>
      <c r="L49" s="3"/>
      <c r="M49" s="3"/>
      <c r="N49" s="3"/>
      <c r="O49" s="3"/>
      <c r="P49" s="3"/>
      <c r="Q49" s="3"/>
      <c r="R49" s="3"/>
      <c r="S49" s="3"/>
      <c r="T49" s="3"/>
      <c r="U49" s="3"/>
      <c r="V49" s="3"/>
      <c r="W49" s="3"/>
      <c r="X49" s="3"/>
      <c r="Y49" s="3"/>
      <c r="Z49" s="3"/>
    </row>
    <row r="50" spans="1:26" ht="22.5" hidden="1" customHeight="1" outlineLevel="1" x14ac:dyDescent="0.85">
      <c r="A50" s="797"/>
      <c r="B50" s="86" t="s">
        <v>107</v>
      </c>
      <c r="C50" s="529">
        <v>1</v>
      </c>
      <c r="D50" s="530">
        <f t="shared" si="8"/>
        <v>43232</v>
      </c>
      <c r="E50" s="531">
        <f>$D$50*(1-$G$44)*$C$29</f>
        <v>419.32878400000004</v>
      </c>
      <c r="F50" s="532">
        <f>($D$50*(1-$G$44)*$C$30)/'Conversion Factors and GWP'!$A$8</f>
        <v>7.7623055999999996E-2</v>
      </c>
      <c r="G50" s="532">
        <f>($D$50*(1-$G$44)*$C$31)/'Conversion Factors and GWP'!$A$8</f>
        <v>4.3534624000000001E-2</v>
      </c>
      <c r="H50" s="531">
        <f>E50+(F50*'Conversion Factors and GWP'!$C$31)+('Off-Road Data'!G50*'Conversion Factors and GWP'!$C$32)</f>
        <v>433.03890492800002</v>
      </c>
      <c r="I50" s="531">
        <f t="shared" si="9"/>
        <v>20.427119999999999</v>
      </c>
      <c r="J50" s="3"/>
      <c r="K50" s="3"/>
      <c r="L50" s="3"/>
      <c r="M50" s="3"/>
      <c r="N50" s="3"/>
      <c r="O50" s="3"/>
      <c r="P50" s="3"/>
      <c r="Q50" s="3"/>
      <c r="R50" s="3"/>
      <c r="S50" s="3"/>
      <c r="T50" s="3"/>
      <c r="U50" s="3"/>
      <c r="V50" s="3"/>
      <c r="W50" s="3"/>
      <c r="X50" s="3"/>
      <c r="Y50" s="3"/>
      <c r="Z50" s="3"/>
    </row>
    <row r="51" spans="1:26" ht="22.5" customHeight="1" collapsed="1" x14ac:dyDescent="0.85">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22.5" customHeight="1" x14ac:dyDescent="0.85">
      <c r="A52" s="3"/>
      <c r="B52" s="533"/>
      <c r="C52" s="533"/>
      <c r="D52" s="533"/>
      <c r="E52" s="3"/>
      <c r="F52" s="3"/>
      <c r="G52" s="3"/>
      <c r="H52" s="3"/>
      <c r="I52" s="3"/>
      <c r="J52" s="3"/>
      <c r="K52" s="3"/>
      <c r="L52" s="3"/>
      <c r="M52" s="3"/>
      <c r="N52" s="3"/>
      <c r="O52" s="3"/>
      <c r="P52" s="3"/>
      <c r="Q52" s="3"/>
      <c r="R52" s="3"/>
      <c r="S52" s="3"/>
      <c r="T52" s="3"/>
      <c r="U52" s="3"/>
      <c r="V52" s="3"/>
      <c r="W52" s="3"/>
      <c r="X52" s="3"/>
      <c r="Y52" s="3"/>
      <c r="Z52" s="3"/>
    </row>
    <row r="53" spans="1:26" ht="22.5" customHeight="1" x14ac:dyDescent="0.85">
      <c r="A53" s="3"/>
      <c r="B53" s="533"/>
      <c r="C53" s="533"/>
      <c r="D53" s="533"/>
      <c r="E53" s="3"/>
      <c r="F53" s="3"/>
      <c r="G53" s="3"/>
      <c r="H53" s="3"/>
      <c r="I53" s="3"/>
      <c r="J53" s="3"/>
      <c r="K53" s="3"/>
      <c r="L53" s="3"/>
      <c r="M53" s="3"/>
      <c r="N53" s="3"/>
      <c r="O53" s="3"/>
      <c r="P53" s="3"/>
      <c r="Q53" s="3"/>
      <c r="R53" s="3"/>
      <c r="S53" s="3"/>
      <c r="T53" s="3"/>
      <c r="U53" s="3"/>
      <c r="V53" s="3"/>
      <c r="W53" s="3"/>
      <c r="X53" s="3"/>
      <c r="Y53" s="3"/>
      <c r="Z53" s="3"/>
    </row>
    <row r="54" spans="1:26" ht="22.5" customHeight="1" x14ac:dyDescent="0.85">
      <c r="A54" s="3"/>
      <c r="B54" s="533"/>
      <c r="C54" s="533"/>
      <c r="D54" s="533"/>
      <c r="E54" s="3"/>
      <c r="F54" s="3"/>
      <c r="G54" s="3"/>
      <c r="H54" s="3"/>
      <c r="I54" s="3"/>
      <c r="J54" s="3"/>
      <c r="K54" s="3"/>
      <c r="L54" s="3"/>
      <c r="M54" s="3"/>
      <c r="N54" s="3"/>
      <c r="O54" s="3"/>
      <c r="P54" s="3"/>
      <c r="Q54" s="3"/>
      <c r="R54" s="3"/>
      <c r="S54" s="3"/>
      <c r="T54" s="3"/>
      <c r="U54" s="3"/>
      <c r="V54" s="3"/>
      <c r="W54" s="3"/>
      <c r="X54" s="3"/>
      <c r="Y54" s="3"/>
      <c r="Z54" s="3"/>
    </row>
    <row r="55" spans="1:26" ht="22.5" customHeight="1" x14ac:dyDescent="0.85">
      <c r="A55" s="3"/>
      <c r="B55" s="533"/>
      <c r="C55" s="533"/>
      <c r="D55" s="533"/>
      <c r="E55" s="3"/>
      <c r="F55" s="3"/>
      <c r="G55" s="3"/>
      <c r="H55" s="3"/>
      <c r="I55" s="3"/>
      <c r="J55" s="3"/>
      <c r="K55" s="3"/>
      <c r="L55" s="3"/>
      <c r="M55" s="3"/>
      <c r="N55" s="3"/>
      <c r="O55" s="3"/>
      <c r="P55" s="3"/>
      <c r="Q55" s="3"/>
      <c r="R55" s="3"/>
      <c r="S55" s="3"/>
      <c r="T55" s="3"/>
      <c r="U55" s="3"/>
      <c r="V55" s="3"/>
      <c r="W55" s="3"/>
      <c r="X55" s="3"/>
      <c r="Y55" s="3"/>
      <c r="Z55" s="3"/>
    </row>
    <row r="56" spans="1:26" ht="22.5" customHeight="1" x14ac:dyDescent="0.85">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22.5" customHeight="1" x14ac:dyDescent="0.85">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22.5" customHeight="1" x14ac:dyDescent="0.85">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22.5" customHeight="1" x14ac:dyDescent="0.85">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22.5" customHeight="1" x14ac:dyDescent="0.85">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22.5" customHeight="1" x14ac:dyDescent="0.85">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22.5" customHeight="1" x14ac:dyDescent="0.85">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22.5" customHeight="1" x14ac:dyDescent="0.85">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22.5" customHeight="1" x14ac:dyDescent="0.85">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22.5" customHeight="1" x14ac:dyDescent="0.85">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22.5" customHeight="1" x14ac:dyDescent="0.85">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22.5" customHeight="1" x14ac:dyDescent="0.85">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22.5" customHeight="1" x14ac:dyDescent="0.85">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22.5" customHeight="1" x14ac:dyDescent="0.85">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22.5" customHeight="1" x14ac:dyDescent="0.85">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22.5" customHeight="1" x14ac:dyDescent="0.85">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22.5" customHeight="1" x14ac:dyDescent="0.85">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22.5" customHeight="1" x14ac:dyDescent="0.85">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22.5" customHeight="1" x14ac:dyDescent="0.85">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22.5" customHeight="1" x14ac:dyDescent="0.85">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22.5" customHeight="1" x14ac:dyDescent="0.85">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22.5" customHeight="1" x14ac:dyDescent="0.85">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22.5" customHeight="1" x14ac:dyDescent="0.85">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22.5" customHeight="1" x14ac:dyDescent="0.85">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22.5" customHeight="1" x14ac:dyDescent="0.85">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22.5" customHeight="1" x14ac:dyDescent="0.85">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22.5" customHeight="1" x14ac:dyDescent="0.85">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22.5" customHeight="1" x14ac:dyDescent="0.85">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22.5" customHeight="1" x14ac:dyDescent="0.85">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22.5" customHeight="1" x14ac:dyDescent="0.85">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22.5" customHeight="1" x14ac:dyDescent="0.85">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22.5" customHeight="1" x14ac:dyDescent="0.85">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22.5" customHeight="1" x14ac:dyDescent="0.85">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22.5" customHeight="1" x14ac:dyDescent="0.85">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22.5" customHeight="1" x14ac:dyDescent="0.85">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22.5" customHeight="1" x14ac:dyDescent="0.85">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22.5" customHeight="1" x14ac:dyDescent="0.85">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22.5" customHeight="1" x14ac:dyDescent="0.85">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22.5" customHeight="1" x14ac:dyDescent="0.85">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22.5" customHeight="1" x14ac:dyDescent="0.85">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22.5" customHeight="1" x14ac:dyDescent="0.85">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22.5" customHeight="1" x14ac:dyDescent="0.85">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22.5" customHeight="1" x14ac:dyDescent="0.85">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22.5" customHeight="1" x14ac:dyDescent="0.85">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22.5" customHeight="1" x14ac:dyDescent="0.8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22.5" customHeight="1" x14ac:dyDescent="0.8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22.5" customHeight="1" x14ac:dyDescent="0.8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22.5" customHeight="1" x14ac:dyDescent="0.8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22.5" customHeight="1" x14ac:dyDescent="0.8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22.5" customHeight="1" x14ac:dyDescent="0.8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22.5" customHeight="1" x14ac:dyDescent="0.8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22.5" customHeight="1" x14ac:dyDescent="0.8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22.5" customHeight="1" x14ac:dyDescent="0.8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22.5" customHeight="1" x14ac:dyDescent="0.8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22.5" customHeight="1" x14ac:dyDescent="0.8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22.5" customHeight="1" x14ac:dyDescent="0.8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22.5" customHeight="1" x14ac:dyDescent="0.8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22.5" customHeight="1" x14ac:dyDescent="0.8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22.5" customHeight="1" x14ac:dyDescent="0.8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22.5" customHeight="1" x14ac:dyDescent="0.8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22.5" customHeight="1" x14ac:dyDescent="0.8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22.5" customHeight="1" x14ac:dyDescent="0.8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22.5" customHeight="1" x14ac:dyDescent="0.8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22.5" customHeight="1" x14ac:dyDescent="0.8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22.5" customHeight="1" x14ac:dyDescent="0.8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22.5" customHeight="1" x14ac:dyDescent="0.8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22.5" customHeight="1" x14ac:dyDescent="0.8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22.5" customHeight="1" x14ac:dyDescent="0.8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22.5" customHeight="1" x14ac:dyDescent="0.8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22.5" customHeight="1" x14ac:dyDescent="0.8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22.5" customHeight="1" x14ac:dyDescent="0.8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22.5" customHeight="1" x14ac:dyDescent="0.8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22.5" customHeight="1" x14ac:dyDescent="0.8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22.5" customHeight="1" x14ac:dyDescent="0.8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22.5" customHeight="1" x14ac:dyDescent="0.8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22.5" customHeight="1" x14ac:dyDescent="0.8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22.5" customHeight="1" x14ac:dyDescent="0.8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22.5" customHeight="1" x14ac:dyDescent="0.8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22.5" customHeight="1" x14ac:dyDescent="0.8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22.5" customHeight="1" x14ac:dyDescent="0.8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22.5" customHeight="1" x14ac:dyDescent="0.8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22.5" customHeight="1" x14ac:dyDescent="0.8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22.5" customHeight="1" x14ac:dyDescent="0.8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22.5" customHeight="1" x14ac:dyDescent="0.8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22.5" customHeight="1" x14ac:dyDescent="0.8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22.5" customHeight="1" x14ac:dyDescent="0.8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22.5" customHeight="1" x14ac:dyDescent="0.8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22.5" customHeight="1" x14ac:dyDescent="0.8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22.5" customHeight="1" x14ac:dyDescent="0.8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22.5" customHeight="1" x14ac:dyDescent="0.8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22.5" customHeight="1" x14ac:dyDescent="0.8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22.5" customHeight="1" x14ac:dyDescent="0.8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22.5" customHeight="1" x14ac:dyDescent="0.8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22.5" customHeight="1" x14ac:dyDescent="0.8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22.5" customHeight="1" x14ac:dyDescent="0.8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22.5" customHeight="1" x14ac:dyDescent="0.8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22.5" customHeight="1" x14ac:dyDescent="0.8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22.5" customHeight="1" x14ac:dyDescent="0.8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22.5" customHeight="1" x14ac:dyDescent="0.8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22.5" customHeight="1" x14ac:dyDescent="0.8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22.5" customHeight="1" x14ac:dyDescent="0.8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22.5" customHeight="1" x14ac:dyDescent="0.8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22.5" customHeight="1" x14ac:dyDescent="0.8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22.5" customHeight="1" x14ac:dyDescent="0.8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22.5" customHeight="1" x14ac:dyDescent="0.8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22.5" customHeight="1" x14ac:dyDescent="0.8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22.5" customHeight="1" x14ac:dyDescent="0.8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22.5" customHeight="1" x14ac:dyDescent="0.8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22.5" customHeight="1" x14ac:dyDescent="0.8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22.5" customHeight="1" x14ac:dyDescent="0.8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22.5" customHeight="1" x14ac:dyDescent="0.8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22.5" customHeight="1" x14ac:dyDescent="0.8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22.5" customHeight="1" x14ac:dyDescent="0.8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22.5" customHeight="1" x14ac:dyDescent="0.8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22.5" customHeight="1" x14ac:dyDescent="0.8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22.5" customHeight="1" x14ac:dyDescent="0.8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22.5" customHeight="1" x14ac:dyDescent="0.8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22.5" customHeight="1" x14ac:dyDescent="0.8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22.5" customHeight="1" x14ac:dyDescent="0.8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22.5" customHeight="1" x14ac:dyDescent="0.8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22.5" customHeight="1" x14ac:dyDescent="0.8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22.5" customHeight="1" x14ac:dyDescent="0.8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22.5" customHeight="1" x14ac:dyDescent="0.8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22.5" customHeight="1" x14ac:dyDescent="0.8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22.5" customHeight="1" x14ac:dyDescent="0.8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22.5" customHeight="1" x14ac:dyDescent="0.8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22.5" customHeight="1" x14ac:dyDescent="0.8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22.5" customHeight="1" x14ac:dyDescent="0.8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22.5" customHeight="1" x14ac:dyDescent="0.8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22.5" customHeight="1" x14ac:dyDescent="0.8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22.5" customHeight="1" x14ac:dyDescent="0.8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22.5" customHeight="1" x14ac:dyDescent="0.8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22.5" customHeight="1" x14ac:dyDescent="0.8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22.5" customHeight="1" x14ac:dyDescent="0.8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22.5" customHeight="1" x14ac:dyDescent="0.8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22.5" customHeight="1" x14ac:dyDescent="0.8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22.5" customHeight="1" x14ac:dyDescent="0.8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22.5" customHeight="1" x14ac:dyDescent="0.8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22.5" customHeight="1" x14ac:dyDescent="0.8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22.5" customHeight="1" x14ac:dyDescent="0.8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22.5" customHeight="1" x14ac:dyDescent="0.8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22.5" customHeight="1" x14ac:dyDescent="0.8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22.5" customHeight="1" x14ac:dyDescent="0.8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22.5" customHeight="1" x14ac:dyDescent="0.8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22.5" customHeight="1" x14ac:dyDescent="0.8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22.5" customHeight="1" x14ac:dyDescent="0.8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22.5" customHeight="1" x14ac:dyDescent="0.8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22.5" customHeight="1" x14ac:dyDescent="0.8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22.5" customHeight="1" x14ac:dyDescent="0.8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22.5" customHeight="1" x14ac:dyDescent="0.8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22.5" customHeight="1" x14ac:dyDescent="0.8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22.5" customHeight="1" x14ac:dyDescent="0.8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22.5" customHeight="1" x14ac:dyDescent="0.8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22.5" customHeight="1" x14ac:dyDescent="0.8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22.5" customHeight="1" x14ac:dyDescent="0.8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22.5" customHeight="1" x14ac:dyDescent="0.8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22.5" customHeight="1" x14ac:dyDescent="0.8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22.5" customHeight="1" x14ac:dyDescent="0.8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22.5" customHeight="1" x14ac:dyDescent="0.8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22.5" customHeight="1" x14ac:dyDescent="0.8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22.5" customHeight="1" x14ac:dyDescent="0.8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22.5" customHeight="1" x14ac:dyDescent="0.8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22.5" customHeight="1" x14ac:dyDescent="0.8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22.5" customHeight="1" x14ac:dyDescent="0.8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22.5" customHeight="1" x14ac:dyDescent="0.8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22.5" customHeight="1" x14ac:dyDescent="0.8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22.5" customHeight="1" x14ac:dyDescent="0.8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22.5" customHeight="1" x14ac:dyDescent="0.8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22.5" customHeight="1" x14ac:dyDescent="0.8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22.5" customHeight="1" x14ac:dyDescent="0.8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22.5" customHeight="1" x14ac:dyDescent="0.8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22.5" customHeight="1" x14ac:dyDescent="0.8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22.5" customHeight="1" x14ac:dyDescent="0.8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22.5" customHeight="1" x14ac:dyDescent="0.8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22.5" customHeight="1" x14ac:dyDescent="0.8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22.5" customHeight="1" x14ac:dyDescent="0.8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22.5" customHeight="1" x14ac:dyDescent="0.8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22.5" customHeight="1" x14ac:dyDescent="0.8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22.5" customHeight="1" x14ac:dyDescent="0.8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22.5" customHeight="1" x14ac:dyDescent="0.8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22.5" customHeight="1" x14ac:dyDescent="0.8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22.5" customHeight="1" x14ac:dyDescent="0.8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22.5" customHeight="1" x14ac:dyDescent="0.8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22.5" customHeight="1" x14ac:dyDescent="0.8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22.5" customHeight="1" x14ac:dyDescent="0.8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22.5" customHeight="1" x14ac:dyDescent="0.8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22.5" customHeight="1" x14ac:dyDescent="0.8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22.5" customHeight="1" x14ac:dyDescent="0.8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22.5" customHeight="1" x14ac:dyDescent="0.8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22.5" customHeight="1" x14ac:dyDescent="0.8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22.5" customHeight="1" x14ac:dyDescent="0.8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22.5" customHeight="1" x14ac:dyDescent="0.8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22.5" customHeight="1" x14ac:dyDescent="0.8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22.5" customHeight="1" x14ac:dyDescent="0.8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22.5" customHeight="1" x14ac:dyDescent="0.8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22.5" customHeight="1" x14ac:dyDescent="0.8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22.5" customHeight="1" x14ac:dyDescent="0.8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22.5" customHeight="1" x14ac:dyDescent="0.8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22.5" customHeight="1" x14ac:dyDescent="0.8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22.5" customHeight="1" x14ac:dyDescent="0.8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22.5" customHeight="1" x14ac:dyDescent="0.8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22.5" customHeight="1" x14ac:dyDescent="0.8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22.5" customHeight="1" x14ac:dyDescent="0.8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22.5" customHeight="1" x14ac:dyDescent="0.8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22.5" customHeight="1" x14ac:dyDescent="0.8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22.5" customHeight="1" x14ac:dyDescent="0.8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22.5" customHeight="1" x14ac:dyDescent="0.8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22.5" customHeight="1" x14ac:dyDescent="0.8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22.5" customHeight="1" x14ac:dyDescent="0.8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22.5" customHeight="1" x14ac:dyDescent="0.8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22.5" customHeight="1" x14ac:dyDescent="0.8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22.5" customHeight="1" x14ac:dyDescent="0.8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22.5" customHeight="1" x14ac:dyDescent="0.8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22.5" customHeight="1" x14ac:dyDescent="0.8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22.5" customHeight="1" x14ac:dyDescent="0.8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22.5" customHeight="1" x14ac:dyDescent="0.8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22.5" customHeight="1" x14ac:dyDescent="0.8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22.5" customHeight="1" x14ac:dyDescent="0.8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22.5" customHeight="1" x14ac:dyDescent="0.8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22.5" customHeight="1" x14ac:dyDescent="0.8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22.5" customHeight="1" x14ac:dyDescent="0.8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22.5" customHeight="1" x14ac:dyDescent="0.8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22.5" customHeight="1" x14ac:dyDescent="0.8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22.5" customHeight="1" x14ac:dyDescent="0.8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22.5" customHeight="1" x14ac:dyDescent="0.8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22.5" customHeight="1" x14ac:dyDescent="0.8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22.5" customHeight="1" x14ac:dyDescent="0.8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22.5" customHeight="1" x14ac:dyDescent="0.8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22.5" customHeight="1" x14ac:dyDescent="0.8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22.5" customHeight="1" x14ac:dyDescent="0.8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22.5" customHeight="1" x14ac:dyDescent="0.8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22.5" customHeight="1" x14ac:dyDescent="0.8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22.5" customHeight="1" x14ac:dyDescent="0.8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22.5" customHeight="1" x14ac:dyDescent="0.8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22.5" customHeight="1" x14ac:dyDescent="0.8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22.5" customHeight="1" x14ac:dyDescent="0.8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22.5" customHeight="1" x14ac:dyDescent="0.8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22.5" customHeight="1" x14ac:dyDescent="0.8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22.5" customHeight="1" x14ac:dyDescent="0.8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22.5" customHeight="1" x14ac:dyDescent="0.8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22.5" customHeight="1" x14ac:dyDescent="0.8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22.5" customHeight="1" x14ac:dyDescent="0.8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22.5" customHeight="1" x14ac:dyDescent="0.8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22.5" customHeight="1" x14ac:dyDescent="0.8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22.5" customHeight="1" x14ac:dyDescent="0.8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22.5" customHeight="1" x14ac:dyDescent="0.8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22.5" customHeight="1" x14ac:dyDescent="0.8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22.5" customHeight="1" x14ac:dyDescent="0.8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22.5" customHeight="1" x14ac:dyDescent="0.8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22.5" customHeight="1" x14ac:dyDescent="0.8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22.5" customHeight="1" x14ac:dyDescent="0.8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22.5" customHeight="1" x14ac:dyDescent="0.8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22.5" customHeight="1" x14ac:dyDescent="0.8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22.5" customHeight="1" x14ac:dyDescent="0.8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22.5" customHeight="1" x14ac:dyDescent="0.8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22.5" customHeight="1" x14ac:dyDescent="0.8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22.5" customHeight="1" x14ac:dyDescent="0.8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22.5" customHeight="1" x14ac:dyDescent="0.8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22.5" customHeight="1" x14ac:dyDescent="0.8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22.5" customHeight="1" x14ac:dyDescent="0.8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22.5" customHeight="1" x14ac:dyDescent="0.8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22.5" customHeight="1" x14ac:dyDescent="0.8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22.5" customHeight="1" x14ac:dyDescent="0.8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22.5" customHeight="1" x14ac:dyDescent="0.8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22.5" customHeight="1" x14ac:dyDescent="0.8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22.5" customHeight="1" x14ac:dyDescent="0.8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22.5" customHeight="1" x14ac:dyDescent="0.8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22.5" customHeight="1" x14ac:dyDescent="0.8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22.5" customHeight="1" x14ac:dyDescent="0.8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22.5" customHeight="1" x14ac:dyDescent="0.8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22.5" customHeight="1" x14ac:dyDescent="0.8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22.5" customHeight="1" x14ac:dyDescent="0.8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22.5" customHeight="1" x14ac:dyDescent="0.8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22.5" customHeight="1" x14ac:dyDescent="0.8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22.5" customHeight="1" x14ac:dyDescent="0.8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22.5" customHeight="1" x14ac:dyDescent="0.8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22.5" customHeight="1" x14ac:dyDescent="0.8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22.5" customHeight="1" x14ac:dyDescent="0.8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22.5" customHeight="1" x14ac:dyDescent="0.8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22.5" customHeight="1" x14ac:dyDescent="0.8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22.5" customHeight="1" x14ac:dyDescent="0.8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22.5" customHeight="1" x14ac:dyDescent="0.8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22.5" customHeight="1" x14ac:dyDescent="0.8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22.5" customHeight="1" x14ac:dyDescent="0.8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22.5" customHeight="1" x14ac:dyDescent="0.8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22.5" customHeight="1" x14ac:dyDescent="0.8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22.5" customHeight="1" x14ac:dyDescent="0.8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22.5" customHeight="1" x14ac:dyDescent="0.8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22.5" customHeight="1" x14ac:dyDescent="0.8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22.5" customHeight="1" x14ac:dyDescent="0.8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22.5" customHeight="1" x14ac:dyDescent="0.8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22.5" customHeight="1" x14ac:dyDescent="0.8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22.5" customHeight="1" x14ac:dyDescent="0.8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22.5" customHeight="1" x14ac:dyDescent="0.8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22.5" customHeight="1" x14ac:dyDescent="0.8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22.5" customHeight="1" x14ac:dyDescent="0.8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22.5" customHeight="1" x14ac:dyDescent="0.8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22.5" customHeight="1" x14ac:dyDescent="0.8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22.5" customHeight="1" x14ac:dyDescent="0.8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22.5" customHeight="1" x14ac:dyDescent="0.8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22.5" customHeight="1" x14ac:dyDescent="0.8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22.5" customHeight="1" x14ac:dyDescent="0.8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22.5" customHeight="1" x14ac:dyDescent="0.8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22.5" customHeight="1" x14ac:dyDescent="0.8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22.5" customHeight="1" x14ac:dyDescent="0.8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22.5" customHeight="1" x14ac:dyDescent="0.8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22.5" customHeight="1" x14ac:dyDescent="0.8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22.5" customHeight="1" x14ac:dyDescent="0.8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22.5" customHeight="1" x14ac:dyDescent="0.8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22.5" customHeight="1" x14ac:dyDescent="0.8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22.5" customHeight="1" x14ac:dyDescent="0.8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22.5" customHeight="1" x14ac:dyDescent="0.8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22.5" customHeight="1" x14ac:dyDescent="0.8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22.5" customHeight="1" x14ac:dyDescent="0.8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22.5" customHeight="1" x14ac:dyDescent="0.8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22.5" customHeight="1" x14ac:dyDescent="0.8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22.5" customHeight="1" x14ac:dyDescent="0.8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22.5" customHeight="1" x14ac:dyDescent="0.8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22.5" customHeight="1" x14ac:dyDescent="0.8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22.5" customHeight="1" x14ac:dyDescent="0.8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22.5" customHeight="1" x14ac:dyDescent="0.8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22.5" customHeight="1" x14ac:dyDescent="0.8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22.5" customHeight="1" x14ac:dyDescent="0.8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22.5" customHeight="1" x14ac:dyDescent="0.8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22.5" customHeight="1" x14ac:dyDescent="0.8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22.5" customHeight="1" x14ac:dyDescent="0.8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22.5" customHeight="1" x14ac:dyDescent="0.8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22.5" customHeight="1" x14ac:dyDescent="0.8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22.5" customHeight="1" x14ac:dyDescent="0.8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22.5" customHeight="1" x14ac:dyDescent="0.8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22.5" customHeight="1" x14ac:dyDescent="0.8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22.5" customHeight="1" x14ac:dyDescent="0.8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22.5" customHeight="1" x14ac:dyDescent="0.8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22.5" customHeight="1" x14ac:dyDescent="0.8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22.5" customHeight="1" x14ac:dyDescent="0.8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22.5" customHeight="1" x14ac:dyDescent="0.8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22.5" customHeight="1" x14ac:dyDescent="0.8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22.5" customHeight="1" x14ac:dyDescent="0.8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22.5" customHeight="1" x14ac:dyDescent="0.8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22.5" customHeight="1" x14ac:dyDescent="0.8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22.5" customHeight="1" x14ac:dyDescent="0.8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22.5" customHeight="1" x14ac:dyDescent="0.8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22.5" customHeight="1" x14ac:dyDescent="0.8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22.5" customHeight="1" x14ac:dyDescent="0.8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22.5" customHeight="1" x14ac:dyDescent="0.8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22.5" customHeight="1" x14ac:dyDescent="0.8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22.5" customHeight="1" x14ac:dyDescent="0.8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22.5" customHeight="1" x14ac:dyDescent="0.8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22.5" customHeight="1" x14ac:dyDescent="0.8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22.5" customHeight="1" x14ac:dyDescent="0.8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22.5" customHeight="1" x14ac:dyDescent="0.8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22.5" customHeight="1" x14ac:dyDescent="0.8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22.5" customHeight="1" x14ac:dyDescent="0.8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22.5" customHeight="1" x14ac:dyDescent="0.8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22.5" customHeight="1" x14ac:dyDescent="0.8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22.5" customHeight="1" x14ac:dyDescent="0.8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22.5" customHeight="1" x14ac:dyDescent="0.8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22.5" customHeight="1" x14ac:dyDescent="0.8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22.5" customHeight="1" x14ac:dyDescent="0.8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22.5" customHeight="1" x14ac:dyDescent="0.8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22.5" customHeight="1" x14ac:dyDescent="0.8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22.5" customHeight="1" x14ac:dyDescent="0.8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22.5" customHeight="1" x14ac:dyDescent="0.8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22.5" customHeight="1" x14ac:dyDescent="0.8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22.5" customHeight="1" x14ac:dyDescent="0.8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22.5" customHeight="1" x14ac:dyDescent="0.8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22.5" customHeight="1" x14ac:dyDescent="0.8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22.5" customHeight="1" x14ac:dyDescent="0.8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22.5" customHeight="1" x14ac:dyDescent="0.8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22.5" customHeight="1" x14ac:dyDescent="0.8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22.5" customHeight="1" x14ac:dyDescent="0.8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22.5" customHeight="1" x14ac:dyDescent="0.8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22.5" customHeight="1" x14ac:dyDescent="0.8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22.5" customHeight="1" x14ac:dyDescent="0.8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22.5" customHeight="1" x14ac:dyDescent="0.8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22.5" customHeight="1" x14ac:dyDescent="0.8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22.5" customHeight="1" x14ac:dyDescent="0.8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22.5" customHeight="1" x14ac:dyDescent="0.8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22.5" customHeight="1" x14ac:dyDescent="0.8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22.5" customHeight="1" x14ac:dyDescent="0.8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22.5" customHeight="1" x14ac:dyDescent="0.8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22.5" customHeight="1" x14ac:dyDescent="0.8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22.5" customHeight="1" x14ac:dyDescent="0.8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22.5" customHeight="1" x14ac:dyDescent="0.8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22.5" customHeight="1" x14ac:dyDescent="0.8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22.5" customHeight="1" x14ac:dyDescent="0.8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22.5" customHeight="1" x14ac:dyDescent="0.8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22.5" customHeight="1" x14ac:dyDescent="0.8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22.5" customHeight="1" x14ac:dyDescent="0.8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22.5" customHeight="1" x14ac:dyDescent="0.8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22.5" customHeight="1" x14ac:dyDescent="0.8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22.5" customHeight="1" x14ac:dyDescent="0.8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22.5" customHeight="1" x14ac:dyDescent="0.8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22.5" customHeight="1" x14ac:dyDescent="0.8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22.5" customHeight="1" x14ac:dyDescent="0.8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22.5" customHeight="1" x14ac:dyDescent="0.8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22.5" customHeight="1" x14ac:dyDescent="0.8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22.5" customHeight="1" x14ac:dyDescent="0.8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22.5" customHeight="1" x14ac:dyDescent="0.8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22.5" customHeight="1" x14ac:dyDescent="0.8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22.5" customHeight="1" x14ac:dyDescent="0.8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22.5" customHeight="1" x14ac:dyDescent="0.8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22.5" customHeight="1" x14ac:dyDescent="0.8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22.5" customHeight="1" x14ac:dyDescent="0.8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22.5" customHeight="1" x14ac:dyDescent="0.8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22.5" customHeight="1" x14ac:dyDescent="0.8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22.5" customHeight="1" x14ac:dyDescent="0.8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22.5" customHeight="1" x14ac:dyDescent="0.8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22.5" customHeight="1" x14ac:dyDescent="0.8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22.5" customHeight="1" x14ac:dyDescent="0.8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22.5" customHeight="1" x14ac:dyDescent="0.8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22.5" customHeight="1" x14ac:dyDescent="0.8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22.5" customHeight="1" x14ac:dyDescent="0.8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22.5" customHeight="1" x14ac:dyDescent="0.8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22.5" customHeight="1" x14ac:dyDescent="0.8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22.5" customHeight="1" x14ac:dyDescent="0.8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22.5" customHeight="1" x14ac:dyDescent="0.8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22.5" customHeight="1" x14ac:dyDescent="0.8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22.5" customHeight="1" x14ac:dyDescent="0.8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22.5" customHeight="1" x14ac:dyDescent="0.8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22.5" customHeight="1" x14ac:dyDescent="0.8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22.5" customHeight="1" x14ac:dyDescent="0.8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22.5" customHeight="1" x14ac:dyDescent="0.8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22.5" customHeight="1" x14ac:dyDescent="0.8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22.5" customHeight="1" x14ac:dyDescent="0.8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22.5" customHeight="1" x14ac:dyDescent="0.8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22.5" customHeight="1" x14ac:dyDescent="0.8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22.5" customHeight="1" x14ac:dyDescent="0.8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22.5" customHeight="1" x14ac:dyDescent="0.8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22.5" customHeight="1" x14ac:dyDescent="0.8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22.5" customHeight="1" x14ac:dyDescent="0.8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22.5" customHeight="1" x14ac:dyDescent="0.8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22.5" customHeight="1" x14ac:dyDescent="0.8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22.5" customHeight="1" x14ac:dyDescent="0.8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22.5" customHeight="1" x14ac:dyDescent="0.8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22.5" customHeight="1" x14ac:dyDescent="0.8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22.5" customHeight="1" x14ac:dyDescent="0.8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22.5" customHeight="1" x14ac:dyDescent="0.8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22.5" customHeight="1" x14ac:dyDescent="0.8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22.5" customHeight="1" x14ac:dyDescent="0.8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22.5" customHeight="1" x14ac:dyDescent="0.8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22.5" customHeight="1" x14ac:dyDescent="0.8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22.5" customHeight="1" x14ac:dyDescent="0.8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22.5" customHeight="1" x14ac:dyDescent="0.8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22.5" customHeight="1" x14ac:dyDescent="0.8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22.5" customHeight="1" x14ac:dyDescent="0.8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22.5" customHeight="1" x14ac:dyDescent="0.8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22.5" customHeight="1" x14ac:dyDescent="0.8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22.5" customHeight="1" x14ac:dyDescent="0.8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22.5" customHeight="1" x14ac:dyDescent="0.8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22.5" customHeight="1" x14ac:dyDescent="0.8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22.5" customHeight="1" x14ac:dyDescent="0.8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22.5" customHeight="1" x14ac:dyDescent="0.8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22.5" customHeight="1" x14ac:dyDescent="0.8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22.5" customHeight="1" x14ac:dyDescent="0.8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22.5" customHeight="1" x14ac:dyDescent="0.8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22.5" customHeight="1" x14ac:dyDescent="0.8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22.5" customHeight="1" x14ac:dyDescent="0.8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22.5" customHeight="1" x14ac:dyDescent="0.8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22.5" customHeight="1" x14ac:dyDescent="0.8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22.5" customHeight="1" x14ac:dyDescent="0.8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22.5" customHeight="1" x14ac:dyDescent="0.8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22.5" customHeight="1" x14ac:dyDescent="0.8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22.5" customHeight="1" x14ac:dyDescent="0.8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22.5" customHeight="1" x14ac:dyDescent="0.8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22.5" customHeight="1" x14ac:dyDescent="0.8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22.5" customHeight="1" x14ac:dyDescent="0.8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22.5" customHeight="1" x14ac:dyDescent="0.8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22.5" customHeight="1" x14ac:dyDescent="0.8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22.5" customHeight="1" x14ac:dyDescent="0.8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22.5" customHeight="1" x14ac:dyDescent="0.8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22.5" customHeight="1" x14ac:dyDescent="0.8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22.5" customHeight="1" x14ac:dyDescent="0.8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22.5" customHeight="1" x14ac:dyDescent="0.8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22.5" customHeight="1" x14ac:dyDescent="0.8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22.5" customHeight="1" x14ac:dyDescent="0.8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22.5" customHeight="1" x14ac:dyDescent="0.8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22.5" customHeight="1" x14ac:dyDescent="0.8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22.5" customHeight="1" x14ac:dyDescent="0.8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22.5" customHeight="1" x14ac:dyDescent="0.8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22.5" customHeight="1" x14ac:dyDescent="0.8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22.5" customHeight="1" x14ac:dyDescent="0.8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22.5" customHeight="1" x14ac:dyDescent="0.8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22.5" customHeight="1" x14ac:dyDescent="0.8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22.5" customHeight="1" x14ac:dyDescent="0.8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22.5" customHeight="1" x14ac:dyDescent="0.8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22.5" customHeight="1" x14ac:dyDescent="0.8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22.5" customHeight="1" x14ac:dyDescent="0.8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22.5" customHeight="1" x14ac:dyDescent="0.8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22.5" customHeight="1" x14ac:dyDescent="0.8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22.5" customHeight="1" x14ac:dyDescent="0.8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22.5" customHeight="1" x14ac:dyDescent="0.8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22.5" customHeight="1" x14ac:dyDescent="0.8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22.5" customHeight="1" x14ac:dyDescent="0.8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22.5" customHeight="1" x14ac:dyDescent="0.8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22.5" customHeight="1" x14ac:dyDescent="0.8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22.5" customHeight="1" x14ac:dyDescent="0.8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22.5" customHeight="1" x14ac:dyDescent="0.8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22.5" customHeight="1" x14ac:dyDescent="0.8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22.5" customHeight="1" x14ac:dyDescent="0.8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22.5" customHeight="1" x14ac:dyDescent="0.8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22.5" customHeight="1" x14ac:dyDescent="0.8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22.5" customHeight="1" x14ac:dyDescent="0.8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22.5" customHeight="1" x14ac:dyDescent="0.8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22.5" customHeight="1" x14ac:dyDescent="0.8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22.5" customHeight="1" x14ac:dyDescent="0.8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22.5" customHeight="1" x14ac:dyDescent="0.8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22.5" customHeight="1" x14ac:dyDescent="0.8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22.5" customHeight="1" x14ac:dyDescent="0.8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22.5" customHeight="1" x14ac:dyDescent="0.8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22.5" customHeight="1" x14ac:dyDescent="0.8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22.5" customHeight="1" x14ac:dyDescent="0.8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22.5" customHeight="1" x14ac:dyDescent="0.8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22.5" customHeight="1" x14ac:dyDescent="0.8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22.5" customHeight="1" x14ac:dyDescent="0.8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22.5" customHeight="1" x14ac:dyDescent="0.8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22.5" customHeight="1" x14ac:dyDescent="0.8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22.5" customHeight="1" x14ac:dyDescent="0.8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22.5" customHeight="1" x14ac:dyDescent="0.8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22.5" customHeight="1" x14ac:dyDescent="0.8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22.5" customHeight="1" x14ac:dyDescent="0.8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22.5" customHeight="1" x14ac:dyDescent="0.8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22.5" customHeight="1" x14ac:dyDescent="0.8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22.5" customHeight="1" x14ac:dyDescent="0.8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22.5" customHeight="1" x14ac:dyDescent="0.8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22.5" customHeight="1" x14ac:dyDescent="0.8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22.5" customHeight="1" x14ac:dyDescent="0.8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22.5" customHeight="1" x14ac:dyDescent="0.8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22.5" customHeight="1" x14ac:dyDescent="0.8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22.5" customHeight="1" x14ac:dyDescent="0.8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22.5" customHeight="1" x14ac:dyDescent="0.8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22.5" customHeight="1" x14ac:dyDescent="0.8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22.5" customHeight="1" x14ac:dyDescent="0.8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22.5" customHeight="1" x14ac:dyDescent="0.8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22.5" customHeight="1" x14ac:dyDescent="0.8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22.5" customHeight="1" x14ac:dyDescent="0.8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22.5" customHeight="1" x14ac:dyDescent="0.8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22.5" customHeight="1" x14ac:dyDescent="0.8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22.5" customHeight="1" x14ac:dyDescent="0.8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22.5" customHeight="1" x14ac:dyDescent="0.8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22.5" customHeight="1" x14ac:dyDescent="0.8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22.5" customHeight="1" x14ac:dyDescent="0.8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22.5" customHeight="1" x14ac:dyDescent="0.8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22.5" customHeight="1" x14ac:dyDescent="0.8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22.5" customHeight="1" x14ac:dyDescent="0.8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22.5" customHeight="1" x14ac:dyDescent="0.8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22.5" customHeight="1" x14ac:dyDescent="0.8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22.5" customHeight="1" x14ac:dyDescent="0.8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22.5" customHeight="1" x14ac:dyDescent="0.8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22.5" customHeight="1" x14ac:dyDescent="0.8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22.5" customHeight="1" x14ac:dyDescent="0.8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22.5" customHeight="1" x14ac:dyDescent="0.8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22.5" customHeight="1" x14ac:dyDescent="0.8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22.5" customHeight="1" x14ac:dyDescent="0.8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22.5" customHeight="1" x14ac:dyDescent="0.8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22.5" customHeight="1" x14ac:dyDescent="0.8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22.5" customHeight="1" x14ac:dyDescent="0.8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22.5" customHeight="1" x14ac:dyDescent="0.8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22.5" customHeight="1" x14ac:dyDescent="0.8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22.5" customHeight="1" x14ac:dyDescent="0.8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22.5" customHeight="1" x14ac:dyDescent="0.8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22.5" customHeight="1" x14ac:dyDescent="0.8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22.5" customHeight="1" x14ac:dyDescent="0.8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22.5" customHeight="1" x14ac:dyDescent="0.8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22.5" customHeight="1" x14ac:dyDescent="0.8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22.5" customHeight="1" x14ac:dyDescent="0.8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22.5" customHeight="1" x14ac:dyDescent="0.8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22.5" customHeight="1" x14ac:dyDescent="0.8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22.5" customHeight="1" x14ac:dyDescent="0.8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22.5" customHeight="1" x14ac:dyDescent="0.8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22.5" customHeight="1" x14ac:dyDescent="0.8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22.5" customHeight="1" x14ac:dyDescent="0.8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22.5" customHeight="1" x14ac:dyDescent="0.8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22.5" customHeight="1" x14ac:dyDescent="0.8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22.5" customHeight="1" x14ac:dyDescent="0.8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22.5" customHeight="1" x14ac:dyDescent="0.8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22.5" customHeight="1" x14ac:dyDescent="0.8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22.5" customHeight="1" x14ac:dyDescent="0.8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22.5" customHeight="1" x14ac:dyDescent="0.8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22.5" customHeight="1" x14ac:dyDescent="0.8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22.5" customHeight="1" x14ac:dyDescent="0.8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22.5" customHeight="1" x14ac:dyDescent="0.8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22.5" customHeight="1" x14ac:dyDescent="0.8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22.5" customHeight="1" x14ac:dyDescent="0.8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22.5" customHeight="1" x14ac:dyDescent="0.8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22.5" customHeight="1" x14ac:dyDescent="0.8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22.5" customHeight="1" x14ac:dyDescent="0.8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22.5" customHeight="1" x14ac:dyDescent="0.8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22.5" customHeight="1" x14ac:dyDescent="0.8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22.5" customHeight="1" x14ac:dyDescent="0.8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22.5" customHeight="1" x14ac:dyDescent="0.8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22.5" customHeight="1" x14ac:dyDescent="0.8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22.5" customHeight="1" x14ac:dyDescent="0.8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22.5" customHeight="1" x14ac:dyDescent="0.8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22.5" customHeight="1" x14ac:dyDescent="0.8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22.5" customHeight="1" x14ac:dyDescent="0.8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22.5" customHeight="1" x14ac:dyDescent="0.8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22.5" customHeight="1" x14ac:dyDescent="0.8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22.5" customHeight="1" x14ac:dyDescent="0.8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22.5" customHeight="1" x14ac:dyDescent="0.8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22.5" customHeight="1" x14ac:dyDescent="0.8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22.5" customHeight="1" x14ac:dyDescent="0.8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22.5" customHeight="1" x14ac:dyDescent="0.8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22.5" customHeight="1" x14ac:dyDescent="0.8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22.5" customHeight="1" x14ac:dyDescent="0.8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22.5" customHeight="1" x14ac:dyDescent="0.8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22.5" customHeight="1" x14ac:dyDescent="0.8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22.5" customHeight="1" x14ac:dyDescent="0.8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22.5" customHeight="1" x14ac:dyDescent="0.8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22.5" customHeight="1" x14ac:dyDescent="0.8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22.5" customHeight="1" x14ac:dyDescent="0.8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22.5" customHeight="1" x14ac:dyDescent="0.8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22.5" customHeight="1" x14ac:dyDescent="0.8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22.5" customHeight="1" x14ac:dyDescent="0.8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22.5" customHeight="1" x14ac:dyDescent="0.8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22.5" customHeight="1" x14ac:dyDescent="0.8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22.5" customHeight="1" x14ac:dyDescent="0.8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22.5" customHeight="1" x14ac:dyDescent="0.8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22.5" customHeight="1" x14ac:dyDescent="0.8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22.5" customHeight="1" x14ac:dyDescent="0.8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22.5" customHeight="1" x14ac:dyDescent="0.8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22.5" customHeight="1" x14ac:dyDescent="0.8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22.5" customHeight="1" x14ac:dyDescent="0.8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22.5" customHeight="1" x14ac:dyDescent="0.8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22.5" customHeight="1" x14ac:dyDescent="0.8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22.5" customHeight="1" x14ac:dyDescent="0.8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22.5" customHeight="1" x14ac:dyDescent="0.8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22.5" customHeight="1" x14ac:dyDescent="0.8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22.5" customHeight="1" x14ac:dyDescent="0.8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22.5" customHeight="1" x14ac:dyDescent="0.8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22.5" customHeight="1" x14ac:dyDescent="0.8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22.5" customHeight="1" x14ac:dyDescent="0.8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22.5" customHeight="1" x14ac:dyDescent="0.8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22.5" customHeight="1" x14ac:dyDescent="0.8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22.5" customHeight="1" x14ac:dyDescent="0.8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22.5" customHeight="1" x14ac:dyDescent="0.8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22.5" customHeight="1" x14ac:dyDescent="0.8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22.5" customHeight="1" x14ac:dyDescent="0.8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22.5" customHeight="1" x14ac:dyDescent="0.8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22.5" customHeight="1" x14ac:dyDescent="0.8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22.5" customHeight="1" x14ac:dyDescent="0.8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22.5" customHeight="1" x14ac:dyDescent="0.8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22.5" customHeight="1" x14ac:dyDescent="0.8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22.5" customHeight="1" x14ac:dyDescent="0.8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22.5" customHeight="1" x14ac:dyDescent="0.8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22.5" customHeight="1" x14ac:dyDescent="0.8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22.5" customHeight="1" x14ac:dyDescent="0.8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22.5" customHeight="1" x14ac:dyDescent="0.8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22.5" customHeight="1" x14ac:dyDescent="0.8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22.5" customHeight="1" x14ac:dyDescent="0.8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22.5" customHeight="1" x14ac:dyDescent="0.8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22.5" customHeight="1" x14ac:dyDescent="0.8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22.5" customHeight="1" x14ac:dyDescent="0.8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22.5" customHeight="1" x14ac:dyDescent="0.8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22.5" customHeight="1" x14ac:dyDescent="0.8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22.5" customHeight="1" x14ac:dyDescent="0.8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22.5" customHeight="1" x14ac:dyDescent="0.8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22.5" customHeight="1" x14ac:dyDescent="0.8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22.5" customHeight="1" x14ac:dyDescent="0.8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22.5" customHeight="1" x14ac:dyDescent="0.8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22.5" customHeight="1" x14ac:dyDescent="0.8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22.5" customHeight="1" x14ac:dyDescent="0.8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22.5" customHeight="1" x14ac:dyDescent="0.8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22.5" customHeight="1" x14ac:dyDescent="0.8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22.5" customHeight="1" x14ac:dyDescent="0.8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22.5" customHeight="1" x14ac:dyDescent="0.8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22.5" customHeight="1" x14ac:dyDescent="0.8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22.5" customHeight="1" x14ac:dyDescent="0.8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22.5" customHeight="1" x14ac:dyDescent="0.8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22.5" customHeight="1" x14ac:dyDescent="0.8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22.5" customHeight="1" x14ac:dyDescent="0.8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22.5" customHeight="1" x14ac:dyDescent="0.8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22.5" customHeight="1" x14ac:dyDescent="0.8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22.5" customHeight="1" x14ac:dyDescent="0.8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22.5" customHeight="1" x14ac:dyDescent="0.8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22.5" customHeight="1" x14ac:dyDescent="0.8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22.5" customHeight="1" x14ac:dyDescent="0.8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22.5" customHeight="1" x14ac:dyDescent="0.8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22.5" customHeight="1" x14ac:dyDescent="0.8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22.5" customHeight="1" x14ac:dyDescent="0.8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22.5" customHeight="1" x14ac:dyDescent="0.8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22.5" customHeight="1" x14ac:dyDescent="0.8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22.5" customHeight="1" x14ac:dyDescent="0.8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22.5" customHeight="1" x14ac:dyDescent="0.8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22.5" customHeight="1" x14ac:dyDescent="0.8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22.5" customHeight="1" x14ac:dyDescent="0.8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22.5" customHeight="1" x14ac:dyDescent="0.8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22.5" customHeight="1" x14ac:dyDescent="0.8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22.5" customHeight="1" x14ac:dyDescent="0.8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22.5" customHeight="1" x14ac:dyDescent="0.8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22.5" customHeight="1" x14ac:dyDescent="0.8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22.5" customHeight="1" x14ac:dyDescent="0.8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22.5" customHeight="1" x14ac:dyDescent="0.8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22.5" customHeight="1" x14ac:dyDescent="0.8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22.5" customHeight="1" x14ac:dyDescent="0.8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22.5" customHeight="1" x14ac:dyDescent="0.8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22.5" customHeight="1" x14ac:dyDescent="0.8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22.5" customHeight="1" x14ac:dyDescent="0.8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22.5" customHeight="1" x14ac:dyDescent="0.8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22.5" customHeight="1" x14ac:dyDescent="0.8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22.5" customHeight="1" x14ac:dyDescent="0.8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22.5" customHeight="1" x14ac:dyDescent="0.8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22.5" customHeight="1" x14ac:dyDescent="0.8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22.5" customHeight="1" x14ac:dyDescent="0.8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22.5" customHeight="1" x14ac:dyDescent="0.8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22.5" customHeight="1" x14ac:dyDescent="0.8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22.5" customHeight="1" x14ac:dyDescent="0.8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22.5" customHeight="1" x14ac:dyDescent="0.8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22.5" customHeight="1" x14ac:dyDescent="0.8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22.5" customHeight="1" x14ac:dyDescent="0.8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22.5" customHeight="1" x14ac:dyDescent="0.8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22.5" customHeight="1" x14ac:dyDescent="0.8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22.5" customHeight="1" x14ac:dyDescent="0.8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22.5" customHeight="1" x14ac:dyDescent="0.8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22.5" customHeight="1" x14ac:dyDescent="0.8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22.5" customHeight="1" x14ac:dyDescent="0.8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22.5" customHeight="1" x14ac:dyDescent="0.8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22.5" customHeight="1" x14ac:dyDescent="0.8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22.5" customHeight="1" x14ac:dyDescent="0.8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22.5" customHeight="1" x14ac:dyDescent="0.8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22.5" customHeight="1" x14ac:dyDescent="0.8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22.5" customHeight="1" x14ac:dyDescent="0.8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22.5" customHeight="1" x14ac:dyDescent="0.8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22.5" customHeight="1" x14ac:dyDescent="0.8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22.5" customHeight="1" x14ac:dyDescent="0.8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22.5" customHeight="1" x14ac:dyDescent="0.8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22.5" customHeight="1" x14ac:dyDescent="0.8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22.5" customHeight="1" x14ac:dyDescent="0.8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22.5" customHeight="1" x14ac:dyDescent="0.8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22.5" customHeight="1" x14ac:dyDescent="0.8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22.5" customHeight="1" x14ac:dyDescent="0.8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22.5" customHeight="1" x14ac:dyDescent="0.8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22.5" customHeight="1" x14ac:dyDescent="0.8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22.5" customHeight="1" x14ac:dyDescent="0.8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22.5" customHeight="1" x14ac:dyDescent="0.8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22.5" customHeight="1" x14ac:dyDescent="0.8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22.5" customHeight="1" x14ac:dyDescent="0.8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22.5" customHeight="1" x14ac:dyDescent="0.8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22.5" customHeight="1" x14ac:dyDescent="0.8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22.5" customHeight="1" x14ac:dyDescent="0.8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22.5" customHeight="1" x14ac:dyDescent="0.8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22.5" customHeight="1" x14ac:dyDescent="0.8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22.5" customHeight="1" x14ac:dyDescent="0.8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22.5" customHeight="1" x14ac:dyDescent="0.8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22.5" customHeight="1" x14ac:dyDescent="0.8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22.5" customHeight="1" x14ac:dyDescent="0.8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22.5" customHeight="1" x14ac:dyDescent="0.8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22.5" customHeight="1" x14ac:dyDescent="0.8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22.5" customHeight="1" x14ac:dyDescent="0.8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22.5" customHeight="1" x14ac:dyDescent="0.8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22.5" customHeight="1" x14ac:dyDescent="0.8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22.5" customHeight="1" x14ac:dyDescent="0.8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22.5" customHeight="1" x14ac:dyDescent="0.8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22.5" customHeight="1" x14ac:dyDescent="0.8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22.5" customHeight="1" x14ac:dyDescent="0.8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22.5" customHeight="1" x14ac:dyDescent="0.8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22.5" customHeight="1" x14ac:dyDescent="0.8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22.5" customHeight="1" x14ac:dyDescent="0.8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22.5" customHeight="1" x14ac:dyDescent="0.8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22.5" customHeight="1" x14ac:dyDescent="0.8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22.5" customHeight="1" x14ac:dyDescent="0.8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22.5" customHeight="1" x14ac:dyDescent="0.8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22.5" customHeight="1" x14ac:dyDescent="0.8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22.5" customHeight="1" x14ac:dyDescent="0.8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22.5" customHeight="1" x14ac:dyDescent="0.8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22.5" customHeight="1" x14ac:dyDescent="0.8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22.5" customHeight="1" x14ac:dyDescent="0.8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22.5" customHeight="1" x14ac:dyDescent="0.8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22.5" customHeight="1" x14ac:dyDescent="0.8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22.5" customHeight="1" x14ac:dyDescent="0.8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22.5" customHeight="1" x14ac:dyDescent="0.8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22.5" customHeight="1" x14ac:dyDescent="0.8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22.5" customHeight="1" x14ac:dyDescent="0.8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22.5" customHeight="1" x14ac:dyDescent="0.8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22.5" customHeight="1" x14ac:dyDescent="0.8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22.5" customHeight="1" x14ac:dyDescent="0.8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22.5" customHeight="1" x14ac:dyDescent="0.8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22.5" customHeight="1" x14ac:dyDescent="0.8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22.5" customHeight="1" x14ac:dyDescent="0.8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22.5" customHeight="1" x14ac:dyDescent="0.8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22.5" customHeight="1" x14ac:dyDescent="0.8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22.5" customHeight="1" x14ac:dyDescent="0.8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22.5" customHeight="1" x14ac:dyDescent="0.8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22.5" customHeight="1" x14ac:dyDescent="0.8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22.5" customHeight="1" x14ac:dyDescent="0.8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22.5" customHeight="1" x14ac:dyDescent="0.8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22.5" customHeight="1" x14ac:dyDescent="0.8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22.5" customHeight="1" x14ac:dyDescent="0.8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22.5" customHeight="1" x14ac:dyDescent="0.8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22.5" customHeight="1" x14ac:dyDescent="0.8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22.5" customHeight="1" x14ac:dyDescent="0.8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22.5" customHeight="1" x14ac:dyDescent="0.8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22.5" customHeight="1" x14ac:dyDescent="0.8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22.5" customHeight="1" x14ac:dyDescent="0.8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22.5" customHeight="1" x14ac:dyDescent="0.8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22.5" customHeight="1" x14ac:dyDescent="0.8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22.5" customHeight="1" x14ac:dyDescent="0.8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22.5" customHeight="1" x14ac:dyDescent="0.8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22.5" customHeight="1" x14ac:dyDescent="0.8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22.5" customHeight="1" x14ac:dyDescent="0.8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22.5" customHeight="1" x14ac:dyDescent="0.8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22.5" customHeight="1" x14ac:dyDescent="0.8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22.5" customHeight="1" x14ac:dyDescent="0.8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22.5" customHeight="1" x14ac:dyDescent="0.8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22.5" customHeight="1" x14ac:dyDescent="0.8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22.5" customHeight="1" x14ac:dyDescent="0.8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22.5" customHeight="1" x14ac:dyDescent="0.8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22.5" customHeight="1" x14ac:dyDescent="0.8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22.5" customHeight="1" x14ac:dyDescent="0.8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22.5" customHeight="1" x14ac:dyDescent="0.8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22.5" customHeight="1" x14ac:dyDescent="0.8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22.5" customHeight="1" x14ac:dyDescent="0.8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22.5" customHeight="1" x14ac:dyDescent="0.8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22.5" customHeight="1" x14ac:dyDescent="0.8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22.5" customHeight="1" x14ac:dyDescent="0.8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22.5" customHeight="1" x14ac:dyDescent="0.8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22.5" customHeight="1" x14ac:dyDescent="0.8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22.5" customHeight="1" x14ac:dyDescent="0.8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22.5" customHeight="1" x14ac:dyDescent="0.8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22.5" customHeight="1" x14ac:dyDescent="0.8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22.5" customHeight="1" x14ac:dyDescent="0.8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22.5" customHeight="1" x14ac:dyDescent="0.8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22.5" customHeight="1" x14ac:dyDescent="0.8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22.5" customHeight="1" x14ac:dyDescent="0.8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22.5" customHeight="1" x14ac:dyDescent="0.8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22.5" customHeight="1" x14ac:dyDescent="0.8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22.5" customHeight="1" x14ac:dyDescent="0.8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22.5" customHeight="1" x14ac:dyDescent="0.8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22.5" customHeight="1" x14ac:dyDescent="0.8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22.5" customHeight="1" x14ac:dyDescent="0.8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22.5" customHeight="1" x14ac:dyDescent="0.8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22.5" customHeight="1" x14ac:dyDescent="0.8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22.5" customHeight="1" x14ac:dyDescent="0.8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22.5" customHeight="1" x14ac:dyDescent="0.8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22.5" customHeight="1" x14ac:dyDescent="0.8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22.5" customHeight="1" x14ac:dyDescent="0.8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22.5" customHeight="1" x14ac:dyDescent="0.8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22.5" customHeight="1" x14ac:dyDescent="0.8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22.5" customHeight="1" x14ac:dyDescent="0.8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22.5" customHeight="1" x14ac:dyDescent="0.8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22.5" customHeight="1" x14ac:dyDescent="0.8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22.5" customHeight="1" x14ac:dyDescent="0.8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22.5" customHeight="1" x14ac:dyDescent="0.8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22.5" customHeight="1" x14ac:dyDescent="0.8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22.5" customHeight="1" x14ac:dyDescent="0.8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22.5" customHeight="1" x14ac:dyDescent="0.8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22.5" customHeight="1" x14ac:dyDescent="0.8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22.5" customHeight="1" x14ac:dyDescent="0.8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22.5" customHeight="1" x14ac:dyDescent="0.8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22.5" customHeight="1" x14ac:dyDescent="0.8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22.5" customHeight="1" x14ac:dyDescent="0.8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22.5" customHeight="1" x14ac:dyDescent="0.8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22.5" customHeight="1" x14ac:dyDescent="0.8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22.5" customHeight="1" x14ac:dyDescent="0.8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22.5" customHeight="1" x14ac:dyDescent="0.8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22.5" customHeight="1" x14ac:dyDescent="0.8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22.5" customHeight="1" x14ac:dyDescent="0.8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22.5" customHeight="1" x14ac:dyDescent="0.8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22.5" customHeight="1" x14ac:dyDescent="0.8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22.5" customHeight="1" x14ac:dyDescent="0.8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22.5" customHeight="1" x14ac:dyDescent="0.8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22.5" customHeight="1" x14ac:dyDescent="0.8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22.5" customHeight="1" x14ac:dyDescent="0.8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22.5" customHeight="1" x14ac:dyDescent="0.8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22.5" customHeight="1" x14ac:dyDescent="0.8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22.5" customHeight="1" x14ac:dyDescent="0.8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22.5" customHeight="1" x14ac:dyDescent="0.8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22.5" customHeight="1" x14ac:dyDescent="0.8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22.5" customHeight="1" x14ac:dyDescent="0.8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22.5" customHeight="1" x14ac:dyDescent="0.8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22.5" customHeight="1" x14ac:dyDescent="0.8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22.5" customHeight="1" x14ac:dyDescent="0.8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22.5" customHeight="1" x14ac:dyDescent="0.8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22.5" customHeight="1" x14ac:dyDescent="0.8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22.5" customHeight="1" x14ac:dyDescent="0.8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22.5" customHeight="1" x14ac:dyDescent="0.8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22.5" customHeight="1" x14ac:dyDescent="0.8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22.5" customHeight="1" x14ac:dyDescent="0.8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22.5" customHeight="1" x14ac:dyDescent="0.8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22.5" customHeight="1" x14ac:dyDescent="0.8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22.5" customHeight="1" x14ac:dyDescent="0.8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22.5" customHeight="1" x14ac:dyDescent="0.8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22.5" customHeight="1" x14ac:dyDescent="0.8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22.5" customHeight="1" x14ac:dyDescent="0.8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22.5" customHeight="1" x14ac:dyDescent="0.8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22.5" customHeight="1" x14ac:dyDescent="0.8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22.5" customHeight="1" x14ac:dyDescent="0.8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22.5" customHeight="1" x14ac:dyDescent="0.8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22.5" customHeight="1" x14ac:dyDescent="0.8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22.5" customHeight="1" x14ac:dyDescent="0.8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22.5" customHeight="1" x14ac:dyDescent="0.8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22.5" customHeight="1" x14ac:dyDescent="0.8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22.5" customHeight="1" x14ac:dyDescent="0.8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22.5" customHeight="1" x14ac:dyDescent="0.8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22.5" customHeight="1" x14ac:dyDescent="0.8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22.5" customHeight="1" x14ac:dyDescent="0.8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22.5" customHeight="1" x14ac:dyDescent="0.8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22.5" customHeight="1" x14ac:dyDescent="0.8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22.5" customHeight="1" x14ac:dyDescent="0.8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22.5" customHeight="1" x14ac:dyDescent="0.8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22.5" customHeight="1" x14ac:dyDescent="0.8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22.5" customHeight="1" x14ac:dyDescent="0.8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22.5" customHeight="1" x14ac:dyDescent="0.8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22.5" customHeight="1" x14ac:dyDescent="0.8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22.5" customHeight="1" x14ac:dyDescent="0.8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22.5" customHeight="1" x14ac:dyDescent="0.8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22.5" customHeight="1" x14ac:dyDescent="0.8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22.5" customHeight="1" x14ac:dyDescent="0.8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22.5" customHeight="1" x14ac:dyDescent="0.8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22.5" customHeight="1" x14ac:dyDescent="0.8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22.5" customHeight="1" x14ac:dyDescent="0.8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22.5" customHeight="1" x14ac:dyDescent="0.8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22.5" customHeight="1" x14ac:dyDescent="0.8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22.5" customHeight="1" x14ac:dyDescent="0.8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22.5" customHeight="1" x14ac:dyDescent="0.8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22.5" customHeight="1" x14ac:dyDescent="0.8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22.5" customHeight="1" x14ac:dyDescent="0.8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22.5" customHeight="1" x14ac:dyDescent="0.8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22.5" customHeight="1" x14ac:dyDescent="0.8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22.5" customHeight="1" x14ac:dyDescent="0.8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22.5" customHeight="1" x14ac:dyDescent="0.8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22.5" customHeight="1" x14ac:dyDescent="0.8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22.5" customHeight="1" x14ac:dyDescent="0.8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22.5" customHeight="1" x14ac:dyDescent="0.8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22.5" customHeight="1" x14ac:dyDescent="0.8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22.5" customHeight="1" x14ac:dyDescent="0.8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22.5" customHeight="1" x14ac:dyDescent="0.8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22.5" customHeight="1" x14ac:dyDescent="0.8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22.5" customHeight="1" x14ac:dyDescent="0.8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22.5" customHeight="1" x14ac:dyDescent="0.8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22.5" customHeight="1" x14ac:dyDescent="0.8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22.5" customHeight="1" x14ac:dyDescent="0.8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22.5" customHeight="1" x14ac:dyDescent="0.8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22.5" customHeight="1" x14ac:dyDescent="0.8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22.5" customHeight="1" x14ac:dyDescent="0.8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22.5" customHeight="1" x14ac:dyDescent="0.8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22.5" customHeight="1" x14ac:dyDescent="0.8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22.5" customHeight="1" x14ac:dyDescent="0.8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22.5" customHeight="1" x14ac:dyDescent="0.8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22.5" customHeight="1" x14ac:dyDescent="0.8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22.5" customHeight="1" x14ac:dyDescent="0.8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22.5" customHeight="1" x14ac:dyDescent="0.8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22.5" customHeight="1" x14ac:dyDescent="0.8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22.5" customHeight="1" x14ac:dyDescent="0.8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22.5" customHeight="1" x14ac:dyDescent="0.8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16">
    <mergeCell ref="F43:G43"/>
    <mergeCell ref="A47:A48"/>
    <mergeCell ref="A49:A50"/>
    <mergeCell ref="A1:I1"/>
    <mergeCell ref="A2:I2"/>
    <mergeCell ref="A15:H15"/>
    <mergeCell ref="A16:H16"/>
    <mergeCell ref="A19:I19"/>
    <mergeCell ref="E20:G20"/>
    <mergeCell ref="A24:I24"/>
    <mergeCell ref="A27:I27"/>
    <mergeCell ref="E21:G23"/>
    <mergeCell ref="E25:G25"/>
    <mergeCell ref="E26:G26"/>
    <mergeCell ref="E28:G28"/>
    <mergeCell ref="E29:G31"/>
  </mergeCells>
  <pageMargins left="0.7" right="0.7" top="0.75" bottom="0.75" header="0" footer="0"/>
  <pageSetup orientation="portrai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00708A"/>
  </sheetPr>
  <dimension ref="A1:Z1000"/>
  <sheetViews>
    <sheetView workbookViewId="0"/>
  </sheetViews>
  <sheetFormatPr defaultColWidth="11.23046875" defaultRowHeight="15" customHeight="1" outlineLevelRow="1" x14ac:dyDescent="0.85"/>
  <cols>
    <col min="1" max="1" width="41.921875" customWidth="1"/>
    <col min="2" max="6" width="28.3828125" customWidth="1"/>
    <col min="7" max="7" width="17.61328125" customWidth="1"/>
    <col min="8" max="26" width="8.61328125" customWidth="1"/>
  </cols>
  <sheetData>
    <row r="1" spans="1:26" ht="22.5" customHeight="1" x14ac:dyDescent="0.85">
      <c r="A1" s="786" t="s">
        <v>73</v>
      </c>
      <c r="B1" s="765"/>
      <c r="C1" s="765"/>
      <c r="D1" s="765"/>
      <c r="E1" s="765"/>
      <c r="F1" s="765"/>
      <c r="G1" s="762"/>
      <c r="H1" s="534"/>
      <c r="I1" s="534"/>
      <c r="J1" s="534"/>
      <c r="K1" s="534"/>
      <c r="L1" s="534"/>
      <c r="M1" s="534"/>
      <c r="N1" s="534"/>
      <c r="O1" s="534"/>
      <c r="P1" s="534"/>
      <c r="Q1" s="534"/>
      <c r="R1" s="534"/>
      <c r="S1" s="534"/>
      <c r="T1" s="534"/>
      <c r="U1" s="534"/>
      <c r="V1" s="534"/>
      <c r="W1" s="534"/>
      <c r="X1" s="534"/>
      <c r="Y1" s="534"/>
      <c r="Z1" s="534"/>
    </row>
    <row r="2" spans="1:26" ht="22.5" customHeight="1" x14ac:dyDescent="0.9">
      <c r="A2" s="858" t="s">
        <v>581</v>
      </c>
      <c r="B2" s="765"/>
      <c r="C2" s="765"/>
      <c r="D2" s="765"/>
      <c r="E2" s="765"/>
      <c r="F2" s="765"/>
      <c r="G2" s="762"/>
      <c r="H2" s="321"/>
      <c r="I2" s="321"/>
      <c r="J2" s="321"/>
      <c r="K2" s="321"/>
      <c r="L2" s="321"/>
      <c r="M2" s="321"/>
      <c r="N2" s="321"/>
      <c r="O2" s="321"/>
      <c r="P2" s="321"/>
      <c r="Q2" s="321"/>
      <c r="R2" s="321"/>
      <c r="S2" s="321"/>
      <c r="T2" s="321"/>
      <c r="U2" s="321"/>
      <c r="V2" s="321"/>
      <c r="W2" s="321"/>
      <c r="X2" s="321"/>
      <c r="Y2" s="321"/>
      <c r="Z2" s="321"/>
    </row>
    <row r="3" spans="1:26" ht="30.75" hidden="1" customHeight="1" outlineLevel="1" x14ac:dyDescent="0.85">
      <c r="A3" s="326" t="s">
        <v>582</v>
      </c>
      <c r="B3" s="357" t="s">
        <v>1213</v>
      </c>
      <c r="C3" s="357" t="s">
        <v>1214</v>
      </c>
      <c r="D3" s="358" t="s">
        <v>120</v>
      </c>
      <c r="E3" s="326" t="s">
        <v>121</v>
      </c>
      <c r="F3" s="326" t="s">
        <v>122</v>
      </c>
      <c r="G3" s="3"/>
      <c r="H3" s="3"/>
      <c r="I3" s="3"/>
      <c r="J3" s="3"/>
      <c r="K3" s="3"/>
      <c r="L3" s="3"/>
      <c r="M3" s="3"/>
      <c r="N3" s="3"/>
      <c r="O3" s="3"/>
      <c r="P3" s="3"/>
      <c r="Q3" s="3"/>
      <c r="R3" s="3"/>
      <c r="S3" s="3"/>
      <c r="T3" s="3"/>
      <c r="U3" s="3"/>
      <c r="V3" s="3"/>
      <c r="W3" s="3"/>
      <c r="X3" s="3"/>
      <c r="Y3" s="3"/>
      <c r="Z3" s="3"/>
    </row>
    <row r="4" spans="1:26" ht="21.75" hidden="1" customHeight="1" outlineLevel="1" x14ac:dyDescent="0.85">
      <c r="A4" s="86" t="s">
        <v>105</v>
      </c>
      <c r="B4" s="103">
        <f t="shared" ref="B4:B8" si="0">E18</f>
        <v>263.88106699674921</v>
      </c>
      <c r="C4" s="258" t="s">
        <v>106</v>
      </c>
      <c r="D4" s="535">
        <f>B4</f>
        <v>263.88106699674921</v>
      </c>
      <c r="E4" s="268" t="s">
        <v>106</v>
      </c>
      <c r="F4" s="268" t="s">
        <v>106</v>
      </c>
      <c r="G4" s="3"/>
      <c r="H4" s="3"/>
      <c r="I4" s="3"/>
      <c r="J4" s="3"/>
      <c r="K4" s="3"/>
      <c r="L4" s="3"/>
      <c r="M4" s="3"/>
      <c r="N4" s="3"/>
      <c r="O4" s="3"/>
      <c r="P4" s="3"/>
      <c r="Q4" s="3"/>
      <c r="R4" s="3"/>
      <c r="S4" s="3"/>
      <c r="T4" s="3"/>
      <c r="U4" s="3"/>
      <c r="V4" s="3"/>
      <c r="W4" s="3"/>
      <c r="X4" s="3"/>
      <c r="Y4" s="3"/>
      <c r="Z4" s="3"/>
    </row>
    <row r="5" spans="1:26" ht="22.5" hidden="1" customHeight="1" outlineLevel="1" x14ac:dyDescent="0.85">
      <c r="A5" s="89" t="s">
        <v>126</v>
      </c>
      <c r="B5" s="103">
        <f t="shared" si="0"/>
        <v>441.98599065915096</v>
      </c>
      <c r="C5" s="536">
        <f t="shared" ref="C5:C8" si="1">B5/$B$10</f>
        <v>1.7356408150407811E-3</v>
      </c>
      <c r="D5" s="535">
        <f t="shared" ref="D5:D8" si="2">E19</f>
        <v>441.98599065915096</v>
      </c>
      <c r="E5" s="268" t="s">
        <v>106</v>
      </c>
      <c r="F5" s="268" t="s">
        <v>106</v>
      </c>
      <c r="G5" s="15"/>
      <c r="H5" s="15"/>
      <c r="I5" s="15"/>
      <c r="J5" s="15"/>
      <c r="K5" s="15"/>
      <c r="L5" s="15"/>
      <c r="M5" s="15"/>
      <c r="N5" s="15"/>
      <c r="O5" s="15"/>
      <c r="P5" s="15"/>
      <c r="Q5" s="15"/>
      <c r="R5" s="15"/>
      <c r="S5" s="15"/>
      <c r="T5" s="15"/>
      <c r="U5" s="15"/>
      <c r="V5" s="15"/>
      <c r="W5" s="15"/>
      <c r="X5" s="15"/>
      <c r="Y5" s="15"/>
      <c r="Z5" s="15"/>
    </row>
    <row r="6" spans="1:26" ht="22.5" hidden="1" customHeight="1" outlineLevel="1" x14ac:dyDescent="0.85">
      <c r="A6" s="89" t="s">
        <v>127</v>
      </c>
      <c r="B6" s="103">
        <f t="shared" si="0"/>
        <v>507.53775280040867</v>
      </c>
      <c r="C6" s="536">
        <f t="shared" si="1"/>
        <v>1.9930569238648093E-3</v>
      </c>
      <c r="D6" s="535">
        <f t="shared" si="2"/>
        <v>507.53775280040867</v>
      </c>
      <c r="E6" s="268" t="s">
        <v>106</v>
      </c>
      <c r="F6" s="268" t="s">
        <v>106</v>
      </c>
      <c r="G6" s="15"/>
      <c r="H6" s="15"/>
      <c r="I6" s="15"/>
      <c r="J6" s="15"/>
      <c r="K6" s="15"/>
      <c r="L6" s="15"/>
      <c r="M6" s="15"/>
      <c r="N6" s="15"/>
      <c r="O6" s="15"/>
      <c r="P6" s="15"/>
      <c r="Q6" s="15"/>
      <c r="R6" s="15"/>
      <c r="S6" s="15"/>
      <c r="T6" s="15"/>
      <c r="U6" s="15"/>
      <c r="V6" s="15"/>
      <c r="W6" s="15"/>
      <c r="X6" s="15"/>
      <c r="Y6" s="15"/>
      <c r="Z6" s="15"/>
    </row>
    <row r="7" spans="1:26" ht="22.5" hidden="1" customHeight="1" outlineLevel="1" x14ac:dyDescent="0.85">
      <c r="A7" s="89" t="s">
        <v>128</v>
      </c>
      <c r="B7" s="103">
        <f t="shared" si="0"/>
        <v>144847.42741757038</v>
      </c>
      <c r="C7" s="258">
        <f t="shared" si="1"/>
        <v>0.56880333832451335</v>
      </c>
      <c r="D7" s="103">
        <f t="shared" si="2"/>
        <v>144847.42741757038</v>
      </c>
      <c r="E7" s="268" t="s">
        <v>106</v>
      </c>
      <c r="F7" s="268" t="s">
        <v>106</v>
      </c>
      <c r="G7" s="15"/>
      <c r="H7" s="15"/>
      <c r="I7" s="15"/>
      <c r="J7" s="15"/>
      <c r="K7" s="15"/>
      <c r="L7" s="15"/>
      <c r="M7" s="15"/>
      <c r="N7" s="15"/>
      <c r="O7" s="15"/>
      <c r="P7" s="15"/>
      <c r="Q7" s="15"/>
      <c r="R7" s="15"/>
      <c r="S7" s="15"/>
      <c r="T7" s="15"/>
      <c r="U7" s="15"/>
      <c r="V7" s="15"/>
      <c r="W7" s="15"/>
      <c r="X7" s="15"/>
      <c r="Y7" s="15"/>
      <c r="Z7" s="15"/>
    </row>
    <row r="8" spans="1:26" ht="22.5" hidden="1" customHeight="1" outlineLevel="1" x14ac:dyDescent="0.85">
      <c r="A8" s="89" t="s">
        <v>129</v>
      </c>
      <c r="B8" s="103">
        <f t="shared" si="0"/>
        <v>108855.96252305277</v>
      </c>
      <c r="C8" s="258">
        <f t="shared" si="1"/>
        <v>0.42746796393658115</v>
      </c>
      <c r="D8" s="103">
        <f t="shared" si="2"/>
        <v>108855.96252305277</v>
      </c>
      <c r="E8" s="268" t="s">
        <v>106</v>
      </c>
      <c r="F8" s="268" t="s">
        <v>106</v>
      </c>
      <c r="G8" s="15"/>
      <c r="H8" s="15"/>
      <c r="I8" s="15"/>
      <c r="J8" s="15"/>
      <c r="K8" s="15"/>
      <c r="L8" s="15"/>
      <c r="M8" s="15"/>
      <c r="N8" s="15"/>
      <c r="O8" s="15"/>
      <c r="P8" s="15"/>
      <c r="Q8" s="15"/>
      <c r="R8" s="15"/>
      <c r="S8" s="15"/>
      <c r="T8" s="15"/>
      <c r="U8" s="15"/>
      <c r="V8" s="15"/>
      <c r="W8" s="15"/>
      <c r="X8" s="15"/>
      <c r="Y8" s="15"/>
      <c r="Z8" s="15"/>
    </row>
    <row r="9" spans="1:26" ht="22.5" hidden="1" customHeight="1" outlineLevel="1" x14ac:dyDescent="0.85">
      <c r="A9" s="431" t="s">
        <v>590</v>
      </c>
      <c r="B9" s="347">
        <f>B4</f>
        <v>263.88106699674921</v>
      </c>
      <c r="C9" s="324" t="s">
        <v>106</v>
      </c>
      <c r="D9" s="347">
        <f>D4</f>
        <v>263.88106699674921</v>
      </c>
      <c r="E9" s="347" t="s">
        <v>106</v>
      </c>
      <c r="F9" s="347" t="s">
        <v>106</v>
      </c>
      <c r="G9" s="15"/>
      <c r="H9" s="15"/>
      <c r="I9" s="15"/>
      <c r="J9" s="15"/>
      <c r="K9" s="15"/>
      <c r="L9" s="15"/>
      <c r="M9" s="15"/>
      <c r="N9" s="15"/>
      <c r="O9" s="15"/>
      <c r="P9" s="15"/>
      <c r="Q9" s="15"/>
      <c r="R9" s="15"/>
      <c r="S9" s="15"/>
      <c r="T9" s="15"/>
      <c r="U9" s="15"/>
      <c r="V9" s="15"/>
      <c r="W9" s="15"/>
      <c r="X9" s="15"/>
      <c r="Y9" s="15"/>
      <c r="Z9" s="15"/>
    </row>
    <row r="10" spans="1:26" ht="24.75" hidden="1" customHeight="1" outlineLevel="1" x14ac:dyDescent="0.85">
      <c r="A10" s="431" t="s">
        <v>111</v>
      </c>
      <c r="B10" s="347">
        <f t="shared" ref="B10:D10" si="3">SUM(B5:B8)</f>
        <v>254652.91368408268</v>
      </c>
      <c r="C10" s="324">
        <f t="shared" si="3"/>
        <v>1</v>
      </c>
      <c r="D10" s="347">
        <f t="shared" si="3"/>
        <v>254652.91368408268</v>
      </c>
      <c r="E10" s="347" t="s">
        <v>106</v>
      </c>
      <c r="F10" s="347" t="s">
        <v>106</v>
      </c>
      <c r="G10" s="3"/>
      <c r="H10" s="3"/>
      <c r="I10" s="3"/>
      <c r="J10" s="3"/>
      <c r="K10" s="3"/>
      <c r="L10" s="3"/>
      <c r="M10" s="3"/>
      <c r="N10" s="3"/>
      <c r="O10" s="3"/>
      <c r="P10" s="3"/>
      <c r="Q10" s="3"/>
      <c r="R10" s="3"/>
      <c r="S10" s="3"/>
      <c r="T10" s="3"/>
      <c r="U10" s="3"/>
      <c r="V10" s="3"/>
      <c r="W10" s="3"/>
      <c r="X10" s="3"/>
      <c r="Y10" s="3"/>
      <c r="Z10" s="3"/>
    </row>
    <row r="11" spans="1:26" ht="24.75" hidden="1" customHeight="1" outlineLevel="1" x14ac:dyDescent="0.85">
      <c r="A11" s="537" t="s">
        <v>1215</v>
      </c>
      <c r="B11" s="538">
        <f>B10-'Transit Data'!F50</f>
        <v>242851.66199368268</v>
      </c>
      <c r="C11" s="539" t="s">
        <v>106</v>
      </c>
      <c r="D11" s="538">
        <f>D10-'Transit Data'!F50</f>
        <v>242851.66199368268</v>
      </c>
      <c r="E11" s="538" t="s">
        <v>106</v>
      </c>
      <c r="F11" s="538" t="s">
        <v>106</v>
      </c>
      <c r="G11" s="3"/>
      <c r="H11" s="3"/>
      <c r="I11" s="3"/>
      <c r="J11" s="3"/>
      <c r="K11" s="3"/>
      <c r="L11" s="3"/>
      <c r="M11" s="3"/>
      <c r="N11" s="3"/>
      <c r="O11" s="3"/>
      <c r="P11" s="3"/>
      <c r="Q11" s="3"/>
      <c r="R11" s="3"/>
      <c r="S11" s="3"/>
      <c r="T11" s="3"/>
      <c r="U11" s="3"/>
      <c r="V11" s="3"/>
      <c r="W11" s="3"/>
      <c r="X11" s="3"/>
      <c r="Y11" s="3"/>
      <c r="Z11" s="3"/>
    </row>
    <row r="12" spans="1:26" ht="32.25" customHeight="1" collapsed="1" x14ac:dyDescent="0.85">
      <c r="A12" s="858" t="s">
        <v>591</v>
      </c>
      <c r="B12" s="765"/>
      <c r="C12" s="765"/>
      <c r="D12" s="765"/>
      <c r="E12" s="765"/>
      <c r="F12" s="765"/>
      <c r="G12" s="762"/>
      <c r="H12" s="3"/>
      <c r="I12" s="3"/>
      <c r="J12" s="3"/>
      <c r="K12" s="3"/>
      <c r="L12" s="3"/>
      <c r="M12" s="3"/>
      <c r="N12" s="3"/>
      <c r="O12" s="3"/>
      <c r="P12" s="3"/>
      <c r="Q12" s="3"/>
      <c r="R12" s="3"/>
      <c r="S12" s="3"/>
      <c r="T12" s="3"/>
      <c r="U12" s="3"/>
      <c r="V12" s="3"/>
      <c r="W12" s="3"/>
      <c r="X12" s="3"/>
      <c r="Y12" s="3"/>
      <c r="Z12" s="3"/>
    </row>
    <row r="13" spans="1:26" ht="24" hidden="1" customHeight="1" outlineLevel="1" x14ac:dyDescent="0.85">
      <c r="A13" s="890" t="s">
        <v>1216</v>
      </c>
      <c r="B13" s="790"/>
      <c r="C13" s="790"/>
      <c r="D13" s="790"/>
      <c r="E13" s="790"/>
      <c r="F13" s="791"/>
      <c r="G13" s="15"/>
      <c r="H13" s="15"/>
      <c r="I13" s="15"/>
      <c r="J13" s="15"/>
      <c r="K13" s="15"/>
      <c r="L13" s="15"/>
      <c r="M13" s="15"/>
      <c r="N13" s="15"/>
      <c r="O13" s="15"/>
      <c r="P13" s="15"/>
      <c r="Q13" s="15"/>
      <c r="R13" s="15"/>
      <c r="S13" s="15"/>
      <c r="T13" s="15"/>
      <c r="U13" s="15"/>
      <c r="V13" s="15"/>
      <c r="W13" s="15"/>
      <c r="X13" s="15"/>
      <c r="Y13" s="15"/>
      <c r="Z13" s="15"/>
    </row>
    <row r="14" spans="1:26" ht="24" hidden="1" customHeight="1" outlineLevel="1" x14ac:dyDescent="0.85">
      <c r="A14" s="889" t="s">
        <v>1217</v>
      </c>
      <c r="B14" s="790"/>
      <c r="C14" s="790"/>
      <c r="D14" s="790"/>
      <c r="E14" s="790"/>
      <c r="F14" s="791"/>
      <c r="G14" s="15"/>
      <c r="H14" s="15"/>
      <c r="I14" s="15"/>
      <c r="J14" s="15"/>
      <c r="K14" s="15"/>
      <c r="L14" s="15"/>
      <c r="M14" s="15"/>
      <c r="N14" s="15"/>
      <c r="O14" s="15"/>
      <c r="P14" s="15"/>
      <c r="Q14" s="15"/>
      <c r="R14" s="15"/>
      <c r="S14" s="15"/>
      <c r="T14" s="15"/>
      <c r="U14" s="15"/>
      <c r="V14" s="15"/>
      <c r="W14" s="15"/>
      <c r="X14" s="15"/>
      <c r="Y14" s="15"/>
      <c r="Z14" s="15"/>
    </row>
    <row r="15" spans="1:26" ht="24" hidden="1" customHeight="1" outlineLevel="1" x14ac:dyDescent="0.85">
      <c r="A15" s="889" t="s">
        <v>1218</v>
      </c>
      <c r="B15" s="790"/>
      <c r="C15" s="790"/>
      <c r="D15" s="790"/>
      <c r="E15" s="790"/>
      <c r="F15" s="791"/>
      <c r="G15" s="15"/>
      <c r="H15" s="15"/>
      <c r="I15" s="15"/>
      <c r="J15" s="15"/>
      <c r="K15" s="15"/>
      <c r="L15" s="15"/>
      <c r="M15" s="15"/>
      <c r="N15" s="15"/>
      <c r="O15" s="15"/>
      <c r="P15" s="15"/>
      <c r="Q15" s="15"/>
      <c r="R15" s="15"/>
      <c r="S15" s="15"/>
      <c r="T15" s="15"/>
      <c r="U15" s="15"/>
      <c r="V15" s="15"/>
      <c r="W15" s="15"/>
      <c r="X15" s="15"/>
      <c r="Y15" s="15"/>
      <c r="Z15" s="15"/>
    </row>
    <row r="16" spans="1:26" ht="32.25" customHeight="1" collapsed="1" x14ac:dyDescent="0.85">
      <c r="A16" s="858" t="s">
        <v>254</v>
      </c>
      <c r="B16" s="765"/>
      <c r="C16" s="765"/>
      <c r="D16" s="765"/>
      <c r="E16" s="765"/>
      <c r="F16" s="765"/>
      <c r="G16" s="762"/>
      <c r="H16" s="3"/>
      <c r="I16" s="3"/>
      <c r="J16" s="3"/>
      <c r="K16" s="3"/>
      <c r="L16" s="3"/>
      <c r="M16" s="3"/>
      <c r="N16" s="3"/>
      <c r="O16" s="3"/>
      <c r="P16" s="3"/>
      <c r="Q16" s="3"/>
      <c r="R16" s="3"/>
      <c r="S16" s="3"/>
      <c r="T16" s="3"/>
      <c r="U16" s="3"/>
      <c r="V16" s="3"/>
      <c r="W16" s="3"/>
      <c r="X16" s="3"/>
      <c r="Y16" s="3"/>
      <c r="Z16" s="3"/>
    </row>
    <row r="17" spans="1:26" ht="23.25" hidden="1" customHeight="1" outlineLevel="1" x14ac:dyDescent="0.85">
      <c r="A17" s="289" t="s">
        <v>102</v>
      </c>
      <c r="B17" s="289" t="s">
        <v>1198</v>
      </c>
      <c r="C17" s="289" t="s">
        <v>1199</v>
      </c>
      <c r="D17" s="289" t="s">
        <v>1200</v>
      </c>
      <c r="E17" s="289" t="s">
        <v>118</v>
      </c>
      <c r="F17" s="1"/>
      <c r="G17" s="1"/>
      <c r="H17" s="1"/>
      <c r="I17" s="1"/>
      <c r="J17" s="1"/>
      <c r="K17" s="1"/>
      <c r="L17" s="1"/>
      <c r="M17" s="1"/>
      <c r="N17" s="1"/>
      <c r="O17" s="1"/>
      <c r="P17" s="1"/>
      <c r="Q17" s="1"/>
      <c r="R17" s="1"/>
      <c r="S17" s="1"/>
      <c r="T17" s="1"/>
      <c r="U17" s="1"/>
      <c r="V17" s="1"/>
      <c r="W17" s="1"/>
      <c r="X17" s="1"/>
      <c r="Y17" s="1"/>
      <c r="Z17" s="1"/>
    </row>
    <row r="18" spans="1:26" ht="23.25" hidden="1" customHeight="1" outlineLevel="1" x14ac:dyDescent="0.85">
      <c r="A18" s="89" t="s">
        <v>105</v>
      </c>
      <c r="B18" s="480">
        <v>288.29652334587473</v>
      </c>
      <c r="C18" s="540">
        <v>2.2628506772896458E-2</v>
      </c>
      <c r="D18" s="540">
        <v>7.3542641041564371E-3</v>
      </c>
      <c r="E18" s="103">
        <f>(B18*'Conversion Factors and GWP'!$A$26)+(C18*'Conversion Factors and GWP'!$C$31*'Conversion Factors and GWP'!$A$26)+('Railways Data'!D18*'Conversion Factors and GWP'!$C$32*'Conversion Factors and GWP'!$A$26)</f>
        <v>263.88106699674921</v>
      </c>
      <c r="F18" s="1"/>
      <c r="G18" s="1"/>
      <c r="H18" s="1"/>
      <c r="I18" s="1"/>
      <c r="J18" s="1"/>
      <c r="K18" s="1"/>
      <c r="L18" s="1"/>
      <c r="M18" s="1"/>
      <c r="N18" s="1"/>
      <c r="O18" s="1"/>
      <c r="P18" s="1"/>
      <c r="Q18" s="1"/>
      <c r="R18" s="1"/>
      <c r="S18" s="1"/>
      <c r="T18" s="1"/>
      <c r="U18" s="1"/>
      <c r="V18" s="1"/>
      <c r="W18" s="1"/>
      <c r="X18" s="1"/>
      <c r="Y18" s="1"/>
      <c r="Z18" s="1"/>
    </row>
    <row r="19" spans="1:26" ht="23.25" hidden="1" customHeight="1" outlineLevel="1" x14ac:dyDescent="0.85">
      <c r="A19" s="89" t="s">
        <v>126</v>
      </c>
      <c r="B19" s="480">
        <v>482.88051100000001</v>
      </c>
      <c r="C19" s="540">
        <v>3.7901480000000001E-2</v>
      </c>
      <c r="D19" s="540">
        <v>1.2317979999999999E-2</v>
      </c>
      <c r="E19" s="103">
        <f>(B19*'Conversion Factors and GWP'!$A$26)+(C19*'Conversion Factors and GWP'!$C$31*'Conversion Factors and GWP'!$A$26)+('Railways Data'!D19*'Conversion Factors and GWP'!$C$32*'Conversion Factors and GWP'!$A$26)</f>
        <v>441.98599065915096</v>
      </c>
      <c r="F19" s="15"/>
      <c r="G19" s="15"/>
      <c r="H19" s="15"/>
      <c r="I19" s="15"/>
      <c r="J19" s="15"/>
      <c r="K19" s="15"/>
      <c r="L19" s="15"/>
      <c r="M19" s="15"/>
      <c r="N19" s="15"/>
      <c r="O19" s="15"/>
      <c r="P19" s="15"/>
      <c r="Q19" s="15"/>
      <c r="R19" s="15"/>
      <c r="S19" s="15"/>
      <c r="T19" s="15"/>
      <c r="U19" s="15"/>
      <c r="V19" s="15"/>
      <c r="W19" s="15"/>
      <c r="X19" s="15"/>
      <c r="Y19" s="15"/>
      <c r="Z19" s="15"/>
    </row>
    <row r="20" spans="1:26" ht="23.25" hidden="1" customHeight="1" outlineLevel="1" x14ac:dyDescent="0.85">
      <c r="A20" s="89" t="s">
        <v>127</v>
      </c>
      <c r="B20" s="480">
        <v>554.49649999999997</v>
      </c>
      <c r="C20" s="540">
        <v>4.3530729999999997E-2</v>
      </c>
      <c r="D20" s="540">
        <v>1.414749E-2</v>
      </c>
      <c r="E20" s="103">
        <f>(B20*'Conversion Factors and GWP'!$A$26)+(C20*'Conversion Factors and GWP'!$C$31*'Conversion Factors and GWP'!$A$26)+('Railways Data'!D20*'Conversion Factors and GWP'!$C$32*'Conversion Factors and GWP'!$A$26)</f>
        <v>507.53775280040867</v>
      </c>
      <c r="F20" s="15"/>
      <c r="G20" s="15"/>
      <c r="H20" s="15"/>
      <c r="I20" s="15"/>
      <c r="J20" s="15"/>
      <c r="K20" s="15"/>
      <c r="L20" s="15"/>
      <c r="M20" s="15"/>
      <c r="N20" s="15"/>
      <c r="O20" s="15"/>
      <c r="P20" s="15"/>
      <c r="Q20" s="15"/>
      <c r="R20" s="15"/>
      <c r="S20" s="15"/>
      <c r="T20" s="15"/>
      <c r="U20" s="15"/>
      <c r="V20" s="15"/>
      <c r="W20" s="15"/>
      <c r="X20" s="15"/>
      <c r="Y20" s="15"/>
      <c r="Z20" s="15"/>
    </row>
    <row r="21" spans="1:26" ht="23.25" hidden="1" customHeight="1" outlineLevel="1" x14ac:dyDescent="0.85">
      <c r="A21" s="89" t="s">
        <v>128</v>
      </c>
      <c r="B21" s="480">
        <v>158243.5</v>
      </c>
      <c r="C21" s="480">
        <v>12.472390000000001</v>
      </c>
      <c r="D21" s="480">
        <v>4.053528</v>
      </c>
      <c r="E21" s="103">
        <f>(B21*'Conversion Factors and GWP'!$A$26)+(C21*'Conversion Factors and GWP'!$C$31*'Conversion Factors and GWP'!$A$26)+('Railways Data'!D21*'Conversion Factors and GWP'!$C$32*'Conversion Factors and GWP'!$A$26)</f>
        <v>144847.42741757038</v>
      </c>
      <c r="F21" s="15"/>
      <c r="G21" s="15"/>
      <c r="H21" s="15"/>
      <c r="I21" s="15"/>
      <c r="J21" s="15"/>
      <c r="K21" s="15"/>
      <c r="L21" s="15"/>
      <c r="M21" s="15"/>
      <c r="N21" s="15"/>
      <c r="O21" s="15"/>
      <c r="P21" s="15"/>
      <c r="Q21" s="15"/>
      <c r="R21" s="15"/>
      <c r="S21" s="15"/>
      <c r="T21" s="15"/>
      <c r="U21" s="15"/>
      <c r="V21" s="15"/>
      <c r="W21" s="15"/>
      <c r="X21" s="15"/>
      <c r="Y21" s="15"/>
      <c r="Z21" s="15"/>
    </row>
    <row r="22" spans="1:26" ht="23.25" hidden="1" customHeight="1" outlineLevel="1" x14ac:dyDescent="0.85">
      <c r="A22" s="89" t="s">
        <v>129</v>
      </c>
      <c r="B22" s="480">
        <v>118923.3992</v>
      </c>
      <c r="C22" s="480">
        <v>9.3732758099999991</v>
      </c>
      <c r="D22" s="480">
        <v>3.0463148599999998</v>
      </c>
      <c r="E22" s="103">
        <f>(B22*'Conversion Factors and GWP'!$A$26)+(C22*'Conversion Factors and GWP'!$C$31*'Conversion Factors and GWP'!$A$26)+('Railways Data'!D22*'Conversion Factors and GWP'!$C$32*'Conversion Factors and GWP'!$A$26)</f>
        <v>108855.96252305277</v>
      </c>
      <c r="F22" s="15"/>
      <c r="G22" s="15"/>
      <c r="H22" s="15"/>
      <c r="I22" s="15"/>
      <c r="J22" s="15"/>
      <c r="K22" s="15"/>
      <c r="L22" s="15"/>
      <c r="M22" s="15"/>
      <c r="N22" s="15"/>
      <c r="O22" s="15"/>
      <c r="P22" s="15"/>
      <c r="Q22" s="15"/>
      <c r="R22" s="15"/>
      <c r="S22" s="15"/>
      <c r="T22" s="15"/>
      <c r="U22" s="15"/>
      <c r="V22" s="15"/>
      <c r="W22" s="15"/>
      <c r="X22" s="15"/>
      <c r="Y22" s="15"/>
      <c r="Z22" s="15"/>
    </row>
    <row r="23" spans="1:26" ht="22.5" hidden="1" customHeight="1" outlineLevel="1" x14ac:dyDescent="0.85">
      <c r="A23" s="452" t="s">
        <v>590</v>
      </c>
      <c r="B23" s="261">
        <f t="shared" ref="B23:E23" si="4">B18</f>
        <v>288.29652334587473</v>
      </c>
      <c r="C23" s="541">
        <f t="shared" si="4"/>
        <v>2.2628506772896458E-2</v>
      </c>
      <c r="D23" s="541">
        <f t="shared" si="4"/>
        <v>7.3542641041564371E-3</v>
      </c>
      <c r="E23" s="261">
        <f t="shared" si="4"/>
        <v>263.88106699674921</v>
      </c>
      <c r="F23" s="542"/>
      <c r="G23" s="3"/>
      <c r="H23" s="3"/>
      <c r="I23" s="3"/>
      <c r="J23" s="3"/>
      <c r="K23" s="3"/>
      <c r="L23" s="3"/>
      <c r="M23" s="3"/>
      <c r="N23" s="3"/>
      <c r="O23" s="3"/>
      <c r="P23" s="3"/>
      <c r="Q23" s="3"/>
      <c r="R23" s="3"/>
      <c r="S23" s="3"/>
      <c r="T23" s="3"/>
      <c r="U23" s="3"/>
      <c r="V23" s="3"/>
      <c r="W23" s="3"/>
      <c r="X23" s="3"/>
      <c r="Y23" s="3"/>
      <c r="Z23" s="3"/>
    </row>
    <row r="24" spans="1:26" ht="22.5" hidden="1" customHeight="1" outlineLevel="1" x14ac:dyDescent="0.85">
      <c r="A24" s="452" t="s">
        <v>111</v>
      </c>
      <c r="B24" s="261">
        <f t="shared" ref="B24:E24" si="5">SUM(B19:B22)</f>
        <v>278204.27621099999</v>
      </c>
      <c r="C24" s="261">
        <f t="shared" si="5"/>
        <v>21.927098019999999</v>
      </c>
      <c r="D24" s="261">
        <f t="shared" si="5"/>
        <v>7.1263083299999996</v>
      </c>
      <c r="E24" s="261">
        <f t="shared" si="5"/>
        <v>254652.91368408268</v>
      </c>
      <c r="F24" s="542"/>
      <c r="G24" s="3"/>
      <c r="H24" s="3"/>
      <c r="I24" s="3"/>
      <c r="J24" s="3"/>
      <c r="K24" s="3"/>
      <c r="L24" s="3"/>
      <c r="M24" s="3"/>
      <c r="N24" s="3"/>
      <c r="O24" s="3"/>
      <c r="P24" s="3"/>
      <c r="Q24" s="3"/>
      <c r="R24" s="3"/>
      <c r="S24" s="3"/>
      <c r="T24" s="3"/>
      <c r="U24" s="3"/>
      <c r="V24" s="3"/>
      <c r="W24" s="3"/>
      <c r="X24" s="3"/>
      <c r="Y24" s="3"/>
      <c r="Z24" s="3"/>
    </row>
    <row r="25" spans="1:26" ht="22.5" hidden="1" customHeight="1" outlineLevel="1" x14ac:dyDescent="0.85">
      <c r="A25" s="537" t="s">
        <v>1219</v>
      </c>
      <c r="B25" s="543">
        <f>(B24*'Conversion Factors and GWP'!$A$26)-'Transit Data'!C50</f>
        <v>240686.08863447604</v>
      </c>
      <c r="C25" s="543">
        <f>(C24*'Conversion Factors and GWP'!$A$26)-'Transit Data'!D50</f>
        <v>18.975448017273699</v>
      </c>
      <c r="D25" s="543">
        <f>(D24*'Conversion Factors and GWP'!$A$26)-'Transit Data'!E50</f>
        <v>6.1670219423510497</v>
      </c>
      <c r="E25" s="543">
        <f>E24-'Transit Data'!F50</f>
        <v>242851.66199368268</v>
      </c>
      <c r="F25" s="542"/>
      <c r="G25" s="3"/>
      <c r="H25" s="3"/>
      <c r="I25" s="3"/>
      <c r="J25" s="3"/>
      <c r="K25" s="3"/>
      <c r="L25" s="3"/>
      <c r="M25" s="3"/>
      <c r="N25" s="3"/>
      <c r="O25" s="3"/>
      <c r="P25" s="3"/>
      <c r="Q25" s="3"/>
      <c r="R25" s="3"/>
      <c r="S25" s="3"/>
      <c r="T25" s="3"/>
      <c r="U25" s="3"/>
      <c r="V25" s="3"/>
      <c r="W25" s="3"/>
      <c r="X25" s="3"/>
      <c r="Y25" s="3"/>
      <c r="Z25" s="3"/>
    </row>
    <row r="26" spans="1:26" ht="22.5" customHeight="1" collapsed="1" x14ac:dyDescent="0.85">
      <c r="A26" s="542"/>
      <c r="B26" s="544"/>
      <c r="C26" s="542"/>
      <c r="D26" s="542"/>
      <c r="E26" s="542"/>
      <c r="F26" s="542"/>
      <c r="G26" s="3"/>
      <c r="H26" s="3"/>
      <c r="I26" s="3"/>
      <c r="J26" s="3"/>
      <c r="K26" s="3"/>
      <c r="L26" s="3"/>
      <c r="M26" s="3"/>
      <c r="N26" s="3"/>
      <c r="O26" s="3"/>
      <c r="P26" s="3"/>
      <c r="Q26" s="3"/>
      <c r="R26" s="3"/>
      <c r="S26" s="3"/>
      <c r="T26" s="3"/>
      <c r="U26" s="3"/>
      <c r="V26" s="3"/>
      <c r="W26" s="3"/>
      <c r="X26" s="3"/>
      <c r="Y26" s="3"/>
      <c r="Z26" s="3"/>
    </row>
    <row r="27" spans="1:26" ht="22.5" customHeight="1" x14ac:dyDescent="0.85">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22.5" customHeight="1" x14ac:dyDescent="0.85">
      <c r="A28" s="3"/>
      <c r="B28" s="533"/>
      <c r="C28" s="533"/>
      <c r="D28" s="533"/>
      <c r="E28" s="3"/>
      <c r="F28" s="3"/>
      <c r="G28" s="3"/>
      <c r="H28" s="3"/>
      <c r="I28" s="3"/>
      <c r="J28" s="3"/>
      <c r="K28" s="3"/>
      <c r="L28" s="3"/>
      <c r="M28" s="3"/>
      <c r="N28" s="3"/>
      <c r="O28" s="3"/>
      <c r="P28" s="3"/>
      <c r="Q28" s="3"/>
      <c r="R28" s="3"/>
      <c r="S28" s="3"/>
      <c r="T28" s="3"/>
      <c r="U28" s="3"/>
      <c r="V28" s="3"/>
      <c r="W28" s="3"/>
      <c r="X28" s="3"/>
      <c r="Y28" s="3"/>
      <c r="Z28" s="3"/>
    </row>
    <row r="29" spans="1:26" ht="22.5" customHeight="1" x14ac:dyDescent="0.85">
      <c r="A29" s="3"/>
      <c r="B29" s="533"/>
      <c r="C29" s="533"/>
      <c r="D29" s="533"/>
      <c r="E29" s="3"/>
      <c r="F29" s="3"/>
      <c r="G29" s="3"/>
      <c r="H29" s="3"/>
      <c r="I29" s="3"/>
      <c r="J29" s="3"/>
      <c r="K29" s="3"/>
      <c r="L29" s="3"/>
      <c r="M29" s="3"/>
      <c r="N29" s="3"/>
      <c r="O29" s="3"/>
      <c r="P29" s="3"/>
      <c r="Q29" s="3"/>
      <c r="R29" s="3"/>
      <c r="S29" s="3"/>
      <c r="T29" s="3"/>
      <c r="U29" s="3"/>
      <c r="V29" s="3"/>
      <c r="W29" s="3"/>
      <c r="X29" s="3"/>
      <c r="Y29" s="3"/>
      <c r="Z29" s="3"/>
    </row>
    <row r="30" spans="1:26" ht="22.5" customHeight="1" x14ac:dyDescent="0.85">
      <c r="A30" s="3"/>
      <c r="B30" s="533"/>
      <c r="C30" s="533"/>
      <c r="D30" s="533"/>
      <c r="E30" s="3"/>
      <c r="F30" s="3"/>
      <c r="G30" s="3"/>
      <c r="H30" s="3"/>
      <c r="I30" s="3"/>
      <c r="J30" s="3"/>
      <c r="K30" s="3"/>
      <c r="L30" s="3"/>
      <c r="M30" s="3"/>
      <c r="N30" s="3"/>
      <c r="O30" s="3"/>
      <c r="P30" s="3"/>
      <c r="Q30" s="3"/>
      <c r="R30" s="3"/>
      <c r="S30" s="3"/>
      <c r="T30" s="3"/>
      <c r="U30" s="3"/>
      <c r="V30" s="3"/>
      <c r="W30" s="3"/>
      <c r="X30" s="3"/>
      <c r="Y30" s="3"/>
      <c r="Z30" s="3"/>
    </row>
    <row r="31" spans="1:26" ht="22.5" customHeight="1" x14ac:dyDescent="0.85">
      <c r="A31" s="3"/>
      <c r="B31" s="533"/>
      <c r="C31" s="533"/>
      <c r="D31" s="533"/>
      <c r="E31" s="3"/>
      <c r="F31" s="3"/>
      <c r="G31" s="3"/>
      <c r="H31" s="3"/>
      <c r="I31" s="3"/>
      <c r="J31" s="3"/>
      <c r="K31" s="3"/>
      <c r="L31" s="3"/>
      <c r="M31" s="3"/>
      <c r="N31" s="3"/>
      <c r="O31" s="3"/>
      <c r="P31" s="3"/>
      <c r="Q31" s="3"/>
      <c r="R31" s="3"/>
      <c r="S31" s="3"/>
      <c r="T31" s="3"/>
      <c r="U31" s="3"/>
      <c r="V31" s="3"/>
      <c r="W31" s="3"/>
      <c r="X31" s="3"/>
      <c r="Y31" s="3"/>
      <c r="Z31" s="3"/>
    </row>
    <row r="32" spans="1:26" ht="22.5" customHeight="1" x14ac:dyDescent="0.85">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22.5" customHeight="1" x14ac:dyDescent="0.85">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22.5" customHeight="1" x14ac:dyDescent="0.85">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22.5" customHeight="1" x14ac:dyDescent="0.85">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22.5" customHeight="1" x14ac:dyDescent="0.85">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22.5" customHeight="1" x14ac:dyDescent="0.85">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22.5" customHeight="1" x14ac:dyDescent="0.85">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22.5" customHeight="1" x14ac:dyDescent="0.85">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22.5" customHeight="1" x14ac:dyDescent="0.85">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22.5" customHeight="1" x14ac:dyDescent="0.85">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22.5" customHeight="1" x14ac:dyDescent="0.85">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22.5" customHeight="1" x14ac:dyDescent="0.85">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22.5" customHeight="1" x14ac:dyDescent="0.85">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22.5" customHeight="1" x14ac:dyDescent="0.85">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22.5" customHeight="1" x14ac:dyDescent="0.85">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22.5" customHeight="1" x14ac:dyDescent="0.85">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22.5" customHeight="1" x14ac:dyDescent="0.85">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22.5" customHeight="1" x14ac:dyDescent="0.85">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22.5" customHeight="1" x14ac:dyDescent="0.85">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22.5" customHeight="1" x14ac:dyDescent="0.85">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22.5" customHeight="1" x14ac:dyDescent="0.85">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22.5" customHeight="1" x14ac:dyDescent="0.85">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22.5" customHeight="1" x14ac:dyDescent="0.85">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22.5" customHeight="1" x14ac:dyDescent="0.85">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22.5" customHeight="1" x14ac:dyDescent="0.85">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22.5" customHeight="1" x14ac:dyDescent="0.85">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22.5" customHeight="1" x14ac:dyDescent="0.85">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22.5" customHeight="1" x14ac:dyDescent="0.85">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22.5" customHeight="1" x14ac:dyDescent="0.85">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22.5" customHeight="1" x14ac:dyDescent="0.85">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22.5" customHeight="1" x14ac:dyDescent="0.85">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22.5" customHeight="1" x14ac:dyDescent="0.85">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22.5" customHeight="1" x14ac:dyDescent="0.85">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22.5" customHeight="1" x14ac:dyDescent="0.85">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22.5" customHeight="1" x14ac:dyDescent="0.85">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22.5" customHeight="1" x14ac:dyDescent="0.85">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22.5" customHeight="1" x14ac:dyDescent="0.85">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22.5" customHeight="1" x14ac:dyDescent="0.85">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22.5" customHeight="1" x14ac:dyDescent="0.85">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22.5" customHeight="1" x14ac:dyDescent="0.85">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22.5" customHeight="1" x14ac:dyDescent="0.85">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22.5" customHeight="1" x14ac:dyDescent="0.85">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22.5" customHeight="1" x14ac:dyDescent="0.85">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22.5" customHeight="1" x14ac:dyDescent="0.85">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22.5" customHeight="1" x14ac:dyDescent="0.85">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22.5" customHeight="1" x14ac:dyDescent="0.85">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22.5" customHeight="1" x14ac:dyDescent="0.85">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22.5" customHeight="1" x14ac:dyDescent="0.85">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22.5" customHeight="1" x14ac:dyDescent="0.85">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22.5" customHeight="1" x14ac:dyDescent="0.85">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22.5" customHeight="1" x14ac:dyDescent="0.85">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22.5" customHeight="1" x14ac:dyDescent="0.85">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22.5" customHeight="1" x14ac:dyDescent="0.85">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22.5" customHeight="1" x14ac:dyDescent="0.85">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22.5" customHeight="1" x14ac:dyDescent="0.85">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22.5" customHeight="1" x14ac:dyDescent="0.85">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22.5" customHeight="1" x14ac:dyDescent="0.85">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22.5" customHeight="1" x14ac:dyDescent="0.85">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22.5" customHeight="1" x14ac:dyDescent="0.85">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22.5" customHeight="1" x14ac:dyDescent="0.85">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22.5" customHeight="1" x14ac:dyDescent="0.85">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22.5" customHeight="1" x14ac:dyDescent="0.85">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22.5" customHeight="1" x14ac:dyDescent="0.85">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22.5" customHeight="1" x14ac:dyDescent="0.85">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22.5" customHeight="1" x14ac:dyDescent="0.85">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22.5" customHeight="1" x14ac:dyDescent="0.85">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22.5" customHeight="1" x14ac:dyDescent="0.85">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22.5" customHeight="1" x14ac:dyDescent="0.85">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22.5" customHeight="1" x14ac:dyDescent="0.8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22.5" customHeight="1" x14ac:dyDescent="0.8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22.5" customHeight="1" x14ac:dyDescent="0.8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22.5" customHeight="1" x14ac:dyDescent="0.8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22.5" customHeight="1" x14ac:dyDescent="0.8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22.5" customHeight="1" x14ac:dyDescent="0.8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22.5" customHeight="1" x14ac:dyDescent="0.8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22.5" customHeight="1" x14ac:dyDescent="0.8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22.5" customHeight="1" x14ac:dyDescent="0.8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22.5" customHeight="1" x14ac:dyDescent="0.8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22.5" customHeight="1" x14ac:dyDescent="0.8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22.5" customHeight="1" x14ac:dyDescent="0.8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22.5" customHeight="1" x14ac:dyDescent="0.8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22.5" customHeight="1" x14ac:dyDescent="0.8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22.5" customHeight="1" x14ac:dyDescent="0.8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22.5" customHeight="1" x14ac:dyDescent="0.8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22.5" customHeight="1" x14ac:dyDescent="0.8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22.5" customHeight="1" x14ac:dyDescent="0.8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22.5" customHeight="1" x14ac:dyDescent="0.8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22.5" customHeight="1" x14ac:dyDescent="0.8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22.5" customHeight="1" x14ac:dyDescent="0.8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22.5" customHeight="1" x14ac:dyDescent="0.8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22.5" customHeight="1" x14ac:dyDescent="0.8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22.5" customHeight="1" x14ac:dyDescent="0.8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22.5" customHeight="1" x14ac:dyDescent="0.8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22.5" customHeight="1" x14ac:dyDescent="0.8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22.5" customHeight="1" x14ac:dyDescent="0.8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22.5" customHeight="1" x14ac:dyDescent="0.8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22.5" customHeight="1" x14ac:dyDescent="0.8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22.5" customHeight="1" x14ac:dyDescent="0.8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22.5" customHeight="1" x14ac:dyDescent="0.8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22.5" customHeight="1" x14ac:dyDescent="0.8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22.5" customHeight="1" x14ac:dyDescent="0.8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22.5" customHeight="1" x14ac:dyDescent="0.8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22.5" customHeight="1" x14ac:dyDescent="0.8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22.5" customHeight="1" x14ac:dyDescent="0.8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22.5" customHeight="1" x14ac:dyDescent="0.8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22.5" customHeight="1" x14ac:dyDescent="0.8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22.5" customHeight="1" x14ac:dyDescent="0.8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22.5" customHeight="1" x14ac:dyDescent="0.8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22.5" customHeight="1" x14ac:dyDescent="0.8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22.5" customHeight="1" x14ac:dyDescent="0.8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22.5" customHeight="1" x14ac:dyDescent="0.8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22.5" customHeight="1" x14ac:dyDescent="0.8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22.5" customHeight="1" x14ac:dyDescent="0.8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22.5" customHeight="1" x14ac:dyDescent="0.8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22.5" customHeight="1" x14ac:dyDescent="0.8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22.5" customHeight="1" x14ac:dyDescent="0.8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22.5" customHeight="1" x14ac:dyDescent="0.8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22.5" customHeight="1" x14ac:dyDescent="0.8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22.5" customHeight="1" x14ac:dyDescent="0.8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22.5" customHeight="1" x14ac:dyDescent="0.8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22.5" customHeight="1" x14ac:dyDescent="0.8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22.5" customHeight="1" x14ac:dyDescent="0.8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22.5" customHeight="1" x14ac:dyDescent="0.8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22.5" customHeight="1" x14ac:dyDescent="0.8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22.5" customHeight="1" x14ac:dyDescent="0.8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22.5" customHeight="1" x14ac:dyDescent="0.8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22.5" customHeight="1" x14ac:dyDescent="0.8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22.5" customHeight="1" x14ac:dyDescent="0.8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22.5" customHeight="1" x14ac:dyDescent="0.8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22.5" customHeight="1" x14ac:dyDescent="0.8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22.5" customHeight="1" x14ac:dyDescent="0.8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22.5" customHeight="1" x14ac:dyDescent="0.8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22.5" customHeight="1" x14ac:dyDescent="0.8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22.5" customHeight="1" x14ac:dyDescent="0.8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22.5" customHeight="1" x14ac:dyDescent="0.8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22.5" customHeight="1" x14ac:dyDescent="0.8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22.5" customHeight="1" x14ac:dyDescent="0.8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22.5" customHeight="1" x14ac:dyDescent="0.8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22.5" customHeight="1" x14ac:dyDescent="0.8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22.5" customHeight="1" x14ac:dyDescent="0.8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22.5" customHeight="1" x14ac:dyDescent="0.8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22.5" customHeight="1" x14ac:dyDescent="0.8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22.5" customHeight="1" x14ac:dyDescent="0.8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22.5" customHeight="1" x14ac:dyDescent="0.8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22.5" customHeight="1" x14ac:dyDescent="0.8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22.5" customHeight="1" x14ac:dyDescent="0.8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22.5" customHeight="1" x14ac:dyDescent="0.8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22.5" customHeight="1" x14ac:dyDescent="0.8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22.5" customHeight="1" x14ac:dyDescent="0.8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22.5" customHeight="1" x14ac:dyDescent="0.8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22.5" customHeight="1" x14ac:dyDescent="0.8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22.5" customHeight="1" x14ac:dyDescent="0.8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22.5" customHeight="1" x14ac:dyDescent="0.8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22.5" customHeight="1" x14ac:dyDescent="0.8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22.5" customHeight="1" x14ac:dyDescent="0.8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22.5" customHeight="1" x14ac:dyDescent="0.8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22.5" customHeight="1" x14ac:dyDescent="0.8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22.5" customHeight="1" x14ac:dyDescent="0.8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22.5" customHeight="1" x14ac:dyDescent="0.8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22.5" customHeight="1" x14ac:dyDescent="0.8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22.5" customHeight="1" x14ac:dyDescent="0.8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22.5" customHeight="1" x14ac:dyDescent="0.8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22.5" customHeight="1" x14ac:dyDescent="0.8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22.5" customHeight="1" x14ac:dyDescent="0.8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22.5" customHeight="1" x14ac:dyDescent="0.8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22.5" customHeight="1" x14ac:dyDescent="0.8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22.5" customHeight="1" x14ac:dyDescent="0.8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22.5" customHeight="1" x14ac:dyDescent="0.8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22.5" customHeight="1" x14ac:dyDescent="0.8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22.5" customHeight="1" x14ac:dyDescent="0.8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22.5" customHeight="1" x14ac:dyDescent="0.8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22.5" customHeight="1" x14ac:dyDescent="0.8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22.5" customHeight="1" x14ac:dyDescent="0.8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22.5" customHeight="1" x14ac:dyDescent="0.8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22.5" customHeight="1" x14ac:dyDescent="0.8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22.5" customHeight="1" x14ac:dyDescent="0.8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22.5" customHeight="1" x14ac:dyDescent="0.8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22.5" customHeight="1" x14ac:dyDescent="0.8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22.5" customHeight="1" x14ac:dyDescent="0.8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22.5" customHeight="1" x14ac:dyDescent="0.8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22.5" customHeight="1" x14ac:dyDescent="0.8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22.5" customHeight="1" x14ac:dyDescent="0.8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22.5" customHeight="1" x14ac:dyDescent="0.8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22.5" customHeight="1" x14ac:dyDescent="0.8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22.5" customHeight="1" x14ac:dyDescent="0.8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22.5" customHeight="1" x14ac:dyDescent="0.8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22.5" customHeight="1" x14ac:dyDescent="0.8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22.5" customHeight="1" x14ac:dyDescent="0.8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22.5" customHeight="1" x14ac:dyDescent="0.8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22.5" customHeight="1" x14ac:dyDescent="0.8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22.5" customHeight="1" x14ac:dyDescent="0.8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22.5" customHeight="1" x14ac:dyDescent="0.8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22.5" customHeight="1" x14ac:dyDescent="0.8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22.5" customHeight="1" x14ac:dyDescent="0.8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22.5" customHeight="1" x14ac:dyDescent="0.8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22.5" customHeight="1" x14ac:dyDescent="0.8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22.5" customHeight="1" x14ac:dyDescent="0.8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22.5" customHeight="1" x14ac:dyDescent="0.8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22.5" customHeight="1" x14ac:dyDescent="0.8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22.5" customHeight="1" x14ac:dyDescent="0.8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22.5" customHeight="1" x14ac:dyDescent="0.8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22.5" customHeight="1" x14ac:dyDescent="0.8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22.5" customHeight="1" x14ac:dyDescent="0.8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22.5" customHeight="1" x14ac:dyDescent="0.8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22.5" customHeight="1" x14ac:dyDescent="0.8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22.5" customHeight="1" x14ac:dyDescent="0.8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22.5" customHeight="1" x14ac:dyDescent="0.8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22.5" customHeight="1" x14ac:dyDescent="0.8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22.5" customHeight="1" x14ac:dyDescent="0.8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22.5" customHeight="1" x14ac:dyDescent="0.8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22.5" customHeight="1" x14ac:dyDescent="0.8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22.5" customHeight="1" x14ac:dyDescent="0.8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22.5" customHeight="1" x14ac:dyDescent="0.8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22.5" customHeight="1" x14ac:dyDescent="0.8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22.5" customHeight="1" x14ac:dyDescent="0.8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22.5" customHeight="1" x14ac:dyDescent="0.8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22.5" customHeight="1" x14ac:dyDescent="0.8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22.5" customHeight="1" x14ac:dyDescent="0.8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22.5" customHeight="1" x14ac:dyDescent="0.8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22.5" customHeight="1" x14ac:dyDescent="0.8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22.5" customHeight="1" x14ac:dyDescent="0.8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22.5" customHeight="1" x14ac:dyDescent="0.8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22.5" customHeight="1" x14ac:dyDescent="0.8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22.5" customHeight="1" x14ac:dyDescent="0.8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22.5" customHeight="1" x14ac:dyDescent="0.8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22.5" customHeight="1" x14ac:dyDescent="0.8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22.5" customHeight="1" x14ac:dyDescent="0.8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22.5" customHeight="1" x14ac:dyDescent="0.8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22.5" customHeight="1" x14ac:dyDescent="0.8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22.5" customHeight="1" x14ac:dyDescent="0.8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22.5" customHeight="1" x14ac:dyDescent="0.8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22.5" customHeight="1" x14ac:dyDescent="0.8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22.5" customHeight="1" x14ac:dyDescent="0.8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22.5" customHeight="1" x14ac:dyDescent="0.8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22.5" customHeight="1" x14ac:dyDescent="0.8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22.5" customHeight="1" x14ac:dyDescent="0.8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22.5" customHeight="1" x14ac:dyDescent="0.8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22.5" customHeight="1" x14ac:dyDescent="0.8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22.5" customHeight="1" x14ac:dyDescent="0.8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22.5" customHeight="1" x14ac:dyDescent="0.8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22.5" customHeight="1" x14ac:dyDescent="0.8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22.5" customHeight="1" x14ac:dyDescent="0.8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22.5" customHeight="1" x14ac:dyDescent="0.8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22.5" customHeight="1" x14ac:dyDescent="0.8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22.5" customHeight="1" x14ac:dyDescent="0.8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22.5" customHeight="1" x14ac:dyDescent="0.8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22.5" customHeight="1" x14ac:dyDescent="0.8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22.5" customHeight="1" x14ac:dyDescent="0.8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22.5" customHeight="1" x14ac:dyDescent="0.8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22.5" customHeight="1" x14ac:dyDescent="0.8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22.5" customHeight="1" x14ac:dyDescent="0.8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22.5" customHeight="1" x14ac:dyDescent="0.8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22.5" customHeight="1" x14ac:dyDescent="0.8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22.5" customHeight="1" x14ac:dyDescent="0.8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22.5" customHeight="1" x14ac:dyDescent="0.8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22.5" customHeight="1" x14ac:dyDescent="0.8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22.5" customHeight="1" x14ac:dyDescent="0.8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22.5" customHeight="1" x14ac:dyDescent="0.8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22.5" customHeight="1" x14ac:dyDescent="0.8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22.5" customHeight="1" x14ac:dyDescent="0.8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22.5" customHeight="1" x14ac:dyDescent="0.8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22.5" customHeight="1" x14ac:dyDescent="0.8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22.5" customHeight="1" x14ac:dyDescent="0.8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22.5" customHeight="1" x14ac:dyDescent="0.8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22.5" customHeight="1" x14ac:dyDescent="0.8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22.5" customHeight="1" x14ac:dyDescent="0.8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22.5" customHeight="1" x14ac:dyDescent="0.8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22.5" customHeight="1" x14ac:dyDescent="0.8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22.5" customHeight="1" x14ac:dyDescent="0.8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22.5" customHeight="1" x14ac:dyDescent="0.8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22.5" customHeight="1" x14ac:dyDescent="0.8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22.5" customHeight="1" x14ac:dyDescent="0.8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22.5" customHeight="1" x14ac:dyDescent="0.8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22.5" customHeight="1" x14ac:dyDescent="0.8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22.5" customHeight="1" x14ac:dyDescent="0.8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22.5" customHeight="1" x14ac:dyDescent="0.8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22.5" customHeight="1" x14ac:dyDescent="0.8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22.5" customHeight="1" x14ac:dyDescent="0.8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22.5" customHeight="1" x14ac:dyDescent="0.8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22.5" customHeight="1" x14ac:dyDescent="0.8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22.5" customHeight="1" x14ac:dyDescent="0.8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22.5" customHeight="1" x14ac:dyDescent="0.8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22.5" customHeight="1" x14ac:dyDescent="0.8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22.5" customHeight="1" x14ac:dyDescent="0.8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22.5" customHeight="1" x14ac:dyDescent="0.8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22.5" customHeight="1" x14ac:dyDescent="0.8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22.5" customHeight="1" x14ac:dyDescent="0.8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22.5" customHeight="1" x14ac:dyDescent="0.8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22.5" customHeight="1" x14ac:dyDescent="0.8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22.5" customHeight="1" x14ac:dyDescent="0.8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22.5" customHeight="1" x14ac:dyDescent="0.8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22.5" customHeight="1" x14ac:dyDescent="0.8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22.5" customHeight="1" x14ac:dyDescent="0.8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22.5" customHeight="1" x14ac:dyDescent="0.8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22.5" customHeight="1" x14ac:dyDescent="0.8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22.5" customHeight="1" x14ac:dyDescent="0.8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22.5" customHeight="1" x14ac:dyDescent="0.8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22.5" customHeight="1" x14ac:dyDescent="0.8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22.5" customHeight="1" x14ac:dyDescent="0.8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22.5" customHeight="1" x14ac:dyDescent="0.8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22.5" customHeight="1" x14ac:dyDescent="0.8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22.5" customHeight="1" x14ac:dyDescent="0.8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22.5" customHeight="1" x14ac:dyDescent="0.8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22.5" customHeight="1" x14ac:dyDescent="0.8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22.5" customHeight="1" x14ac:dyDescent="0.8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22.5" customHeight="1" x14ac:dyDescent="0.8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22.5" customHeight="1" x14ac:dyDescent="0.8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22.5" customHeight="1" x14ac:dyDescent="0.8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22.5" customHeight="1" x14ac:dyDescent="0.8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22.5" customHeight="1" x14ac:dyDescent="0.8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22.5" customHeight="1" x14ac:dyDescent="0.8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22.5" customHeight="1" x14ac:dyDescent="0.8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22.5" customHeight="1" x14ac:dyDescent="0.8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22.5" customHeight="1" x14ac:dyDescent="0.8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22.5" customHeight="1" x14ac:dyDescent="0.8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22.5" customHeight="1" x14ac:dyDescent="0.8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22.5" customHeight="1" x14ac:dyDescent="0.8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22.5" customHeight="1" x14ac:dyDescent="0.8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22.5" customHeight="1" x14ac:dyDescent="0.8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22.5" customHeight="1" x14ac:dyDescent="0.8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22.5" customHeight="1" x14ac:dyDescent="0.8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22.5" customHeight="1" x14ac:dyDescent="0.8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22.5" customHeight="1" x14ac:dyDescent="0.8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22.5" customHeight="1" x14ac:dyDescent="0.8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22.5" customHeight="1" x14ac:dyDescent="0.8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22.5" customHeight="1" x14ac:dyDescent="0.8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22.5" customHeight="1" x14ac:dyDescent="0.8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22.5" customHeight="1" x14ac:dyDescent="0.8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22.5" customHeight="1" x14ac:dyDescent="0.8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22.5" customHeight="1" x14ac:dyDescent="0.8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22.5" customHeight="1" x14ac:dyDescent="0.8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22.5" customHeight="1" x14ac:dyDescent="0.8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22.5" customHeight="1" x14ac:dyDescent="0.8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22.5" customHeight="1" x14ac:dyDescent="0.8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22.5" customHeight="1" x14ac:dyDescent="0.8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22.5" customHeight="1" x14ac:dyDescent="0.8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22.5" customHeight="1" x14ac:dyDescent="0.8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22.5" customHeight="1" x14ac:dyDescent="0.8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22.5" customHeight="1" x14ac:dyDescent="0.8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22.5" customHeight="1" x14ac:dyDescent="0.8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22.5" customHeight="1" x14ac:dyDescent="0.8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22.5" customHeight="1" x14ac:dyDescent="0.8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22.5" customHeight="1" x14ac:dyDescent="0.8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22.5" customHeight="1" x14ac:dyDescent="0.8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22.5" customHeight="1" x14ac:dyDescent="0.8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22.5" customHeight="1" x14ac:dyDescent="0.8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22.5" customHeight="1" x14ac:dyDescent="0.8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22.5" customHeight="1" x14ac:dyDescent="0.8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22.5" customHeight="1" x14ac:dyDescent="0.8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22.5" customHeight="1" x14ac:dyDescent="0.8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22.5" customHeight="1" x14ac:dyDescent="0.8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22.5" customHeight="1" x14ac:dyDescent="0.8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22.5" customHeight="1" x14ac:dyDescent="0.8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22.5" customHeight="1" x14ac:dyDescent="0.8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22.5" customHeight="1" x14ac:dyDescent="0.8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22.5" customHeight="1" x14ac:dyDescent="0.8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22.5" customHeight="1" x14ac:dyDescent="0.8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22.5" customHeight="1" x14ac:dyDescent="0.8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22.5" customHeight="1" x14ac:dyDescent="0.8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22.5" customHeight="1" x14ac:dyDescent="0.8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22.5" customHeight="1" x14ac:dyDescent="0.8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22.5" customHeight="1" x14ac:dyDescent="0.8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22.5" customHeight="1" x14ac:dyDescent="0.8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22.5" customHeight="1" x14ac:dyDescent="0.8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22.5" customHeight="1" x14ac:dyDescent="0.8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22.5" customHeight="1" x14ac:dyDescent="0.8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22.5" customHeight="1" x14ac:dyDescent="0.8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22.5" customHeight="1" x14ac:dyDescent="0.8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22.5" customHeight="1" x14ac:dyDescent="0.8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22.5" customHeight="1" x14ac:dyDescent="0.8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22.5" customHeight="1" x14ac:dyDescent="0.8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22.5" customHeight="1" x14ac:dyDescent="0.8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22.5" customHeight="1" x14ac:dyDescent="0.8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22.5" customHeight="1" x14ac:dyDescent="0.8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22.5" customHeight="1" x14ac:dyDescent="0.8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22.5" customHeight="1" x14ac:dyDescent="0.8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22.5" customHeight="1" x14ac:dyDescent="0.8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22.5" customHeight="1" x14ac:dyDescent="0.8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22.5" customHeight="1" x14ac:dyDescent="0.8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22.5" customHeight="1" x14ac:dyDescent="0.8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22.5" customHeight="1" x14ac:dyDescent="0.8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22.5" customHeight="1" x14ac:dyDescent="0.8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22.5" customHeight="1" x14ac:dyDescent="0.8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22.5" customHeight="1" x14ac:dyDescent="0.8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22.5" customHeight="1" x14ac:dyDescent="0.8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22.5" customHeight="1" x14ac:dyDescent="0.8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22.5" customHeight="1" x14ac:dyDescent="0.8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22.5" customHeight="1" x14ac:dyDescent="0.8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22.5" customHeight="1" x14ac:dyDescent="0.8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22.5" customHeight="1" x14ac:dyDescent="0.8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22.5" customHeight="1" x14ac:dyDescent="0.8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22.5" customHeight="1" x14ac:dyDescent="0.8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22.5" customHeight="1" x14ac:dyDescent="0.8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22.5" customHeight="1" x14ac:dyDescent="0.8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22.5" customHeight="1" x14ac:dyDescent="0.8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22.5" customHeight="1" x14ac:dyDescent="0.8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22.5" customHeight="1" x14ac:dyDescent="0.8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22.5" customHeight="1" x14ac:dyDescent="0.8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22.5" customHeight="1" x14ac:dyDescent="0.8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22.5" customHeight="1" x14ac:dyDescent="0.8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22.5" customHeight="1" x14ac:dyDescent="0.8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22.5" customHeight="1" x14ac:dyDescent="0.8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22.5" customHeight="1" x14ac:dyDescent="0.8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22.5" customHeight="1" x14ac:dyDescent="0.8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22.5" customHeight="1" x14ac:dyDescent="0.8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22.5" customHeight="1" x14ac:dyDescent="0.8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22.5" customHeight="1" x14ac:dyDescent="0.8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22.5" customHeight="1" x14ac:dyDescent="0.8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22.5" customHeight="1" x14ac:dyDescent="0.8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22.5" customHeight="1" x14ac:dyDescent="0.8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22.5" customHeight="1" x14ac:dyDescent="0.8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22.5" customHeight="1" x14ac:dyDescent="0.8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22.5" customHeight="1" x14ac:dyDescent="0.8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22.5" customHeight="1" x14ac:dyDescent="0.8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22.5" customHeight="1" x14ac:dyDescent="0.8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22.5" customHeight="1" x14ac:dyDescent="0.8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22.5" customHeight="1" x14ac:dyDescent="0.8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22.5" customHeight="1" x14ac:dyDescent="0.8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22.5" customHeight="1" x14ac:dyDescent="0.8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22.5" customHeight="1" x14ac:dyDescent="0.8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22.5" customHeight="1" x14ac:dyDescent="0.8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22.5" customHeight="1" x14ac:dyDescent="0.8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22.5" customHeight="1" x14ac:dyDescent="0.8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22.5" customHeight="1" x14ac:dyDescent="0.8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22.5" customHeight="1" x14ac:dyDescent="0.8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22.5" customHeight="1" x14ac:dyDescent="0.8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22.5" customHeight="1" x14ac:dyDescent="0.8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22.5" customHeight="1" x14ac:dyDescent="0.8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22.5" customHeight="1" x14ac:dyDescent="0.8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22.5" customHeight="1" x14ac:dyDescent="0.8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22.5" customHeight="1" x14ac:dyDescent="0.8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22.5" customHeight="1" x14ac:dyDescent="0.8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22.5" customHeight="1" x14ac:dyDescent="0.8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22.5" customHeight="1" x14ac:dyDescent="0.8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22.5" customHeight="1" x14ac:dyDescent="0.8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22.5" customHeight="1" x14ac:dyDescent="0.8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22.5" customHeight="1" x14ac:dyDescent="0.8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22.5" customHeight="1" x14ac:dyDescent="0.8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22.5" customHeight="1" x14ac:dyDescent="0.8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22.5" customHeight="1" x14ac:dyDescent="0.8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22.5" customHeight="1" x14ac:dyDescent="0.8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22.5" customHeight="1" x14ac:dyDescent="0.8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22.5" customHeight="1" x14ac:dyDescent="0.8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22.5" customHeight="1" x14ac:dyDescent="0.8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22.5" customHeight="1" x14ac:dyDescent="0.8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22.5" customHeight="1" x14ac:dyDescent="0.8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22.5" customHeight="1" x14ac:dyDescent="0.8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22.5" customHeight="1" x14ac:dyDescent="0.8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22.5" customHeight="1" x14ac:dyDescent="0.8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22.5" customHeight="1" x14ac:dyDescent="0.8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22.5" customHeight="1" x14ac:dyDescent="0.8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22.5" customHeight="1" x14ac:dyDescent="0.8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22.5" customHeight="1" x14ac:dyDescent="0.8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22.5" customHeight="1" x14ac:dyDescent="0.8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22.5" customHeight="1" x14ac:dyDescent="0.8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22.5" customHeight="1" x14ac:dyDescent="0.8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22.5" customHeight="1" x14ac:dyDescent="0.8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22.5" customHeight="1" x14ac:dyDescent="0.8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22.5" customHeight="1" x14ac:dyDescent="0.8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22.5" customHeight="1" x14ac:dyDescent="0.8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22.5" customHeight="1" x14ac:dyDescent="0.8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22.5" customHeight="1" x14ac:dyDescent="0.8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22.5" customHeight="1" x14ac:dyDescent="0.8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22.5" customHeight="1" x14ac:dyDescent="0.8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22.5" customHeight="1" x14ac:dyDescent="0.8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22.5" customHeight="1" x14ac:dyDescent="0.8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22.5" customHeight="1" x14ac:dyDescent="0.8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22.5" customHeight="1" x14ac:dyDescent="0.8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22.5" customHeight="1" x14ac:dyDescent="0.8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22.5" customHeight="1" x14ac:dyDescent="0.8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22.5" customHeight="1" x14ac:dyDescent="0.8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22.5" customHeight="1" x14ac:dyDescent="0.8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22.5" customHeight="1" x14ac:dyDescent="0.8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22.5" customHeight="1" x14ac:dyDescent="0.8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22.5" customHeight="1" x14ac:dyDescent="0.8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22.5" customHeight="1" x14ac:dyDescent="0.8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22.5" customHeight="1" x14ac:dyDescent="0.8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22.5" customHeight="1" x14ac:dyDescent="0.8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22.5" customHeight="1" x14ac:dyDescent="0.8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22.5" customHeight="1" x14ac:dyDescent="0.8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22.5" customHeight="1" x14ac:dyDescent="0.8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22.5" customHeight="1" x14ac:dyDescent="0.8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22.5" customHeight="1" x14ac:dyDescent="0.8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22.5" customHeight="1" x14ac:dyDescent="0.8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22.5" customHeight="1" x14ac:dyDescent="0.8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22.5" customHeight="1" x14ac:dyDescent="0.8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22.5" customHeight="1" x14ac:dyDescent="0.8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22.5" customHeight="1" x14ac:dyDescent="0.8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22.5" customHeight="1" x14ac:dyDescent="0.8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22.5" customHeight="1" x14ac:dyDescent="0.8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22.5" customHeight="1" x14ac:dyDescent="0.8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22.5" customHeight="1" x14ac:dyDescent="0.8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22.5" customHeight="1" x14ac:dyDescent="0.8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22.5" customHeight="1" x14ac:dyDescent="0.8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22.5" customHeight="1" x14ac:dyDescent="0.8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22.5" customHeight="1" x14ac:dyDescent="0.8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22.5" customHeight="1" x14ac:dyDescent="0.8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22.5" customHeight="1" x14ac:dyDescent="0.8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22.5" customHeight="1" x14ac:dyDescent="0.8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22.5" customHeight="1" x14ac:dyDescent="0.8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22.5" customHeight="1" x14ac:dyDescent="0.8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22.5" customHeight="1" x14ac:dyDescent="0.8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22.5" customHeight="1" x14ac:dyDescent="0.8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22.5" customHeight="1" x14ac:dyDescent="0.8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22.5" customHeight="1" x14ac:dyDescent="0.8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22.5" customHeight="1" x14ac:dyDescent="0.8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22.5" customHeight="1" x14ac:dyDescent="0.8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22.5" customHeight="1" x14ac:dyDescent="0.8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22.5" customHeight="1" x14ac:dyDescent="0.8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22.5" customHeight="1" x14ac:dyDescent="0.8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22.5" customHeight="1" x14ac:dyDescent="0.8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22.5" customHeight="1" x14ac:dyDescent="0.8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22.5" customHeight="1" x14ac:dyDescent="0.8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22.5" customHeight="1" x14ac:dyDescent="0.8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22.5" customHeight="1" x14ac:dyDescent="0.8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22.5" customHeight="1" x14ac:dyDescent="0.8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22.5" customHeight="1" x14ac:dyDescent="0.8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22.5" customHeight="1" x14ac:dyDescent="0.8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22.5" customHeight="1" x14ac:dyDescent="0.8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22.5" customHeight="1" x14ac:dyDescent="0.8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22.5" customHeight="1" x14ac:dyDescent="0.8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22.5" customHeight="1" x14ac:dyDescent="0.8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22.5" customHeight="1" x14ac:dyDescent="0.8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22.5" customHeight="1" x14ac:dyDescent="0.8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22.5" customHeight="1" x14ac:dyDescent="0.8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22.5" customHeight="1" x14ac:dyDescent="0.8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22.5" customHeight="1" x14ac:dyDescent="0.8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22.5" customHeight="1" x14ac:dyDescent="0.8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22.5" customHeight="1" x14ac:dyDescent="0.8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22.5" customHeight="1" x14ac:dyDescent="0.8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22.5" customHeight="1" x14ac:dyDescent="0.8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22.5" customHeight="1" x14ac:dyDescent="0.8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22.5" customHeight="1" x14ac:dyDescent="0.8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22.5" customHeight="1" x14ac:dyDescent="0.8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22.5" customHeight="1" x14ac:dyDescent="0.8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22.5" customHeight="1" x14ac:dyDescent="0.8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22.5" customHeight="1" x14ac:dyDescent="0.8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22.5" customHeight="1" x14ac:dyDescent="0.8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22.5" customHeight="1" x14ac:dyDescent="0.8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22.5" customHeight="1" x14ac:dyDescent="0.8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22.5" customHeight="1" x14ac:dyDescent="0.8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22.5" customHeight="1" x14ac:dyDescent="0.8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22.5" customHeight="1" x14ac:dyDescent="0.8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22.5" customHeight="1" x14ac:dyDescent="0.8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22.5" customHeight="1" x14ac:dyDescent="0.8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22.5" customHeight="1" x14ac:dyDescent="0.8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22.5" customHeight="1" x14ac:dyDescent="0.8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22.5" customHeight="1" x14ac:dyDescent="0.8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22.5" customHeight="1" x14ac:dyDescent="0.8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22.5" customHeight="1" x14ac:dyDescent="0.8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22.5" customHeight="1" x14ac:dyDescent="0.8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22.5" customHeight="1" x14ac:dyDescent="0.8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22.5" customHeight="1" x14ac:dyDescent="0.8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22.5" customHeight="1" x14ac:dyDescent="0.8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22.5" customHeight="1" x14ac:dyDescent="0.8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22.5" customHeight="1" x14ac:dyDescent="0.8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22.5" customHeight="1" x14ac:dyDescent="0.8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22.5" customHeight="1" x14ac:dyDescent="0.8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22.5" customHeight="1" x14ac:dyDescent="0.8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22.5" customHeight="1" x14ac:dyDescent="0.8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22.5" customHeight="1" x14ac:dyDescent="0.8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22.5" customHeight="1" x14ac:dyDescent="0.8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22.5" customHeight="1" x14ac:dyDescent="0.8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22.5" customHeight="1" x14ac:dyDescent="0.8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22.5" customHeight="1" x14ac:dyDescent="0.8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22.5" customHeight="1" x14ac:dyDescent="0.8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22.5" customHeight="1" x14ac:dyDescent="0.8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22.5" customHeight="1" x14ac:dyDescent="0.8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22.5" customHeight="1" x14ac:dyDescent="0.8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22.5" customHeight="1" x14ac:dyDescent="0.8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22.5" customHeight="1" x14ac:dyDescent="0.8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22.5" customHeight="1" x14ac:dyDescent="0.8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22.5" customHeight="1" x14ac:dyDescent="0.8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22.5" customHeight="1" x14ac:dyDescent="0.8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22.5" customHeight="1" x14ac:dyDescent="0.8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22.5" customHeight="1" x14ac:dyDescent="0.8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22.5" customHeight="1" x14ac:dyDescent="0.8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22.5" customHeight="1" x14ac:dyDescent="0.8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22.5" customHeight="1" x14ac:dyDescent="0.8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22.5" customHeight="1" x14ac:dyDescent="0.8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22.5" customHeight="1" x14ac:dyDescent="0.8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22.5" customHeight="1" x14ac:dyDescent="0.8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22.5" customHeight="1" x14ac:dyDescent="0.8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22.5" customHeight="1" x14ac:dyDescent="0.8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22.5" customHeight="1" x14ac:dyDescent="0.8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22.5" customHeight="1" x14ac:dyDescent="0.8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22.5" customHeight="1" x14ac:dyDescent="0.8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22.5" customHeight="1" x14ac:dyDescent="0.8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22.5" customHeight="1" x14ac:dyDescent="0.8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22.5" customHeight="1" x14ac:dyDescent="0.8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22.5" customHeight="1" x14ac:dyDescent="0.8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22.5" customHeight="1" x14ac:dyDescent="0.8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22.5" customHeight="1" x14ac:dyDescent="0.8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22.5" customHeight="1" x14ac:dyDescent="0.8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22.5" customHeight="1" x14ac:dyDescent="0.8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22.5" customHeight="1" x14ac:dyDescent="0.8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22.5" customHeight="1" x14ac:dyDescent="0.8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22.5" customHeight="1" x14ac:dyDescent="0.8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22.5" customHeight="1" x14ac:dyDescent="0.8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22.5" customHeight="1" x14ac:dyDescent="0.8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22.5" customHeight="1" x14ac:dyDescent="0.8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22.5" customHeight="1" x14ac:dyDescent="0.8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22.5" customHeight="1" x14ac:dyDescent="0.8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22.5" customHeight="1" x14ac:dyDescent="0.8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22.5" customHeight="1" x14ac:dyDescent="0.8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22.5" customHeight="1" x14ac:dyDescent="0.8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22.5" customHeight="1" x14ac:dyDescent="0.8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22.5" customHeight="1" x14ac:dyDescent="0.8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22.5" customHeight="1" x14ac:dyDescent="0.8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22.5" customHeight="1" x14ac:dyDescent="0.8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22.5" customHeight="1" x14ac:dyDescent="0.8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22.5" customHeight="1" x14ac:dyDescent="0.8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22.5" customHeight="1" x14ac:dyDescent="0.8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22.5" customHeight="1" x14ac:dyDescent="0.8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22.5" customHeight="1" x14ac:dyDescent="0.8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22.5" customHeight="1" x14ac:dyDescent="0.8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22.5" customHeight="1" x14ac:dyDescent="0.8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22.5" customHeight="1" x14ac:dyDescent="0.8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22.5" customHeight="1" x14ac:dyDescent="0.8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22.5" customHeight="1" x14ac:dyDescent="0.8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22.5" customHeight="1" x14ac:dyDescent="0.8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22.5" customHeight="1" x14ac:dyDescent="0.8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22.5" customHeight="1" x14ac:dyDescent="0.8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22.5" customHeight="1" x14ac:dyDescent="0.8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22.5" customHeight="1" x14ac:dyDescent="0.8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22.5" customHeight="1" x14ac:dyDescent="0.8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22.5" customHeight="1" x14ac:dyDescent="0.8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22.5" customHeight="1" x14ac:dyDescent="0.8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22.5" customHeight="1" x14ac:dyDescent="0.8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22.5" customHeight="1" x14ac:dyDescent="0.8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22.5" customHeight="1" x14ac:dyDescent="0.8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22.5" customHeight="1" x14ac:dyDescent="0.8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22.5" customHeight="1" x14ac:dyDescent="0.8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22.5" customHeight="1" x14ac:dyDescent="0.8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22.5" customHeight="1" x14ac:dyDescent="0.8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22.5" customHeight="1" x14ac:dyDescent="0.8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22.5" customHeight="1" x14ac:dyDescent="0.8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22.5" customHeight="1" x14ac:dyDescent="0.8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22.5" customHeight="1" x14ac:dyDescent="0.8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22.5" customHeight="1" x14ac:dyDescent="0.8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22.5" customHeight="1" x14ac:dyDescent="0.8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22.5" customHeight="1" x14ac:dyDescent="0.8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22.5" customHeight="1" x14ac:dyDescent="0.8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22.5" customHeight="1" x14ac:dyDescent="0.8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22.5" customHeight="1" x14ac:dyDescent="0.8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22.5" customHeight="1" x14ac:dyDescent="0.8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22.5" customHeight="1" x14ac:dyDescent="0.8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22.5" customHeight="1" x14ac:dyDescent="0.8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22.5" customHeight="1" x14ac:dyDescent="0.8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22.5" customHeight="1" x14ac:dyDescent="0.8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22.5" customHeight="1" x14ac:dyDescent="0.8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22.5" customHeight="1" x14ac:dyDescent="0.8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22.5" customHeight="1" x14ac:dyDescent="0.8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22.5" customHeight="1" x14ac:dyDescent="0.8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22.5" customHeight="1" x14ac:dyDescent="0.8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22.5" customHeight="1" x14ac:dyDescent="0.8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22.5" customHeight="1" x14ac:dyDescent="0.8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22.5" customHeight="1" x14ac:dyDescent="0.8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22.5" customHeight="1" x14ac:dyDescent="0.8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22.5" customHeight="1" x14ac:dyDescent="0.8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22.5" customHeight="1" x14ac:dyDescent="0.8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22.5" customHeight="1" x14ac:dyDescent="0.8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22.5" customHeight="1" x14ac:dyDescent="0.8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22.5" customHeight="1" x14ac:dyDescent="0.8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22.5" customHeight="1" x14ac:dyDescent="0.8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22.5" customHeight="1" x14ac:dyDescent="0.8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22.5" customHeight="1" x14ac:dyDescent="0.8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22.5" customHeight="1" x14ac:dyDescent="0.8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22.5" customHeight="1" x14ac:dyDescent="0.8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22.5" customHeight="1" x14ac:dyDescent="0.8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22.5" customHeight="1" x14ac:dyDescent="0.8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22.5" customHeight="1" x14ac:dyDescent="0.8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22.5" customHeight="1" x14ac:dyDescent="0.8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22.5" customHeight="1" x14ac:dyDescent="0.8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22.5" customHeight="1" x14ac:dyDescent="0.8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22.5" customHeight="1" x14ac:dyDescent="0.8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22.5" customHeight="1" x14ac:dyDescent="0.8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22.5" customHeight="1" x14ac:dyDescent="0.8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22.5" customHeight="1" x14ac:dyDescent="0.8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22.5" customHeight="1" x14ac:dyDescent="0.8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22.5" customHeight="1" x14ac:dyDescent="0.8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22.5" customHeight="1" x14ac:dyDescent="0.8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22.5" customHeight="1" x14ac:dyDescent="0.8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22.5" customHeight="1" x14ac:dyDescent="0.8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22.5" customHeight="1" x14ac:dyDescent="0.8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22.5" customHeight="1" x14ac:dyDescent="0.8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22.5" customHeight="1" x14ac:dyDescent="0.8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22.5" customHeight="1" x14ac:dyDescent="0.8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22.5" customHeight="1" x14ac:dyDescent="0.8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22.5" customHeight="1" x14ac:dyDescent="0.8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22.5" customHeight="1" x14ac:dyDescent="0.8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22.5" customHeight="1" x14ac:dyDescent="0.8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22.5" customHeight="1" x14ac:dyDescent="0.8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22.5" customHeight="1" x14ac:dyDescent="0.8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22.5" customHeight="1" x14ac:dyDescent="0.8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22.5" customHeight="1" x14ac:dyDescent="0.8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22.5" customHeight="1" x14ac:dyDescent="0.8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22.5" customHeight="1" x14ac:dyDescent="0.8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22.5" customHeight="1" x14ac:dyDescent="0.8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22.5" customHeight="1" x14ac:dyDescent="0.8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22.5" customHeight="1" x14ac:dyDescent="0.8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22.5" customHeight="1" x14ac:dyDescent="0.8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22.5" customHeight="1" x14ac:dyDescent="0.8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22.5" customHeight="1" x14ac:dyDescent="0.8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22.5" customHeight="1" x14ac:dyDescent="0.8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22.5" customHeight="1" x14ac:dyDescent="0.8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22.5" customHeight="1" x14ac:dyDescent="0.8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22.5" customHeight="1" x14ac:dyDescent="0.8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22.5" customHeight="1" x14ac:dyDescent="0.8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22.5" customHeight="1" x14ac:dyDescent="0.8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22.5" customHeight="1" x14ac:dyDescent="0.8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22.5" customHeight="1" x14ac:dyDescent="0.8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22.5" customHeight="1" x14ac:dyDescent="0.8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22.5" customHeight="1" x14ac:dyDescent="0.8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22.5" customHeight="1" x14ac:dyDescent="0.8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22.5" customHeight="1" x14ac:dyDescent="0.8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22.5" customHeight="1" x14ac:dyDescent="0.8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22.5" customHeight="1" x14ac:dyDescent="0.8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22.5" customHeight="1" x14ac:dyDescent="0.8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22.5" customHeight="1" x14ac:dyDescent="0.8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22.5" customHeight="1" x14ac:dyDescent="0.8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22.5" customHeight="1" x14ac:dyDescent="0.8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22.5" customHeight="1" x14ac:dyDescent="0.8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22.5" customHeight="1" x14ac:dyDescent="0.8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22.5" customHeight="1" x14ac:dyDescent="0.8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22.5" customHeight="1" x14ac:dyDescent="0.8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22.5" customHeight="1" x14ac:dyDescent="0.8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22.5" customHeight="1" x14ac:dyDescent="0.8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22.5" customHeight="1" x14ac:dyDescent="0.8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22.5" customHeight="1" x14ac:dyDescent="0.8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22.5" customHeight="1" x14ac:dyDescent="0.8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22.5" customHeight="1" x14ac:dyDescent="0.8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22.5" customHeight="1" x14ac:dyDescent="0.8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22.5" customHeight="1" x14ac:dyDescent="0.8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22.5" customHeight="1" x14ac:dyDescent="0.8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22.5" customHeight="1" x14ac:dyDescent="0.8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22.5" customHeight="1" x14ac:dyDescent="0.8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22.5" customHeight="1" x14ac:dyDescent="0.8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22.5" customHeight="1" x14ac:dyDescent="0.8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22.5" customHeight="1" x14ac:dyDescent="0.8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22.5" customHeight="1" x14ac:dyDescent="0.8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22.5" customHeight="1" x14ac:dyDescent="0.8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22.5" customHeight="1" x14ac:dyDescent="0.8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22.5" customHeight="1" x14ac:dyDescent="0.8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22.5" customHeight="1" x14ac:dyDescent="0.8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22.5" customHeight="1" x14ac:dyDescent="0.8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22.5" customHeight="1" x14ac:dyDescent="0.8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22.5" customHeight="1" x14ac:dyDescent="0.8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22.5" customHeight="1" x14ac:dyDescent="0.8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22.5" customHeight="1" x14ac:dyDescent="0.8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22.5" customHeight="1" x14ac:dyDescent="0.8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22.5" customHeight="1" x14ac:dyDescent="0.8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22.5" customHeight="1" x14ac:dyDescent="0.8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22.5" customHeight="1" x14ac:dyDescent="0.8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22.5" customHeight="1" x14ac:dyDescent="0.8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22.5" customHeight="1" x14ac:dyDescent="0.8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22.5" customHeight="1" x14ac:dyDescent="0.8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22.5" customHeight="1" x14ac:dyDescent="0.8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22.5" customHeight="1" x14ac:dyDescent="0.8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22.5" customHeight="1" x14ac:dyDescent="0.8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22.5" customHeight="1" x14ac:dyDescent="0.8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22.5" customHeight="1" x14ac:dyDescent="0.8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22.5" customHeight="1" x14ac:dyDescent="0.8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22.5" customHeight="1" x14ac:dyDescent="0.8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22.5" customHeight="1" x14ac:dyDescent="0.8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22.5" customHeight="1" x14ac:dyDescent="0.8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22.5" customHeight="1" x14ac:dyDescent="0.8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22.5" customHeight="1" x14ac:dyDescent="0.8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22.5" customHeight="1" x14ac:dyDescent="0.8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22.5" customHeight="1" x14ac:dyDescent="0.8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22.5" customHeight="1" x14ac:dyDescent="0.8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22.5" customHeight="1" x14ac:dyDescent="0.8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22.5" customHeight="1" x14ac:dyDescent="0.8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22.5" customHeight="1" x14ac:dyDescent="0.8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22.5" customHeight="1" x14ac:dyDescent="0.8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22.5" customHeight="1" x14ac:dyDescent="0.8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22.5" customHeight="1" x14ac:dyDescent="0.8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22.5" customHeight="1" x14ac:dyDescent="0.8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22.5" customHeight="1" x14ac:dyDescent="0.8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22.5" customHeight="1" x14ac:dyDescent="0.8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22.5" customHeight="1" x14ac:dyDescent="0.8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22.5" customHeight="1" x14ac:dyDescent="0.8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22.5" customHeight="1" x14ac:dyDescent="0.8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22.5" customHeight="1" x14ac:dyDescent="0.8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22.5" customHeight="1" x14ac:dyDescent="0.8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22.5" customHeight="1" x14ac:dyDescent="0.8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22.5" customHeight="1" x14ac:dyDescent="0.8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22.5" customHeight="1" x14ac:dyDescent="0.8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22.5" customHeight="1" x14ac:dyDescent="0.8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22.5" customHeight="1" x14ac:dyDescent="0.8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22.5" customHeight="1" x14ac:dyDescent="0.8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22.5" customHeight="1" x14ac:dyDescent="0.8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22.5" customHeight="1" x14ac:dyDescent="0.8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22.5" customHeight="1" x14ac:dyDescent="0.8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22.5" customHeight="1" x14ac:dyDescent="0.8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22.5" customHeight="1" x14ac:dyDescent="0.8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22.5" customHeight="1" x14ac:dyDescent="0.8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22.5" customHeight="1" x14ac:dyDescent="0.8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22.5" customHeight="1" x14ac:dyDescent="0.8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22.5" customHeight="1" x14ac:dyDescent="0.8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22.5" customHeight="1" x14ac:dyDescent="0.8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22.5" customHeight="1" x14ac:dyDescent="0.8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22.5" customHeight="1" x14ac:dyDescent="0.8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22.5" customHeight="1" x14ac:dyDescent="0.8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22.5" customHeight="1" x14ac:dyDescent="0.8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22.5" customHeight="1" x14ac:dyDescent="0.8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22.5" customHeight="1" x14ac:dyDescent="0.8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22.5" customHeight="1" x14ac:dyDescent="0.8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22.5" customHeight="1" x14ac:dyDescent="0.8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22.5" customHeight="1" x14ac:dyDescent="0.8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22.5" customHeight="1" x14ac:dyDescent="0.8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22.5" customHeight="1" x14ac:dyDescent="0.8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22.5" customHeight="1" x14ac:dyDescent="0.8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22.5" customHeight="1" x14ac:dyDescent="0.8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22.5" customHeight="1" x14ac:dyDescent="0.8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22.5" customHeight="1" x14ac:dyDescent="0.8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22.5" customHeight="1" x14ac:dyDescent="0.8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22.5" customHeight="1" x14ac:dyDescent="0.8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22.5" customHeight="1" x14ac:dyDescent="0.8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22.5" customHeight="1" x14ac:dyDescent="0.8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22.5" customHeight="1" x14ac:dyDescent="0.8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22.5" customHeight="1" x14ac:dyDescent="0.8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22.5" customHeight="1" x14ac:dyDescent="0.8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22.5" customHeight="1" x14ac:dyDescent="0.8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22.5" customHeight="1" x14ac:dyDescent="0.8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22.5" customHeight="1" x14ac:dyDescent="0.8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22.5" customHeight="1" x14ac:dyDescent="0.8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22.5" customHeight="1" x14ac:dyDescent="0.8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22.5" customHeight="1" x14ac:dyDescent="0.8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22.5" customHeight="1" x14ac:dyDescent="0.8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22.5" customHeight="1" x14ac:dyDescent="0.8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22.5" customHeight="1" x14ac:dyDescent="0.8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22.5" customHeight="1" x14ac:dyDescent="0.8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22.5" customHeight="1" x14ac:dyDescent="0.8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22.5" customHeight="1" x14ac:dyDescent="0.8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22.5" customHeight="1" x14ac:dyDescent="0.8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22.5" customHeight="1" x14ac:dyDescent="0.8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22.5" customHeight="1" x14ac:dyDescent="0.8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22.5" customHeight="1" x14ac:dyDescent="0.8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22.5" customHeight="1" x14ac:dyDescent="0.8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22.5" customHeight="1" x14ac:dyDescent="0.8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22.5" customHeight="1" x14ac:dyDescent="0.8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22.5" customHeight="1" x14ac:dyDescent="0.8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22.5" customHeight="1" x14ac:dyDescent="0.8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22.5" customHeight="1" x14ac:dyDescent="0.8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22.5" customHeight="1" x14ac:dyDescent="0.8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22.5" customHeight="1" x14ac:dyDescent="0.8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22.5" customHeight="1" x14ac:dyDescent="0.8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22.5" customHeight="1" x14ac:dyDescent="0.8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22.5" customHeight="1" x14ac:dyDescent="0.8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22.5" customHeight="1" x14ac:dyDescent="0.8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22.5" customHeight="1" x14ac:dyDescent="0.8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22.5" customHeight="1" x14ac:dyDescent="0.8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22.5" customHeight="1" x14ac:dyDescent="0.8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22.5" customHeight="1" x14ac:dyDescent="0.8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22.5" customHeight="1" x14ac:dyDescent="0.8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22.5" customHeight="1" x14ac:dyDescent="0.8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22.5" customHeight="1" x14ac:dyDescent="0.8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22.5" customHeight="1" x14ac:dyDescent="0.8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22.5" customHeight="1" x14ac:dyDescent="0.8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22.5" customHeight="1" x14ac:dyDescent="0.8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22.5" customHeight="1" x14ac:dyDescent="0.8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22.5" customHeight="1" x14ac:dyDescent="0.8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22.5" customHeight="1" x14ac:dyDescent="0.8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22.5" customHeight="1" x14ac:dyDescent="0.8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22.5" customHeight="1" x14ac:dyDescent="0.8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22.5" customHeight="1" x14ac:dyDescent="0.8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22.5" customHeight="1" x14ac:dyDescent="0.8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22.5" customHeight="1" x14ac:dyDescent="0.8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22.5" customHeight="1" x14ac:dyDescent="0.8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22.5" customHeight="1" x14ac:dyDescent="0.8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22.5" customHeight="1" x14ac:dyDescent="0.8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22.5" customHeight="1" x14ac:dyDescent="0.8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22.5" customHeight="1" x14ac:dyDescent="0.8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22.5" customHeight="1" x14ac:dyDescent="0.8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22.5" customHeight="1" x14ac:dyDescent="0.8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22.5" customHeight="1" x14ac:dyDescent="0.8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22.5" customHeight="1" x14ac:dyDescent="0.8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22.5" customHeight="1" x14ac:dyDescent="0.8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22.5" customHeight="1" x14ac:dyDescent="0.8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22.5" customHeight="1" x14ac:dyDescent="0.8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22.5" customHeight="1" x14ac:dyDescent="0.8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22.5" customHeight="1" x14ac:dyDescent="0.8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22.5" customHeight="1" x14ac:dyDescent="0.8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22.5" customHeight="1" x14ac:dyDescent="0.8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22.5" customHeight="1" x14ac:dyDescent="0.8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22.5" customHeight="1" x14ac:dyDescent="0.8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22.5" customHeight="1" x14ac:dyDescent="0.8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22.5" customHeight="1" x14ac:dyDescent="0.8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22.5" customHeight="1" x14ac:dyDescent="0.8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22.5" customHeight="1" x14ac:dyDescent="0.8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22.5" customHeight="1" x14ac:dyDescent="0.8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22.5" customHeight="1" x14ac:dyDescent="0.8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22.5" customHeight="1" x14ac:dyDescent="0.8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22.5" customHeight="1" x14ac:dyDescent="0.8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22.5" customHeight="1" x14ac:dyDescent="0.8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22.5" customHeight="1" x14ac:dyDescent="0.8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22.5" customHeight="1" x14ac:dyDescent="0.8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22.5" customHeight="1" x14ac:dyDescent="0.8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22.5" customHeight="1" x14ac:dyDescent="0.8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22.5" customHeight="1" x14ac:dyDescent="0.8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22.5" customHeight="1" x14ac:dyDescent="0.8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22.5" customHeight="1" x14ac:dyDescent="0.8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22.5" customHeight="1" x14ac:dyDescent="0.8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22.5" customHeight="1" x14ac:dyDescent="0.8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22.5" customHeight="1" x14ac:dyDescent="0.8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22.5" customHeight="1" x14ac:dyDescent="0.8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22.5" customHeight="1" x14ac:dyDescent="0.8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22.5" customHeight="1" x14ac:dyDescent="0.8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22.5" customHeight="1" x14ac:dyDescent="0.8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22.5" customHeight="1" x14ac:dyDescent="0.8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22.5" customHeight="1" x14ac:dyDescent="0.8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22.5" customHeight="1" x14ac:dyDescent="0.8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22.5" customHeight="1" x14ac:dyDescent="0.8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22.5" customHeight="1" x14ac:dyDescent="0.8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22.5" customHeight="1" x14ac:dyDescent="0.8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22.5" customHeight="1" x14ac:dyDescent="0.8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22.5" customHeight="1" x14ac:dyDescent="0.8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22.5" customHeight="1" x14ac:dyDescent="0.8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22.5" customHeight="1" x14ac:dyDescent="0.8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22.5" customHeight="1" x14ac:dyDescent="0.8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22.5" customHeight="1" x14ac:dyDescent="0.8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22.5" customHeight="1" x14ac:dyDescent="0.8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22.5" customHeight="1" x14ac:dyDescent="0.8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22.5" customHeight="1" x14ac:dyDescent="0.8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22.5" customHeight="1" x14ac:dyDescent="0.8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22.5" customHeight="1" x14ac:dyDescent="0.8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22.5" customHeight="1" x14ac:dyDescent="0.8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22.5" customHeight="1" x14ac:dyDescent="0.8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22.5" customHeight="1" x14ac:dyDescent="0.8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22.5" customHeight="1" x14ac:dyDescent="0.8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22.5" customHeight="1" x14ac:dyDescent="0.8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22.5" customHeight="1" x14ac:dyDescent="0.8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22.5" customHeight="1" x14ac:dyDescent="0.8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22.5" customHeight="1" x14ac:dyDescent="0.8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22.5" customHeight="1" x14ac:dyDescent="0.8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22.5" customHeight="1" x14ac:dyDescent="0.8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22.5" customHeight="1" x14ac:dyDescent="0.8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22.5" customHeight="1" x14ac:dyDescent="0.8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22.5" customHeight="1" x14ac:dyDescent="0.8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22.5" customHeight="1" x14ac:dyDescent="0.8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22.5" customHeight="1" x14ac:dyDescent="0.8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22.5" customHeight="1" x14ac:dyDescent="0.8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22.5" customHeight="1" x14ac:dyDescent="0.8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22.5" customHeight="1" x14ac:dyDescent="0.8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22.5" customHeight="1" x14ac:dyDescent="0.8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22.5" customHeight="1" x14ac:dyDescent="0.8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22.5" customHeight="1" x14ac:dyDescent="0.8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22.5" customHeight="1" x14ac:dyDescent="0.8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22.5" customHeight="1" x14ac:dyDescent="0.8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22.5" customHeight="1" x14ac:dyDescent="0.8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22.5" customHeight="1" x14ac:dyDescent="0.8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22.5" customHeight="1" x14ac:dyDescent="0.8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22.5" customHeight="1" x14ac:dyDescent="0.8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22.5" customHeight="1" x14ac:dyDescent="0.8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22.5" customHeight="1" x14ac:dyDescent="0.8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22.5" customHeight="1" x14ac:dyDescent="0.8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22.5" customHeight="1" x14ac:dyDescent="0.8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22.5" customHeight="1" x14ac:dyDescent="0.8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22.5" customHeight="1" x14ac:dyDescent="0.8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22.5" customHeight="1" x14ac:dyDescent="0.8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22.5" customHeight="1" x14ac:dyDescent="0.8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22.5" customHeight="1" x14ac:dyDescent="0.8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22.5" customHeight="1" x14ac:dyDescent="0.8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22.5" customHeight="1" x14ac:dyDescent="0.8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22.5" customHeight="1" x14ac:dyDescent="0.8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22.5" customHeight="1" x14ac:dyDescent="0.8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22.5" customHeight="1" x14ac:dyDescent="0.8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22.5" customHeight="1" x14ac:dyDescent="0.8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7">
    <mergeCell ref="A15:F15"/>
    <mergeCell ref="A16:G16"/>
    <mergeCell ref="A1:G1"/>
    <mergeCell ref="A2:G2"/>
    <mergeCell ref="A12:G12"/>
    <mergeCell ref="A13:F13"/>
    <mergeCell ref="A14:F14"/>
  </mergeCells>
  <pageMargins left="0.7" right="0.7" top="0.75" bottom="0.75" header="0" footer="0"/>
  <pageSetup orientation="portrai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BFBFBF"/>
  </sheetPr>
  <dimension ref="A1:AE1001"/>
  <sheetViews>
    <sheetView tabSelected="1" zoomScaleNormal="100" workbookViewId="0">
      <selection activeCell="I13" sqref="I13"/>
    </sheetView>
  </sheetViews>
  <sheetFormatPr defaultColWidth="11.23046875" defaultRowHeight="24" outlineLevelRow="1" x14ac:dyDescent="0.85"/>
  <cols>
    <col min="1" max="1" width="38.07421875" customWidth="1"/>
    <col min="2" max="12" width="14.61328125" customWidth="1"/>
    <col min="13" max="13" width="19" customWidth="1"/>
    <col min="14" max="14" width="20.921875" customWidth="1"/>
    <col min="15" max="15" width="20.765625" customWidth="1"/>
    <col min="16" max="16" width="21.921875" customWidth="1"/>
    <col min="17" max="31" width="9.23046875" customWidth="1"/>
  </cols>
  <sheetData>
    <row r="1" spans="1:31" ht="37.799999999999997" x14ac:dyDescent="0.85">
      <c r="A1" s="27" t="s">
        <v>87</v>
      </c>
      <c r="B1" s="28"/>
      <c r="C1" s="28"/>
      <c r="D1" s="28"/>
      <c r="E1" s="28"/>
      <c r="F1" s="28"/>
      <c r="G1" s="28"/>
      <c r="H1" s="28"/>
      <c r="I1" s="28"/>
      <c r="J1" s="28"/>
      <c r="K1" s="29"/>
      <c r="L1" s="744"/>
      <c r="M1" s="30"/>
      <c r="N1" s="30"/>
      <c r="O1" s="30"/>
      <c r="P1" s="30"/>
      <c r="Q1" s="30"/>
      <c r="R1" s="30"/>
      <c r="S1" s="30"/>
      <c r="T1" s="30"/>
      <c r="U1" s="30"/>
      <c r="V1" s="30"/>
      <c r="W1" s="30"/>
      <c r="X1" s="30"/>
      <c r="Y1" s="30"/>
      <c r="Z1" s="30"/>
      <c r="AA1" s="30"/>
      <c r="AB1" s="30"/>
      <c r="AC1" s="30"/>
      <c r="AD1" s="30"/>
      <c r="AE1" s="30"/>
    </row>
    <row r="2" spans="1:31" ht="26.4" x14ac:dyDescent="0.9">
      <c r="A2" s="31" t="s">
        <v>88</v>
      </c>
      <c r="B2" s="32"/>
      <c r="C2" s="32"/>
      <c r="D2" s="32"/>
      <c r="E2" s="32"/>
      <c r="F2" s="32"/>
      <c r="G2" s="32"/>
      <c r="H2" s="32"/>
      <c r="I2" s="32"/>
      <c r="J2" s="32"/>
      <c r="K2" s="33"/>
      <c r="L2" s="745"/>
      <c r="M2" s="30"/>
      <c r="N2" s="30"/>
      <c r="O2" s="30"/>
      <c r="P2" s="30"/>
      <c r="Q2" s="30"/>
      <c r="R2" s="30"/>
      <c r="S2" s="30"/>
      <c r="T2" s="30"/>
      <c r="U2" s="30"/>
      <c r="V2" s="30"/>
      <c r="W2" s="30"/>
      <c r="X2" s="30"/>
      <c r="Y2" s="30"/>
      <c r="Z2" s="30"/>
      <c r="AA2" s="30"/>
      <c r="AB2" s="30"/>
      <c r="AC2" s="30"/>
      <c r="AD2" s="30"/>
      <c r="AE2" s="30"/>
    </row>
    <row r="3" spans="1:31" ht="57.6" customHeight="1" outlineLevel="1" x14ac:dyDescent="0.85">
      <c r="A3" s="789" t="s">
        <v>89</v>
      </c>
      <c r="B3" s="790"/>
      <c r="C3" s="790"/>
      <c r="D3" s="790"/>
      <c r="E3" s="790"/>
      <c r="F3" s="790"/>
      <c r="G3" s="790"/>
      <c r="H3" s="790"/>
      <c r="I3" s="790"/>
      <c r="J3" s="790"/>
      <c r="K3" s="791"/>
      <c r="L3" s="742"/>
      <c r="M3" s="34"/>
      <c r="N3" s="34"/>
      <c r="O3" s="34"/>
      <c r="P3" s="34"/>
      <c r="Q3" s="34"/>
      <c r="R3" s="34"/>
      <c r="S3" s="34"/>
      <c r="T3" s="34"/>
      <c r="U3" s="34"/>
      <c r="V3" s="34"/>
      <c r="W3" s="34"/>
      <c r="X3" s="34"/>
      <c r="Y3" s="34"/>
      <c r="Z3" s="34"/>
      <c r="AA3" s="34"/>
      <c r="AB3" s="34"/>
      <c r="AC3" s="34"/>
      <c r="AD3" s="34"/>
      <c r="AE3" s="34"/>
    </row>
    <row r="4" spans="1:31" outlineLevel="1" x14ac:dyDescent="0.85">
      <c r="A4" s="35" t="s">
        <v>90</v>
      </c>
      <c r="B4" s="36"/>
      <c r="C4" s="36"/>
      <c r="D4" s="36"/>
      <c r="E4" s="36"/>
      <c r="F4" s="36"/>
      <c r="G4" s="36"/>
      <c r="H4" s="36"/>
      <c r="I4" s="36"/>
      <c r="J4" s="36"/>
      <c r="K4" s="36"/>
      <c r="L4" s="746"/>
      <c r="M4" s="34"/>
      <c r="N4" s="34"/>
      <c r="O4" s="34"/>
      <c r="P4" s="34"/>
      <c r="Q4" s="34"/>
      <c r="R4" s="34"/>
      <c r="S4" s="34"/>
      <c r="T4" s="34"/>
      <c r="U4" s="34"/>
      <c r="V4" s="34"/>
      <c r="W4" s="34"/>
      <c r="X4" s="34"/>
      <c r="Y4" s="34"/>
      <c r="Z4" s="34"/>
      <c r="AA4" s="34"/>
      <c r="AB4" s="34"/>
      <c r="AC4" s="34"/>
      <c r="AD4" s="34"/>
      <c r="AE4" s="34"/>
    </row>
    <row r="5" spans="1:31" ht="48" outlineLevel="1" x14ac:dyDescent="0.85">
      <c r="A5" s="755" t="s">
        <v>1690</v>
      </c>
      <c r="B5" s="756" t="s">
        <v>3</v>
      </c>
      <c r="C5" s="756" t="s">
        <v>92</v>
      </c>
      <c r="D5" s="756" t="s">
        <v>93</v>
      </c>
      <c r="E5" s="756" t="s">
        <v>94</v>
      </c>
      <c r="F5" s="756" t="s">
        <v>95</v>
      </c>
      <c r="G5" s="756" t="s">
        <v>96</v>
      </c>
      <c r="H5" s="756" t="s">
        <v>97</v>
      </c>
      <c r="I5" s="756" t="s">
        <v>98</v>
      </c>
      <c r="J5" s="756" t="s">
        <v>1685</v>
      </c>
      <c r="K5" s="756" t="s">
        <v>1686</v>
      </c>
      <c r="L5" s="747"/>
      <c r="M5" s="15"/>
      <c r="N5" s="15"/>
      <c r="O5" s="15"/>
      <c r="P5" s="15"/>
      <c r="Q5" s="15"/>
      <c r="R5" s="15"/>
      <c r="S5" s="15"/>
      <c r="T5" s="15"/>
      <c r="U5" s="15"/>
      <c r="V5" s="15"/>
      <c r="W5" s="15"/>
      <c r="X5" s="15"/>
      <c r="Y5" s="15"/>
      <c r="Z5" s="15"/>
      <c r="AA5" s="15"/>
      <c r="AB5" s="15"/>
      <c r="AC5" s="15"/>
      <c r="AD5" s="15"/>
      <c r="AE5" s="15"/>
    </row>
    <row r="6" spans="1:31" outlineLevel="1" x14ac:dyDescent="0.85">
      <c r="A6" s="757" t="s">
        <v>1700</v>
      </c>
      <c r="B6" s="749">
        <f>'Workbook Intro'!D4</f>
        <v>2023</v>
      </c>
      <c r="C6" s="750">
        <f>'Albuquerque MSA Data'!H18+'Albuquerque MSA Data'!H19</f>
        <v>9701645.5253911205</v>
      </c>
      <c r="D6" s="751">
        <v>0.627</v>
      </c>
      <c r="E6" s="750">
        <f>'Albuquerque MSA Data'!B5</f>
        <v>919292</v>
      </c>
      <c r="F6" s="752">
        <f>C6/E6</f>
        <v>10.55338839606036</v>
      </c>
      <c r="G6" s="753">
        <v>939287</v>
      </c>
      <c r="H6" s="752">
        <f>(1-D6)*F6</f>
        <v>3.9364138717305139</v>
      </c>
      <c r="I6" s="750">
        <f>H6*G6</f>
        <v>3697422.3763361392</v>
      </c>
      <c r="J6" s="754">
        <f>1-(I6/C6)</f>
        <v>0.61888708810693449</v>
      </c>
      <c r="K6" s="758">
        <f>C6*(1-0.62)</f>
        <v>3686625.2996486258</v>
      </c>
      <c r="L6" s="747"/>
      <c r="M6" s="15"/>
      <c r="N6" s="15"/>
      <c r="O6" s="15"/>
      <c r="P6" s="15"/>
      <c r="Q6" s="15"/>
      <c r="R6" s="15"/>
      <c r="S6" s="15"/>
      <c r="T6" s="15"/>
      <c r="U6" s="15"/>
      <c r="V6" s="15"/>
      <c r="W6" s="15"/>
      <c r="X6" s="15"/>
      <c r="Y6" s="15"/>
      <c r="Z6" s="15"/>
      <c r="AA6" s="15"/>
      <c r="AB6" s="15"/>
      <c r="AC6" s="15"/>
      <c r="AD6" s="15"/>
      <c r="AE6" s="15"/>
    </row>
    <row r="7" spans="1:31" outlineLevel="1" x14ac:dyDescent="0.85">
      <c r="A7" s="961" t="s">
        <v>1698</v>
      </c>
      <c r="B7" s="749">
        <v>2023</v>
      </c>
      <c r="C7" s="750">
        <f>'City of Albuquerque Data'!H20+'City of Albuquerque Data'!H21</f>
        <v>5107902.0669487426</v>
      </c>
      <c r="D7" s="751">
        <f>1-(0.5*B32)</f>
        <v>0.62037037037037035</v>
      </c>
      <c r="E7" s="750">
        <f>'City of Albuquerque Data'!B5</f>
        <v>561006</v>
      </c>
      <c r="F7" s="752">
        <f>C7/E7</f>
        <v>9.1048973931628936</v>
      </c>
      <c r="G7" s="753">
        <f>E7*(1+H13)</f>
        <v>566756.73488479352</v>
      </c>
      <c r="H7" s="752">
        <f>(1-D7)*F7</f>
        <v>3.4564888251822099</v>
      </c>
      <c r="I7" s="750">
        <f>H7*G7</f>
        <v>1958988.3207260452</v>
      </c>
      <c r="J7" s="754">
        <f>1-(I7/C7)</f>
        <v>0.61647888016453956</v>
      </c>
      <c r="K7" s="758">
        <f>C7*(1-0.62)</f>
        <v>1941002.7854405222</v>
      </c>
      <c r="L7" s="747"/>
      <c r="M7" s="747"/>
      <c r="N7" s="747"/>
      <c r="O7" s="747"/>
      <c r="P7" s="747"/>
      <c r="Q7" s="747"/>
      <c r="R7" s="747"/>
      <c r="S7" s="747"/>
      <c r="T7" s="747"/>
      <c r="U7" s="747"/>
      <c r="V7" s="747"/>
      <c r="W7" s="747"/>
      <c r="X7" s="747"/>
      <c r="Y7" s="747"/>
      <c r="Z7" s="747"/>
      <c r="AA7" s="747"/>
      <c r="AB7" s="747"/>
      <c r="AC7" s="747"/>
      <c r="AD7" s="747"/>
      <c r="AE7" s="747"/>
    </row>
    <row r="8" spans="1:31" outlineLevel="1" x14ac:dyDescent="0.85">
      <c r="A8" s="15"/>
      <c r="B8" s="15"/>
      <c r="C8" s="15"/>
      <c r="D8" s="15"/>
      <c r="E8" s="15"/>
      <c r="F8" s="15"/>
      <c r="G8" s="15"/>
      <c r="H8" s="15"/>
      <c r="I8" s="15"/>
      <c r="J8" s="15"/>
      <c r="K8" s="15"/>
      <c r="L8" s="747"/>
      <c r="M8" s="15"/>
      <c r="N8" s="15"/>
      <c r="O8" s="15"/>
      <c r="P8" s="15"/>
      <c r="Q8" s="15"/>
      <c r="R8" s="15"/>
      <c r="S8" s="15"/>
      <c r="T8" s="15"/>
      <c r="U8" s="15"/>
      <c r="V8" s="15"/>
      <c r="W8" s="15"/>
      <c r="X8" s="15"/>
      <c r="Y8" s="15"/>
      <c r="Z8" s="15"/>
      <c r="AA8" s="15"/>
      <c r="AB8" s="15"/>
      <c r="AC8" s="15"/>
      <c r="AD8" s="15"/>
      <c r="AE8" s="15"/>
    </row>
    <row r="9" spans="1:31" x14ac:dyDescent="0.85">
      <c r="A9" s="15"/>
      <c r="B9" s="15"/>
      <c r="C9" s="15"/>
      <c r="D9" s="15"/>
      <c r="E9" s="15"/>
      <c r="F9" s="15"/>
      <c r="G9" s="15"/>
      <c r="H9" s="15"/>
      <c r="I9" s="15"/>
      <c r="J9" s="15"/>
      <c r="K9" s="15"/>
      <c r="L9" s="747"/>
      <c r="M9" s="15"/>
      <c r="N9" s="15"/>
      <c r="O9" s="15"/>
      <c r="P9" s="15"/>
      <c r="Q9" s="15"/>
      <c r="R9" s="15"/>
      <c r="S9" s="15"/>
      <c r="T9" s="15"/>
      <c r="U9" s="15"/>
      <c r="V9" s="15"/>
      <c r="W9" s="15"/>
      <c r="X9" s="15"/>
      <c r="Y9" s="15"/>
      <c r="Z9" s="15"/>
      <c r="AA9" s="15"/>
      <c r="AB9" s="15"/>
      <c r="AC9" s="15"/>
      <c r="AD9" s="15"/>
      <c r="AE9" s="15"/>
    </row>
    <row r="10" spans="1:31" x14ac:dyDescent="0.85">
      <c r="A10" s="15"/>
      <c r="B10" s="15"/>
      <c r="C10" s="15"/>
      <c r="D10" s="15"/>
      <c r="E10" s="15"/>
      <c r="F10" s="15"/>
      <c r="G10" s="792" t="s">
        <v>1696</v>
      </c>
      <c r="H10" s="792"/>
      <c r="I10" s="15"/>
      <c r="J10" s="15"/>
      <c r="K10" s="15"/>
      <c r="L10" s="747"/>
      <c r="M10" s="15"/>
      <c r="N10" s="15"/>
      <c r="O10" s="15"/>
      <c r="P10" s="15"/>
      <c r="Q10" s="15"/>
      <c r="R10" s="15"/>
      <c r="S10" s="15"/>
      <c r="T10" s="15"/>
      <c r="U10" s="15"/>
      <c r="V10" s="15"/>
      <c r="W10" s="15"/>
      <c r="X10" s="15"/>
      <c r="Y10" s="15"/>
      <c r="Z10" s="15"/>
      <c r="AA10" s="15"/>
      <c r="AB10" s="15"/>
      <c r="AC10" s="15"/>
      <c r="AD10" s="15"/>
      <c r="AE10" s="15"/>
    </row>
    <row r="11" spans="1:31" x14ac:dyDescent="0.85">
      <c r="A11" s="15"/>
      <c r="B11" s="15"/>
      <c r="C11" s="15"/>
      <c r="D11" s="15"/>
      <c r="E11" s="15"/>
      <c r="F11" s="15"/>
      <c r="G11" s="749">
        <v>2020</v>
      </c>
      <c r="H11" s="760">
        <v>676438</v>
      </c>
      <c r="I11" s="15"/>
      <c r="J11" s="15"/>
      <c r="K11" s="15"/>
      <c r="L11" s="747"/>
      <c r="M11" s="15"/>
      <c r="N11" s="15"/>
      <c r="O11" s="15"/>
      <c r="P11" s="15"/>
      <c r="Q11" s="15"/>
      <c r="R11" s="15"/>
      <c r="S11" s="15"/>
      <c r="T11" s="15"/>
      <c r="U11" s="15"/>
      <c r="V11" s="15"/>
      <c r="W11" s="15"/>
      <c r="X11" s="15"/>
      <c r="Y11" s="15"/>
      <c r="Z11" s="15"/>
      <c r="AA11" s="15"/>
      <c r="AB11" s="15"/>
      <c r="AC11" s="15"/>
      <c r="AD11" s="15"/>
      <c r="AE11" s="15"/>
    </row>
    <row r="12" spans="1:31" x14ac:dyDescent="0.85">
      <c r="A12" s="15"/>
      <c r="B12" s="15"/>
      <c r="C12" s="15"/>
      <c r="D12" s="15"/>
      <c r="E12" s="15"/>
      <c r="F12" s="15"/>
      <c r="G12" s="749">
        <v>2030</v>
      </c>
      <c r="H12" s="760">
        <v>683372</v>
      </c>
      <c r="I12" s="15"/>
      <c r="J12" s="15"/>
      <c r="K12" s="15"/>
      <c r="L12" s="747"/>
      <c r="M12" s="15"/>
      <c r="N12" s="15"/>
      <c r="O12" s="15"/>
      <c r="P12" s="15"/>
      <c r="Q12" s="15"/>
      <c r="R12" s="15"/>
      <c r="S12" s="15"/>
      <c r="T12" s="15"/>
      <c r="U12" s="15"/>
      <c r="V12" s="15"/>
      <c r="W12" s="15"/>
      <c r="X12" s="15"/>
      <c r="Y12" s="15"/>
      <c r="Z12" s="15"/>
      <c r="AA12" s="15"/>
      <c r="AB12" s="15"/>
      <c r="AC12" s="15"/>
      <c r="AD12" s="15"/>
      <c r="AE12" s="15"/>
    </row>
    <row r="13" spans="1:31" x14ac:dyDescent="0.85">
      <c r="A13" s="15"/>
      <c r="B13" s="15"/>
      <c r="C13" s="15"/>
      <c r="D13" s="15"/>
      <c r="E13" s="15"/>
      <c r="F13" s="15"/>
      <c r="G13" s="749" t="s">
        <v>1697</v>
      </c>
      <c r="H13" s="759">
        <f>(H12-H11)/H11</f>
        <v>1.0250754688530213E-2</v>
      </c>
      <c r="I13" s="15" t="s">
        <v>1701</v>
      </c>
      <c r="J13" s="15"/>
      <c r="K13" s="15"/>
      <c r="L13" s="747"/>
      <c r="M13" s="15"/>
      <c r="N13" s="15"/>
      <c r="O13" s="15"/>
      <c r="P13" s="15"/>
      <c r="Q13" s="15"/>
      <c r="R13" s="15"/>
      <c r="S13" s="15"/>
      <c r="T13" s="15"/>
      <c r="U13" s="15"/>
      <c r="V13" s="15"/>
      <c r="W13" s="15"/>
      <c r="X13" s="15"/>
      <c r="Y13" s="15"/>
      <c r="Z13" s="15"/>
      <c r="AA13" s="15"/>
      <c r="AB13" s="15"/>
      <c r="AC13" s="15"/>
      <c r="AD13" s="15"/>
      <c r="AE13" s="15"/>
    </row>
    <row r="14" spans="1:31" x14ac:dyDescent="0.85">
      <c r="A14" s="15"/>
      <c r="B14" s="15"/>
      <c r="C14" s="15"/>
      <c r="D14" s="15"/>
      <c r="E14" s="15"/>
      <c r="F14" s="15"/>
      <c r="G14" s="15"/>
      <c r="H14" s="15"/>
      <c r="I14" s="15"/>
      <c r="J14" s="15"/>
      <c r="K14" s="15"/>
      <c r="L14" s="747"/>
      <c r="M14" s="15"/>
      <c r="N14" s="15"/>
      <c r="O14" s="15"/>
      <c r="P14" s="15"/>
      <c r="Q14" s="15"/>
      <c r="R14" s="15"/>
      <c r="S14" s="15"/>
      <c r="T14" s="15"/>
      <c r="U14" s="15"/>
      <c r="V14" s="15"/>
      <c r="W14" s="15"/>
      <c r="X14" s="15"/>
      <c r="Y14" s="15"/>
      <c r="Z14" s="15"/>
      <c r="AA14" s="15"/>
      <c r="AB14" s="15"/>
      <c r="AC14" s="15"/>
      <c r="AD14" s="15"/>
      <c r="AE14" s="15"/>
    </row>
    <row r="15" spans="1:31" x14ac:dyDescent="0.85">
      <c r="A15" s="15"/>
      <c r="B15" s="15"/>
      <c r="C15" s="15"/>
      <c r="D15" s="15"/>
      <c r="E15" s="15"/>
      <c r="F15" s="15"/>
      <c r="G15" s="15"/>
      <c r="H15" s="15"/>
      <c r="I15" s="15"/>
      <c r="J15" s="15"/>
      <c r="K15" s="15"/>
      <c r="L15" s="747"/>
      <c r="M15" s="15"/>
      <c r="N15" s="15"/>
      <c r="O15" s="15"/>
      <c r="P15" s="15"/>
      <c r="Q15" s="15"/>
      <c r="R15" s="15"/>
      <c r="S15" s="15"/>
      <c r="T15" s="15"/>
      <c r="U15" s="15"/>
      <c r="V15" s="15"/>
      <c r="W15" s="15"/>
      <c r="X15" s="15"/>
      <c r="Y15" s="15"/>
      <c r="Z15" s="15"/>
      <c r="AA15" s="15"/>
      <c r="AB15" s="15"/>
      <c r="AC15" s="15"/>
      <c r="AD15" s="15"/>
      <c r="AE15" s="15"/>
    </row>
    <row r="16" spans="1:31" x14ac:dyDescent="0.85">
      <c r="A16" s="15"/>
      <c r="B16" s="15"/>
      <c r="C16" s="15"/>
      <c r="D16" s="15"/>
      <c r="E16" s="15"/>
      <c r="F16" s="15"/>
      <c r="G16" s="15"/>
      <c r="H16" s="15"/>
      <c r="I16" s="15"/>
      <c r="J16" s="15"/>
      <c r="K16" s="15"/>
      <c r="L16" s="747"/>
      <c r="M16" s="15"/>
      <c r="N16" s="15"/>
      <c r="O16" s="15"/>
      <c r="P16" s="15"/>
      <c r="Q16" s="15"/>
      <c r="R16" s="15"/>
      <c r="S16" s="15"/>
      <c r="T16" s="15"/>
      <c r="U16" s="15"/>
      <c r="V16" s="15"/>
      <c r="W16" s="15"/>
      <c r="X16" s="15"/>
      <c r="Y16" s="15"/>
      <c r="Z16" s="15"/>
      <c r="AA16" s="15"/>
      <c r="AB16" s="15"/>
      <c r="AC16" s="15"/>
      <c r="AD16" s="15"/>
      <c r="AE16" s="15"/>
    </row>
    <row r="17" spans="1:31" x14ac:dyDescent="0.85">
      <c r="A17" s="15"/>
      <c r="B17" s="15"/>
      <c r="C17" s="15"/>
      <c r="D17" s="15"/>
      <c r="E17" s="15"/>
      <c r="F17" s="15"/>
      <c r="G17" s="15"/>
      <c r="H17" s="15"/>
      <c r="I17" s="15"/>
      <c r="J17" s="15"/>
      <c r="K17" s="15"/>
      <c r="L17" s="747"/>
      <c r="M17" s="15"/>
      <c r="N17" s="15"/>
      <c r="O17" s="15"/>
      <c r="P17" s="15"/>
      <c r="Q17" s="15"/>
      <c r="R17" s="15"/>
      <c r="S17" s="15"/>
      <c r="T17" s="15"/>
      <c r="U17" s="15"/>
      <c r="V17" s="15"/>
      <c r="W17" s="15"/>
      <c r="X17" s="15"/>
      <c r="Y17" s="15"/>
      <c r="Z17" s="15"/>
      <c r="AA17" s="15"/>
      <c r="AB17" s="15"/>
      <c r="AC17" s="15"/>
      <c r="AD17" s="15"/>
      <c r="AE17" s="15"/>
    </row>
    <row r="18" spans="1:31" x14ac:dyDescent="0.85">
      <c r="A18" s="15"/>
      <c r="B18" s="15"/>
      <c r="C18" s="15"/>
      <c r="D18" s="15"/>
      <c r="E18" s="15"/>
      <c r="F18" s="15"/>
      <c r="G18" s="15"/>
      <c r="H18" s="15"/>
      <c r="I18" s="15"/>
      <c r="J18" s="15"/>
      <c r="K18" s="15"/>
      <c r="L18" s="747"/>
      <c r="M18" s="743"/>
      <c r="N18" s="15"/>
      <c r="O18" s="15"/>
      <c r="P18" s="15"/>
      <c r="Q18" s="15"/>
      <c r="R18" s="15"/>
      <c r="S18" s="15"/>
      <c r="T18" s="15"/>
      <c r="U18" s="15"/>
      <c r="V18" s="15"/>
      <c r="W18" s="15"/>
      <c r="X18" s="15"/>
      <c r="Y18" s="15"/>
      <c r="Z18" s="15"/>
      <c r="AA18" s="15"/>
      <c r="AB18" s="15"/>
      <c r="AC18" s="15"/>
      <c r="AD18" s="15"/>
      <c r="AE18" s="15"/>
    </row>
    <row r="19" spans="1:31" x14ac:dyDescent="0.85">
      <c r="A19" s="15"/>
      <c r="B19" s="15"/>
      <c r="C19" s="15"/>
      <c r="D19" s="15"/>
      <c r="E19" s="15"/>
      <c r="F19" s="15"/>
      <c r="G19" s="15"/>
      <c r="H19" s="15"/>
      <c r="I19" s="15"/>
      <c r="J19" s="748"/>
      <c r="K19" s="15"/>
      <c r="L19" s="747"/>
      <c r="M19" s="15"/>
      <c r="N19" s="15"/>
      <c r="O19" s="15"/>
      <c r="P19" s="15"/>
      <c r="Q19" s="15"/>
      <c r="R19" s="15"/>
      <c r="S19" s="15"/>
      <c r="T19" s="15"/>
      <c r="U19" s="15"/>
      <c r="V19" s="15"/>
      <c r="W19" s="15"/>
      <c r="X19" s="15"/>
      <c r="Y19" s="15"/>
      <c r="Z19" s="15"/>
      <c r="AA19" s="15"/>
      <c r="AB19" s="15"/>
      <c r="AC19" s="15"/>
      <c r="AD19" s="15"/>
      <c r="AE19" s="15"/>
    </row>
    <row r="20" spans="1:31" x14ac:dyDescent="0.85">
      <c r="A20" s="15"/>
      <c r="B20" s="15"/>
      <c r="C20" s="15"/>
      <c r="D20" s="15"/>
      <c r="E20" s="15"/>
      <c r="F20" s="15"/>
      <c r="G20" s="15"/>
      <c r="H20" s="15"/>
      <c r="I20" s="15"/>
      <c r="J20" s="15"/>
      <c r="K20" s="15"/>
      <c r="L20" s="747"/>
      <c r="M20" s="15"/>
      <c r="N20" s="15"/>
      <c r="O20" s="15"/>
      <c r="P20" s="15"/>
      <c r="Q20" s="15"/>
      <c r="R20" s="15"/>
      <c r="S20" s="15"/>
      <c r="T20" s="15"/>
      <c r="U20" s="15"/>
      <c r="V20" s="15"/>
      <c r="W20" s="15"/>
      <c r="X20" s="15"/>
      <c r="Y20" s="15"/>
      <c r="Z20" s="15"/>
      <c r="AA20" s="15"/>
      <c r="AB20" s="15"/>
      <c r="AC20" s="15"/>
      <c r="AD20" s="15"/>
      <c r="AE20" s="15"/>
    </row>
    <row r="21" spans="1:31" x14ac:dyDescent="0.85">
      <c r="A21" s="15"/>
      <c r="B21" s="15"/>
      <c r="C21" s="15"/>
      <c r="D21" s="15"/>
      <c r="E21" s="15"/>
      <c r="F21" s="15"/>
      <c r="G21" s="15"/>
      <c r="H21" s="15"/>
      <c r="I21" s="15"/>
      <c r="J21" s="15"/>
      <c r="K21" s="15"/>
      <c r="L21" s="747"/>
      <c r="M21" s="15"/>
      <c r="N21" s="15"/>
      <c r="O21" s="15"/>
      <c r="P21" s="15"/>
      <c r="Q21" s="15"/>
      <c r="R21" s="15"/>
      <c r="S21" s="15"/>
      <c r="T21" s="15"/>
      <c r="U21" s="15"/>
      <c r="V21" s="15"/>
      <c r="W21" s="15"/>
      <c r="X21" s="15"/>
      <c r="Y21" s="15"/>
      <c r="Z21" s="15"/>
      <c r="AA21" s="15"/>
      <c r="AB21" s="15"/>
      <c r="AC21" s="15"/>
      <c r="AD21" s="15"/>
      <c r="AE21" s="15"/>
    </row>
    <row r="22" spans="1:31" s="963" customFormat="1" x14ac:dyDescent="0.85">
      <c r="A22" s="962"/>
      <c r="B22" s="962"/>
      <c r="C22" s="962"/>
      <c r="D22" s="962"/>
      <c r="E22" s="962"/>
      <c r="F22" s="962" t="s">
        <v>1693</v>
      </c>
      <c r="G22" s="962"/>
      <c r="H22" s="962"/>
      <c r="I22" s="962" t="s">
        <v>1694</v>
      </c>
      <c r="J22" s="962"/>
      <c r="K22" s="962" t="s">
        <v>1695</v>
      </c>
      <c r="L22" s="962"/>
      <c r="M22" s="962"/>
      <c r="N22" s="962"/>
      <c r="O22" s="962"/>
      <c r="P22" s="962"/>
      <c r="Q22" s="962"/>
      <c r="R22" s="962"/>
      <c r="S22" s="962"/>
      <c r="T22" s="962"/>
      <c r="U22" s="962"/>
      <c r="V22" s="962"/>
      <c r="W22" s="962"/>
      <c r="X22" s="962"/>
      <c r="Y22" s="962"/>
      <c r="Z22" s="962"/>
      <c r="AA22" s="962"/>
      <c r="AB22" s="962"/>
      <c r="AC22" s="962"/>
      <c r="AD22" s="962"/>
      <c r="AE22" s="962"/>
    </row>
    <row r="23" spans="1:31" s="963" customFormat="1" ht="120" x14ac:dyDescent="0.85">
      <c r="A23" s="964" t="s">
        <v>91</v>
      </c>
      <c r="B23" s="965" t="s">
        <v>3</v>
      </c>
      <c r="C23" s="965" t="s">
        <v>92</v>
      </c>
      <c r="D23" s="965" t="s">
        <v>94</v>
      </c>
      <c r="E23" s="965" t="s">
        <v>95</v>
      </c>
      <c r="F23" s="965" t="s">
        <v>1665</v>
      </c>
      <c r="G23" s="965" t="s">
        <v>1666</v>
      </c>
      <c r="H23" s="965" t="s">
        <v>1667</v>
      </c>
      <c r="I23" s="965" t="s">
        <v>96</v>
      </c>
      <c r="J23" s="965" t="s">
        <v>98</v>
      </c>
      <c r="K23" s="965" t="s">
        <v>1677</v>
      </c>
      <c r="L23" s="965" t="s">
        <v>1689</v>
      </c>
      <c r="M23" s="965"/>
      <c r="N23" s="962"/>
      <c r="O23" s="962"/>
      <c r="P23" s="962"/>
      <c r="Q23" s="962"/>
      <c r="R23" s="962"/>
      <c r="S23" s="962"/>
      <c r="T23" s="962"/>
      <c r="U23" s="962"/>
      <c r="V23" s="962"/>
      <c r="W23" s="962"/>
      <c r="X23" s="962"/>
      <c r="Y23" s="962"/>
      <c r="Z23" s="962"/>
      <c r="AA23" s="962"/>
      <c r="AB23" s="962"/>
      <c r="AC23" s="962"/>
      <c r="AD23" s="962"/>
      <c r="AE23" s="962"/>
    </row>
    <row r="24" spans="1:31" s="963" customFormat="1" x14ac:dyDescent="0.85">
      <c r="A24" s="966" t="s">
        <v>1668</v>
      </c>
      <c r="B24" s="967">
        <v>2023</v>
      </c>
      <c r="C24" s="968">
        <f>'City of Albuquerque Data'!H20+'City of Albuquerque Data'!H21</f>
        <v>5107902.0669487426</v>
      </c>
      <c r="D24" s="968">
        <f>'City of Albuquerque Data'!B5</f>
        <v>561006</v>
      </c>
      <c r="E24" s="969">
        <f>C24/D24</f>
        <v>9.1048973931628936</v>
      </c>
      <c r="F24" s="970">
        <f>B32</f>
        <v>0.7592592592592593</v>
      </c>
      <c r="G24" s="971">
        <f>1-(0.5*F24)</f>
        <v>0.62037037037037035</v>
      </c>
      <c r="H24" s="969">
        <f>E24*(1-G24)</f>
        <v>3.4564888251822099</v>
      </c>
      <c r="I24" s="968">
        <v>683372</v>
      </c>
      <c r="J24" s="968">
        <f>H24*I24</f>
        <v>2362067.6814424172</v>
      </c>
      <c r="K24" s="968">
        <v>4765663</v>
      </c>
      <c r="L24" s="972">
        <f>(J24/C24)</f>
        <v>0.46243401899312891</v>
      </c>
      <c r="M24" s="973"/>
      <c r="N24" s="962"/>
      <c r="O24" s="962"/>
      <c r="P24" s="962"/>
      <c r="Q24" s="962"/>
      <c r="R24" s="962"/>
      <c r="S24" s="962"/>
      <c r="T24" s="962"/>
      <c r="U24" s="962"/>
      <c r="V24" s="962"/>
      <c r="W24" s="962"/>
      <c r="X24" s="962"/>
      <c r="Y24" s="962"/>
      <c r="Z24" s="962"/>
      <c r="AA24" s="962"/>
      <c r="AB24" s="962"/>
      <c r="AC24" s="962"/>
      <c r="AD24" s="962"/>
      <c r="AE24" s="962"/>
    </row>
    <row r="25" spans="1:31" s="963" customFormat="1" x14ac:dyDescent="0.85">
      <c r="A25" s="966"/>
      <c r="B25" s="966"/>
      <c r="C25" s="966"/>
      <c r="D25" s="966"/>
      <c r="E25" s="966" t="s">
        <v>1669</v>
      </c>
      <c r="F25" s="966" t="s">
        <v>1670</v>
      </c>
      <c r="G25" s="966" t="s">
        <v>1670</v>
      </c>
      <c r="H25" s="966" t="s">
        <v>1671</v>
      </c>
      <c r="I25" s="966" t="s">
        <v>1699</v>
      </c>
      <c r="J25" s="966" t="s">
        <v>1672</v>
      </c>
      <c r="K25" s="974" t="s">
        <v>1678</v>
      </c>
      <c r="L25" s="974"/>
      <c r="M25" s="962"/>
      <c r="N25" s="962"/>
      <c r="O25" s="962"/>
      <c r="P25" s="962"/>
      <c r="Q25" s="962"/>
      <c r="R25" s="962"/>
      <c r="S25" s="962"/>
      <c r="T25" s="962"/>
      <c r="U25" s="962"/>
      <c r="V25" s="962"/>
      <c r="W25" s="962"/>
      <c r="X25" s="962"/>
      <c r="Y25" s="962"/>
      <c r="Z25" s="962"/>
      <c r="AA25" s="962"/>
      <c r="AB25" s="962"/>
      <c r="AC25" s="962"/>
      <c r="AD25" s="962"/>
      <c r="AE25" s="962"/>
    </row>
    <row r="26" spans="1:31" s="963" customFormat="1" x14ac:dyDescent="0.85">
      <c r="A26" s="966"/>
      <c r="B26" s="966"/>
      <c r="C26" s="966">
        <v>5809351</v>
      </c>
      <c r="D26" s="966"/>
      <c r="E26" s="966"/>
      <c r="F26" s="966" t="s">
        <v>1692</v>
      </c>
      <c r="G26" s="966" t="s">
        <v>1691</v>
      </c>
      <c r="H26" s="966"/>
      <c r="I26" s="966"/>
      <c r="J26" s="966"/>
      <c r="K26" s="962"/>
      <c r="L26" s="962"/>
      <c r="M26" s="962"/>
      <c r="N26" s="962"/>
      <c r="O26" s="962"/>
      <c r="P26" s="962"/>
      <c r="Q26" s="962"/>
      <c r="R26" s="962"/>
      <c r="S26" s="962"/>
      <c r="T26" s="962"/>
      <c r="U26" s="962"/>
      <c r="V26" s="962"/>
      <c r="W26" s="962"/>
      <c r="X26" s="962"/>
      <c r="Y26" s="962"/>
      <c r="Z26" s="962"/>
      <c r="AA26" s="962"/>
      <c r="AB26" s="962"/>
      <c r="AC26" s="962"/>
      <c r="AD26" s="962"/>
      <c r="AE26" s="962"/>
    </row>
    <row r="27" spans="1:31" s="963" customFormat="1" x14ac:dyDescent="0.85">
      <c r="A27" s="966"/>
      <c r="B27" s="966"/>
      <c r="C27" s="975">
        <f>1-C24/C26</f>
        <v>0.12074480145049893</v>
      </c>
      <c r="D27" s="966"/>
      <c r="E27" s="966"/>
      <c r="F27" s="966"/>
      <c r="G27" s="966"/>
      <c r="H27" s="966"/>
      <c r="I27" s="966"/>
      <c r="J27" s="966"/>
      <c r="K27" s="962"/>
      <c r="L27" s="962"/>
      <c r="M27" s="962"/>
      <c r="N27" s="962"/>
      <c r="O27" s="962"/>
      <c r="P27" s="962"/>
      <c r="Q27" s="962"/>
      <c r="R27" s="962"/>
      <c r="S27" s="962"/>
      <c r="T27" s="962"/>
      <c r="U27" s="962"/>
      <c r="V27" s="962"/>
      <c r="W27" s="962"/>
      <c r="X27" s="962"/>
      <c r="Y27" s="962"/>
      <c r="Z27" s="962"/>
      <c r="AA27" s="962"/>
      <c r="AB27" s="962"/>
      <c r="AC27" s="962"/>
      <c r="AD27" s="962"/>
      <c r="AE27" s="962"/>
    </row>
    <row r="28" spans="1:31" s="963" customFormat="1" x14ac:dyDescent="0.85">
      <c r="A28" s="966" t="s">
        <v>1679</v>
      </c>
      <c r="B28" s="966"/>
      <c r="C28" s="966"/>
      <c r="D28" s="966"/>
      <c r="E28" s="966"/>
      <c r="F28" s="966"/>
      <c r="G28" s="966"/>
      <c r="H28" s="966"/>
      <c r="I28" s="966"/>
      <c r="J28" s="966"/>
      <c r="K28" s="966"/>
      <c r="L28" s="966"/>
      <c r="M28" s="962"/>
      <c r="N28" s="962"/>
      <c r="O28" s="962"/>
      <c r="P28" s="962"/>
      <c r="Q28" s="962"/>
      <c r="R28" s="962"/>
      <c r="S28" s="962"/>
      <c r="T28" s="962"/>
      <c r="U28" s="962"/>
      <c r="V28" s="962"/>
      <c r="W28" s="962"/>
      <c r="X28" s="962"/>
      <c r="Y28" s="962"/>
      <c r="Z28" s="962"/>
      <c r="AA28" s="962"/>
      <c r="AB28" s="962"/>
      <c r="AC28" s="962"/>
      <c r="AD28" s="962"/>
      <c r="AE28" s="962"/>
    </row>
    <row r="29" spans="1:31" s="963" customFormat="1" x14ac:dyDescent="0.85">
      <c r="A29" s="966" t="s">
        <v>1673</v>
      </c>
      <c r="B29" s="966"/>
      <c r="C29" s="966"/>
      <c r="D29" s="966"/>
      <c r="E29" s="966"/>
      <c r="F29" s="966"/>
      <c r="G29" s="966"/>
      <c r="H29" s="966"/>
      <c r="I29" s="966"/>
      <c r="J29" s="966"/>
      <c r="K29" s="966"/>
      <c r="L29" s="966"/>
      <c r="M29" s="962"/>
      <c r="N29" s="962"/>
      <c r="O29" s="962"/>
      <c r="P29" s="962"/>
      <c r="Q29" s="962"/>
      <c r="R29" s="962"/>
      <c r="S29" s="962"/>
      <c r="T29" s="962"/>
      <c r="U29" s="962"/>
      <c r="V29" s="962"/>
      <c r="W29" s="962"/>
      <c r="X29" s="962"/>
      <c r="Y29" s="962"/>
      <c r="Z29" s="962"/>
      <c r="AA29" s="962"/>
      <c r="AB29" s="962"/>
      <c r="AC29" s="962"/>
      <c r="AD29" s="962"/>
      <c r="AE29" s="962"/>
    </row>
    <row r="30" spans="1:31" s="963" customFormat="1" x14ac:dyDescent="0.85">
      <c r="A30" s="966" t="s">
        <v>1674</v>
      </c>
      <c r="B30" s="966">
        <v>0.93799999999999994</v>
      </c>
      <c r="C30" s="966"/>
      <c r="D30" s="966"/>
      <c r="E30" s="966"/>
      <c r="F30" s="966"/>
      <c r="G30" s="966"/>
      <c r="H30" s="966"/>
      <c r="I30" s="966"/>
      <c r="J30" s="966"/>
      <c r="K30" s="966"/>
      <c r="L30" s="966"/>
      <c r="M30" s="962"/>
      <c r="N30" s="962"/>
      <c r="O30" s="962"/>
      <c r="P30" s="962"/>
      <c r="Q30" s="962"/>
      <c r="R30" s="962"/>
      <c r="S30" s="962"/>
      <c r="T30" s="962"/>
      <c r="U30" s="962"/>
      <c r="V30" s="962"/>
      <c r="W30" s="962"/>
      <c r="X30" s="962"/>
      <c r="Y30" s="962"/>
      <c r="Z30" s="962"/>
      <c r="AA30" s="962"/>
      <c r="AB30" s="962"/>
      <c r="AC30" s="962"/>
      <c r="AD30" s="962"/>
      <c r="AE30" s="962"/>
    </row>
    <row r="31" spans="1:31" s="963" customFormat="1" x14ac:dyDescent="0.85">
      <c r="A31" s="966" t="s">
        <v>1675</v>
      </c>
      <c r="B31" s="966">
        <v>0.75600000000000001</v>
      </c>
      <c r="C31" s="966"/>
      <c r="D31" s="966"/>
      <c r="E31" s="966"/>
      <c r="F31" s="966"/>
      <c r="G31" s="966"/>
      <c r="H31" s="966"/>
      <c r="I31" s="966"/>
      <c r="J31" s="966"/>
      <c r="K31" s="966"/>
      <c r="L31" s="966"/>
      <c r="M31" s="962"/>
      <c r="N31" s="962"/>
      <c r="O31" s="962"/>
      <c r="P31" s="962"/>
      <c r="Q31" s="962"/>
      <c r="R31" s="962"/>
      <c r="S31" s="962"/>
      <c r="T31" s="962"/>
      <c r="U31" s="962"/>
      <c r="V31" s="962"/>
      <c r="W31" s="962"/>
      <c r="X31" s="962"/>
      <c r="Y31" s="962"/>
      <c r="Z31" s="962"/>
      <c r="AA31" s="962"/>
      <c r="AB31" s="962"/>
      <c r="AC31" s="962"/>
      <c r="AD31" s="962"/>
      <c r="AE31" s="962"/>
    </row>
    <row r="32" spans="1:31" s="963" customFormat="1" x14ac:dyDescent="0.85">
      <c r="A32" s="966" t="s">
        <v>1676</v>
      </c>
      <c r="B32" s="976">
        <f>1-((B30-B31)/B31)</f>
        <v>0.7592592592592593</v>
      </c>
      <c r="C32" s="966"/>
      <c r="D32" s="966"/>
      <c r="E32" s="966"/>
      <c r="F32" s="966"/>
      <c r="G32" s="966"/>
      <c r="H32" s="966"/>
      <c r="I32" s="966"/>
      <c r="J32" s="966"/>
      <c r="K32" s="966"/>
      <c r="L32" s="966"/>
      <c r="M32" s="962"/>
      <c r="N32" s="962"/>
      <c r="O32" s="962"/>
      <c r="P32" s="962"/>
      <c r="Q32" s="962"/>
      <c r="R32" s="962"/>
      <c r="S32" s="962"/>
      <c r="T32" s="962"/>
      <c r="U32" s="962"/>
      <c r="V32" s="962"/>
      <c r="W32" s="962"/>
      <c r="X32" s="962"/>
      <c r="Y32" s="962"/>
      <c r="Z32" s="962"/>
      <c r="AA32" s="962"/>
      <c r="AB32" s="962"/>
      <c r="AC32" s="962"/>
      <c r="AD32" s="962"/>
      <c r="AE32" s="962"/>
    </row>
    <row r="33" spans="1:31" s="963" customFormat="1" x14ac:dyDescent="0.85">
      <c r="A33" s="962"/>
      <c r="B33" s="962"/>
      <c r="C33" s="962"/>
      <c r="D33" s="962"/>
      <c r="E33" s="962"/>
      <c r="F33" s="962"/>
      <c r="G33" s="962"/>
      <c r="H33" s="962"/>
      <c r="I33" s="962"/>
      <c r="J33" s="962"/>
      <c r="K33" s="962"/>
      <c r="L33" s="962"/>
      <c r="M33" s="962"/>
      <c r="N33" s="962"/>
      <c r="O33" s="962"/>
      <c r="P33" s="962"/>
      <c r="Q33" s="962"/>
      <c r="R33" s="962"/>
      <c r="S33" s="962"/>
      <c r="T33" s="962"/>
      <c r="U33" s="962"/>
      <c r="V33" s="962"/>
      <c r="W33" s="962"/>
      <c r="X33" s="962"/>
      <c r="Y33" s="962"/>
      <c r="Z33" s="962"/>
      <c r="AA33" s="962"/>
      <c r="AB33" s="962"/>
      <c r="AC33" s="962"/>
      <c r="AD33" s="962"/>
      <c r="AE33" s="962"/>
    </row>
    <row r="34" spans="1:31" s="963" customFormat="1" x14ac:dyDescent="0.85">
      <c r="A34" s="962" t="s">
        <v>1687</v>
      </c>
      <c r="B34" s="962">
        <v>0.88400000000000001</v>
      </c>
      <c r="C34" s="962" t="s">
        <v>1688</v>
      </c>
      <c r="D34" s="962"/>
      <c r="E34" s="962"/>
      <c r="F34" s="962"/>
      <c r="G34" s="962"/>
      <c r="H34" s="962"/>
      <c r="I34" s="962"/>
      <c r="J34" s="962"/>
      <c r="K34" s="962"/>
      <c r="L34" s="962"/>
      <c r="M34" s="962"/>
      <c r="N34" s="962"/>
      <c r="O34" s="962"/>
      <c r="P34" s="962"/>
      <c r="Q34" s="962"/>
      <c r="R34" s="962"/>
      <c r="S34" s="962"/>
      <c r="T34" s="962"/>
      <c r="U34" s="962"/>
      <c r="V34" s="962"/>
      <c r="W34" s="962"/>
      <c r="X34" s="962"/>
      <c r="Y34" s="962"/>
      <c r="Z34" s="962"/>
      <c r="AA34" s="962"/>
      <c r="AB34" s="962"/>
      <c r="AC34" s="962"/>
      <c r="AD34" s="962"/>
      <c r="AE34" s="962"/>
    </row>
    <row r="35" spans="1:31" s="963" customFormat="1" x14ac:dyDescent="0.85">
      <c r="A35" s="966" t="s">
        <v>1675</v>
      </c>
      <c r="B35" s="966">
        <v>0.75600000000000001</v>
      </c>
      <c r="C35" s="962"/>
      <c r="D35" s="962"/>
      <c r="E35" s="962"/>
      <c r="F35" s="962"/>
      <c r="G35" s="962"/>
      <c r="H35" s="962"/>
      <c r="I35" s="962"/>
      <c r="J35" s="962"/>
      <c r="K35" s="962"/>
      <c r="L35" s="962"/>
      <c r="M35" s="962"/>
      <c r="N35" s="962"/>
      <c r="O35" s="962"/>
      <c r="P35" s="962"/>
      <c r="Q35" s="962"/>
      <c r="R35" s="962"/>
      <c r="S35" s="962"/>
      <c r="T35" s="962"/>
      <c r="U35" s="962"/>
      <c r="V35" s="962"/>
      <c r="W35" s="962"/>
      <c r="X35" s="962"/>
      <c r="Y35" s="962"/>
      <c r="Z35" s="962"/>
      <c r="AA35" s="962"/>
      <c r="AB35" s="962"/>
      <c r="AC35" s="962"/>
      <c r="AD35" s="962"/>
      <c r="AE35" s="962"/>
    </row>
    <row r="36" spans="1:31" s="963" customFormat="1" x14ac:dyDescent="0.85">
      <c r="A36" s="966" t="s">
        <v>1676</v>
      </c>
      <c r="B36" s="976">
        <f>1-((B34-B35)/B35)</f>
        <v>0.8306878306878307</v>
      </c>
      <c r="C36" s="962"/>
      <c r="D36" s="962"/>
      <c r="E36" s="962"/>
      <c r="F36" s="962"/>
      <c r="G36" s="962"/>
      <c r="H36" s="962"/>
      <c r="I36" s="962"/>
      <c r="J36" s="962"/>
      <c r="K36" s="962"/>
      <c r="L36" s="962"/>
      <c r="M36" s="962"/>
      <c r="N36" s="962"/>
      <c r="O36" s="962"/>
      <c r="P36" s="962"/>
      <c r="Q36" s="962"/>
      <c r="R36" s="962"/>
      <c r="S36" s="962"/>
      <c r="T36" s="962"/>
      <c r="U36" s="962"/>
      <c r="V36" s="962"/>
      <c r="W36" s="962"/>
      <c r="X36" s="962"/>
      <c r="Y36" s="962"/>
      <c r="Z36" s="962"/>
      <c r="AA36" s="962"/>
      <c r="AB36" s="962"/>
      <c r="AC36" s="962"/>
      <c r="AD36" s="962"/>
      <c r="AE36" s="962"/>
    </row>
    <row r="37" spans="1:31" s="963" customFormat="1" x14ac:dyDescent="0.85">
      <c r="A37" s="962"/>
      <c r="B37" s="962"/>
      <c r="C37" s="962"/>
      <c r="D37" s="962"/>
      <c r="E37" s="962"/>
      <c r="F37" s="962"/>
      <c r="G37" s="962"/>
      <c r="H37" s="962"/>
      <c r="I37" s="962"/>
      <c r="J37" s="962"/>
      <c r="K37" s="962"/>
      <c r="L37" s="962"/>
      <c r="M37" s="962"/>
      <c r="N37" s="962"/>
      <c r="O37" s="962"/>
      <c r="P37" s="962"/>
      <c r="Q37" s="962"/>
      <c r="R37" s="962"/>
      <c r="S37" s="962"/>
      <c r="T37" s="962"/>
      <c r="U37" s="962"/>
      <c r="V37" s="962"/>
      <c r="W37" s="962"/>
      <c r="X37" s="962"/>
      <c r="Y37" s="962"/>
      <c r="Z37" s="962"/>
      <c r="AA37" s="962"/>
      <c r="AB37" s="962"/>
      <c r="AC37" s="962"/>
      <c r="AD37" s="962"/>
      <c r="AE37" s="962"/>
    </row>
    <row r="38" spans="1:31" s="963" customFormat="1" x14ac:dyDescent="0.85">
      <c r="A38" s="962"/>
      <c r="B38" s="962"/>
      <c r="C38" s="962"/>
      <c r="D38" s="962"/>
      <c r="E38" s="962"/>
      <c r="F38" s="962"/>
      <c r="G38" s="962"/>
      <c r="H38" s="962"/>
      <c r="I38" s="962"/>
      <c r="J38" s="962"/>
      <c r="K38" s="962"/>
      <c r="L38" s="962"/>
      <c r="M38" s="962"/>
      <c r="N38" s="962"/>
      <c r="O38" s="962"/>
      <c r="P38" s="962"/>
      <c r="Q38" s="962"/>
      <c r="R38" s="962"/>
      <c r="S38" s="962"/>
      <c r="T38" s="962"/>
      <c r="U38" s="962"/>
      <c r="V38" s="962"/>
      <c r="W38" s="962"/>
      <c r="X38" s="962"/>
      <c r="Y38" s="962"/>
      <c r="Z38" s="962"/>
      <c r="AA38" s="962"/>
      <c r="AB38" s="962"/>
      <c r="AC38" s="962"/>
      <c r="AD38" s="962"/>
      <c r="AE38" s="962"/>
    </row>
    <row r="39" spans="1:31" s="963" customFormat="1" x14ac:dyDescent="0.85">
      <c r="A39" s="962"/>
      <c r="B39" s="962"/>
      <c r="C39" s="962"/>
      <c r="D39" s="962"/>
      <c r="E39" s="962"/>
      <c r="F39" s="962"/>
      <c r="G39" s="962"/>
      <c r="H39" s="962"/>
      <c r="I39" s="962"/>
      <c r="J39" s="962"/>
      <c r="K39" s="962"/>
      <c r="L39" s="962"/>
      <c r="M39" s="962"/>
      <c r="N39" s="962"/>
      <c r="O39" s="962"/>
      <c r="P39" s="962"/>
      <c r="Q39" s="962"/>
      <c r="R39" s="962"/>
      <c r="S39" s="962"/>
      <c r="T39" s="962"/>
      <c r="U39" s="962"/>
      <c r="V39" s="962"/>
      <c r="W39" s="962"/>
      <c r="X39" s="962"/>
      <c r="Y39" s="962"/>
      <c r="Z39" s="962"/>
      <c r="AA39" s="962"/>
      <c r="AB39" s="962"/>
      <c r="AC39" s="962"/>
      <c r="AD39" s="962"/>
      <c r="AE39" s="962"/>
    </row>
    <row r="40" spans="1:31" s="963" customFormat="1" x14ac:dyDescent="0.85">
      <c r="A40" s="962"/>
      <c r="B40" s="962"/>
      <c r="C40" s="962"/>
      <c r="D40" s="962"/>
      <c r="E40" s="962"/>
      <c r="F40" s="962"/>
      <c r="G40" s="962"/>
      <c r="H40" s="962"/>
      <c r="I40" s="962"/>
      <c r="J40" s="962"/>
      <c r="K40" s="962"/>
      <c r="L40" s="962"/>
      <c r="M40" s="962"/>
      <c r="N40" s="962"/>
      <c r="O40" s="962"/>
      <c r="P40" s="962"/>
      <c r="Q40" s="962"/>
      <c r="R40" s="962"/>
      <c r="S40" s="962"/>
      <c r="T40" s="962"/>
      <c r="U40" s="962"/>
      <c r="V40" s="962"/>
      <c r="W40" s="962"/>
      <c r="X40" s="962"/>
      <c r="Y40" s="962"/>
      <c r="Z40" s="962"/>
      <c r="AA40" s="962"/>
      <c r="AB40" s="962"/>
      <c r="AC40" s="962"/>
      <c r="AD40" s="962"/>
      <c r="AE40" s="962"/>
    </row>
    <row r="41" spans="1:31" s="963" customFormat="1" x14ac:dyDescent="0.85">
      <c r="A41" s="962"/>
      <c r="B41" s="962"/>
      <c r="C41" s="962"/>
      <c r="D41" s="962"/>
      <c r="E41" s="962"/>
      <c r="F41" s="962"/>
      <c r="G41" s="962"/>
      <c r="H41" s="962"/>
      <c r="I41" s="962"/>
      <c r="J41" s="962"/>
      <c r="K41" s="962"/>
      <c r="L41" s="962"/>
      <c r="M41" s="962"/>
      <c r="N41" s="962"/>
      <c r="O41" s="962"/>
      <c r="P41" s="962"/>
      <c r="Q41" s="962"/>
      <c r="R41" s="962"/>
      <c r="S41" s="962"/>
      <c r="T41" s="962"/>
      <c r="U41" s="962"/>
      <c r="V41" s="962"/>
      <c r="W41" s="962"/>
      <c r="X41" s="962"/>
      <c r="Y41" s="962"/>
      <c r="Z41" s="962"/>
      <c r="AA41" s="962"/>
      <c r="AB41" s="962"/>
      <c r="AC41" s="962"/>
      <c r="AD41" s="962"/>
      <c r="AE41" s="962"/>
    </row>
    <row r="42" spans="1:31" s="963" customFormat="1" x14ac:dyDescent="0.85">
      <c r="A42" s="962"/>
      <c r="B42" s="962"/>
      <c r="C42" s="962"/>
      <c r="D42" s="962"/>
      <c r="E42" s="962"/>
      <c r="F42" s="962"/>
      <c r="G42" s="962"/>
      <c r="H42" s="962"/>
      <c r="I42" s="962"/>
      <c r="J42" s="962"/>
      <c r="K42" s="962"/>
      <c r="L42" s="962"/>
      <c r="M42" s="962"/>
      <c r="N42" s="962"/>
      <c r="O42" s="962"/>
      <c r="P42" s="962"/>
      <c r="Q42" s="962"/>
      <c r="R42" s="962"/>
      <c r="S42" s="962"/>
      <c r="T42" s="962"/>
      <c r="U42" s="962"/>
      <c r="V42" s="962"/>
      <c r="W42" s="962"/>
      <c r="X42" s="962"/>
      <c r="Y42" s="962"/>
      <c r="Z42" s="962"/>
      <c r="AA42" s="962"/>
      <c r="AB42" s="962"/>
      <c r="AC42" s="962"/>
      <c r="AD42" s="962"/>
      <c r="AE42" s="962"/>
    </row>
    <row r="43" spans="1:31" s="963" customFormat="1" x14ac:dyDescent="0.85">
      <c r="A43" s="962"/>
      <c r="B43" s="962"/>
      <c r="C43" s="962"/>
      <c r="D43" s="962"/>
      <c r="E43" s="962"/>
      <c r="F43" s="962"/>
      <c r="G43" s="962"/>
      <c r="H43" s="962"/>
      <c r="I43" s="962"/>
      <c r="J43" s="962"/>
      <c r="K43" s="962"/>
      <c r="L43" s="962"/>
      <c r="M43" s="962"/>
      <c r="N43" s="962"/>
      <c r="O43" s="962"/>
      <c r="P43" s="962"/>
      <c r="Q43" s="962"/>
      <c r="R43" s="962"/>
      <c r="S43" s="962"/>
      <c r="T43" s="962"/>
      <c r="U43" s="962"/>
      <c r="V43" s="962"/>
      <c r="W43" s="962"/>
      <c r="X43" s="962"/>
      <c r="Y43" s="962"/>
      <c r="Z43" s="962"/>
      <c r="AA43" s="962"/>
      <c r="AB43" s="962"/>
      <c r="AC43" s="962"/>
      <c r="AD43" s="962"/>
      <c r="AE43" s="962"/>
    </row>
    <row r="44" spans="1:31" s="963" customFormat="1" x14ac:dyDescent="0.85">
      <c r="A44" s="962"/>
      <c r="B44" s="962"/>
      <c r="C44" s="962"/>
      <c r="D44" s="962"/>
      <c r="E44" s="962"/>
      <c r="F44" s="962"/>
      <c r="G44" s="962"/>
      <c r="H44" s="962"/>
      <c r="I44" s="962"/>
      <c r="J44" s="962"/>
      <c r="K44" s="962"/>
      <c r="L44" s="962"/>
      <c r="M44" s="962"/>
      <c r="N44" s="962"/>
      <c r="O44" s="962"/>
      <c r="P44" s="962"/>
      <c r="Q44" s="962"/>
      <c r="R44" s="962"/>
      <c r="S44" s="962"/>
      <c r="T44" s="962"/>
      <c r="U44" s="962"/>
      <c r="V44" s="962"/>
      <c r="W44" s="962"/>
      <c r="X44" s="962"/>
      <c r="Y44" s="962"/>
      <c r="Z44" s="962"/>
      <c r="AA44" s="962"/>
      <c r="AB44" s="962"/>
      <c r="AC44" s="962"/>
      <c r="AD44" s="962"/>
      <c r="AE44" s="962"/>
    </row>
    <row r="45" spans="1:31" s="963" customFormat="1" x14ac:dyDescent="0.85">
      <c r="A45" s="962"/>
      <c r="B45" s="962"/>
      <c r="C45" s="962"/>
      <c r="D45" s="962"/>
      <c r="E45" s="962"/>
      <c r="F45" s="962"/>
      <c r="G45" s="962"/>
      <c r="H45" s="962"/>
      <c r="I45" s="962"/>
      <c r="J45" s="962"/>
      <c r="K45" s="962"/>
      <c r="L45" s="962"/>
      <c r="M45" s="962"/>
      <c r="N45" s="962"/>
      <c r="O45" s="962"/>
      <c r="P45" s="962"/>
      <c r="Q45" s="962"/>
      <c r="R45" s="962"/>
      <c r="S45" s="962"/>
      <c r="T45" s="962"/>
      <c r="U45" s="962"/>
      <c r="V45" s="962"/>
      <c r="W45" s="962"/>
      <c r="X45" s="962"/>
      <c r="Y45" s="962"/>
      <c r="Z45" s="962"/>
      <c r="AA45" s="962"/>
      <c r="AB45" s="962"/>
      <c r="AC45" s="962"/>
      <c r="AD45" s="962"/>
      <c r="AE45" s="962"/>
    </row>
    <row r="46" spans="1:31" s="963" customFormat="1" x14ac:dyDescent="0.85">
      <c r="A46" s="962"/>
      <c r="B46" s="962"/>
      <c r="C46" s="962"/>
      <c r="D46" s="962"/>
      <c r="E46" s="962"/>
      <c r="F46" s="962"/>
      <c r="G46" s="962"/>
      <c r="H46" s="962"/>
      <c r="I46" s="962"/>
      <c r="J46" s="962"/>
      <c r="K46" s="962"/>
      <c r="L46" s="962"/>
      <c r="M46" s="962"/>
      <c r="N46" s="962"/>
      <c r="O46" s="962"/>
      <c r="P46" s="962"/>
      <c r="Q46" s="962"/>
      <c r="R46" s="962"/>
      <c r="S46" s="962"/>
      <c r="T46" s="962"/>
      <c r="U46" s="962"/>
      <c r="V46" s="962"/>
      <c r="W46" s="962"/>
      <c r="X46" s="962"/>
      <c r="Y46" s="962"/>
      <c r="Z46" s="962"/>
      <c r="AA46" s="962"/>
      <c r="AB46" s="962"/>
      <c r="AC46" s="962"/>
      <c r="AD46" s="962"/>
      <c r="AE46" s="962"/>
    </row>
    <row r="47" spans="1:31" s="963" customFormat="1" x14ac:dyDescent="0.85">
      <c r="A47" s="962"/>
      <c r="B47" s="962"/>
      <c r="C47" s="962"/>
      <c r="D47" s="962"/>
      <c r="E47" s="962"/>
      <c r="F47" s="962"/>
      <c r="G47" s="962"/>
      <c r="H47" s="962"/>
      <c r="I47" s="962"/>
      <c r="J47" s="962"/>
      <c r="K47" s="962"/>
      <c r="L47" s="962"/>
      <c r="M47" s="962"/>
      <c r="N47" s="962"/>
      <c r="O47" s="962"/>
      <c r="P47" s="962"/>
      <c r="Q47" s="962"/>
      <c r="R47" s="962"/>
      <c r="S47" s="962"/>
      <c r="T47" s="962"/>
      <c r="U47" s="962"/>
      <c r="V47" s="962"/>
      <c r="W47" s="962"/>
      <c r="X47" s="962"/>
      <c r="Y47" s="962"/>
      <c r="Z47" s="962"/>
      <c r="AA47" s="962"/>
      <c r="AB47" s="962"/>
      <c r="AC47" s="962"/>
      <c r="AD47" s="962"/>
      <c r="AE47" s="962"/>
    </row>
    <row r="48" spans="1:31" s="963" customFormat="1" x14ac:dyDescent="0.85">
      <c r="A48" s="962"/>
      <c r="B48" s="962"/>
      <c r="C48" s="962"/>
      <c r="D48" s="962"/>
      <c r="E48" s="962"/>
      <c r="F48" s="962"/>
      <c r="G48" s="962"/>
      <c r="H48" s="962"/>
      <c r="I48" s="962"/>
      <c r="J48" s="962"/>
      <c r="K48" s="962"/>
      <c r="L48" s="962"/>
      <c r="M48" s="962"/>
      <c r="N48" s="962"/>
      <c r="O48" s="962"/>
      <c r="P48" s="962"/>
      <c r="Q48" s="962"/>
      <c r="R48" s="962"/>
      <c r="S48" s="962"/>
      <c r="T48" s="962"/>
      <c r="U48" s="962"/>
      <c r="V48" s="962"/>
      <c r="W48" s="962"/>
      <c r="X48" s="962"/>
      <c r="Y48" s="962"/>
      <c r="Z48" s="962"/>
      <c r="AA48" s="962"/>
      <c r="AB48" s="962"/>
      <c r="AC48" s="962"/>
      <c r="AD48" s="962"/>
      <c r="AE48" s="962"/>
    </row>
    <row r="49" spans="1:31" s="963" customFormat="1" x14ac:dyDescent="0.85">
      <c r="A49" s="962"/>
      <c r="B49" s="962"/>
      <c r="C49" s="962"/>
      <c r="D49" s="962"/>
      <c r="E49" s="962"/>
      <c r="F49" s="962"/>
      <c r="G49" s="962"/>
      <c r="H49" s="962"/>
      <c r="I49" s="962"/>
      <c r="J49" s="962"/>
      <c r="K49" s="962"/>
      <c r="L49" s="962"/>
      <c r="M49" s="962"/>
      <c r="N49" s="962"/>
      <c r="O49" s="962"/>
      <c r="P49" s="962"/>
      <c r="Q49" s="962"/>
      <c r="R49" s="962"/>
      <c r="S49" s="962"/>
      <c r="T49" s="962"/>
      <c r="U49" s="962"/>
      <c r="V49" s="962"/>
      <c r="W49" s="962"/>
      <c r="X49" s="962"/>
      <c r="Y49" s="962"/>
      <c r="Z49" s="962"/>
      <c r="AA49" s="962"/>
      <c r="AB49" s="962"/>
      <c r="AC49" s="962"/>
      <c r="AD49" s="962"/>
      <c r="AE49" s="962"/>
    </row>
    <row r="50" spans="1:31" s="963" customFormat="1" x14ac:dyDescent="0.85">
      <c r="A50" s="962"/>
      <c r="B50" s="962"/>
      <c r="C50" s="962"/>
      <c r="D50" s="962"/>
      <c r="E50" s="962"/>
      <c r="F50" s="962"/>
      <c r="G50" s="962"/>
      <c r="H50" s="962"/>
      <c r="I50" s="962"/>
      <c r="J50" s="962"/>
      <c r="K50" s="962"/>
      <c r="L50" s="962"/>
      <c r="M50" s="962"/>
      <c r="N50" s="962"/>
      <c r="O50" s="962"/>
      <c r="P50" s="962"/>
      <c r="Q50" s="962"/>
      <c r="R50" s="962"/>
      <c r="S50" s="962"/>
      <c r="T50" s="962"/>
      <c r="U50" s="962"/>
      <c r="V50" s="962"/>
      <c r="W50" s="962"/>
      <c r="X50" s="962"/>
      <c r="Y50" s="962"/>
      <c r="Z50" s="962"/>
      <c r="AA50" s="962"/>
      <c r="AB50" s="962"/>
      <c r="AC50" s="962"/>
      <c r="AD50" s="962"/>
      <c r="AE50" s="962"/>
    </row>
    <row r="51" spans="1:31" s="963" customFormat="1" x14ac:dyDescent="0.85">
      <c r="A51" s="962"/>
      <c r="B51" s="962"/>
      <c r="C51" s="962"/>
      <c r="D51" s="962"/>
      <c r="E51" s="962"/>
      <c r="F51" s="962"/>
      <c r="G51" s="962"/>
      <c r="H51" s="962"/>
      <c r="I51" s="962"/>
      <c r="J51" s="962"/>
      <c r="K51" s="962"/>
      <c r="L51" s="962"/>
      <c r="M51" s="962"/>
      <c r="N51" s="962"/>
      <c r="O51" s="962"/>
      <c r="P51" s="962"/>
      <c r="Q51" s="962"/>
      <c r="R51" s="962"/>
      <c r="S51" s="962"/>
      <c r="T51" s="962"/>
      <c r="U51" s="962"/>
      <c r="V51" s="962"/>
      <c r="W51" s="962"/>
      <c r="X51" s="962"/>
      <c r="Y51" s="962"/>
      <c r="Z51" s="962"/>
      <c r="AA51" s="962"/>
      <c r="AB51" s="962"/>
      <c r="AC51" s="962"/>
      <c r="AD51" s="962"/>
      <c r="AE51" s="962"/>
    </row>
    <row r="52" spans="1:31" s="963" customFormat="1" x14ac:dyDescent="0.85">
      <c r="A52" s="962"/>
      <c r="B52" s="962"/>
      <c r="C52" s="962"/>
      <c r="D52" s="962"/>
      <c r="E52" s="962"/>
      <c r="F52" s="962"/>
      <c r="G52" s="962"/>
      <c r="H52" s="962"/>
      <c r="I52" s="962"/>
      <c r="J52" s="962"/>
      <c r="K52" s="962"/>
      <c r="L52" s="962"/>
      <c r="M52" s="962"/>
      <c r="N52" s="962"/>
      <c r="O52" s="962"/>
      <c r="P52" s="962"/>
      <c r="Q52" s="962"/>
      <c r="R52" s="962"/>
      <c r="S52" s="962"/>
      <c r="T52" s="962"/>
      <c r="U52" s="962"/>
      <c r="V52" s="962"/>
      <c r="W52" s="962"/>
      <c r="X52" s="962"/>
      <c r="Y52" s="962"/>
      <c r="Z52" s="962"/>
      <c r="AA52" s="962"/>
      <c r="AB52" s="962"/>
      <c r="AC52" s="962"/>
      <c r="AD52" s="962"/>
      <c r="AE52" s="962"/>
    </row>
    <row r="53" spans="1:31" s="963" customFormat="1" x14ac:dyDescent="0.85">
      <c r="A53" s="962"/>
      <c r="B53" s="962"/>
      <c r="C53" s="962"/>
      <c r="D53" s="962"/>
      <c r="E53" s="962"/>
      <c r="F53" s="962"/>
      <c r="G53" s="962"/>
      <c r="H53" s="962"/>
      <c r="I53" s="962"/>
      <c r="J53" s="962"/>
      <c r="K53" s="962"/>
      <c r="L53" s="962"/>
      <c r="M53" s="962"/>
      <c r="N53" s="962"/>
      <c r="O53" s="962"/>
      <c r="P53" s="962"/>
      <c r="Q53" s="962"/>
      <c r="R53" s="962"/>
      <c r="S53" s="962"/>
      <c r="T53" s="962"/>
      <c r="U53" s="962"/>
      <c r="V53" s="962"/>
      <c r="W53" s="962"/>
      <c r="X53" s="962"/>
      <c r="Y53" s="962"/>
      <c r="Z53" s="962"/>
      <c r="AA53" s="962"/>
      <c r="AB53" s="962"/>
      <c r="AC53" s="962"/>
      <c r="AD53" s="962"/>
      <c r="AE53" s="962"/>
    </row>
    <row r="54" spans="1:31" s="963" customFormat="1" x14ac:dyDescent="0.85">
      <c r="A54" s="962"/>
      <c r="B54" s="962"/>
      <c r="C54" s="962"/>
      <c r="D54" s="962"/>
      <c r="E54" s="962"/>
      <c r="F54" s="962"/>
      <c r="G54" s="962"/>
      <c r="H54" s="962"/>
      <c r="I54" s="962"/>
      <c r="J54" s="962"/>
      <c r="K54" s="962"/>
      <c r="L54" s="962"/>
      <c r="M54" s="962"/>
      <c r="N54" s="962"/>
      <c r="O54" s="962"/>
      <c r="P54" s="962"/>
      <c r="Q54" s="962"/>
      <c r="R54" s="962"/>
      <c r="S54" s="962"/>
      <c r="T54" s="962"/>
      <c r="U54" s="962"/>
      <c r="V54" s="962"/>
      <c r="W54" s="962"/>
      <c r="X54" s="962"/>
      <c r="Y54" s="962"/>
      <c r="Z54" s="962"/>
      <c r="AA54" s="962"/>
      <c r="AB54" s="962"/>
      <c r="AC54" s="962"/>
      <c r="AD54" s="962"/>
      <c r="AE54" s="962"/>
    </row>
    <row r="55" spans="1:31" s="963" customFormat="1" x14ac:dyDescent="0.85">
      <c r="A55" s="962"/>
      <c r="B55" s="962"/>
      <c r="C55" s="962"/>
      <c r="D55" s="962"/>
      <c r="E55" s="962"/>
      <c r="F55" s="962"/>
      <c r="G55" s="962"/>
      <c r="H55" s="962"/>
      <c r="I55" s="962"/>
      <c r="J55" s="962"/>
      <c r="K55" s="962"/>
      <c r="L55" s="962"/>
      <c r="M55" s="962"/>
      <c r="N55" s="962"/>
      <c r="O55" s="962"/>
      <c r="P55" s="962"/>
      <c r="Q55" s="962"/>
      <c r="R55" s="962"/>
      <c r="S55" s="962"/>
      <c r="T55" s="962"/>
      <c r="U55" s="962"/>
      <c r="V55" s="962"/>
      <c r="W55" s="962"/>
      <c r="X55" s="962"/>
      <c r="Y55" s="962"/>
      <c r="Z55" s="962"/>
      <c r="AA55" s="962"/>
      <c r="AB55" s="962"/>
      <c r="AC55" s="962"/>
      <c r="AD55" s="962"/>
      <c r="AE55" s="962"/>
    </row>
    <row r="56" spans="1:31" s="963" customFormat="1" x14ac:dyDescent="0.85">
      <c r="A56" s="962"/>
      <c r="B56" s="962"/>
      <c r="C56" s="962"/>
      <c r="D56" s="962"/>
      <c r="E56" s="962"/>
      <c r="F56" s="962"/>
      <c r="G56" s="962"/>
      <c r="H56" s="962"/>
      <c r="I56" s="962"/>
      <c r="J56" s="962"/>
      <c r="K56" s="962"/>
      <c r="L56" s="962"/>
      <c r="M56" s="962"/>
      <c r="N56" s="962"/>
      <c r="O56" s="962"/>
      <c r="P56" s="962"/>
      <c r="Q56" s="962"/>
      <c r="R56" s="962"/>
      <c r="S56" s="962"/>
      <c r="T56" s="962"/>
      <c r="U56" s="962"/>
      <c r="V56" s="962"/>
      <c r="W56" s="962"/>
      <c r="X56" s="962"/>
      <c r="Y56" s="962"/>
      <c r="Z56" s="962"/>
      <c r="AA56" s="962"/>
      <c r="AB56" s="962"/>
      <c r="AC56" s="962"/>
      <c r="AD56" s="962"/>
      <c r="AE56" s="962"/>
    </row>
    <row r="57" spans="1:31" s="963" customFormat="1" x14ac:dyDescent="0.85">
      <c r="A57" s="962"/>
      <c r="B57" s="962"/>
      <c r="C57" s="962"/>
      <c r="D57" s="962"/>
      <c r="E57" s="962"/>
      <c r="F57" s="962"/>
      <c r="G57" s="962"/>
      <c r="H57" s="962"/>
      <c r="I57" s="962"/>
      <c r="J57" s="962"/>
      <c r="K57" s="962"/>
      <c r="L57" s="962"/>
      <c r="M57" s="962"/>
      <c r="N57" s="962"/>
      <c r="O57" s="962"/>
      <c r="P57" s="962"/>
      <c r="Q57" s="962"/>
      <c r="R57" s="962"/>
      <c r="S57" s="962"/>
      <c r="T57" s="962"/>
      <c r="U57" s="962"/>
      <c r="V57" s="962"/>
      <c r="W57" s="962"/>
      <c r="X57" s="962"/>
      <c r="Y57" s="962"/>
      <c r="Z57" s="962"/>
      <c r="AA57" s="962"/>
      <c r="AB57" s="962"/>
      <c r="AC57" s="962"/>
      <c r="AD57" s="962"/>
      <c r="AE57" s="962"/>
    </row>
    <row r="58" spans="1:31" s="963" customFormat="1" x14ac:dyDescent="0.85">
      <c r="A58" s="962"/>
      <c r="B58" s="962"/>
      <c r="C58" s="962"/>
      <c r="D58" s="962"/>
      <c r="E58" s="962"/>
      <c r="F58" s="962"/>
      <c r="G58" s="962"/>
      <c r="H58" s="962"/>
      <c r="I58" s="962"/>
      <c r="J58" s="962"/>
      <c r="K58" s="962"/>
      <c r="L58" s="962"/>
      <c r="M58" s="962"/>
      <c r="N58" s="962"/>
      <c r="O58" s="962"/>
      <c r="P58" s="962"/>
      <c r="Q58" s="962"/>
      <c r="R58" s="962"/>
      <c r="S58" s="962"/>
      <c r="T58" s="962"/>
      <c r="U58" s="962"/>
      <c r="V58" s="962"/>
      <c r="W58" s="962"/>
      <c r="X58" s="962"/>
      <c r="Y58" s="962"/>
      <c r="Z58" s="962"/>
      <c r="AA58" s="962"/>
      <c r="AB58" s="962"/>
      <c r="AC58" s="962"/>
      <c r="AD58" s="962"/>
      <c r="AE58" s="962"/>
    </row>
    <row r="59" spans="1:31" s="963" customFormat="1" x14ac:dyDescent="0.85">
      <c r="A59" s="962"/>
      <c r="B59" s="962"/>
      <c r="C59" s="962"/>
      <c r="D59" s="962"/>
      <c r="E59" s="962"/>
      <c r="F59" s="962"/>
      <c r="G59" s="962"/>
      <c r="H59" s="962"/>
      <c r="I59" s="962"/>
      <c r="J59" s="962"/>
      <c r="K59" s="962"/>
      <c r="L59" s="962"/>
      <c r="M59" s="962"/>
      <c r="N59" s="962"/>
      <c r="O59" s="962"/>
      <c r="P59" s="962"/>
      <c r="Q59" s="962"/>
      <c r="R59" s="962"/>
      <c r="S59" s="962"/>
      <c r="T59" s="962"/>
      <c r="U59" s="962"/>
      <c r="V59" s="962"/>
      <c r="W59" s="962"/>
      <c r="X59" s="962"/>
      <c r="Y59" s="962"/>
      <c r="Z59" s="962"/>
      <c r="AA59" s="962"/>
      <c r="AB59" s="962"/>
      <c r="AC59" s="962"/>
      <c r="AD59" s="962"/>
      <c r="AE59" s="962"/>
    </row>
    <row r="60" spans="1:31" s="963" customFormat="1" x14ac:dyDescent="0.85">
      <c r="A60" s="962"/>
      <c r="B60" s="962"/>
      <c r="C60" s="962"/>
      <c r="D60" s="962"/>
      <c r="E60" s="962"/>
      <c r="F60" s="962"/>
      <c r="G60" s="962"/>
      <c r="H60" s="962"/>
      <c r="I60" s="962"/>
      <c r="J60" s="962"/>
      <c r="K60" s="962"/>
      <c r="L60" s="962"/>
      <c r="M60" s="962"/>
      <c r="N60" s="962"/>
      <c r="O60" s="962"/>
      <c r="P60" s="962"/>
      <c r="Q60" s="962"/>
      <c r="R60" s="962"/>
      <c r="S60" s="962"/>
      <c r="T60" s="962"/>
      <c r="U60" s="962"/>
      <c r="V60" s="962"/>
      <c r="W60" s="962"/>
      <c r="X60" s="962"/>
      <c r="Y60" s="962"/>
      <c r="Z60" s="962"/>
      <c r="AA60" s="962"/>
      <c r="AB60" s="962"/>
      <c r="AC60" s="962"/>
      <c r="AD60" s="962"/>
      <c r="AE60" s="962"/>
    </row>
    <row r="61" spans="1:31" s="963" customFormat="1" x14ac:dyDescent="0.85">
      <c r="A61" s="962"/>
      <c r="B61" s="962"/>
      <c r="C61" s="962"/>
      <c r="D61" s="962"/>
      <c r="E61" s="962"/>
      <c r="F61" s="962"/>
      <c r="G61" s="962"/>
      <c r="H61" s="962"/>
      <c r="I61" s="962"/>
      <c r="J61" s="962"/>
      <c r="K61" s="962"/>
      <c r="L61" s="962"/>
      <c r="M61" s="962"/>
      <c r="N61" s="962"/>
      <c r="O61" s="962"/>
      <c r="P61" s="962"/>
      <c r="Q61" s="962"/>
      <c r="R61" s="962"/>
      <c r="S61" s="962"/>
      <c r="T61" s="962"/>
      <c r="U61" s="962"/>
      <c r="V61" s="962"/>
      <c r="W61" s="962"/>
      <c r="X61" s="962"/>
      <c r="Y61" s="962"/>
      <c r="Z61" s="962"/>
      <c r="AA61" s="962"/>
      <c r="AB61" s="962"/>
      <c r="AC61" s="962"/>
      <c r="AD61" s="962"/>
      <c r="AE61" s="962"/>
    </row>
    <row r="62" spans="1:31" s="963" customFormat="1" x14ac:dyDescent="0.85">
      <c r="A62" s="962"/>
      <c r="B62" s="962"/>
      <c r="C62" s="962"/>
      <c r="D62" s="962"/>
      <c r="E62" s="962"/>
      <c r="F62" s="962"/>
      <c r="G62" s="962"/>
      <c r="H62" s="962"/>
      <c r="I62" s="962"/>
      <c r="J62" s="962"/>
      <c r="K62" s="962"/>
      <c r="L62" s="962"/>
      <c r="M62" s="962"/>
      <c r="N62" s="962"/>
      <c r="O62" s="962"/>
      <c r="P62" s="962"/>
      <c r="Q62" s="962"/>
      <c r="R62" s="962"/>
      <c r="S62" s="962"/>
      <c r="T62" s="962"/>
      <c r="U62" s="962"/>
      <c r="V62" s="962"/>
      <c r="W62" s="962"/>
      <c r="X62" s="962"/>
      <c r="Y62" s="962"/>
      <c r="Z62" s="962"/>
      <c r="AA62" s="962"/>
      <c r="AB62" s="962"/>
      <c r="AC62" s="962"/>
      <c r="AD62" s="962"/>
      <c r="AE62" s="962"/>
    </row>
    <row r="63" spans="1:31" s="963" customFormat="1" x14ac:dyDescent="0.85">
      <c r="A63" s="962"/>
      <c r="B63" s="962"/>
      <c r="C63" s="962"/>
      <c r="D63" s="962"/>
      <c r="E63" s="962"/>
      <c r="F63" s="962"/>
      <c r="G63" s="962"/>
      <c r="H63" s="962"/>
      <c r="I63" s="962"/>
      <c r="J63" s="962"/>
      <c r="K63" s="962"/>
      <c r="L63" s="962"/>
      <c r="M63" s="962"/>
      <c r="N63" s="962"/>
      <c r="O63" s="962"/>
      <c r="P63" s="962"/>
      <c r="Q63" s="962"/>
      <c r="R63" s="962"/>
      <c r="S63" s="962"/>
      <c r="T63" s="962"/>
      <c r="U63" s="962"/>
      <c r="V63" s="962"/>
      <c r="W63" s="962"/>
      <c r="X63" s="962"/>
      <c r="Y63" s="962"/>
      <c r="Z63" s="962"/>
      <c r="AA63" s="962"/>
      <c r="AB63" s="962"/>
      <c r="AC63" s="962"/>
      <c r="AD63" s="962"/>
      <c r="AE63" s="962"/>
    </row>
    <row r="64" spans="1:31" s="963" customFormat="1" x14ac:dyDescent="0.85">
      <c r="A64" s="962"/>
      <c r="B64" s="962"/>
      <c r="C64" s="962"/>
      <c r="D64" s="962"/>
      <c r="E64" s="962"/>
      <c r="F64" s="962"/>
      <c r="G64" s="962"/>
      <c r="H64" s="962"/>
      <c r="I64" s="962"/>
      <c r="J64" s="962"/>
      <c r="K64" s="962"/>
      <c r="L64" s="962"/>
      <c r="M64" s="962"/>
      <c r="N64" s="962"/>
      <c r="O64" s="962"/>
      <c r="P64" s="962"/>
      <c r="Q64" s="962"/>
      <c r="R64" s="962"/>
      <c r="S64" s="962"/>
      <c r="T64" s="962"/>
      <c r="U64" s="962"/>
      <c r="V64" s="962"/>
      <c r="W64" s="962"/>
      <c r="X64" s="962"/>
      <c r="Y64" s="962"/>
      <c r="Z64" s="962"/>
      <c r="AA64" s="962"/>
      <c r="AB64" s="962"/>
      <c r="AC64" s="962"/>
      <c r="AD64" s="962"/>
      <c r="AE64" s="962"/>
    </row>
    <row r="65" spans="1:31" s="963" customFormat="1" x14ac:dyDescent="0.85">
      <c r="A65" s="962"/>
      <c r="B65" s="962"/>
      <c r="C65" s="962"/>
      <c r="D65" s="962"/>
      <c r="E65" s="962"/>
      <c r="F65" s="962"/>
      <c r="G65" s="962"/>
      <c r="H65" s="962"/>
      <c r="I65" s="962"/>
      <c r="J65" s="962"/>
      <c r="K65" s="962"/>
      <c r="L65" s="962"/>
      <c r="M65" s="962"/>
      <c r="N65" s="962"/>
      <c r="O65" s="962"/>
      <c r="P65" s="962"/>
      <c r="Q65" s="962"/>
      <c r="R65" s="962"/>
      <c r="S65" s="962"/>
      <c r="T65" s="962"/>
      <c r="U65" s="962"/>
      <c r="V65" s="962"/>
      <c r="W65" s="962"/>
      <c r="X65" s="962"/>
      <c r="Y65" s="962"/>
      <c r="Z65" s="962"/>
      <c r="AA65" s="962"/>
      <c r="AB65" s="962"/>
      <c r="AC65" s="962"/>
      <c r="AD65" s="962"/>
      <c r="AE65" s="962"/>
    </row>
    <row r="66" spans="1:31" s="963" customFormat="1" x14ac:dyDescent="0.85">
      <c r="A66" s="962"/>
      <c r="B66" s="962"/>
      <c r="C66" s="962"/>
      <c r="D66" s="962"/>
      <c r="E66" s="962"/>
      <c r="F66" s="962"/>
      <c r="G66" s="962"/>
      <c r="H66" s="962"/>
      <c r="I66" s="962"/>
      <c r="J66" s="962"/>
      <c r="K66" s="962"/>
      <c r="L66" s="962"/>
      <c r="M66" s="962"/>
      <c r="N66" s="962"/>
      <c r="O66" s="962"/>
      <c r="P66" s="962"/>
      <c r="Q66" s="962"/>
      <c r="R66" s="962"/>
      <c r="S66" s="962"/>
      <c r="T66" s="962"/>
      <c r="U66" s="962"/>
      <c r="V66" s="962"/>
      <c r="W66" s="962"/>
      <c r="X66" s="962"/>
      <c r="Y66" s="962"/>
      <c r="Z66" s="962"/>
      <c r="AA66" s="962"/>
      <c r="AB66" s="962"/>
      <c r="AC66" s="962"/>
      <c r="AD66" s="962"/>
      <c r="AE66" s="962"/>
    </row>
    <row r="67" spans="1:31" s="963" customFormat="1" x14ac:dyDescent="0.85">
      <c r="A67" s="962"/>
      <c r="B67" s="962"/>
      <c r="C67" s="962"/>
      <c r="D67" s="962"/>
      <c r="E67" s="962"/>
      <c r="F67" s="962"/>
      <c r="G67" s="962"/>
      <c r="H67" s="962"/>
      <c r="I67" s="962"/>
      <c r="J67" s="962"/>
      <c r="K67" s="962"/>
      <c r="L67" s="962"/>
      <c r="M67" s="962"/>
      <c r="N67" s="962"/>
      <c r="O67" s="962"/>
      <c r="P67" s="962"/>
      <c r="Q67" s="962"/>
      <c r="R67" s="962"/>
      <c r="S67" s="962"/>
      <c r="T67" s="962"/>
      <c r="U67" s="962"/>
      <c r="V67" s="962"/>
      <c r="W67" s="962"/>
      <c r="X67" s="962"/>
      <c r="Y67" s="962"/>
      <c r="Z67" s="962"/>
      <c r="AA67" s="962"/>
      <c r="AB67" s="962"/>
      <c r="AC67" s="962"/>
      <c r="AD67" s="962"/>
      <c r="AE67" s="962"/>
    </row>
    <row r="68" spans="1:31" s="963" customFormat="1" x14ac:dyDescent="0.85">
      <c r="A68" s="962"/>
      <c r="B68" s="962"/>
      <c r="C68" s="962"/>
      <c r="D68" s="962"/>
      <c r="E68" s="962"/>
      <c r="F68" s="962"/>
      <c r="G68" s="962"/>
      <c r="H68" s="962"/>
      <c r="I68" s="962"/>
      <c r="J68" s="962"/>
      <c r="K68" s="962"/>
      <c r="L68" s="962"/>
      <c r="M68" s="962"/>
      <c r="N68" s="962"/>
      <c r="O68" s="962"/>
      <c r="P68" s="962"/>
      <c r="Q68" s="962"/>
      <c r="R68" s="962"/>
      <c r="S68" s="962"/>
      <c r="T68" s="962"/>
      <c r="U68" s="962"/>
      <c r="V68" s="962"/>
      <c r="W68" s="962"/>
      <c r="X68" s="962"/>
      <c r="Y68" s="962"/>
      <c r="Z68" s="962"/>
      <c r="AA68" s="962"/>
      <c r="AB68" s="962"/>
      <c r="AC68" s="962"/>
      <c r="AD68" s="962"/>
      <c r="AE68" s="962"/>
    </row>
    <row r="69" spans="1:31" s="963" customFormat="1" x14ac:dyDescent="0.85">
      <c r="A69" s="962"/>
      <c r="B69" s="962"/>
      <c r="C69" s="962"/>
      <c r="D69" s="962"/>
      <c r="E69" s="962"/>
      <c r="F69" s="962"/>
      <c r="G69" s="962"/>
      <c r="H69" s="962"/>
      <c r="I69" s="962"/>
      <c r="J69" s="962"/>
      <c r="K69" s="962"/>
      <c r="L69" s="962"/>
      <c r="M69" s="962"/>
      <c r="N69" s="962"/>
      <c r="O69" s="962"/>
      <c r="P69" s="962"/>
      <c r="Q69" s="962"/>
      <c r="R69" s="962"/>
      <c r="S69" s="962"/>
      <c r="T69" s="962"/>
      <c r="U69" s="962"/>
      <c r="V69" s="962"/>
      <c r="W69" s="962"/>
      <c r="X69" s="962"/>
      <c r="Y69" s="962"/>
      <c r="Z69" s="962"/>
      <c r="AA69" s="962"/>
      <c r="AB69" s="962"/>
      <c r="AC69" s="962"/>
      <c r="AD69" s="962"/>
      <c r="AE69" s="962"/>
    </row>
    <row r="70" spans="1:31" s="963" customFormat="1" x14ac:dyDescent="0.85">
      <c r="A70" s="962"/>
      <c r="B70" s="962"/>
      <c r="C70" s="962"/>
      <c r="D70" s="962"/>
      <c r="E70" s="962"/>
      <c r="F70" s="962"/>
      <c r="G70" s="962"/>
      <c r="H70" s="962"/>
      <c r="I70" s="962"/>
      <c r="J70" s="962"/>
      <c r="K70" s="962"/>
      <c r="L70" s="962"/>
      <c r="M70" s="962"/>
      <c r="N70" s="962"/>
      <c r="O70" s="962"/>
      <c r="P70" s="962"/>
      <c r="Q70" s="962"/>
      <c r="R70" s="962"/>
      <c r="S70" s="962"/>
      <c r="T70" s="962"/>
      <c r="U70" s="962"/>
      <c r="V70" s="962"/>
      <c r="W70" s="962"/>
      <c r="X70" s="962"/>
      <c r="Y70" s="962"/>
      <c r="Z70" s="962"/>
      <c r="AA70" s="962"/>
      <c r="AB70" s="962"/>
      <c r="AC70" s="962"/>
      <c r="AD70" s="962"/>
      <c r="AE70" s="962"/>
    </row>
    <row r="71" spans="1:31" s="963" customFormat="1" x14ac:dyDescent="0.85">
      <c r="A71" s="962"/>
      <c r="B71" s="962"/>
      <c r="C71" s="962"/>
      <c r="D71" s="962"/>
      <c r="E71" s="962"/>
      <c r="F71" s="962"/>
      <c r="G71" s="962"/>
      <c r="H71" s="962"/>
      <c r="I71" s="962"/>
      <c r="J71" s="962"/>
      <c r="K71" s="962"/>
      <c r="L71" s="962"/>
      <c r="M71" s="962"/>
      <c r="N71" s="962"/>
      <c r="O71" s="962"/>
      <c r="P71" s="962"/>
      <c r="Q71" s="962"/>
      <c r="R71" s="962"/>
      <c r="S71" s="962"/>
      <c r="T71" s="962"/>
      <c r="U71" s="962"/>
      <c r="V71" s="962"/>
      <c r="W71" s="962"/>
      <c r="X71" s="962"/>
      <c r="Y71" s="962"/>
      <c r="Z71" s="962"/>
      <c r="AA71" s="962"/>
      <c r="AB71" s="962"/>
      <c r="AC71" s="962"/>
      <c r="AD71" s="962"/>
      <c r="AE71" s="962"/>
    </row>
    <row r="72" spans="1:31" s="963" customFormat="1" x14ac:dyDescent="0.85">
      <c r="A72" s="962"/>
      <c r="B72" s="962"/>
      <c r="C72" s="962"/>
      <c r="D72" s="962"/>
      <c r="E72" s="962"/>
      <c r="F72" s="962"/>
      <c r="G72" s="962"/>
      <c r="H72" s="962"/>
      <c r="I72" s="962"/>
      <c r="J72" s="962"/>
      <c r="K72" s="962"/>
      <c r="L72" s="962"/>
      <c r="M72" s="962"/>
      <c r="N72" s="962"/>
      <c r="O72" s="962"/>
      <c r="P72" s="962"/>
      <c r="Q72" s="962"/>
      <c r="R72" s="962"/>
      <c r="S72" s="962"/>
      <c r="T72" s="962"/>
      <c r="U72" s="962"/>
      <c r="V72" s="962"/>
      <c r="W72" s="962"/>
      <c r="X72" s="962"/>
      <c r="Y72" s="962"/>
      <c r="Z72" s="962"/>
      <c r="AA72" s="962"/>
      <c r="AB72" s="962"/>
      <c r="AC72" s="962"/>
      <c r="AD72" s="962"/>
      <c r="AE72" s="962"/>
    </row>
    <row r="73" spans="1:31" s="963" customFormat="1" x14ac:dyDescent="0.85">
      <c r="A73" s="962"/>
      <c r="B73" s="962"/>
      <c r="C73" s="962"/>
      <c r="D73" s="962"/>
      <c r="E73" s="962"/>
      <c r="F73" s="962"/>
      <c r="G73" s="962"/>
      <c r="H73" s="962"/>
      <c r="I73" s="962"/>
      <c r="J73" s="962"/>
      <c r="K73" s="962"/>
      <c r="L73" s="962"/>
      <c r="M73" s="962"/>
      <c r="N73" s="962"/>
      <c r="O73" s="962"/>
      <c r="P73" s="962"/>
      <c r="Q73" s="962"/>
      <c r="R73" s="962"/>
      <c r="S73" s="962"/>
      <c r="T73" s="962"/>
      <c r="U73" s="962"/>
      <c r="V73" s="962"/>
      <c r="W73" s="962"/>
      <c r="X73" s="962"/>
      <c r="Y73" s="962"/>
      <c r="Z73" s="962"/>
      <c r="AA73" s="962"/>
      <c r="AB73" s="962"/>
      <c r="AC73" s="962"/>
      <c r="AD73" s="962"/>
      <c r="AE73" s="962"/>
    </row>
    <row r="74" spans="1:31" s="963" customFormat="1" x14ac:dyDescent="0.85">
      <c r="A74" s="962"/>
      <c r="B74" s="962"/>
      <c r="C74" s="962"/>
      <c r="D74" s="962"/>
      <c r="E74" s="962"/>
      <c r="F74" s="962"/>
      <c r="G74" s="962"/>
      <c r="H74" s="962"/>
      <c r="I74" s="962"/>
      <c r="J74" s="962"/>
      <c r="K74" s="962"/>
      <c r="L74" s="962"/>
      <c r="M74" s="962"/>
      <c r="N74" s="962"/>
      <c r="O74" s="962"/>
      <c r="P74" s="962"/>
      <c r="Q74" s="962"/>
      <c r="R74" s="962"/>
      <c r="S74" s="962"/>
      <c r="T74" s="962"/>
      <c r="U74" s="962"/>
      <c r="V74" s="962"/>
      <c r="W74" s="962"/>
      <c r="X74" s="962"/>
      <c r="Y74" s="962"/>
      <c r="Z74" s="962"/>
      <c r="AA74" s="962"/>
      <c r="AB74" s="962"/>
      <c r="AC74" s="962"/>
      <c r="AD74" s="962"/>
      <c r="AE74" s="962"/>
    </row>
    <row r="75" spans="1:31" s="963" customFormat="1" x14ac:dyDescent="0.85">
      <c r="A75" s="962"/>
      <c r="B75" s="962"/>
      <c r="C75" s="962"/>
      <c r="D75" s="962"/>
      <c r="E75" s="962"/>
      <c r="F75" s="962"/>
      <c r="G75" s="962"/>
      <c r="H75" s="962"/>
      <c r="I75" s="962"/>
      <c r="J75" s="962"/>
      <c r="K75" s="962"/>
      <c r="L75" s="962"/>
      <c r="M75" s="962"/>
      <c r="N75" s="962"/>
      <c r="O75" s="962"/>
      <c r="P75" s="962"/>
      <c r="Q75" s="962"/>
      <c r="R75" s="962"/>
      <c r="S75" s="962"/>
      <c r="T75" s="962"/>
      <c r="U75" s="962"/>
      <c r="V75" s="962"/>
      <c r="W75" s="962"/>
      <c r="X75" s="962"/>
      <c r="Y75" s="962"/>
      <c r="Z75" s="962"/>
      <c r="AA75" s="962"/>
      <c r="AB75" s="962"/>
      <c r="AC75" s="962"/>
      <c r="AD75" s="962"/>
      <c r="AE75" s="962"/>
    </row>
    <row r="76" spans="1:31" s="963" customFormat="1" x14ac:dyDescent="0.85">
      <c r="A76" s="962"/>
      <c r="B76" s="962"/>
      <c r="C76" s="962"/>
      <c r="D76" s="962"/>
      <c r="E76" s="962"/>
      <c r="F76" s="962"/>
      <c r="G76" s="962"/>
      <c r="H76" s="962"/>
      <c r="I76" s="962"/>
      <c r="J76" s="962"/>
      <c r="K76" s="962"/>
      <c r="L76" s="962"/>
      <c r="M76" s="962"/>
      <c r="N76" s="962"/>
      <c r="O76" s="962"/>
      <c r="P76" s="962"/>
      <c r="Q76" s="962"/>
      <c r="R76" s="962"/>
      <c r="S76" s="962"/>
      <c r="T76" s="962"/>
      <c r="U76" s="962"/>
      <c r="V76" s="962"/>
      <c r="W76" s="962"/>
      <c r="X76" s="962"/>
      <c r="Y76" s="962"/>
      <c r="Z76" s="962"/>
      <c r="AA76" s="962"/>
      <c r="AB76" s="962"/>
      <c r="AC76" s="962"/>
      <c r="AD76" s="962"/>
      <c r="AE76" s="962"/>
    </row>
    <row r="77" spans="1:31" s="963" customFormat="1" x14ac:dyDescent="0.85">
      <c r="A77" s="962"/>
      <c r="B77" s="962"/>
      <c r="C77" s="962"/>
      <c r="D77" s="962"/>
      <c r="E77" s="962"/>
      <c r="F77" s="962"/>
      <c r="G77" s="962"/>
      <c r="H77" s="962"/>
      <c r="I77" s="962"/>
      <c r="J77" s="962"/>
      <c r="K77" s="962"/>
      <c r="L77" s="962"/>
      <c r="M77" s="962"/>
      <c r="N77" s="962"/>
      <c r="O77" s="962"/>
      <c r="P77" s="962"/>
      <c r="Q77" s="962"/>
      <c r="R77" s="962"/>
      <c r="S77" s="962"/>
      <c r="T77" s="962"/>
      <c r="U77" s="962"/>
      <c r="V77" s="962"/>
      <c r="W77" s="962"/>
      <c r="X77" s="962"/>
      <c r="Y77" s="962"/>
      <c r="Z77" s="962"/>
      <c r="AA77" s="962"/>
      <c r="AB77" s="962"/>
      <c r="AC77" s="962"/>
      <c r="AD77" s="962"/>
      <c r="AE77" s="962"/>
    </row>
    <row r="78" spans="1:31" s="963" customFormat="1" x14ac:dyDescent="0.85">
      <c r="A78" s="962"/>
      <c r="B78" s="962"/>
      <c r="C78" s="962"/>
      <c r="D78" s="962"/>
      <c r="E78" s="962"/>
      <c r="F78" s="962"/>
      <c r="G78" s="962"/>
      <c r="H78" s="962"/>
      <c r="I78" s="962"/>
      <c r="J78" s="962"/>
      <c r="K78" s="962"/>
      <c r="L78" s="962"/>
      <c r="M78" s="962"/>
      <c r="N78" s="962"/>
      <c r="O78" s="962"/>
      <c r="P78" s="962"/>
      <c r="Q78" s="962"/>
      <c r="R78" s="962"/>
      <c r="S78" s="962"/>
      <c r="T78" s="962"/>
      <c r="U78" s="962"/>
      <c r="V78" s="962"/>
      <c r="W78" s="962"/>
      <c r="X78" s="962"/>
      <c r="Y78" s="962"/>
      <c r="Z78" s="962"/>
      <c r="AA78" s="962"/>
      <c r="AB78" s="962"/>
      <c r="AC78" s="962"/>
      <c r="AD78" s="962"/>
      <c r="AE78" s="962"/>
    </row>
    <row r="79" spans="1:31" s="963" customFormat="1" x14ac:dyDescent="0.85">
      <c r="A79" s="962"/>
      <c r="B79" s="962"/>
      <c r="C79" s="962"/>
      <c r="D79" s="962"/>
      <c r="E79" s="962"/>
      <c r="F79" s="962"/>
      <c r="G79" s="962"/>
      <c r="H79" s="962"/>
      <c r="I79" s="962"/>
      <c r="J79" s="962"/>
      <c r="K79" s="962"/>
      <c r="L79" s="962"/>
      <c r="M79" s="962"/>
      <c r="N79" s="962"/>
      <c r="O79" s="962"/>
      <c r="P79" s="962"/>
      <c r="Q79" s="962"/>
      <c r="R79" s="962"/>
      <c r="S79" s="962"/>
      <c r="T79" s="962"/>
      <c r="U79" s="962"/>
      <c r="V79" s="962"/>
      <c r="W79" s="962"/>
      <c r="X79" s="962"/>
      <c r="Y79" s="962"/>
      <c r="Z79" s="962"/>
      <c r="AA79" s="962"/>
      <c r="AB79" s="962"/>
      <c r="AC79" s="962"/>
      <c r="AD79" s="962"/>
      <c r="AE79" s="962"/>
    </row>
    <row r="80" spans="1:31" s="963" customFormat="1" x14ac:dyDescent="0.85">
      <c r="A80" s="962"/>
      <c r="B80" s="962"/>
      <c r="C80" s="962"/>
      <c r="D80" s="962"/>
      <c r="E80" s="962"/>
      <c r="F80" s="962"/>
      <c r="G80" s="962"/>
      <c r="H80" s="962"/>
      <c r="I80" s="962"/>
      <c r="J80" s="962"/>
      <c r="K80" s="962"/>
      <c r="L80" s="962"/>
      <c r="M80" s="962"/>
      <c r="N80" s="962"/>
      <c r="O80" s="962"/>
      <c r="P80" s="962"/>
      <c r="Q80" s="962"/>
      <c r="R80" s="962"/>
      <c r="S80" s="962"/>
      <c r="T80" s="962"/>
      <c r="U80" s="962"/>
      <c r="V80" s="962"/>
      <c r="W80" s="962"/>
      <c r="X80" s="962"/>
      <c r="Y80" s="962"/>
      <c r="Z80" s="962"/>
      <c r="AA80" s="962"/>
      <c r="AB80" s="962"/>
      <c r="AC80" s="962"/>
      <c r="AD80" s="962"/>
      <c r="AE80" s="962"/>
    </row>
    <row r="81" spans="1:31" s="963" customFormat="1" x14ac:dyDescent="0.85">
      <c r="A81" s="962"/>
      <c r="B81" s="962"/>
      <c r="C81" s="962"/>
      <c r="D81" s="962"/>
      <c r="E81" s="962"/>
      <c r="F81" s="962"/>
      <c r="G81" s="962"/>
      <c r="H81" s="962"/>
      <c r="I81" s="962"/>
      <c r="J81" s="962"/>
      <c r="K81" s="962"/>
      <c r="L81" s="962"/>
      <c r="M81" s="962"/>
      <c r="N81" s="962"/>
      <c r="O81" s="962"/>
      <c r="P81" s="962"/>
      <c r="Q81" s="962"/>
      <c r="R81" s="962"/>
      <c r="S81" s="962"/>
      <c r="T81" s="962"/>
      <c r="U81" s="962"/>
      <c r="V81" s="962"/>
      <c r="W81" s="962"/>
      <c r="X81" s="962"/>
      <c r="Y81" s="962"/>
      <c r="Z81" s="962"/>
      <c r="AA81" s="962"/>
      <c r="AB81" s="962"/>
      <c r="AC81" s="962"/>
      <c r="AD81" s="962"/>
      <c r="AE81" s="962"/>
    </row>
    <row r="82" spans="1:31" s="963" customFormat="1" x14ac:dyDescent="0.85">
      <c r="A82" s="962"/>
      <c r="B82" s="962"/>
      <c r="C82" s="962"/>
      <c r="D82" s="962"/>
      <c r="E82" s="962"/>
      <c r="F82" s="962"/>
      <c r="G82" s="962"/>
      <c r="H82" s="962"/>
      <c r="I82" s="962"/>
      <c r="J82" s="962"/>
      <c r="K82" s="962"/>
      <c r="L82" s="962"/>
      <c r="M82" s="962"/>
      <c r="N82" s="962"/>
      <c r="O82" s="962"/>
      <c r="P82" s="962"/>
      <c r="Q82" s="962"/>
      <c r="R82" s="962"/>
      <c r="S82" s="962"/>
      <c r="T82" s="962"/>
      <c r="U82" s="962"/>
      <c r="V82" s="962"/>
      <c r="W82" s="962"/>
      <c r="X82" s="962"/>
      <c r="Y82" s="962"/>
      <c r="Z82" s="962"/>
      <c r="AA82" s="962"/>
      <c r="AB82" s="962"/>
      <c r="AC82" s="962"/>
      <c r="AD82" s="962"/>
      <c r="AE82" s="962"/>
    </row>
    <row r="83" spans="1:31" s="963" customFormat="1" x14ac:dyDescent="0.85">
      <c r="A83" s="962"/>
      <c r="B83" s="962"/>
      <c r="C83" s="962"/>
      <c r="D83" s="962"/>
      <c r="E83" s="962"/>
      <c r="F83" s="962"/>
      <c r="G83" s="962"/>
      <c r="H83" s="962"/>
      <c r="I83" s="962"/>
      <c r="J83" s="962"/>
      <c r="K83" s="962"/>
      <c r="L83" s="962"/>
      <c r="M83" s="962"/>
      <c r="N83" s="962"/>
      <c r="O83" s="962"/>
      <c r="P83" s="962"/>
      <c r="Q83" s="962"/>
      <c r="R83" s="962"/>
      <c r="S83" s="962"/>
      <c r="T83" s="962"/>
      <c r="U83" s="962"/>
      <c r="V83" s="962"/>
      <c r="W83" s="962"/>
      <c r="X83" s="962"/>
      <c r="Y83" s="962"/>
      <c r="Z83" s="962"/>
      <c r="AA83" s="962"/>
      <c r="AB83" s="962"/>
      <c r="AC83" s="962"/>
      <c r="AD83" s="962"/>
      <c r="AE83" s="962"/>
    </row>
    <row r="84" spans="1:31" s="963" customFormat="1" x14ac:dyDescent="0.85">
      <c r="A84" s="962"/>
      <c r="B84" s="962"/>
      <c r="C84" s="962"/>
      <c r="D84" s="962"/>
      <c r="E84" s="962"/>
      <c r="F84" s="962"/>
      <c r="G84" s="962"/>
      <c r="H84" s="962"/>
      <c r="I84" s="962"/>
      <c r="J84" s="962"/>
      <c r="K84" s="962"/>
      <c r="L84" s="962"/>
      <c r="M84" s="962"/>
      <c r="N84" s="962"/>
      <c r="O84" s="962"/>
      <c r="P84" s="962"/>
      <c r="Q84" s="962"/>
      <c r="R84" s="962"/>
      <c r="S84" s="962"/>
      <c r="T84" s="962"/>
      <c r="U84" s="962"/>
      <c r="V84" s="962"/>
      <c r="W84" s="962"/>
      <c r="X84" s="962"/>
      <c r="Y84" s="962"/>
      <c r="Z84" s="962"/>
      <c r="AA84" s="962"/>
      <c r="AB84" s="962"/>
      <c r="AC84" s="962"/>
      <c r="AD84" s="962"/>
      <c r="AE84" s="962"/>
    </row>
    <row r="85" spans="1:31" s="963" customFormat="1" x14ac:dyDescent="0.85">
      <c r="A85" s="962"/>
      <c r="B85" s="962"/>
      <c r="C85" s="962"/>
      <c r="D85" s="962"/>
      <c r="E85" s="962"/>
      <c r="F85" s="962"/>
      <c r="G85" s="962"/>
      <c r="H85" s="962"/>
      <c r="I85" s="962"/>
      <c r="J85" s="962"/>
      <c r="K85" s="962"/>
      <c r="L85" s="962"/>
      <c r="M85" s="962"/>
      <c r="N85" s="962"/>
      <c r="O85" s="962"/>
      <c r="P85" s="962"/>
      <c r="Q85" s="962"/>
      <c r="R85" s="962"/>
      <c r="S85" s="962"/>
      <c r="T85" s="962"/>
      <c r="U85" s="962"/>
      <c r="V85" s="962"/>
      <c r="W85" s="962"/>
      <c r="X85" s="962"/>
      <c r="Y85" s="962"/>
      <c r="Z85" s="962"/>
      <c r="AA85" s="962"/>
      <c r="AB85" s="962"/>
      <c r="AC85" s="962"/>
      <c r="AD85" s="962"/>
      <c r="AE85" s="962"/>
    </row>
    <row r="86" spans="1:31" s="963" customFormat="1" x14ac:dyDescent="0.85">
      <c r="A86" s="962"/>
      <c r="B86" s="962"/>
      <c r="C86" s="962"/>
      <c r="D86" s="962"/>
      <c r="E86" s="962"/>
      <c r="F86" s="962"/>
      <c r="G86" s="962"/>
      <c r="H86" s="962"/>
      <c r="I86" s="962"/>
      <c r="J86" s="962"/>
      <c r="K86" s="962"/>
      <c r="L86" s="962"/>
      <c r="M86" s="962"/>
      <c r="N86" s="962"/>
      <c r="O86" s="962"/>
      <c r="P86" s="962"/>
      <c r="Q86" s="962"/>
      <c r="R86" s="962"/>
      <c r="S86" s="962"/>
      <c r="T86" s="962"/>
      <c r="U86" s="962"/>
      <c r="V86" s="962"/>
      <c r="W86" s="962"/>
      <c r="X86" s="962"/>
      <c r="Y86" s="962"/>
      <c r="Z86" s="962"/>
      <c r="AA86" s="962"/>
      <c r="AB86" s="962"/>
      <c r="AC86" s="962"/>
      <c r="AD86" s="962"/>
      <c r="AE86" s="962"/>
    </row>
    <row r="87" spans="1:31" x14ac:dyDescent="0.85">
      <c r="A87" s="15"/>
      <c r="B87" s="15"/>
      <c r="C87" s="15"/>
      <c r="D87" s="15"/>
      <c r="E87" s="15"/>
      <c r="F87" s="15"/>
      <c r="G87" s="15"/>
      <c r="H87" s="15"/>
      <c r="I87" s="15"/>
      <c r="J87" s="15"/>
      <c r="K87" s="15"/>
      <c r="L87" s="747"/>
      <c r="M87" s="15"/>
      <c r="N87" s="15"/>
      <c r="O87" s="15"/>
      <c r="P87" s="15"/>
      <c r="Q87" s="15"/>
      <c r="R87" s="15"/>
      <c r="S87" s="15"/>
      <c r="T87" s="15"/>
      <c r="U87" s="15"/>
      <c r="V87" s="15"/>
      <c r="W87" s="15"/>
      <c r="X87" s="15"/>
      <c r="Y87" s="15"/>
      <c r="Z87" s="15"/>
      <c r="AA87" s="15"/>
      <c r="AB87" s="15"/>
      <c r="AC87" s="15"/>
      <c r="AD87" s="15"/>
      <c r="AE87" s="15"/>
    </row>
    <row r="88" spans="1:31" x14ac:dyDescent="0.85">
      <c r="A88" s="15"/>
      <c r="B88" s="15"/>
      <c r="C88" s="15"/>
      <c r="D88" s="15"/>
      <c r="E88" s="15"/>
      <c r="F88" s="15"/>
      <c r="G88" s="15"/>
      <c r="H88" s="15"/>
      <c r="I88" s="15"/>
      <c r="J88" s="15"/>
      <c r="K88" s="15"/>
      <c r="L88" s="747"/>
      <c r="M88" s="15"/>
      <c r="N88" s="15"/>
      <c r="O88" s="15"/>
      <c r="P88" s="15"/>
      <c r="Q88" s="15"/>
      <c r="R88" s="15"/>
      <c r="S88" s="15"/>
      <c r="T88" s="15"/>
      <c r="U88" s="15"/>
      <c r="V88" s="15"/>
      <c r="W88" s="15"/>
      <c r="X88" s="15"/>
      <c r="Y88" s="15"/>
      <c r="Z88" s="15"/>
      <c r="AA88" s="15"/>
      <c r="AB88" s="15"/>
      <c r="AC88" s="15"/>
      <c r="AD88" s="15"/>
      <c r="AE88" s="15"/>
    </row>
    <row r="89" spans="1:31" x14ac:dyDescent="0.85">
      <c r="A89" s="15"/>
      <c r="B89" s="15"/>
      <c r="C89" s="15"/>
      <c r="D89" s="15"/>
      <c r="E89" s="15"/>
      <c r="F89" s="15"/>
      <c r="G89" s="15"/>
      <c r="H89" s="15"/>
      <c r="I89" s="15"/>
      <c r="J89" s="15"/>
      <c r="K89" s="15"/>
      <c r="L89" s="747"/>
      <c r="M89" s="15"/>
      <c r="N89" s="15"/>
      <c r="O89" s="15"/>
      <c r="P89" s="15"/>
      <c r="Q89" s="15"/>
      <c r="R89" s="15"/>
      <c r="S89" s="15"/>
      <c r="T89" s="15"/>
      <c r="U89" s="15"/>
      <c r="V89" s="15"/>
      <c r="W89" s="15"/>
      <c r="X89" s="15"/>
      <c r="Y89" s="15"/>
      <c r="Z89" s="15"/>
      <c r="AA89" s="15"/>
      <c r="AB89" s="15"/>
      <c r="AC89" s="15"/>
      <c r="AD89" s="15"/>
      <c r="AE89" s="15"/>
    </row>
    <row r="90" spans="1:31" x14ac:dyDescent="0.85">
      <c r="A90" s="15"/>
      <c r="B90" s="15"/>
      <c r="C90" s="15"/>
      <c r="D90" s="15"/>
      <c r="E90" s="15"/>
      <c r="F90" s="15"/>
      <c r="G90" s="15"/>
      <c r="H90" s="15"/>
      <c r="I90" s="15"/>
      <c r="J90" s="15"/>
      <c r="K90" s="15"/>
      <c r="L90" s="747"/>
      <c r="M90" s="15"/>
      <c r="N90" s="15"/>
      <c r="O90" s="15"/>
      <c r="P90" s="15"/>
      <c r="Q90" s="15"/>
      <c r="R90" s="15"/>
      <c r="S90" s="15"/>
      <c r="T90" s="15"/>
      <c r="U90" s="15"/>
      <c r="V90" s="15"/>
      <c r="W90" s="15"/>
      <c r="X90" s="15"/>
      <c r="Y90" s="15"/>
      <c r="Z90" s="15"/>
      <c r="AA90" s="15"/>
      <c r="AB90" s="15"/>
      <c r="AC90" s="15"/>
      <c r="AD90" s="15"/>
      <c r="AE90" s="15"/>
    </row>
    <row r="91" spans="1:31" x14ac:dyDescent="0.85">
      <c r="A91" s="15"/>
      <c r="B91" s="15"/>
      <c r="C91" s="15"/>
      <c r="D91" s="15"/>
      <c r="E91" s="15"/>
      <c r="F91" s="15"/>
      <c r="G91" s="15"/>
      <c r="H91" s="15"/>
      <c r="I91" s="15"/>
      <c r="J91" s="15"/>
      <c r="K91" s="15"/>
      <c r="L91" s="747"/>
      <c r="M91" s="15"/>
      <c r="N91" s="15"/>
      <c r="O91" s="15"/>
      <c r="P91" s="15"/>
      <c r="Q91" s="15"/>
      <c r="R91" s="15"/>
      <c r="S91" s="15"/>
      <c r="T91" s="15"/>
      <c r="U91" s="15"/>
      <c r="V91" s="15"/>
      <c r="W91" s="15"/>
      <c r="X91" s="15"/>
      <c r="Y91" s="15"/>
      <c r="Z91" s="15"/>
      <c r="AA91" s="15"/>
      <c r="AB91" s="15"/>
      <c r="AC91" s="15"/>
      <c r="AD91" s="15"/>
      <c r="AE91" s="15"/>
    </row>
    <row r="92" spans="1:31" x14ac:dyDescent="0.85">
      <c r="A92" s="15"/>
      <c r="B92" s="15"/>
      <c r="C92" s="15"/>
      <c r="D92" s="15"/>
      <c r="E92" s="15"/>
      <c r="F92" s="15"/>
      <c r="G92" s="15"/>
      <c r="H92" s="15"/>
      <c r="I92" s="15"/>
      <c r="J92" s="15"/>
      <c r="K92" s="15"/>
      <c r="L92" s="747"/>
      <c r="M92" s="15"/>
      <c r="N92" s="15"/>
      <c r="O92" s="15"/>
      <c r="P92" s="15"/>
      <c r="Q92" s="15"/>
      <c r="R92" s="15"/>
      <c r="S92" s="15"/>
      <c r="T92" s="15"/>
      <c r="U92" s="15"/>
      <c r="V92" s="15"/>
      <c r="W92" s="15"/>
      <c r="X92" s="15"/>
      <c r="Y92" s="15"/>
      <c r="Z92" s="15"/>
      <c r="AA92" s="15"/>
      <c r="AB92" s="15"/>
      <c r="AC92" s="15"/>
      <c r="AD92" s="15"/>
      <c r="AE92" s="15"/>
    </row>
    <row r="93" spans="1:31" x14ac:dyDescent="0.85">
      <c r="A93" s="15"/>
      <c r="B93" s="15"/>
      <c r="C93" s="15"/>
      <c r="D93" s="15"/>
      <c r="E93" s="15"/>
      <c r="F93" s="15"/>
      <c r="G93" s="15"/>
      <c r="H93" s="15"/>
      <c r="I93" s="15"/>
      <c r="J93" s="15"/>
      <c r="K93" s="15"/>
      <c r="L93" s="747"/>
      <c r="M93" s="15"/>
      <c r="N93" s="15"/>
      <c r="O93" s="15"/>
      <c r="P93" s="15"/>
      <c r="Q93" s="15"/>
      <c r="R93" s="15"/>
      <c r="S93" s="15"/>
      <c r="T93" s="15"/>
      <c r="U93" s="15"/>
      <c r="V93" s="15"/>
      <c r="W93" s="15"/>
      <c r="X93" s="15"/>
      <c r="Y93" s="15"/>
      <c r="Z93" s="15"/>
      <c r="AA93" s="15"/>
      <c r="AB93" s="15"/>
      <c r="AC93" s="15"/>
      <c r="AD93" s="15"/>
      <c r="AE93" s="15"/>
    </row>
    <row r="94" spans="1:31" x14ac:dyDescent="0.85">
      <c r="A94" s="15"/>
      <c r="B94" s="15"/>
      <c r="C94" s="15"/>
      <c r="D94" s="15"/>
      <c r="E94" s="15"/>
      <c r="F94" s="15"/>
      <c r="G94" s="15"/>
      <c r="H94" s="15"/>
      <c r="I94" s="15"/>
      <c r="J94" s="15"/>
      <c r="K94" s="15"/>
      <c r="L94" s="747"/>
      <c r="M94" s="15"/>
      <c r="N94" s="15"/>
      <c r="O94" s="15"/>
      <c r="P94" s="15"/>
      <c r="Q94" s="15"/>
      <c r="R94" s="15"/>
      <c r="S94" s="15"/>
      <c r="T94" s="15"/>
      <c r="U94" s="15"/>
      <c r="V94" s="15"/>
      <c r="W94" s="15"/>
      <c r="X94" s="15"/>
      <c r="Y94" s="15"/>
      <c r="Z94" s="15"/>
      <c r="AA94" s="15"/>
      <c r="AB94" s="15"/>
      <c r="AC94" s="15"/>
      <c r="AD94" s="15"/>
      <c r="AE94" s="15"/>
    </row>
    <row r="95" spans="1:31" x14ac:dyDescent="0.85">
      <c r="A95" s="15"/>
      <c r="B95" s="15"/>
      <c r="C95" s="15"/>
      <c r="D95" s="15"/>
      <c r="E95" s="15"/>
      <c r="F95" s="15"/>
      <c r="G95" s="15"/>
      <c r="H95" s="15"/>
      <c r="I95" s="15"/>
      <c r="J95" s="15"/>
      <c r="K95" s="15"/>
      <c r="L95" s="747"/>
      <c r="M95" s="15"/>
      <c r="N95" s="15"/>
      <c r="O95" s="15"/>
      <c r="P95" s="15"/>
      <c r="Q95" s="15"/>
      <c r="R95" s="15"/>
      <c r="S95" s="15"/>
      <c r="T95" s="15"/>
      <c r="U95" s="15"/>
      <c r="V95" s="15"/>
      <c r="W95" s="15"/>
      <c r="X95" s="15"/>
      <c r="Y95" s="15"/>
      <c r="Z95" s="15"/>
      <c r="AA95" s="15"/>
      <c r="AB95" s="15"/>
      <c r="AC95" s="15"/>
      <c r="AD95" s="15"/>
      <c r="AE95" s="15"/>
    </row>
    <row r="96" spans="1:31" x14ac:dyDescent="0.85">
      <c r="A96" s="15"/>
      <c r="B96" s="15"/>
      <c r="C96" s="15"/>
      <c r="D96" s="15"/>
      <c r="E96" s="15"/>
      <c r="F96" s="15"/>
      <c r="G96" s="15"/>
      <c r="H96" s="15"/>
      <c r="I96" s="15"/>
      <c r="J96" s="15"/>
      <c r="K96" s="15"/>
      <c r="L96" s="747"/>
      <c r="M96" s="15"/>
      <c r="N96" s="15"/>
      <c r="O96" s="15"/>
      <c r="P96" s="15"/>
      <c r="Q96" s="15"/>
      <c r="R96" s="15"/>
      <c r="S96" s="15"/>
      <c r="T96" s="15"/>
      <c r="U96" s="15"/>
      <c r="V96" s="15"/>
      <c r="W96" s="15"/>
      <c r="X96" s="15"/>
      <c r="Y96" s="15"/>
      <c r="Z96" s="15"/>
      <c r="AA96" s="15"/>
      <c r="AB96" s="15"/>
      <c r="AC96" s="15"/>
      <c r="AD96" s="15"/>
      <c r="AE96" s="15"/>
    </row>
    <row r="97" spans="1:31" x14ac:dyDescent="0.85">
      <c r="A97" s="15"/>
      <c r="B97" s="15"/>
      <c r="C97" s="15"/>
      <c r="D97" s="15"/>
      <c r="E97" s="15"/>
      <c r="F97" s="15"/>
      <c r="G97" s="15"/>
      <c r="H97" s="15"/>
      <c r="I97" s="15"/>
      <c r="J97" s="15"/>
      <c r="K97" s="15"/>
      <c r="L97" s="747"/>
      <c r="M97" s="15"/>
      <c r="N97" s="15"/>
      <c r="O97" s="15"/>
      <c r="P97" s="15"/>
      <c r="Q97" s="15"/>
      <c r="R97" s="15"/>
      <c r="S97" s="15"/>
      <c r="T97" s="15"/>
      <c r="U97" s="15"/>
      <c r="V97" s="15"/>
      <c r="W97" s="15"/>
      <c r="X97" s="15"/>
      <c r="Y97" s="15"/>
      <c r="Z97" s="15"/>
      <c r="AA97" s="15"/>
      <c r="AB97" s="15"/>
      <c r="AC97" s="15"/>
      <c r="AD97" s="15"/>
      <c r="AE97" s="15"/>
    </row>
    <row r="98" spans="1:31" x14ac:dyDescent="0.85">
      <c r="A98" s="15"/>
      <c r="B98" s="15"/>
      <c r="C98" s="15"/>
      <c r="D98" s="15"/>
      <c r="E98" s="15"/>
      <c r="F98" s="15"/>
      <c r="G98" s="15"/>
      <c r="H98" s="15"/>
      <c r="I98" s="15"/>
      <c r="J98" s="15"/>
      <c r="K98" s="15"/>
      <c r="L98" s="747"/>
      <c r="M98" s="15"/>
      <c r="N98" s="15"/>
      <c r="O98" s="15"/>
      <c r="P98" s="15"/>
      <c r="Q98" s="15"/>
      <c r="R98" s="15"/>
      <c r="S98" s="15"/>
      <c r="T98" s="15"/>
      <c r="U98" s="15"/>
      <c r="V98" s="15"/>
      <c r="W98" s="15"/>
      <c r="X98" s="15"/>
      <c r="Y98" s="15"/>
      <c r="Z98" s="15"/>
      <c r="AA98" s="15"/>
      <c r="AB98" s="15"/>
      <c r="AC98" s="15"/>
      <c r="AD98" s="15"/>
      <c r="AE98" s="15"/>
    </row>
    <row r="99" spans="1:31" x14ac:dyDescent="0.85">
      <c r="A99" s="15"/>
      <c r="B99" s="15"/>
      <c r="C99" s="15"/>
      <c r="D99" s="15"/>
      <c r="E99" s="15"/>
      <c r="F99" s="15"/>
      <c r="G99" s="15"/>
      <c r="H99" s="15"/>
      <c r="I99" s="15"/>
      <c r="J99" s="15"/>
      <c r="K99" s="15"/>
      <c r="L99" s="747"/>
      <c r="M99" s="15"/>
      <c r="N99" s="15"/>
      <c r="O99" s="15"/>
      <c r="P99" s="15"/>
      <c r="Q99" s="15"/>
      <c r="R99" s="15"/>
      <c r="S99" s="15"/>
      <c r="T99" s="15"/>
      <c r="U99" s="15"/>
      <c r="V99" s="15"/>
      <c r="W99" s="15"/>
      <c r="X99" s="15"/>
      <c r="Y99" s="15"/>
      <c r="Z99" s="15"/>
      <c r="AA99" s="15"/>
      <c r="AB99" s="15"/>
      <c r="AC99" s="15"/>
      <c r="AD99" s="15"/>
      <c r="AE99" s="15"/>
    </row>
    <row r="100" spans="1:31" x14ac:dyDescent="0.85">
      <c r="A100" s="15"/>
      <c r="B100" s="15"/>
      <c r="C100" s="15"/>
      <c r="D100" s="15"/>
      <c r="E100" s="15"/>
      <c r="F100" s="15"/>
      <c r="G100" s="15"/>
      <c r="H100" s="15"/>
      <c r="I100" s="15"/>
      <c r="J100" s="15"/>
      <c r="K100" s="15"/>
      <c r="L100" s="747"/>
      <c r="M100" s="15"/>
      <c r="N100" s="15"/>
      <c r="O100" s="15"/>
      <c r="P100" s="15"/>
      <c r="Q100" s="15"/>
      <c r="R100" s="15"/>
      <c r="S100" s="15"/>
      <c r="T100" s="15"/>
      <c r="U100" s="15"/>
      <c r="V100" s="15"/>
      <c r="W100" s="15"/>
      <c r="X100" s="15"/>
      <c r="Y100" s="15"/>
      <c r="Z100" s="15"/>
      <c r="AA100" s="15"/>
      <c r="AB100" s="15"/>
      <c r="AC100" s="15"/>
      <c r="AD100" s="15"/>
      <c r="AE100" s="15"/>
    </row>
    <row r="101" spans="1:31" x14ac:dyDescent="0.85">
      <c r="A101" s="15"/>
      <c r="B101" s="15"/>
      <c r="C101" s="15"/>
      <c r="D101" s="15"/>
      <c r="E101" s="15"/>
      <c r="F101" s="15"/>
      <c r="G101" s="15"/>
      <c r="H101" s="15"/>
      <c r="I101" s="15"/>
      <c r="J101" s="15"/>
      <c r="K101" s="15"/>
      <c r="L101" s="747"/>
      <c r="M101" s="15"/>
      <c r="N101" s="15"/>
      <c r="O101" s="15"/>
      <c r="P101" s="15"/>
      <c r="Q101" s="15"/>
      <c r="R101" s="15"/>
      <c r="S101" s="15"/>
      <c r="T101" s="15"/>
      <c r="U101" s="15"/>
      <c r="V101" s="15"/>
      <c r="W101" s="15"/>
      <c r="X101" s="15"/>
      <c r="Y101" s="15"/>
      <c r="Z101" s="15"/>
      <c r="AA101" s="15"/>
      <c r="AB101" s="15"/>
      <c r="AC101" s="15"/>
      <c r="AD101" s="15"/>
      <c r="AE101" s="15"/>
    </row>
    <row r="102" spans="1:31" x14ac:dyDescent="0.85">
      <c r="A102" s="15"/>
      <c r="B102" s="15"/>
      <c r="C102" s="15"/>
      <c r="D102" s="15"/>
      <c r="E102" s="15"/>
      <c r="F102" s="15"/>
      <c r="G102" s="15"/>
      <c r="H102" s="15"/>
      <c r="I102" s="15"/>
      <c r="J102" s="15"/>
      <c r="K102" s="15"/>
      <c r="L102" s="747"/>
      <c r="M102" s="15"/>
      <c r="N102" s="15"/>
      <c r="O102" s="15"/>
      <c r="P102" s="15"/>
      <c r="Q102" s="15"/>
      <c r="R102" s="15"/>
      <c r="S102" s="15"/>
      <c r="T102" s="15"/>
      <c r="U102" s="15"/>
      <c r="V102" s="15"/>
      <c r="W102" s="15"/>
      <c r="X102" s="15"/>
      <c r="Y102" s="15"/>
      <c r="Z102" s="15"/>
      <c r="AA102" s="15"/>
      <c r="AB102" s="15"/>
      <c r="AC102" s="15"/>
      <c r="AD102" s="15"/>
      <c r="AE102" s="15"/>
    </row>
    <row r="103" spans="1:31" x14ac:dyDescent="0.85">
      <c r="A103" s="15"/>
      <c r="B103" s="15"/>
      <c r="C103" s="15"/>
      <c r="D103" s="15"/>
      <c r="E103" s="15"/>
      <c r="F103" s="15"/>
      <c r="G103" s="15"/>
      <c r="H103" s="15"/>
      <c r="I103" s="15"/>
      <c r="J103" s="15"/>
      <c r="K103" s="15"/>
      <c r="L103" s="747"/>
      <c r="M103" s="15"/>
      <c r="N103" s="15"/>
      <c r="O103" s="15"/>
      <c r="P103" s="15"/>
      <c r="Q103" s="15"/>
      <c r="R103" s="15"/>
      <c r="S103" s="15"/>
      <c r="T103" s="15"/>
      <c r="U103" s="15"/>
      <c r="V103" s="15"/>
      <c r="W103" s="15"/>
      <c r="X103" s="15"/>
      <c r="Y103" s="15"/>
      <c r="Z103" s="15"/>
      <c r="AA103" s="15"/>
      <c r="AB103" s="15"/>
      <c r="AC103" s="15"/>
      <c r="AD103" s="15"/>
      <c r="AE103" s="15"/>
    </row>
    <row r="104" spans="1:31" x14ac:dyDescent="0.85">
      <c r="A104" s="15"/>
      <c r="B104" s="15"/>
      <c r="C104" s="15"/>
      <c r="D104" s="15"/>
      <c r="E104" s="15"/>
      <c r="F104" s="15"/>
      <c r="G104" s="15"/>
      <c r="H104" s="15"/>
      <c r="I104" s="15"/>
      <c r="J104" s="15"/>
      <c r="K104" s="15"/>
      <c r="L104" s="747"/>
      <c r="M104" s="15"/>
      <c r="N104" s="15"/>
      <c r="O104" s="15"/>
      <c r="P104" s="15"/>
      <c r="Q104" s="15"/>
      <c r="R104" s="15"/>
      <c r="S104" s="15"/>
      <c r="T104" s="15"/>
      <c r="U104" s="15"/>
      <c r="V104" s="15"/>
      <c r="W104" s="15"/>
      <c r="X104" s="15"/>
      <c r="Y104" s="15"/>
      <c r="Z104" s="15"/>
      <c r="AA104" s="15"/>
      <c r="AB104" s="15"/>
      <c r="AC104" s="15"/>
      <c r="AD104" s="15"/>
      <c r="AE104" s="15"/>
    </row>
    <row r="105" spans="1:31" x14ac:dyDescent="0.85">
      <c r="A105" s="15"/>
      <c r="B105" s="15"/>
      <c r="C105" s="15"/>
      <c r="D105" s="15"/>
      <c r="E105" s="15"/>
      <c r="F105" s="15"/>
      <c r="G105" s="15"/>
      <c r="H105" s="15"/>
      <c r="I105" s="15"/>
      <c r="J105" s="15"/>
      <c r="K105" s="15"/>
      <c r="L105" s="747"/>
      <c r="M105" s="15"/>
      <c r="N105" s="15"/>
      <c r="O105" s="15"/>
      <c r="P105" s="15"/>
      <c r="Q105" s="15"/>
      <c r="R105" s="15"/>
      <c r="S105" s="15"/>
      <c r="T105" s="15"/>
      <c r="U105" s="15"/>
      <c r="V105" s="15"/>
      <c r="W105" s="15"/>
      <c r="X105" s="15"/>
      <c r="Y105" s="15"/>
      <c r="Z105" s="15"/>
      <c r="AA105" s="15"/>
      <c r="AB105" s="15"/>
      <c r="AC105" s="15"/>
      <c r="AD105" s="15"/>
      <c r="AE105" s="15"/>
    </row>
    <row r="106" spans="1:31" x14ac:dyDescent="0.85">
      <c r="A106" s="15"/>
      <c r="B106" s="15"/>
      <c r="C106" s="15"/>
      <c r="D106" s="15"/>
      <c r="E106" s="15"/>
      <c r="F106" s="15"/>
      <c r="G106" s="15"/>
      <c r="H106" s="15"/>
      <c r="I106" s="15"/>
      <c r="J106" s="15"/>
      <c r="K106" s="15"/>
      <c r="L106" s="747"/>
      <c r="M106" s="15"/>
      <c r="N106" s="15"/>
      <c r="O106" s="15"/>
      <c r="P106" s="15"/>
      <c r="Q106" s="15"/>
      <c r="R106" s="15"/>
      <c r="S106" s="15"/>
      <c r="T106" s="15"/>
      <c r="U106" s="15"/>
      <c r="V106" s="15"/>
      <c r="W106" s="15"/>
      <c r="X106" s="15"/>
      <c r="Y106" s="15"/>
      <c r="Z106" s="15"/>
      <c r="AA106" s="15"/>
      <c r="AB106" s="15"/>
      <c r="AC106" s="15"/>
      <c r="AD106" s="15"/>
      <c r="AE106" s="15"/>
    </row>
    <row r="107" spans="1:31" x14ac:dyDescent="0.85">
      <c r="A107" s="15"/>
      <c r="B107" s="15"/>
      <c r="C107" s="15"/>
      <c r="D107" s="15"/>
      <c r="E107" s="15"/>
      <c r="F107" s="15"/>
      <c r="G107" s="15"/>
      <c r="H107" s="15"/>
      <c r="I107" s="15"/>
      <c r="J107" s="15"/>
      <c r="K107" s="15"/>
      <c r="L107" s="747"/>
      <c r="M107" s="15"/>
      <c r="N107" s="15"/>
      <c r="O107" s="15"/>
      <c r="P107" s="15"/>
      <c r="Q107" s="15"/>
      <c r="R107" s="15"/>
      <c r="S107" s="15"/>
      <c r="T107" s="15"/>
      <c r="U107" s="15"/>
      <c r="V107" s="15"/>
      <c r="W107" s="15"/>
      <c r="X107" s="15"/>
      <c r="Y107" s="15"/>
      <c r="Z107" s="15"/>
      <c r="AA107" s="15"/>
      <c r="AB107" s="15"/>
      <c r="AC107" s="15"/>
      <c r="AD107" s="15"/>
      <c r="AE107" s="15"/>
    </row>
    <row r="108" spans="1:31" x14ac:dyDescent="0.85">
      <c r="A108" s="15"/>
      <c r="B108" s="15"/>
      <c r="C108" s="15"/>
      <c r="D108" s="15"/>
      <c r="E108" s="15"/>
      <c r="F108" s="15"/>
      <c r="G108" s="15"/>
      <c r="H108" s="15"/>
      <c r="I108" s="15"/>
      <c r="J108" s="15"/>
      <c r="K108" s="15"/>
      <c r="L108" s="747"/>
      <c r="M108" s="15"/>
      <c r="N108" s="15"/>
      <c r="O108" s="15"/>
      <c r="P108" s="15"/>
      <c r="Q108" s="15"/>
      <c r="R108" s="15"/>
      <c r="S108" s="15"/>
      <c r="T108" s="15"/>
      <c r="U108" s="15"/>
      <c r="V108" s="15"/>
      <c r="W108" s="15"/>
      <c r="X108" s="15"/>
      <c r="Y108" s="15"/>
      <c r="Z108" s="15"/>
      <c r="AA108" s="15"/>
      <c r="AB108" s="15"/>
      <c r="AC108" s="15"/>
      <c r="AD108" s="15"/>
      <c r="AE108" s="15"/>
    </row>
    <row r="109" spans="1:31" x14ac:dyDescent="0.85">
      <c r="A109" s="15"/>
      <c r="B109" s="15"/>
      <c r="C109" s="15"/>
      <c r="D109" s="15"/>
      <c r="E109" s="15"/>
      <c r="F109" s="15"/>
      <c r="G109" s="15"/>
      <c r="H109" s="15"/>
      <c r="I109" s="15"/>
      <c r="J109" s="15"/>
      <c r="K109" s="15"/>
      <c r="L109" s="747"/>
      <c r="M109" s="15"/>
      <c r="N109" s="15"/>
      <c r="O109" s="15"/>
      <c r="P109" s="15"/>
      <c r="Q109" s="15"/>
      <c r="R109" s="15"/>
      <c r="S109" s="15"/>
      <c r="T109" s="15"/>
      <c r="U109" s="15"/>
      <c r="V109" s="15"/>
      <c r="W109" s="15"/>
      <c r="X109" s="15"/>
      <c r="Y109" s="15"/>
      <c r="Z109" s="15"/>
      <c r="AA109" s="15"/>
      <c r="AB109" s="15"/>
      <c r="AC109" s="15"/>
      <c r="AD109" s="15"/>
      <c r="AE109" s="15"/>
    </row>
    <row r="110" spans="1:31" x14ac:dyDescent="0.85">
      <c r="A110" s="15"/>
      <c r="B110" s="15"/>
      <c r="C110" s="15"/>
      <c r="D110" s="15"/>
      <c r="E110" s="15"/>
      <c r="F110" s="15"/>
      <c r="G110" s="15"/>
      <c r="H110" s="15"/>
      <c r="I110" s="15"/>
      <c r="J110" s="15"/>
      <c r="K110" s="15"/>
      <c r="L110" s="747"/>
      <c r="M110" s="15"/>
      <c r="N110" s="15"/>
      <c r="O110" s="15"/>
      <c r="P110" s="15"/>
      <c r="Q110" s="15"/>
      <c r="R110" s="15"/>
      <c r="S110" s="15"/>
      <c r="T110" s="15"/>
      <c r="U110" s="15"/>
      <c r="V110" s="15"/>
      <c r="W110" s="15"/>
      <c r="X110" s="15"/>
      <c r="Y110" s="15"/>
      <c r="Z110" s="15"/>
      <c r="AA110" s="15"/>
      <c r="AB110" s="15"/>
      <c r="AC110" s="15"/>
      <c r="AD110" s="15"/>
      <c r="AE110" s="15"/>
    </row>
    <row r="111" spans="1:31" x14ac:dyDescent="0.85">
      <c r="A111" s="15"/>
      <c r="B111" s="15"/>
      <c r="C111" s="15"/>
      <c r="D111" s="15"/>
      <c r="E111" s="15"/>
      <c r="F111" s="15"/>
      <c r="G111" s="15"/>
      <c r="H111" s="15"/>
      <c r="I111" s="15"/>
      <c r="J111" s="15"/>
      <c r="K111" s="15"/>
      <c r="L111" s="747"/>
      <c r="M111" s="15"/>
      <c r="N111" s="15"/>
      <c r="O111" s="15"/>
      <c r="P111" s="15"/>
      <c r="Q111" s="15"/>
      <c r="R111" s="15"/>
      <c r="S111" s="15"/>
      <c r="T111" s="15"/>
      <c r="U111" s="15"/>
      <c r="V111" s="15"/>
      <c r="W111" s="15"/>
      <c r="X111" s="15"/>
      <c r="Y111" s="15"/>
      <c r="Z111" s="15"/>
      <c r="AA111" s="15"/>
      <c r="AB111" s="15"/>
      <c r="AC111" s="15"/>
      <c r="AD111" s="15"/>
      <c r="AE111" s="15"/>
    </row>
    <row r="112" spans="1:31" x14ac:dyDescent="0.85">
      <c r="A112" s="15"/>
      <c r="B112" s="15"/>
      <c r="C112" s="15"/>
      <c r="D112" s="15"/>
      <c r="E112" s="15"/>
      <c r="F112" s="15"/>
      <c r="G112" s="15"/>
      <c r="H112" s="15"/>
      <c r="I112" s="15"/>
      <c r="J112" s="15"/>
      <c r="K112" s="15"/>
      <c r="L112" s="747"/>
      <c r="M112" s="15"/>
      <c r="N112" s="15"/>
      <c r="O112" s="15"/>
      <c r="P112" s="15"/>
      <c r="Q112" s="15"/>
      <c r="R112" s="15"/>
      <c r="S112" s="15"/>
      <c r="T112" s="15"/>
      <c r="U112" s="15"/>
      <c r="V112" s="15"/>
      <c r="W112" s="15"/>
      <c r="X112" s="15"/>
      <c r="Y112" s="15"/>
      <c r="Z112" s="15"/>
      <c r="AA112" s="15"/>
      <c r="AB112" s="15"/>
      <c r="AC112" s="15"/>
      <c r="AD112" s="15"/>
      <c r="AE112" s="15"/>
    </row>
    <row r="113" spans="1:31" x14ac:dyDescent="0.85">
      <c r="A113" s="15"/>
      <c r="B113" s="15"/>
      <c r="C113" s="15"/>
      <c r="D113" s="15"/>
      <c r="E113" s="15"/>
      <c r="F113" s="15"/>
      <c r="G113" s="15"/>
      <c r="H113" s="15"/>
      <c r="I113" s="15"/>
      <c r="J113" s="15"/>
      <c r="K113" s="15"/>
      <c r="L113" s="747"/>
      <c r="M113" s="15"/>
      <c r="N113" s="15"/>
      <c r="O113" s="15"/>
      <c r="P113" s="15"/>
      <c r="Q113" s="15"/>
      <c r="R113" s="15"/>
      <c r="S113" s="15"/>
      <c r="T113" s="15"/>
      <c r="U113" s="15"/>
      <c r="V113" s="15"/>
      <c r="W113" s="15"/>
      <c r="X113" s="15"/>
      <c r="Y113" s="15"/>
      <c r="Z113" s="15"/>
      <c r="AA113" s="15"/>
      <c r="AB113" s="15"/>
      <c r="AC113" s="15"/>
      <c r="AD113" s="15"/>
      <c r="AE113" s="15"/>
    </row>
    <row r="114" spans="1:31" x14ac:dyDescent="0.85">
      <c r="A114" s="15"/>
      <c r="B114" s="15"/>
      <c r="C114" s="15"/>
      <c r="D114" s="15"/>
      <c r="E114" s="15"/>
      <c r="F114" s="15"/>
      <c r="G114" s="15"/>
      <c r="H114" s="15"/>
      <c r="I114" s="15"/>
      <c r="J114" s="15"/>
      <c r="K114" s="15"/>
      <c r="L114" s="747"/>
      <c r="M114" s="15"/>
      <c r="N114" s="15"/>
      <c r="O114" s="15"/>
      <c r="P114" s="15"/>
      <c r="Q114" s="15"/>
      <c r="R114" s="15"/>
      <c r="S114" s="15"/>
      <c r="T114" s="15"/>
      <c r="U114" s="15"/>
      <c r="V114" s="15"/>
      <c r="W114" s="15"/>
      <c r="X114" s="15"/>
      <c r="Y114" s="15"/>
      <c r="Z114" s="15"/>
      <c r="AA114" s="15"/>
      <c r="AB114" s="15"/>
      <c r="AC114" s="15"/>
      <c r="AD114" s="15"/>
      <c r="AE114" s="15"/>
    </row>
    <row r="115" spans="1:31" x14ac:dyDescent="0.85">
      <c r="A115" s="15"/>
      <c r="B115" s="15"/>
      <c r="C115" s="15"/>
      <c r="D115" s="15"/>
      <c r="E115" s="15"/>
      <c r="F115" s="15"/>
      <c r="G115" s="15"/>
      <c r="H115" s="15"/>
      <c r="I115" s="15"/>
      <c r="J115" s="15"/>
      <c r="K115" s="15"/>
      <c r="L115" s="747"/>
      <c r="M115" s="15"/>
      <c r="N115" s="15"/>
      <c r="O115" s="15"/>
      <c r="P115" s="15"/>
      <c r="Q115" s="15"/>
      <c r="R115" s="15"/>
      <c r="S115" s="15"/>
      <c r="T115" s="15"/>
      <c r="U115" s="15"/>
      <c r="V115" s="15"/>
      <c r="W115" s="15"/>
      <c r="X115" s="15"/>
      <c r="Y115" s="15"/>
      <c r="Z115" s="15"/>
      <c r="AA115" s="15"/>
      <c r="AB115" s="15"/>
      <c r="AC115" s="15"/>
      <c r="AD115" s="15"/>
      <c r="AE115" s="15"/>
    </row>
    <row r="116" spans="1:31" x14ac:dyDescent="0.85">
      <c r="A116" s="15"/>
      <c r="B116" s="15"/>
      <c r="C116" s="15"/>
      <c r="D116" s="15"/>
      <c r="E116" s="15"/>
      <c r="F116" s="15"/>
      <c r="G116" s="15"/>
      <c r="H116" s="15"/>
      <c r="I116" s="15"/>
      <c r="J116" s="15"/>
      <c r="K116" s="15"/>
      <c r="L116" s="747"/>
      <c r="M116" s="15"/>
      <c r="N116" s="15"/>
      <c r="O116" s="15"/>
      <c r="P116" s="15"/>
      <c r="Q116" s="15"/>
      <c r="R116" s="15"/>
      <c r="S116" s="15"/>
      <c r="T116" s="15"/>
      <c r="U116" s="15"/>
      <c r="V116" s="15"/>
      <c r="W116" s="15"/>
      <c r="X116" s="15"/>
      <c r="Y116" s="15"/>
      <c r="Z116" s="15"/>
      <c r="AA116" s="15"/>
      <c r="AB116" s="15"/>
      <c r="AC116" s="15"/>
      <c r="AD116" s="15"/>
      <c r="AE116" s="15"/>
    </row>
    <row r="117" spans="1:31" x14ac:dyDescent="0.85">
      <c r="A117" s="15"/>
      <c r="B117" s="15"/>
      <c r="C117" s="15"/>
      <c r="D117" s="15"/>
      <c r="E117" s="15"/>
      <c r="F117" s="15"/>
      <c r="G117" s="15"/>
      <c r="H117" s="15"/>
      <c r="I117" s="15"/>
      <c r="J117" s="15"/>
      <c r="K117" s="15"/>
      <c r="L117" s="747"/>
      <c r="M117" s="15"/>
      <c r="N117" s="15"/>
      <c r="O117" s="15"/>
      <c r="P117" s="15"/>
      <c r="Q117" s="15"/>
      <c r="R117" s="15"/>
      <c r="S117" s="15"/>
      <c r="T117" s="15"/>
      <c r="U117" s="15"/>
      <c r="V117" s="15"/>
      <c r="W117" s="15"/>
      <c r="X117" s="15"/>
      <c r="Y117" s="15"/>
      <c r="Z117" s="15"/>
      <c r="AA117" s="15"/>
      <c r="AB117" s="15"/>
      <c r="AC117" s="15"/>
      <c r="AD117" s="15"/>
      <c r="AE117" s="15"/>
    </row>
    <row r="118" spans="1:31" x14ac:dyDescent="0.85">
      <c r="A118" s="15"/>
      <c r="B118" s="15"/>
      <c r="C118" s="15"/>
      <c r="D118" s="15"/>
      <c r="E118" s="15"/>
      <c r="F118" s="15"/>
      <c r="G118" s="15"/>
      <c r="H118" s="15"/>
      <c r="I118" s="15"/>
      <c r="J118" s="15"/>
      <c r="K118" s="15"/>
      <c r="L118" s="747"/>
      <c r="M118" s="15"/>
      <c r="N118" s="15"/>
      <c r="O118" s="15"/>
      <c r="P118" s="15"/>
      <c r="Q118" s="15"/>
      <c r="R118" s="15"/>
      <c r="S118" s="15"/>
      <c r="T118" s="15"/>
      <c r="U118" s="15"/>
      <c r="V118" s="15"/>
      <c r="W118" s="15"/>
      <c r="X118" s="15"/>
      <c r="Y118" s="15"/>
      <c r="Z118" s="15"/>
      <c r="AA118" s="15"/>
      <c r="AB118" s="15"/>
      <c r="AC118" s="15"/>
      <c r="AD118" s="15"/>
      <c r="AE118" s="15"/>
    </row>
    <row r="119" spans="1:31" x14ac:dyDescent="0.85">
      <c r="A119" s="15"/>
      <c r="B119" s="15"/>
      <c r="C119" s="15"/>
      <c r="D119" s="15"/>
      <c r="E119" s="15"/>
      <c r="F119" s="15"/>
      <c r="G119" s="15"/>
      <c r="H119" s="15"/>
      <c r="I119" s="15"/>
      <c r="J119" s="15"/>
      <c r="K119" s="15"/>
      <c r="L119" s="747"/>
      <c r="M119" s="15"/>
      <c r="N119" s="15"/>
      <c r="O119" s="15"/>
      <c r="P119" s="15"/>
      <c r="Q119" s="15"/>
      <c r="R119" s="15"/>
      <c r="S119" s="15"/>
      <c r="T119" s="15"/>
      <c r="U119" s="15"/>
      <c r="V119" s="15"/>
      <c r="W119" s="15"/>
      <c r="X119" s="15"/>
      <c r="Y119" s="15"/>
      <c r="Z119" s="15"/>
      <c r="AA119" s="15"/>
      <c r="AB119" s="15"/>
      <c r="AC119" s="15"/>
      <c r="AD119" s="15"/>
      <c r="AE119" s="15"/>
    </row>
    <row r="120" spans="1:31" x14ac:dyDescent="0.85">
      <c r="A120" s="15"/>
      <c r="B120" s="15"/>
      <c r="C120" s="15"/>
      <c r="D120" s="15"/>
      <c r="E120" s="15"/>
      <c r="F120" s="15"/>
      <c r="G120" s="15"/>
      <c r="H120" s="15"/>
      <c r="I120" s="15"/>
      <c r="J120" s="15"/>
      <c r="K120" s="15"/>
      <c r="L120" s="747"/>
      <c r="M120" s="15"/>
      <c r="N120" s="15"/>
      <c r="O120" s="15"/>
      <c r="P120" s="15"/>
      <c r="Q120" s="15"/>
      <c r="R120" s="15"/>
      <c r="S120" s="15"/>
      <c r="T120" s="15"/>
      <c r="U120" s="15"/>
      <c r="V120" s="15"/>
      <c r="W120" s="15"/>
      <c r="X120" s="15"/>
      <c r="Y120" s="15"/>
      <c r="Z120" s="15"/>
      <c r="AA120" s="15"/>
      <c r="AB120" s="15"/>
      <c r="AC120" s="15"/>
      <c r="AD120" s="15"/>
      <c r="AE120" s="15"/>
    </row>
    <row r="121" spans="1:31" x14ac:dyDescent="0.85">
      <c r="A121" s="15"/>
      <c r="B121" s="15"/>
      <c r="C121" s="15"/>
      <c r="D121" s="15"/>
      <c r="E121" s="15"/>
      <c r="F121" s="15"/>
      <c r="G121" s="15"/>
      <c r="H121" s="15"/>
      <c r="I121" s="15"/>
      <c r="J121" s="15"/>
      <c r="K121" s="15"/>
      <c r="L121" s="747"/>
      <c r="M121" s="15"/>
      <c r="N121" s="15"/>
      <c r="O121" s="15"/>
      <c r="P121" s="15"/>
      <c r="Q121" s="15"/>
      <c r="R121" s="15"/>
      <c r="S121" s="15"/>
      <c r="T121" s="15"/>
      <c r="U121" s="15"/>
      <c r="V121" s="15"/>
      <c r="W121" s="15"/>
      <c r="X121" s="15"/>
      <c r="Y121" s="15"/>
      <c r="Z121" s="15"/>
      <c r="AA121" s="15"/>
      <c r="AB121" s="15"/>
      <c r="AC121" s="15"/>
      <c r="AD121" s="15"/>
      <c r="AE121" s="15"/>
    </row>
    <row r="122" spans="1:31" x14ac:dyDescent="0.85">
      <c r="A122" s="15"/>
      <c r="B122" s="15"/>
      <c r="C122" s="15"/>
      <c r="D122" s="15"/>
      <c r="E122" s="15"/>
      <c r="F122" s="15"/>
      <c r="G122" s="15"/>
      <c r="H122" s="15"/>
      <c r="I122" s="15"/>
      <c r="J122" s="15"/>
      <c r="K122" s="15"/>
      <c r="L122" s="747"/>
      <c r="M122" s="15"/>
      <c r="N122" s="15"/>
      <c r="O122" s="15"/>
      <c r="P122" s="15"/>
      <c r="Q122" s="15"/>
      <c r="R122" s="15"/>
      <c r="S122" s="15"/>
      <c r="T122" s="15"/>
      <c r="U122" s="15"/>
      <c r="V122" s="15"/>
      <c r="W122" s="15"/>
      <c r="X122" s="15"/>
      <c r="Y122" s="15"/>
      <c r="Z122" s="15"/>
      <c r="AA122" s="15"/>
      <c r="AB122" s="15"/>
      <c r="AC122" s="15"/>
      <c r="AD122" s="15"/>
      <c r="AE122" s="15"/>
    </row>
    <row r="123" spans="1:31" x14ac:dyDescent="0.85">
      <c r="A123" s="15"/>
      <c r="B123" s="15"/>
      <c r="C123" s="15"/>
      <c r="D123" s="15"/>
      <c r="E123" s="15"/>
      <c r="F123" s="15"/>
      <c r="G123" s="15"/>
      <c r="H123" s="15"/>
      <c r="I123" s="15"/>
      <c r="J123" s="15"/>
      <c r="K123" s="15"/>
      <c r="L123" s="747"/>
      <c r="M123" s="15"/>
      <c r="N123" s="15"/>
      <c r="O123" s="15"/>
      <c r="P123" s="15"/>
      <c r="Q123" s="15"/>
      <c r="R123" s="15"/>
      <c r="S123" s="15"/>
      <c r="T123" s="15"/>
      <c r="U123" s="15"/>
      <c r="V123" s="15"/>
      <c r="W123" s="15"/>
      <c r="X123" s="15"/>
      <c r="Y123" s="15"/>
      <c r="Z123" s="15"/>
      <c r="AA123" s="15"/>
      <c r="AB123" s="15"/>
      <c r="AC123" s="15"/>
      <c r="AD123" s="15"/>
      <c r="AE123" s="15"/>
    </row>
    <row r="124" spans="1:31" x14ac:dyDescent="0.85">
      <c r="A124" s="15"/>
      <c r="B124" s="15"/>
      <c r="C124" s="15"/>
      <c r="D124" s="15"/>
      <c r="E124" s="15"/>
      <c r="F124" s="15"/>
      <c r="G124" s="15"/>
      <c r="H124" s="15"/>
      <c r="I124" s="15"/>
      <c r="J124" s="15"/>
      <c r="K124" s="15"/>
      <c r="L124" s="747"/>
      <c r="M124" s="15"/>
      <c r="N124" s="15"/>
      <c r="O124" s="15"/>
      <c r="P124" s="15"/>
      <c r="Q124" s="15"/>
      <c r="R124" s="15"/>
      <c r="S124" s="15"/>
      <c r="T124" s="15"/>
      <c r="U124" s="15"/>
      <c r="V124" s="15"/>
      <c r="W124" s="15"/>
      <c r="X124" s="15"/>
      <c r="Y124" s="15"/>
      <c r="Z124" s="15"/>
      <c r="AA124" s="15"/>
      <c r="AB124" s="15"/>
      <c r="AC124" s="15"/>
      <c r="AD124" s="15"/>
      <c r="AE124" s="15"/>
    </row>
    <row r="125" spans="1:31" x14ac:dyDescent="0.85">
      <c r="A125" s="15"/>
      <c r="B125" s="15"/>
      <c r="C125" s="15"/>
      <c r="D125" s="15"/>
      <c r="E125" s="15"/>
      <c r="F125" s="15"/>
      <c r="G125" s="15"/>
      <c r="H125" s="15"/>
      <c r="I125" s="15"/>
      <c r="J125" s="15"/>
      <c r="K125" s="15"/>
      <c r="L125" s="747"/>
      <c r="M125" s="15"/>
      <c r="N125" s="15"/>
      <c r="O125" s="15"/>
      <c r="P125" s="15"/>
      <c r="Q125" s="15"/>
      <c r="R125" s="15"/>
      <c r="S125" s="15"/>
      <c r="T125" s="15"/>
      <c r="U125" s="15"/>
      <c r="V125" s="15"/>
      <c r="W125" s="15"/>
      <c r="X125" s="15"/>
      <c r="Y125" s="15"/>
      <c r="Z125" s="15"/>
      <c r="AA125" s="15"/>
      <c r="AB125" s="15"/>
      <c r="AC125" s="15"/>
      <c r="AD125" s="15"/>
      <c r="AE125" s="15"/>
    </row>
    <row r="126" spans="1:31" x14ac:dyDescent="0.85">
      <c r="A126" s="15"/>
      <c r="B126" s="15"/>
      <c r="C126" s="15"/>
      <c r="D126" s="15"/>
      <c r="E126" s="15"/>
      <c r="F126" s="15"/>
      <c r="G126" s="15"/>
      <c r="H126" s="15"/>
      <c r="I126" s="15"/>
      <c r="J126" s="15"/>
      <c r="K126" s="15"/>
      <c r="L126" s="747"/>
      <c r="M126" s="15"/>
      <c r="N126" s="15"/>
      <c r="O126" s="15"/>
      <c r="P126" s="15"/>
      <c r="Q126" s="15"/>
      <c r="R126" s="15"/>
      <c r="S126" s="15"/>
      <c r="T126" s="15"/>
      <c r="U126" s="15"/>
      <c r="V126" s="15"/>
      <c r="W126" s="15"/>
      <c r="X126" s="15"/>
      <c r="Y126" s="15"/>
      <c r="Z126" s="15"/>
      <c r="AA126" s="15"/>
      <c r="AB126" s="15"/>
      <c r="AC126" s="15"/>
      <c r="AD126" s="15"/>
      <c r="AE126" s="15"/>
    </row>
    <row r="127" spans="1:31" x14ac:dyDescent="0.85">
      <c r="A127" s="15"/>
      <c r="B127" s="15"/>
      <c r="C127" s="15"/>
      <c r="D127" s="15"/>
      <c r="E127" s="15"/>
      <c r="F127" s="15"/>
      <c r="G127" s="15"/>
      <c r="H127" s="15"/>
      <c r="I127" s="15"/>
      <c r="J127" s="15"/>
      <c r="K127" s="15"/>
      <c r="L127" s="747"/>
      <c r="M127" s="15"/>
      <c r="N127" s="15"/>
      <c r="O127" s="15"/>
      <c r="P127" s="15"/>
      <c r="Q127" s="15"/>
      <c r="R127" s="15"/>
      <c r="S127" s="15"/>
      <c r="T127" s="15"/>
      <c r="U127" s="15"/>
      <c r="V127" s="15"/>
      <c r="W127" s="15"/>
      <c r="X127" s="15"/>
      <c r="Y127" s="15"/>
      <c r="Z127" s="15"/>
      <c r="AA127" s="15"/>
      <c r="AB127" s="15"/>
      <c r="AC127" s="15"/>
      <c r="AD127" s="15"/>
      <c r="AE127" s="15"/>
    </row>
    <row r="128" spans="1:31" x14ac:dyDescent="0.85">
      <c r="A128" s="15"/>
      <c r="B128" s="15"/>
      <c r="C128" s="15"/>
      <c r="D128" s="15"/>
      <c r="E128" s="15"/>
      <c r="F128" s="15"/>
      <c r="G128" s="15"/>
      <c r="H128" s="15"/>
      <c r="I128" s="15"/>
      <c r="J128" s="15"/>
      <c r="K128" s="15"/>
      <c r="L128" s="747"/>
      <c r="M128" s="15"/>
      <c r="N128" s="15"/>
      <c r="O128" s="15"/>
      <c r="P128" s="15"/>
      <c r="Q128" s="15"/>
      <c r="R128" s="15"/>
      <c r="S128" s="15"/>
      <c r="T128" s="15"/>
      <c r="U128" s="15"/>
      <c r="V128" s="15"/>
      <c r="W128" s="15"/>
      <c r="X128" s="15"/>
      <c r="Y128" s="15"/>
      <c r="Z128" s="15"/>
      <c r="AA128" s="15"/>
      <c r="AB128" s="15"/>
      <c r="AC128" s="15"/>
      <c r="AD128" s="15"/>
      <c r="AE128" s="15"/>
    </row>
    <row r="129" spans="1:31" x14ac:dyDescent="0.85">
      <c r="A129" s="15"/>
      <c r="B129" s="15"/>
      <c r="C129" s="15"/>
      <c r="D129" s="15"/>
      <c r="E129" s="15"/>
      <c r="F129" s="15"/>
      <c r="G129" s="15"/>
      <c r="H129" s="15"/>
      <c r="I129" s="15"/>
      <c r="J129" s="15"/>
      <c r="K129" s="15"/>
      <c r="L129" s="747"/>
      <c r="M129" s="15"/>
      <c r="N129" s="15"/>
      <c r="O129" s="15"/>
      <c r="P129" s="15"/>
      <c r="Q129" s="15"/>
      <c r="R129" s="15"/>
      <c r="S129" s="15"/>
      <c r="T129" s="15"/>
      <c r="U129" s="15"/>
      <c r="V129" s="15"/>
      <c r="W129" s="15"/>
      <c r="X129" s="15"/>
      <c r="Y129" s="15"/>
      <c r="Z129" s="15"/>
      <c r="AA129" s="15"/>
      <c r="AB129" s="15"/>
      <c r="AC129" s="15"/>
      <c r="AD129" s="15"/>
      <c r="AE129" s="15"/>
    </row>
    <row r="130" spans="1:31" x14ac:dyDescent="0.85">
      <c r="A130" s="15"/>
      <c r="B130" s="15"/>
      <c r="C130" s="15"/>
      <c r="D130" s="15"/>
      <c r="E130" s="15"/>
      <c r="F130" s="15"/>
      <c r="G130" s="15"/>
      <c r="H130" s="15"/>
      <c r="I130" s="15"/>
      <c r="J130" s="15"/>
      <c r="K130" s="15"/>
      <c r="L130" s="747"/>
      <c r="M130" s="15"/>
      <c r="N130" s="15"/>
      <c r="O130" s="15"/>
      <c r="P130" s="15"/>
      <c r="Q130" s="15"/>
      <c r="R130" s="15"/>
      <c r="S130" s="15"/>
      <c r="T130" s="15"/>
      <c r="U130" s="15"/>
      <c r="V130" s="15"/>
      <c r="W130" s="15"/>
      <c r="X130" s="15"/>
      <c r="Y130" s="15"/>
      <c r="Z130" s="15"/>
      <c r="AA130" s="15"/>
      <c r="AB130" s="15"/>
      <c r="AC130" s="15"/>
      <c r="AD130" s="15"/>
      <c r="AE130" s="15"/>
    </row>
    <row r="131" spans="1:31" x14ac:dyDescent="0.85">
      <c r="A131" s="15"/>
      <c r="B131" s="15"/>
      <c r="C131" s="15"/>
      <c r="D131" s="15"/>
      <c r="E131" s="15"/>
      <c r="F131" s="15"/>
      <c r="G131" s="15"/>
      <c r="H131" s="15"/>
      <c r="I131" s="15"/>
      <c r="J131" s="15"/>
      <c r="K131" s="15"/>
      <c r="L131" s="747"/>
      <c r="M131" s="15"/>
      <c r="N131" s="15"/>
      <c r="O131" s="15"/>
      <c r="P131" s="15"/>
      <c r="Q131" s="15"/>
      <c r="R131" s="15"/>
      <c r="S131" s="15"/>
      <c r="T131" s="15"/>
      <c r="U131" s="15"/>
      <c r="V131" s="15"/>
      <c r="W131" s="15"/>
      <c r="X131" s="15"/>
      <c r="Y131" s="15"/>
      <c r="Z131" s="15"/>
      <c r="AA131" s="15"/>
      <c r="AB131" s="15"/>
      <c r="AC131" s="15"/>
      <c r="AD131" s="15"/>
      <c r="AE131" s="15"/>
    </row>
    <row r="132" spans="1:31" x14ac:dyDescent="0.85">
      <c r="A132" s="15"/>
      <c r="B132" s="15"/>
      <c r="C132" s="15"/>
      <c r="D132" s="15"/>
      <c r="E132" s="15"/>
      <c r="F132" s="15"/>
      <c r="G132" s="15"/>
      <c r="H132" s="15"/>
      <c r="I132" s="15"/>
      <c r="J132" s="15"/>
      <c r="K132" s="15"/>
      <c r="L132" s="747"/>
      <c r="M132" s="15"/>
      <c r="N132" s="15"/>
      <c r="O132" s="15"/>
      <c r="P132" s="15"/>
      <c r="Q132" s="15"/>
      <c r="R132" s="15"/>
      <c r="S132" s="15"/>
      <c r="T132" s="15"/>
      <c r="U132" s="15"/>
      <c r="V132" s="15"/>
      <c r="W132" s="15"/>
      <c r="X132" s="15"/>
      <c r="Y132" s="15"/>
      <c r="Z132" s="15"/>
      <c r="AA132" s="15"/>
      <c r="AB132" s="15"/>
      <c r="AC132" s="15"/>
      <c r="AD132" s="15"/>
      <c r="AE132" s="15"/>
    </row>
    <row r="133" spans="1:31" x14ac:dyDescent="0.85">
      <c r="A133" s="15"/>
      <c r="B133" s="15"/>
      <c r="C133" s="15"/>
      <c r="D133" s="15"/>
      <c r="E133" s="15"/>
      <c r="F133" s="15"/>
      <c r="G133" s="15"/>
      <c r="H133" s="15"/>
      <c r="I133" s="15"/>
      <c r="J133" s="15"/>
      <c r="K133" s="15"/>
      <c r="L133" s="747"/>
      <c r="M133" s="15"/>
      <c r="N133" s="15"/>
      <c r="O133" s="15"/>
      <c r="P133" s="15"/>
      <c r="Q133" s="15"/>
      <c r="R133" s="15"/>
      <c r="S133" s="15"/>
      <c r="T133" s="15"/>
      <c r="U133" s="15"/>
      <c r="V133" s="15"/>
      <c r="W133" s="15"/>
      <c r="X133" s="15"/>
      <c r="Y133" s="15"/>
      <c r="Z133" s="15"/>
      <c r="AA133" s="15"/>
      <c r="AB133" s="15"/>
      <c r="AC133" s="15"/>
      <c r="AD133" s="15"/>
      <c r="AE133" s="15"/>
    </row>
    <row r="134" spans="1:31" x14ac:dyDescent="0.85">
      <c r="A134" s="15"/>
      <c r="B134" s="15"/>
      <c r="C134" s="15"/>
      <c r="D134" s="15"/>
      <c r="E134" s="15"/>
      <c r="F134" s="15"/>
      <c r="G134" s="15"/>
      <c r="H134" s="15"/>
      <c r="I134" s="15"/>
      <c r="J134" s="15"/>
      <c r="K134" s="15"/>
      <c r="L134" s="747"/>
      <c r="M134" s="15"/>
      <c r="N134" s="15"/>
      <c r="O134" s="15"/>
      <c r="P134" s="15"/>
      <c r="Q134" s="15"/>
      <c r="R134" s="15"/>
      <c r="S134" s="15"/>
      <c r="T134" s="15"/>
      <c r="U134" s="15"/>
      <c r="V134" s="15"/>
      <c r="W134" s="15"/>
      <c r="X134" s="15"/>
      <c r="Y134" s="15"/>
      <c r="Z134" s="15"/>
      <c r="AA134" s="15"/>
      <c r="AB134" s="15"/>
      <c r="AC134" s="15"/>
      <c r="AD134" s="15"/>
      <c r="AE134" s="15"/>
    </row>
    <row r="135" spans="1:31" x14ac:dyDescent="0.85">
      <c r="A135" s="15"/>
      <c r="B135" s="15"/>
      <c r="C135" s="15"/>
      <c r="D135" s="15"/>
      <c r="E135" s="15"/>
      <c r="F135" s="15"/>
      <c r="G135" s="15"/>
      <c r="H135" s="15"/>
      <c r="I135" s="15"/>
      <c r="J135" s="15"/>
      <c r="K135" s="15"/>
      <c r="L135" s="747"/>
      <c r="M135" s="15"/>
      <c r="N135" s="15"/>
      <c r="O135" s="15"/>
      <c r="P135" s="15"/>
      <c r="Q135" s="15"/>
      <c r="R135" s="15"/>
      <c r="S135" s="15"/>
      <c r="T135" s="15"/>
      <c r="U135" s="15"/>
      <c r="V135" s="15"/>
      <c r="W135" s="15"/>
      <c r="X135" s="15"/>
      <c r="Y135" s="15"/>
      <c r="Z135" s="15"/>
      <c r="AA135" s="15"/>
      <c r="AB135" s="15"/>
      <c r="AC135" s="15"/>
      <c r="AD135" s="15"/>
      <c r="AE135" s="15"/>
    </row>
    <row r="136" spans="1:31" x14ac:dyDescent="0.85">
      <c r="A136" s="15"/>
      <c r="B136" s="15"/>
      <c r="C136" s="15"/>
      <c r="D136" s="15"/>
      <c r="E136" s="15"/>
      <c r="F136" s="15"/>
      <c r="G136" s="15"/>
      <c r="H136" s="15"/>
      <c r="I136" s="15"/>
      <c r="J136" s="15"/>
      <c r="K136" s="15"/>
      <c r="L136" s="747"/>
      <c r="M136" s="15"/>
      <c r="N136" s="15"/>
      <c r="O136" s="15"/>
      <c r="P136" s="15"/>
      <c r="Q136" s="15"/>
      <c r="R136" s="15"/>
      <c r="S136" s="15"/>
      <c r="T136" s="15"/>
      <c r="U136" s="15"/>
      <c r="V136" s="15"/>
      <c r="W136" s="15"/>
      <c r="X136" s="15"/>
      <c r="Y136" s="15"/>
      <c r="Z136" s="15"/>
      <c r="AA136" s="15"/>
      <c r="AB136" s="15"/>
      <c r="AC136" s="15"/>
      <c r="AD136" s="15"/>
      <c r="AE136" s="15"/>
    </row>
    <row r="137" spans="1:31" x14ac:dyDescent="0.85">
      <c r="A137" s="15"/>
      <c r="B137" s="15"/>
      <c r="C137" s="15"/>
      <c r="D137" s="15"/>
      <c r="E137" s="15"/>
      <c r="F137" s="15"/>
      <c r="G137" s="15"/>
      <c r="H137" s="15"/>
      <c r="I137" s="15"/>
      <c r="J137" s="15"/>
      <c r="K137" s="15"/>
      <c r="L137" s="747"/>
      <c r="M137" s="15"/>
      <c r="N137" s="15"/>
      <c r="O137" s="15"/>
      <c r="P137" s="15"/>
      <c r="Q137" s="15"/>
      <c r="R137" s="15"/>
      <c r="S137" s="15"/>
      <c r="T137" s="15"/>
      <c r="U137" s="15"/>
      <c r="V137" s="15"/>
      <c r="W137" s="15"/>
      <c r="X137" s="15"/>
      <c r="Y137" s="15"/>
      <c r="Z137" s="15"/>
      <c r="AA137" s="15"/>
      <c r="AB137" s="15"/>
      <c r="AC137" s="15"/>
      <c r="AD137" s="15"/>
      <c r="AE137" s="15"/>
    </row>
    <row r="138" spans="1:31" x14ac:dyDescent="0.85">
      <c r="A138" s="15"/>
      <c r="B138" s="15"/>
      <c r="C138" s="15"/>
      <c r="D138" s="15"/>
      <c r="E138" s="15"/>
      <c r="F138" s="15"/>
      <c r="G138" s="15"/>
      <c r="H138" s="15"/>
      <c r="I138" s="15"/>
      <c r="J138" s="15"/>
      <c r="K138" s="15"/>
      <c r="L138" s="747"/>
      <c r="M138" s="15"/>
      <c r="N138" s="15"/>
      <c r="O138" s="15"/>
      <c r="P138" s="15"/>
      <c r="Q138" s="15"/>
      <c r="R138" s="15"/>
      <c r="S138" s="15"/>
      <c r="T138" s="15"/>
      <c r="U138" s="15"/>
      <c r="V138" s="15"/>
      <c r="W138" s="15"/>
      <c r="X138" s="15"/>
      <c r="Y138" s="15"/>
      <c r="Z138" s="15"/>
      <c r="AA138" s="15"/>
      <c r="AB138" s="15"/>
      <c r="AC138" s="15"/>
      <c r="AD138" s="15"/>
      <c r="AE138" s="15"/>
    </row>
    <row r="139" spans="1:31" x14ac:dyDescent="0.85">
      <c r="A139" s="15"/>
      <c r="B139" s="15"/>
      <c r="C139" s="15"/>
      <c r="D139" s="15"/>
      <c r="E139" s="15"/>
      <c r="F139" s="15"/>
      <c r="G139" s="15"/>
      <c r="H139" s="15"/>
      <c r="I139" s="15"/>
      <c r="J139" s="15"/>
      <c r="K139" s="15"/>
      <c r="L139" s="747"/>
      <c r="M139" s="15"/>
      <c r="N139" s="15"/>
      <c r="O139" s="15"/>
      <c r="P139" s="15"/>
      <c r="Q139" s="15"/>
      <c r="R139" s="15"/>
      <c r="S139" s="15"/>
      <c r="T139" s="15"/>
      <c r="U139" s="15"/>
      <c r="V139" s="15"/>
      <c r="W139" s="15"/>
      <c r="X139" s="15"/>
      <c r="Y139" s="15"/>
      <c r="Z139" s="15"/>
      <c r="AA139" s="15"/>
      <c r="AB139" s="15"/>
      <c r="AC139" s="15"/>
      <c r="AD139" s="15"/>
      <c r="AE139" s="15"/>
    </row>
    <row r="140" spans="1:31" x14ac:dyDescent="0.85">
      <c r="A140" s="15"/>
      <c r="B140" s="15"/>
      <c r="C140" s="15"/>
      <c r="D140" s="15"/>
      <c r="E140" s="15"/>
      <c r="F140" s="15"/>
      <c r="G140" s="15"/>
      <c r="H140" s="15"/>
      <c r="I140" s="15"/>
      <c r="J140" s="15"/>
      <c r="K140" s="15"/>
      <c r="L140" s="747"/>
      <c r="M140" s="15"/>
      <c r="N140" s="15"/>
      <c r="O140" s="15"/>
      <c r="P140" s="15"/>
      <c r="Q140" s="15"/>
      <c r="R140" s="15"/>
      <c r="S140" s="15"/>
      <c r="T140" s="15"/>
      <c r="U140" s="15"/>
      <c r="V140" s="15"/>
      <c r="W140" s="15"/>
      <c r="X140" s="15"/>
      <c r="Y140" s="15"/>
      <c r="Z140" s="15"/>
      <c r="AA140" s="15"/>
      <c r="AB140" s="15"/>
      <c r="AC140" s="15"/>
      <c r="AD140" s="15"/>
      <c r="AE140" s="15"/>
    </row>
    <row r="141" spans="1:31" x14ac:dyDescent="0.85">
      <c r="A141" s="15"/>
      <c r="B141" s="15"/>
      <c r="C141" s="15"/>
      <c r="D141" s="15"/>
      <c r="E141" s="15"/>
      <c r="F141" s="15"/>
      <c r="G141" s="15"/>
      <c r="H141" s="15"/>
      <c r="I141" s="15"/>
      <c r="J141" s="15"/>
      <c r="K141" s="15"/>
      <c r="L141" s="747"/>
      <c r="M141" s="15"/>
      <c r="N141" s="15"/>
      <c r="O141" s="15"/>
      <c r="P141" s="15"/>
      <c r="Q141" s="15"/>
      <c r="R141" s="15"/>
      <c r="S141" s="15"/>
      <c r="T141" s="15"/>
      <c r="U141" s="15"/>
      <c r="V141" s="15"/>
      <c r="W141" s="15"/>
      <c r="X141" s="15"/>
      <c r="Y141" s="15"/>
      <c r="Z141" s="15"/>
      <c r="AA141" s="15"/>
      <c r="AB141" s="15"/>
      <c r="AC141" s="15"/>
      <c r="AD141" s="15"/>
      <c r="AE141" s="15"/>
    </row>
    <row r="142" spans="1:31" x14ac:dyDescent="0.85">
      <c r="A142" s="15"/>
      <c r="B142" s="15"/>
      <c r="C142" s="15"/>
      <c r="D142" s="15"/>
      <c r="E142" s="15"/>
      <c r="F142" s="15"/>
      <c r="G142" s="15"/>
      <c r="H142" s="15"/>
      <c r="I142" s="15"/>
      <c r="J142" s="15"/>
      <c r="K142" s="15"/>
      <c r="L142" s="747"/>
      <c r="M142" s="15"/>
      <c r="N142" s="15"/>
      <c r="O142" s="15"/>
      <c r="P142" s="15"/>
      <c r="Q142" s="15"/>
      <c r="R142" s="15"/>
      <c r="S142" s="15"/>
      <c r="T142" s="15"/>
      <c r="U142" s="15"/>
      <c r="V142" s="15"/>
      <c r="W142" s="15"/>
      <c r="X142" s="15"/>
      <c r="Y142" s="15"/>
      <c r="Z142" s="15"/>
      <c r="AA142" s="15"/>
      <c r="AB142" s="15"/>
      <c r="AC142" s="15"/>
      <c r="AD142" s="15"/>
      <c r="AE142" s="15"/>
    </row>
    <row r="143" spans="1:31" x14ac:dyDescent="0.85">
      <c r="A143" s="15"/>
      <c r="B143" s="15"/>
      <c r="C143" s="15"/>
      <c r="D143" s="15"/>
      <c r="E143" s="15"/>
      <c r="F143" s="15"/>
      <c r="G143" s="15"/>
      <c r="H143" s="15"/>
      <c r="I143" s="15"/>
      <c r="J143" s="15"/>
      <c r="K143" s="15"/>
      <c r="L143" s="747"/>
      <c r="M143" s="15"/>
      <c r="N143" s="15"/>
      <c r="O143" s="15"/>
      <c r="P143" s="15"/>
      <c r="Q143" s="15"/>
      <c r="R143" s="15"/>
      <c r="S143" s="15"/>
      <c r="T143" s="15"/>
      <c r="U143" s="15"/>
      <c r="V143" s="15"/>
      <c r="W143" s="15"/>
      <c r="X143" s="15"/>
      <c r="Y143" s="15"/>
      <c r="Z143" s="15"/>
      <c r="AA143" s="15"/>
      <c r="AB143" s="15"/>
      <c r="AC143" s="15"/>
      <c r="AD143" s="15"/>
      <c r="AE143" s="15"/>
    </row>
    <row r="144" spans="1:31" x14ac:dyDescent="0.85">
      <c r="A144" s="15"/>
      <c r="B144" s="15"/>
      <c r="C144" s="15"/>
      <c r="D144" s="15"/>
      <c r="E144" s="15"/>
      <c r="F144" s="15"/>
      <c r="G144" s="15"/>
      <c r="H144" s="15"/>
      <c r="I144" s="15"/>
      <c r="J144" s="15"/>
      <c r="K144" s="15"/>
      <c r="L144" s="747"/>
      <c r="M144" s="15"/>
      <c r="N144" s="15"/>
      <c r="O144" s="15"/>
      <c r="P144" s="15"/>
      <c r="Q144" s="15"/>
      <c r="R144" s="15"/>
      <c r="S144" s="15"/>
      <c r="T144" s="15"/>
      <c r="U144" s="15"/>
      <c r="V144" s="15"/>
      <c r="W144" s="15"/>
      <c r="X144" s="15"/>
      <c r="Y144" s="15"/>
      <c r="Z144" s="15"/>
      <c r="AA144" s="15"/>
      <c r="AB144" s="15"/>
      <c r="AC144" s="15"/>
      <c r="AD144" s="15"/>
      <c r="AE144" s="15"/>
    </row>
    <row r="145" spans="1:31" x14ac:dyDescent="0.85">
      <c r="A145" s="15"/>
      <c r="B145" s="15"/>
      <c r="C145" s="15"/>
      <c r="D145" s="15"/>
      <c r="E145" s="15"/>
      <c r="F145" s="15"/>
      <c r="G145" s="15"/>
      <c r="H145" s="15"/>
      <c r="I145" s="15"/>
      <c r="J145" s="15"/>
      <c r="K145" s="15"/>
      <c r="L145" s="747"/>
      <c r="M145" s="15"/>
      <c r="N145" s="15"/>
      <c r="O145" s="15"/>
      <c r="P145" s="15"/>
      <c r="Q145" s="15"/>
      <c r="R145" s="15"/>
      <c r="S145" s="15"/>
      <c r="T145" s="15"/>
      <c r="U145" s="15"/>
      <c r="V145" s="15"/>
      <c r="W145" s="15"/>
      <c r="X145" s="15"/>
      <c r="Y145" s="15"/>
      <c r="Z145" s="15"/>
      <c r="AA145" s="15"/>
      <c r="AB145" s="15"/>
      <c r="AC145" s="15"/>
      <c r="AD145" s="15"/>
      <c r="AE145" s="15"/>
    </row>
    <row r="146" spans="1:31" x14ac:dyDescent="0.85">
      <c r="A146" s="15"/>
      <c r="B146" s="15"/>
      <c r="C146" s="15"/>
      <c r="D146" s="15"/>
      <c r="E146" s="15"/>
      <c r="F146" s="15"/>
      <c r="G146" s="15"/>
      <c r="H146" s="15"/>
      <c r="I146" s="15"/>
      <c r="J146" s="15"/>
      <c r="K146" s="15"/>
      <c r="L146" s="747"/>
      <c r="M146" s="15"/>
      <c r="N146" s="15"/>
      <c r="O146" s="15"/>
      <c r="P146" s="15"/>
      <c r="Q146" s="15"/>
      <c r="R146" s="15"/>
      <c r="S146" s="15"/>
      <c r="T146" s="15"/>
      <c r="U146" s="15"/>
      <c r="V146" s="15"/>
      <c r="W146" s="15"/>
      <c r="X146" s="15"/>
      <c r="Y146" s="15"/>
      <c r="Z146" s="15"/>
      <c r="AA146" s="15"/>
      <c r="AB146" s="15"/>
      <c r="AC146" s="15"/>
      <c r="AD146" s="15"/>
      <c r="AE146" s="15"/>
    </row>
    <row r="147" spans="1:31" x14ac:dyDescent="0.85">
      <c r="A147" s="15"/>
      <c r="B147" s="15"/>
      <c r="C147" s="15"/>
      <c r="D147" s="15"/>
      <c r="E147" s="15"/>
      <c r="F147" s="15"/>
      <c r="G147" s="15"/>
      <c r="H147" s="15"/>
      <c r="I147" s="15"/>
      <c r="J147" s="15"/>
      <c r="K147" s="15"/>
      <c r="L147" s="747"/>
      <c r="M147" s="15"/>
      <c r="N147" s="15"/>
      <c r="O147" s="15"/>
      <c r="P147" s="15"/>
      <c r="Q147" s="15"/>
      <c r="R147" s="15"/>
      <c r="S147" s="15"/>
      <c r="T147" s="15"/>
      <c r="U147" s="15"/>
      <c r="V147" s="15"/>
      <c r="W147" s="15"/>
      <c r="X147" s="15"/>
      <c r="Y147" s="15"/>
      <c r="Z147" s="15"/>
      <c r="AA147" s="15"/>
      <c r="AB147" s="15"/>
      <c r="AC147" s="15"/>
      <c r="AD147" s="15"/>
      <c r="AE147" s="15"/>
    </row>
    <row r="148" spans="1:31" x14ac:dyDescent="0.85">
      <c r="A148" s="15"/>
      <c r="B148" s="15"/>
      <c r="C148" s="15"/>
      <c r="D148" s="15"/>
      <c r="E148" s="15"/>
      <c r="F148" s="15"/>
      <c r="G148" s="15"/>
      <c r="H148" s="15"/>
      <c r="I148" s="15"/>
      <c r="J148" s="15"/>
      <c r="K148" s="15"/>
      <c r="L148" s="747"/>
      <c r="M148" s="15"/>
      <c r="N148" s="15"/>
      <c r="O148" s="15"/>
      <c r="P148" s="15"/>
      <c r="Q148" s="15"/>
      <c r="R148" s="15"/>
      <c r="S148" s="15"/>
      <c r="T148" s="15"/>
      <c r="U148" s="15"/>
      <c r="V148" s="15"/>
      <c r="W148" s="15"/>
      <c r="X148" s="15"/>
      <c r="Y148" s="15"/>
      <c r="Z148" s="15"/>
      <c r="AA148" s="15"/>
      <c r="AB148" s="15"/>
      <c r="AC148" s="15"/>
      <c r="AD148" s="15"/>
      <c r="AE148" s="15"/>
    </row>
    <row r="149" spans="1:31" x14ac:dyDescent="0.85">
      <c r="A149" s="15"/>
      <c r="B149" s="15"/>
      <c r="C149" s="15"/>
      <c r="D149" s="15"/>
      <c r="E149" s="15"/>
      <c r="F149" s="15"/>
      <c r="G149" s="15"/>
      <c r="H149" s="15"/>
      <c r="I149" s="15"/>
      <c r="J149" s="15"/>
      <c r="K149" s="15"/>
      <c r="L149" s="747"/>
      <c r="M149" s="15"/>
      <c r="N149" s="15"/>
      <c r="O149" s="15"/>
      <c r="P149" s="15"/>
      <c r="Q149" s="15"/>
      <c r="R149" s="15"/>
      <c r="S149" s="15"/>
      <c r="T149" s="15"/>
      <c r="U149" s="15"/>
      <c r="V149" s="15"/>
      <c r="W149" s="15"/>
      <c r="X149" s="15"/>
      <c r="Y149" s="15"/>
      <c r="Z149" s="15"/>
      <c r="AA149" s="15"/>
      <c r="AB149" s="15"/>
      <c r="AC149" s="15"/>
      <c r="AD149" s="15"/>
      <c r="AE149" s="15"/>
    </row>
    <row r="150" spans="1:31" x14ac:dyDescent="0.85">
      <c r="A150" s="15"/>
      <c r="B150" s="15"/>
      <c r="C150" s="15"/>
      <c r="D150" s="15"/>
      <c r="E150" s="15"/>
      <c r="F150" s="15"/>
      <c r="G150" s="15"/>
      <c r="H150" s="15"/>
      <c r="I150" s="15"/>
      <c r="J150" s="15"/>
      <c r="K150" s="15"/>
      <c r="L150" s="747"/>
      <c r="M150" s="15"/>
      <c r="N150" s="15"/>
      <c r="O150" s="15"/>
      <c r="P150" s="15"/>
      <c r="Q150" s="15"/>
      <c r="R150" s="15"/>
      <c r="S150" s="15"/>
      <c r="T150" s="15"/>
      <c r="U150" s="15"/>
      <c r="V150" s="15"/>
      <c r="W150" s="15"/>
      <c r="X150" s="15"/>
      <c r="Y150" s="15"/>
      <c r="Z150" s="15"/>
      <c r="AA150" s="15"/>
      <c r="AB150" s="15"/>
      <c r="AC150" s="15"/>
      <c r="AD150" s="15"/>
      <c r="AE150" s="15"/>
    </row>
    <row r="151" spans="1:31" x14ac:dyDescent="0.85">
      <c r="A151" s="15"/>
      <c r="B151" s="15"/>
      <c r="C151" s="15"/>
      <c r="D151" s="15"/>
      <c r="E151" s="15"/>
      <c r="F151" s="15"/>
      <c r="G151" s="15"/>
      <c r="H151" s="15"/>
      <c r="I151" s="15"/>
      <c r="J151" s="15"/>
      <c r="K151" s="15"/>
      <c r="L151" s="747"/>
      <c r="M151" s="15"/>
      <c r="N151" s="15"/>
      <c r="O151" s="15"/>
      <c r="P151" s="15"/>
      <c r="Q151" s="15"/>
      <c r="R151" s="15"/>
      <c r="S151" s="15"/>
      <c r="T151" s="15"/>
      <c r="U151" s="15"/>
      <c r="V151" s="15"/>
      <c r="W151" s="15"/>
      <c r="X151" s="15"/>
      <c r="Y151" s="15"/>
      <c r="Z151" s="15"/>
      <c r="AA151" s="15"/>
      <c r="AB151" s="15"/>
      <c r="AC151" s="15"/>
      <c r="AD151" s="15"/>
      <c r="AE151" s="15"/>
    </row>
    <row r="152" spans="1:31" x14ac:dyDescent="0.85">
      <c r="A152" s="15"/>
      <c r="B152" s="15"/>
      <c r="C152" s="15"/>
      <c r="D152" s="15"/>
      <c r="E152" s="15"/>
      <c r="F152" s="15"/>
      <c r="G152" s="15"/>
      <c r="H152" s="15"/>
      <c r="I152" s="15"/>
      <c r="J152" s="15"/>
      <c r="K152" s="15"/>
      <c r="L152" s="747"/>
      <c r="M152" s="15"/>
      <c r="N152" s="15"/>
      <c r="O152" s="15"/>
      <c r="P152" s="15"/>
      <c r="Q152" s="15"/>
      <c r="R152" s="15"/>
      <c r="S152" s="15"/>
      <c r="T152" s="15"/>
      <c r="U152" s="15"/>
      <c r="V152" s="15"/>
      <c r="W152" s="15"/>
      <c r="X152" s="15"/>
      <c r="Y152" s="15"/>
      <c r="Z152" s="15"/>
      <c r="AA152" s="15"/>
      <c r="AB152" s="15"/>
      <c r="AC152" s="15"/>
      <c r="AD152" s="15"/>
      <c r="AE152" s="15"/>
    </row>
    <row r="153" spans="1:31" x14ac:dyDescent="0.85">
      <c r="A153" s="15"/>
      <c r="B153" s="15"/>
      <c r="C153" s="15"/>
      <c r="D153" s="15"/>
      <c r="E153" s="15"/>
      <c r="F153" s="15"/>
      <c r="G153" s="15"/>
      <c r="H153" s="15"/>
      <c r="I153" s="15"/>
      <c r="J153" s="15"/>
      <c r="K153" s="15"/>
      <c r="L153" s="747"/>
      <c r="M153" s="15"/>
      <c r="N153" s="15"/>
      <c r="O153" s="15"/>
      <c r="P153" s="15"/>
      <c r="Q153" s="15"/>
      <c r="R153" s="15"/>
      <c r="S153" s="15"/>
      <c r="T153" s="15"/>
      <c r="U153" s="15"/>
      <c r="V153" s="15"/>
      <c r="W153" s="15"/>
      <c r="X153" s="15"/>
      <c r="Y153" s="15"/>
      <c r="Z153" s="15"/>
      <c r="AA153" s="15"/>
      <c r="AB153" s="15"/>
      <c r="AC153" s="15"/>
      <c r="AD153" s="15"/>
      <c r="AE153" s="15"/>
    </row>
    <row r="154" spans="1:31" x14ac:dyDescent="0.85">
      <c r="A154" s="15"/>
      <c r="B154" s="15"/>
      <c r="C154" s="15"/>
      <c r="D154" s="15"/>
      <c r="E154" s="15"/>
      <c r="F154" s="15"/>
      <c r="G154" s="15"/>
      <c r="H154" s="15"/>
      <c r="I154" s="15"/>
      <c r="J154" s="15"/>
      <c r="K154" s="15"/>
      <c r="L154" s="747"/>
      <c r="M154" s="15"/>
      <c r="N154" s="15"/>
      <c r="O154" s="15"/>
      <c r="P154" s="15"/>
      <c r="Q154" s="15"/>
      <c r="R154" s="15"/>
      <c r="S154" s="15"/>
      <c r="T154" s="15"/>
      <c r="U154" s="15"/>
      <c r="V154" s="15"/>
      <c r="W154" s="15"/>
      <c r="X154" s="15"/>
      <c r="Y154" s="15"/>
      <c r="Z154" s="15"/>
      <c r="AA154" s="15"/>
      <c r="AB154" s="15"/>
      <c r="AC154" s="15"/>
      <c r="AD154" s="15"/>
      <c r="AE154" s="15"/>
    </row>
    <row r="155" spans="1:31" x14ac:dyDescent="0.85">
      <c r="A155" s="15"/>
      <c r="B155" s="15"/>
      <c r="C155" s="15"/>
      <c r="D155" s="15"/>
      <c r="E155" s="15"/>
      <c r="F155" s="15"/>
      <c r="G155" s="15"/>
      <c r="H155" s="15"/>
      <c r="I155" s="15"/>
      <c r="J155" s="15"/>
      <c r="K155" s="15"/>
      <c r="L155" s="747"/>
      <c r="M155" s="15"/>
      <c r="N155" s="15"/>
      <c r="O155" s="15"/>
      <c r="P155" s="15"/>
      <c r="Q155" s="15"/>
      <c r="R155" s="15"/>
      <c r="S155" s="15"/>
      <c r="T155" s="15"/>
      <c r="U155" s="15"/>
      <c r="V155" s="15"/>
      <c r="W155" s="15"/>
      <c r="X155" s="15"/>
      <c r="Y155" s="15"/>
      <c r="Z155" s="15"/>
      <c r="AA155" s="15"/>
      <c r="AB155" s="15"/>
      <c r="AC155" s="15"/>
      <c r="AD155" s="15"/>
      <c r="AE155" s="15"/>
    </row>
    <row r="156" spans="1:31" x14ac:dyDescent="0.85">
      <c r="A156" s="15"/>
      <c r="B156" s="15"/>
      <c r="C156" s="15"/>
      <c r="D156" s="15"/>
      <c r="E156" s="15"/>
      <c r="F156" s="15"/>
      <c r="G156" s="15"/>
      <c r="H156" s="15"/>
      <c r="I156" s="15"/>
      <c r="J156" s="15"/>
      <c r="K156" s="15"/>
      <c r="L156" s="747"/>
      <c r="M156" s="15"/>
      <c r="N156" s="15"/>
      <c r="O156" s="15"/>
      <c r="P156" s="15"/>
      <c r="Q156" s="15"/>
      <c r="R156" s="15"/>
      <c r="S156" s="15"/>
      <c r="T156" s="15"/>
      <c r="U156" s="15"/>
      <c r="V156" s="15"/>
      <c r="W156" s="15"/>
      <c r="X156" s="15"/>
      <c r="Y156" s="15"/>
      <c r="Z156" s="15"/>
      <c r="AA156" s="15"/>
      <c r="AB156" s="15"/>
      <c r="AC156" s="15"/>
      <c r="AD156" s="15"/>
      <c r="AE156" s="15"/>
    </row>
    <row r="157" spans="1:31" x14ac:dyDescent="0.85">
      <c r="A157" s="15"/>
      <c r="B157" s="15"/>
      <c r="C157" s="15"/>
      <c r="D157" s="15"/>
      <c r="E157" s="15"/>
      <c r="F157" s="15"/>
      <c r="G157" s="15"/>
      <c r="H157" s="15"/>
      <c r="I157" s="15"/>
      <c r="J157" s="15"/>
      <c r="K157" s="15"/>
      <c r="L157" s="747"/>
      <c r="M157" s="15"/>
      <c r="N157" s="15"/>
      <c r="O157" s="15"/>
      <c r="P157" s="15"/>
      <c r="Q157" s="15"/>
      <c r="R157" s="15"/>
      <c r="S157" s="15"/>
      <c r="T157" s="15"/>
      <c r="U157" s="15"/>
      <c r="V157" s="15"/>
      <c r="W157" s="15"/>
      <c r="X157" s="15"/>
      <c r="Y157" s="15"/>
      <c r="Z157" s="15"/>
      <c r="AA157" s="15"/>
      <c r="AB157" s="15"/>
      <c r="AC157" s="15"/>
      <c r="AD157" s="15"/>
      <c r="AE157" s="15"/>
    </row>
    <row r="158" spans="1:31" x14ac:dyDescent="0.85">
      <c r="A158" s="15"/>
      <c r="B158" s="15"/>
      <c r="C158" s="15"/>
      <c r="D158" s="15"/>
      <c r="E158" s="15"/>
      <c r="F158" s="15"/>
      <c r="G158" s="15"/>
      <c r="H158" s="15"/>
      <c r="I158" s="15"/>
      <c r="J158" s="15"/>
      <c r="K158" s="15"/>
      <c r="L158" s="747"/>
      <c r="M158" s="15"/>
      <c r="N158" s="15"/>
      <c r="O158" s="15"/>
      <c r="P158" s="15"/>
      <c r="Q158" s="15"/>
      <c r="R158" s="15"/>
      <c r="S158" s="15"/>
      <c r="T158" s="15"/>
      <c r="U158" s="15"/>
      <c r="V158" s="15"/>
      <c r="W158" s="15"/>
      <c r="X158" s="15"/>
      <c r="Y158" s="15"/>
      <c r="Z158" s="15"/>
      <c r="AA158" s="15"/>
      <c r="AB158" s="15"/>
      <c r="AC158" s="15"/>
      <c r="AD158" s="15"/>
      <c r="AE158" s="15"/>
    </row>
    <row r="159" spans="1:31" x14ac:dyDescent="0.85">
      <c r="A159" s="15"/>
      <c r="B159" s="15"/>
      <c r="C159" s="15"/>
      <c r="D159" s="15"/>
      <c r="E159" s="15"/>
      <c r="F159" s="15"/>
      <c r="G159" s="15"/>
      <c r="H159" s="15"/>
      <c r="I159" s="15"/>
      <c r="J159" s="15"/>
      <c r="K159" s="15"/>
      <c r="L159" s="747"/>
      <c r="M159" s="15"/>
      <c r="N159" s="15"/>
      <c r="O159" s="15"/>
      <c r="P159" s="15"/>
      <c r="Q159" s="15"/>
      <c r="R159" s="15"/>
      <c r="S159" s="15"/>
      <c r="T159" s="15"/>
      <c r="U159" s="15"/>
      <c r="V159" s="15"/>
      <c r="W159" s="15"/>
      <c r="X159" s="15"/>
      <c r="Y159" s="15"/>
      <c r="Z159" s="15"/>
      <c r="AA159" s="15"/>
      <c r="AB159" s="15"/>
      <c r="AC159" s="15"/>
      <c r="AD159" s="15"/>
      <c r="AE159" s="15"/>
    </row>
    <row r="160" spans="1:31" x14ac:dyDescent="0.85">
      <c r="A160" s="15"/>
      <c r="B160" s="15"/>
      <c r="C160" s="15"/>
      <c r="D160" s="15"/>
      <c r="E160" s="15"/>
      <c r="F160" s="15"/>
      <c r="G160" s="15"/>
      <c r="H160" s="15"/>
      <c r="I160" s="15"/>
      <c r="J160" s="15"/>
      <c r="K160" s="15"/>
      <c r="L160" s="747"/>
      <c r="M160" s="15"/>
      <c r="N160" s="15"/>
      <c r="O160" s="15"/>
      <c r="P160" s="15"/>
      <c r="Q160" s="15"/>
      <c r="R160" s="15"/>
      <c r="S160" s="15"/>
      <c r="T160" s="15"/>
      <c r="U160" s="15"/>
      <c r="V160" s="15"/>
      <c r="W160" s="15"/>
      <c r="X160" s="15"/>
      <c r="Y160" s="15"/>
      <c r="Z160" s="15"/>
      <c r="AA160" s="15"/>
      <c r="AB160" s="15"/>
      <c r="AC160" s="15"/>
      <c r="AD160" s="15"/>
      <c r="AE160" s="15"/>
    </row>
    <row r="161" spans="1:31" x14ac:dyDescent="0.85">
      <c r="A161" s="15"/>
      <c r="B161" s="15"/>
      <c r="C161" s="15"/>
      <c r="D161" s="15"/>
      <c r="E161" s="15"/>
      <c r="F161" s="15"/>
      <c r="G161" s="15"/>
      <c r="H161" s="15"/>
      <c r="I161" s="15"/>
      <c r="J161" s="15"/>
      <c r="K161" s="15"/>
      <c r="L161" s="747"/>
      <c r="M161" s="15"/>
      <c r="N161" s="15"/>
      <c r="O161" s="15"/>
      <c r="P161" s="15"/>
      <c r="Q161" s="15"/>
      <c r="R161" s="15"/>
      <c r="S161" s="15"/>
      <c r="T161" s="15"/>
      <c r="U161" s="15"/>
      <c r="V161" s="15"/>
      <c r="W161" s="15"/>
      <c r="X161" s="15"/>
      <c r="Y161" s="15"/>
      <c r="Z161" s="15"/>
      <c r="AA161" s="15"/>
      <c r="AB161" s="15"/>
      <c r="AC161" s="15"/>
      <c r="AD161" s="15"/>
      <c r="AE161" s="15"/>
    </row>
    <row r="162" spans="1:31" x14ac:dyDescent="0.85">
      <c r="A162" s="15"/>
      <c r="B162" s="15"/>
      <c r="C162" s="15"/>
      <c r="D162" s="15"/>
      <c r="E162" s="15"/>
      <c r="F162" s="15"/>
      <c r="G162" s="15"/>
      <c r="H162" s="15"/>
      <c r="I162" s="15"/>
      <c r="J162" s="15"/>
      <c r="K162" s="15"/>
      <c r="L162" s="747"/>
      <c r="M162" s="15"/>
      <c r="N162" s="15"/>
      <c r="O162" s="15"/>
      <c r="P162" s="15"/>
      <c r="Q162" s="15"/>
      <c r="R162" s="15"/>
      <c r="S162" s="15"/>
      <c r="T162" s="15"/>
      <c r="U162" s="15"/>
      <c r="V162" s="15"/>
      <c r="W162" s="15"/>
      <c r="X162" s="15"/>
      <c r="Y162" s="15"/>
      <c r="Z162" s="15"/>
      <c r="AA162" s="15"/>
      <c r="AB162" s="15"/>
      <c r="AC162" s="15"/>
      <c r="AD162" s="15"/>
      <c r="AE162" s="15"/>
    </row>
    <row r="163" spans="1:31" x14ac:dyDescent="0.85">
      <c r="A163" s="15"/>
      <c r="B163" s="15"/>
      <c r="C163" s="15"/>
      <c r="D163" s="15"/>
      <c r="E163" s="15"/>
      <c r="F163" s="15"/>
      <c r="G163" s="15"/>
      <c r="H163" s="15"/>
      <c r="I163" s="15"/>
      <c r="J163" s="15"/>
      <c r="K163" s="15"/>
      <c r="L163" s="747"/>
      <c r="M163" s="15"/>
      <c r="N163" s="15"/>
      <c r="O163" s="15"/>
      <c r="P163" s="15"/>
      <c r="Q163" s="15"/>
      <c r="R163" s="15"/>
      <c r="S163" s="15"/>
      <c r="T163" s="15"/>
      <c r="U163" s="15"/>
      <c r="V163" s="15"/>
      <c r="W163" s="15"/>
      <c r="X163" s="15"/>
      <c r="Y163" s="15"/>
      <c r="Z163" s="15"/>
      <c r="AA163" s="15"/>
      <c r="AB163" s="15"/>
      <c r="AC163" s="15"/>
      <c r="AD163" s="15"/>
      <c r="AE163" s="15"/>
    </row>
    <row r="164" spans="1:31" x14ac:dyDescent="0.85">
      <c r="A164" s="15"/>
      <c r="B164" s="15"/>
      <c r="C164" s="15"/>
      <c r="D164" s="15"/>
      <c r="E164" s="15"/>
      <c r="F164" s="15"/>
      <c r="G164" s="15"/>
      <c r="H164" s="15"/>
      <c r="I164" s="15"/>
      <c r="J164" s="15"/>
      <c r="K164" s="15"/>
      <c r="L164" s="747"/>
      <c r="M164" s="15"/>
      <c r="N164" s="15"/>
      <c r="O164" s="15"/>
      <c r="P164" s="15"/>
      <c r="Q164" s="15"/>
      <c r="R164" s="15"/>
      <c r="S164" s="15"/>
      <c r="T164" s="15"/>
      <c r="U164" s="15"/>
      <c r="V164" s="15"/>
      <c r="W164" s="15"/>
      <c r="X164" s="15"/>
      <c r="Y164" s="15"/>
      <c r="Z164" s="15"/>
      <c r="AA164" s="15"/>
      <c r="AB164" s="15"/>
      <c r="AC164" s="15"/>
      <c r="AD164" s="15"/>
      <c r="AE164" s="15"/>
    </row>
    <row r="165" spans="1:31" x14ac:dyDescent="0.85">
      <c r="A165" s="15"/>
      <c r="B165" s="15"/>
      <c r="C165" s="15"/>
      <c r="D165" s="15"/>
      <c r="E165" s="15"/>
      <c r="F165" s="15"/>
      <c r="G165" s="15"/>
      <c r="H165" s="15"/>
      <c r="I165" s="15"/>
      <c r="J165" s="15"/>
      <c r="K165" s="15"/>
      <c r="L165" s="747"/>
      <c r="M165" s="15"/>
      <c r="N165" s="15"/>
      <c r="O165" s="15"/>
      <c r="P165" s="15"/>
      <c r="Q165" s="15"/>
      <c r="R165" s="15"/>
      <c r="S165" s="15"/>
      <c r="T165" s="15"/>
      <c r="U165" s="15"/>
      <c r="V165" s="15"/>
      <c r="W165" s="15"/>
      <c r="X165" s="15"/>
      <c r="Y165" s="15"/>
      <c r="Z165" s="15"/>
      <c r="AA165" s="15"/>
      <c r="AB165" s="15"/>
      <c r="AC165" s="15"/>
      <c r="AD165" s="15"/>
      <c r="AE165" s="15"/>
    </row>
    <row r="166" spans="1:31" x14ac:dyDescent="0.85">
      <c r="A166" s="15"/>
      <c r="B166" s="15"/>
      <c r="C166" s="15"/>
      <c r="D166" s="15"/>
      <c r="E166" s="15"/>
      <c r="F166" s="15"/>
      <c r="G166" s="15"/>
      <c r="H166" s="15"/>
      <c r="I166" s="15"/>
      <c r="J166" s="15"/>
      <c r="K166" s="15"/>
      <c r="L166" s="747"/>
      <c r="M166" s="15"/>
      <c r="N166" s="15"/>
      <c r="O166" s="15"/>
      <c r="P166" s="15"/>
      <c r="Q166" s="15"/>
      <c r="R166" s="15"/>
      <c r="S166" s="15"/>
      <c r="T166" s="15"/>
      <c r="U166" s="15"/>
      <c r="V166" s="15"/>
      <c r="W166" s="15"/>
      <c r="X166" s="15"/>
      <c r="Y166" s="15"/>
      <c r="Z166" s="15"/>
      <c r="AA166" s="15"/>
      <c r="AB166" s="15"/>
      <c r="AC166" s="15"/>
      <c r="AD166" s="15"/>
      <c r="AE166" s="15"/>
    </row>
    <row r="167" spans="1:31" x14ac:dyDescent="0.85">
      <c r="A167" s="15"/>
      <c r="B167" s="15"/>
      <c r="C167" s="15"/>
      <c r="D167" s="15"/>
      <c r="E167" s="15"/>
      <c r="F167" s="15"/>
      <c r="G167" s="15"/>
      <c r="H167" s="15"/>
      <c r="I167" s="15"/>
      <c r="J167" s="15"/>
      <c r="K167" s="15"/>
      <c r="L167" s="747"/>
      <c r="M167" s="15"/>
      <c r="N167" s="15"/>
      <c r="O167" s="15"/>
      <c r="P167" s="15"/>
      <c r="Q167" s="15"/>
      <c r="R167" s="15"/>
      <c r="S167" s="15"/>
      <c r="T167" s="15"/>
      <c r="U167" s="15"/>
      <c r="V167" s="15"/>
      <c r="W167" s="15"/>
      <c r="X167" s="15"/>
      <c r="Y167" s="15"/>
      <c r="Z167" s="15"/>
      <c r="AA167" s="15"/>
      <c r="AB167" s="15"/>
      <c r="AC167" s="15"/>
      <c r="AD167" s="15"/>
      <c r="AE167" s="15"/>
    </row>
    <row r="168" spans="1:31" x14ac:dyDescent="0.85">
      <c r="A168" s="15"/>
      <c r="B168" s="15"/>
      <c r="C168" s="15"/>
      <c r="D168" s="15"/>
      <c r="E168" s="15"/>
      <c r="F168" s="15"/>
      <c r="G168" s="15"/>
      <c r="H168" s="15"/>
      <c r="I168" s="15"/>
      <c r="J168" s="15"/>
      <c r="K168" s="15"/>
      <c r="L168" s="747"/>
      <c r="M168" s="15"/>
      <c r="N168" s="15"/>
      <c r="O168" s="15"/>
      <c r="P168" s="15"/>
      <c r="Q168" s="15"/>
      <c r="R168" s="15"/>
      <c r="S168" s="15"/>
      <c r="T168" s="15"/>
      <c r="U168" s="15"/>
      <c r="V168" s="15"/>
      <c r="W168" s="15"/>
      <c r="X168" s="15"/>
      <c r="Y168" s="15"/>
      <c r="Z168" s="15"/>
      <c r="AA168" s="15"/>
      <c r="AB168" s="15"/>
      <c r="AC168" s="15"/>
      <c r="AD168" s="15"/>
      <c r="AE168" s="15"/>
    </row>
    <row r="169" spans="1:31" x14ac:dyDescent="0.85">
      <c r="A169" s="15"/>
      <c r="B169" s="15"/>
      <c r="C169" s="15"/>
      <c r="D169" s="15"/>
      <c r="E169" s="15"/>
      <c r="F169" s="15"/>
      <c r="G169" s="15"/>
      <c r="H169" s="15"/>
      <c r="I169" s="15"/>
      <c r="J169" s="15"/>
      <c r="K169" s="15"/>
      <c r="L169" s="747"/>
      <c r="M169" s="15"/>
      <c r="N169" s="15"/>
      <c r="O169" s="15"/>
      <c r="P169" s="15"/>
      <c r="Q169" s="15"/>
      <c r="R169" s="15"/>
      <c r="S169" s="15"/>
      <c r="T169" s="15"/>
      <c r="U169" s="15"/>
      <c r="V169" s="15"/>
      <c r="W169" s="15"/>
      <c r="X169" s="15"/>
      <c r="Y169" s="15"/>
      <c r="Z169" s="15"/>
      <c r="AA169" s="15"/>
      <c r="AB169" s="15"/>
      <c r="AC169" s="15"/>
      <c r="AD169" s="15"/>
      <c r="AE169" s="15"/>
    </row>
    <row r="170" spans="1:31" x14ac:dyDescent="0.85">
      <c r="A170" s="15"/>
      <c r="B170" s="15"/>
      <c r="C170" s="15"/>
      <c r="D170" s="15"/>
      <c r="E170" s="15"/>
      <c r="F170" s="15"/>
      <c r="G170" s="15"/>
      <c r="H170" s="15"/>
      <c r="I170" s="15"/>
      <c r="J170" s="15"/>
      <c r="K170" s="15"/>
      <c r="L170" s="747"/>
      <c r="M170" s="15"/>
      <c r="N170" s="15"/>
      <c r="O170" s="15"/>
      <c r="P170" s="15"/>
      <c r="Q170" s="15"/>
      <c r="R170" s="15"/>
      <c r="S170" s="15"/>
      <c r="T170" s="15"/>
      <c r="U170" s="15"/>
      <c r="V170" s="15"/>
      <c r="W170" s="15"/>
      <c r="X170" s="15"/>
      <c r="Y170" s="15"/>
      <c r="Z170" s="15"/>
      <c r="AA170" s="15"/>
      <c r="AB170" s="15"/>
      <c r="AC170" s="15"/>
      <c r="AD170" s="15"/>
      <c r="AE170" s="15"/>
    </row>
    <row r="171" spans="1:31" x14ac:dyDescent="0.85">
      <c r="A171" s="15"/>
      <c r="B171" s="15"/>
      <c r="C171" s="15"/>
      <c r="D171" s="15"/>
      <c r="E171" s="15"/>
      <c r="F171" s="15"/>
      <c r="G171" s="15"/>
      <c r="H171" s="15"/>
      <c r="I171" s="15"/>
      <c r="J171" s="15"/>
      <c r="K171" s="15"/>
      <c r="L171" s="747"/>
      <c r="M171" s="15"/>
      <c r="N171" s="15"/>
      <c r="O171" s="15"/>
      <c r="P171" s="15"/>
      <c r="Q171" s="15"/>
      <c r="R171" s="15"/>
      <c r="S171" s="15"/>
      <c r="T171" s="15"/>
      <c r="U171" s="15"/>
      <c r="V171" s="15"/>
      <c r="W171" s="15"/>
      <c r="X171" s="15"/>
      <c r="Y171" s="15"/>
      <c r="Z171" s="15"/>
      <c r="AA171" s="15"/>
      <c r="AB171" s="15"/>
      <c r="AC171" s="15"/>
      <c r="AD171" s="15"/>
      <c r="AE171" s="15"/>
    </row>
    <row r="172" spans="1:31" x14ac:dyDescent="0.85">
      <c r="A172" s="15"/>
      <c r="B172" s="15"/>
      <c r="C172" s="15"/>
      <c r="D172" s="15"/>
      <c r="E172" s="15"/>
      <c r="F172" s="15"/>
      <c r="G172" s="15"/>
      <c r="H172" s="15"/>
      <c r="I172" s="15"/>
      <c r="J172" s="15"/>
      <c r="K172" s="15"/>
      <c r="L172" s="747"/>
      <c r="M172" s="15"/>
      <c r="N172" s="15"/>
      <c r="O172" s="15"/>
      <c r="P172" s="15"/>
      <c r="Q172" s="15"/>
      <c r="R172" s="15"/>
      <c r="S172" s="15"/>
      <c r="T172" s="15"/>
      <c r="U172" s="15"/>
      <c r="V172" s="15"/>
      <c r="W172" s="15"/>
      <c r="X172" s="15"/>
      <c r="Y172" s="15"/>
      <c r="Z172" s="15"/>
      <c r="AA172" s="15"/>
      <c r="AB172" s="15"/>
      <c r="AC172" s="15"/>
      <c r="AD172" s="15"/>
      <c r="AE172" s="15"/>
    </row>
    <row r="173" spans="1:31" x14ac:dyDescent="0.85">
      <c r="A173" s="15"/>
      <c r="B173" s="15"/>
      <c r="C173" s="15"/>
      <c r="D173" s="15"/>
      <c r="E173" s="15"/>
      <c r="F173" s="15"/>
      <c r="G173" s="15"/>
      <c r="H173" s="15"/>
      <c r="I173" s="15"/>
      <c r="J173" s="15"/>
      <c r="K173" s="15"/>
      <c r="L173" s="747"/>
      <c r="M173" s="15"/>
      <c r="N173" s="15"/>
      <c r="O173" s="15"/>
      <c r="P173" s="15"/>
      <c r="Q173" s="15"/>
      <c r="R173" s="15"/>
      <c r="S173" s="15"/>
      <c r="T173" s="15"/>
      <c r="U173" s="15"/>
      <c r="V173" s="15"/>
      <c r="W173" s="15"/>
      <c r="X173" s="15"/>
      <c r="Y173" s="15"/>
      <c r="Z173" s="15"/>
      <c r="AA173" s="15"/>
      <c r="AB173" s="15"/>
      <c r="AC173" s="15"/>
      <c r="AD173" s="15"/>
      <c r="AE173" s="15"/>
    </row>
    <row r="174" spans="1:31" x14ac:dyDescent="0.85">
      <c r="A174" s="15"/>
      <c r="B174" s="15"/>
      <c r="C174" s="15"/>
      <c r="D174" s="15"/>
      <c r="E174" s="15"/>
      <c r="F174" s="15"/>
      <c r="G174" s="15"/>
      <c r="H174" s="15"/>
      <c r="I174" s="15"/>
      <c r="J174" s="15"/>
      <c r="K174" s="15"/>
      <c r="L174" s="747"/>
      <c r="M174" s="15"/>
      <c r="N174" s="15"/>
      <c r="O174" s="15"/>
      <c r="P174" s="15"/>
      <c r="Q174" s="15"/>
      <c r="R174" s="15"/>
      <c r="S174" s="15"/>
      <c r="T174" s="15"/>
      <c r="U174" s="15"/>
      <c r="V174" s="15"/>
      <c r="W174" s="15"/>
      <c r="X174" s="15"/>
      <c r="Y174" s="15"/>
      <c r="Z174" s="15"/>
      <c r="AA174" s="15"/>
      <c r="AB174" s="15"/>
      <c r="AC174" s="15"/>
      <c r="AD174" s="15"/>
      <c r="AE174" s="15"/>
    </row>
    <row r="175" spans="1:31" x14ac:dyDescent="0.85">
      <c r="A175" s="15"/>
      <c r="B175" s="15"/>
      <c r="C175" s="15"/>
      <c r="D175" s="15"/>
      <c r="E175" s="15"/>
      <c r="F175" s="15"/>
      <c r="G175" s="15"/>
      <c r="H175" s="15"/>
      <c r="I175" s="15"/>
      <c r="J175" s="15"/>
      <c r="K175" s="15"/>
      <c r="L175" s="747"/>
      <c r="M175" s="15"/>
      <c r="N175" s="15"/>
      <c r="O175" s="15"/>
      <c r="P175" s="15"/>
      <c r="Q175" s="15"/>
      <c r="R175" s="15"/>
      <c r="S175" s="15"/>
      <c r="T175" s="15"/>
      <c r="U175" s="15"/>
      <c r="V175" s="15"/>
      <c r="W175" s="15"/>
      <c r="X175" s="15"/>
      <c r="Y175" s="15"/>
      <c r="Z175" s="15"/>
      <c r="AA175" s="15"/>
      <c r="AB175" s="15"/>
      <c r="AC175" s="15"/>
      <c r="AD175" s="15"/>
      <c r="AE175" s="15"/>
    </row>
    <row r="176" spans="1:31" x14ac:dyDescent="0.85">
      <c r="A176" s="15"/>
      <c r="B176" s="15"/>
      <c r="C176" s="15"/>
      <c r="D176" s="15"/>
      <c r="E176" s="15"/>
      <c r="F176" s="15"/>
      <c r="G176" s="15"/>
      <c r="H176" s="15"/>
      <c r="I176" s="15"/>
      <c r="J176" s="15"/>
      <c r="K176" s="15"/>
      <c r="L176" s="747"/>
      <c r="M176" s="15"/>
      <c r="N176" s="15"/>
      <c r="O176" s="15"/>
      <c r="P176" s="15"/>
      <c r="Q176" s="15"/>
      <c r="R176" s="15"/>
      <c r="S176" s="15"/>
      <c r="T176" s="15"/>
      <c r="U176" s="15"/>
      <c r="V176" s="15"/>
      <c r="W176" s="15"/>
      <c r="X176" s="15"/>
      <c r="Y176" s="15"/>
      <c r="Z176" s="15"/>
      <c r="AA176" s="15"/>
      <c r="AB176" s="15"/>
      <c r="AC176" s="15"/>
      <c r="AD176" s="15"/>
      <c r="AE176" s="15"/>
    </row>
    <row r="177" spans="1:31" x14ac:dyDescent="0.85">
      <c r="A177" s="15"/>
      <c r="B177" s="15"/>
      <c r="C177" s="15"/>
      <c r="D177" s="15"/>
      <c r="E177" s="15"/>
      <c r="F177" s="15"/>
      <c r="G177" s="15"/>
      <c r="H177" s="15"/>
      <c r="I177" s="15"/>
      <c r="J177" s="15"/>
      <c r="K177" s="15"/>
      <c r="L177" s="747"/>
      <c r="M177" s="15"/>
      <c r="N177" s="15"/>
      <c r="O177" s="15"/>
      <c r="P177" s="15"/>
      <c r="Q177" s="15"/>
      <c r="R177" s="15"/>
      <c r="S177" s="15"/>
      <c r="T177" s="15"/>
      <c r="U177" s="15"/>
      <c r="V177" s="15"/>
      <c r="W177" s="15"/>
      <c r="X177" s="15"/>
      <c r="Y177" s="15"/>
      <c r="Z177" s="15"/>
      <c r="AA177" s="15"/>
      <c r="AB177" s="15"/>
      <c r="AC177" s="15"/>
      <c r="AD177" s="15"/>
      <c r="AE177" s="15"/>
    </row>
    <row r="178" spans="1:31" x14ac:dyDescent="0.85">
      <c r="A178" s="15"/>
      <c r="B178" s="15"/>
      <c r="C178" s="15"/>
      <c r="D178" s="15"/>
      <c r="E178" s="15"/>
      <c r="F178" s="15"/>
      <c r="G178" s="15"/>
      <c r="H178" s="15"/>
      <c r="I178" s="15"/>
      <c r="J178" s="15"/>
      <c r="K178" s="15"/>
      <c r="L178" s="747"/>
      <c r="M178" s="15"/>
      <c r="N178" s="15"/>
      <c r="O178" s="15"/>
      <c r="P178" s="15"/>
      <c r="Q178" s="15"/>
      <c r="R178" s="15"/>
      <c r="S178" s="15"/>
      <c r="T178" s="15"/>
      <c r="U178" s="15"/>
      <c r="V178" s="15"/>
      <c r="W178" s="15"/>
      <c r="X178" s="15"/>
      <c r="Y178" s="15"/>
      <c r="Z178" s="15"/>
      <c r="AA178" s="15"/>
      <c r="AB178" s="15"/>
      <c r="AC178" s="15"/>
      <c r="AD178" s="15"/>
      <c r="AE178" s="15"/>
    </row>
    <row r="179" spans="1:31" x14ac:dyDescent="0.85">
      <c r="A179" s="15"/>
      <c r="B179" s="15"/>
      <c r="C179" s="15"/>
      <c r="D179" s="15"/>
      <c r="E179" s="15"/>
      <c r="F179" s="15"/>
      <c r="G179" s="15"/>
      <c r="H179" s="15"/>
      <c r="I179" s="15"/>
      <c r="J179" s="15"/>
      <c r="K179" s="15"/>
      <c r="L179" s="747"/>
      <c r="M179" s="15"/>
      <c r="N179" s="15"/>
      <c r="O179" s="15"/>
      <c r="P179" s="15"/>
      <c r="Q179" s="15"/>
      <c r="R179" s="15"/>
      <c r="S179" s="15"/>
      <c r="T179" s="15"/>
      <c r="U179" s="15"/>
      <c r="V179" s="15"/>
      <c r="W179" s="15"/>
      <c r="X179" s="15"/>
      <c r="Y179" s="15"/>
      <c r="Z179" s="15"/>
      <c r="AA179" s="15"/>
      <c r="AB179" s="15"/>
      <c r="AC179" s="15"/>
      <c r="AD179" s="15"/>
      <c r="AE179" s="15"/>
    </row>
    <row r="180" spans="1:31" x14ac:dyDescent="0.85">
      <c r="A180" s="15"/>
      <c r="B180" s="15"/>
      <c r="C180" s="15"/>
      <c r="D180" s="15"/>
      <c r="E180" s="15"/>
      <c r="F180" s="15"/>
      <c r="G180" s="15"/>
      <c r="H180" s="15"/>
      <c r="I180" s="15"/>
      <c r="J180" s="15"/>
      <c r="K180" s="15"/>
      <c r="L180" s="747"/>
      <c r="M180" s="15"/>
      <c r="N180" s="15"/>
      <c r="O180" s="15"/>
      <c r="P180" s="15"/>
      <c r="Q180" s="15"/>
      <c r="R180" s="15"/>
      <c r="S180" s="15"/>
      <c r="T180" s="15"/>
      <c r="U180" s="15"/>
      <c r="V180" s="15"/>
      <c r="W180" s="15"/>
      <c r="X180" s="15"/>
      <c r="Y180" s="15"/>
      <c r="Z180" s="15"/>
      <c r="AA180" s="15"/>
      <c r="AB180" s="15"/>
      <c r="AC180" s="15"/>
      <c r="AD180" s="15"/>
      <c r="AE180" s="15"/>
    </row>
    <row r="181" spans="1:31" x14ac:dyDescent="0.85">
      <c r="A181" s="15"/>
      <c r="B181" s="15"/>
      <c r="C181" s="15"/>
      <c r="D181" s="15"/>
      <c r="E181" s="15"/>
      <c r="F181" s="15"/>
      <c r="G181" s="15"/>
      <c r="H181" s="15"/>
      <c r="I181" s="15"/>
      <c r="J181" s="15"/>
      <c r="K181" s="15"/>
      <c r="L181" s="747"/>
      <c r="M181" s="15"/>
      <c r="N181" s="15"/>
      <c r="O181" s="15"/>
      <c r="P181" s="15"/>
      <c r="Q181" s="15"/>
      <c r="R181" s="15"/>
      <c r="S181" s="15"/>
      <c r="T181" s="15"/>
      <c r="U181" s="15"/>
      <c r="V181" s="15"/>
      <c r="W181" s="15"/>
      <c r="X181" s="15"/>
      <c r="Y181" s="15"/>
      <c r="Z181" s="15"/>
      <c r="AA181" s="15"/>
      <c r="AB181" s="15"/>
      <c r="AC181" s="15"/>
      <c r="AD181" s="15"/>
      <c r="AE181" s="15"/>
    </row>
    <row r="182" spans="1:31" x14ac:dyDescent="0.85">
      <c r="A182" s="15"/>
      <c r="B182" s="15"/>
      <c r="C182" s="15"/>
      <c r="D182" s="15"/>
      <c r="E182" s="15"/>
      <c r="F182" s="15"/>
      <c r="G182" s="15"/>
      <c r="H182" s="15"/>
      <c r="I182" s="15"/>
      <c r="J182" s="15"/>
      <c r="K182" s="15"/>
      <c r="L182" s="747"/>
      <c r="M182" s="15"/>
      <c r="N182" s="15"/>
      <c r="O182" s="15"/>
      <c r="P182" s="15"/>
      <c r="Q182" s="15"/>
      <c r="R182" s="15"/>
      <c r="S182" s="15"/>
      <c r="T182" s="15"/>
      <c r="U182" s="15"/>
      <c r="V182" s="15"/>
      <c r="W182" s="15"/>
      <c r="X182" s="15"/>
      <c r="Y182" s="15"/>
      <c r="Z182" s="15"/>
      <c r="AA182" s="15"/>
      <c r="AB182" s="15"/>
      <c r="AC182" s="15"/>
      <c r="AD182" s="15"/>
      <c r="AE182" s="15"/>
    </row>
    <row r="183" spans="1:31" x14ac:dyDescent="0.85">
      <c r="A183" s="15"/>
      <c r="B183" s="15"/>
      <c r="C183" s="15"/>
      <c r="D183" s="15"/>
      <c r="E183" s="15"/>
      <c r="F183" s="15"/>
      <c r="G183" s="15"/>
      <c r="H183" s="15"/>
      <c r="I183" s="15"/>
      <c r="J183" s="15"/>
      <c r="K183" s="15"/>
      <c r="L183" s="747"/>
      <c r="M183" s="15"/>
      <c r="N183" s="15"/>
      <c r="O183" s="15"/>
      <c r="P183" s="15"/>
      <c r="Q183" s="15"/>
      <c r="R183" s="15"/>
      <c r="S183" s="15"/>
      <c r="T183" s="15"/>
      <c r="U183" s="15"/>
      <c r="V183" s="15"/>
      <c r="W183" s="15"/>
      <c r="X183" s="15"/>
      <c r="Y183" s="15"/>
      <c r="Z183" s="15"/>
      <c r="AA183" s="15"/>
      <c r="AB183" s="15"/>
      <c r="AC183" s="15"/>
      <c r="AD183" s="15"/>
      <c r="AE183" s="15"/>
    </row>
    <row r="184" spans="1:31" x14ac:dyDescent="0.85">
      <c r="A184" s="15"/>
      <c r="B184" s="15"/>
      <c r="C184" s="15"/>
      <c r="D184" s="15"/>
      <c r="E184" s="15"/>
      <c r="F184" s="15"/>
      <c r="G184" s="15"/>
      <c r="H184" s="15"/>
      <c r="I184" s="15"/>
      <c r="J184" s="15"/>
      <c r="K184" s="15"/>
      <c r="L184" s="747"/>
      <c r="M184" s="15"/>
      <c r="N184" s="15"/>
      <c r="O184" s="15"/>
      <c r="P184" s="15"/>
      <c r="Q184" s="15"/>
      <c r="R184" s="15"/>
      <c r="S184" s="15"/>
      <c r="T184" s="15"/>
      <c r="U184" s="15"/>
      <c r="V184" s="15"/>
      <c r="W184" s="15"/>
      <c r="X184" s="15"/>
      <c r="Y184" s="15"/>
      <c r="Z184" s="15"/>
      <c r="AA184" s="15"/>
      <c r="AB184" s="15"/>
      <c r="AC184" s="15"/>
      <c r="AD184" s="15"/>
      <c r="AE184" s="15"/>
    </row>
    <row r="185" spans="1:31" x14ac:dyDescent="0.85">
      <c r="A185" s="15"/>
      <c r="B185" s="15"/>
      <c r="C185" s="15"/>
      <c r="D185" s="15"/>
      <c r="E185" s="15"/>
      <c r="F185" s="15"/>
      <c r="G185" s="15"/>
      <c r="H185" s="15"/>
      <c r="I185" s="15"/>
      <c r="J185" s="15"/>
      <c r="K185" s="15"/>
      <c r="L185" s="747"/>
      <c r="M185" s="15"/>
      <c r="N185" s="15"/>
      <c r="O185" s="15"/>
      <c r="P185" s="15"/>
      <c r="Q185" s="15"/>
      <c r="R185" s="15"/>
      <c r="S185" s="15"/>
      <c r="T185" s="15"/>
      <c r="U185" s="15"/>
      <c r="V185" s="15"/>
      <c r="W185" s="15"/>
      <c r="X185" s="15"/>
      <c r="Y185" s="15"/>
      <c r="Z185" s="15"/>
      <c r="AA185" s="15"/>
      <c r="AB185" s="15"/>
      <c r="AC185" s="15"/>
      <c r="AD185" s="15"/>
      <c r="AE185" s="15"/>
    </row>
    <row r="186" spans="1:31" x14ac:dyDescent="0.85">
      <c r="A186" s="15"/>
      <c r="B186" s="15"/>
      <c r="C186" s="15"/>
      <c r="D186" s="15"/>
      <c r="E186" s="15"/>
      <c r="F186" s="15"/>
      <c r="G186" s="15"/>
      <c r="H186" s="15"/>
      <c r="I186" s="15"/>
      <c r="J186" s="15"/>
      <c r="K186" s="15"/>
      <c r="L186" s="747"/>
      <c r="M186" s="15"/>
      <c r="N186" s="15"/>
      <c r="O186" s="15"/>
      <c r="P186" s="15"/>
      <c r="Q186" s="15"/>
      <c r="R186" s="15"/>
      <c r="S186" s="15"/>
      <c r="T186" s="15"/>
      <c r="U186" s="15"/>
      <c r="V186" s="15"/>
      <c r="W186" s="15"/>
      <c r="X186" s="15"/>
      <c r="Y186" s="15"/>
      <c r="Z186" s="15"/>
      <c r="AA186" s="15"/>
      <c r="AB186" s="15"/>
      <c r="AC186" s="15"/>
      <c r="AD186" s="15"/>
      <c r="AE186" s="15"/>
    </row>
    <row r="187" spans="1:31" x14ac:dyDescent="0.85">
      <c r="A187" s="15"/>
      <c r="B187" s="15"/>
      <c r="C187" s="15"/>
      <c r="D187" s="15"/>
      <c r="E187" s="15"/>
      <c r="F187" s="15"/>
      <c r="G187" s="15"/>
      <c r="H187" s="15"/>
      <c r="I187" s="15"/>
      <c r="J187" s="15"/>
      <c r="K187" s="15"/>
      <c r="L187" s="747"/>
      <c r="M187" s="15"/>
      <c r="N187" s="15"/>
      <c r="O187" s="15"/>
      <c r="P187" s="15"/>
      <c r="Q187" s="15"/>
      <c r="R187" s="15"/>
      <c r="S187" s="15"/>
      <c r="T187" s="15"/>
      <c r="U187" s="15"/>
      <c r="V187" s="15"/>
      <c r="W187" s="15"/>
      <c r="X187" s="15"/>
      <c r="Y187" s="15"/>
      <c r="Z187" s="15"/>
      <c r="AA187" s="15"/>
      <c r="AB187" s="15"/>
      <c r="AC187" s="15"/>
      <c r="AD187" s="15"/>
      <c r="AE187" s="15"/>
    </row>
    <row r="188" spans="1:31" x14ac:dyDescent="0.85">
      <c r="A188" s="15"/>
      <c r="B188" s="15"/>
      <c r="C188" s="15"/>
      <c r="D188" s="15"/>
      <c r="E188" s="15"/>
      <c r="F188" s="15"/>
      <c r="G188" s="15"/>
      <c r="H188" s="15"/>
      <c r="I188" s="15"/>
      <c r="J188" s="15"/>
      <c r="K188" s="15"/>
      <c r="L188" s="747"/>
      <c r="M188" s="15"/>
      <c r="N188" s="15"/>
      <c r="O188" s="15"/>
      <c r="P188" s="15"/>
      <c r="Q188" s="15"/>
      <c r="R188" s="15"/>
      <c r="S188" s="15"/>
      <c r="T188" s="15"/>
      <c r="U188" s="15"/>
      <c r="V188" s="15"/>
      <c r="W188" s="15"/>
      <c r="X188" s="15"/>
      <c r="Y188" s="15"/>
      <c r="Z188" s="15"/>
      <c r="AA188" s="15"/>
      <c r="AB188" s="15"/>
      <c r="AC188" s="15"/>
      <c r="AD188" s="15"/>
      <c r="AE188" s="15"/>
    </row>
    <row r="189" spans="1:31" x14ac:dyDescent="0.85">
      <c r="A189" s="15"/>
      <c r="B189" s="15"/>
      <c r="C189" s="15"/>
      <c r="D189" s="15"/>
      <c r="E189" s="15"/>
      <c r="F189" s="15"/>
      <c r="G189" s="15"/>
      <c r="H189" s="15"/>
      <c r="I189" s="15"/>
      <c r="J189" s="15"/>
      <c r="K189" s="15"/>
      <c r="L189" s="747"/>
      <c r="M189" s="15"/>
      <c r="N189" s="15"/>
      <c r="O189" s="15"/>
      <c r="P189" s="15"/>
      <c r="Q189" s="15"/>
      <c r="R189" s="15"/>
      <c r="S189" s="15"/>
      <c r="T189" s="15"/>
      <c r="U189" s="15"/>
      <c r="V189" s="15"/>
      <c r="W189" s="15"/>
      <c r="X189" s="15"/>
      <c r="Y189" s="15"/>
      <c r="Z189" s="15"/>
      <c r="AA189" s="15"/>
      <c r="AB189" s="15"/>
      <c r="AC189" s="15"/>
      <c r="AD189" s="15"/>
      <c r="AE189" s="15"/>
    </row>
    <row r="190" spans="1:31" x14ac:dyDescent="0.85">
      <c r="A190" s="15"/>
      <c r="B190" s="15"/>
      <c r="C190" s="15"/>
      <c r="D190" s="15"/>
      <c r="E190" s="15"/>
      <c r="F190" s="15"/>
      <c r="G190" s="15"/>
      <c r="H190" s="15"/>
      <c r="I190" s="15"/>
      <c r="J190" s="15"/>
      <c r="K190" s="15"/>
      <c r="L190" s="747"/>
      <c r="M190" s="15"/>
      <c r="N190" s="15"/>
      <c r="O190" s="15"/>
      <c r="P190" s="15"/>
      <c r="Q190" s="15"/>
      <c r="R190" s="15"/>
      <c r="S190" s="15"/>
      <c r="T190" s="15"/>
      <c r="U190" s="15"/>
      <c r="V190" s="15"/>
      <c r="W190" s="15"/>
      <c r="X190" s="15"/>
      <c r="Y190" s="15"/>
      <c r="Z190" s="15"/>
      <c r="AA190" s="15"/>
      <c r="AB190" s="15"/>
      <c r="AC190" s="15"/>
      <c r="AD190" s="15"/>
      <c r="AE190" s="15"/>
    </row>
    <row r="191" spans="1:31" x14ac:dyDescent="0.85">
      <c r="A191" s="15"/>
      <c r="B191" s="15"/>
      <c r="C191" s="15"/>
      <c r="D191" s="15"/>
      <c r="E191" s="15"/>
      <c r="F191" s="15"/>
      <c r="G191" s="15"/>
      <c r="H191" s="15"/>
      <c r="I191" s="15"/>
      <c r="J191" s="15"/>
      <c r="K191" s="15"/>
      <c r="L191" s="747"/>
      <c r="M191" s="15"/>
      <c r="N191" s="15"/>
      <c r="O191" s="15"/>
      <c r="P191" s="15"/>
      <c r="Q191" s="15"/>
      <c r="R191" s="15"/>
      <c r="S191" s="15"/>
      <c r="T191" s="15"/>
      <c r="U191" s="15"/>
      <c r="V191" s="15"/>
      <c r="W191" s="15"/>
      <c r="X191" s="15"/>
      <c r="Y191" s="15"/>
      <c r="Z191" s="15"/>
      <c r="AA191" s="15"/>
      <c r="AB191" s="15"/>
      <c r="AC191" s="15"/>
      <c r="AD191" s="15"/>
      <c r="AE191" s="15"/>
    </row>
    <row r="192" spans="1:31" x14ac:dyDescent="0.85">
      <c r="A192" s="15"/>
      <c r="B192" s="15"/>
      <c r="C192" s="15"/>
      <c r="D192" s="15"/>
      <c r="E192" s="15"/>
      <c r="F192" s="15"/>
      <c r="G192" s="15"/>
      <c r="H192" s="15"/>
      <c r="I192" s="15"/>
      <c r="J192" s="15"/>
      <c r="K192" s="15"/>
      <c r="L192" s="747"/>
      <c r="M192" s="15"/>
      <c r="N192" s="15"/>
      <c r="O192" s="15"/>
      <c r="P192" s="15"/>
      <c r="Q192" s="15"/>
      <c r="R192" s="15"/>
      <c r="S192" s="15"/>
      <c r="T192" s="15"/>
      <c r="U192" s="15"/>
      <c r="V192" s="15"/>
      <c r="W192" s="15"/>
      <c r="X192" s="15"/>
      <c r="Y192" s="15"/>
      <c r="Z192" s="15"/>
      <c r="AA192" s="15"/>
      <c r="AB192" s="15"/>
      <c r="AC192" s="15"/>
      <c r="AD192" s="15"/>
      <c r="AE192" s="15"/>
    </row>
    <row r="193" spans="1:31" x14ac:dyDescent="0.85">
      <c r="A193" s="15"/>
      <c r="B193" s="15"/>
      <c r="C193" s="15"/>
      <c r="D193" s="15"/>
      <c r="E193" s="15"/>
      <c r="F193" s="15"/>
      <c r="G193" s="15"/>
      <c r="H193" s="15"/>
      <c r="I193" s="15"/>
      <c r="J193" s="15"/>
      <c r="K193" s="15"/>
      <c r="L193" s="747"/>
      <c r="M193" s="15"/>
      <c r="N193" s="15"/>
      <c r="O193" s="15"/>
      <c r="P193" s="15"/>
      <c r="Q193" s="15"/>
      <c r="R193" s="15"/>
      <c r="S193" s="15"/>
      <c r="T193" s="15"/>
      <c r="U193" s="15"/>
      <c r="V193" s="15"/>
      <c r="W193" s="15"/>
      <c r="X193" s="15"/>
      <c r="Y193" s="15"/>
      <c r="Z193" s="15"/>
      <c r="AA193" s="15"/>
      <c r="AB193" s="15"/>
      <c r="AC193" s="15"/>
      <c r="AD193" s="15"/>
      <c r="AE193" s="15"/>
    </row>
    <row r="194" spans="1:31" x14ac:dyDescent="0.85">
      <c r="A194" s="15"/>
      <c r="B194" s="15"/>
      <c r="C194" s="15"/>
      <c r="D194" s="15"/>
      <c r="E194" s="15"/>
      <c r="F194" s="15"/>
      <c r="G194" s="15"/>
      <c r="H194" s="15"/>
      <c r="I194" s="15"/>
      <c r="J194" s="15"/>
      <c r="K194" s="15"/>
      <c r="L194" s="747"/>
      <c r="M194" s="15"/>
      <c r="N194" s="15"/>
      <c r="O194" s="15"/>
      <c r="P194" s="15"/>
      <c r="Q194" s="15"/>
      <c r="R194" s="15"/>
      <c r="S194" s="15"/>
      <c r="T194" s="15"/>
      <c r="U194" s="15"/>
      <c r="V194" s="15"/>
      <c r="W194" s="15"/>
      <c r="X194" s="15"/>
      <c r="Y194" s="15"/>
      <c r="Z194" s="15"/>
      <c r="AA194" s="15"/>
      <c r="AB194" s="15"/>
      <c r="AC194" s="15"/>
      <c r="AD194" s="15"/>
      <c r="AE194" s="15"/>
    </row>
    <row r="195" spans="1:31" x14ac:dyDescent="0.85">
      <c r="A195" s="15"/>
      <c r="B195" s="15"/>
      <c r="C195" s="15"/>
      <c r="D195" s="15"/>
      <c r="E195" s="15"/>
      <c r="F195" s="15"/>
      <c r="G195" s="15"/>
      <c r="H195" s="15"/>
      <c r="I195" s="15"/>
      <c r="J195" s="15"/>
      <c r="K195" s="15"/>
      <c r="L195" s="747"/>
      <c r="M195" s="15"/>
      <c r="N195" s="15"/>
      <c r="O195" s="15"/>
      <c r="P195" s="15"/>
      <c r="Q195" s="15"/>
      <c r="R195" s="15"/>
      <c r="S195" s="15"/>
      <c r="T195" s="15"/>
      <c r="U195" s="15"/>
      <c r="V195" s="15"/>
      <c r="W195" s="15"/>
      <c r="X195" s="15"/>
      <c r="Y195" s="15"/>
      <c r="Z195" s="15"/>
      <c r="AA195" s="15"/>
      <c r="AB195" s="15"/>
      <c r="AC195" s="15"/>
      <c r="AD195" s="15"/>
      <c r="AE195" s="15"/>
    </row>
    <row r="196" spans="1:31" x14ac:dyDescent="0.85">
      <c r="A196" s="15"/>
      <c r="B196" s="15"/>
      <c r="C196" s="15"/>
      <c r="D196" s="15"/>
      <c r="E196" s="15"/>
      <c r="F196" s="15"/>
      <c r="G196" s="15"/>
      <c r="H196" s="15"/>
      <c r="I196" s="15"/>
      <c r="J196" s="15"/>
      <c r="K196" s="15"/>
      <c r="L196" s="747"/>
      <c r="M196" s="15"/>
      <c r="N196" s="15"/>
      <c r="O196" s="15"/>
      <c r="P196" s="15"/>
      <c r="Q196" s="15"/>
      <c r="R196" s="15"/>
      <c r="S196" s="15"/>
      <c r="T196" s="15"/>
      <c r="U196" s="15"/>
      <c r="V196" s="15"/>
      <c r="W196" s="15"/>
      <c r="X196" s="15"/>
      <c r="Y196" s="15"/>
      <c r="Z196" s="15"/>
      <c r="AA196" s="15"/>
      <c r="AB196" s="15"/>
      <c r="AC196" s="15"/>
      <c r="AD196" s="15"/>
      <c r="AE196" s="15"/>
    </row>
    <row r="197" spans="1:31" x14ac:dyDescent="0.85">
      <c r="A197" s="15"/>
      <c r="B197" s="15"/>
      <c r="C197" s="15"/>
      <c r="D197" s="15"/>
      <c r="E197" s="15"/>
      <c r="F197" s="15"/>
      <c r="G197" s="15"/>
      <c r="H197" s="15"/>
      <c r="I197" s="15"/>
      <c r="J197" s="15"/>
      <c r="K197" s="15"/>
      <c r="L197" s="747"/>
      <c r="M197" s="15"/>
      <c r="N197" s="15"/>
      <c r="O197" s="15"/>
      <c r="P197" s="15"/>
      <c r="Q197" s="15"/>
      <c r="R197" s="15"/>
      <c r="S197" s="15"/>
      <c r="T197" s="15"/>
      <c r="U197" s="15"/>
      <c r="V197" s="15"/>
      <c r="W197" s="15"/>
      <c r="X197" s="15"/>
      <c r="Y197" s="15"/>
      <c r="Z197" s="15"/>
      <c r="AA197" s="15"/>
      <c r="AB197" s="15"/>
      <c r="AC197" s="15"/>
      <c r="AD197" s="15"/>
      <c r="AE197" s="15"/>
    </row>
    <row r="198" spans="1:31" x14ac:dyDescent="0.85">
      <c r="A198" s="15"/>
      <c r="B198" s="15"/>
      <c r="C198" s="15"/>
      <c r="D198" s="15"/>
      <c r="E198" s="15"/>
      <c r="F198" s="15"/>
      <c r="G198" s="15"/>
      <c r="H198" s="15"/>
      <c r="I198" s="15"/>
      <c r="J198" s="15"/>
      <c r="K198" s="15"/>
      <c r="L198" s="747"/>
      <c r="M198" s="15"/>
      <c r="N198" s="15"/>
      <c r="O198" s="15"/>
      <c r="P198" s="15"/>
      <c r="Q198" s="15"/>
      <c r="R198" s="15"/>
      <c r="S198" s="15"/>
      <c r="T198" s="15"/>
      <c r="U198" s="15"/>
      <c r="V198" s="15"/>
      <c r="W198" s="15"/>
      <c r="X198" s="15"/>
      <c r="Y198" s="15"/>
      <c r="Z198" s="15"/>
      <c r="AA198" s="15"/>
      <c r="AB198" s="15"/>
      <c r="AC198" s="15"/>
      <c r="AD198" s="15"/>
      <c r="AE198" s="15"/>
    </row>
    <row r="199" spans="1:31" x14ac:dyDescent="0.85">
      <c r="A199" s="15"/>
      <c r="B199" s="15"/>
      <c r="C199" s="15"/>
      <c r="D199" s="15"/>
      <c r="E199" s="15"/>
      <c r="F199" s="15"/>
      <c r="G199" s="15"/>
      <c r="H199" s="15"/>
      <c r="I199" s="15"/>
      <c r="J199" s="15"/>
      <c r="K199" s="15"/>
      <c r="L199" s="747"/>
      <c r="M199" s="15"/>
      <c r="N199" s="15"/>
      <c r="O199" s="15"/>
      <c r="P199" s="15"/>
      <c r="Q199" s="15"/>
      <c r="R199" s="15"/>
      <c r="S199" s="15"/>
      <c r="T199" s="15"/>
      <c r="U199" s="15"/>
      <c r="V199" s="15"/>
      <c r="W199" s="15"/>
      <c r="X199" s="15"/>
      <c r="Y199" s="15"/>
      <c r="Z199" s="15"/>
      <c r="AA199" s="15"/>
      <c r="AB199" s="15"/>
      <c r="AC199" s="15"/>
      <c r="AD199" s="15"/>
      <c r="AE199" s="15"/>
    </row>
    <row r="200" spans="1:31" x14ac:dyDescent="0.85">
      <c r="A200" s="15"/>
      <c r="B200" s="15"/>
      <c r="C200" s="15"/>
      <c r="D200" s="15"/>
      <c r="E200" s="15"/>
      <c r="F200" s="15"/>
      <c r="G200" s="15"/>
      <c r="H200" s="15"/>
      <c r="I200" s="15"/>
      <c r="J200" s="15"/>
      <c r="K200" s="15"/>
      <c r="L200" s="747"/>
      <c r="M200" s="15"/>
      <c r="N200" s="15"/>
      <c r="O200" s="15"/>
      <c r="P200" s="15"/>
      <c r="Q200" s="15"/>
      <c r="R200" s="15"/>
      <c r="S200" s="15"/>
      <c r="T200" s="15"/>
      <c r="U200" s="15"/>
      <c r="V200" s="15"/>
      <c r="W200" s="15"/>
      <c r="X200" s="15"/>
      <c r="Y200" s="15"/>
      <c r="Z200" s="15"/>
      <c r="AA200" s="15"/>
      <c r="AB200" s="15"/>
      <c r="AC200" s="15"/>
      <c r="AD200" s="15"/>
      <c r="AE200" s="15"/>
    </row>
    <row r="201" spans="1:31" x14ac:dyDescent="0.85">
      <c r="A201" s="15"/>
      <c r="B201" s="15"/>
      <c r="C201" s="15"/>
      <c r="D201" s="15"/>
      <c r="E201" s="15"/>
      <c r="F201" s="15"/>
      <c r="G201" s="15"/>
      <c r="H201" s="15"/>
      <c r="I201" s="15"/>
      <c r="J201" s="15"/>
      <c r="K201" s="15"/>
      <c r="L201" s="747"/>
      <c r="M201" s="15"/>
      <c r="N201" s="15"/>
      <c r="O201" s="15"/>
      <c r="P201" s="15"/>
      <c r="Q201" s="15"/>
      <c r="R201" s="15"/>
      <c r="S201" s="15"/>
      <c r="T201" s="15"/>
      <c r="U201" s="15"/>
      <c r="V201" s="15"/>
      <c r="W201" s="15"/>
      <c r="X201" s="15"/>
      <c r="Y201" s="15"/>
      <c r="Z201" s="15"/>
      <c r="AA201" s="15"/>
      <c r="AB201" s="15"/>
      <c r="AC201" s="15"/>
      <c r="AD201" s="15"/>
      <c r="AE201" s="15"/>
    </row>
    <row r="202" spans="1:31" x14ac:dyDescent="0.85">
      <c r="A202" s="15"/>
      <c r="B202" s="15"/>
      <c r="C202" s="15"/>
      <c r="D202" s="15"/>
      <c r="E202" s="15"/>
      <c r="F202" s="15"/>
      <c r="G202" s="15"/>
      <c r="H202" s="15"/>
      <c r="I202" s="15"/>
      <c r="J202" s="15"/>
      <c r="K202" s="15"/>
      <c r="L202" s="747"/>
      <c r="M202" s="15"/>
      <c r="N202" s="15"/>
      <c r="O202" s="15"/>
      <c r="P202" s="15"/>
      <c r="Q202" s="15"/>
      <c r="R202" s="15"/>
      <c r="S202" s="15"/>
      <c r="T202" s="15"/>
      <c r="U202" s="15"/>
      <c r="V202" s="15"/>
      <c r="W202" s="15"/>
      <c r="X202" s="15"/>
      <c r="Y202" s="15"/>
      <c r="Z202" s="15"/>
      <c r="AA202" s="15"/>
      <c r="AB202" s="15"/>
      <c r="AC202" s="15"/>
      <c r="AD202" s="15"/>
      <c r="AE202" s="15"/>
    </row>
    <row r="203" spans="1:31" x14ac:dyDescent="0.85">
      <c r="A203" s="15"/>
      <c r="B203" s="15"/>
      <c r="C203" s="15"/>
      <c r="D203" s="15"/>
      <c r="E203" s="15"/>
      <c r="F203" s="15"/>
      <c r="G203" s="15"/>
      <c r="H203" s="15"/>
      <c r="I203" s="15"/>
      <c r="J203" s="15"/>
      <c r="K203" s="15"/>
      <c r="L203" s="747"/>
      <c r="M203" s="15"/>
      <c r="N203" s="15"/>
      <c r="O203" s="15"/>
      <c r="P203" s="15"/>
      <c r="Q203" s="15"/>
      <c r="R203" s="15"/>
      <c r="S203" s="15"/>
      <c r="T203" s="15"/>
      <c r="U203" s="15"/>
      <c r="V203" s="15"/>
      <c r="W203" s="15"/>
      <c r="X203" s="15"/>
      <c r="Y203" s="15"/>
      <c r="Z203" s="15"/>
      <c r="AA203" s="15"/>
      <c r="AB203" s="15"/>
      <c r="AC203" s="15"/>
      <c r="AD203" s="15"/>
      <c r="AE203" s="15"/>
    </row>
    <row r="204" spans="1:31" x14ac:dyDescent="0.85">
      <c r="A204" s="15"/>
      <c r="B204" s="15"/>
      <c r="C204" s="15"/>
      <c r="D204" s="15"/>
      <c r="E204" s="15"/>
      <c r="F204" s="15"/>
      <c r="G204" s="15"/>
      <c r="H204" s="15"/>
      <c r="I204" s="15"/>
      <c r="J204" s="15"/>
      <c r="K204" s="15"/>
      <c r="L204" s="747"/>
      <c r="M204" s="15"/>
      <c r="N204" s="15"/>
      <c r="O204" s="15"/>
      <c r="P204" s="15"/>
      <c r="Q204" s="15"/>
      <c r="R204" s="15"/>
      <c r="S204" s="15"/>
      <c r="T204" s="15"/>
      <c r="U204" s="15"/>
      <c r="V204" s="15"/>
      <c r="W204" s="15"/>
      <c r="X204" s="15"/>
      <c r="Y204" s="15"/>
      <c r="Z204" s="15"/>
      <c r="AA204" s="15"/>
      <c r="AB204" s="15"/>
      <c r="AC204" s="15"/>
      <c r="AD204" s="15"/>
      <c r="AE204" s="15"/>
    </row>
    <row r="205" spans="1:31" x14ac:dyDescent="0.85">
      <c r="A205" s="15"/>
      <c r="B205" s="15"/>
      <c r="C205" s="15"/>
      <c r="D205" s="15"/>
      <c r="E205" s="15"/>
      <c r="F205" s="15"/>
      <c r="G205" s="15"/>
      <c r="H205" s="15"/>
      <c r="I205" s="15"/>
      <c r="J205" s="15"/>
      <c r="K205" s="15"/>
      <c r="L205" s="747"/>
      <c r="M205" s="15"/>
      <c r="N205" s="15"/>
      <c r="O205" s="15"/>
      <c r="P205" s="15"/>
      <c r="Q205" s="15"/>
      <c r="R205" s="15"/>
      <c r="S205" s="15"/>
      <c r="T205" s="15"/>
      <c r="U205" s="15"/>
      <c r="V205" s="15"/>
      <c r="W205" s="15"/>
      <c r="X205" s="15"/>
      <c r="Y205" s="15"/>
      <c r="Z205" s="15"/>
      <c r="AA205" s="15"/>
      <c r="AB205" s="15"/>
      <c r="AC205" s="15"/>
      <c r="AD205" s="15"/>
      <c r="AE205" s="15"/>
    </row>
    <row r="206" spans="1:31" x14ac:dyDescent="0.85">
      <c r="A206" s="15"/>
      <c r="B206" s="15"/>
      <c r="C206" s="15"/>
      <c r="D206" s="15"/>
      <c r="E206" s="15"/>
      <c r="F206" s="15"/>
      <c r="G206" s="15"/>
      <c r="H206" s="15"/>
      <c r="I206" s="15"/>
      <c r="J206" s="15"/>
      <c r="K206" s="15"/>
      <c r="L206" s="747"/>
      <c r="M206" s="15"/>
      <c r="N206" s="15"/>
      <c r="O206" s="15"/>
      <c r="P206" s="15"/>
      <c r="Q206" s="15"/>
      <c r="R206" s="15"/>
      <c r="S206" s="15"/>
      <c r="T206" s="15"/>
      <c r="U206" s="15"/>
      <c r="V206" s="15"/>
      <c r="W206" s="15"/>
      <c r="X206" s="15"/>
      <c r="Y206" s="15"/>
      <c r="Z206" s="15"/>
      <c r="AA206" s="15"/>
      <c r="AB206" s="15"/>
      <c r="AC206" s="15"/>
      <c r="AD206" s="15"/>
      <c r="AE206" s="15"/>
    </row>
    <row r="207" spans="1:31" x14ac:dyDescent="0.85">
      <c r="A207" s="15"/>
      <c r="B207" s="15"/>
      <c r="C207" s="15"/>
      <c r="D207" s="15"/>
      <c r="E207" s="15"/>
      <c r="F207" s="15"/>
      <c r="G207" s="15"/>
      <c r="H207" s="15"/>
      <c r="I207" s="15"/>
      <c r="J207" s="15"/>
      <c r="K207" s="15"/>
      <c r="L207" s="747"/>
      <c r="M207" s="15"/>
      <c r="N207" s="15"/>
      <c r="O207" s="15"/>
      <c r="P207" s="15"/>
      <c r="Q207" s="15"/>
      <c r="R207" s="15"/>
      <c r="S207" s="15"/>
      <c r="T207" s="15"/>
      <c r="U207" s="15"/>
      <c r="V207" s="15"/>
      <c r="W207" s="15"/>
      <c r="X207" s="15"/>
      <c r="Y207" s="15"/>
      <c r="Z207" s="15"/>
      <c r="AA207" s="15"/>
      <c r="AB207" s="15"/>
      <c r="AC207" s="15"/>
      <c r="AD207" s="15"/>
      <c r="AE207" s="15"/>
    </row>
    <row r="208" spans="1:31" x14ac:dyDescent="0.85">
      <c r="A208" s="15"/>
      <c r="B208" s="15"/>
      <c r="C208" s="15"/>
      <c r="D208" s="15"/>
      <c r="E208" s="15"/>
      <c r="F208" s="15"/>
      <c r="G208" s="15"/>
      <c r="H208" s="15"/>
      <c r="I208" s="15"/>
      <c r="J208" s="15"/>
      <c r="K208" s="15"/>
      <c r="L208" s="747"/>
      <c r="M208" s="15"/>
      <c r="N208" s="15"/>
      <c r="O208" s="15"/>
      <c r="P208" s="15"/>
      <c r="Q208" s="15"/>
      <c r="R208" s="15"/>
      <c r="S208" s="15"/>
      <c r="T208" s="15"/>
      <c r="U208" s="15"/>
      <c r="V208" s="15"/>
      <c r="W208" s="15"/>
      <c r="X208" s="15"/>
      <c r="Y208" s="15"/>
      <c r="Z208" s="15"/>
      <c r="AA208" s="15"/>
      <c r="AB208" s="15"/>
      <c r="AC208" s="15"/>
      <c r="AD208" s="15"/>
      <c r="AE208" s="15"/>
    </row>
    <row r="209" spans="1:31" x14ac:dyDescent="0.85">
      <c r="A209" s="15"/>
      <c r="B209" s="15"/>
      <c r="C209" s="15"/>
      <c r="D209" s="15"/>
      <c r="E209" s="15"/>
      <c r="F209" s="15"/>
      <c r="G209" s="15"/>
      <c r="H209" s="15"/>
      <c r="I209" s="15"/>
      <c r="J209" s="15"/>
      <c r="K209" s="15"/>
      <c r="L209" s="747"/>
      <c r="M209" s="15"/>
      <c r="N209" s="15"/>
      <c r="O209" s="15"/>
      <c r="P209" s="15"/>
      <c r="Q209" s="15"/>
      <c r="R209" s="15"/>
      <c r="S209" s="15"/>
      <c r="T209" s="15"/>
      <c r="U209" s="15"/>
      <c r="V209" s="15"/>
      <c r="W209" s="15"/>
      <c r="X209" s="15"/>
      <c r="Y209" s="15"/>
      <c r="Z209" s="15"/>
      <c r="AA209" s="15"/>
      <c r="AB209" s="15"/>
      <c r="AC209" s="15"/>
      <c r="AD209" s="15"/>
      <c r="AE209" s="15"/>
    </row>
    <row r="210" spans="1:31" x14ac:dyDescent="0.85">
      <c r="A210" s="15"/>
      <c r="B210" s="15"/>
      <c r="C210" s="15"/>
      <c r="D210" s="15"/>
      <c r="E210" s="15"/>
      <c r="F210" s="15"/>
      <c r="G210" s="15"/>
      <c r="H210" s="15"/>
      <c r="I210" s="15"/>
      <c r="J210" s="15"/>
      <c r="K210" s="15"/>
      <c r="L210" s="747"/>
      <c r="M210" s="15"/>
      <c r="N210" s="15"/>
      <c r="O210" s="15"/>
      <c r="P210" s="15"/>
      <c r="Q210" s="15"/>
      <c r="R210" s="15"/>
      <c r="S210" s="15"/>
      <c r="T210" s="15"/>
      <c r="U210" s="15"/>
      <c r="V210" s="15"/>
      <c r="W210" s="15"/>
      <c r="X210" s="15"/>
      <c r="Y210" s="15"/>
      <c r="Z210" s="15"/>
      <c r="AA210" s="15"/>
      <c r="AB210" s="15"/>
      <c r="AC210" s="15"/>
      <c r="AD210" s="15"/>
      <c r="AE210" s="15"/>
    </row>
    <row r="211" spans="1:31" x14ac:dyDescent="0.85">
      <c r="A211" s="15"/>
      <c r="B211" s="15"/>
      <c r="C211" s="15"/>
      <c r="D211" s="15"/>
      <c r="E211" s="15"/>
      <c r="F211" s="15"/>
      <c r="G211" s="15"/>
      <c r="H211" s="15"/>
      <c r="I211" s="15"/>
      <c r="J211" s="15"/>
      <c r="K211" s="15"/>
      <c r="L211" s="747"/>
      <c r="M211" s="15"/>
      <c r="N211" s="15"/>
      <c r="O211" s="15"/>
      <c r="P211" s="15"/>
      <c r="Q211" s="15"/>
      <c r="R211" s="15"/>
      <c r="S211" s="15"/>
      <c r="T211" s="15"/>
      <c r="U211" s="15"/>
      <c r="V211" s="15"/>
      <c r="W211" s="15"/>
      <c r="X211" s="15"/>
      <c r="Y211" s="15"/>
      <c r="Z211" s="15"/>
      <c r="AA211" s="15"/>
      <c r="AB211" s="15"/>
      <c r="AC211" s="15"/>
      <c r="AD211" s="15"/>
      <c r="AE211" s="15"/>
    </row>
    <row r="212" spans="1:31" x14ac:dyDescent="0.85">
      <c r="A212" s="15"/>
      <c r="B212" s="15"/>
      <c r="C212" s="15"/>
      <c r="D212" s="15"/>
      <c r="E212" s="15"/>
      <c r="F212" s="15"/>
      <c r="G212" s="15"/>
      <c r="H212" s="15"/>
      <c r="I212" s="15"/>
      <c r="J212" s="15"/>
      <c r="K212" s="15"/>
      <c r="L212" s="747"/>
      <c r="M212" s="15"/>
      <c r="N212" s="15"/>
      <c r="O212" s="15"/>
      <c r="P212" s="15"/>
      <c r="Q212" s="15"/>
      <c r="R212" s="15"/>
      <c r="S212" s="15"/>
      <c r="T212" s="15"/>
      <c r="U212" s="15"/>
      <c r="V212" s="15"/>
      <c r="W212" s="15"/>
      <c r="X212" s="15"/>
      <c r="Y212" s="15"/>
      <c r="Z212" s="15"/>
      <c r="AA212" s="15"/>
      <c r="AB212" s="15"/>
      <c r="AC212" s="15"/>
      <c r="AD212" s="15"/>
      <c r="AE212" s="15"/>
    </row>
    <row r="213" spans="1:31" x14ac:dyDescent="0.85">
      <c r="A213" s="15"/>
      <c r="B213" s="15"/>
      <c r="C213" s="15"/>
      <c r="D213" s="15"/>
      <c r="E213" s="15"/>
      <c r="F213" s="15"/>
      <c r="G213" s="15"/>
      <c r="H213" s="15"/>
      <c r="I213" s="15"/>
      <c r="J213" s="15"/>
      <c r="K213" s="15"/>
      <c r="L213" s="747"/>
      <c r="M213" s="15"/>
      <c r="N213" s="15"/>
      <c r="O213" s="15"/>
      <c r="P213" s="15"/>
      <c r="Q213" s="15"/>
      <c r="R213" s="15"/>
      <c r="S213" s="15"/>
      <c r="T213" s="15"/>
      <c r="U213" s="15"/>
      <c r="V213" s="15"/>
      <c r="W213" s="15"/>
      <c r="X213" s="15"/>
      <c r="Y213" s="15"/>
      <c r="Z213" s="15"/>
      <c r="AA213" s="15"/>
      <c r="AB213" s="15"/>
      <c r="AC213" s="15"/>
      <c r="AD213" s="15"/>
      <c r="AE213" s="15"/>
    </row>
    <row r="214" spans="1:31" x14ac:dyDescent="0.85">
      <c r="A214" s="15"/>
      <c r="B214" s="15"/>
      <c r="C214" s="15"/>
      <c r="D214" s="15"/>
      <c r="E214" s="15"/>
      <c r="F214" s="15"/>
      <c r="G214" s="15"/>
      <c r="H214" s="15"/>
      <c r="I214" s="15"/>
      <c r="J214" s="15"/>
      <c r="K214" s="15"/>
      <c r="L214" s="747"/>
      <c r="M214" s="15"/>
      <c r="N214" s="15"/>
      <c r="O214" s="15"/>
      <c r="P214" s="15"/>
      <c r="Q214" s="15"/>
      <c r="R214" s="15"/>
      <c r="S214" s="15"/>
      <c r="T214" s="15"/>
      <c r="U214" s="15"/>
      <c r="V214" s="15"/>
      <c r="W214" s="15"/>
      <c r="X214" s="15"/>
      <c r="Y214" s="15"/>
      <c r="Z214" s="15"/>
      <c r="AA214" s="15"/>
      <c r="AB214" s="15"/>
      <c r="AC214" s="15"/>
      <c r="AD214" s="15"/>
      <c r="AE214" s="15"/>
    </row>
    <row r="215" spans="1:31" x14ac:dyDescent="0.85">
      <c r="A215" s="15"/>
      <c r="B215" s="15"/>
      <c r="C215" s="15"/>
      <c r="D215" s="15"/>
      <c r="E215" s="15"/>
      <c r="F215" s="15"/>
      <c r="G215" s="15"/>
      <c r="H215" s="15"/>
      <c r="I215" s="15"/>
      <c r="J215" s="15"/>
      <c r="K215" s="15"/>
      <c r="L215" s="747"/>
      <c r="M215" s="15"/>
      <c r="N215" s="15"/>
      <c r="O215" s="15"/>
      <c r="P215" s="15"/>
      <c r="Q215" s="15"/>
      <c r="R215" s="15"/>
      <c r="S215" s="15"/>
      <c r="T215" s="15"/>
      <c r="U215" s="15"/>
      <c r="V215" s="15"/>
      <c r="W215" s="15"/>
      <c r="X215" s="15"/>
      <c r="Y215" s="15"/>
      <c r="Z215" s="15"/>
      <c r="AA215" s="15"/>
      <c r="AB215" s="15"/>
      <c r="AC215" s="15"/>
      <c r="AD215" s="15"/>
      <c r="AE215" s="15"/>
    </row>
    <row r="216" spans="1:31" x14ac:dyDescent="0.85">
      <c r="A216" s="15"/>
      <c r="B216" s="15"/>
      <c r="C216" s="15"/>
      <c r="D216" s="15"/>
      <c r="E216" s="15"/>
      <c r="F216" s="15"/>
      <c r="G216" s="15"/>
      <c r="H216" s="15"/>
      <c r="I216" s="15"/>
      <c r="J216" s="15"/>
      <c r="K216" s="15"/>
      <c r="L216" s="747"/>
      <c r="M216" s="15"/>
      <c r="N216" s="15"/>
      <c r="O216" s="15"/>
      <c r="P216" s="15"/>
      <c r="Q216" s="15"/>
      <c r="R216" s="15"/>
      <c r="S216" s="15"/>
      <c r="T216" s="15"/>
      <c r="U216" s="15"/>
      <c r="V216" s="15"/>
      <c r="W216" s="15"/>
      <c r="X216" s="15"/>
      <c r="Y216" s="15"/>
      <c r="Z216" s="15"/>
      <c r="AA216" s="15"/>
      <c r="AB216" s="15"/>
      <c r="AC216" s="15"/>
      <c r="AD216" s="15"/>
      <c r="AE216" s="15"/>
    </row>
    <row r="217" spans="1:31" x14ac:dyDescent="0.85">
      <c r="A217" s="15"/>
      <c r="B217" s="15"/>
      <c r="C217" s="15"/>
      <c r="D217" s="15"/>
      <c r="E217" s="15"/>
      <c r="F217" s="15"/>
      <c r="G217" s="15"/>
      <c r="H217" s="15"/>
      <c r="I217" s="15"/>
      <c r="J217" s="15"/>
      <c r="K217" s="15"/>
      <c r="L217" s="747"/>
      <c r="M217" s="15"/>
      <c r="N217" s="15"/>
      <c r="O217" s="15"/>
      <c r="P217" s="15"/>
      <c r="Q217" s="15"/>
      <c r="R217" s="15"/>
      <c r="S217" s="15"/>
      <c r="T217" s="15"/>
      <c r="U217" s="15"/>
      <c r="V217" s="15"/>
      <c r="W217" s="15"/>
      <c r="X217" s="15"/>
      <c r="Y217" s="15"/>
      <c r="Z217" s="15"/>
      <c r="AA217" s="15"/>
      <c r="AB217" s="15"/>
      <c r="AC217" s="15"/>
      <c r="AD217" s="15"/>
      <c r="AE217" s="15"/>
    </row>
    <row r="218" spans="1:31" x14ac:dyDescent="0.85">
      <c r="A218" s="15"/>
      <c r="B218" s="15"/>
      <c r="C218" s="15"/>
      <c r="D218" s="15"/>
      <c r="E218" s="15"/>
      <c r="F218" s="15"/>
      <c r="G218" s="15"/>
      <c r="H218" s="15"/>
      <c r="I218" s="15"/>
      <c r="J218" s="15"/>
      <c r="K218" s="15"/>
      <c r="L218" s="747"/>
      <c r="M218" s="15"/>
      <c r="N218" s="15"/>
      <c r="O218" s="15"/>
      <c r="P218" s="15"/>
      <c r="Q218" s="15"/>
      <c r="R218" s="15"/>
      <c r="S218" s="15"/>
      <c r="T218" s="15"/>
      <c r="U218" s="15"/>
      <c r="V218" s="15"/>
      <c r="W218" s="15"/>
      <c r="X218" s="15"/>
      <c r="Y218" s="15"/>
      <c r="Z218" s="15"/>
      <c r="AA218" s="15"/>
      <c r="AB218" s="15"/>
      <c r="AC218" s="15"/>
      <c r="AD218" s="15"/>
      <c r="AE218" s="15"/>
    </row>
    <row r="219" spans="1:31" x14ac:dyDescent="0.85">
      <c r="A219" s="15"/>
      <c r="B219" s="15"/>
      <c r="C219" s="15"/>
      <c r="D219" s="15"/>
      <c r="E219" s="15"/>
      <c r="F219" s="15"/>
      <c r="G219" s="15"/>
      <c r="H219" s="15"/>
      <c r="I219" s="15"/>
      <c r="J219" s="15"/>
      <c r="K219" s="15"/>
      <c r="L219" s="747"/>
      <c r="M219" s="15"/>
      <c r="N219" s="15"/>
      <c r="O219" s="15"/>
      <c r="P219" s="15"/>
      <c r="Q219" s="15"/>
      <c r="R219" s="15"/>
      <c r="S219" s="15"/>
      <c r="T219" s="15"/>
      <c r="U219" s="15"/>
      <c r="V219" s="15"/>
      <c r="W219" s="15"/>
      <c r="X219" s="15"/>
      <c r="Y219" s="15"/>
      <c r="Z219" s="15"/>
      <c r="AA219" s="15"/>
      <c r="AB219" s="15"/>
      <c r="AC219" s="15"/>
      <c r="AD219" s="15"/>
      <c r="AE219" s="15"/>
    </row>
    <row r="220" spans="1:31" x14ac:dyDescent="0.85">
      <c r="A220" s="15"/>
      <c r="B220" s="15"/>
      <c r="C220" s="15"/>
      <c r="D220" s="15"/>
      <c r="E220" s="15"/>
      <c r="F220" s="15"/>
      <c r="G220" s="15"/>
      <c r="H220" s="15"/>
      <c r="I220" s="15"/>
      <c r="J220" s="15"/>
      <c r="K220" s="15"/>
      <c r="L220" s="747"/>
      <c r="M220" s="15"/>
      <c r="N220" s="15"/>
      <c r="O220" s="15"/>
      <c r="P220" s="15"/>
      <c r="Q220" s="15"/>
      <c r="R220" s="15"/>
      <c r="S220" s="15"/>
      <c r="T220" s="15"/>
      <c r="U220" s="15"/>
      <c r="V220" s="15"/>
      <c r="W220" s="15"/>
      <c r="X220" s="15"/>
      <c r="Y220" s="15"/>
      <c r="Z220" s="15"/>
      <c r="AA220" s="15"/>
      <c r="AB220" s="15"/>
      <c r="AC220" s="15"/>
      <c r="AD220" s="15"/>
      <c r="AE220" s="15"/>
    </row>
    <row r="221" spans="1:31" x14ac:dyDescent="0.85">
      <c r="A221" s="15"/>
      <c r="B221" s="15"/>
      <c r="C221" s="15"/>
      <c r="D221" s="15"/>
      <c r="E221" s="15"/>
      <c r="F221" s="15"/>
      <c r="G221" s="15"/>
      <c r="H221" s="15"/>
      <c r="I221" s="15"/>
      <c r="J221" s="15"/>
      <c r="K221" s="15"/>
      <c r="L221" s="747"/>
      <c r="M221" s="15"/>
      <c r="N221" s="15"/>
      <c r="O221" s="15"/>
      <c r="P221" s="15"/>
      <c r="Q221" s="15"/>
      <c r="R221" s="15"/>
      <c r="S221" s="15"/>
      <c r="T221" s="15"/>
      <c r="U221" s="15"/>
      <c r="V221" s="15"/>
      <c r="W221" s="15"/>
      <c r="X221" s="15"/>
      <c r="Y221" s="15"/>
      <c r="Z221" s="15"/>
      <c r="AA221" s="15"/>
      <c r="AB221" s="15"/>
      <c r="AC221" s="15"/>
      <c r="AD221" s="15"/>
      <c r="AE221" s="15"/>
    </row>
    <row r="222" spans="1:31" x14ac:dyDescent="0.85">
      <c r="A222" s="15"/>
      <c r="B222" s="15"/>
      <c r="C222" s="15"/>
      <c r="D222" s="15"/>
      <c r="E222" s="15"/>
      <c r="F222" s="15"/>
      <c r="G222" s="15"/>
      <c r="H222" s="15"/>
      <c r="I222" s="15"/>
      <c r="J222" s="15"/>
      <c r="K222" s="15"/>
      <c r="L222" s="747"/>
      <c r="M222" s="15"/>
      <c r="N222" s="15"/>
      <c r="O222" s="15"/>
      <c r="P222" s="15"/>
      <c r="Q222" s="15"/>
      <c r="R222" s="15"/>
      <c r="S222" s="15"/>
      <c r="T222" s="15"/>
      <c r="U222" s="15"/>
      <c r="V222" s="15"/>
      <c r="W222" s="15"/>
      <c r="X222" s="15"/>
      <c r="Y222" s="15"/>
      <c r="Z222" s="15"/>
      <c r="AA222" s="15"/>
      <c r="AB222" s="15"/>
      <c r="AC222" s="15"/>
      <c r="AD222" s="15"/>
      <c r="AE222" s="15"/>
    </row>
    <row r="223" spans="1:31" x14ac:dyDescent="0.85">
      <c r="A223" s="15"/>
      <c r="B223" s="15"/>
      <c r="C223" s="15"/>
      <c r="D223" s="15"/>
      <c r="E223" s="15"/>
      <c r="F223" s="15"/>
      <c r="G223" s="15"/>
      <c r="H223" s="15"/>
      <c r="I223" s="15"/>
      <c r="J223" s="15"/>
      <c r="K223" s="15"/>
      <c r="L223" s="747"/>
      <c r="M223" s="15"/>
      <c r="N223" s="15"/>
      <c r="O223" s="15"/>
      <c r="P223" s="15"/>
      <c r="Q223" s="15"/>
      <c r="R223" s="15"/>
      <c r="S223" s="15"/>
      <c r="T223" s="15"/>
      <c r="U223" s="15"/>
      <c r="V223" s="15"/>
      <c r="W223" s="15"/>
      <c r="X223" s="15"/>
      <c r="Y223" s="15"/>
      <c r="Z223" s="15"/>
      <c r="AA223" s="15"/>
      <c r="AB223" s="15"/>
      <c r="AC223" s="15"/>
      <c r="AD223" s="15"/>
      <c r="AE223" s="15"/>
    </row>
    <row r="224" spans="1:31" x14ac:dyDescent="0.85">
      <c r="A224" s="15"/>
      <c r="B224" s="15"/>
      <c r="C224" s="15"/>
      <c r="D224" s="15"/>
      <c r="E224" s="15"/>
      <c r="F224" s="15"/>
      <c r="G224" s="15"/>
      <c r="H224" s="15"/>
      <c r="I224" s="15"/>
      <c r="J224" s="15"/>
      <c r="K224" s="15"/>
      <c r="L224" s="747"/>
      <c r="M224" s="15"/>
      <c r="N224" s="15"/>
      <c r="O224" s="15"/>
      <c r="P224" s="15"/>
      <c r="Q224" s="15"/>
      <c r="R224" s="15"/>
      <c r="S224" s="15"/>
      <c r="T224" s="15"/>
      <c r="U224" s="15"/>
      <c r="V224" s="15"/>
      <c r="W224" s="15"/>
      <c r="X224" s="15"/>
      <c r="Y224" s="15"/>
      <c r="Z224" s="15"/>
      <c r="AA224" s="15"/>
      <c r="AB224" s="15"/>
      <c r="AC224" s="15"/>
      <c r="AD224" s="15"/>
      <c r="AE224" s="15"/>
    </row>
    <row r="225" spans="1:31" x14ac:dyDescent="0.85">
      <c r="A225" s="15"/>
      <c r="B225" s="15"/>
      <c r="C225" s="15"/>
      <c r="D225" s="15"/>
      <c r="E225" s="15"/>
      <c r="F225" s="15"/>
      <c r="G225" s="15"/>
      <c r="H225" s="15"/>
      <c r="I225" s="15"/>
      <c r="J225" s="15"/>
      <c r="K225" s="15"/>
      <c r="L225" s="747"/>
      <c r="M225" s="15"/>
      <c r="N225" s="15"/>
      <c r="O225" s="15"/>
      <c r="P225" s="15"/>
      <c r="Q225" s="15"/>
      <c r="R225" s="15"/>
      <c r="S225" s="15"/>
      <c r="T225" s="15"/>
      <c r="U225" s="15"/>
      <c r="V225" s="15"/>
      <c r="W225" s="15"/>
      <c r="X225" s="15"/>
      <c r="Y225" s="15"/>
      <c r="Z225" s="15"/>
      <c r="AA225" s="15"/>
      <c r="AB225" s="15"/>
      <c r="AC225" s="15"/>
      <c r="AD225" s="15"/>
      <c r="AE225" s="15"/>
    </row>
    <row r="226" spans="1:31" x14ac:dyDescent="0.85">
      <c r="A226" s="15"/>
      <c r="B226" s="15"/>
      <c r="C226" s="15"/>
      <c r="D226" s="15"/>
      <c r="E226" s="15"/>
      <c r="F226" s="15"/>
      <c r="G226" s="15"/>
      <c r="H226" s="15"/>
      <c r="I226" s="15"/>
      <c r="J226" s="15"/>
      <c r="K226" s="15"/>
      <c r="L226" s="747"/>
      <c r="M226" s="15"/>
      <c r="N226" s="15"/>
      <c r="O226" s="15"/>
      <c r="P226" s="15"/>
      <c r="Q226" s="15"/>
      <c r="R226" s="15"/>
      <c r="S226" s="15"/>
      <c r="T226" s="15"/>
      <c r="U226" s="15"/>
      <c r="V226" s="15"/>
      <c r="W226" s="15"/>
      <c r="X226" s="15"/>
      <c r="Y226" s="15"/>
      <c r="Z226" s="15"/>
      <c r="AA226" s="15"/>
      <c r="AB226" s="15"/>
      <c r="AC226" s="15"/>
      <c r="AD226" s="15"/>
      <c r="AE226" s="15"/>
    </row>
    <row r="227" spans="1:31" x14ac:dyDescent="0.85">
      <c r="A227" s="15"/>
      <c r="B227" s="15"/>
      <c r="C227" s="15"/>
      <c r="D227" s="15"/>
      <c r="E227" s="15"/>
      <c r="F227" s="15"/>
      <c r="G227" s="15"/>
      <c r="H227" s="15"/>
      <c r="I227" s="15"/>
      <c r="J227" s="15"/>
      <c r="K227" s="15"/>
      <c r="L227" s="747"/>
      <c r="M227" s="15"/>
      <c r="N227" s="15"/>
      <c r="O227" s="15"/>
      <c r="P227" s="15"/>
      <c r="Q227" s="15"/>
      <c r="R227" s="15"/>
      <c r="S227" s="15"/>
      <c r="T227" s="15"/>
      <c r="U227" s="15"/>
      <c r="V227" s="15"/>
      <c r="W227" s="15"/>
      <c r="X227" s="15"/>
      <c r="Y227" s="15"/>
      <c r="Z227" s="15"/>
      <c r="AA227" s="15"/>
      <c r="AB227" s="15"/>
      <c r="AC227" s="15"/>
      <c r="AD227" s="15"/>
      <c r="AE227" s="15"/>
    </row>
    <row r="228" spans="1:31" x14ac:dyDescent="0.85">
      <c r="A228" s="15"/>
      <c r="B228" s="15"/>
      <c r="C228" s="15"/>
      <c r="D228" s="15"/>
      <c r="E228" s="15"/>
      <c r="F228" s="15"/>
      <c r="G228" s="15"/>
      <c r="H228" s="15"/>
      <c r="I228" s="15"/>
      <c r="J228" s="15"/>
      <c r="K228" s="15"/>
      <c r="L228" s="747"/>
      <c r="M228" s="15"/>
      <c r="N228" s="15"/>
      <c r="O228" s="15"/>
      <c r="P228" s="15"/>
      <c r="Q228" s="15"/>
      <c r="R228" s="15"/>
      <c r="S228" s="15"/>
      <c r="T228" s="15"/>
      <c r="U228" s="15"/>
      <c r="V228" s="15"/>
      <c r="W228" s="15"/>
      <c r="X228" s="15"/>
      <c r="Y228" s="15"/>
      <c r="Z228" s="15"/>
      <c r="AA228" s="15"/>
      <c r="AB228" s="15"/>
      <c r="AC228" s="15"/>
      <c r="AD228" s="15"/>
      <c r="AE228" s="15"/>
    </row>
    <row r="229" spans="1:31" x14ac:dyDescent="0.85">
      <c r="A229" s="15"/>
      <c r="B229" s="15"/>
      <c r="C229" s="15"/>
      <c r="D229" s="15"/>
      <c r="E229" s="15"/>
      <c r="F229" s="15"/>
      <c r="G229" s="15"/>
      <c r="H229" s="15"/>
      <c r="I229" s="15"/>
      <c r="J229" s="15"/>
      <c r="K229" s="15"/>
      <c r="L229" s="747"/>
      <c r="M229" s="15"/>
      <c r="N229" s="15"/>
      <c r="O229" s="15"/>
      <c r="P229" s="15"/>
      <c r="Q229" s="15"/>
      <c r="R229" s="15"/>
      <c r="S229" s="15"/>
      <c r="T229" s="15"/>
      <c r="U229" s="15"/>
      <c r="V229" s="15"/>
      <c r="W229" s="15"/>
      <c r="X229" s="15"/>
      <c r="Y229" s="15"/>
      <c r="Z229" s="15"/>
      <c r="AA229" s="15"/>
      <c r="AB229" s="15"/>
      <c r="AC229" s="15"/>
      <c r="AD229" s="15"/>
      <c r="AE229" s="15"/>
    </row>
    <row r="230" spans="1:31" x14ac:dyDescent="0.85">
      <c r="A230" s="15"/>
      <c r="B230" s="15"/>
      <c r="C230" s="15"/>
      <c r="D230" s="15"/>
      <c r="E230" s="15"/>
      <c r="F230" s="15"/>
      <c r="G230" s="15"/>
      <c r="H230" s="15"/>
      <c r="I230" s="15"/>
      <c r="J230" s="15"/>
      <c r="K230" s="15"/>
      <c r="L230" s="747"/>
      <c r="M230" s="15"/>
      <c r="N230" s="15"/>
      <c r="O230" s="15"/>
      <c r="P230" s="15"/>
      <c r="Q230" s="15"/>
      <c r="R230" s="15"/>
      <c r="S230" s="15"/>
      <c r="T230" s="15"/>
      <c r="U230" s="15"/>
      <c r="V230" s="15"/>
      <c r="W230" s="15"/>
      <c r="X230" s="15"/>
      <c r="Y230" s="15"/>
      <c r="Z230" s="15"/>
      <c r="AA230" s="15"/>
      <c r="AB230" s="15"/>
      <c r="AC230" s="15"/>
      <c r="AD230" s="15"/>
      <c r="AE230" s="15"/>
    </row>
    <row r="231" spans="1:31" x14ac:dyDescent="0.85">
      <c r="A231" s="15"/>
      <c r="B231" s="15"/>
      <c r="C231" s="15"/>
      <c r="D231" s="15"/>
      <c r="E231" s="15"/>
      <c r="F231" s="15"/>
      <c r="G231" s="15"/>
      <c r="H231" s="15"/>
      <c r="I231" s="15"/>
      <c r="J231" s="15"/>
      <c r="K231" s="15"/>
      <c r="L231" s="747"/>
      <c r="M231" s="15"/>
      <c r="N231" s="15"/>
      <c r="O231" s="15"/>
      <c r="P231" s="15"/>
      <c r="Q231" s="15"/>
      <c r="R231" s="15"/>
      <c r="S231" s="15"/>
      <c r="T231" s="15"/>
      <c r="U231" s="15"/>
      <c r="V231" s="15"/>
      <c r="W231" s="15"/>
      <c r="X231" s="15"/>
      <c r="Y231" s="15"/>
      <c r="Z231" s="15"/>
      <c r="AA231" s="15"/>
      <c r="AB231" s="15"/>
      <c r="AC231" s="15"/>
      <c r="AD231" s="15"/>
      <c r="AE231" s="15"/>
    </row>
    <row r="232" spans="1:31" x14ac:dyDescent="0.85">
      <c r="A232" s="15"/>
      <c r="B232" s="15"/>
      <c r="C232" s="15"/>
      <c r="D232" s="15"/>
      <c r="E232" s="15"/>
      <c r="F232" s="15"/>
      <c r="G232" s="15"/>
      <c r="H232" s="15"/>
      <c r="I232" s="15"/>
      <c r="J232" s="15"/>
      <c r="K232" s="15"/>
      <c r="L232" s="747"/>
      <c r="M232" s="15"/>
      <c r="N232" s="15"/>
      <c r="O232" s="15"/>
      <c r="P232" s="15"/>
      <c r="Q232" s="15"/>
      <c r="R232" s="15"/>
      <c r="S232" s="15"/>
      <c r="T232" s="15"/>
      <c r="U232" s="15"/>
      <c r="V232" s="15"/>
      <c r="W232" s="15"/>
      <c r="X232" s="15"/>
      <c r="Y232" s="15"/>
      <c r="Z232" s="15"/>
      <c r="AA232" s="15"/>
      <c r="AB232" s="15"/>
      <c r="AC232" s="15"/>
      <c r="AD232" s="15"/>
      <c r="AE232" s="15"/>
    </row>
    <row r="233" spans="1:31" x14ac:dyDescent="0.85">
      <c r="A233" s="15"/>
      <c r="B233" s="15"/>
      <c r="C233" s="15"/>
      <c r="D233" s="15"/>
      <c r="E233" s="15"/>
      <c r="F233" s="15"/>
      <c r="G233" s="15"/>
      <c r="H233" s="15"/>
      <c r="I233" s="15"/>
      <c r="J233" s="15"/>
      <c r="K233" s="15"/>
      <c r="L233" s="747"/>
      <c r="M233" s="15"/>
      <c r="N233" s="15"/>
      <c r="O233" s="15"/>
      <c r="P233" s="15"/>
      <c r="Q233" s="15"/>
      <c r="R233" s="15"/>
      <c r="S233" s="15"/>
      <c r="T233" s="15"/>
      <c r="U233" s="15"/>
      <c r="V233" s="15"/>
      <c r="W233" s="15"/>
      <c r="X233" s="15"/>
      <c r="Y233" s="15"/>
      <c r="Z233" s="15"/>
      <c r="AA233" s="15"/>
      <c r="AB233" s="15"/>
      <c r="AC233" s="15"/>
      <c r="AD233" s="15"/>
      <c r="AE233" s="15"/>
    </row>
    <row r="234" spans="1:31" x14ac:dyDescent="0.85">
      <c r="A234" s="15"/>
      <c r="B234" s="15"/>
      <c r="C234" s="15"/>
      <c r="D234" s="15"/>
      <c r="E234" s="15"/>
      <c r="F234" s="15"/>
      <c r="G234" s="15"/>
      <c r="H234" s="15"/>
      <c r="I234" s="15"/>
      <c r="J234" s="15"/>
      <c r="K234" s="15"/>
      <c r="L234" s="747"/>
      <c r="M234" s="15"/>
      <c r="N234" s="15"/>
      <c r="O234" s="15"/>
      <c r="P234" s="15"/>
      <c r="Q234" s="15"/>
      <c r="R234" s="15"/>
      <c r="S234" s="15"/>
      <c r="T234" s="15"/>
      <c r="U234" s="15"/>
      <c r="V234" s="15"/>
      <c r="W234" s="15"/>
      <c r="X234" s="15"/>
      <c r="Y234" s="15"/>
      <c r="Z234" s="15"/>
      <c r="AA234" s="15"/>
      <c r="AB234" s="15"/>
      <c r="AC234" s="15"/>
      <c r="AD234" s="15"/>
      <c r="AE234" s="15"/>
    </row>
    <row r="235" spans="1:31" x14ac:dyDescent="0.85">
      <c r="A235" s="15"/>
      <c r="B235" s="15"/>
      <c r="C235" s="15"/>
      <c r="D235" s="15"/>
      <c r="E235" s="15"/>
      <c r="F235" s="15"/>
      <c r="G235" s="15"/>
      <c r="H235" s="15"/>
      <c r="I235" s="15"/>
      <c r="J235" s="15"/>
      <c r="K235" s="15"/>
      <c r="L235" s="747"/>
      <c r="M235" s="15"/>
      <c r="N235" s="15"/>
      <c r="O235" s="15"/>
      <c r="P235" s="15"/>
      <c r="Q235" s="15"/>
      <c r="R235" s="15"/>
      <c r="S235" s="15"/>
      <c r="T235" s="15"/>
      <c r="U235" s="15"/>
      <c r="V235" s="15"/>
      <c r="W235" s="15"/>
      <c r="X235" s="15"/>
      <c r="Y235" s="15"/>
      <c r="Z235" s="15"/>
      <c r="AA235" s="15"/>
      <c r="AB235" s="15"/>
      <c r="AC235" s="15"/>
      <c r="AD235" s="15"/>
      <c r="AE235" s="15"/>
    </row>
    <row r="236" spans="1:31" x14ac:dyDescent="0.85">
      <c r="A236" s="15"/>
      <c r="B236" s="15"/>
      <c r="C236" s="15"/>
      <c r="D236" s="15"/>
      <c r="E236" s="15"/>
      <c r="F236" s="15"/>
      <c r="G236" s="15"/>
      <c r="H236" s="15"/>
      <c r="I236" s="15"/>
      <c r="J236" s="15"/>
      <c r="K236" s="15"/>
      <c r="L236" s="747"/>
      <c r="M236" s="15"/>
      <c r="N236" s="15"/>
      <c r="O236" s="15"/>
      <c r="P236" s="15"/>
      <c r="Q236" s="15"/>
      <c r="R236" s="15"/>
      <c r="S236" s="15"/>
      <c r="T236" s="15"/>
      <c r="U236" s="15"/>
      <c r="V236" s="15"/>
      <c r="W236" s="15"/>
      <c r="X236" s="15"/>
      <c r="Y236" s="15"/>
      <c r="Z236" s="15"/>
      <c r="AA236" s="15"/>
      <c r="AB236" s="15"/>
      <c r="AC236" s="15"/>
      <c r="AD236" s="15"/>
      <c r="AE236" s="15"/>
    </row>
    <row r="237" spans="1:31" x14ac:dyDescent="0.85">
      <c r="A237" s="15"/>
      <c r="B237" s="15"/>
      <c r="C237" s="15"/>
      <c r="D237" s="15"/>
      <c r="E237" s="15"/>
      <c r="F237" s="15"/>
      <c r="G237" s="15"/>
      <c r="H237" s="15"/>
      <c r="I237" s="15"/>
      <c r="J237" s="15"/>
      <c r="K237" s="15"/>
      <c r="L237" s="747"/>
      <c r="M237" s="15"/>
      <c r="N237" s="15"/>
      <c r="O237" s="15"/>
      <c r="P237" s="15"/>
      <c r="Q237" s="15"/>
      <c r="R237" s="15"/>
      <c r="S237" s="15"/>
      <c r="T237" s="15"/>
      <c r="U237" s="15"/>
      <c r="V237" s="15"/>
      <c r="W237" s="15"/>
      <c r="X237" s="15"/>
      <c r="Y237" s="15"/>
      <c r="Z237" s="15"/>
      <c r="AA237" s="15"/>
      <c r="AB237" s="15"/>
      <c r="AC237" s="15"/>
      <c r="AD237" s="15"/>
      <c r="AE237" s="15"/>
    </row>
    <row r="238" spans="1:31" x14ac:dyDescent="0.85">
      <c r="A238" s="15"/>
      <c r="B238" s="15"/>
      <c r="C238" s="15"/>
      <c r="D238" s="15"/>
      <c r="E238" s="15"/>
      <c r="F238" s="15"/>
      <c r="G238" s="15"/>
      <c r="H238" s="15"/>
      <c r="I238" s="15"/>
      <c r="J238" s="15"/>
      <c r="K238" s="15"/>
      <c r="L238" s="747"/>
      <c r="M238" s="15"/>
      <c r="N238" s="15"/>
      <c r="O238" s="15"/>
      <c r="P238" s="15"/>
      <c r="Q238" s="15"/>
      <c r="R238" s="15"/>
      <c r="S238" s="15"/>
      <c r="T238" s="15"/>
      <c r="U238" s="15"/>
      <c r="V238" s="15"/>
      <c r="W238" s="15"/>
      <c r="X238" s="15"/>
      <c r="Y238" s="15"/>
      <c r="Z238" s="15"/>
      <c r="AA238" s="15"/>
      <c r="AB238" s="15"/>
      <c r="AC238" s="15"/>
      <c r="AD238" s="15"/>
      <c r="AE238" s="15"/>
    </row>
    <row r="239" spans="1:31" x14ac:dyDescent="0.85">
      <c r="A239" s="15"/>
      <c r="B239" s="15"/>
      <c r="C239" s="15"/>
      <c r="D239" s="15"/>
      <c r="E239" s="15"/>
      <c r="F239" s="15"/>
      <c r="G239" s="15"/>
      <c r="H239" s="15"/>
      <c r="I239" s="15"/>
      <c r="J239" s="15"/>
      <c r="K239" s="15"/>
      <c r="L239" s="747"/>
      <c r="M239" s="15"/>
      <c r="N239" s="15"/>
      <c r="O239" s="15"/>
      <c r="P239" s="15"/>
      <c r="Q239" s="15"/>
      <c r="R239" s="15"/>
      <c r="S239" s="15"/>
      <c r="T239" s="15"/>
      <c r="U239" s="15"/>
      <c r="V239" s="15"/>
      <c r="W239" s="15"/>
      <c r="X239" s="15"/>
      <c r="Y239" s="15"/>
      <c r="Z239" s="15"/>
      <c r="AA239" s="15"/>
      <c r="AB239" s="15"/>
      <c r="AC239" s="15"/>
      <c r="AD239" s="15"/>
      <c r="AE239" s="15"/>
    </row>
    <row r="240" spans="1:31" x14ac:dyDescent="0.85">
      <c r="A240" s="15"/>
      <c r="B240" s="15"/>
      <c r="C240" s="15"/>
      <c r="D240" s="15"/>
      <c r="E240" s="15"/>
      <c r="F240" s="15"/>
      <c r="G240" s="15"/>
      <c r="H240" s="15"/>
      <c r="I240" s="15"/>
      <c r="J240" s="15"/>
      <c r="K240" s="15"/>
      <c r="L240" s="747"/>
      <c r="M240" s="15"/>
      <c r="N240" s="15"/>
      <c r="O240" s="15"/>
      <c r="P240" s="15"/>
      <c r="Q240" s="15"/>
      <c r="R240" s="15"/>
      <c r="S240" s="15"/>
      <c r="T240" s="15"/>
      <c r="U240" s="15"/>
      <c r="V240" s="15"/>
      <c r="W240" s="15"/>
      <c r="X240" s="15"/>
      <c r="Y240" s="15"/>
      <c r="Z240" s="15"/>
      <c r="AA240" s="15"/>
      <c r="AB240" s="15"/>
      <c r="AC240" s="15"/>
      <c r="AD240" s="15"/>
      <c r="AE240" s="15"/>
    </row>
    <row r="241" spans="1:31" x14ac:dyDescent="0.85">
      <c r="A241" s="15"/>
      <c r="B241" s="15"/>
      <c r="C241" s="15"/>
      <c r="D241" s="15"/>
      <c r="E241" s="15"/>
      <c r="F241" s="15"/>
      <c r="G241" s="15"/>
      <c r="H241" s="15"/>
      <c r="I241" s="15"/>
      <c r="J241" s="15"/>
      <c r="K241" s="15"/>
      <c r="L241" s="747"/>
      <c r="M241" s="15"/>
      <c r="N241" s="15"/>
      <c r="O241" s="15"/>
      <c r="P241" s="15"/>
      <c r="Q241" s="15"/>
      <c r="R241" s="15"/>
      <c r="S241" s="15"/>
      <c r="T241" s="15"/>
      <c r="U241" s="15"/>
      <c r="V241" s="15"/>
      <c r="W241" s="15"/>
      <c r="X241" s="15"/>
      <c r="Y241" s="15"/>
      <c r="Z241" s="15"/>
      <c r="AA241" s="15"/>
      <c r="AB241" s="15"/>
      <c r="AC241" s="15"/>
      <c r="AD241" s="15"/>
      <c r="AE241" s="15"/>
    </row>
    <row r="242" spans="1:31" x14ac:dyDescent="0.85">
      <c r="A242" s="15"/>
      <c r="B242" s="15"/>
      <c r="C242" s="15"/>
      <c r="D242" s="15"/>
      <c r="E242" s="15"/>
      <c r="F242" s="15"/>
      <c r="G242" s="15"/>
      <c r="H242" s="15"/>
      <c r="I242" s="15"/>
      <c r="J242" s="15"/>
      <c r="K242" s="15"/>
      <c r="L242" s="747"/>
      <c r="M242" s="15"/>
      <c r="N242" s="15"/>
      <c r="O242" s="15"/>
      <c r="P242" s="15"/>
      <c r="Q242" s="15"/>
      <c r="R242" s="15"/>
      <c r="S242" s="15"/>
      <c r="T242" s="15"/>
      <c r="U242" s="15"/>
      <c r="V242" s="15"/>
      <c r="W242" s="15"/>
      <c r="X242" s="15"/>
      <c r="Y242" s="15"/>
      <c r="Z242" s="15"/>
      <c r="AA242" s="15"/>
      <c r="AB242" s="15"/>
      <c r="AC242" s="15"/>
      <c r="AD242" s="15"/>
      <c r="AE242" s="15"/>
    </row>
    <row r="243" spans="1:31" x14ac:dyDescent="0.85">
      <c r="A243" s="15"/>
      <c r="B243" s="15"/>
      <c r="C243" s="15"/>
      <c r="D243" s="15"/>
      <c r="E243" s="15"/>
      <c r="F243" s="15"/>
      <c r="G243" s="15"/>
      <c r="H243" s="15"/>
      <c r="I243" s="15"/>
      <c r="J243" s="15"/>
      <c r="K243" s="15"/>
      <c r="L243" s="747"/>
      <c r="M243" s="15"/>
      <c r="N243" s="15"/>
      <c r="O243" s="15"/>
      <c r="P243" s="15"/>
      <c r="Q243" s="15"/>
      <c r="R243" s="15"/>
      <c r="S243" s="15"/>
      <c r="T243" s="15"/>
      <c r="U243" s="15"/>
      <c r="V243" s="15"/>
      <c r="W243" s="15"/>
      <c r="X243" s="15"/>
      <c r="Y243" s="15"/>
      <c r="Z243" s="15"/>
      <c r="AA243" s="15"/>
      <c r="AB243" s="15"/>
      <c r="AC243" s="15"/>
      <c r="AD243" s="15"/>
      <c r="AE243" s="15"/>
    </row>
    <row r="244" spans="1:31" x14ac:dyDescent="0.85">
      <c r="A244" s="15"/>
      <c r="B244" s="15"/>
      <c r="C244" s="15"/>
      <c r="D244" s="15"/>
      <c r="E244" s="15"/>
      <c r="F244" s="15"/>
      <c r="G244" s="15"/>
      <c r="H244" s="15"/>
      <c r="I244" s="15"/>
      <c r="J244" s="15"/>
      <c r="K244" s="15"/>
      <c r="L244" s="747"/>
      <c r="M244" s="15"/>
      <c r="N244" s="15"/>
      <c r="O244" s="15"/>
      <c r="P244" s="15"/>
      <c r="Q244" s="15"/>
      <c r="R244" s="15"/>
      <c r="S244" s="15"/>
      <c r="T244" s="15"/>
      <c r="U244" s="15"/>
      <c r="V244" s="15"/>
      <c r="W244" s="15"/>
      <c r="X244" s="15"/>
      <c r="Y244" s="15"/>
      <c r="Z244" s="15"/>
      <c r="AA244" s="15"/>
      <c r="AB244" s="15"/>
      <c r="AC244" s="15"/>
      <c r="AD244" s="15"/>
      <c r="AE244" s="15"/>
    </row>
    <row r="245" spans="1:31" x14ac:dyDescent="0.85">
      <c r="A245" s="15"/>
      <c r="B245" s="15"/>
      <c r="C245" s="15"/>
      <c r="D245" s="15"/>
      <c r="E245" s="15"/>
      <c r="F245" s="15"/>
      <c r="G245" s="15"/>
      <c r="H245" s="15"/>
      <c r="I245" s="15"/>
      <c r="J245" s="15"/>
      <c r="K245" s="15"/>
      <c r="L245" s="747"/>
      <c r="M245" s="15"/>
      <c r="N245" s="15"/>
      <c r="O245" s="15"/>
      <c r="P245" s="15"/>
      <c r="Q245" s="15"/>
      <c r="R245" s="15"/>
      <c r="S245" s="15"/>
      <c r="T245" s="15"/>
      <c r="U245" s="15"/>
      <c r="V245" s="15"/>
      <c r="W245" s="15"/>
      <c r="X245" s="15"/>
      <c r="Y245" s="15"/>
      <c r="Z245" s="15"/>
      <c r="AA245" s="15"/>
      <c r="AB245" s="15"/>
      <c r="AC245" s="15"/>
      <c r="AD245" s="15"/>
      <c r="AE245" s="15"/>
    </row>
    <row r="246" spans="1:31" x14ac:dyDescent="0.85">
      <c r="A246" s="15"/>
      <c r="B246" s="15"/>
      <c r="C246" s="15"/>
      <c r="D246" s="15"/>
      <c r="E246" s="15"/>
      <c r="F246" s="15"/>
      <c r="G246" s="15"/>
      <c r="H246" s="15"/>
      <c r="I246" s="15"/>
      <c r="J246" s="15"/>
      <c r="K246" s="15"/>
      <c r="L246" s="747"/>
      <c r="M246" s="15"/>
      <c r="N246" s="15"/>
      <c r="O246" s="15"/>
      <c r="P246" s="15"/>
      <c r="Q246" s="15"/>
      <c r="R246" s="15"/>
      <c r="S246" s="15"/>
      <c r="T246" s="15"/>
      <c r="U246" s="15"/>
      <c r="V246" s="15"/>
      <c r="W246" s="15"/>
      <c r="X246" s="15"/>
      <c r="Y246" s="15"/>
      <c r="Z246" s="15"/>
      <c r="AA246" s="15"/>
      <c r="AB246" s="15"/>
      <c r="AC246" s="15"/>
      <c r="AD246" s="15"/>
      <c r="AE246" s="15"/>
    </row>
    <row r="247" spans="1:31" x14ac:dyDescent="0.85">
      <c r="A247" s="15"/>
      <c r="B247" s="15"/>
      <c r="C247" s="15"/>
      <c r="D247" s="15"/>
      <c r="E247" s="15"/>
      <c r="F247" s="15"/>
      <c r="G247" s="15"/>
      <c r="H247" s="15"/>
      <c r="I247" s="15"/>
      <c r="J247" s="15"/>
      <c r="K247" s="15"/>
      <c r="L247" s="747"/>
      <c r="M247" s="15"/>
      <c r="N247" s="15"/>
      <c r="O247" s="15"/>
      <c r="P247" s="15"/>
      <c r="Q247" s="15"/>
      <c r="R247" s="15"/>
      <c r="S247" s="15"/>
      <c r="T247" s="15"/>
      <c r="U247" s="15"/>
      <c r="V247" s="15"/>
      <c r="W247" s="15"/>
      <c r="X247" s="15"/>
      <c r="Y247" s="15"/>
      <c r="Z247" s="15"/>
      <c r="AA247" s="15"/>
      <c r="AB247" s="15"/>
      <c r="AC247" s="15"/>
      <c r="AD247" s="15"/>
      <c r="AE247" s="15"/>
    </row>
    <row r="248" spans="1:31" x14ac:dyDescent="0.85">
      <c r="A248" s="15"/>
      <c r="B248" s="15"/>
      <c r="C248" s="15"/>
      <c r="D248" s="15"/>
      <c r="E248" s="15"/>
      <c r="F248" s="15"/>
      <c r="G248" s="15"/>
      <c r="H248" s="15"/>
      <c r="I248" s="15"/>
      <c r="J248" s="15"/>
      <c r="K248" s="15"/>
      <c r="L248" s="747"/>
      <c r="M248" s="15"/>
      <c r="N248" s="15"/>
      <c r="O248" s="15"/>
      <c r="P248" s="15"/>
      <c r="Q248" s="15"/>
      <c r="R248" s="15"/>
      <c r="S248" s="15"/>
      <c r="T248" s="15"/>
      <c r="U248" s="15"/>
      <c r="V248" s="15"/>
      <c r="W248" s="15"/>
      <c r="X248" s="15"/>
      <c r="Y248" s="15"/>
      <c r="Z248" s="15"/>
      <c r="AA248" s="15"/>
      <c r="AB248" s="15"/>
      <c r="AC248" s="15"/>
      <c r="AD248" s="15"/>
      <c r="AE248" s="15"/>
    </row>
    <row r="249" spans="1:31" x14ac:dyDescent="0.85">
      <c r="A249" s="15"/>
      <c r="B249" s="15"/>
      <c r="C249" s="15"/>
      <c r="D249" s="15"/>
      <c r="E249" s="15"/>
      <c r="F249" s="15"/>
      <c r="G249" s="15"/>
      <c r="H249" s="15"/>
      <c r="I249" s="15"/>
      <c r="J249" s="15"/>
      <c r="K249" s="15"/>
      <c r="L249" s="747"/>
      <c r="M249" s="15"/>
      <c r="N249" s="15"/>
      <c r="O249" s="15"/>
      <c r="P249" s="15"/>
      <c r="Q249" s="15"/>
      <c r="R249" s="15"/>
      <c r="S249" s="15"/>
      <c r="T249" s="15"/>
      <c r="U249" s="15"/>
      <c r="V249" s="15"/>
      <c r="W249" s="15"/>
      <c r="X249" s="15"/>
      <c r="Y249" s="15"/>
      <c r="Z249" s="15"/>
      <c r="AA249" s="15"/>
      <c r="AB249" s="15"/>
      <c r="AC249" s="15"/>
      <c r="AD249" s="15"/>
      <c r="AE249" s="15"/>
    </row>
    <row r="250" spans="1:31" x14ac:dyDescent="0.85">
      <c r="A250" s="15"/>
      <c r="B250" s="15"/>
      <c r="C250" s="15"/>
      <c r="D250" s="15"/>
      <c r="E250" s="15"/>
      <c r="F250" s="15"/>
      <c r="G250" s="15"/>
      <c r="H250" s="15"/>
      <c r="I250" s="15"/>
      <c r="J250" s="15"/>
      <c r="K250" s="15"/>
      <c r="L250" s="747"/>
      <c r="M250" s="15"/>
      <c r="N250" s="15"/>
      <c r="O250" s="15"/>
      <c r="P250" s="15"/>
      <c r="Q250" s="15"/>
      <c r="R250" s="15"/>
      <c r="S250" s="15"/>
      <c r="T250" s="15"/>
      <c r="U250" s="15"/>
      <c r="V250" s="15"/>
      <c r="W250" s="15"/>
      <c r="X250" s="15"/>
      <c r="Y250" s="15"/>
      <c r="Z250" s="15"/>
      <c r="AA250" s="15"/>
      <c r="AB250" s="15"/>
      <c r="AC250" s="15"/>
      <c r="AD250" s="15"/>
      <c r="AE250" s="15"/>
    </row>
    <row r="251" spans="1:31" x14ac:dyDescent="0.85">
      <c r="A251" s="15"/>
      <c r="B251" s="15"/>
      <c r="C251" s="15"/>
      <c r="D251" s="15"/>
      <c r="E251" s="15"/>
      <c r="F251" s="15"/>
      <c r="G251" s="15"/>
      <c r="H251" s="15"/>
      <c r="I251" s="15"/>
      <c r="J251" s="15"/>
      <c r="K251" s="15"/>
      <c r="L251" s="747"/>
      <c r="M251" s="15"/>
      <c r="N251" s="15"/>
      <c r="O251" s="15"/>
      <c r="P251" s="15"/>
      <c r="Q251" s="15"/>
      <c r="R251" s="15"/>
      <c r="S251" s="15"/>
      <c r="T251" s="15"/>
      <c r="U251" s="15"/>
      <c r="V251" s="15"/>
      <c r="W251" s="15"/>
      <c r="X251" s="15"/>
      <c r="Y251" s="15"/>
      <c r="Z251" s="15"/>
      <c r="AA251" s="15"/>
      <c r="AB251" s="15"/>
      <c r="AC251" s="15"/>
      <c r="AD251" s="15"/>
      <c r="AE251" s="15"/>
    </row>
    <row r="252" spans="1:31" x14ac:dyDescent="0.85">
      <c r="A252" s="15"/>
      <c r="B252" s="15"/>
      <c r="C252" s="15"/>
      <c r="D252" s="15"/>
      <c r="E252" s="15"/>
      <c r="F252" s="15"/>
      <c r="G252" s="15"/>
      <c r="H252" s="15"/>
      <c r="I252" s="15"/>
      <c r="J252" s="15"/>
      <c r="K252" s="15"/>
      <c r="L252" s="747"/>
      <c r="M252" s="15"/>
      <c r="N252" s="15"/>
      <c r="O252" s="15"/>
      <c r="P252" s="15"/>
      <c r="Q252" s="15"/>
      <c r="R252" s="15"/>
      <c r="S252" s="15"/>
      <c r="T252" s="15"/>
      <c r="U252" s="15"/>
      <c r="V252" s="15"/>
      <c r="W252" s="15"/>
      <c r="X252" s="15"/>
      <c r="Y252" s="15"/>
      <c r="Z252" s="15"/>
      <c r="AA252" s="15"/>
      <c r="AB252" s="15"/>
      <c r="AC252" s="15"/>
      <c r="AD252" s="15"/>
      <c r="AE252" s="15"/>
    </row>
    <row r="253" spans="1:31" x14ac:dyDescent="0.85">
      <c r="A253" s="15"/>
      <c r="B253" s="15"/>
      <c r="C253" s="15"/>
      <c r="D253" s="15"/>
      <c r="E253" s="15"/>
      <c r="F253" s="15"/>
      <c r="G253" s="15"/>
      <c r="H253" s="15"/>
      <c r="I253" s="15"/>
      <c r="J253" s="15"/>
      <c r="K253" s="15"/>
      <c r="L253" s="747"/>
      <c r="M253" s="15"/>
      <c r="N253" s="15"/>
      <c r="O253" s="15"/>
      <c r="P253" s="15"/>
      <c r="Q253" s="15"/>
      <c r="R253" s="15"/>
      <c r="S253" s="15"/>
      <c r="T253" s="15"/>
      <c r="U253" s="15"/>
      <c r="V253" s="15"/>
      <c r="W253" s="15"/>
      <c r="X253" s="15"/>
      <c r="Y253" s="15"/>
      <c r="Z253" s="15"/>
      <c r="AA253" s="15"/>
      <c r="AB253" s="15"/>
      <c r="AC253" s="15"/>
      <c r="AD253" s="15"/>
      <c r="AE253" s="15"/>
    </row>
    <row r="254" spans="1:31" x14ac:dyDescent="0.85">
      <c r="A254" s="15"/>
      <c r="B254" s="15"/>
      <c r="C254" s="15"/>
      <c r="D254" s="15"/>
      <c r="E254" s="15"/>
      <c r="F254" s="15"/>
      <c r="G254" s="15"/>
      <c r="H254" s="15"/>
      <c r="I254" s="15"/>
      <c r="J254" s="15"/>
      <c r="K254" s="15"/>
      <c r="L254" s="747"/>
      <c r="M254" s="15"/>
      <c r="N254" s="15"/>
      <c r="O254" s="15"/>
      <c r="P254" s="15"/>
      <c r="Q254" s="15"/>
      <c r="R254" s="15"/>
      <c r="S254" s="15"/>
      <c r="T254" s="15"/>
      <c r="U254" s="15"/>
      <c r="V254" s="15"/>
      <c r="W254" s="15"/>
      <c r="X254" s="15"/>
      <c r="Y254" s="15"/>
      <c r="Z254" s="15"/>
      <c r="AA254" s="15"/>
      <c r="AB254" s="15"/>
      <c r="AC254" s="15"/>
      <c r="AD254" s="15"/>
      <c r="AE254" s="15"/>
    </row>
    <row r="255" spans="1:31" x14ac:dyDescent="0.85">
      <c r="A255" s="15"/>
      <c r="B255" s="15"/>
      <c r="C255" s="15"/>
      <c r="D255" s="15"/>
      <c r="E255" s="15"/>
      <c r="F255" s="15"/>
      <c r="G255" s="15"/>
      <c r="H255" s="15"/>
      <c r="I255" s="15"/>
      <c r="J255" s="15"/>
      <c r="K255" s="15"/>
      <c r="L255" s="747"/>
      <c r="M255" s="15"/>
      <c r="N255" s="15"/>
      <c r="O255" s="15"/>
      <c r="P255" s="15"/>
      <c r="Q255" s="15"/>
      <c r="R255" s="15"/>
      <c r="S255" s="15"/>
      <c r="T255" s="15"/>
      <c r="U255" s="15"/>
      <c r="V255" s="15"/>
      <c r="W255" s="15"/>
      <c r="X255" s="15"/>
      <c r="Y255" s="15"/>
      <c r="Z255" s="15"/>
      <c r="AA255" s="15"/>
      <c r="AB255" s="15"/>
      <c r="AC255" s="15"/>
      <c r="AD255" s="15"/>
      <c r="AE255" s="15"/>
    </row>
    <row r="256" spans="1:31" x14ac:dyDescent="0.85">
      <c r="A256" s="15"/>
      <c r="B256" s="15"/>
      <c r="C256" s="15"/>
      <c r="D256" s="15"/>
      <c r="E256" s="15"/>
      <c r="F256" s="15"/>
      <c r="G256" s="15"/>
      <c r="H256" s="15"/>
      <c r="I256" s="15"/>
      <c r="J256" s="15"/>
      <c r="K256" s="15"/>
      <c r="L256" s="747"/>
      <c r="M256" s="15"/>
      <c r="N256" s="15"/>
      <c r="O256" s="15"/>
      <c r="P256" s="15"/>
      <c r="Q256" s="15"/>
      <c r="R256" s="15"/>
      <c r="S256" s="15"/>
      <c r="T256" s="15"/>
      <c r="U256" s="15"/>
      <c r="V256" s="15"/>
      <c r="W256" s="15"/>
      <c r="X256" s="15"/>
      <c r="Y256" s="15"/>
      <c r="Z256" s="15"/>
      <c r="AA256" s="15"/>
      <c r="AB256" s="15"/>
      <c r="AC256" s="15"/>
      <c r="AD256" s="15"/>
      <c r="AE256" s="15"/>
    </row>
    <row r="257" spans="1:31" x14ac:dyDescent="0.85">
      <c r="A257" s="15"/>
      <c r="B257" s="15"/>
      <c r="C257" s="15"/>
      <c r="D257" s="15"/>
      <c r="E257" s="15"/>
      <c r="F257" s="15"/>
      <c r="G257" s="15"/>
      <c r="H257" s="15"/>
      <c r="I257" s="15"/>
      <c r="J257" s="15"/>
      <c r="K257" s="15"/>
      <c r="L257" s="747"/>
      <c r="M257" s="15"/>
      <c r="N257" s="15"/>
      <c r="O257" s="15"/>
      <c r="P257" s="15"/>
      <c r="Q257" s="15"/>
      <c r="R257" s="15"/>
      <c r="S257" s="15"/>
      <c r="T257" s="15"/>
      <c r="U257" s="15"/>
      <c r="V257" s="15"/>
      <c r="W257" s="15"/>
      <c r="X257" s="15"/>
      <c r="Y257" s="15"/>
      <c r="Z257" s="15"/>
      <c r="AA257" s="15"/>
      <c r="AB257" s="15"/>
      <c r="AC257" s="15"/>
      <c r="AD257" s="15"/>
      <c r="AE257" s="15"/>
    </row>
    <row r="258" spans="1:31" x14ac:dyDescent="0.85">
      <c r="A258" s="15"/>
      <c r="B258" s="15"/>
      <c r="C258" s="15"/>
      <c r="D258" s="15"/>
      <c r="E258" s="15"/>
      <c r="F258" s="15"/>
      <c r="G258" s="15"/>
      <c r="H258" s="15"/>
      <c r="I258" s="15"/>
      <c r="J258" s="15"/>
      <c r="K258" s="15"/>
      <c r="L258" s="747"/>
      <c r="M258" s="15"/>
      <c r="N258" s="15"/>
      <c r="O258" s="15"/>
      <c r="P258" s="15"/>
      <c r="Q258" s="15"/>
      <c r="R258" s="15"/>
      <c r="S258" s="15"/>
      <c r="T258" s="15"/>
      <c r="U258" s="15"/>
      <c r="V258" s="15"/>
      <c r="W258" s="15"/>
      <c r="X258" s="15"/>
      <c r="Y258" s="15"/>
      <c r="Z258" s="15"/>
      <c r="AA258" s="15"/>
      <c r="AB258" s="15"/>
      <c r="AC258" s="15"/>
      <c r="AD258" s="15"/>
      <c r="AE258" s="15"/>
    </row>
    <row r="259" spans="1:31" x14ac:dyDescent="0.85">
      <c r="A259" s="15"/>
      <c r="B259" s="15"/>
      <c r="C259" s="15"/>
      <c r="D259" s="15"/>
      <c r="E259" s="15"/>
      <c r="F259" s="15"/>
      <c r="G259" s="15"/>
      <c r="H259" s="15"/>
      <c r="I259" s="15"/>
      <c r="J259" s="15"/>
      <c r="K259" s="15"/>
      <c r="L259" s="747"/>
      <c r="M259" s="15"/>
      <c r="N259" s="15"/>
      <c r="O259" s="15"/>
      <c r="P259" s="15"/>
      <c r="Q259" s="15"/>
      <c r="R259" s="15"/>
      <c r="S259" s="15"/>
      <c r="T259" s="15"/>
      <c r="U259" s="15"/>
      <c r="V259" s="15"/>
      <c r="W259" s="15"/>
      <c r="X259" s="15"/>
      <c r="Y259" s="15"/>
      <c r="Z259" s="15"/>
      <c r="AA259" s="15"/>
      <c r="AB259" s="15"/>
      <c r="AC259" s="15"/>
      <c r="AD259" s="15"/>
      <c r="AE259" s="15"/>
    </row>
    <row r="260" spans="1:31" x14ac:dyDescent="0.85">
      <c r="A260" s="15"/>
      <c r="B260" s="15"/>
      <c r="C260" s="15"/>
      <c r="D260" s="15"/>
      <c r="E260" s="15"/>
      <c r="F260" s="15"/>
      <c r="G260" s="15"/>
      <c r="H260" s="15"/>
      <c r="I260" s="15"/>
      <c r="J260" s="15"/>
      <c r="K260" s="15"/>
      <c r="L260" s="747"/>
      <c r="M260" s="15"/>
      <c r="N260" s="15"/>
      <c r="O260" s="15"/>
      <c r="P260" s="15"/>
      <c r="Q260" s="15"/>
      <c r="R260" s="15"/>
      <c r="S260" s="15"/>
      <c r="T260" s="15"/>
      <c r="U260" s="15"/>
      <c r="V260" s="15"/>
      <c r="W260" s="15"/>
      <c r="X260" s="15"/>
      <c r="Y260" s="15"/>
      <c r="Z260" s="15"/>
      <c r="AA260" s="15"/>
      <c r="AB260" s="15"/>
      <c r="AC260" s="15"/>
      <c r="AD260" s="15"/>
      <c r="AE260" s="15"/>
    </row>
    <row r="261" spans="1:31" x14ac:dyDescent="0.85">
      <c r="A261" s="15"/>
      <c r="B261" s="15"/>
      <c r="C261" s="15"/>
      <c r="D261" s="15"/>
      <c r="E261" s="15"/>
      <c r="F261" s="15"/>
      <c r="G261" s="15"/>
      <c r="H261" s="15"/>
      <c r="I261" s="15"/>
      <c r="J261" s="15"/>
      <c r="K261" s="15"/>
      <c r="L261" s="747"/>
      <c r="M261" s="15"/>
      <c r="N261" s="15"/>
      <c r="O261" s="15"/>
      <c r="P261" s="15"/>
      <c r="Q261" s="15"/>
      <c r="R261" s="15"/>
      <c r="S261" s="15"/>
      <c r="T261" s="15"/>
      <c r="U261" s="15"/>
      <c r="V261" s="15"/>
      <c r="W261" s="15"/>
      <c r="X261" s="15"/>
      <c r="Y261" s="15"/>
      <c r="Z261" s="15"/>
      <c r="AA261" s="15"/>
      <c r="AB261" s="15"/>
      <c r="AC261" s="15"/>
      <c r="AD261" s="15"/>
      <c r="AE261" s="15"/>
    </row>
    <row r="262" spans="1:31" x14ac:dyDescent="0.85">
      <c r="A262" s="15"/>
      <c r="B262" s="15"/>
      <c r="C262" s="15"/>
      <c r="D262" s="15"/>
      <c r="E262" s="15"/>
      <c r="F262" s="15"/>
      <c r="G262" s="15"/>
      <c r="H262" s="15"/>
      <c r="I262" s="15"/>
      <c r="J262" s="15"/>
      <c r="K262" s="15"/>
      <c r="L262" s="747"/>
      <c r="M262" s="15"/>
      <c r="N262" s="15"/>
      <c r="O262" s="15"/>
      <c r="P262" s="15"/>
      <c r="Q262" s="15"/>
      <c r="R262" s="15"/>
      <c r="S262" s="15"/>
      <c r="T262" s="15"/>
      <c r="U262" s="15"/>
      <c r="V262" s="15"/>
      <c r="W262" s="15"/>
      <c r="X262" s="15"/>
      <c r="Y262" s="15"/>
      <c r="Z262" s="15"/>
      <c r="AA262" s="15"/>
      <c r="AB262" s="15"/>
      <c r="AC262" s="15"/>
      <c r="AD262" s="15"/>
      <c r="AE262" s="15"/>
    </row>
    <row r="263" spans="1:31" x14ac:dyDescent="0.85">
      <c r="A263" s="15"/>
      <c r="B263" s="15"/>
      <c r="C263" s="15"/>
      <c r="D263" s="15"/>
      <c r="E263" s="15"/>
      <c r="F263" s="15"/>
      <c r="G263" s="15"/>
      <c r="H263" s="15"/>
      <c r="I263" s="15"/>
      <c r="J263" s="15"/>
      <c r="K263" s="15"/>
      <c r="L263" s="747"/>
      <c r="M263" s="15"/>
      <c r="N263" s="15"/>
      <c r="O263" s="15"/>
      <c r="P263" s="15"/>
      <c r="Q263" s="15"/>
      <c r="R263" s="15"/>
      <c r="S263" s="15"/>
      <c r="T263" s="15"/>
      <c r="U263" s="15"/>
      <c r="V263" s="15"/>
      <c r="W263" s="15"/>
      <c r="X263" s="15"/>
      <c r="Y263" s="15"/>
      <c r="Z263" s="15"/>
      <c r="AA263" s="15"/>
      <c r="AB263" s="15"/>
      <c r="AC263" s="15"/>
      <c r="AD263" s="15"/>
      <c r="AE263" s="15"/>
    </row>
    <row r="264" spans="1:31" x14ac:dyDescent="0.85">
      <c r="A264" s="15"/>
      <c r="B264" s="15"/>
      <c r="C264" s="15"/>
      <c r="D264" s="15"/>
      <c r="E264" s="15"/>
      <c r="F264" s="15"/>
      <c r="G264" s="15"/>
      <c r="H264" s="15"/>
      <c r="I264" s="15"/>
      <c r="J264" s="15"/>
      <c r="K264" s="15"/>
      <c r="L264" s="747"/>
      <c r="M264" s="15"/>
      <c r="N264" s="15"/>
      <c r="O264" s="15"/>
      <c r="P264" s="15"/>
      <c r="Q264" s="15"/>
      <c r="R264" s="15"/>
      <c r="S264" s="15"/>
      <c r="T264" s="15"/>
      <c r="U264" s="15"/>
      <c r="V264" s="15"/>
      <c r="W264" s="15"/>
      <c r="X264" s="15"/>
      <c r="Y264" s="15"/>
      <c r="Z264" s="15"/>
      <c r="AA264" s="15"/>
      <c r="AB264" s="15"/>
      <c r="AC264" s="15"/>
      <c r="AD264" s="15"/>
      <c r="AE264" s="15"/>
    </row>
    <row r="265" spans="1:31" x14ac:dyDescent="0.85">
      <c r="A265" s="15"/>
      <c r="B265" s="15"/>
      <c r="C265" s="15"/>
      <c r="D265" s="15"/>
      <c r="E265" s="15"/>
      <c r="F265" s="15"/>
      <c r="G265" s="15"/>
      <c r="H265" s="15"/>
      <c r="I265" s="15"/>
      <c r="J265" s="15"/>
      <c r="K265" s="15"/>
      <c r="L265" s="747"/>
      <c r="M265" s="15"/>
      <c r="N265" s="15"/>
      <c r="O265" s="15"/>
      <c r="P265" s="15"/>
      <c r="Q265" s="15"/>
      <c r="R265" s="15"/>
      <c r="S265" s="15"/>
      <c r="T265" s="15"/>
      <c r="U265" s="15"/>
      <c r="V265" s="15"/>
      <c r="W265" s="15"/>
      <c r="X265" s="15"/>
      <c r="Y265" s="15"/>
      <c r="Z265" s="15"/>
      <c r="AA265" s="15"/>
      <c r="AB265" s="15"/>
      <c r="AC265" s="15"/>
      <c r="AD265" s="15"/>
      <c r="AE265" s="15"/>
    </row>
    <row r="266" spans="1:31" x14ac:dyDescent="0.85">
      <c r="A266" s="15"/>
      <c r="B266" s="15"/>
      <c r="C266" s="15"/>
      <c r="D266" s="15"/>
      <c r="E266" s="15"/>
      <c r="F266" s="15"/>
      <c r="G266" s="15"/>
      <c r="H266" s="15"/>
      <c r="I266" s="15"/>
      <c r="J266" s="15"/>
      <c r="K266" s="15"/>
      <c r="L266" s="747"/>
      <c r="M266" s="15"/>
      <c r="N266" s="15"/>
      <c r="O266" s="15"/>
      <c r="P266" s="15"/>
      <c r="Q266" s="15"/>
      <c r="R266" s="15"/>
      <c r="S266" s="15"/>
      <c r="T266" s="15"/>
      <c r="U266" s="15"/>
      <c r="V266" s="15"/>
      <c r="W266" s="15"/>
      <c r="X266" s="15"/>
      <c r="Y266" s="15"/>
      <c r="Z266" s="15"/>
      <c r="AA266" s="15"/>
      <c r="AB266" s="15"/>
      <c r="AC266" s="15"/>
      <c r="AD266" s="15"/>
      <c r="AE266" s="15"/>
    </row>
    <row r="267" spans="1:31" x14ac:dyDescent="0.85">
      <c r="A267" s="15"/>
      <c r="B267" s="15"/>
      <c r="C267" s="15"/>
      <c r="D267" s="15"/>
      <c r="E267" s="15"/>
      <c r="F267" s="15"/>
      <c r="G267" s="15"/>
      <c r="H267" s="15"/>
      <c r="I267" s="15"/>
      <c r="J267" s="15"/>
      <c r="K267" s="15"/>
      <c r="L267" s="747"/>
      <c r="M267" s="15"/>
      <c r="N267" s="15"/>
      <c r="O267" s="15"/>
      <c r="P267" s="15"/>
      <c r="Q267" s="15"/>
      <c r="R267" s="15"/>
      <c r="S267" s="15"/>
      <c r="T267" s="15"/>
      <c r="U267" s="15"/>
      <c r="V267" s="15"/>
      <c r="W267" s="15"/>
      <c r="X267" s="15"/>
      <c r="Y267" s="15"/>
      <c r="Z267" s="15"/>
      <c r="AA267" s="15"/>
      <c r="AB267" s="15"/>
      <c r="AC267" s="15"/>
      <c r="AD267" s="15"/>
      <c r="AE267" s="15"/>
    </row>
    <row r="268" spans="1:31" x14ac:dyDescent="0.85">
      <c r="A268" s="15"/>
      <c r="B268" s="15"/>
      <c r="C268" s="15"/>
      <c r="D268" s="15"/>
      <c r="E268" s="15"/>
      <c r="F268" s="15"/>
      <c r="G268" s="15"/>
      <c r="H268" s="15"/>
      <c r="I268" s="15"/>
      <c r="J268" s="15"/>
      <c r="K268" s="15"/>
      <c r="L268" s="747"/>
      <c r="M268" s="15"/>
      <c r="N268" s="15"/>
      <c r="O268" s="15"/>
      <c r="P268" s="15"/>
      <c r="Q268" s="15"/>
      <c r="R268" s="15"/>
      <c r="S268" s="15"/>
      <c r="T268" s="15"/>
      <c r="U268" s="15"/>
      <c r="V268" s="15"/>
      <c r="W268" s="15"/>
      <c r="X268" s="15"/>
      <c r="Y268" s="15"/>
      <c r="Z268" s="15"/>
      <c r="AA268" s="15"/>
      <c r="AB268" s="15"/>
      <c r="AC268" s="15"/>
      <c r="AD268" s="15"/>
      <c r="AE268" s="15"/>
    </row>
    <row r="269" spans="1:31" x14ac:dyDescent="0.85">
      <c r="A269" s="15"/>
      <c r="B269" s="15"/>
      <c r="C269" s="15"/>
      <c r="D269" s="15"/>
      <c r="E269" s="15"/>
      <c r="F269" s="15"/>
      <c r="G269" s="15"/>
      <c r="H269" s="15"/>
      <c r="I269" s="15"/>
      <c r="J269" s="15"/>
      <c r="K269" s="15"/>
      <c r="L269" s="747"/>
      <c r="M269" s="15"/>
      <c r="N269" s="15"/>
      <c r="O269" s="15"/>
      <c r="P269" s="15"/>
      <c r="Q269" s="15"/>
      <c r="R269" s="15"/>
      <c r="S269" s="15"/>
      <c r="T269" s="15"/>
      <c r="U269" s="15"/>
      <c r="V269" s="15"/>
      <c r="W269" s="15"/>
      <c r="X269" s="15"/>
      <c r="Y269" s="15"/>
      <c r="Z269" s="15"/>
      <c r="AA269" s="15"/>
      <c r="AB269" s="15"/>
      <c r="AC269" s="15"/>
      <c r="AD269" s="15"/>
      <c r="AE269" s="15"/>
    </row>
    <row r="270" spans="1:31" x14ac:dyDescent="0.85">
      <c r="A270" s="15"/>
      <c r="B270" s="15"/>
      <c r="C270" s="15"/>
      <c r="D270" s="15"/>
      <c r="E270" s="15"/>
      <c r="F270" s="15"/>
      <c r="G270" s="15"/>
      <c r="H270" s="15"/>
      <c r="I270" s="15"/>
      <c r="J270" s="15"/>
      <c r="K270" s="15"/>
      <c r="L270" s="747"/>
      <c r="M270" s="15"/>
      <c r="N270" s="15"/>
      <c r="O270" s="15"/>
      <c r="P270" s="15"/>
      <c r="Q270" s="15"/>
      <c r="R270" s="15"/>
      <c r="S270" s="15"/>
      <c r="T270" s="15"/>
      <c r="U270" s="15"/>
      <c r="V270" s="15"/>
      <c r="W270" s="15"/>
      <c r="X270" s="15"/>
      <c r="Y270" s="15"/>
      <c r="Z270" s="15"/>
      <c r="AA270" s="15"/>
      <c r="AB270" s="15"/>
      <c r="AC270" s="15"/>
      <c r="AD270" s="15"/>
      <c r="AE270" s="15"/>
    </row>
    <row r="271" spans="1:31" x14ac:dyDescent="0.85">
      <c r="A271" s="15"/>
      <c r="B271" s="15"/>
      <c r="C271" s="15"/>
      <c r="D271" s="15"/>
      <c r="E271" s="15"/>
      <c r="F271" s="15"/>
      <c r="G271" s="15"/>
      <c r="H271" s="15"/>
      <c r="I271" s="15"/>
      <c r="J271" s="15"/>
      <c r="K271" s="15"/>
      <c r="L271" s="747"/>
      <c r="M271" s="15"/>
      <c r="N271" s="15"/>
      <c r="O271" s="15"/>
      <c r="P271" s="15"/>
      <c r="Q271" s="15"/>
      <c r="R271" s="15"/>
      <c r="S271" s="15"/>
      <c r="T271" s="15"/>
      <c r="U271" s="15"/>
      <c r="V271" s="15"/>
      <c r="W271" s="15"/>
      <c r="X271" s="15"/>
      <c r="Y271" s="15"/>
      <c r="Z271" s="15"/>
      <c r="AA271" s="15"/>
      <c r="AB271" s="15"/>
      <c r="AC271" s="15"/>
      <c r="AD271" s="15"/>
      <c r="AE271" s="15"/>
    </row>
    <row r="272" spans="1:31" x14ac:dyDescent="0.85">
      <c r="A272" s="15"/>
      <c r="B272" s="15"/>
      <c r="C272" s="15"/>
      <c r="D272" s="15"/>
      <c r="E272" s="15"/>
      <c r="F272" s="15"/>
      <c r="G272" s="15"/>
      <c r="H272" s="15"/>
      <c r="I272" s="15"/>
      <c r="J272" s="15"/>
      <c r="K272" s="15"/>
      <c r="L272" s="747"/>
      <c r="M272" s="15"/>
      <c r="N272" s="15"/>
      <c r="O272" s="15"/>
      <c r="P272" s="15"/>
      <c r="Q272" s="15"/>
      <c r="R272" s="15"/>
      <c r="S272" s="15"/>
      <c r="T272" s="15"/>
      <c r="U272" s="15"/>
      <c r="V272" s="15"/>
      <c r="W272" s="15"/>
      <c r="X272" s="15"/>
      <c r="Y272" s="15"/>
      <c r="Z272" s="15"/>
      <c r="AA272" s="15"/>
      <c r="AB272" s="15"/>
      <c r="AC272" s="15"/>
      <c r="AD272" s="15"/>
      <c r="AE272" s="15"/>
    </row>
    <row r="273" spans="1:31" x14ac:dyDescent="0.85">
      <c r="A273" s="15"/>
      <c r="B273" s="15"/>
      <c r="C273" s="15"/>
      <c r="D273" s="15"/>
      <c r="E273" s="15"/>
      <c r="F273" s="15"/>
      <c r="G273" s="15"/>
      <c r="H273" s="15"/>
      <c r="I273" s="15"/>
      <c r="J273" s="15"/>
      <c r="K273" s="15"/>
      <c r="L273" s="747"/>
      <c r="M273" s="15"/>
      <c r="N273" s="15"/>
      <c r="O273" s="15"/>
      <c r="P273" s="15"/>
      <c r="Q273" s="15"/>
      <c r="R273" s="15"/>
      <c r="S273" s="15"/>
      <c r="T273" s="15"/>
      <c r="U273" s="15"/>
      <c r="V273" s="15"/>
      <c r="W273" s="15"/>
      <c r="X273" s="15"/>
      <c r="Y273" s="15"/>
      <c r="Z273" s="15"/>
      <c r="AA273" s="15"/>
      <c r="AB273" s="15"/>
      <c r="AC273" s="15"/>
      <c r="AD273" s="15"/>
      <c r="AE273" s="15"/>
    </row>
    <row r="274" spans="1:31" x14ac:dyDescent="0.85">
      <c r="A274" s="15"/>
      <c r="B274" s="15"/>
      <c r="C274" s="15"/>
      <c r="D274" s="15"/>
      <c r="E274" s="15"/>
      <c r="F274" s="15"/>
      <c r="G274" s="15"/>
      <c r="H274" s="15"/>
      <c r="I274" s="15"/>
      <c r="J274" s="15"/>
      <c r="K274" s="15"/>
      <c r="L274" s="747"/>
      <c r="M274" s="15"/>
      <c r="N274" s="15"/>
      <c r="O274" s="15"/>
      <c r="P274" s="15"/>
      <c r="Q274" s="15"/>
      <c r="R274" s="15"/>
      <c r="S274" s="15"/>
      <c r="T274" s="15"/>
      <c r="U274" s="15"/>
      <c r="V274" s="15"/>
      <c r="W274" s="15"/>
      <c r="X274" s="15"/>
      <c r="Y274" s="15"/>
      <c r="Z274" s="15"/>
      <c r="AA274" s="15"/>
      <c r="AB274" s="15"/>
      <c r="AC274" s="15"/>
      <c r="AD274" s="15"/>
      <c r="AE274" s="15"/>
    </row>
    <row r="275" spans="1:31" x14ac:dyDescent="0.85">
      <c r="A275" s="15"/>
      <c r="B275" s="15"/>
      <c r="C275" s="15"/>
      <c r="D275" s="15"/>
      <c r="E275" s="15"/>
      <c r="F275" s="15"/>
      <c r="G275" s="15"/>
      <c r="H275" s="15"/>
      <c r="I275" s="15"/>
      <c r="J275" s="15"/>
      <c r="K275" s="15"/>
      <c r="L275" s="747"/>
      <c r="M275" s="15"/>
      <c r="N275" s="15"/>
      <c r="O275" s="15"/>
      <c r="P275" s="15"/>
      <c r="Q275" s="15"/>
      <c r="R275" s="15"/>
      <c r="S275" s="15"/>
      <c r="T275" s="15"/>
      <c r="U275" s="15"/>
      <c r="V275" s="15"/>
      <c r="W275" s="15"/>
      <c r="X275" s="15"/>
      <c r="Y275" s="15"/>
      <c r="Z275" s="15"/>
      <c r="AA275" s="15"/>
      <c r="AB275" s="15"/>
      <c r="AC275" s="15"/>
      <c r="AD275" s="15"/>
      <c r="AE275" s="15"/>
    </row>
    <row r="276" spans="1:31" x14ac:dyDescent="0.85">
      <c r="A276" s="15"/>
      <c r="B276" s="15"/>
      <c r="C276" s="15"/>
      <c r="D276" s="15"/>
      <c r="E276" s="15"/>
      <c r="F276" s="15"/>
      <c r="G276" s="15"/>
      <c r="H276" s="15"/>
      <c r="I276" s="15"/>
      <c r="J276" s="15"/>
      <c r="K276" s="15"/>
      <c r="L276" s="747"/>
      <c r="M276" s="15"/>
      <c r="N276" s="15"/>
      <c r="O276" s="15"/>
      <c r="P276" s="15"/>
      <c r="Q276" s="15"/>
      <c r="R276" s="15"/>
      <c r="S276" s="15"/>
      <c r="T276" s="15"/>
      <c r="U276" s="15"/>
      <c r="V276" s="15"/>
      <c r="W276" s="15"/>
      <c r="X276" s="15"/>
      <c r="Y276" s="15"/>
      <c r="Z276" s="15"/>
      <c r="AA276" s="15"/>
      <c r="AB276" s="15"/>
      <c r="AC276" s="15"/>
      <c r="AD276" s="15"/>
      <c r="AE276" s="15"/>
    </row>
    <row r="277" spans="1:31" x14ac:dyDescent="0.85">
      <c r="A277" s="15"/>
      <c r="B277" s="15"/>
      <c r="C277" s="15"/>
      <c r="D277" s="15"/>
      <c r="E277" s="15"/>
      <c r="F277" s="15"/>
      <c r="G277" s="15"/>
      <c r="H277" s="15"/>
      <c r="I277" s="15"/>
      <c r="J277" s="15"/>
      <c r="K277" s="15"/>
      <c r="L277" s="747"/>
      <c r="M277" s="15"/>
      <c r="N277" s="15"/>
      <c r="O277" s="15"/>
      <c r="P277" s="15"/>
      <c r="Q277" s="15"/>
      <c r="R277" s="15"/>
      <c r="S277" s="15"/>
      <c r="T277" s="15"/>
      <c r="U277" s="15"/>
      <c r="V277" s="15"/>
      <c r="W277" s="15"/>
      <c r="X277" s="15"/>
      <c r="Y277" s="15"/>
      <c r="Z277" s="15"/>
      <c r="AA277" s="15"/>
      <c r="AB277" s="15"/>
      <c r="AC277" s="15"/>
      <c r="AD277" s="15"/>
      <c r="AE277" s="15"/>
    </row>
    <row r="278" spans="1:31" x14ac:dyDescent="0.85">
      <c r="A278" s="15"/>
      <c r="B278" s="15"/>
      <c r="C278" s="15"/>
      <c r="D278" s="15"/>
      <c r="E278" s="15"/>
      <c r="F278" s="15"/>
      <c r="G278" s="15"/>
      <c r="H278" s="15"/>
      <c r="I278" s="15"/>
      <c r="J278" s="15"/>
      <c r="K278" s="15"/>
      <c r="L278" s="747"/>
      <c r="M278" s="15"/>
      <c r="N278" s="15"/>
      <c r="O278" s="15"/>
      <c r="P278" s="15"/>
      <c r="Q278" s="15"/>
      <c r="R278" s="15"/>
      <c r="S278" s="15"/>
      <c r="T278" s="15"/>
      <c r="U278" s="15"/>
      <c r="V278" s="15"/>
      <c r="W278" s="15"/>
      <c r="X278" s="15"/>
      <c r="Y278" s="15"/>
      <c r="Z278" s="15"/>
      <c r="AA278" s="15"/>
      <c r="AB278" s="15"/>
      <c r="AC278" s="15"/>
      <c r="AD278" s="15"/>
      <c r="AE278" s="15"/>
    </row>
    <row r="279" spans="1:31" x14ac:dyDescent="0.85">
      <c r="A279" s="15"/>
      <c r="B279" s="15"/>
      <c r="C279" s="15"/>
      <c r="D279" s="15"/>
      <c r="E279" s="15"/>
      <c r="F279" s="15"/>
      <c r="G279" s="15"/>
      <c r="H279" s="15"/>
      <c r="I279" s="15"/>
      <c r="J279" s="15"/>
      <c r="K279" s="15"/>
      <c r="L279" s="747"/>
      <c r="M279" s="15"/>
      <c r="N279" s="15"/>
      <c r="O279" s="15"/>
      <c r="P279" s="15"/>
      <c r="Q279" s="15"/>
      <c r="R279" s="15"/>
      <c r="S279" s="15"/>
      <c r="T279" s="15"/>
      <c r="U279" s="15"/>
      <c r="V279" s="15"/>
      <c r="W279" s="15"/>
      <c r="X279" s="15"/>
      <c r="Y279" s="15"/>
      <c r="Z279" s="15"/>
      <c r="AA279" s="15"/>
      <c r="AB279" s="15"/>
      <c r="AC279" s="15"/>
      <c r="AD279" s="15"/>
      <c r="AE279" s="15"/>
    </row>
    <row r="280" spans="1:31" x14ac:dyDescent="0.85">
      <c r="A280" s="15"/>
      <c r="B280" s="15"/>
      <c r="C280" s="15"/>
      <c r="D280" s="15"/>
      <c r="E280" s="15"/>
      <c r="F280" s="15"/>
      <c r="G280" s="15"/>
      <c r="H280" s="15"/>
      <c r="I280" s="15"/>
      <c r="J280" s="15"/>
      <c r="K280" s="15"/>
      <c r="L280" s="747"/>
      <c r="M280" s="15"/>
      <c r="N280" s="15"/>
      <c r="O280" s="15"/>
      <c r="P280" s="15"/>
      <c r="Q280" s="15"/>
      <c r="R280" s="15"/>
      <c r="S280" s="15"/>
      <c r="T280" s="15"/>
      <c r="U280" s="15"/>
      <c r="V280" s="15"/>
      <c r="W280" s="15"/>
      <c r="X280" s="15"/>
      <c r="Y280" s="15"/>
      <c r="Z280" s="15"/>
      <c r="AA280" s="15"/>
      <c r="AB280" s="15"/>
      <c r="AC280" s="15"/>
      <c r="AD280" s="15"/>
      <c r="AE280" s="15"/>
    </row>
    <row r="281" spans="1:31" x14ac:dyDescent="0.85">
      <c r="A281" s="15"/>
      <c r="B281" s="15"/>
      <c r="C281" s="15"/>
      <c r="D281" s="15"/>
      <c r="E281" s="15"/>
      <c r="F281" s="15"/>
      <c r="G281" s="15"/>
      <c r="H281" s="15"/>
      <c r="I281" s="15"/>
      <c r="J281" s="15"/>
      <c r="K281" s="15"/>
      <c r="L281" s="747"/>
      <c r="M281" s="15"/>
      <c r="N281" s="15"/>
      <c r="O281" s="15"/>
      <c r="P281" s="15"/>
      <c r="Q281" s="15"/>
      <c r="R281" s="15"/>
      <c r="S281" s="15"/>
      <c r="T281" s="15"/>
      <c r="U281" s="15"/>
      <c r="V281" s="15"/>
      <c r="W281" s="15"/>
      <c r="X281" s="15"/>
      <c r="Y281" s="15"/>
      <c r="Z281" s="15"/>
      <c r="AA281" s="15"/>
      <c r="AB281" s="15"/>
      <c r="AC281" s="15"/>
      <c r="AD281" s="15"/>
      <c r="AE281" s="15"/>
    </row>
    <row r="282" spans="1:31" x14ac:dyDescent="0.85">
      <c r="A282" s="15"/>
      <c r="B282" s="15"/>
      <c r="C282" s="15"/>
      <c r="D282" s="15"/>
      <c r="E282" s="15"/>
      <c r="F282" s="15"/>
      <c r="G282" s="15"/>
      <c r="H282" s="15"/>
      <c r="I282" s="15"/>
      <c r="J282" s="15"/>
      <c r="K282" s="15"/>
      <c r="L282" s="747"/>
      <c r="M282" s="15"/>
      <c r="N282" s="15"/>
      <c r="O282" s="15"/>
      <c r="P282" s="15"/>
      <c r="Q282" s="15"/>
      <c r="R282" s="15"/>
      <c r="S282" s="15"/>
      <c r="T282" s="15"/>
      <c r="U282" s="15"/>
      <c r="V282" s="15"/>
      <c r="W282" s="15"/>
      <c r="X282" s="15"/>
      <c r="Y282" s="15"/>
      <c r="Z282" s="15"/>
      <c r="AA282" s="15"/>
      <c r="AB282" s="15"/>
      <c r="AC282" s="15"/>
      <c r="AD282" s="15"/>
      <c r="AE282" s="15"/>
    </row>
    <row r="283" spans="1:31" x14ac:dyDescent="0.85">
      <c r="A283" s="15"/>
      <c r="B283" s="15"/>
      <c r="C283" s="15"/>
      <c r="D283" s="15"/>
      <c r="E283" s="15"/>
      <c r="F283" s="15"/>
      <c r="G283" s="15"/>
      <c r="H283" s="15"/>
      <c r="I283" s="15"/>
      <c r="J283" s="15"/>
      <c r="K283" s="15"/>
      <c r="L283" s="747"/>
      <c r="M283" s="15"/>
      <c r="N283" s="15"/>
      <c r="O283" s="15"/>
      <c r="P283" s="15"/>
      <c r="Q283" s="15"/>
      <c r="R283" s="15"/>
      <c r="S283" s="15"/>
      <c r="T283" s="15"/>
      <c r="U283" s="15"/>
      <c r="V283" s="15"/>
      <c r="W283" s="15"/>
      <c r="X283" s="15"/>
      <c r="Y283" s="15"/>
      <c r="Z283" s="15"/>
      <c r="AA283" s="15"/>
      <c r="AB283" s="15"/>
      <c r="AC283" s="15"/>
      <c r="AD283" s="15"/>
      <c r="AE283" s="15"/>
    </row>
    <row r="284" spans="1:31" x14ac:dyDescent="0.85">
      <c r="A284" s="15"/>
      <c r="B284" s="15"/>
      <c r="C284" s="15"/>
      <c r="D284" s="15"/>
      <c r="E284" s="15"/>
      <c r="F284" s="15"/>
      <c r="G284" s="15"/>
      <c r="H284" s="15"/>
      <c r="I284" s="15"/>
      <c r="J284" s="15"/>
      <c r="K284" s="15"/>
      <c r="L284" s="747"/>
      <c r="M284" s="15"/>
      <c r="N284" s="15"/>
      <c r="O284" s="15"/>
      <c r="P284" s="15"/>
      <c r="Q284" s="15"/>
      <c r="R284" s="15"/>
      <c r="S284" s="15"/>
      <c r="T284" s="15"/>
      <c r="U284" s="15"/>
      <c r="V284" s="15"/>
      <c r="W284" s="15"/>
      <c r="X284" s="15"/>
      <c r="Y284" s="15"/>
      <c r="Z284" s="15"/>
      <c r="AA284" s="15"/>
      <c r="AB284" s="15"/>
      <c r="AC284" s="15"/>
      <c r="AD284" s="15"/>
      <c r="AE284" s="15"/>
    </row>
    <row r="285" spans="1:31" x14ac:dyDescent="0.85">
      <c r="A285" s="15"/>
      <c r="B285" s="15"/>
      <c r="C285" s="15"/>
      <c r="D285" s="15"/>
      <c r="E285" s="15"/>
      <c r="F285" s="15"/>
      <c r="G285" s="15"/>
      <c r="H285" s="15"/>
      <c r="I285" s="15"/>
      <c r="J285" s="15"/>
      <c r="K285" s="15"/>
      <c r="L285" s="747"/>
      <c r="M285" s="15"/>
      <c r="N285" s="15"/>
      <c r="O285" s="15"/>
      <c r="P285" s="15"/>
      <c r="Q285" s="15"/>
      <c r="R285" s="15"/>
      <c r="S285" s="15"/>
      <c r="T285" s="15"/>
      <c r="U285" s="15"/>
      <c r="V285" s="15"/>
      <c r="W285" s="15"/>
      <c r="X285" s="15"/>
      <c r="Y285" s="15"/>
      <c r="Z285" s="15"/>
      <c r="AA285" s="15"/>
      <c r="AB285" s="15"/>
      <c r="AC285" s="15"/>
      <c r="AD285" s="15"/>
      <c r="AE285" s="15"/>
    </row>
    <row r="286" spans="1:31" x14ac:dyDescent="0.85">
      <c r="A286" s="15"/>
      <c r="B286" s="15"/>
      <c r="C286" s="15"/>
      <c r="D286" s="15"/>
      <c r="E286" s="15"/>
      <c r="F286" s="15"/>
      <c r="G286" s="15"/>
      <c r="H286" s="15"/>
      <c r="I286" s="15"/>
      <c r="J286" s="15"/>
      <c r="K286" s="15"/>
      <c r="L286" s="747"/>
      <c r="M286" s="15"/>
      <c r="N286" s="15"/>
      <c r="O286" s="15"/>
      <c r="P286" s="15"/>
      <c r="Q286" s="15"/>
      <c r="R286" s="15"/>
      <c r="S286" s="15"/>
      <c r="T286" s="15"/>
      <c r="U286" s="15"/>
      <c r="V286" s="15"/>
      <c r="W286" s="15"/>
      <c r="X286" s="15"/>
      <c r="Y286" s="15"/>
      <c r="Z286" s="15"/>
      <c r="AA286" s="15"/>
      <c r="AB286" s="15"/>
      <c r="AC286" s="15"/>
      <c r="AD286" s="15"/>
      <c r="AE286" s="15"/>
    </row>
    <row r="287" spans="1:31" x14ac:dyDescent="0.85">
      <c r="A287" s="15"/>
      <c r="B287" s="15"/>
      <c r="C287" s="15"/>
      <c r="D287" s="15"/>
      <c r="E287" s="15"/>
      <c r="F287" s="15"/>
      <c r="G287" s="15"/>
      <c r="H287" s="15"/>
      <c r="I287" s="15"/>
      <c r="J287" s="15"/>
      <c r="K287" s="15"/>
      <c r="L287" s="747"/>
      <c r="M287" s="15"/>
      <c r="N287" s="15"/>
      <c r="O287" s="15"/>
      <c r="P287" s="15"/>
      <c r="Q287" s="15"/>
      <c r="R287" s="15"/>
      <c r="S287" s="15"/>
      <c r="T287" s="15"/>
      <c r="U287" s="15"/>
      <c r="V287" s="15"/>
      <c r="W287" s="15"/>
      <c r="X287" s="15"/>
      <c r="Y287" s="15"/>
      <c r="Z287" s="15"/>
      <c r="AA287" s="15"/>
      <c r="AB287" s="15"/>
      <c r="AC287" s="15"/>
      <c r="AD287" s="15"/>
      <c r="AE287" s="15"/>
    </row>
    <row r="288" spans="1:31" x14ac:dyDescent="0.85">
      <c r="A288" s="15"/>
      <c r="B288" s="15"/>
      <c r="C288" s="15"/>
      <c r="D288" s="15"/>
      <c r="E288" s="15"/>
      <c r="F288" s="15"/>
      <c r="G288" s="15"/>
      <c r="H288" s="15"/>
      <c r="I288" s="15"/>
      <c r="J288" s="15"/>
      <c r="K288" s="15"/>
      <c r="L288" s="747"/>
      <c r="M288" s="15"/>
      <c r="N288" s="15"/>
      <c r="O288" s="15"/>
      <c r="P288" s="15"/>
      <c r="Q288" s="15"/>
      <c r="R288" s="15"/>
      <c r="S288" s="15"/>
      <c r="T288" s="15"/>
      <c r="U288" s="15"/>
      <c r="V288" s="15"/>
      <c r="W288" s="15"/>
      <c r="X288" s="15"/>
      <c r="Y288" s="15"/>
      <c r="Z288" s="15"/>
      <c r="AA288" s="15"/>
      <c r="AB288" s="15"/>
      <c r="AC288" s="15"/>
      <c r="AD288" s="15"/>
      <c r="AE288" s="15"/>
    </row>
    <row r="289" spans="1:31" x14ac:dyDescent="0.85">
      <c r="A289" s="15"/>
      <c r="B289" s="15"/>
      <c r="C289" s="15"/>
      <c r="D289" s="15"/>
      <c r="E289" s="15"/>
      <c r="F289" s="15"/>
      <c r="G289" s="15"/>
      <c r="H289" s="15"/>
      <c r="I289" s="15"/>
      <c r="J289" s="15"/>
      <c r="K289" s="15"/>
      <c r="L289" s="747"/>
      <c r="M289" s="15"/>
      <c r="N289" s="15"/>
      <c r="O289" s="15"/>
      <c r="P289" s="15"/>
      <c r="Q289" s="15"/>
      <c r="R289" s="15"/>
      <c r="S289" s="15"/>
      <c r="T289" s="15"/>
      <c r="U289" s="15"/>
      <c r="V289" s="15"/>
      <c r="W289" s="15"/>
      <c r="X289" s="15"/>
      <c r="Y289" s="15"/>
      <c r="Z289" s="15"/>
      <c r="AA289" s="15"/>
      <c r="AB289" s="15"/>
      <c r="AC289" s="15"/>
      <c r="AD289" s="15"/>
      <c r="AE289" s="15"/>
    </row>
    <row r="290" spans="1:31" x14ac:dyDescent="0.85">
      <c r="A290" s="15"/>
      <c r="B290" s="15"/>
      <c r="C290" s="15"/>
      <c r="D290" s="15"/>
      <c r="E290" s="15"/>
      <c r="F290" s="15"/>
      <c r="G290" s="15"/>
      <c r="H290" s="15"/>
      <c r="I290" s="15"/>
      <c r="J290" s="15"/>
      <c r="K290" s="15"/>
      <c r="L290" s="747"/>
      <c r="M290" s="15"/>
      <c r="N290" s="15"/>
      <c r="O290" s="15"/>
      <c r="P290" s="15"/>
      <c r="Q290" s="15"/>
      <c r="R290" s="15"/>
      <c r="S290" s="15"/>
      <c r="T290" s="15"/>
      <c r="U290" s="15"/>
      <c r="V290" s="15"/>
      <c r="W290" s="15"/>
      <c r="X290" s="15"/>
      <c r="Y290" s="15"/>
      <c r="Z290" s="15"/>
      <c r="AA290" s="15"/>
      <c r="AB290" s="15"/>
      <c r="AC290" s="15"/>
      <c r="AD290" s="15"/>
      <c r="AE290" s="15"/>
    </row>
    <row r="291" spans="1:31" x14ac:dyDescent="0.85">
      <c r="A291" s="15"/>
      <c r="B291" s="15"/>
      <c r="C291" s="15"/>
      <c r="D291" s="15"/>
      <c r="E291" s="15"/>
      <c r="F291" s="15"/>
      <c r="G291" s="15"/>
      <c r="H291" s="15"/>
      <c r="I291" s="15"/>
      <c r="J291" s="15"/>
      <c r="K291" s="15"/>
      <c r="L291" s="747"/>
      <c r="M291" s="15"/>
      <c r="N291" s="15"/>
      <c r="O291" s="15"/>
      <c r="P291" s="15"/>
      <c r="Q291" s="15"/>
      <c r="R291" s="15"/>
      <c r="S291" s="15"/>
      <c r="T291" s="15"/>
      <c r="U291" s="15"/>
      <c r="V291" s="15"/>
      <c r="W291" s="15"/>
      <c r="X291" s="15"/>
      <c r="Y291" s="15"/>
      <c r="Z291" s="15"/>
      <c r="AA291" s="15"/>
      <c r="AB291" s="15"/>
      <c r="AC291" s="15"/>
      <c r="AD291" s="15"/>
      <c r="AE291" s="15"/>
    </row>
    <row r="292" spans="1:31" x14ac:dyDescent="0.85">
      <c r="A292" s="15"/>
      <c r="B292" s="15"/>
      <c r="C292" s="15"/>
      <c r="D292" s="15"/>
      <c r="E292" s="15"/>
      <c r="F292" s="15"/>
      <c r="G292" s="15"/>
      <c r="H292" s="15"/>
      <c r="I292" s="15"/>
      <c r="J292" s="15"/>
      <c r="K292" s="15"/>
      <c r="L292" s="747"/>
      <c r="M292" s="15"/>
      <c r="N292" s="15"/>
      <c r="O292" s="15"/>
      <c r="P292" s="15"/>
      <c r="Q292" s="15"/>
      <c r="R292" s="15"/>
      <c r="S292" s="15"/>
      <c r="T292" s="15"/>
      <c r="U292" s="15"/>
      <c r="V292" s="15"/>
      <c r="W292" s="15"/>
      <c r="X292" s="15"/>
      <c r="Y292" s="15"/>
      <c r="Z292" s="15"/>
      <c r="AA292" s="15"/>
      <c r="AB292" s="15"/>
      <c r="AC292" s="15"/>
      <c r="AD292" s="15"/>
      <c r="AE292" s="15"/>
    </row>
    <row r="293" spans="1:31" x14ac:dyDescent="0.85">
      <c r="A293" s="15"/>
      <c r="B293" s="15"/>
      <c r="C293" s="15"/>
      <c r="D293" s="15"/>
      <c r="E293" s="15"/>
      <c r="F293" s="15"/>
      <c r="G293" s="15"/>
      <c r="H293" s="15"/>
      <c r="I293" s="15"/>
      <c r="J293" s="15"/>
      <c r="K293" s="15"/>
      <c r="L293" s="747"/>
      <c r="M293" s="15"/>
      <c r="N293" s="15"/>
      <c r="O293" s="15"/>
      <c r="P293" s="15"/>
      <c r="Q293" s="15"/>
      <c r="R293" s="15"/>
      <c r="S293" s="15"/>
      <c r="T293" s="15"/>
      <c r="U293" s="15"/>
      <c r="V293" s="15"/>
      <c r="W293" s="15"/>
      <c r="X293" s="15"/>
      <c r="Y293" s="15"/>
      <c r="Z293" s="15"/>
      <c r="AA293" s="15"/>
      <c r="AB293" s="15"/>
      <c r="AC293" s="15"/>
      <c r="AD293" s="15"/>
      <c r="AE293" s="15"/>
    </row>
    <row r="294" spans="1:31" x14ac:dyDescent="0.85">
      <c r="A294" s="15"/>
      <c r="B294" s="15"/>
      <c r="C294" s="15"/>
      <c r="D294" s="15"/>
      <c r="E294" s="15"/>
      <c r="F294" s="15"/>
      <c r="G294" s="15"/>
      <c r="H294" s="15"/>
      <c r="I294" s="15"/>
      <c r="J294" s="15"/>
      <c r="K294" s="15"/>
      <c r="L294" s="747"/>
      <c r="M294" s="15"/>
      <c r="N294" s="15"/>
      <c r="O294" s="15"/>
      <c r="P294" s="15"/>
      <c r="Q294" s="15"/>
      <c r="R294" s="15"/>
      <c r="S294" s="15"/>
      <c r="T294" s="15"/>
      <c r="U294" s="15"/>
      <c r="V294" s="15"/>
      <c r="W294" s="15"/>
      <c r="X294" s="15"/>
      <c r="Y294" s="15"/>
      <c r="Z294" s="15"/>
      <c r="AA294" s="15"/>
      <c r="AB294" s="15"/>
      <c r="AC294" s="15"/>
      <c r="AD294" s="15"/>
      <c r="AE294" s="15"/>
    </row>
    <row r="295" spans="1:31" x14ac:dyDescent="0.85">
      <c r="A295" s="15"/>
      <c r="B295" s="15"/>
      <c r="C295" s="15"/>
      <c r="D295" s="15"/>
      <c r="E295" s="15"/>
      <c r="F295" s="15"/>
      <c r="G295" s="15"/>
      <c r="H295" s="15"/>
      <c r="I295" s="15"/>
      <c r="J295" s="15"/>
      <c r="K295" s="15"/>
      <c r="L295" s="747"/>
      <c r="M295" s="15"/>
      <c r="N295" s="15"/>
      <c r="O295" s="15"/>
      <c r="P295" s="15"/>
      <c r="Q295" s="15"/>
      <c r="R295" s="15"/>
      <c r="S295" s="15"/>
      <c r="T295" s="15"/>
      <c r="U295" s="15"/>
      <c r="V295" s="15"/>
      <c r="W295" s="15"/>
      <c r="X295" s="15"/>
      <c r="Y295" s="15"/>
      <c r="Z295" s="15"/>
      <c r="AA295" s="15"/>
      <c r="AB295" s="15"/>
      <c r="AC295" s="15"/>
      <c r="AD295" s="15"/>
      <c r="AE295" s="15"/>
    </row>
    <row r="296" spans="1:31" x14ac:dyDescent="0.85">
      <c r="A296" s="15"/>
      <c r="B296" s="15"/>
      <c r="C296" s="15"/>
      <c r="D296" s="15"/>
      <c r="E296" s="15"/>
      <c r="F296" s="15"/>
      <c r="G296" s="15"/>
      <c r="H296" s="15"/>
      <c r="I296" s="15"/>
      <c r="J296" s="15"/>
      <c r="K296" s="15"/>
      <c r="L296" s="747"/>
      <c r="M296" s="15"/>
      <c r="N296" s="15"/>
      <c r="O296" s="15"/>
      <c r="P296" s="15"/>
      <c r="Q296" s="15"/>
      <c r="R296" s="15"/>
      <c r="S296" s="15"/>
      <c r="T296" s="15"/>
      <c r="U296" s="15"/>
      <c r="V296" s="15"/>
      <c r="W296" s="15"/>
      <c r="X296" s="15"/>
      <c r="Y296" s="15"/>
      <c r="Z296" s="15"/>
      <c r="AA296" s="15"/>
      <c r="AB296" s="15"/>
      <c r="AC296" s="15"/>
      <c r="AD296" s="15"/>
      <c r="AE296" s="15"/>
    </row>
    <row r="297" spans="1:31" x14ac:dyDescent="0.85">
      <c r="A297" s="15"/>
      <c r="B297" s="15"/>
      <c r="C297" s="15"/>
      <c r="D297" s="15"/>
      <c r="E297" s="15"/>
      <c r="F297" s="15"/>
      <c r="G297" s="15"/>
      <c r="H297" s="15"/>
      <c r="I297" s="15"/>
      <c r="J297" s="15"/>
      <c r="K297" s="15"/>
      <c r="L297" s="747"/>
      <c r="M297" s="15"/>
      <c r="N297" s="15"/>
      <c r="O297" s="15"/>
      <c r="P297" s="15"/>
      <c r="Q297" s="15"/>
      <c r="R297" s="15"/>
      <c r="S297" s="15"/>
      <c r="T297" s="15"/>
      <c r="U297" s="15"/>
      <c r="V297" s="15"/>
      <c r="W297" s="15"/>
      <c r="X297" s="15"/>
      <c r="Y297" s="15"/>
      <c r="Z297" s="15"/>
      <c r="AA297" s="15"/>
      <c r="AB297" s="15"/>
      <c r="AC297" s="15"/>
      <c r="AD297" s="15"/>
      <c r="AE297" s="15"/>
    </row>
    <row r="298" spans="1:31" x14ac:dyDescent="0.85">
      <c r="A298" s="15"/>
      <c r="B298" s="15"/>
      <c r="C298" s="15"/>
      <c r="D298" s="15"/>
      <c r="E298" s="15"/>
      <c r="F298" s="15"/>
      <c r="G298" s="15"/>
      <c r="H298" s="15"/>
      <c r="I298" s="15"/>
      <c r="J298" s="15"/>
      <c r="K298" s="15"/>
      <c r="L298" s="747"/>
      <c r="M298" s="15"/>
      <c r="N298" s="15"/>
      <c r="O298" s="15"/>
      <c r="P298" s="15"/>
      <c r="Q298" s="15"/>
      <c r="R298" s="15"/>
      <c r="S298" s="15"/>
      <c r="T298" s="15"/>
      <c r="U298" s="15"/>
      <c r="V298" s="15"/>
      <c r="W298" s="15"/>
      <c r="X298" s="15"/>
      <c r="Y298" s="15"/>
      <c r="Z298" s="15"/>
      <c r="AA298" s="15"/>
      <c r="AB298" s="15"/>
      <c r="AC298" s="15"/>
      <c r="AD298" s="15"/>
      <c r="AE298" s="15"/>
    </row>
    <row r="299" spans="1:31" x14ac:dyDescent="0.85">
      <c r="A299" s="15"/>
      <c r="B299" s="15"/>
      <c r="C299" s="15"/>
      <c r="D299" s="15"/>
      <c r="E299" s="15"/>
      <c r="F299" s="15"/>
      <c r="G299" s="15"/>
      <c r="H299" s="15"/>
      <c r="I299" s="15"/>
      <c r="J299" s="15"/>
      <c r="K299" s="15"/>
      <c r="L299" s="747"/>
      <c r="M299" s="15"/>
      <c r="N299" s="15"/>
      <c r="O299" s="15"/>
      <c r="P299" s="15"/>
      <c r="Q299" s="15"/>
      <c r="R299" s="15"/>
      <c r="S299" s="15"/>
      <c r="T299" s="15"/>
      <c r="U299" s="15"/>
      <c r="V299" s="15"/>
      <c r="W299" s="15"/>
      <c r="X299" s="15"/>
      <c r="Y299" s="15"/>
      <c r="Z299" s="15"/>
      <c r="AA299" s="15"/>
      <c r="AB299" s="15"/>
      <c r="AC299" s="15"/>
      <c r="AD299" s="15"/>
      <c r="AE299" s="15"/>
    </row>
    <row r="300" spans="1:31" x14ac:dyDescent="0.85">
      <c r="A300" s="15"/>
      <c r="B300" s="15"/>
      <c r="C300" s="15"/>
      <c r="D300" s="15"/>
      <c r="E300" s="15"/>
      <c r="F300" s="15"/>
      <c r="G300" s="15"/>
      <c r="H300" s="15"/>
      <c r="I300" s="15"/>
      <c r="J300" s="15"/>
      <c r="K300" s="15"/>
      <c r="L300" s="747"/>
      <c r="M300" s="15"/>
      <c r="N300" s="15"/>
      <c r="O300" s="15"/>
      <c r="P300" s="15"/>
      <c r="Q300" s="15"/>
      <c r="R300" s="15"/>
      <c r="S300" s="15"/>
      <c r="T300" s="15"/>
      <c r="U300" s="15"/>
      <c r="V300" s="15"/>
      <c r="W300" s="15"/>
      <c r="X300" s="15"/>
      <c r="Y300" s="15"/>
      <c r="Z300" s="15"/>
      <c r="AA300" s="15"/>
      <c r="AB300" s="15"/>
      <c r="AC300" s="15"/>
      <c r="AD300" s="15"/>
      <c r="AE300" s="15"/>
    </row>
    <row r="301" spans="1:31" x14ac:dyDescent="0.85">
      <c r="A301" s="15"/>
      <c r="B301" s="15"/>
      <c r="C301" s="15"/>
      <c r="D301" s="15"/>
      <c r="E301" s="15"/>
      <c r="F301" s="15"/>
      <c r="G301" s="15"/>
      <c r="H301" s="15"/>
      <c r="I301" s="15"/>
      <c r="J301" s="15"/>
      <c r="K301" s="15"/>
      <c r="L301" s="747"/>
      <c r="M301" s="15"/>
      <c r="N301" s="15"/>
      <c r="O301" s="15"/>
      <c r="P301" s="15"/>
      <c r="Q301" s="15"/>
      <c r="R301" s="15"/>
      <c r="S301" s="15"/>
      <c r="T301" s="15"/>
      <c r="U301" s="15"/>
      <c r="V301" s="15"/>
      <c r="W301" s="15"/>
      <c r="X301" s="15"/>
      <c r="Y301" s="15"/>
      <c r="Z301" s="15"/>
      <c r="AA301" s="15"/>
      <c r="AB301" s="15"/>
      <c r="AC301" s="15"/>
      <c r="AD301" s="15"/>
      <c r="AE301" s="15"/>
    </row>
    <row r="302" spans="1:31" x14ac:dyDescent="0.85">
      <c r="A302" s="15"/>
      <c r="B302" s="15"/>
      <c r="C302" s="15"/>
      <c r="D302" s="15"/>
      <c r="E302" s="15"/>
      <c r="F302" s="15"/>
      <c r="G302" s="15"/>
      <c r="H302" s="15"/>
      <c r="I302" s="15"/>
      <c r="J302" s="15"/>
      <c r="K302" s="15"/>
      <c r="L302" s="747"/>
      <c r="M302" s="15"/>
      <c r="N302" s="15"/>
      <c r="O302" s="15"/>
      <c r="P302" s="15"/>
      <c r="Q302" s="15"/>
      <c r="R302" s="15"/>
      <c r="S302" s="15"/>
      <c r="T302" s="15"/>
      <c r="U302" s="15"/>
      <c r="V302" s="15"/>
      <c r="W302" s="15"/>
      <c r="X302" s="15"/>
      <c r="Y302" s="15"/>
      <c r="Z302" s="15"/>
      <c r="AA302" s="15"/>
      <c r="AB302" s="15"/>
      <c r="AC302" s="15"/>
      <c r="AD302" s="15"/>
      <c r="AE302" s="15"/>
    </row>
    <row r="303" spans="1:31" x14ac:dyDescent="0.85">
      <c r="A303" s="15"/>
      <c r="B303" s="15"/>
      <c r="C303" s="15"/>
      <c r="D303" s="15"/>
      <c r="E303" s="15"/>
      <c r="F303" s="15"/>
      <c r="G303" s="15"/>
      <c r="H303" s="15"/>
      <c r="I303" s="15"/>
      <c r="J303" s="15"/>
      <c r="K303" s="15"/>
      <c r="L303" s="747"/>
      <c r="M303" s="15"/>
      <c r="N303" s="15"/>
      <c r="O303" s="15"/>
      <c r="P303" s="15"/>
      <c r="Q303" s="15"/>
      <c r="R303" s="15"/>
      <c r="S303" s="15"/>
      <c r="T303" s="15"/>
      <c r="U303" s="15"/>
      <c r="V303" s="15"/>
      <c r="W303" s="15"/>
      <c r="X303" s="15"/>
      <c r="Y303" s="15"/>
      <c r="Z303" s="15"/>
      <c r="AA303" s="15"/>
      <c r="AB303" s="15"/>
      <c r="AC303" s="15"/>
      <c r="AD303" s="15"/>
      <c r="AE303" s="15"/>
    </row>
    <row r="304" spans="1:31" x14ac:dyDescent="0.85">
      <c r="A304" s="15"/>
      <c r="B304" s="15"/>
      <c r="C304" s="15"/>
      <c r="D304" s="15"/>
      <c r="E304" s="15"/>
      <c r="F304" s="15"/>
      <c r="G304" s="15"/>
      <c r="H304" s="15"/>
      <c r="I304" s="15"/>
      <c r="J304" s="15"/>
      <c r="K304" s="15"/>
      <c r="L304" s="747"/>
      <c r="M304" s="15"/>
      <c r="N304" s="15"/>
      <c r="O304" s="15"/>
      <c r="P304" s="15"/>
      <c r="Q304" s="15"/>
      <c r="R304" s="15"/>
      <c r="S304" s="15"/>
      <c r="T304" s="15"/>
      <c r="U304" s="15"/>
      <c r="V304" s="15"/>
      <c r="W304" s="15"/>
      <c r="X304" s="15"/>
      <c r="Y304" s="15"/>
      <c r="Z304" s="15"/>
      <c r="AA304" s="15"/>
      <c r="AB304" s="15"/>
      <c r="AC304" s="15"/>
      <c r="AD304" s="15"/>
      <c r="AE304" s="15"/>
    </row>
    <row r="305" spans="1:31" x14ac:dyDescent="0.85">
      <c r="A305" s="15"/>
      <c r="B305" s="15"/>
      <c r="C305" s="15"/>
      <c r="D305" s="15"/>
      <c r="E305" s="15"/>
      <c r="F305" s="15"/>
      <c r="G305" s="15"/>
      <c r="H305" s="15"/>
      <c r="I305" s="15"/>
      <c r="J305" s="15"/>
      <c r="K305" s="15"/>
      <c r="L305" s="747"/>
      <c r="M305" s="15"/>
      <c r="N305" s="15"/>
      <c r="O305" s="15"/>
      <c r="P305" s="15"/>
      <c r="Q305" s="15"/>
      <c r="R305" s="15"/>
      <c r="S305" s="15"/>
      <c r="T305" s="15"/>
      <c r="U305" s="15"/>
      <c r="V305" s="15"/>
      <c r="W305" s="15"/>
      <c r="X305" s="15"/>
      <c r="Y305" s="15"/>
      <c r="Z305" s="15"/>
      <c r="AA305" s="15"/>
      <c r="AB305" s="15"/>
      <c r="AC305" s="15"/>
      <c r="AD305" s="15"/>
      <c r="AE305" s="15"/>
    </row>
    <row r="306" spans="1:31" x14ac:dyDescent="0.85">
      <c r="A306" s="15"/>
      <c r="B306" s="15"/>
      <c r="C306" s="15"/>
      <c r="D306" s="15"/>
      <c r="E306" s="15"/>
      <c r="F306" s="15"/>
      <c r="G306" s="15"/>
      <c r="H306" s="15"/>
      <c r="I306" s="15"/>
      <c r="J306" s="15"/>
      <c r="K306" s="15"/>
      <c r="L306" s="747"/>
      <c r="M306" s="15"/>
      <c r="N306" s="15"/>
      <c r="O306" s="15"/>
      <c r="P306" s="15"/>
      <c r="Q306" s="15"/>
      <c r="R306" s="15"/>
      <c r="S306" s="15"/>
      <c r="T306" s="15"/>
      <c r="U306" s="15"/>
      <c r="V306" s="15"/>
      <c r="W306" s="15"/>
      <c r="X306" s="15"/>
      <c r="Y306" s="15"/>
      <c r="Z306" s="15"/>
      <c r="AA306" s="15"/>
      <c r="AB306" s="15"/>
      <c r="AC306" s="15"/>
      <c r="AD306" s="15"/>
      <c r="AE306" s="15"/>
    </row>
    <row r="307" spans="1:31" x14ac:dyDescent="0.85">
      <c r="A307" s="15"/>
      <c r="B307" s="15"/>
      <c r="C307" s="15"/>
      <c r="D307" s="15"/>
      <c r="E307" s="15"/>
      <c r="F307" s="15"/>
      <c r="G307" s="15"/>
      <c r="H307" s="15"/>
      <c r="I307" s="15"/>
      <c r="J307" s="15"/>
      <c r="K307" s="15"/>
      <c r="L307" s="747"/>
      <c r="M307" s="15"/>
      <c r="N307" s="15"/>
      <c r="O307" s="15"/>
      <c r="P307" s="15"/>
      <c r="Q307" s="15"/>
      <c r="R307" s="15"/>
      <c r="S307" s="15"/>
      <c r="T307" s="15"/>
      <c r="U307" s="15"/>
      <c r="V307" s="15"/>
      <c r="W307" s="15"/>
      <c r="X307" s="15"/>
      <c r="Y307" s="15"/>
      <c r="Z307" s="15"/>
      <c r="AA307" s="15"/>
      <c r="AB307" s="15"/>
      <c r="AC307" s="15"/>
      <c r="AD307" s="15"/>
      <c r="AE307" s="15"/>
    </row>
    <row r="308" spans="1:31" x14ac:dyDescent="0.85">
      <c r="A308" s="15"/>
      <c r="B308" s="15"/>
      <c r="C308" s="15"/>
      <c r="D308" s="15"/>
      <c r="E308" s="15"/>
      <c r="F308" s="15"/>
      <c r="G308" s="15"/>
      <c r="H308" s="15"/>
      <c r="I308" s="15"/>
      <c r="J308" s="15"/>
      <c r="K308" s="15"/>
      <c r="L308" s="747"/>
      <c r="M308" s="15"/>
      <c r="N308" s="15"/>
      <c r="O308" s="15"/>
      <c r="P308" s="15"/>
      <c r="Q308" s="15"/>
      <c r="R308" s="15"/>
      <c r="S308" s="15"/>
      <c r="T308" s="15"/>
      <c r="U308" s="15"/>
      <c r="V308" s="15"/>
      <c r="W308" s="15"/>
      <c r="X308" s="15"/>
      <c r="Y308" s="15"/>
      <c r="Z308" s="15"/>
      <c r="AA308" s="15"/>
      <c r="AB308" s="15"/>
      <c r="AC308" s="15"/>
      <c r="AD308" s="15"/>
      <c r="AE308" s="15"/>
    </row>
    <row r="309" spans="1:31" x14ac:dyDescent="0.85">
      <c r="A309" s="15"/>
      <c r="B309" s="15"/>
      <c r="C309" s="15"/>
      <c r="D309" s="15"/>
      <c r="E309" s="15"/>
      <c r="F309" s="15"/>
      <c r="G309" s="15"/>
      <c r="H309" s="15"/>
      <c r="I309" s="15"/>
      <c r="J309" s="15"/>
      <c r="K309" s="15"/>
      <c r="L309" s="747"/>
      <c r="M309" s="15"/>
      <c r="N309" s="15"/>
      <c r="O309" s="15"/>
      <c r="P309" s="15"/>
      <c r="Q309" s="15"/>
      <c r="R309" s="15"/>
      <c r="S309" s="15"/>
      <c r="T309" s="15"/>
      <c r="U309" s="15"/>
      <c r="V309" s="15"/>
      <c r="W309" s="15"/>
      <c r="X309" s="15"/>
      <c r="Y309" s="15"/>
      <c r="Z309" s="15"/>
      <c r="AA309" s="15"/>
      <c r="AB309" s="15"/>
      <c r="AC309" s="15"/>
      <c r="AD309" s="15"/>
      <c r="AE309" s="15"/>
    </row>
    <row r="310" spans="1:31" x14ac:dyDescent="0.85">
      <c r="A310" s="15"/>
      <c r="B310" s="15"/>
      <c r="C310" s="15"/>
      <c r="D310" s="15"/>
      <c r="E310" s="15"/>
      <c r="F310" s="15"/>
      <c r="G310" s="15"/>
      <c r="H310" s="15"/>
      <c r="I310" s="15"/>
      <c r="J310" s="15"/>
      <c r="K310" s="15"/>
      <c r="L310" s="747"/>
      <c r="M310" s="15"/>
      <c r="N310" s="15"/>
      <c r="O310" s="15"/>
      <c r="P310" s="15"/>
      <c r="Q310" s="15"/>
      <c r="R310" s="15"/>
      <c r="S310" s="15"/>
      <c r="T310" s="15"/>
      <c r="U310" s="15"/>
      <c r="V310" s="15"/>
      <c r="W310" s="15"/>
      <c r="X310" s="15"/>
      <c r="Y310" s="15"/>
      <c r="Z310" s="15"/>
      <c r="AA310" s="15"/>
      <c r="AB310" s="15"/>
      <c r="AC310" s="15"/>
      <c r="AD310" s="15"/>
      <c r="AE310" s="15"/>
    </row>
    <row r="311" spans="1:31" x14ac:dyDescent="0.85">
      <c r="A311" s="15"/>
      <c r="B311" s="15"/>
      <c r="C311" s="15"/>
      <c r="D311" s="15"/>
      <c r="E311" s="15"/>
      <c r="F311" s="15"/>
      <c r="G311" s="15"/>
      <c r="H311" s="15"/>
      <c r="I311" s="15"/>
      <c r="J311" s="15"/>
      <c r="K311" s="15"/>
      <c r="L311" s="747"/>
      <c r="M311" s="15"/>
      <c r="N311" s="15"/>
      <c r="O311" s="15"/>
      <c r="P311" s="15"/>
      <c r="Q311" s="15"/>
      <c r="R311" s="15"/>
      <c r="S311" s="15"/>
      <c r="T311" s="15"/>
      <c r="U311" s="15"/>
      <c r="V311" s="15"/>
      <c r="W311" s="15"/>
      <c r="X311" s="15"/>
      <c r="Y311" s="15"/>
      <c r="Z311" s="15"/>
      <c r="AA311" s="15"/>
      <c r="AB311" s="15"/>
      <c r="AC311" s="15"/>
      <c r="AD311" s="15"/>
      <c r="AE311" s="15"/>
    </row>
    <row r="312" spans="1:31" x14ac:dyDescent="0.85">
      <c r="A312" s="15"/>
      <c r="B312" s="15"/>
      <c r="C312" s="15"/>
      <c r="D312" s="15"/>
      <c r="E312" s="15"/>
      <c r="F312" s="15"/>
      <c r="G312" s="15"/>
      <c r="H312" s="15"/>
      <c r="I312" s="15"/>
      <c r="J312" s="15"/>
      <c r="K312" s="15"/>
      <c r="L312" s="747"/>
      <c r="M312" s="15"/>
      <c r="N312" s="15"/>
      <c r="O312" s="15"/>
      <c r="P312" s="15"/>
      <c r="Q312" s="15"/>
      <c r="R312" s="15"/>
      <c r="S312" s="15"/>
      <c r="T312" s="15"/>
      <c r="U312" s="15"/>
      <c r="V312" s="15"/>
      <c r="W312" s="15"/>
      <c r="X312" s="15"/>
      <c r="Y312" s="15"/>
      <c r="Z312" s="15"/>
      <c r="AA312" s="15"/>
      <c r="AB312" s="15"/>
      <c r="AC312" s="15"/>
      <c r="AD312" s="15"/>
      <c r="AE312" s="15"/>
    </row>
    <row r="313" spans="1:31" x14ac:dyDescent="0.85">
      <c r="A313" s="15"/>
      <c r="B313" s="15"/>
      <c r="C313" s="15"/>
      <c r="D313" s="15"/>
      <c r="E313" s="15"/>
      <c r="F313" s="15"/>
      <c r="G313" s="15"/>
      <c r="H313" s="15"/>
      <c r="I313" s="15"/>
      <c r="J313" s="15"/>
      <c r="K313" s="15"/>
      <c r="L313" s="747"/>
      <c r="M313" s="15"/>
      <c r="N313" s="15"/>
      <c r="O313" s="15"/>
      <c r="P313" s="15"/>
      <c r="Q313" s="15"/>
      <c r="R313" s="15"/>
      <c r="S313" s="15"/>
      <c r="T313" s="15"/>
      <c r="U313" s="15"/>
      <c r="V313" s="15"/>
      <c r="W313" s="15"/>
      <c r="X313" s="15"/>
      <c r="Y313" s="15"/>
      <c r="Z313" s="15"/>
      <c r="AA313" s="15"/>
      <c r="AB313" s="15"/>
      <c r="AC313" s="15"/>
      <c r="AD313" s="15"/>
      <c r="AE313" s="15"/>
    </row>
    <row r="314" spans="1:31" x14ac:dyDescent="0.85">
      <c r="A314" s="15"/>
      <c r="B314" s="15"/>
      <c r="C314" s="15"/>
      <c r="D314" s="15"/>
      <c r="E314" s="15"/>
      <c r="F314" s="15"/>
      <c r="G314" s="15"/>
      <c r="H314" s="15"/>
      <c r="I314" s="15"/>
      <c r="J314" s="15"/>
      <c r="K314" s="15"/>
      <c r="L314" s="747"/>
      <c r="M314" s="15"/>
      <c r="N314" s="15"/>
      <c r="O314" s="15"/>
      <c r="P314" s="15"/>
      <c r="Q314" s="15"/>
      <c r="R314" s="15"/>
      <c r="S314" s="15"/>
      <c r="T314" s="15"/>
      <c r="U314" s="15"/>
      <c r="V314" s="15"/>
      <c r="W314" s="15"/>
      <c r="X314" s="15"/>
      <c r="Y314" s="15"/>
      <c r="Z314" s="15"/>
      <c r="AA314" s="15"/>
      <c r="AB314" s="15"/>
      <c r="AC314" s="15"/>
      <c r="AD314" s="15"/>
      <c r="AE314" s="15"/>
    </row>
    <row r="315" spans="1:31" x14ac:dyDescent="0.85">
      <c r="A315" s="15"/>
      <c r="B315" s="15"/>
      <c r="C315" s="15"/>
      <c r="D315" s="15"/>
      <c r="E315" s="15"/>
      <c r="F315" s="15"/>
      <c r="G315" s="15"/>
      <c r="H315" s="15"/>
      <c r="I315" s="15"/>
      <c r="J315" s="15"/>
      <c r="K315" s="15"/>
      <c r="L315" s="747"/>
      <c r="M315" s="15"/>
      <c r="N315" s="15"/>
      <c r="O315" s="15"/>
      <c r="P315" s="15"/>
      <c r="Q315" s="15"/>
      <c r="R315" s="15"/>
      <c r="S315" s="15"/>
      <c r="T315" s="15"/>
      <c r="U315" s="15"/>
      <c r="V315" s="15"/>
      <c r="W315" s="15"/>
      <c r="X315" s="15"/>
      <c r="Y315" s="15"/>
      <c r="Z315" s="15"/>
      <c r="AA315" s="15"/>
      <c r="AB315" s="15"/>
      <c r="AC315" s="15"/>
      <c r="AD315" s="15"/>
      <c r="AE315" s="15"/>
    </row>
    <row r="316" spans="1:31" x14ac:dyDescent="0.85">
      <c r="A316" s="15"/>
      <c r="B316" s="15"/>
      <c r="C316" s="15"/>
      <c r="D316" s="15"/>
      <c r="E316" s="15"/>
      <c r="F316" s="15"/>
      <c r="G316" s="15"/>
      <c r="H316" s="15"/>
      <c r="I316" s="15"/>
      <c r="J316" s="15"/>
      <c r="K316" s="15"/>
      <c r="L316" s="747"/>
      <c r="M316" s="15"/>
      <c r="N316" s="15"/>
      <c r="O316" s="15"/>
      <c r="P316" s="15"/>
      <c r="Q316" s="15"/>
      <c r="R316" s="15"/>
      <c r="S316" s="15"/>
      <c r="T316" s="15"/>
      <c r="U316" s="15"/>
      <c r="V316" s="15"/>
      <c r="W316" s="15"/>
      <c r="X316" s="15"/>
      <c r="Y316" s="15"/>
      <c r="Z316" s="15"/>
      <c r="AA316" s="15"/>
      <c r="AB316" s="15"/>
      <c r="AC316" s="15"/>
      <c r="AD316" s="15"/>
      <c r="AE316" s="15"/>
    </row>
    <row r="317" spans="1:31" x14ac:dyDescent="0.85">
      <c r="A317" s="15"/>
      <c r="B317" s="15"/>
      <c r="C317" s="15"/>
      <c r="D317" s="15"/>
      <c r="E317" s="15"/>
      <c r="F317" s="15"/>
      <c r="G317" s="15"/>
      <c r="H317" s="15"/>
      <c r="I317" s="15"/>
      <c r="J317" s="15"/>
      <c r="K317" s="15"/>
      <c r="L317" s="747"/>
      <c r="M317" s="15"/>
      <c r="N317" s="15"/>
      <c r="O317" s="15"/>
      <c r="P317" s="15"/>
      <c r="Q317" s="15"/>
      <c r="R317" s="15"/>
      <c r="S317" s="15"/>
      <c r="T317" s="15"/>
      <c r="U317" s="15"/>
      <c r="V317" s="15"/>
      <c r="W317" s="15"/>
      <c r="X317" s="15"/>
      <c r="Y317" s="15"/>
      <c r="Z317" s="15"/>
      <c r="AA317" s="15"/>
      <c r="AB317" s="15"/>
      <c r="AC317" s="15"/>
      <c r="AD317" s="15"/>
      <c r="AE317" s="15"/>
    </row>
    <row r="318" spans="1:31" x14ac:dyDescent="0.85">
      <c r="A318" s="15"/>
      <c r="B318" s="15"/>
      <c r="C318" s="15"/>
      <c r="D318" s="15"/>
      <c r="E318" s="15"/>
      <c r="F318" s="15"/>
      <c r="G318" s="15"/>
      <c r="H318" s="15"/>
      <c r="I318" s="15"/>
      <c r="J318" s="15"/>
      <c r="K318" s="15"/>
      <c r="L318" s="747"/>
      <c r="M318" s="15"/>
      <c r="N318" s="15"/>
      <c r="O318" s="15"/>
      <c r="P318" s="15"/>
      <c r="Q318" s="15"/>
      <c r="R318" s="15"/>
      <c r="S318" s="15"/>
      <c r="T318" s="15"/>
      <c r="U318" s="15"/>
      <c r="V318" s="15"/>
      <c r="W318" s="15"/>
      <c r="X318" s="15"/>
      <c r="Y318" s="15"/>
      <c r="Z318" s="15"/>
      <c r="AA318" s="15"/>
      <c r="AB318" s="15"/>
      <c r="AC318" s="15"/>
      <c r="AD318" s="15"/>
      <c r="AE318" s="15"/>
    </row>
    <row r="319" spans="1:31" x14ac:dyDescent="0.85">
      <c r="A319" s="15"/>
      <c r="B319" s="15"/>
      <c r="C319" s="15"/>
      <c r="D319" s="15"/>
      <c r="E319" s="15"/>
      <c r="F319" s="15"/>
      <c r="G319" s="15"/>
      <c r="H319" s="15"/>
      <c r="I319" s="15"/>
      <c r="J319" s="15"/>
      <c r="K319" s="15"/>
      <c r="L319" s="747"/>
      <c r="M319" s="15"/>
      <c r="N319" s="15"/>
      <c r="O319" s="15"/>
      <c r="P319" s="15"/>
      <c r="Q319" s="15"/>
      <c r="R319" s="15"/>
      <c r="S319" s="15"/>
      <c r="T319" s="15"/>
      <c r="U319" s="15"/>
      <c r="V319" s="15"/>
      <c r="W319" s="15"/>
      <c r="X319" s="15"/>
      <c r="Y319" s="15"/>
      <c r="Z319" s="15"/>
      <c r="AA319" s="15"/>
      <c r="AB319" s="15"/>
      <c r="AC319" s="15"/>
      <c r="AD319" s="15"/>
      <c r="AE319" s="15"/>
    </row>
    <row r="320" spans="1:31" x14ac:dyDescent="0.85">
      <c r="A320" s="15"/>
      <c r="B320" s="15"/>
      <c r="C320" s="15"/>
      <c r="D320" s="15"/>
      <c r="E320" s="15"/>
      <c r="F320" s="15"/>
      <c r="G320" s="15"/>
      <c r="H320" s="15"/>
      <c r="I320" s="15"/>
      <c r="J320" s="15"/>
      <c r="K320" s="15"/>
      <c r="L320" s="747"/>
      <c r="M320" s="15"/>
      <c r="N320" s="15"/>
      <c r="O320" s="15"/>
      <c r="P320" s="15"/>
      <c r="Q320" s="15"/>
      <c r="R320" s="15"/>
      <c r="S320" s="15"/>
      <c r="T320" s="15"/>
      <c r="U320" s="15"/>
      <c r="V320" s="15"/>
      <c r="W320" s="15"/>
      <c r="X320" s="15"/>
      <c r="Y320" s="15"/>
      <c r="Z320" s="15"/>
      <c r="AA320" s="15"/>
      <c r="AB320" s="15"/>
      <c r="AC320" s="15"/>
      <c r="AD320" s="15"/>
      <c r="AE320" s="15"/>
    </row>
    <row r="321" spans="1:31" x14ac:dyDescent="0.85">
      <c r="A321" s="15"/>
      <c r="B321" s="15"/>
      <c r="C321" s="15"/>
      <c r="D321" s="15"/>
      <c r="E321" s="15"/>
      <c r="F321" s="15"/>
      <c r="G321" s="15"/>
      <c r="H321" s="15"/>
      <c r="I321" s="15"/>
      <c r="J321" s="15"/>
      <c r="K321" s="15"/>
      <c r="L321" s="747"/>
      <c r="M321" s="15"/>
      <c r="N321" s="15"/>
      <c r="O321" s="15"/>
      <c r="P321" s="15"/>
      <c r="Q321" s="15"/>
      <c r="R321" s="15"/>
      <c r="S321" s="15"/>
      <c r="T321" s="15"/>
      <c r="U321" s="15"/>
      <c r="V321" s="15"/>
      <c r="W321" s="15"/>
      <c r="X321" s="15"/>
      <c r="Y321" s="15"/>
      <c r="Z321" s="15"/>
      <c r="AA321" s="15"/>
      <c r="AB321" s="15"/>
      <c r="AC321" s="15"/>
      <c r="AD321" s="15"/>
      <c r="AE321" s="15"/>
    </row>
    <row r="322" spans="1:31" x14ac:dyDescent="0.85">
      <c r="A322" s="15"/>
      <c r="B322" s="15"/>
      <c r="C322" s="15"/>
      <c r="D322" s="15"/>
      <c r="E322" s="15"/>
      <c r="F322" s="15"/>
      <c r="G322" s="15"/>
      <c r="H322" s="15"/>
      <c r="I322" s="15"/>
      <c r="J322" s="15"/>
      <c r="K322" s="15"/>
      <c r="L322" s="747"/>
      <c r="M322" s="15"/>
      <c r="N322" s="15"/>
      <c r="O322" s="15"/>
      <c r="P322" s="15"/>
      <c r="Q322" s="15"/>
      <c r="R322" s="15"/>
      <c r="S322" s="15"/>
      <c r="T322" s="15"/>
      <c r="U322" s="15"/>
      <c r="V322" s="15"/>
      <c r="W322" s="15"/>
      <c r="X322" s="15"/>
      <c r="Y322" s="15"/>
      <c r="Z322" s="15"/>
      <c r="AA322" s="15"/>
      <c r="AB322" s="15"/>
      <c r="AC322" s="15"/>
      <c r="AD322" s="15"/>
      <c r="AE322" s="15"/>
    </row>
    <row r="323" spans="1:31" x14ac:dyDescent="0.85">
      <c r="A323" s="15"/>
      <c r="B323" s="15"/>
      <c r="C323" s="15"/>
      <c r="D323" s="15"/>
      <c r="E323" s="15"/>
      <c r="F323" s="15"/>
      <c r="G323" s="15"/>
      <c r="H323" s="15"/>
      <c r="I323" s="15"/>
      <c r="J323" s="15"/>
      <c r="K323" s="15"/>
      <c r="L323" s="747"/>
      <c r="M323" s="15"/>
      <c r="N323" s="15"/>
      <c r="O323" s="15"/>
      <c r="P323" s="15"/>
      <c r="Q323" s="15"/>
      <c r="R323" s="15"/>
      <c r="S323" s="15"/>
      <c r="T323" s="15"/>
      <c r="U323" s="15"/>
      <c r="V323" s="15"/>
      <c r="W323" s="15"/>
      <c r="X323" s="15"/>
      <c r="Y323" s="15"/>
      <c r="Z323" s="15"/>
      <c r="AA323" s="15"/>
      <c r="AB323" s="15"/>
      <c r="AC323" s="15"/>
      <c r="AD323" s="15"/>
      <c r="AE323" s="15"/>
    </row>
    <row r="324" spans="1:31" x14ac:dyDescent="0.85">
      <c r="A324" s="15"/>
      <c r="B324" s="15"/>
      <c r="C324" s="15"/>
      <c r="D324" s="15"/>
      <c r="E324" s="15"/>
      <c r="F324" s="15"/>
      <c r="G324" s="15"/>
      <c r="H324" s="15"/>
      <c r="I324" s="15"/>
      <c r="J324" s="15"/>
      <c r="K324" s="15"/>
      <c r="L324" s="747"/>
      <c r="M324" s="15"/>
      <c r="N324" s="15"/>
      <c r="O324" s="15"/>
      <c r="P324" s="15"/>
      <c r="Q324" s="15"/>
      <c r="R324" s="15"/>
      <c r="S324" s="15"/>
      <c r="T324" s="15"/>
      <c r="U324" s="15"/>
      <c r="V324" s="15"/>
      <c r="W324" s="15"/>
      <c r="X324" s="15"/>
      <c r="Y324" s="15"/>
      <c r="Z324" s="15"/>
      <c r="AA324" s="15"/>
      <c r="AB324" s="15"/>
      <c r="AC324" s="15"/>
      <c r="AD324" s="15"/>
      <c r="AE324" s="15"/>
    </row>
    <row r="325" spans="1:31" x14ac:dyDescent="0.85">
      <c r="A325" s="15"/>
      <c r="B325" s="15"/>
      <c r="C325" s="15"/>
      <c r="D325" s="15"/>
      <c r="E325" s="15"/>
      <c r="F325" s="15"/>
      <c r="G325" s="15"/>
      <c r="H325" s="15"/>
      <c r="I325" s="15"/>
      <c r="J325" s="15"/>
      <c r="K325" s="15"/>
      <c r="L325" s="747"/>
      <c r="M325" s="15"/>
      <c r="N325" s="15"/>
      <c r="O325" s="15"/>
      <c r="P325" s="15"/>
      <c r="Q325" s="15"/>
      <c r="R325" s="15"/>
      <c r="S325" s="15"/>
      <c r="T325" s="15"/>
      <c r="U325" s="15"/>
      <c r="V325" s="15"/>
      <c r="W325" s="15"/>
      <c r="X325" s="15"/>
      <c r="Y325" s="15"/>
      <c r="Z325" s="15"/>
      <c r="AA325" s="15"/>
      <c r="AB325" s="15"/>
      <c r="AC325" s="15"/>
      <c r="AD325" s="15"/>
      <c r="AE325" s="15"/>
    </row>
    <row r="326" spans="1:31" x14ac:dyDescent="0.85">
      <c r="A326" s="15"/>
      <c r="B326" s="15"/>
      <c r="C326" s="15"/>
      <c r="D326" s="15"/>
      <c r="E326" s="15"/>
      <c r="F326" s="15"/>
      <c r="G326" s="15"/>
      <c r="H326" s="15"/>
      <c r="I326" s="15"/>
      <c r="J326" s="15"/>
      <c r="K326" s="15"/>
      <c r="L326" s="747"/>
      <c r="M326" s="15"/>
      <c r="N326" s="15"/>
      <c r="O326" s="15"/>
      <c r="P326" s="15"/>
      <c r="Q326" s="15"/>
      <c r="R326" s="15"/>
      <c r="S326" s="15"/>
      <c r="T326" s="15"/>
      <c r="U326" s="15"/>
      <c r="V326" s="15"/>
      <c r="W326" s="15"/>
      <c r="X326" s="15"/>
      <c r="Y326" s="15"/>
      <c r="Z326" s="15"/>
      <c r="AA326" s="15"/>
      <c r="AB326" s="15"/>
      <c r="AC326" s="15"/>
      <c r="AD326" s="15"/>
      <c r="AE326" s="15"/>
    </row>
    <row r="327" spans="1:31" x14ac:dyDescent="0.85">
      <c r="A327" s="15"/>
      <c r="B327" s="15"/>
      <c r="C327" s="15"/>
      <c r="D327" s="15"/>
      <c r="E327" s="15"/>
      <c r="F327" s="15"/>
      <c r="G327" s="15"/>
      <c r="H327" s="15"/>
      <c r="I327" s="15"/>
      <c r="J327" s="15"/>
      <c r="K327" s="15"/>
      <c r="L327" s="747"/>
      <c r="M327" s="15"/>
      <c r="N327" s="15"/>
      <c r="O327" s="15"/>
      <c r="P327" s="15"/>
      <c r="Q327" s="15"/>
      <c r="R327" s="15"/>
      <c r="S327" s="15"/>
      <c r="T327" s="15"/>
      <c r="U327" s="15"/>
      <c r="V327" s="15"/>
      <c r="W327" s="15"/>
      <c r="X327" s="15"/>
      <c r="Y327" s="15"/>
      <c r="Z327" s="15"/>
      <c r="AA327" s="15"/>
      <c r="AB327" s="15"/>
      <c r="AC327" s="15"/>
      <c r="AD327" s="15"/>
      <c r="AE327" s="15"/>
    </row>
    <row r="328" spans="1:31" x14ac:dyDescent="0.85">
      <c r="A328" s="15"/>
      <c r="B328" s="15"/>
      <c r="C328" s="15"/>
      <c r="D328" s="15"/>
      <c r="E328" s="15"/>
      <c r="F328" s="15"/>
      <c r="G328" s="15"/>
      <c r="H328" s="15"/>
      <c r="I328" s="15"/>
      <c r="J328" s="15"/>
      <c r="K328" s="15"/>
      <c r="L328" s="747"/>
      <c r="M328" s="15"/>
      <c r="N328" s="15"/>
      <c r="O328" s="15"/>
      <c r="P328" s="15"/>
      <c r="Q328" s="15"/>
      <c r="R328" s="15"/>
      <c r="S328" s="15"/>
      <c r="T328" s="15"/>
      <c r="U328" s="15"/>
      <c r="V328" s="15"/>
      <c r="W328" s="15"/>
      <c r="X328" s="15"/>
      <c r="Y328" s="15"/>
      <c r="Z328" s="15"/>
      <c r="AA328" s="15"/>
      <c r="AB328" s="15"/>
      <c r="AC328" s="15"/>
      <c r="AD328" s="15"/>
      <c r="AE328" s="15"/>
    </row>
    <row r="329" spans="1:31" x14ac:dyDescent="0.85">
      <c r="A329" s="15"/>
      <c r="B329" s="15"/>
      <c r="C329" s="15"/>
      <c r="D329" s="15"/>
      <c r="E329" s="15"/>
      <c r="F329" s="15"/>
      <c r="G329" s="15"/>
      <c r="H329" s="15"/>
      <c r="I329" s="15"/>
      <c r="J329" s="15"/>
      <c r="K329" s="15"/>
      <c r="L329" s="747"/>
      <c r="M329" s="15"/>
      <c r="N329" s="15"/>
      <c r="O329" s="15"/>
      <c r="P329" s="15"/>
      <c r="Q329" s="15"/>
      <c r="R329" s="15"/>
      <c r="S329" s="15"/>
      <c r="T329" s="15"/>
      <c r="U329" s="15"/>
      <c r="V329" s="15"/>
      <c r="W329" s="15"/>
      <c r="X329" s="15"/>
      <c r="Y329" s="15"/>
      <c r="Z329" s="15"/>
      <c r="AA329" s="15"/>
      <c r="AB329" s="15"/>
      <c r="AC329" s="15"/>
      <c r="AD329" s="15"/>
      <c r="AE329" s="15"/>
    </row>
    <row r="330" spans="1:31" x14ac:dyDescent="0.85">
      <c r="A330" s="15"/>
      <c r="B330" s="15"/>
      <c r="C330" s="15"/>
      <c r="D330" s="15"/>
      <c r="E330" s="15"/>
      <c r="F330" s="15"/>
      <c r="G330" s="15"/>
      <c r="H330" s="15"/>
      <c r="I330" s="15"/>
      <c r="J330" s="15"/>
      <c r="K330" s="15"/>
      <c r="L330" s="747"/>
      <c r="M330" s="15"/>
      <c r="N330" s="15"/>
      <c r="O330" s="15"/>
      <c r="P330" s="15"/>
      <c r="Q330" s="15"/>
      <c r="R330" s="15"/>
      <c r="S330" s="15"/>
      <c r="T330" s="15"/>
      <c r="U330" s="15"/>
      <c r="V330" s="15"/>
      <c r="W330" s="15"/>
      <c r="X330" s="15"/>
      <c r="Y330" s="15"/>
      <c r="Z330" s="15"/>
      <c r="AA330" s="15"/>
      <c r="AB330" s="15"/>
      <c r="AC330" s="15"/>
      <c r="AD330" s="15"/>
      <c r="AE330" s="15"/>
    </row>
    <row r="331" spans="1:31" x14ac:dyDescent="0.85">
      <c r="A331" s="15"/>
      <c r="B331" s="15"/>
      <c r="C331" s="15"/>
      <c r="D331" s="15"/>
      <c r="E331" s="15"/>
      <c r="F331" s="15"/>
      <c r="G331" s="15"/>
      <c r="H331" s="15"/>
      <c r="I331" s="15"/>
      <c r="J331" s="15"/>
      <c r="K331" s="15"/>
      <c r="L331" s="747"/>
      <c r="M331" s="15"/>
      <c r="N331" s="15"/>
      <c r="O331" s="15"/>
      <c r="P331" s="15"/>
      <c r="Q331" s="15"/>
      <c r="R331" s="15"/>
      <c r="S331" s="15"/>
      <c r="T331" s="15"/>
      <c r="U331" s="15"/>
      <c r="V331" s="15"/>
      <c r="W331" s="15"/>
      <c r="X331" s="15"/>
      <c r="Y331" s="15"/>
      <c r="Z331" s="15"/>
      <c r="AA331" s="15"/>
      <c r="AB331" s="15"/>
      <c r="AC331" s="15"/>
      <c r="AD331" s="15"/>
      <c r="AE331" s="15"/>
    </row>
    <row r="332" spans="1:31" x14ac:dyDescent="0.85">
      <c r="A332" s="15"/>
      <c r="B332" s="15"/>
      <c r="C332" s="15"/>
      <c r="D332" s="15"/>
      <c r="E332" s="15"/>
      <c r="F332" s="15"/>
      <c r="G332" s="15"/>
      <c r="H332" s="15"/>
      <c r="I332" s="15"/>
      <c r="J332" s="15"/>
      <c r="K332" s="15"/>
      <c r="L332" s="747"/>
      <c r="M332" s="15"/>
      <c r="N332" s="15"/>
      <c r="O332" s="15"/>
      <c r="P332" s="15"/>
      <c r="Q332" s="15"/>
      <c r="R332" s="15"/>
      <c r="S332" s="15"/>
      <c r="T332" s="15"/>
      <c r="U332" s="15"/>
      <c r="V332" s="15"/>
      <c r="W332" s="15"/>
      <c r="X332" s="15"/>
      <c r="Y332" s="15"/>
      <c r="Z332" s="15"/>
      <c r="AA332" s="15"/>
      <c r="AB332" s="15"/>
      <c r="AC332" s="15"/>
      <c r="AD332" s="15"/>
      <c r="AE332" s="15"/>
    </row>
    <row r="333" spans="1:31" x14ac:dyDescent="0.85">
      <c r="A333" s="15"/>
      <c r="B333" s="15"/>
      <c r="C333" s="15"/>
      <c r="D333" s="15"/>
      <c r="E333" s="15"/>
      <c r="F333" s="15"/>
      <c r="G333" s="15"/>
      <c r="H333" s="15"/>
      <c r="I333" s="15"/>
      <c r="J333" s="15"/>
      <c r="K333" s="15"/>
      <c r="L333" s="747"/>
      <c r="M333" s="15"/>
      <c r="N333" s="15"/>
      <c r="O333" s="15"/>
      <c r="P333" s="15"/>
      <c r="Q333" s="15"/>
      <c r="R333" s="15"/>
      <c r="S333" s="15"/>
      <c r="T333" s="15"/>
      <c r="U333" s="15"/>
      <c r="V333" s="15"/>
      <c r="W333" s="15"/>
      <c r="X333" s="15"/>
      <c r="Y333" s="15"/>
      <c r="Z333" s="15"/>
      <c r="AA333" s="15"/>
      <c r="AB333" s="15"/>
      <c r="AC333" s="15"/>
      <c r="AD333" s="15"/>
      <c r="AE333" s="15"/>
    </row>
    <row r="334" spans="1:31" x14ac:dyDescent="0.85">
      <c r="A334" s="15"/>
      <c r="B334" s="15"/>
      <c r="C334" s="15"/>
      <c r="D334" s="15"/>
      <c r="E334" s="15"/>
      <c r="F334" s="15"/>
      <c r="G334" s="15"/>
      <c r="H334" s="15"/>
      <c r="I334" s="15"/>
      <c r="J334" s="15"/>
      <c r="K334" s="15"/>
      <c r="L334" s="747"/>
      <c r="M334" s="15"/>
      <c r="N334" s="15"/>
      <c r="O334" s="15"/>
      <c r="P334" s="15"/>
      <c r="Q334" s="15"/>
      <c r="R334" s="15"/>
      <c r="S334" s="15"/>
      <c r="T334" s="15"/>
      <c r="U334" s="15"/>
      <c r="V334" s="15"/>
      <c r="W334" s="15"/>
      <c r="X334" s="15"/>
      <c r="Y334" s="15"/>
      <c r="Z334" s="15"/>
      <c r="AA334" s="15"/>
      <c r="AB334" s="15"/>
      <c r="AC334" s="15"/>
      <c r="AD334" s="15"/>
      <c r="AE334" s="15"/>
    </row>
    <row r="335" spans="1:31" x14ac:dyDescent="0.85">
      <c r="A335" s="15"/>
      <c r="B335" s="15"/>
      <c r="C335" s="15"/>
      <c r="D335" s="15"/>
      <c r="E335" s="15"/>
      <c r="F335" s="15"/>
      <c r="G335" s="15"/>
      <c r="H335" s="15"/>
      <c r="I335" s="15"/>
      <c r="J335" s="15"/>
      <c r="K335" s="15"/>
      <c r="L335" s="747"/>
      <c r="M335" s="15"/>
      <c r="N335" s="15"/>
      <c r="O335" s="15"/>
      <c r="P335" s="15"/>
      <c r="Q335" s="15"/>
      <c r="R335" s="15"/>
      <c r="S335" s="15"/>
      <c r="T335" s="15"/>
      <c r="U335" s="15"/>
      <c r="V335" s="15"/>
      <c r="W335" s="15"/>
      <c r="X335" s="15"/>
      <c r="Y335" s="15"/>
      <c r="Z335" s="15"/>
      <c r="AA335" s="15"/>
      <c r="AB335" s="15"/>
      <c r="AC335" s="15"/>
      <c r="AD335" s="15"/>
      <c r="AE335" s="15"/>
    </row>
    <row r="336" spans="1:31" x14ac:dyDescent="0.85">
      <c r="A336" s="15"/>
      <c r="B336" s="15"/>
      <c r="C336" s="15"/>
      <c r="D336" s="15"/>
      <c r="E336" s="15"/>
      <c r="F336" s="15"/>
      <c r="G336" s="15"/>
      <c r="H336" s="15"/>
      <c r="I336" s="15"/>
      <c r="J336" s="15"/>
      <c r="K336" s="15"/>
      <c r="L336" s="747"/>
      <c r="M336" s="15"/>
      <c r="N336" s="15"/>
      <c r="O336" s="15"/>
      <c r="P336" s="15"/>
      <c r="Q336" s="15"/>
      <c r="R336" s="15"/>
      <c r="S336" s="15"/>
      <c r="T336" s="15"/>
      <c r="U336" s="15"/>
      <c r="V336" s="15"/>
      <c r="W336" s="15"/>
      <c r="X336" s="15"/>
      <c r="Y336" s="15"/>
      <c r="Z336" s="15"/>
      <c r="AA336" s="15"/>
      <c r="AB336" s="15"/>
      <c r="AC336" s="15"/>
      <c r="AD336" s="15"/>
      <c r="AE336" s="15"/>
    </row>
    <row r="337" spans="1:31" x14ac:dyDescent="0.85">
      <c r="A337" s="15"/>
      <c r="B337" s="15"/>
      <c r="C337" s="15"/>
      <c r="D337" s="15"/>
      <c r="E337" s="15"/>
      <c r="F337" s="15"/>
      <c r="G337" s="15"/>
      <c r="H337" s="15"/>
      <c r="I337" s="15"/>
      <c r="J337" s="15"/>
      <c r="K337" s="15"/>
      <c r="L337" s="747"/>
      <c r="M337" s="15"/>
      <c r="N337" s="15"/>
      <c r="O337" s="15"/>
      <c r="P337" s="15"/>
      <c r="Q337" s="15"/>
      <c r="R337" s="15"/>
      <c r="S337" s="15"/>
      <c r="T337" s="15"/>
      <c r="U337" s="15"/>
      <c r="V337" s="15"/>
      <c r="W337" s="15"/>
      <c r="X337" s="15"/>
      <c r="Y337" s="15"/>
      <c r="Z337" s="15"/>
      <c r="AA337" s="15"/>
      <c r="AB337" s="15"/>
      <c r="AC337" s="15"/>
      <c r="AD337" s="15"/>
      <c r="AE337" s="15"/>
    </row>
    <row r="338" spans="1:31" x14ac:dyDescent="0.85">
      <c r="A338" s="15"/>
      <c r="B338" s="15"/>
      <c r="C338" s="15"/>
      <c r="D338" s="15"/>
      <c r="E338" s="15"/>
      <c r="F338" s="15"/>
      <c r="G338" s="15"/>
      <c r="H338" s="15"/>
      <c r="I338" s="15"/>
      <c r="J338" s="15"/>
      <c r="K338" s="15"/>
      <c r="L338" s="747"/>
      <c r="M338" s="15"/>
      <c r="N338" s="15"/>
      <c r="O338" s="15"/>
      <c r="P338" s="15"/>
      <c r="Q338" s="15"/>
      <c r="R338" s="15"/>
      <c r="S338" s="15"/>
      <c r="T338" s="15"/>
      <c r="U338" s="15"/>
      <c r="V338" s="15"/>
      <c r="W338" s="15"/>
      <c r="X338" s="15"/>
      <c r="Y338" s="15"/>
      <c r="Z338" s="15"/>
      <c r="AA338" s="15"/>
      <c r="AB338" s="15"/>
      <c r="AC338" s="15"/>
      <c r="AD338" s="15"/>
      <c r="AE338" s="15"/>
    </row>
    <row r="339" spans="1:31" x14ac:dyDescent="0.85">
      <c r="A339" s="15"/>
      <c r="B339" s="15"/>
      <c r="C339" s="15"/>
      <c r="D339" s="15"/>
      <c r="E339" s="15"/>
      <c r="F339" s="15"/>
      <c r="G339" s="15"/>
      <c r="H339" s="15"/>
      <c r="I339" s="15"/>
      <c r="J339" s="15"/>
      <c r="K339" s="15"/>
      <c r="L339" s="747"/>
      <c r="M339" s="15"/>
      <c r="N339" s="15"/>
      <c r="O339" s="15"/>
      <c r="P339" s="15"/>
      <c r="Q339" s="15"/>
      <c r="R339" s="15"/>
      <c r="S339" s="15"/>
      <c r="T339" s="15"/>
      <c r="U339" s="15"/>
      <c r="V339" s="15"/>
      <c r="W339" s="15"/>
      <c r="X339" s="15"/>
      <c r="Y339" s="15"/>
      <c r="Z339" s="15"/>
      <c r="AA339" s="15"/>
      <c r="AB339" s="15"/>
      <c r="AC339" s="15"/>
      <c r="AD339" s="15"/>
      <c r="AE339" s="15"/>
    </row>
    <row r="340" spans="1:31" x14ac:dyDescent="0.85">
      <c r="A340" s="15"/>
      <c r="B340" s="15"/>
      <c r="C340" s="15"/>
      <c r="D340" s="15"/>
      <c r="E340" s="15"/>
      <c r="F340" s="15"/>
      <c r="G340" s="15"/>
      <c r="H340" s="15"/>
      <c r="I340" s="15"/>
      <c r="J340" s="15"/>
      <c r="K340" s="15"/>
      <c r="L340" s="747"/>
      <c r="M340" s="15"/>
      <c r="N340" s="15"/>
      <c r="O340" s="15"/>
      <c r="P340" s="15"/>
      <c r="Q340" s="15"/>
      <c r="R340" s="15"/>
      <c r="S340" s="15"/>
      <c r="T340" s="15"/>
      <c r="U340" s="15"/>
      <c r="V340" s="15"/>
      <c r="W340" s="15"/>
      <c r="X340" s="15"/>
      <c r="Y340" s="15"/>
      <c r="Z340" s="15"/>
      <c r="AA340" s="15"/>
      <c r="AB340" s="15"/>
      <c r="AC340" s="15"/>
      <c r="AD340" s="15"/>
      <c r="AE340" s="15"/>
    </row>
    <row r="341" spans="1:31" x14ac:dyDescent="0.85">
      <c r="A341" s="15"/>
      <c r="B341" s="15"/>
      <c r="C341" s="15"/>
      <c r="D341" s="15"/>
      <c r="E341" s="15"/>
      <c r="F341" s="15"/>
      <c r="G341" s="15"/>
      <c r="H341" s="15"/>
      <c r="I341" s="15"/>
      <c r="J341" s="15"/>
      <c r="K341" s="15"/>
      <c r="L341" s="747"/>
      <c r="M341" s="15"/>
      <c r="N341" s="15"/>
      <c r="O341" s="15"/>
      <c r="P341" s="15"/>
      <c r="Q341" s="15"/>
      <c r="R341" s="15"/>
      <c r="S341" s="15"/>
      <c r="T341" s="15"/>
      <c r="U341" s="15"/>
      <c r="V341" s="15"/>
      <c r="W341" s="15"/>
      <c r="X341" s="15"/>
      <c r="Y341" s="15"/>
      <c r="Z341" s="15"/>
      <c r="AA341" s="15"/>
      <c r="AB341" s="15"/>
      <c r="AC341" s="15"/>
      <c r="AD341" s="15"/>
      <c r="AE341" s="15"/>
    </row>
    <row r="342" spans="1:31" x14ac:dyDescent="0.85">
      <c r="A342" s="15"/>
      <c r="B342" s="15"/>
      <c r="C342" s="15"/>
      <c r="D342" s="15"/>
      <c r="E342" s="15"/>
      <c r="F342" s="15"/>
      <c r="G342" s="15"/>
      <c r="H342" s="15"/>
      <c r="I342" s="15"/>
      <c r="J342" s="15"/>
      <c r="K342" s="15"/>
      <c r="L342" s="747"/>
      <c r="M342" s="15"/>
      <c r="N342" s="15"/>
      <c r="O342" s="15"/>
      <c r="P342" s="15"/>
      <c r="Q342" s="15"/>
      <c r="R342" s="15"/>
      <c r="S342" s="15"/>
      <c r="T342" s="15"/>
      <c r="U342" s="15"/>
      <c r="V342" s="15"/>
      <c r="W342" s="15"/>
      <c r="X342" s="15"/>
      <c r="Y342" s="15"/>
      <c r="Z342" s="15"/>
      <c r="AA342" s="15"/>
      <c r="AB342" s="15"/>
      <c r="AC342" s="15"/>
      <c r="AD342" s="15"/>
      <c r="AE342" s="15"/>
    </row>
    <row r="343" spans="1:31" x14ac:dyDescent="0.85">
      <c r="A343" s="15"/>
      <c r="B343" s="15"/>
      <c r="C343" s="15"/>
      <c r="D343" s="15"/>
      <c r="E343" s="15"/>
      <c r="F343" s="15"/>
      <c r="G343" s="15"/>
      <c r="H343" s="15"/>
      <c r="I343" s="15"/>
      <c r="J343" s="15"/>
      <c r="K343" s="15"/>
      <c r="L343" s="747"/>
      <c r="M343" s="15"/>
      <c r="N343" s="15"/>
      <c r="O343" s="15"/>
      <c r="P343" s="15"/>
      <c r="Q343" s="15"/>
      <c r="R343" s="15"/>
      <c r="S343" s="15"/>
      <c r="T343" s="15"/>
      <c r="U343" s="15"/>
      <c r="V343" s="15"/>
      <c r="W343" s="15"/>
      <c r="X343" s="15"/>
      <c r="Y343" s="15"/>
      <c r="Z343" s="15"/>
      <c r="AA343" s="15"/>
      <c r="AB343" s="15"/>
      <c r="AC343" s="15"/>
      <c r="AD343" s="15"/>
      <c r="AE343" s="15"/>
    </row>
    <row r="344" spans="1:31" x14ac:dyDescent="0.85">
      <c r="A344" s="15"/>
      <c r="B344" s="15"/>
      <c r="C344" s="15"/>
      <c r="D344" s="15"/>
      <c r="E344" s="15"/>
      <c r="F344" s="15"/>
      <c r="G344" s="15"/>
      <c r="H344" s="15"/>
      <c r="I344" s="15"/>
      <c r="J344" s="15"/>
      <c r="K344" s="15"/>
      <c r="L344" s="747"/>
      <c r="M344" s="15"/>
      <c r="N344" s="15"/>
      <c r="O344" s="15"/>
      <c r="P344" s="15"/>
      <c r="Q344" s="15"/>
      <c r="R344" s="15"/>
      <c r="S344" s="15"/>
      <c r="T344" s="15"/>
      <c r="U344" s="15"/>
      <c r="V344" s="15"/>
      <c r="W344" s="15"/>
      <c r="X344" s="15"/>
      <c r="Y344" s="15"/>
      <c r="Z344" s="15"/>
      <c r="AA344" s="15"/>
      <c r="AB344" s="15"/>
      <c r="AC344" s="15"/>
      <c r="AD344" s="15"/>
      <c r="AE344" s="15"/>
    </row>
    <row r="345" spans="1:31" x14ac:dyDescent="0.85">
      <c r="A345" s="15"/>
      <c r="B345" s="15"/>
      <c r="C345" s="15"/>
      <c r="D345" s="15"/>
      <c r="E345" s="15"/>
      <c r="F345" s="15"/>
      <c r="G345" s="15"/>
      <c r="H345" s="15"/>
      <c r="I345" s="15"/>
      <c r="J345" s="15"/>
      <c r="K345" s="15"/>
      <c r="L345" s="747"/>
      <c r="M345" s="15"/>
      <c r="N345" s="15"/>
      <c r="O345" s="15"/>
      <c r="P345" s="15"/>
      <c r="Q345" s="15"/>
      <c r="R345" s="15"/>
      <c r="S345" s="15"/>
      <c r="T345" s="15"/>
      <c r="U345" s="15"/>
      <c r="V345" s="15"/>
      <c r="W345" s="15"/>
      <c r="X345" s="15"/>
      <c r="Y345" s="15"/>
      <c r="Z345" s="15"/>
      <c r="AA345" s="15"/>
      <c r="AB345" s="15"/>
      <c r="AC345" s="15"/>
      <c r="AD345" s="15"/>
      <c r="AE345" s="15"/>
    </row>
    <row r="346" spans="1:31" x14ac:dyDescent="0.85">
      <c r="A346" s="15"/>
      <c r="B346" s="15"/>
      <c r="C346" s="15"/>
      <c r="D346" s="15"/>
      <c r="E346" s="15"/>
      <c r="F346" s="15"/>
      <c r="G346" s="15"/>
      <c r="H346" s="15"/>
      <c r="I346" s="15"/>
      <c r="J346" s="15"/>
      <c r="K346" s="15"/>
      <c r="L346" s="747"/>
      <c r="M346" s="15"/>
      <c r="N346" s="15"/>
      <c r="O346" s="15"/>
      <c r="P346" s="15"/>
      <c r="Q346" s="15"/>
      <c r="R346" s="15"/>
      <c r="S346" s="15"/>
      <c r="T346" s="15"/>
      <c r="U346" s="15"/>
      <c r="V346" s="15"/>
      <c r="W346" s="15"/>
      <c r="X346" s="15"/>
      <c r="Y346" s="15"/>
      <c r="Z346" s="15"/>
      <c r="AA346" s="15"/>
      <c r="AB346" s="15"/>
      <c r="AC346" s="15"/>
      <c r="AD346" s="15"/>
      <c r="AE346" s="15"/>
    </row>
    <row r="347" spans="1:31" x14ac:dyDescent="0.85">
      <c r="A347" s="15"/>
      <c r="B347" s="15"/>
      <c r="C347" s="15"/>
      <c r="D347" s="15"/>
      <c r="E347" s="15"/>
      <c r="F347" s="15"/>
      <c r="G347" s="15"/>
      <c r="H347" s="15"/>
      <c r="I347" s="15"/>
      <c r="J347" s="15"/>
      <c r="K347" s="15"/>
      <c r="L347" s="747"/>
      <c r="M347" s="15"/>
      <c r="N347" s="15"/>
      <c r="O347" s="15"/>
      <c r="P347" s="15"/>
      <c r="Q347" s="15"/>
      <c r="R347" s="15"/>
      <c r="S347" s="15"/>
      <c r="T347" s="15"/>
      <c r="U347" s="15"/>
      <c r="V347" s="15"/>
      <c r="W347" s="15"/>
      <c r="X347" s="15"/>
      <c r="Y347" s="15"/>
      <c r="Z347" s="15"/>
      <c r="AA347" s="15"/>
      <c r="AB347" s="15"/>
      <c r="AC347" s="15"/>
      <c r="AD347" s="15"/>
      <c r="AE347" s="15"/>
    </row>
    <row r="348" spans="1:31" x14ac:dyDescent="0.85">
      <c r="A348" s="15"/>
      <c r="B348" s="15"/>
      <c r="C348" s="15"/>
      <c r="D348" s="15"/>
      <c r="E348" s="15"/>
      <c r="F348" s="15"/>
      <c r="G348" s="15"/>
      <c r="H348" s="15"/>
      <c r="I348" s="15"/>
      <c r="J348" s="15"/>
      <c r="K348" s="15"/>
      <c r="L348" s="747"/>
      <c r="M348" s="15"/>
      <c r="N348" s="15"/>
      <c r="O348" s="15"/>
      <c r="P348" s="15"/>
      <c r="Q348" s="15"/>
      <c r="R348" s="15"/>
      <c r="S348" s="15"/>
      <c r="T348" s="15"/>
      <c r="U348" s="15"/>
      <c r="V348" s="15"/>
      <c r="W348" s="15"/>
      <c r="X348" s="15"/>
      <c r="Y348" s="15"/>
      <c r="Z348" s="15"/>
      <c r="AA348" s="15"/>
      <c r="AB348" s="15"/>
      <c r="AC348" s="15"/>
      <c r="AD348" s="15"/>
      <c r="AE348" s="15"/>
    </row>
    <row r="349" spans="1:31" x14ac:dyDescent="0.85">
      <c r="A349" s="15"/>
      <c r="B349" s="15"/>
      <c r="C349" s="15"/>
      <c r="D349" s="15"/>
      <c r="E349" s="15"/>
      <c r="F349" s="15"/>
      <c r="G349" s="15"/>
      <c r="H349" s="15"/>
      <c r="I349" s="15"/>
      <c r="J349" s="15"/>
      <c r="K349" s="15"/>
      <c r="L349" s="747"/>
      <c r="M349" s="15"/>
      <c r="N349" s="15"/>
      <c r="O349" s="15"/>
      <c r="P349" s="15"/>
      <c r="Q349" s="15"/>
      <c r="R349" s="15"/>
      <c r="S349" s="15"/>
      <c r="T349" s="15"/>
      <c r="U349" s="15"/>
      <c r="V349" s="15"/>
      <c r="W349" s="15"/>
      <c r="X349" s="15"/>
      <c r="Y349" s="15"/>
      <c r="Z349" s="15"/>
      <c r="AA349" s="15"/>
      <c r="AB349" s="15"/>
      <c r="AC349" s="15"/>
      <c r="AD349" s="15"/>
      <c r="AE349" s="15"/>
    </row>
    <row r="350" spans="1:31" x14ac:dyDescent="0.85">
      <c r="A350" s="15"/>
      <c r="B350" s="15"/>
      <c r="C350" s="15"/>
      <c r="D350" s="15"/>
      <c r="E350" s="15"/>
      <c r="F350" s="15"/>
      <c r="G350" s="15"/>
      <c r="H350" s="15"/>
      <c r="I350" s="15"/>
      <c r="J350" s="15"/>
      <c r="K350" s="15"/>
      <c r="L350" s="747"/>
      <c r="M350" s="15"/>
      <c r="N350" s="15"/>
      <c r="O350" s="15"/>
      <c r="P350" s="15"/>
      <c r="Q350" s="15"/>
      <c r="R350" s="15"/>
      <c r="S350" s="15"/>
      <c r="T350" s="15"/>
      <c r="U350" s="15"/>
      <c r="V350" s="15"/>
      <c r="W350" s="15"/>
      <c r="X350" s="15"/>
      <c r="Y350" s="15"/>
      <c r="Z350" s="15"/>
      <c r="AA350" s="15"/>
      <c r="AB350" s="15"/>
      <c r="AC350" s="15"/>
      <c r="AD350" s="15"/>
      <c r="AE350" s="15"/>
    </row>
    <row r="351" spans="1:31" x14ac:dyDescent="0.85">
      <c r="A351" s="15"/>
      <c r="B351" s="15"/>
      <c r="C351" s="15"/>
      <c r="D351" s="15"/>
      <c r="E351" s="15"/>
      <c r="F351" s="15"/>
      <c r="G351" s="15"/>
      <c r="H351" s="15"/>
      <c r="I351" s="15"/>
      <c r="J351" s="15"/>
      <c r="K351" s="15"/>
      <c r="L351" s="747"/>
      <c r="M351" s="15"/>
      <c r="N351" s="15"/>
      <c r="O351" s="15"/>
      <c r="P351" s="15"/>
      <c r="Q351" s="15"/>
      <c r="R351" s="15"/>
      <c r="S351" s="15"/>
      <c r="T351" s="15"/>
      <c r="U351" s="15"/>
      <c r="V351" s="15"/>
      <c r="W351" s="15"/>
      <c r="X351" s="15"/>
      <c r="Y351" s="15"/>
      <c r="Z351" s="15"/>
      <c r="AA351" s="15"/>
      <c r="AB351" s="15"/>
      <c r="AC351" s="15"/>
      <c r="AD351" s="15"/>
      <c r="AE351" s="15"/>
    </row>
    <row r="352" spans="1:31" x14ac:dyDescent="0.85">
      <c r="A352" s="15"/>
      <c r="B352" s="15"/>
      <c r="C352" s="15"/>
      <c r="D352" s="15"/>
      <c r="E352" s="15"/>
      <c r="F352" s="15"/>
      <c r="G352" s="15"/>
      <c r="H352" s="15"/>
      <c r="I352" s="15"/>
      <c r="J352" s="15"/>
      <c r="K352" s="15"/>
      <c r="L352" s="747"/>
      <c r="M352" s="15"/>
      <c r="N352" s="15"/>
      <c r="O352" s="15"/>
      <c r="P352" s="15"/>
      <c r="Q352" s="15"/>
      <c r="R352" s="15"/>
      <c r="S352" s="15"/>
      <c r="T352" s="15"/>
      <c r="U352" s="15"/>
      <c r="V352" s="15"/>
      <c r="W352" s="15"/>
      <c r="X352" s="15"/>
      <c r="Y352" s="15"/>
      <c r="Z352" s="15"/>
      <c r="AA352" s="15"/>
      <c r="AB352" s="15"/>
      <c r="AC352" s="15"/>
      <c r="AD352" s="15"/>
      <c r="AE352" s="15"/>
    </row>
    <row r="353" spans="1:31" x14ac:dyDescent="0.85">
      <c r="A353" s="15"/>
      <c r="B353" s="15"/>
      <c r="C353" s="15"/>
      <c r="D353" s="15"/>
      <c r="E353" s="15"/>
      <c r="F353" s="15"/>
      <c r="G353" s="15"/>
      <c r="H353" s="15"/>
      <c r="I353" s="15"/>
      <c r="J353" s="15"/>
      <c r="K353" s="15"/>
      <c r="L353" s="747"/>
      <c r="M353" s="15"/>
      <c r="N353" s="15"/>
      <c r="O353" s="15"/>
      <c r="P353" s="15"/>
      <c r="Q353" s="15"/>
      <c r="R353" s="15"/>
      <c r="S353" s="15"/>
      <c r="T353" s="15"/>
      <c r="U353" s="15"/>
      <c r="V353" s="15"/>
      <c r="W353" s="15"/>
      <c r="X353" s="15"/>
      <c r="Y353" s="15"/>
      <c r="Z353" s="15"/>
      <c r="AA353" s="15"/>
      <c r="AB353" s="15"/>
      <c r="AC353" s="15"/>
      <c r="AD353" s="15"/>
      <c r="AE353" s="15"/>
    </row>
    <row r="354" spans="1:31" x14ac:dyDescent="0.85">
      <c r="A354" s="15"/>
      <c r="B354" s="15"/>
      <c r="C354" s="15"/>
      <c r="D354" s="15"/>
      <c r="E354" s="15"/>
      <c r="F354" s="15"/>
      <c r="G354" s="15"/>
      <c r="H354" s="15"/>
      <c r="I354" s="15"/>
      <c r="J354" s="15"/>
      <c r="K354" s="15"/>
      <c r="L354" s="747"/>
      <c r="M354" s="15"/>
      <c r="N354" s="15"/>
      <c r="O354" s="15"/>
      <c r="P354" s="15"/>
      <c r="Q354" s="15"/>
      <c r="R354" s="15"/>
      <c r="S354" s="15"/>
      <c r="T354" s="15"/>
      <c r="U354" s="15"/>
      <c r="V354" s="15"/>
      <c r="W354" s="15"/>
      <c r="X354" s="15"/>
      <c r="Y354" s="15"/>
      <c r="Z354" s="15"/>
      <c r="AA354" s="15"/>
      <c r="AB354" s="15"/>
      <c r="AC354" s="15"/>
      <c r="AD354" s="15"/>
      <c r="AE354" s="15"/>
    </row>
    <row r="355" spans="1:31" x14ac:dyDescent="0.85">
      <c r="A355" s="15"/>
      <c r="B355" s="15"/>
      <c r="C355" s="15"/>
      <c r="D355" s="15"/>
      <c r="E355" s="15"/>
      <c r="F355" s="15"/>
      <c r="G355" s="15"/>
      <c r="H355" s="15"/>
      <c r="I355" s="15"/>
      <c r="J355" s="15"/>
      <c r="K355" s="15"/>
      <c r="L355" s="747"/>
      <c r="M355" s="15"/>
      <c r="N355" s="15"/>
      <c r="O355" s="15"/>
      <c r="P355" s="15"/>
      <c r="Q355" s="15"/>
      <c r="R355" s="15"/>
      <c r="S355" s="15"/>
      <c r="T355" s="15"/>
      <c r="U355" s="15"/>
      <c r="V355" s="15"/>
      <c r="W355" s="15"/>
      <c r="X355" s="15"/>
      <c r="Y355" s="15"/>
      <c r="Z355" s="15"/>
      <c r="AA355" s="15"/>
      <c r="AB355" s="15"/>
      <c r="AC355" s="15"/>
      <c r="AD355" s="15"/>
      <c r="AE355" s="15"/>
    </row>
    <row r="356" spans="1:31" x14ac:dyDescent="0.85">
      <c r="A356" s="15"/>
      <c r="B356" s="15"/>
      <c r="C356" s="15"/>
      <c r="D356" s="15"/>
      <c r="E356" s="15"/>
      <c r="F356" s="15"/>
      <c r="G356" s="15"/>
      <c r="H356" s="15"/>
      <c r="I356" s="15"/>
      <c r="J356" s="15"/>
      <c r="K356" s="15"/>
      <c r="L356" s="747"/>
      <c r="M356" s="15"/>
      <c r="N356" s="15"/>
      <c r="O356" s="15"/>
      <c r="P356" s="15"/>
      <c r="Q356" s="15"/>
      <c r="R356" s="15"/>
      <c r="S356" s="15"/>
      <c r="T356" s="15"/>
      <c r="U356" s="15"/>
      <c r="V356" s="15"/>
      <c r="W356" s="15"/>
      <c r="X356" s="15"/>
      <c r="Y356" s="15"/>
      <c r="Z356" s="15"/>
      <c r="AA356" s="15"/>
      <c r="AB356" s="15"/>
      <c r="AC356" s="15"/>
      <c r="AD356" s="15"/>
      <c r="AE356" s="15"/>
    </row>
    <row r="357" spans="1:31" x14ac:dyDescent="0.85">
      <c r="A357" s="15"/>
      <c r="B357" s="15"/>
      <c r="C357" s="15"/>
      <c r="D357" s="15"/>
      <c r="E357" s="15"/>
      <c r="F357" s="15"/>
      <c r="G357" s="15"/>
      <c r="H357" s="15"/>
      <c r="I357" s="15"/>
      <c r="J357" s="15"/>
      <c r="K357" s="15"/>
      <c r="L357" s="747"/>
      <c r="M357" s="15"/>
      <c r="N357" s="15"/>
      <c r="O357" s="15"/>
      <c r="P357" s="15"/>
      <c r="Q357" s="15"/>
      <c r="R357" s="15"/>
      <c r="S357" s="15"/>
      <c r="T357" s="15"/>
      <c r="U357" s="15"/>
      <c r="V357" s="15"/>
      <c r="W357" s="15"/>
      <c r="X357" s="15"/>
      <c r="Y357" s="15"/>
      <c r="Z357" s="15"/>
      <c r="AA357" s="15"/>
      <c r="AB357" s="15"/>
      <c r="AC357" s="15"/>
      <c r="AD357" s="15"/>
      <c r="AE357" s="15"/>
    </row>
    <row r="358" spans="1:31" x14ac:dyDescent="0.85">
      <c r="A358" s="15"/>
      <c r="B358" s="15"/>
      <c r="C358" s="15"/>
      <c r="D358" s="15"/>
      <c r="E358" s="15"/>
      <c r="F358" s="15"/>
      <c r="G358" s="15"/>
      <c r="H358" s="15"/>
      <c r="I358" s="15"/>
      <c r="J358" s="15"/>
      <c r="K358" s="15"/>
      <c r="L358" s="747"/>
      <c r="M358" s="15"/>
      <c r="N358" s="15"/>
      <c r="O358" s="15"/>
      <c r="P358" s="15"/>
      <c r="Q358" s="15"/>
      <c r="R358" s="15"/>
      <c r="S358" s="15"/>
      <c r="T358" s="15"/>
      <c r="U358" s="15"/>
      <c r="V358" s="15"/>
      <c r="W358" s="15"/>
      <c r="X358" s="15"/>
      <c r="Y358" s="15"/>
      <c r="Z358" s="15"/>
      <c r="AA358" s="15"/>
      <c r="AB358" s="15"/>
      <c r="AC358" s="15"/>
      <c r="AD358" s="15"/>
      <c r="AE358" s="15"/>
    </row>
    <row r="359" spans="1:31" x14ac:dyDescent="0.85">
      <c r="A359" s="15"/>
      <c r="B359" s="15"/>
      <c r="C359" s="15"/>
      <c r="D359" s="15"/>
      <c r="E359" s="15"/>
      <c r="F359" s="15"/>
      <c r="G359" s="15"/>
      <c r="H359" s="15"/>
      <c r="I359" s="15"/>
      <c r="J359" s="15"/>
      <c r="K359" s="15"/>
      <c r="L359" s="747"/>
      <c r="M359" s="15"/>
      <c r="N359" s="15"/>
      <c r="O359" s="15"/>
      <c r="P359" s="15"/>
      <c r="Q359" s="15"/>
      <c r="R359" s="15"/>
      <c r="S359" s="15"/>
      <c r="T359" s="15"/>
      <c r="U359" s="15"/>
      <c r="V359" s="15"/>
      <c r="W359" s="15"/>
      <c r="X359" s="15"/>
      <c r="Y359" s="15"/>
      <c r="Z359" s="15"/>
      <c r="AA359" s="15"/>
      <c r="AB359" s="15"/>
      <c r="AC359" s="15"/>
      <c r="AD359" s="15"/>
      <c r="AE359" s="15"/>
    </row>
    <row r="360" spans="1:31" x14ac:dyDescent="0.85">
      <c r="A360" s="15"/>
      <c r="B360" s="15"/>
      <c r="C360" s="15"/>
      <c r="D360" s="15"/>
      <c r="E360" s="15"/>
      <c r="F360" s="15"/>
      <c r="G360" s="15"/>
      <c r="H360" s="15"/>
      <c r="I360" s="15"/>
      <c r="J360" s="15"/>
      <c r="K360" s="15"/>
      <c r="L360" s="747"/>
      <c r="M360" s="15"/>
      <c r="N360" s="15"/>
      <c r="O360" s="15"/>
      <c r="P360" s="15"/>
      <c r="Q360" s="15"/>
      <c r="R360" s="15"/>
      <c r="S360" s="15"/>
      <c r="T360" s="15"/>
      <c r="U360" s="15"/>
      <c r="V360" s="15"/>
      <c r="W360" s="15"/>
      <c r="X360" s="15"/>
      <c r="Y360" s="15"/>
      <c r="Z360" s="15"/>
      <c r="AA360" s="15"/>
      <c r="AB360" s="15"/>
      <c r="AC360" s="15"/>
      <c r="AD360" s="15"/>
      <c r="AE360" s="15"/>
    </row>
    <row r="361" spans="1:31" x14ac:dyDescent="0.85">
      <c r="A361" s="15"/>
      <c r="B361" s="15"/>
      <c r="C361" s="15"/>
      <c r="D361" s="15"/>
      <c r="E361" s="15"/>
      <c r="F361" s="15"/>
      <c r="G361" s="15"/>
      <c r="H361" s="15"/>
      <c r="I361" s="15"/>
      <c r="J361" s="15"/>
      <c r="K361" s="15"/>
      <c r="L361" s="747"/>
      <c r="M361" s="15"/>
      <c r="N361" s="15"/>
      <c r="O361" s="15"/>
      <c r="P361" s="15"/>
      <c r="Q361" s="15"/>
      <c r="R361" s="15"/>
      <c r="S361" s="15"/>
      <c r="T361" s="15"/>
      <c r="U361" s="15"/>
      <c r="V361" s="15"/>
      <c r="W361" s="15"/>
      <c r="X361" s="15"/>
      <c r="Y361" s="15"/>
      <c r="Z361" s="15"/>
      <c r="AA361" s="15"/>
      <c r="AB361" s="15"/>
      <c r="AC361" s="15"/>
      <c r="AD361" s="15"/>
      <c r="AE361" s="15"/>
    </row>
    <row r="362" spans="1:31" x14ac:dyDescent="0.85">
      <c r="A362" s="15"/>
      <c r="B362" s="15"/>
      <c r="C362" s="15"/>
      <c r="D362" s="15"/>
      <c r="E362" s="15"/>
      <c r="F362" s="15"/>
      <c r="G362" s="15"/>
      <c r="H362" s="15"/>
      <c r="I362" s="15"/>
      <c r="J362" s="15"/>
      <c r="K362" s="15"/>
      <c r="L362" s="747"/>
      <c r="M362" s="15"/>
      <c r="N362" s="15"/>
      <c r="O362" s="15"/>
      <c r="P362" s="15"/>
      <c r="Q362" s="15"/>
      <c r="R362" s="15"/>
      <c r="S362" s="15"/>
      <c r="T362" s="15"/>
      <c r="U362" s="15"/>
      <c r="V362" s="15"/>
      <c r="W362" s="15"/>
      <c r="X362" s="15"/>
      <c r="Y362" s="15"/>
      <c r="Z362" s="15"/>
      <c r="AA362" s="15"/>
      <c r="AB362" s="15"/>
      <c r="AC362" s="15"/>
      <c r="AD362" s="15"/>
      <c r="AE362" s="15"/>
    </row>
    <row r="363" spans="1:31" x14ac:dyDescent="0.85">
      <c r="A363" s="15"/>
      <c r="B363" s="15"/>
      <c r="C363" s="15"/>
      <c r="D363" s="15"/>
      <c r="E363" s="15"/>
      <c r="F363" s="15"/>
      <c r="G363" s="15"/>
      <c r="H363" s="15"/>
      <c r="I363" s="15"/>
      <c r="J363" s="15"/>
      <c r="K363" s="15"/>
      <c r="L363" s="747"/>
      <c r="M363" s="15"/>
      <c r="N363" s="15"/>
      <c r="O363" s="15"/>
      <c r="P363" s="15"/>
      <c r="Q363" s="15"/>
      <c r="R363" s="15"/>
      <c r="S363" s="15"/>
      <c r="T363" s="15"/>
      <c r="U363" s="15"/>
      <c r="V363" s="15"/>
      <c r="W363" s="15"/>
      <c r="X363" s="15"/>
      <c r="Y363" s="15"/>
      <c r="Z363" s="15"/>
      <c r="AA363" s="15"/>
      <c r="AB363" s="15"/>
      <c r="AC363" s="15"/>
      <c r="AD363" s="15"/>
      <c r="AE363" s="15"/>
    </row>
    <row r="364" spans="1:31" x14ac:dyDescent="0.85">
      <c r="A364" s="15"/>
      <c r="B364" s="15"/>
      <c r="C364" s="15"/>
      <c r="D364" s="15"/>
      <c r="E364" s="15"/>
      <c r="F364" s="15"/>
      <c r="G364" s="15"/>
      <c r="H364" s="15"/>
      <c r="I364" s="15"/>
      <c r="J364" s="15"/>
      <c r="K364" s="15"/>
      <c r="L364" s="747"/>
      <c r="M364" s="15"/>
      <c r="N364" s="15"/>
      <c r="O364" s="15"/>
      <c r="P364" s="15"/>
      <c r="Q364" s="15"/>
      <c r="R364" s="15"/>
      <c r="S364" s="15"/>
      <c r="T364" s="15"/>
      <c r="U364" s="15"/>
      <c r="V364" s="15"/>
      <c r="W364" s="15"/>
      <c r="X364" s="15"/>
      <c r="Y364" s="15"/>
      <c r="Z364" s="15"/>
      <c r="AA364" s="15"/>
      <c r="AB364" s="15"/>
      <c r="AC364" s="15"/>
      <c r="AD364" s="15"/>
      <c r="AE364" s="15"/>
    </row>
    <row r="365" spans="1:31" x14ac:dyDescent="0.85">
      <c r="A365" s="15"/>
      <c r="B365" s="15"/>
      <c r="C365" s="15"/>
      <c r="D365" s="15"/>
      <c r="E365" s="15"/>
      <c r="F365" s="15"/>
      <c r="G365" s="15"/>
      <c r="H365" s="15"/>
      <c r="I365" s="15"/>
      <c r="J365" s="15"/>
      <c r="K365" s="15"/>
      <c r="L365" s="747"/>
      <c r="M365" s="15"/>
      <c r="N365" s="15"/>
      <c r="O365" s="15"/>
      <c r="P365" s="15"/>
      <c r="Q365" s="15"/>
      <c r="R365" s="15"/>
      <c r="S365" s="15"/>
      <c r="T365" s="15"/>
      <c r="U365" s="15"/>
      <c r="V365" s="15"/>
      <c r="W365" s="15"/>
      <c r="X365" s="15"/>
      <c r="Y365" s="15"/>
      <c r="Z365" s="15"/>
      <c r="AA365" s="15"/>
      <c r="AB365" s="15"/>
      <c r="AC365" s="15"/>
      <c r="AD365" s="15"/>
      <c r="AE365" s="15"/>
    </row>
    <row r="366" spans="1:31" x14ac:dyDescent="0.85">
      <c r="A366" s="15"/>
      <c r="B366" s="15"/>
      <c r="C366" s="15"/>
      <c r="D366" s="15"/>
      <c r="E366" s="15"/>
      <c r="F366" s="15"/>
      <c r="G366" s="15"/>
      <c r="H366" s="15"/>
      <c r="I366" s="15"/>
      <c r="J366" s="15"/>
      <c r="K366" s="15"/>
      <c r="L366" s="747"/>
      <c r="M366" s="15"/>
      <c r="N366" s="15"/>
      <c r="O366" s="15"/>
      <c r="P366" s="15"/>
      <c r="Q366" s="15"/>
      <c r="R366" s="15"/>
      <c r="S366" s="15"/>
      <c r="T366" s="15"/>
      <c r="U366" s="15"/>
      <c r="V366" s="15"/>
      <c r="W366" s="15"/>
      <c r="X366" s="15"/>
      <c r="Y366" s="15"/>
      <c r="Z366" s="15"/>
      <c r="AA366" s="15"/>
      <c r="AB366" s="15"/>
      <c r="AC366" s="15"/>
      <c r="AD366" s="15"/>
      <c r="AE366" s="15"/>
    </row>
    <row r="367" spans="1:31" x14ac:dyDescent="0.85">
      <c r="A367" s="15"/>
      <c r="B367" s="15"/>
      <c r="C367" s="15"/>
      <c r="D367" s="15"/>
      <c r="E367" s="15"/>
      <c r="F367" s="15"/>
      <c r="G367" s="15"/>
      <c r="H367" s="15"/>
      <c r="I367" s="15"/>
      <c r="J367" s="15"/>
      <c r="K367" s="15"/>
      <c r="L367" s="747"/>
      <c r="M367" s="15"/>
      <c r="N367" s="15"/>
      <c r="O367" s="15"/>
      <c r="P367" s="15"/>
      <c r="Q367" s="15"/>
      <c r="R367" s="15"/>
      <c r="S367" s="15"/>
      <c r="T367" s="15"/>
      <c r="U367" s="15"/>
      <c r="V367" s="15"/>
      <c r="W367" s="15"/>
      <c r="X367" s="15"/>
      <c r="Y367" s="15"/>
      <c r="Z367" s="15"/>
      <c r="AA367" s="15"/>
      <c r="AB367" s="15"/>
      <c r="AC367" s="15"/>
      <c r="AD367" s="15"/>
      <c r="AE367" s="15"/>
    </row>
    <row r="368" spans="1:31" x14ac:dyDescent="0.85">
      <c r="A368" s="15"/>
      <c r="B368" s="15"/>
      <c r="C368" s="15"/>
      <c r="D368" s="15"/>
      <c r="E368" s="15"/>
      <c r="F368" s="15"/>
      <c r="G368" s="15"/>
      <c r="H368" s="15"/>
      <c r="I368" s="15"/>
      <c r="J368" s="15"/>
      <c r="K368" s="15"/>
      <c r="L368" s="747"/>
      <c r="M368" s="15"/>
      <c r="N368" s="15"/>
      <c r="O368" s="15"/>
      <c r="P368" s="15"/>
      <c r="Q368" s="15"/>
      <c r="R368" s="15"/>
      <c r="S368" s="15"/>
      <c r="T368" s="15"/>
      <c r="U368" s="15"/>
      <c r="V368" s="15"/>
      <c r="W368" s="15"/>
      <c r="X368" s="15"/>
      <c r="Y368" s="15"/>
      <c r="Z368" s="15"/>
      <c r="AA368" s="15"/>
      <c r="AB368" s="15"/>
      <c r="AC368" s="15"/>
      <c r="AD368" s="15"/>
      <c r="AE368" s="15"/>
    </row>
    <row r="369" spans="1:31" x14ac:dyDescent="0.85">
      <c r="A369" s="15"/>
      <c r="B369" s="15"/>
      <c r="C369" s="15"/>
      <c r="D369" s="15"/>
      <c r="E369" s="15"/>
      <c r="F369" s="15"/>
      <c r="G369" s="15"/>
      <c r="H369" s="15"/>
      <c r="I369" s="15"/>
      <c r="J369" s="15"/>
      <c r="K369" s="15"/>
      <c r="L369" s="747"/>
      <c r="M369" s="15"/>
      <c r="N369" s="15"/>
      <c r="O369" s="15"/>
      <c r="P369" s="15"/>
      <c r="Q369" s="15"/>
      <c r="R369" s="15"/>
      <c r="S369" s="15"/>
      <c r="T369" s="15"/>
      <c r="U369" s="15"/>
      <c r="V369" s="15"/>
      <c r="W369" s="15"/>
      <c r="X369" s="15"/>
      <c r="Y369" s="15"/>
      <c r="Z369" s="15"/>
      <c r="AA369" s="15"/>
      <c r="AB369" s="15"/>
      <c r="AC369" s="15"/>
      <c r="AD369" s="15"/>
      <c r="AE369" s="15"/>
    </row>
    <row r="370" spans="1:31" x14ac:dyDescent="0.85">
      <c r="A370" s="15"/>
      <c r="B370" s="15"/>
      <c r="C370" s="15"/>
      <c r="D370" s="15"/>
      <c r="E370" s="15"/>
      <c r="F370" s="15"/>
      <c r="G370" s="15"/>
      <c r="H370" s="15"/>
      <c r="I370" s="15"/>
      <c r="J370" s="15"/>
      <c r="K370" s="15"/>
      <c r="L370" s="747"/>
      <c r="M370" s="15"/>
      <c r="N370" s="15"/>
      <c r="O370" s="15"/>
      <c r="P370" s="15"/>
      <c r="Q370" s="15"/>
      <c r="R370" s="15"/>
      <c r="S370" s="15"/>
      <c r="T370" s="15"/>
      <c r="U370" s="15"/>
      <c r="V370" s="15"/>
      <c r="W370" s="15"/>
      <c r="X370" s="15"/>
      <c r="Y370" s="15"/>
      <c r="Z370" s="15"/>
      <c r="AA370" s="15"/>
      <c r="AB370" s="15"/>
      <c r="AC370" s="15"/>
      <c r="AD370" s="15"/>
      <c r="AE370" s="15"/>
    </row>
    <row r="371" spans="1:31" x14ac:dyDescent="0.85">
      <c r="A371" s="15"/>
      <c r="B371" s="15"/>
      <c r="C371" s="15"/>
      <c r="D371" s="15"/>
      <c r="E371" s="15"/>
      <c r="F371" s="15"/>
      <c r="G371" s="15"/>
      <c r="H371" s="15"/>
      <c r="I371" s="15"/>
      <c r="J371" s="15"/>
      <c r="K371" s="15"/>
      <c r="L371" s="747"/>
      <c r="M371" s="15"/>
      <c r="N371" s="15"/>
      <c r="O371" s="15"/>
      <c r="P371" s="15"/>
      <c r="Q371" s="15"/>
      <c r="R371" s="15"/>
      <c r="S371" s="15"/>
      <c r="T371" s="15"/>
      <c r="U371" s="15"/>
      <c r="V371" s="15"/>
      <c r="W371" s="15"/>
      <c r="X371" s="15"/>
      <c r="Y371" s="15"/>
      <c r="Z371" s="15"/>
      <c r="AA371" s="15"/>
      <c r="AB371" s="15"/>
      <c r="AC371" s="15"/>
      <c r="AD371" s="15"/>
      <c r="AE371" s="15"/>
    </row>
    <row r="372" spans="1:31" x14ac:dyDescent="0.85">
      <c r="A372" s="15"/>
      <c r="B372" s="15"/>
      <c r="C372" s="15"/>
      <c r="D372" s="15"/>
      <c r="E372" s="15"/>
      <c r="F372" s="15"/>
      <c r="G372" s="15"/>
      <c r="H372" s="15"/>
      <c r="I372" s="15"/>
      <c r="J372" s="15"/>
      <c r="K372" s="15"/>
      <c r="L372" s="747"/>
      <c r="M372" s="15"/>
      <c r="N372" s="15"/>
      <c r="O372" s="15"/>
      <c r="P372" s="15"/>
      <c r="Q372" s="15"/>
      <c r="R372" s="15"/>
      <c r="S372" s="15"/>
      <c r="T372" s="15"/>
      <c r="U372" s="15"/>
      <c r="V372" s="15"/>
      <c r="W372" s="15"/>
      <c r="X372" s="15"/>
      <c r="Y372" s="15"/>
      <c r="Z372" s="15"/>
      <c r="AA372" s="15"/>
      <c r="AB372" s="15"/>
      <c r="AC372" s="15"/>
      <c r="AD372" s="15"/>
      <c r="AE372" s="15"/>
    </row>
    <row r="373" spans="1:31" x14ac:dyDescent="0.85">
      <c r="A373" s="15"/>
      <c r="B373" s="15"/>
      <c r="C373" s="15"/>
      <c r="D373" s="15"/>
      <c r="E373" s="15"/>
      <c r="F373" s="15"/>
      <c r="G373" s="15"/>
      <c r="H373" s="15"/>
      <c r="I373" s="15"/>
      <c r="J373" s="15"/>
      <c r="K373" s="15"/>
      <c r="L373" s="747"/>
      <c r="M373" s="15"/>
      <c r="N373" s="15"/>
      <c r="O373" s="15"/>
      <c r="P373" s="15"/>
      <c r="Q373" s="15"/>
      <c r="R373" s="15"/>
      <c r="S373" s="15"/>
      <c r="T373" s="15"/>
      <c r="U373" s="15"/>
      <c r="V373" s="15"/>
      <c r="W373" s="15"/>
      <c r="X373" s="15"/>
      <c r="Y373" s="15"/>
      <c r="Z373" s="15"/>
      <c r="AA373" s="15"/>
      <c r="AB373" s="15"/>
      <c r="AC373" s="15"/>
      <c r="AD373" s="15"/>
      <c r="AE373" s="15"/>
    </row>
    <row r="374" spans="1:31" x14ac:dyDescent="0.85">
      <c r="A374" s="15"/>
      <c r="B374" s="15"/>
      <c r="C374" s="15"/>
      <c r="D374" s="15"/>
      <c r="E374" s="15"/>
      <c r="F374" s="15"/>
      <c r="G374" s="15"/>
      <c r="H374" s="15"/>
      <c r="I374" s="15"/>
      <c r="J374" s="15"/>
      <c r="K374" s="15"/>
      <c r="L374" s="747"/>
      <c r="M374" s="15"/>
      <c r="N374" s="15"/>
      <c r="O374" s="15"/>
      <c r="P374" s="15"/>
      <c r="Q374" s="15"/>
      <c r="R374" s="15"/>
      <c r="S374" s="15"/>
      <c r="T374" s="15"/>
      <c r="U374" s="15"/>
      <c r="V374" s="15"/>
      <c r="W374" s="15"/>
      <c r="X374" s="15"/>
      <c r="Y374" s="15"/>
      <c r="Z374" s="15"/>
      <c r="AA374" s="15"/>
      <c r="AB374" s="15"/>
      <c r="AC374" s="15"/>
      <c r="AD374" s="15"/>
      <c r="AE374" s="15"/>
    </row>
    <row r="375" spans="1:31" x14ac:dyDescent="0.85">
      <c r="A375" s="15"/>
      <c r="B375" s="15"/>
      <c r="C375" s="15"/>
      <c r="D375" s="15"/>
      <c r="E375" s="15"/>
      <c r="F375" s="15"/>
      <c r="G375" s="15"/>
      <c r="H375" s="15"/>
      <c r="I375" s="15"/>
      <c r="J375" s="15"/>
      <c r="K375" s="15"/>
      <c r="L375" s="747"/>
      <c r="M375" s="15"/>
      <c r="N375" s="15"/>
      <c r="O375" s="15"/>
      <c r="P375" s="15"/>
      <c r="Q375" s="15"/>
      <c r="R375" s="15"/>
      <c r="S375" s="15"/>
      <c r="T375" s="15"/>
      <c r="U375" s="15"/>
      <c r="V375" s="15"/>
      <c r="W375" s="15"/>
      <c r="X375" s="15"/>
      <c r="Y375" s="15"/>
      <c r="Z375" s="15"/>
      <c r="AA375" s="15"/>
      <c r="AB375" s="15"/>
      <c r="AC375" s="15"/>
      <c r="AD375" s="15"/>
      <c r="AE375" s="15"/>
    </row>
    <row r="376" spans="1:31" x14ac:dyDescent="0.85">
      <c r="A376" s="15"/>
      <c r="B376" s="15"/>
      <c r="C376" s="15"/>
      <c r="D376" s="15"/>
      <c r="E376" s="15"/>
      <c r="F376" s="15"/>
      <c r="G376" s="15"/>
      <c r="H376" s="15"/>
      <c r="I376" s="15"/>
      <c r="J376" s="15"/>
      <c r="K376" s="15"/>
      <c r="L376" s="747"/>
      <c r="M376" s="15"/>
      <c r="N376" s="15"/>
      <c r="O376" s="15"/>
      <c r="P376" s="15"/>
      <c r="Q376" s="15"/>
      <c r="R376" s="15"/>
      <c r="S376" s="15"/>
      <c r="T376" s="15"/>
      <c r="U376" s="15"/>
      <c r="V376" s="15"/>
      <c r="W376" s="15"/>
      <c r="X376" s="15"/>
      <c r="Y376" s="15"/>
      <c r="Z376" s="15"/>
      <c r="AA376" s="15"/>
      <c r="AB376" s="15"/>
      <c r="AC376" s="15"/>
      <c r="AD376" s="15"/>
      <c r="AE376" s="15"/>
    </row>
    <row r="377" spans="1:31" x14ac:dyDescent="0.85">
      <c r="A377" s="15"/>
      <c r="B377" s="15"/>
      <c r="C377" s="15"/>
      <c r="D377" s="15"/>
      <c r="E377" s="15"/>
      <c r="F377" s="15"/>
      <c r="G377" s="15"/>
      <c r="H377" s="15"/>
      <c r="I377" s="15"/>
      <c r="J377" s="15"/>
      <c r="K377" s="15"/>
      <c r="L377" s="747"/>
      <c r="M377" s="15"/>
      <c r="N377" s="15"/>
      <c r="O377" s="15"/>
      <c r="P377" s="15"/>
      <c r="Q377" s="15"/>
      <c r="R377" s="15"/>
      <c r="S377" s="15"/>
      <c r="T377" s="15"/>
      <c r="U377" s="15"/>
      <c r="V377" s="15"/>
      <c r="W377" s="15"/>
      <c r="X377" s="15"/>
      <c r="Y377" s="15"/>
      <c r="Z377" s="15"/>
      <c r="AA377" s="15"/>
      <c r="AB377" s="15"/>
      <c r="AC377" s="15"/>
      <c r="AD377" s="15"/>
      <c r="AE377" s="15"/>
    </row>
    <row r="378" spans="1:31" x14ac:dyDescent="0.85">
      <c r="A378" s="15"/>
      <c r="B378" s="15"/>
      <c r="C378" s="15"/>
      <c r="D378" s="15"/>
      <c r="E378" s="15"/>
      <c r="F378" s="15"/>
      <c r="G378" s="15"/>
      <c r="H378" s="15"/>
      <c r="I378" s="15"/>
      <c r="J378" s="15"/>
      <c r="K378" s="15"/>
      <c r="L378" s="747"/>
      <c r="M378" s="15"/>
      <c r="N378" s="15"/>
      <c r="O378" s="15"/>
      <c r="P378" s="15"/>
      <c r="Q378" s="15"/>
      <c r="R378" s="15"/>
      <c r="S378" s="15"/>
      <c r="T378" s="15"/>
      <c r="U378" s="15"/>
      <c r="V378" s="15"/>
      <c r="W378" s="15"/>
      <c r="X378" s="15"/>
      <c r="Y378" s="15"/>
      <c r="Z378" s="15"/>
      <c r="AA378" s="15"/>
      <c r="AB378" s="15"/>
      <c r="AC378" s="15"/>
      <c r="AD378" s="15"/>
      <c r="AE378" s="15"/>
    </row>
    <row r="379" spans="1:31" x14ac:dyDescent="0.85">
      <c r="A379" s="15"/>
      <c r="B379" s="15"/>
      <c r="C379" s="15"/>
      <c r="D379" s="15"/>
      <c r="E379" s="15"/>
      <c r="F379" s="15"/>
      <c r="G379" s="15"/>
      <c r="H379" s="15"/>
      <c r="I379" s="15"/>
      <c r="J379" s="15"/>
      <c r="K379" s="15"/>
      <c r="L379" s="747"/>
      <c r="M379" s="15"/>
      <c r="N379" s="15"/>
      <c r="O379" s="15"/>
      <c r="P379" s="15"/>
      <c r="Q379" s="15"/>
      <c r="R379" s="15"/>
      <c r="S379" s="15"/>
      <c r="T379" s="15"/>
      <c r="U379" s="15"/>
      <c r="V379" s="15"/>
      <c r="W379" s="15"/>
      <c r="X379" s="15"/>
      <c r="Y379" s="15"/>
      <c r="Z379" s="15"/>
      <c r="AA379" s="15"/>
      <c r="AB379" s="15"/>
      <c r="AC379" s="15"/>
      <c r="AD379" s="15"/>
      <c r="AE379" s="15"/>
    </row>
    <row r="380" spans="1:31" x14ac:dyDescent="0.85">
      <c r="A380" s="15"/>
      <c r="B380" s="15"/>
      <c r="C380" s="15"/>
      <c r="D380" s="15"/>
      <c r="E380" s="15"/>
      <c r="F380" s="15"/>
      <c r="G380" s="15"/>
      <c r="H380" s="15"/>
      <c r="I380" s="15"/>
      <c r="J380" s="15"/>
      <c r="K380" s="15"/>
      <c r="L380" s="747"/>
      <c r="M380" s="15"/>
      <c r="N380" s="15"/>
      <c r="O380" s="15"/>
      <c r="P380" s="15"/>
      <c r="Q380" s="15"/>
      <c r="R380" s="15"/>
      <c r="S380" s="15"/>
      <c r="T380" s="15"/>
      <c r="U380" s="15"/>
      <c r="V380" s="15"/>
      <c r="W380" s="15"/>
      <c r="X380" s="15"/>
      <c r="Y380" s="15"/>
      <c r="Z380" s="15"/>
      <c r="AA380" s="15"/>
      <c r="AB380" s="15"/>
      <c r="AC380" s="15"/>
      <c r="AD380" s="15"/>
      <c r="AE380" s="15"/>
    </row>
    <row r="381" spans="1:31" x14ac:dyDescent="0.85">
      <c r="A381" s="15"/>
      <c r="B381" s="15"/>
      <c r="C381" s="15"/>
      <c r="D381" s="15"/>
      <c r="E381" s="15"/>
      <c r="F381" s="15"/>
      <c r="G381" s="15"/>
      <c r="H381" s="15"/>
      <c r="I381" s="15"/>
      <c r="J381" s="15"/>
      <c r="K381" s="15"/>
      <c r="L381" s="747"/>
      <c r="M381" s="15"/>
      <c r="N381" s="15"/>
      <c r="O381" s="15"/>
      <c r="P381" s="15"/>
      <c r="Q381" s="15"/>
      <c r="R381" s="15"/>
      <c r="S381" s="15"/>
      <c r="T381" s="15"/>
      <c r="U381" s="15"/>
      <c r="V381" s="15"/>
      <c r="W381" s="15"/>
      <c r="X381" s="15"/>
      <c r="Y381" s="15"/>
      <c r="Z381" s="15"/>
      <c r="AA381" s="15"/>
      <c r="AB381" s="15"/>
      <c r="AC381" s="15"/>
      <c r="AD381" s="15"/>
      <c r="AE381" s="15"/>
    </row>
    <row r="382" spans="1:31" x14ac:dyDescent="0.85">
      <c r="A382" s="15"/>
      <c r="B382" s="15"/>
      <c r="C382" s="15"/>
      <c r="D382" s="15"/>
      <c r="E382" s="15"/>
      <c r="F382" s="15"/>
      <c r="G382" s="15"/>
      <c r="H382" s="15"/>
      <c r="I382" s="15"/>
      <c r="J382" s="15"/>
      <c r="K382" s="15"/>
      <c r="L382" s="747"/>
      <c r="M382" s="15"/>
      <c r="N382" s="15"/>
      <c r="O382" s="15"/>
      <c r="P382" s="15"/>
      <c r="Q382" s="15"/>
      <c r="R382" s="15"/>
      <c r="S382" s="15"/>
      <c r="T382" s="15"/>
      <c r="U382" s="15"/>
      <c r="V382" s="15"/>
      <c r="W382" s="15"/>
      <c r="X382" s="15"/>
      <c r="Y382" s="15"/>
      <c r="Z382" s="15"/>
      <c r="AA382" s="15"/>
      <c r="AB382" s="15"/>
      <c r="AC382" s="15"/>
      <c r="AD382" s="15"/>
      <c r="AE382" s="15"/>
    </row>
    <row r="383" spans="1:31" x14ac:dyDescent="0.85">
      <c r="A383" s="15"/>
      <c r="B383" s="15"/>
      <c r="C383" s="15"/>
      <c r="D383" s="15"/>
      <c r="E383" s="15"/>
      <c r="F383" s="15"/>
      <c r="G383" s="15"/>
      <c r="H383" s="15"/>
      <c r="I383" s="15"/>
      <c r="J383" s="15"/>
      <c r="K383" s="15"/>
      <c r="L383" s="747"/>
      <c r="M383" s="15"/>
      <c r="N383" s="15"/>
      <c r="O383" s="15"/>
      <c r="P383" s="15"/>
      <c r="Q383" s="15"/>
      <c r="R383" s="15"/>
      <c r="S383" s="15"/>
      <c r="T383" s="15"/>
      <c r="U383" s="15"/>
      <c r="V383" s="15"/>
      <c r="W383" s="15"/>
      <c r="X383" s="15"/>
      <c r="Y383" s="15"/>
      <c r="Z383" s="15"/>
      <c r="AA383" s="15"/>
      <c r="AB383" s="15"/>
      <c r="AC383" s="15"/>
      <c r="AD383" s="15"/>
      <c r="AE383" s="15"/>
    </row>
    <row r="384" spans="1:31" x14ac:dyDescent="0.85">
      <c r="A384" s="15"/>
      <c r="B384" s="15"/>
      <c r="C384" s="15"/>
      <c r="D384" s="15"/>
      <c r="E384" s="15"/>
      <c r="F384" s="15"/>
      <c r="G384" s="15"/>
      <c r="H384" s="15"/>
      <c r="I384" s="15"/>
      <c r="J384" s="15"/>
      <c r="K384" s="15"/>
      <c r="L384" s="747"/>
      <c r="M384" s="15"/>
      <c r="N384" s="15"/>
      <c r="O384" s="15"/>
      <c r="P384" s="15"/>
      <c r="Q384" s="15"/>
      <c r="R384" s="15"/>
      <c r="S384" s="15"/>
      <c r="T384" s="15"/>
      <c r="U384" s="15"/>
      <c r="V384" s="15"/>
      <c r="W384" s="15"/>
      <c r="X384" s="15"/>
      <c r="Y384" s="15"/>
      <c r="Z384" s="15"/>
      <c r="AA384" s="15"/>
      <c r="AB384" s="15"/>
      <c r="AC384" s="15"/>
      <c r="AD384" s="15"/>
      <c r="AE384" s="15"/>
    </row>
    <row r="385" spans="1:31" x14ac:dyDescent="0.85">
      <c r="A385" s="15"/>
      <c r="B385" s="15"/>
      <c r="C385" s="15"/>
      <c r="D385" s="15"/>
      <c r="E385" s="15"/>
      <c r="F385" s="15"/>
      <c r="G385" s="15"/>
      <c r="H385" s="15"/>
      <c r="I385" s="15"/>
      <c r="J385" s="15"/>
      <c r="K385" s="15"/>
      <c r="L385" s="747"/>
      <c r="M385" s="15"/>
      <c r="N385" s="15"/>
      <c r="O385" s="15"/>
      <c r="P385" s="15"/>
      <c r="Q385" s="15"/>
      <c r="R385" s="15"/>
      <c r="S385" s="15"/>
      <c r="T385" s="15"/>
      <c r="U385" s="15"/>
      <c r="V385" s="15"/>
      <c r="W385" s="15"/>
      <c r="X385" s="15"/>
      <c r="Y385" s="15"/>
      <c r="Z385" s="15"/>
      <c r="AA385" s="15"/>
      <c r="AB385" s="15"/>
      <c r="AC385" s="15"/>
      <c r="AD385" s="15"/>
      <c r="AE385" s="15"/>
    </row>
    <row r="386" spans="1:31" x14ac:dyDescent="0.85">
      <c r="A386" s="15"/>
      <c r="B386" s="15"/>
      <c r="C386" s="15"/>
      <c r="D386" s="15"/>
      <c r="E386" s="15"/>
      <c r="F386" s="15"/>
      <c r="G386" s="15"/>
      <c r="H386" s="15"/>
      <c r="I386" s="15"/>
      <c r="J386" s="15"/>
      <c r="K386" s="15"/>
      <c r="L386" s="747"/>
      <c r="M386" s="15"/>
      <c r="N386" s="15"/>
      <c r="O386" s="15"/>
      <c r="P386" s="15"/>
      <c r="Q386" s="15"/>
      <c r="R386" s="15"/>
      <c r="S386" s="15"/>
      <c r="T386" s="15"/>
      <c r="U386" s="15"/>
      <c r="V386" s="15"/>
      <c r="W386" s="15"/>
      <c r="X386" s="15"/>
      <c r="Y386" s="15"/>
      <c r="Z386" s="15"/>
      <c r="AA386" s="15"/>
      <c r="AB386" s="15"/>
      <c r="AC386" s="15"/>
      <c r="AD386" s="15"/>
      <c r="AE386" s="15"/>
    </row>
    <row r="387" spans="1:31" x14ac:dyDescent="0.85">
      <c r="A387" s="15"/>
      <c r="B387" s="15"/>
      <c r="C387" s="15"/>
      <c r="D387" s="15"/>
      <c r="E387" s="15"/>
      <c r="F387" s="15"/>
      <c r="G387" s="15"/>
      <c r="H387" s="15"/>
      <c r="I387" s="15"/>
      <c r="J387" s="15"/>
      <c r="K387" s="15"/>
      <c r="L387" s="747"/>
      <c r="M387" s="15"/>
      <c r="N387" s="15"/>
      <c r="O387" s="15"/>
      <c r="P387" s="15"/>
      <c r="Q387" s="15"/>
      <c r="R387" s="15"/>
      <c r="S387" s="15"/>
      <c r="T387" s="15"/>
      <c r="U387" s="15"/>
      <c r="V387" s="15"/>
      <c r="W387" s="15"/>
      <c r="X387" s="15"/>
      <c r="Y387" s="15"/>
      <c r="Z387" s="15"/>
      <c r="AA387" s="15"/>
      <c r="AB387" s="15"/>
      <c r="AC387" s="15"/>
      <c r="AD387" s="15"/>
      <c r="AE387" s="15"/>
    </row>
    <row r="388" spans="1:31" x14ac:dyDescent="0.85">
      <c r="A388" s="15"/>
      <c r="B388" s="15"/>
      <c r="C388" s="15"/>
      <c r="D388" s="15"/>
      <c r="E388" s="15"/>
      <c r="F388" s="15"/>
      <c r="G388" s="15"/>
      <c r="H388" s="15"/>
      <c r="I388" s="15"/>
      <c r="J388" s="15"/>
      <c r="K388" s="15"/>
      <c r="L388" s="747"/>
      <c r="M388" s="15"/>
      <c r="N388" s="15"/>
      <c r="O388" s="15"/>
      <c r="P388" s="15"/>
      <c r="Q388" s="15"/>
      <c r="R388" s="15"/>
      <c r="S388" s="15"/>
      <c r="T388" s="15"/>
      <c r="U388" s="15"/>
      <c r="V388" s="15"/>
      <c r="W388" s="15"/>
      <c r="X388" s="15"/>
      <c r="Y388" s="15"/>
      <c r="Z388" s="15"/>
      <c r="AA388" s="15"/>
      <c r="AB388" s="15"/>
      <c r="AC388" s="15"/>
      <c r="AD388" s="15"/>
      <c r="AE388" s="15"/>
    </row>
    <row r="389" spans="1:31" x14ac:dyDescent="0.85">
      <c r="A389" s="15"/>
      <c r="B389" s="15"/>
      <c r="C389" s="15"/>
      <c r="D389" s="15"/>
      <c r="E389" s="15"/>
      <c r="F389" s="15"/>
      <c r="G389" s="15"/>
      <c r="H389" s="15"/>
      <c r="I389" s="15"/>
      <c r="J389" s="15"/>
      <c r="K389" s="15"/>
      <c r="L389" s="747"/>
      <c r="M389" s="15"/>
      <c r="N389" s="15"/>
      <c r="O389" s="15"/>
      <c r="P389" s="15"/>
      <c r="Q389" s="15"/>
      <c r="R389" s="15"/>
      <c r="S389" s="15"/>
      <c r="T389" s="15"/>
      <c r="U389" s="15"/>
      <c r="V389" s="15"/>
      <c r="W389" s="15"/>
      <c r="X389" s="15"/>
      <c r="Y389" s="15"/>
      <c r="Z389" s="15"/>
      <c r="AA389" s="15"/>
      <c r="AB389" s="15"/>
      <c r="AC389" s="15"/>
      <c r="AD389" s="15"/>
      <c r="AE389" s="15"/>
    </row>
    <row r="390" spans="1:31" x14ac:dyDescent="0.85">
      <c r="A390" s="15"/>
      <c r="B390" s="15"/>
      <c r="C390" s="15"/>
      <c r="D390" s="15"/>
      <c r="E390" s="15"/>
      <c r="F390" s="15"/>
      <c r="G390" s="15"/>
      <c r="H390" s="15"/>
      <c r="I390" s="15"/>
      <c r="J390" s="15"/>
      <c r="K390" s="15"/>
      <c r="L390" s="747"/>
      <c r="M390" s="15"/>
      <c r="N390" s="15"/>
      <c r="O390" s="15"/>
      <c r="P390" s="15"/>
      <c r="Q390" s="15"/>
      <c r="R390" s="15"/>
      <c r="S390" s="15"/>
      <c r="T390" s="15"/>
      <c r="U390" s="15"/>
      <c r="V390" s="15"/>
      <c r="W390" s="15"/>
      <c r="X390" s="15"/>
      <c r="Y390" s="15"/>
      <c r="Z390" s="15"/>
      <c r="AA390" s="15"/>
      <c r="AB390" s="15"/>
      <c r="AC390" s="15"/>
      <c r="AD390" s="15"/>
      <c r="AE390" s="15"/>
    </row>
    <row r="391" spans="1:31" x14ac:dyDescent="0.85">
      <c r="A391" s="15"/>
      <c r="B391" s="15"/>
      <c r="C391" s="15"/>
      <c r="D391" s="15"/>
      <c r="E391" s="15"/>
      <c r="F391" s="15"/>
      <c r="G391" s="15"/>
      <c r="H391" s="15"/>
      <c r="I391" s="15"/>
      <c r="J391" s="15"/>
      <c r="K391" s="15"/>
      <c r="L391" s="747"/>
      <c r="M391" s="15"/>
      <c r="N391" s="15"/>
      <c r="O391" s="15"/>
      <c r="P391" s="15"/>
      <c r="Q391" s="15"/>
      <c r="R391" s="15"/>
      <c r="S391" s="15"/>
      <c r="T391" s="15"/>
      <c r="U391" s="15"/>
      <c r="V391" s="15"/>
      <c r="W391" s="15"/>
      <c r="X391" s="15"/>
      <c r="Y391" s="15"/>
      <c r="Z391" s="15"/>
      <c r="AA391" s="15"/>
      <c r="AB391" s="15"/>
      <c r="AC391" s="15"/>
      <c r="AD391" s="15"/>
      <c r="AE391" s="15"/>
    </row>
    <row r="392" spans="1:31" x14ac:dyDescent="0.85">
      <c r="A392" s="15"/>
      <c r="B392" s="15"/>
      <c r="C392" s="15"/>
      <c r="D392" s="15"/>
      <c r="E392" s="15"/>
      <c r="F392" s="15"/>
      <c r="G392" s="15"/>
      <c r="H392" s="15"/>
      <c r="I392" s="15"/>
      <c r="J392" s="15"/>
      <c r="K392" s="15"/>
      <c r="L392" s="747"/>
      <c r="M392" s="15"/>
      <c r="N392" s="15"/>
      <c r="O392" s="15"/>
      <c r="P392" s="15"/>
      <c r="Q392" s="15"/>
      <c r="R392" s="15"/>
      <c r="S392" s="15"/>
      <c r="T392" s="15"/>
      <c r="U392" s="15"/>
      <c r="V392" s="15"/>
      <c r="W392" s="15"/>
      <c r="X392" s="15"/>
      <c r="Y392" s="15"/>
      <c r="Z392" s="15"/>
      <c r="AA392" s="15"/>
      <c r="AB392" s="15"/>
      <c r="AC392" s="15"/>
      <c r="AD392" s="15"/>
      <c r="AE392" s="15"/>
    </row>
    <row r="393" spans="1:31" x14ac:dyDescent="0.85">
      <c r="A393" s="15"/>
      <c r="B393" s="15"/>
      <c r="C393" s="15"/>
      <c r="D393" s="15"/>
      <c r="E393" s="15"/>
      <c r="F393" s="15"/>
      <c r="G393" s="15"/>
      <c r="H393" s="15"/>
      <c r="I393" s="15"/>
      <c r="J393" s="15"/>
      <c r="K393" s="15"/>
      <c r="L393" s="747"/>
      <c r="M393" s="15"/>
      <c r="N393" s="15"/>
      <c r="O393" s="15"/>
      <c r="P393" s="15"/>
      <c r="Q393" s="15"/>
      <c r="R393" s="15"/>
      <c r="S393" s="15"/>
      <c r="T393" s="15"/>
      <c r="U393" s="15"/>
      <c r="V393" s="15"/>
      <c r="W393" s="15"/>
      <c r="X393" s="15"/>
      <c r="Y393" s="15"/>
      <c r="Z393" s="15"/>
      <c r="AA393" s="15"/>
      <c r="AB393" s="15"/>
      <c r="AC393" s="15"/>
      <c r="AD393" s="15"/>
      <c r="AE393" s="15"/>
    </row>
    <row r="394" spans="1:31" x14ac:dyDescent="0.85">
      <c r="A394" s="15"/>
      <c r="B394" s="15"/>
      <c r="C394" s="15"/>
      <c r="D394" s="15"/>
      <c r="E394" s="15"/>
      <c r="F394" s="15"/>
      <c r="G394" s="15"/>
      <c r="H394" s="15"/>
      <c r="I394" s="15"/>
      <c r="J394" s="15"/>
      <c r="K394" s="15"/>
      <c r="L394" s="747"/>
      <c r="M394" s="15"/>
      <c r="N394" s="15"/>
      <c r="O394" s="15"/>
      <c r="P394" s="15"/>
      <c r="Q394" s="15"/>
      <c r="R394" s="15"/>
      <c r="S394" s="15"/>
      <c r="T394" s="15"/>
      <c r="U394" s="15"/>
      <c r="V394" s="15"/>
      <c r="W394" s="15"/>
      <c r="X394" s="15"/>
      <c r="Y394" s="15"/>
      <c r="Z394" s="15"/>
      <c r="AA394" s="15"/>
      <c r="AB394" s="15"/>
      <c r="AC394" s="15"/>
      <c r="AD394" s="15"/>
      <c r="AE394" s="15"/>
    </row>
    <row r="395" spans="1:31" x14ac:dyDescent="0.85">
      <c r="A395" s="15"/>
      <c r="B395" s="15"/>
      <c r="C395" s="15"/>
      <c r="D395" s="15"/>
      <c r="E395" s="15"/>
      <c r="F395" s="15"/>
      <c r="G395" s="15"/>
      <c r="H395" s="15"/>
      <c r="I395" s="15"/>
      <c r="J395" s="15"/>
      <c r="K395" s="15"/>
      <c r="L395" s="747"/>
      <c r="M395" s="15"/>
      <c r="N395" s="15"/>
      <c r="O395" s="15"/>
      <c r="P395" s="15"/>
      <c r="Q395" s="15"/>
      <c r="R395" s="15"/>
      <c r="S395" s="15"/>
      <c r="T395" s="15"/>
      <c r="U395" s="15"/>
      <c r="V395" s="15"/>
      <c r="W395" s="15"/>
      <c r="X395" s="15"/>
      <c r="Y395" s="15"/>
      <c r="Z395" s="15"/>
      <c r="AA395" s="15"/>
      <c r="AB395" s="15"/>
      <c r="AC395" s="15"/>
      <c r="AD395" s="15"/>
      <c r="AE395" s="15"/>
    </row>
    <row r="396" spans="1:31" x14ac:dyDescent="0.85">
      <c r="A396" s="15"/>
      <c r="B396" s="15"/>
      <c r="C396" s="15"/>
      <c r="D396" s="15"/>
      <c r="E396" s="15"/>
      <c r="F396" s="15"/>
      <c r="G396" s="15"/>
      <c r="H396" s="15"/>
      <c r="I396" s="15"/>
      <c r="J396" s="15"/>
      <c r="K396" s="15"/>
      <c r="L396" s="747"/>
      <c r="M396" s="15"/>
      <c r="N396" s="15"/>
      <c r="O396" s="15"/>
      <c r="P396" s="15"/>
      <c r="Q396" s="15"/>
      <c r="R396" s="15"/>
      <c r="S396" s="15"/>
      <c r="T396" s="15"/>
      <c r="U396" s="15"/>
      <c r="V396" s="15"/>
      <c r="W396" s="15"/>
      <c r="X396" s="15"/>
      <c r="Y396" s="15"/>
      <c r="Z396" s="15"/>
      <c r="AA396" s="15"/>
      <c r="AB396" s="15"/>
      <c r="AC396" s="15"/>
      <c r="AD396" s="15"/>
      <c r="AE396" s="15"/>
    </row>
    <row r="397" spans="1:31" x14ac:dyDescent="0.85">
      <c r="A397" s="15"/>
      <c r="B397" s="15"/>
      <c r="C397" s="15"/>
      <c r="D397" s="15"/>
      <c r="E397" s="15"/>
      <c r="F397" s="15"/>
      <c r="G397" s="15"/>
      <c r="H397" s="15"/>
      <c r="I397" s="15"/>
      <c r="J397" s="15"/>
      <c r="K397" s="15"/>
      <c r="L397" s="747"/>
      <c r="M397" s="15"/>
      <c r="N397" s="15"/>
      <c r="O397" s="15"/>
      <c r="P397" s="15"/>
      <c r="Q397" s="15"/>
      <c r="R397" s="15"/>
      <c r="S397" s="15"/>
      <c r="T397" s="15"/>
      <c r="U397" s="15"/>
      <c r="V397" s="15"/>
      <c r="W397" s="15"/>
      <c r="X397" s="15"/>
      <c r="Y397" s="15"/>
      <c r="Z397" s="15"/>
      <c r="AA397" s="15"/>
      <c r="AB397" s="15"/>
      <c r="AC397" s="15"/>
      <c r="AD397" s="15"/>
      <c r="AE397" s="15"/>
    </row>
    <row r="398" spans="1:31" x14ac:dyDescent="0.85">
      <c r="A398" s="15"/>
      <c r="B398" s="15"/>
      <c r="C398" s="15"/>
      <c r="D398" s="15"/>
      <c r="E398" s="15"/>
      <c r="F398" s="15"/>
      <c r="G398" s="15"/>
      <c r="H398" s="15"/>
      <c r="I398" s="15"/>
      <c r="J398" s="15"/>
      <c r="K398" s="15"/>
      <c r="L398" s="747"/>
      <c r="M398" s="15"/>
      <c r="N398" s="15"/>
      <c r="O398" s="15"/>
      <c r="P398" s="15"/>
      <c r="Q398" s="15"/>
      <c r="R398" s="15"/>
      <c r="S398" s="15"/>
      <c r="T398" s="15"/>
      <c r="U398" s="15"/>
      <c r="V398" s="15"/>
      <c r="W398" s="15"/>
      <c r="X398" s="15"/>
      <c r="Y398" s="15"/>
      <c r="Z398" s="15"/>
      <c r="AA398" s="15"/>
      <c r="AB398" s="15"/>
      <c r="AC398" s="15"/>
      <c r="AD398" s="15"/>
      <c r="AE398" s="15"/>
    </row>
    <row r="399" spans="1:31" x14ac:dyDescent="0.85">
      <c r="A399" s="15"/>
      <c r="B399" s="15"/>
      <c r="C399" s="15"/>
      <c r="D399" s="15"/>
      <c r="E399" s="15"/>
      <c r="F399" s="15"/>
      <c r="G399" s="15"/>
      <c r="H399" s="15"/>
      <c r="I399" s="15"/>
      <c r="J399" s="15"/>
      <c r="K399" s="15"/>
      <c r="L399" s="747"/>
      <c r="M399" s="15"/>
      <c r="N399" s="15"/>
      <c r="O399" s="15"/>
      <c r="P399" s="15"/>
      <c r="Q399" s="15"/>
      <c r="R399" s="15"/>
      <c r="S399" s="15"/>
      <c r="T399" s="15"/>
      <c r="U399" s="15"/>
      <c r="V399" s="15"/>
      <c r="W399" s="15"/>
      <c r="X399" s="15"/>
      <c r="Y399" s="15"/>
      <c r="Z399" s="15"/>
      <c r="AA399" s="15"/>
      <c r="AB399" s="15"/>
      <c r="AC399" s="15"/>
      <c r="AD399" s="15"/>
      <c r="AE399" s="15"/>
    </row>
    <row r="400" spans="1:31" x14ac:dyDescent="0.85">
      <c r="A400" s="15"/>
      <c r="B400" s="15"/>
      <c r="C400" s="15"/>
      <c r="D400" s="15"/>
      <c r="E400" s="15"/>
      <c r="F400" s="15"/>
      <c r="G400" s="15"/>
      <c r="H400" s="15"/>
      <c r="I400" s="15"/>
      <c r="J400" s="15"/>
      <c r="K400" s="15"/>
      <c r="L400" s="747"/>
      <c r="M400" s="15"/>
      <c r="N400" s="15"/>
      <c r="O400" s="15"/>
      <c r="P400" s="15"/>
      <c r="Q400" s="15"/>
      <c r="R400" s="15"/>
      <c r="S400" s="15"/>
      <c r="T400" s="15"/>
      <c r="U400" s="15"/>
      <c r="V400" s="15"/>
      <c r="W400" s="15"/>
      <c r="X400" s="15"/>
      <c r="Y400" s="15"/>
      <c r="Z400" s="15"/>
      <c r="AA400" s="15"/>
      <c r="AB400" s="15"/>
      <c r="AC400" s="15"/>
      <c r="AD400" s="15"/>
      <c r="AE400" s="15"/>
    </row>
    <row r="401" spans="1:31" x14ac:dyDescent="0.85">
      <c r="A401" s="15"/>
      <c r="B401" s="15"/>
      <c r="C401" s="15"/>
      <c r="D401" s="15"/>
      <c r="E401" s="15"/>
      <c r="F401" s="15"/>
      <c r="G401" s="15"/>
      <c r="H401" s="15"/>
      <c r="I401" s="15"/>
      <c r="J401" s="15"/>
      <c r="K401" s="15"/>
      <c r="L401" s="747"/>
      <c r="M401" s="15"/>
      <c r="N401" s="15"/>
      <c r="O401" s="15"/>
      <c r="P401" s="15"/>
      <c r="Q401" s="15"/>
      <c r="R401" s="15"/>
      <c r="S401" s="15"/>
      <c r="T401" s="15"/>
      <c r="U401" s="15"/>
      <c r="V401" s="15"/>
      <c r="W401" s="15"/>
      <c r="X401" s="15"/>
      <c r="Y401" s="15"/>
      <c r="Z401" s="15"/>
      <c r="AA401" s="15"/>
      <c r="AB401" s="15"/>
      <c r="AC401" s="15"/>
      <c r="AD401" s="15"/>
      <c r="AE401" s="15"/>
    </row>
    <row r="402" spans="1:31" x14ac:dyDescent="0.85">
      <c r="A402" s="15"/>
      <c r="B402" s="15"/>
      <c r="C402" s="15"/>
      <c r="D402" s="15"/>
      <c r="E402" s="15"/>
      <c r="F402" s="15"/>
      <c r="G402" s="15"/>
      <c r="H402" s="15"/>
      <c r="I402" s="15"/>
      <c r="J402" s="15"/>
      <c r="K402" s="15"/>
      <c r="L402" s="747"/>
      <c r="M402" s="15"/>
      <c r="N402" s="15"/>
      <c r="O402" s="15"/>
      <c r="P402" s="15"/>
      <c r="Q402" s="15"/>
      <c r="R402" s="15"/>
      <c r="S402" s="15"/>
      <c r="T402" s="15"/>
      <c r="U402" s="15"/>
      <c r="V402" s="15"/>
      <c r="W402" s="15"/>
      <c r="X402" s="15"/>
      <c r="Y402" s="15"/>
      <c r="Z402" s="15"/>
      <c r="AA402" s="15"/>
      <c r="AB402" s="15"/>
      <c r="AC402" s="15"/>
      <c r="AD402" s="15"/>
      <c r="AE402" s="15"/>
    </row>
    <row r="403" spans="1:31" x14ac:dyDescent="0.85">
      <c r="A403" s="15"/>
      <c r="B403" s="15"/>
      <c r="C403" s="15"/>
      <c r="D403" s="15"/>
      <c r="E403" s="15"/>
      <c r="F403" s="15"/>
      <c r="G403" s="15"/>
      <c r="H403" s="15"/>
      <c r="I403" s="15"/>
      <c r="J403" s="15"/>
      <c r="K403" s="15"/>
      <c r="L403" s="747"/>
      <c r="M403" s="15"/>
      <c r="N403" s="15"/>
      <c r="O403" s="15"/>
      <c r="P403" s="15"/>
      <c r="Q403" s="15"/>
      <c r="R403" s="15"/>
      <c r="S403" s="15"/>
      <c r="T403" s="15"/>
      <c r="U403" s="15"/>
      <c r="V403" s="15"/>
      <c r="W403" s="15"/>
      <c r="X403" s="15"/>
      <c r="Y403" s="15"/>
      <c r="Z403" s="15"/>
      <c r="AA403" s="15"/>
      <c r="AB403" s="15"/>
      <c r="AC403" s="15"/>
      <c r="AD403" s="15"/>
      <c r="AE403" s="15"/>
    </row>
    <row r="404" spans="1:31" x14ac:dyDescent="0.85">
      <c r="A404" s="15"/>
      <c r="B404" s="15"/>
      <c r="C404" s="15"/>
      <c r="D404" s="15"/>
      <c r="E404" s="15"/>
      <c r="F404" s="15"/>
      <c r="G404" s="15"/>
      <c r="H404" s="15"/>
      <c r="I404" s="15"/>
      <c r="J404" s="15"/>
      <c r="K404" s="15"/>
      <c r="L404" s="747"/>
      <c r="M404" s="15"/>
      <c r="N404" s="15"/>
      <c r="O404" s="15"/>
      <c r="P404" s="15"/>
      <c r="Q404" s="15"/>
      <c r="R404" s="15"/>
      <c r="S404" s="15"/>
      <c r="T404" s="15"/>
      <c r="U404" s="15"/>
      <c r="V404" s="15"/>
      <c r="W404" s="15"/>
      <c r="X404" s="15"/>
      <c r="Y404" s="15"/>
      <c r="Z404" s="15"/>
      <c r="AA404" s="15"/>
      <c r="AB404" s="15"/>
      <c r="AC404" s="15"/>
      <c r="AD404" s="15"/>
      <c r="AE404" s="15"/>
    </row>
    <row r="405" spans="1:31" x14ac:dyDescent="0.85">
      <c r="A405" s="15"/>
      <c r="B405" s="15"/>
      <c r="C405" s="15"/>
      <c r="D405" s="15"/>
      <c r="E405" s="15"/>
      <c r="F405" s="15"/>
      <c r="G405" s="15"/>
      <c r="H405" s="15"/>
      <c r="I405" s="15"/>
      <c r="J405" s="15"/>
      <c r="K405" s="15"/>
      <c r="L405" s="747"/>
      <c r="M405" s="15"/>
      <c r="N405" s="15"/>
      <c r="O405" s="15"/>
      <c r="P405" s="15"/>
      <c r="Q405" s="15"/>
      <c r="R405" s="15"/>
      <c r="S405" s="15"/>
      <c r="T405" s="15"/>
      <c r="U405" s="15"/>
      <c r="V405" s="15"/>
      <c r="W405" s="15"/>
      <c r="X405" s="15"/>
      <c r="Y405" s="15"/>
      <c r="Z405" s="15"/>
      <c r="AA405" s="15"/>
      <c r="AB405" s="15"/>
      <c r="AC405" s="15"/>
      <c r="AD405" s="15"/>
      <c r="AE405" s="15"/>
    </row>
    <row r="406" spans="1:31" x14ac:dyDescent="0.85">
      <c r="A406" s="15"/>
      <c r="B406" s="15"/>
      <c r="C406" s="15"/>
      <c r="D406" s="15"/>
      <c r="E406" s="15"/>
      <c r="F406" s="15"/>
      <c r="G406" s="15"/>
      <c r="H406" s="15"/>
      <c r="I406" s="15"/>
      <c r="J406" s="15"/>
      <c r="K406" s="15"/>
      <c r="L406" s="747"/>
      <c r="M406" s="15"/>
      <c r="N406" s="15"/>
      <c r="O406" s="15"/>
      <c r="P406" s="15"/>
      <c r="Q406" s="15"/>
      <c r="R406" s="15"/>
      <c r="S406" s="15"/>
      <c r="T406" s="15"/>
      <c r="U406" s="15"/>
      <c r="V406" s="15"/>
      <c r="W406" s="15"/>
      <c r="X406" s="15"/>
      <c r="Y406" s="15"/>
      <c r="Z406" s="15"/>
      <c r="AA406" s="15"/>
      <c r="AB406" s="15"/>
      <c r="AC406" s="15"/>
      <c r="AD406" s="15"/>
      <c r="AE406" s="15"/>
    </row>
    <row r="407" spans="1:31" x14ac:dyDescent="0.85">
      <c r="A407" s="15"/>
      <c r="B407" s="15"/>
      <c r="C407" s="15"/>
      <c r="D407" s="15"/>
      <c r="E407" s="15"/>
      <c r="F407" s="15"/>
      <c r="G407" s="15"/>
      <c r="H407" s="15"/>
      <c r="I407" s="15"/>
      <c r="J407" s="15"/>
      <c r="K407" s="15"/>
      <c r="L407" s="747"/>
      <c r="M407" s="15"/>
      <c r="N407" s="15"/>
      <c r="O407" s="15"/>
      <c r="P407" s="15"/>
      <c r="Q407" s="15"/>
      <c r="R407" s="15"/>
      <c r="S407" s="15"/>
      <c r="T407" s="15"/>
      <c r="U407" s="15"/>
      <c r="V407" s="15"/>
      <c r="W407" s="15"/>
      <c r="X407" s="15"/>
      <c r="Y407" s="15"/>
      <c r="Z407" s="15"/>
      <c r="AA407" s="15"/>
      <c r="AB407" s="15"/>
      <c r="AC407" s="15"/>
      <c r="AD407" s="15"/>
      <c r="AE407" s="15"/>
    </row>
    <row r="408" spans="1:31" x14ac:dyDescent="0.85">
      <c r="A408" s="15"/>
      <c r="B408" s="15"/>
      <c r="C408" s="15"/>
      <c r="D408" s="15"/>
      <c r="E408" s="15"/>
      <c r="F408" s="15"/>
      <c r="G408" s="15"/>
      <c r="H408" s="15"/>
      <c r="I408" s="15"/>
      <c r="J408" s="15"/>
      <c r="K408" s="15"/>
      <c r="L408" s="747"/>
      <c r="M408" s="15"/>
      <c r="N408" s="15"/>
      <c r="O408" s="15"/>
      <c r="P408" s="15"/>
      <c r="Q408" s="15"/>
      <c r="R408" s="15"/>
      <c r="S408" s="15"/>
      <c r="T408" s="15"/>
      <c r="U408" s="15"/>
      <c r="V408" s="15"/>
      <c r="W408" s="15"/>
      <c r="X408" s="15"/>
      <c r="Y408" s="15"/>
      <c r="Z408" s="15"/>
      <c r="AA408" s="15"/>
      <c r="AB408" s="15"/>
      <c r="AC408" s="15"/>
      <c r="AD408" s="15"/>
      <c r="AE408" s="15"/>
    </row>
    <row r="409" spans="1:31" x14ac:dyDescent="0.85">
      <c r="A409" s="15"/>
      <c r="B409" s="15"/>
      <c r="C409" s="15"/>
      <c r="D409" s="15"/>
      <c r="E409" s="15"/>
      <c r="F409" s="15"/>
      <c r="G409" s="15"/>
      <c r="H409" s="15"/>
      <c r="I409" s="15"/>
      <c r="J409" s="15"/>
      <c r="K409" s="15"/>
      <c r="L409" s="747"/>
      <c r="M409" s="15"/>
      <c r="N409" s="15"/>
      <c r="O409" s="15"/>
      <c r="P409" s="15"/>
      <c r="Q409" s="15"/>
      <c r="R409" s="15"/>
      <c r="S409" s="15"/>
      <c r="T409" s="15"/>
      <c r="U409" s="15"/>
      <c r="V409" s="15"/>
      <c r="W409" s="15"/>
      <c r="X409" s="15"/>
      <c r="Y409" s="15"/>
      <c r="Z409" s="15"/>
      <c r="AA409" s="15"/>
      <c r="AB409" s="15"/>
      <c r="AC409" s="15"/>
      <c r="AD409" s="15"/>
      <c r="AE409" s="15"/>
    </row>
    <row r="410" spans="1:31" x14ac:dyDescent="0.85">
      <c r="A410" s="15"/>
      <c r="B410" s="15"/>
      <c r="C410" s="15"/>
      <c r="D410" s="15"/>
      <c r="E410" s="15"/>
      <c r="F410" s="15"/>
      <c r="G410" s="15"/>
      <c r="H410" s="15"/>
      <c r="I410" s="15"/>
      <c r="J410" s="15"/>
      <c r="K410" s="15"/>
      <c r="L410" s="747"/>
      <c r="M410" s="15"/>
      <c r="N410" s="15"/>
      <c r="O410" s="15"/>
      <c r="P410" s="15"/>
      <c r="Q410" s="15"/>
      <c r="R410" s="15"/>
      <c r="S410" s="15"/>
      <c r="T410" s="15"/>
      <c r="U410" s="15"/>
      <c r="V410" s="15"/>
      <c r="W410" s="15"/>
      <c r="X410" s="15"/>
      <c r="Y410" s="15"/>
      <c r="Z410" s="15"/>
      <c r="AA410" s="15"/>
      <c r="AB410" s="15"/>
      <c r="AC410" s="15"/>
      <c r="AD410" s="15"/>
      <c r="AE410" s="15"/>
    </row>
    <row r="411" spans="1:31" x14ac:dyDescent="0.85">
      <c r="A411" s="15"/>
      <c r="B411" s="15"/>
      <c r="C411" s="15"/>
      <c r="D411" s="15"/>
      <c r="E411" s="15"/>
      <c r="F411" s="15"/>
      <c r="G411" s="15"/>
      <c r="H411" s="15"/>
      <c r="I411" s="15"/>
      <c r="J411" s="15"/>
      <c r="K411" s="15"/>
      <c r="L411" s="747"/>
      <c r="M411" s="15"/>
      <c r="N411" s="15"/>
      <c r="O411" s="15"/>
      <c r="P411" s="15"/>
      <c r="Q411" s="15"/>
      <c r="R411" s="15"/>
      <c r="S411" s="15"/>
      <c r="T411" s="15"/>
      <c r="U411" s="15"/>
      <c r="V411" s="15"/>
      <c r="W411" s="15"/>
      <c r="X411" s="15"/>
      <c r="Y411" s="15"/>
      <c r="Z411" s="15"/>
      <c r="AA411" s="15"/>
      <c r="AB411" s="15"/>
      <c r="AC411" s="15"/>
      <c r="AD411" s="15"/>
      <c r="AE411" s="15"/>
    </row>
    <row r="412" spans="1:31" x14ac:dyDescent="0.85">
      <c r="A412" s="15"/>
      <c r="B412" s="15"/>
      <c r="C412" s="15"/>
      <c r="D412" s="15"/>
      <c r="E412" s="15"/>
      <c r="F412" s="15"/>
      <c r="G412" s="15"/>
      <c r="H412" s="15"/>
      <c r="I412" s="15"/>
      <c r="J412" s="15"/>
      <c r="K412" s="15"/>
      <c r="L412" s="747"/>
      <c r="M412" s="15"/>
      <c r="N412" s="15"/>
      <c r="O412" s="15"/>
      <c r="P412" s="15"/>
      <c r="Q412" s="15"/>
      <c r="R412" s="15"/>
      <c r="S412" s="15"/>
      <c r="T412" s="15"/>
      <c r="U412" s="15"/>
      <c r="V412" s="15"/>
      <c r="W412" s="15"/>
      <c r="X412" s="15"/>
      <c r="Y412" s="15"/>
      <c r="Z412" s="15"/>
      <c r="AA412" s="15"/>
      <c r="AB412" s="15"/>
      <c r="AC412" s="15"/>
      <c r="AD412" s="15"/>
      <c r="AE412" s="15"/>
    </row>
    <row r="413" spans="1:31" x14ac:dyDescent="0.85">
      <c r="A413" s="15"/>
      <c r="B413" s="15"/>
      <c r="C413" s="15"/>
      <c r="D413" s="15"/>
      <c r="E413" s="15"/>
      <c r="F413" s="15"/>
      <c r="G413" s="15"/>
      <c r="H413" s="15"/>
      <c r="I413" s="15"/>
      <c r="J413" s="15"/>
      <c r="K413" s="15"/>
      <c r="L413" s="747"/>
      <c r="M413" s="15"/>
      <c r="N413" s="15"/>
      <c r="O413" s="15"/>
      <c r="P413" s="15"/>
      <c r="Q413" s="15"/>
      <c r="R413" s="15"/>
      <c r="S413" s="15"/>
      <c r="T413" s="15"/>
      <c r="U413" s="15"/>
      <c r="V413" s="15"/>
      <c r="W413" s="15"/>
      <c r="X413" s="15"/>
      <c r="Y413" s="15"/>
      <c r="Z413" s="15"/>
      <c r="AA413" s="15"/>
      <c r="AB413" s="15"/>
      <c r="AC413" s="15"/>
      <c r="AD413" s="15"/>
      <c r="AE413" s="15"/>
    </row>
    <row r="414" spans="1:31" x14ac:dyDescent="0.85">
      <c r="A414" s="15"/>
      <c r="B414" s="15"/>
      <c r="C414" s="15"/>
      <c r="D414" s="15"/>
      <c r="E414" s="15"/>
      <c r="F414" s="15"/>
      <c r="G414" s="15"/>
      <c r="H414" s="15"/>
      <c r="I414" s="15"/>
      <c r="J414" s="15"/>
      <c r="K414" s="15"/>
      <c r="L414" s="747"/>
      <c r="M414" s="15"/>
      <c r="N414" s="15"/>
      <c r="O414" s="15"/>
      <c r="P414" s="15"/>
      <c r="Q414" s="15"/>
      <c r="R414" s="15"/>
      <c r="S414" s="15"/>
      <c r="T414" s="15"/>
      <c r="U414" s="15"/>
      <c r="V414" s="15"/>
      <c r="W414" s="15"/>
      <c r="X414" s="15"/>
      <c r="Y414" s="15"/>
      <c r="Z414" s="15"/>
      <c r="AA414" s="15"/>
      <c r="AB414" s="15"/>
      <c r="AC414" s="15"/>
      <c r="AD414" s="15"/>
      <c r="AE414" s="15"/>
    </row>
    <row r="415" spans="1:31" x14ac:dyDescent="0.85">
      <c r="A415" s="15"/>
      <c r="B415" s="15"/>
      <c r="C415" s="15"/>
      <c r="D415" s="15"/>
      <c r="E415" s="15"/>
      <c r="F415" s="15"/>
      <c r="G415" s="15"/>
      <c r="H415" s="15"/>
      <c r="I415" s="15"/>
      <c r="J415" s="15"/>
      <c r="K415" s="15"/>
      <c r="L415" s="747"/>
      <c r="M415" s="15"/>
      <c r="N415" s="15"/>
      <c r="O415" s="15"/>
      <c r="P415" s="15"/>
      <c r="Q415" s="15"/>
      <c r="R415" s="15"/>
      <c r="S415" s="15"/>
      <c r="T415" s="15"/>
      <c r="U415" s="15"/>
      <c r="V415" s="15"/>
      <c r="W415" s="15"/>
      <c r="X415" s="15"/>
      <c r="Y415" s="15"/>
      <c r="Z415" s="15"/>
      <c r="AA415" s="15"/>
      <c r="AB415" s="15"/>
      <c r="AC415" s="15"/>
      <c r="AD415" s="15"/>
      <c r="AE415" s="15"/>
    </row>
    <row r="416" spans="1:31" x14ac:dyDescent="0.85">
      <c r="A416" s="15"/>
      <c r="B416" s="15"/>
      <c r="C416" s="15"/>
      <c r="D416" s="15"/>
      <c r="E416" s="15"/>
      <c r="F416" s="15"/>
      <c r="G416" s="15"/>
      <c r="H416" s="15"/>
      <c r="I416" s="15"/>
      <c r="J416" s="15"/>
      <c r="K416" s="15"/>
      <c r="L416" s="747"/>
      <c r="M416" s="15"/>
      <c r="N416" s="15"/>
      <c r="O416" s="15"/>
      <c r="P416" s="15"/>
      <c r="Q416" s="15"/>
      <c r="R416" s="15"/>
      <c r="S416" s="15"/>
      <c r="T416" s="15"/>
      <c r="U416" s="15"/>
      <c r="V416" s="15"/>
      <c r="W416" s="15"/>
      <c r="X416" s="15"/>
      <c r="Y416" s="15"/>
      <c r="Z416" s="15"/>
      <c r="AA416" s="15"/>
      <c r="AB416" s="15"/>
      <c r="AC416" s="15"/>
      <c r="AD416" s="15"/>
      <c r="AE416" s="15"/>
    </row>
    <row r="417" spans="1:31" x14ac:dyDescent="0.85">
      <c r="A417" s="15"/>
      <c r="B417" s="15"/>
      <c r="C417" s="15"/>
      <c r="D417" s="15"/>
      <c r="E417" s="15"/>
      <c r="F417" s="15"/>
      <c r="G417" s="15"/>
      <c r="H417" s="15"/>
      <c r="I417" s="15"/>
      <c r="J417" s="15"/>
      <c r="K417" s="15"/>
      <c r="L417" s="747"/>
      <c r="M417" s="15"/>
      <c r="N417" s="15"/>
      <c r="O417" s="15"/>
      <c r="P417" s="15"/>
      <c r="Q417" s="15"/>
      <c r="R417" s="15"/>
      <c r="S417" s="15"/>
      <c r="T417" s="15"/>
      <c r="U417" s="15"/>
      <c r="V417" s="15"/>
      <c r="W417" s="15"/>
      <c r="X417" s="15"/>
      <c r="Y417" s="15"/>
      <c r="Z417" s="15"/>
      <c r="AA417" s="15"/>
      <c r="AB417" s="15"/>
      <c r="AC417" s="15"/>
      <c r="AD417" s="15"/>
      <c r="AE417" s="15"/>
    </row>
    <row r="418" spans="1:31" x14ac:dyDescent="0.85">
      <c r="A418" s="15"/>
      <c r="B418" s="15"/>
      <c r="C418" s="15"/>
      <c r="D418" s="15"/>
      <c r="E418" s="15"/>
      <c r="F418" s="15"/>
      <c r="G418" s="15"/>
      <c r="H418" s="15"/>
      <c r="I418" s="15"/>
      <c r="J418" s="15"/>
      <c r="K418" s="15"/>
      <c r="L418" s="747"/>
      <c r="M418" s="15"/>
      <c r="N418" s="15"/>
      <c r="O418" s="15"/>
      <c r="P418" s="15"/>
      <c r="Q418" s="15"/>
      <c r="R418" s="15"/>
      <c r="S418" s="15"/>
      <c r="T418" s="15"/>
      <c r="U418" s="15"/>
      <c r="V418" s="15"/>
      <c r="W418" s="15"/>
      <c r="X418" s="15"/>
      <c r="Y418" s="15"/>
      <c r="Z418" s="15"/>
      <c r="AA418" s="15"/>
      <c r="AB418" s="15"/>
      <c r="AC418" s="15"/>
      <c r="AD418" s="15"/>
      <c r="AE418" s="15"/>
    </row>
    <row r="419" spans="1:31" x14ac:dyDescent="0.85">
      <c r="A419" s="15"/>
      <c r="B419" s="15"/>
      <c r="C419" s="15"/>
      <c r="D419" s="15"/>
      <c r="E419" s="15"/>
      <c r="F419" s="15"/>
      <c r="G419" s="15"/>
      <c r="H419" s="15"/>
      <c r="I419" s="15"/>
      <c r="J419" s="15"/>
      <c r="K419" s="15"/>
      <c r="L419" s="747"/>
      <c r="M419" s="15"/>
      <c r="N419" s="15"/>
      <c r="O419" s="15"/>
      <c r="P419" s="15"/>
      <c r="Q419" s="15"/>
      <c r="R419" s="15"/>
      <c r="S419" s="15"/>
      <c r="T419" s="15"/>
      <c r="U419" s="15"/>
      <c r="V419" s="15"/>
      <c r="W419" s="15"/>
      <c r="X419" s="15"/>
      <c r="Y419" s="15"/>
      <c r="Z419" s="15"/>
      <c r="AA419" s="15"/>
      <c r="AB419" s="15"/>
      <c r="AC419" s="15"/>
      <c r="AD419" s="15"/>
      <c r="AE419" s="15"/>
    </row>
    <row r="420" spans="1:31" x14ac:dyDescent="0.85">
      <c r="A420" s="15"/>
      <c r="B420" s="15"/>
      <c r="C420" s="15"/>
      <c r="D420" s="15"/>
      <c r="E420" s="15"/>
      <c r="F420" s="15"/>
      <c r="G420" s="15"/>
      <c r="H420" s="15"/>
      <c r="I420" s="15"/>
      <c r="J420" s="15"/>
      <c r="K420" s="15"/>
      <c r="L420" s="747"/>
      <c r="M420" s="15"/>
      <c r="N420" s="15"/>
      <c r="O420" s="15"/>
      <c r="P420" s="15"/>
      <c r="Q420" s="15"/>
      <c r="R420" s="15"/>
      <c r="S420" s="15"/>
      <c r="T420" s="15"/>
      <c r="U420" s="15"/>
      <c r="V420" s="15"/>
      <c r="W420" s="15"/>
      <c r="X420" s="15"/>
      <c r="Y420" s="15"/>
      <c r="Z420" s="15"/>
      <c r="AA420" s="15"/>
      <c r="AB420" s="15"/>
      <c r="AC420" s="15"/>
      <c r="AD420" s="15"/>
      <c r="AE420" s="15"/>
    </row>
    <row r="421" spans="1:31" x14ac:dyDescent="0.85">
      <c r="A421" s="15"/>
      <c r="B421" s="15"/>
      <c r="C421" s="15"/>
      <c r="D421" s="15"/>
      <c r="E421" s="15"/>
      <c r="F421" s="15"/>
      <c r="G421" s="15"/>
      <c r="H421" s="15"/>
      <c r="I421" s="15"/>
      <c r="J421" s="15"/>
      <c r="K421" s="15"/>
      <c r="L421" s="747"/>
      <c r="M421" s="15"/>
      <c r="N421" s="15"/>
      <c r="O421" s="15"/>
      <c r="P421" s="15"/>
      <c r="Q421" s="15"/>
      <c r="R421" s="15"/>
      <c r="S421" s="15"/>
      <c r="T421" s="15"/>
      <c r="U421" s="15"/>
      <c r="V421" s="15"/>
      <c r="W421" s="15"/>
      <c r="X421" s="15"/>
      <c r="Y421" s="15"/>
      <c r="Z421" s="15"/>
      <c r="AA421" s="15"/>
      <c r="AB421" s="15"/>
      <c r="AC421" s="15"/>
      <c r="AD421" s="15"/>
      <c r="AE421" s="15"/>
    </row>
    <row r="422" spans="1:31" x14ac:dyDescent="0.85">
      <c r="A422" s="15"/>
      <c r="B422" s="15"/>
      <c r="C422" s="15"/>
      <c r="D422" s="15"/>
      <c r="E422" s="15"/>
      <c r="F422" s="15"/>
      <c r="G422" s="15"/>
      <c r="H422" s="15"/>
      <c r="I422" s="15"/>
      <c r="J422" s="15"/>
      <c r="K422" s="15"/>
      <c r="L422" s="747"/>
      <c r="M422" s="15"/>
      <c r="N422" s="15"/>
      <c r="O422" s="15"/>
      <c r="P422" s="15"/>
      <c r="Q422" s="15"/>
      <c r="R422" s="15"/>
      <c r="S422" s="15"/>
      <c r="T422" s="15"/>
      <c r="U422" s="15"/>
      <c r="V422" s="15"/>
      <c r="W422" s="15"/>
      <c r="X422" s="15"/>
      <c r="Y422" s="15"/>
      <c r="Z422" s="15"/>
      <c r="AA422" s="15"/>
      <c r="AB422" s="15"/>
      <c r="AC422" s="15"/>
      <c r="AD422" s="15"/>
      <c r="AE422" s="15"/>
    </row>
    <row r="423" spans="1:31" x14ac:dyDescent="0.85">
      <c r="A423" s="15"/>
      <c r="B423" s="15"/>
      <c r="C423" s="15"/>
      <c r="D423" s="15"/>
      <c r="E423" s="15"/>
      <c r="F423" s="15"/>
      <c r="G423" s="15"/>
      <c r="H423" s="15"/>
      <c r="I423" s="15"/>
      <c r="J423" s="15"/>
      <c r="K423" s="15"/>
      <c r="L423" s="747"/>
      <c r="M423" s="15"/>
      <c r="N423" s="15"/>
      <c r="O423" s="15"/>
      <c r="P423" s="15"/>
      <c r="Q423" s="15"/>
      <c r="R423" s="15"/>
      <c r="S423" s="15"/>
      <c r="T423" s="15"/>
      <c r="U423" s="15"/>
      <c r="V423" s="15"/>
      <c r="W423" s="15"/>
      <c r="X423" s="15"/>
      <c r="Y423" s="15"/>
      <c r="Z423" s="15"/>
      <c r="AA423" s="15"/>
      <c r="AB423" s="15"/>
      <c r="AC423" s="15"/>
      <c r="AD423" s="15"/>
      <c r="AE423" s="15"/>
    </row>
    <row r="424" spans="1:31" x14ac:dyDescent="0.85">
      <c r="A424" s="15"/>
      <c r="B424" s="15"/>
      <c r="C424" s="15"/>
      <c r="D424" s="15"/>
      <c r="E424" s="15"/>
      <c r="F424" s="15"/>
      <c r="G424" s="15"/>
      <c r="H424" s="15"/>
      <c r="I424" s="15"/>
      <c r="J424" s="15"/>
      <c r="K424" s="15"/>
      <c r="L424" s="747"/>
      <c r="M424" s="15"/>
      <c r="N424" s="15"/>
      <c r="O424" s="15"/>
      <c r="P424" s="15"/>
      <c r="Q424" s="15"/>
      <c r="R424" s="15"/>
      <c r="S424" s="15"/>
      <c r="T424" s="15"/>
      <c r="U424" s="15"/>
      <c r="V424" s="15"/>
      <c r="W424" s="15"/>
      <c r="X424" s="15"/>
      <c r="Y424" s="15"/>
      <c r="Z424" s="15"/>
      <c r="AA424" s="15"/>
      <c r="AB424" s="15"/>
      <c r="AC424" s="15"/>
      <c r="AD424" s="15"/>
      <c r="AE424" s="15"/>
    </row>
    <row r="425" spans="1:31" x14ac:dyDescent="0.85">
      <c r="A425" s="15"/>
      <c r="B425" s="15"/>
      <c r="C425" s="15"/>
      <c r="D425" s="15"/>
      <c r="E425" s="15"/>
      <c r="F425" s="15"/>
      <c r="G425" s="15"/>
      <c r="H425" s="15"/>
      <c r="I425" s="15"/>
      <c r="J425" s="15"/>
      <c r="K425" s="15"/>
      <c r="L425" s="747"/>
      <c r="M425" s="15"/>
      <c r="N425" s="15"/>
      <c r="O425" s="15"/>
      <c r="P425" s="15"/>
      <c r="Q425" s="15"/>
      <c r="R425" s="15"/>
      <c r="S425" s="15"/>
      <c r="T425" s="15"/>
      <c r="U425" s="15"/>
      <c r="V425" s="15"/>
      <c r="W425" s="15"/>
      <c r="X425" s="15"/>
      <c r="Y425" s="15"/>
      <c r="Z425" s="15"/>
      <c r="AA425" s="15"/>
      <c r="AB425" s="15"/>
      <c r="AC425" s="15"/>
      <c r="AD425" s="15"/>
      <c r="AE425" s="15"/>
    </row>
    <row r="426" spans="1:31" x14ac:dyDescent="0.85">
      <c r="A426" s="15"/>
      <c r="B426" s="15"/>
      <c r="C426" s="15"/>
      <c r="D426" s="15"/>
      <c r="E426" s="15"/>
      <c r="F426" s="15"/>
      <c r="G426" s="15"/>
      <c r="H426" s="15"/>
      <c r="I426" s="15"/>
      <c r="J426" s="15"/>
      <c r="K426" s="15"/>
      <c r="L426" s="747"/>
      <c r="M426" s="15"/>
      <c r="N426" s="15"/>
      <c r="O426" s="15"/>
      <c r="P426" s="15"/>
      <c r="Q426" s="15"/>
      <c r="R426" s="15"/>
      <c r="S426" s="15"/>
      <c r="T426" s="15"/>
      <c r="U426" s="15"/>
      <c r="V426" s="15"/>
      <c r="W426" s="15"/>
      <c r="X426" s="15"/>
      <c r="Y426" s="15"/>
      <c r="Z426" s="15"/>
      <c r="AA426" s="15"/>
      <c r="AB426" s="15"/>
      <c r="AC426" s="15"/>
      <c r="AD426" s="15"/>
      <c r="AE426" s="15"/>
    </row>
    <row r="427" spans="1:31" x14ac:dyDescent="0.85">
      <c r="A427" s="15"/>
      <c r="B427" s="15"/>
      <c r="C427" s="15"/>
      <c r="D427" s="15"/>
      <c r="E427" s="15"/>
      <c r="F427" s="15"/>
      <c r="G427" s="15"/>
      <c r="H427" s="15"/>
      <c r="I427" s="15"/>
      <c r="J427" s="15"/>
      <c r="K427" s="15"/>
      <c r="L427" s="747"/>
      <c r="M427" s="15"/>
      <c r="N427" s="15"/>
      <c r="O427" s="15"/>
      <c r="P427" s="15"/>
      <c r="Q427" s="15"/>
      <c r="R427" s="15"/>
      <c r="S427" s="15"/>
      <c r="T427" s="15"/>
      <c r="U427" s="15"/>
      <c r="V427" s="15"/>
      <c r="W427" s="15"/>
      <c r="X427" s="15"/>
      <c r="Y427" s="15"/>
      <c r="Z427" s="15"/>
      <c r="AA427" s="15"/>
      <c r="AB427" s="15"/>
      <c r="AC427" s="15"/>
      <c r="AD427" s="15"/>
      <c r="AE427" s="15"/>
    </row>
    <row r="428" spans="1:31" x14ac:dyDescent="0.85">
      <c r="A428" s="15"/>
      <c r="B428" s="15"/>
      <c r="C428" s="15"/>
      <c r="D428" s="15"/>
      <c r="E428" s="15"/>
      <c r="F428" s="15"/>
      <c r="G428" s="15"/>
      <c r="H428" s="15"/>
      <c r="I428" s="15"/>
      <c r="J428" s="15"/>
      <c r="K428" s="15"/>
      <c r="L428" s="747"/>
      <c r="M428" s="15"/>
      <c r="N428" s="15"/>
      <c r="O428" s="15"/>
      <c r="P428" s="15"/>
      <c r="Q428" s="15"/>
      <c r="R428" s="15"/>
      <c r="S428" s="15"/>
      <c r="T428" s="15"/>
      <c r="U428" s="15"/>
      <c r="V428" s="15"/>
      <c r="W428" s="15"/>
      <c r="X428" s="15"/>
      <c r="Y428" s="15"/>
      <c r="Z428" s="15"/>
      <c r="AA428" s="15"/>
      <c r="AB428" s="15"/>
      <c r="AC428" s="15"/>
      <c r="AD428" s="15"/>
      <c r="AE428" s="15"/>
    </row>
    <row r="429" spans="1:31" x14ac:dyDescent="0.85">
      <c r="A429" s="15"/>
      <c r="B429" s="15"/>
      <c r="C429" s="15"/>
      <c r="D429" s="15"/>
      <c r="E429" s="15"/>
      <c r="F429" s="15"/>
      <c r="G429" s="15"/>
      <c r="H429" s="15"/>
      <c r="I429" s="15"/>
      <c r="J429" s="15"/>
      <c r="K429" s="15"/>
      <c r="L429" s="747"/>
      <c r="M429" s="15"/>
      <c r="N429" s="15"/>
      <c r="O429" s="15"/>
      <c r="P429" s="15"/>
      <c r="Q429" s="15"/>
      <c r="R429" s="15"/>
      <c r="S429" s="15"/>
      <c r="T429" s="15"/>
      <c r="U429" s="15"/>
      <c r="V429" s="15"/>
      <c r="W429" s="15"/>
      <c r="X429" s="15"/>
      <c r="Y429" s="15"/>
      <c r="Z429" s="15"/>
      <c r="AA429" s="15"/>
      <c r="AB429" s="15"/>
      <c r="AC429" s="15"/>
      <c r="AD429" s="15"/>
      <c r="AE429" s="15"/>
    </row>
    <row r="430" spans="1:31" x14ac:dyDescent="0.85">
      <c r="A430" s="15"/>
      <c r="B430" s="15"/>
      <c r="C430" s="15"/>
      <c r="D430" s="15"/>
      <c r="E430" s="15"/>
      <c r="F430" s="15"/>
      <c r="G430" s="15"/>
      <c r="H430" s="15"/>
      <c r="I430" s="15"/>
      <c r="J430" s="15"/>
      <c r="K430" s="15"/>
      <c r="L430" s="747"/>
      <c r="M430" s="15"/>
      <c r="N430" s="15"/>
      <c r="O430" s="15"/>
      <c r="P430" s="15"/>
      <c r="Q430" s="15"/>
      <c r="R430" s="15"/>
      <c r="S430" s="15"/>
      <c r="T430" s="15"/>
      <c r="U430" s="15"/>
      <c r="V430" s="15"/>
      <c r="W430" s="15"/>
      <c r="X430" s="15"/>
      <c r="Y430" s="15"/>
      <c r="Z430" s="15"/>
      <c r="AA430" s="15"/>
      <c r="AB430" s="15"/>
      <c r="AC430" s="15"/>
      <c r="AD430" s="15"/>
      <c r="AE430" s="15"/>
    </row>
    <row r="431" spans="1:31" x14ac:dyDescent="0.85">
      <c r="A431" s="15"/>
      <c r="B431" s="15"/>
      <c r="C431" s="15"/>
      <c r="D431" s="15"/>
      <c r="E431" s="15"/>
      <c r="F431" s="15"/>
      <c r="G431" s="15"/>
      <c r="H431" s="15"/>
      <c r="I431" s="15"/>
      <c r="J431" s="15"/>
      <c r="K431" s="15"/>
      <c r="L431" s="747"/>
      <c r="M431" s="15"/>
      <c r="N431" s="15"/>
      <c r="O431" s="15"/>
      <c r="P431" s="15"/>
      <c r="Q431" s="15"/>
      <c r="R431" s="15"/>
      <c r="S431" s="15"/>
      <c r="T431" s="15"/>
      <c r="U431" s="15"/>
      <c r="V431" s="15"/>
      <c r="W431" s="15"/>
      <c r="X431" s="15"/>
      <c r="Y431" s="15"/>
      <c r="Z431" s="15"/>
      <c r="AA431" s="15"/>
      <c r="AB431" s="15"/>
      <c r="AC431" s="15"/>
      <c r="AD431" s="15"/>
      <c r="AE431" s="15"/>
    </row>
    <row r="432" spans="1:31" x14ac:dyDescent="0.85">
      <c r="A432" s="15"/>
      <c r="B432" s="15"/>
      <c r="C432" s="15"/>
      <c r="D432" s="15"/>
      <c r="E432" s="15"/>
      <c r="F432" s="15"/>
      <c r="G432" s="15"/>
      <c r="H432" s="15"/>
      <c r="I432" s="15"/>
      <c r="J432" s="15"/>
      <c r="K432" s="15"/>
      <c r="L432" s="747"/>
      <c r="M432" s="15"/>
      <c r="N432" s="15"/>
      <c r="O432" s="15"/>
      <c r="P432" s="15"/>
      <c r="Q432" s="15"/>
      <c r="R432" s="15"/>
      <c r="S432" s="15"/>
      <c r="T432" s="15"/>
      <c r="U432" s="15"/>
      <c r="V432" s="15"/>
      <c r="W432" s="15"/>
      <c r="X432" s="15"/>
      <c r="Y432" s="15"/>
      <c r="Z432" s="15"/>
      <c r="AA432" s="15"/>
      <c r="AB432" s="15"/>
      <c r="AC432" s="15"/>
      <c r="AD432" s="15"/>
      <c r="AE432" s="15"/>
    </row>
    <row r="433" spans="1:31" x14ac:dyDescent="0.85">
      <c r="A433" s="15"/>
      <c r="B433" s="15"/>
      <c r="C433" s="15"/>
      <c r="D433" s="15"/>
      <c r="E433" s="15"/>
      <c r="F433" s="15"/>
      <c r="G433" s="15"/>
      <c r="H433" s="15"/>
      <c r="I433" s="15"/>
      <c r="J433" s="15"/>
      <c r="K433" s="15"/>
      <c r="L433" s="747"/>
      <c r="M433" s="15"/>
      <c r="N433" s="15"/>
      <c r="O433" s="15"/>
      <c r="P433" s="15"/>
      <c r="Q433" s="15"/>
      <c r="R433" s="15"/>
      <c r="S433" s="15"/>
      <c r="T433" s="15"/>
      <c r="U433" s="15"/>
      <c r="V433" s="15"/>
      <c r="W433" s="15"/>
      <c r="X433" s="15"/>
      <c r="Y433" s="15"/>
      <c r="Z433" s="15"/>
      <c r="AA433" s="15"/>
      <c r="AB433" s="15"/>
      <c r="AC433" s="15"/>
      <c r="AD433" s="15"/>
      <c r="AE433" s="15"/>
    </row>
    <row r="434" spans="1:31" x14ac:dyDescent="0.85">
      <c r="A434" s="15"/>
      <c r="B434" s="15"/>
      <c r="C434" s="15"/>
      <c r="D434" s="15"/>
      <c r="E434" s="15"/>
      <c r="F434" s="15"/>
      <c r="G434" s="15"/>
      <c r="H434" s="15"/>
      <c r="I434" s="15"/>
      <c r="J434" s="15"/>
      <c r="K434" s="15"/>
      <c r="L434" s="747"/>
      <c r="M434" s="15"/>
      <c r="N434" s="15"/>
      <c r="O434" s="15"/>
      <c r="P434" s="15"/>
      <c r="Q434" s="15"/>
      <c r="R434" s="15"/>
      <c r="S434" s="15"/>
      <c r="T434" s="15"/>
      <c r="U434" s="15"/>
      <c r="V434" s="15"/>
      <c r="W434" s="15"/>
      <c r="X434" s="15"/>
      <c r="Y434" s="15"/>
      <c r="Z434" s="15"/>
      <c r="AA434" s="15"/>
      <c r="AB434" s="15"/>
      <c r="AC434" s="15"/>
      <c r="AD434" s="15"/>
      <c r="AE434" s="15"/>
    </row>
    <row r="435" spans="1:31" x14ac:dyDescent="0.85">
      <c r="A435" s="15"/>
      <c r="B435" s="15"/>
      <c r="C435" s="15"/>
      <c r="D435" s="15"/>
      <c r="E435" s="15"/>
      <c r="F435" s="15"/>
      <c r="G435" s="15"/>
      <c r="H435" s="15"/>
      <c r="I435" s="15"/>
      <c r="J435" s="15"/>
      <c r="K435" s="15"/>
      <c r="L435" s="747"/>
      <c r="M435" s="15"/>
      <c r="N435" s="15"/>
      <c r="O435" s="15"/>
      <c r="P435" s="15"/>
      <c r="Q435" s="15"/>
      <c r="R435" s="15"/>
      <c r="S435" s="15"/>
      <c r="T435" s="15"/>
      <c r="U435" s="15"/>
      <c r="V435" s="15"/>
      <c r="W435" s="15"/>
      <c r="X435" s="15"/>
      <c r="Y435" s="15"/>
      <c r="Z435" s="15"/>
      <c r="AA435" s="15"/>
      <c r="AB435" s="15"/>
      <c r="AC435" s="15"/>
      <c r="AD435" s="15"/>
      <c r="AE435" s="15"/>
    </row>
    <row r="436" spans="1:31" x14ac:dyDescent="0.85">
      <c r="A436" s="15"/>
      <c r="B436" s="15"/>
      <c r="C436" s="15"/>
      <c r="D436" s="15"/>
      <c r="E436" s="15"/>
      <c r="F436" s="15"/>
      <c r="G436" s="15"/>
      <c r="H436" s="15"/>
      <c r="I436" s="15"/>
      <c r="J436" s="15"/>
      <c r="K436" s="15"/>
      <c r="L436" s="747"/>
      <c r="M436" s="15"/>
      <c r="N436" s="15"/>
      <c r="O436" s="15"/>
      <c r="P436" s="15"/>
      <c r="Q436" s="15"/>
      <c r="R436" s="15"/>
      <c r="S436" s="15"/>
      <c r="T436" s="15"/>
      <c r="U436" s="15"/>
      <c r="V436" s="15"/>
      <c r="W436" s="15"/>
      <c r="X436" s="15"/>
      <c r="Y436" s="15"/>
      <c r="Z436" s="15"/>
      <c r="AA436" s="15"/>
      <c r="AB436" s="15"/>
      <c r="AC436" s="15"/>
      <c r="AD436" s="15"/>
      <c r="AE436" s="15"/>
    </row>
    <row r="437" spans="1:31" x14ac:dyDescent="0.85">
      <c r="A437" s="15"/>
      <c r="B437" s="15"/>
      <c r="C437" s="15"/>
      <c r="D437" s="15"/>
      <c r="E437" s="15"/>
      <c r="F437" s="15"/>
      <c r="G437" s="15"/>
      <c r="H437" s="15"/>
      <c r="I437" s="15"/>
      <c r="J437" s="15"/>
      <c r="K437" s="15"/>
      <c r="L437" s="747"/>
      <c r="M437" s="15"/>
      <c r="N437" s="15"/>
      <c r="O437" s="15"/>
      <c r="P437" s="15"/>
      <c r="Q437" s="15"/>
      <c r="R437" s="15"/>
      <c r="S437" s="15"/>
      <c r="T437" s="15"/>
      <c r="U437" s="15"/>
      <c r="V437" s="15"/>
      <c r="W437" s="15"/>
      <c r="X437" s="15"/>
      <c r="Y437" s="15"/>
      <c r="Z437" s="15"/>
      <c r="AA437" s="15"/>
      <c r="AB437" s="15"/>
      <c r="AC437" s="15"/>
      <c r="AD437" s="15"/>
      <c r="AE437" s="15"/>
    </row>
    <row r="438" spans="1:31" x14ac:dyDescent="0.85">
      <c r="A438" s="15"/>
      <c r="B438" s="15"/>
      <c r="C438" s="15"/>
      <c r="D438" s="15"/>
      <c r="E438" s="15"/>
      <c r="F438" s="15"/>
      <c r="G438" s="15"/>
      <c r="H438" s="15"/>
      <c r="I438" s="15"/>
      <c r="J438" s="15"/>
      <c r="K438" s="15"/>
      <c r="L438" s="747"/>
      <c r="M438" s="15"/>
      <c r="N438" s="15"/>
      <c r="O438" s="15"/>
      <c r="P438" s="15"/>
      <c r="Q438" s="15"/>
      <c r="R438" s="15"/>
      <c r="S438" s="15"/>
      <c r="T438" s="15"/>
      <c r="U438" s="15"/>
      <c r="V438" s="15"/>
      <c r="W438" s="15"/>
      <c r="X438" s="15"/>
      <c r="Y438" s="15"/>
      <c r="Z438" s="15"/>
      <c r="AA438" s="15"/>
      <c r="AB438" s="15"/>
      <c r="AC438" s="15"/>
      <c r="AD438" s="15"/>
      <c r="AE438" s="15"/>
    </row>
    <row r="439" spans="1:31" x14ac:dyDescent="0.85">
      <c r="A439" s="15"/>
      <c r="B439" s="15"/>
      <c r="C439" s="15"/>
      <c r="D439" s="15"/>
      <c r="E439" s="15"/>
      <c r="F439" s="15"/>
      <c r="G439" s="15"/>
      <c r="H439" s="15"/>
      <c r="I439" s="15"/>
      <c r="J439" s="15"/>
      <c r="K439" s="15"/>
      <c r="L439" s="747"/>
      <c r="M439" s="15"/>
      <c r="N439" s="15"/>
      <c r="O439" s="15"/>
      <c r="P439" s="15"/>
      <c r="Q439" s="15"/>
      <c r="R439" s="15"/>
      <c r="S439" s="15"/>
      <c r="T439" s="15"/>
      <c r="U439" s="15"/>
      <c r="V439" s="15"/>
      <c r="W439" s="15"/>
      <c r="X439" s="15"/>
      <c r="Y439" s="15"/>
      <c r="Z439" s="15"/>
      <c r="AA439" s="15"/>
      <c r="AB439" s="15"/>
      <c r="AC439" s="15"/>
      <c r="AD439" s="15"/>
      <c r="AE439" s="15"/>
    </row>
    <row r="440" spans="1:31" x14ac:dyDescent="0.85">
      <c r="A440" s="15"/>
      <c r="B440" s="15"/>
      <c r="C440" s="15"/>
      <c r="D440" s="15"/>
      <c r="E440" s="15"/>
      <c r="F440" s="15"/>
      <c r="G440" s="15"/>
      <c r="H440" s="15"/>
      <c r="I440" s="15"/>
      <c r="J440" s="15"/>
      <c r="K440" s="15"/>
      <c r="L440" s="747"/>
      <c r="M440" s="15"/>
      <c r="N440" s="15"/>
      <c r="O440" s="15"/>
      <c r="P440" s="15"/>
      <c r="Q440" s="15"/>
      <c r="R440" s="15"/>
      <c r="S440" s="15"/>
      <c r="T440" s="15"/>
      <c r="U440" s="15"/>
      <c r="V440" s="15"/>
      <c r="W440" s="15"/>
      <c r="X440" s="15"/>
      <c r="Y440" s="15"/>
      <c r="Z440" s="15"/>
      <c r="AA440" s="15"/>
      <c r="AB440" s="15"/>
      <c r="AC440" s="15"/>
      <c r="AD440" s="15"/>
      <c r="AE440" s="15"/>
    </row>
    <row r="441" spans="1:31" x14ac:dyDescent="0.85">
      <c r="A441" s="15"/>
      <c r="B441" s="15"/>
      <c r="C441" s="15"/>
      <c r="D441" s="15"/>
      <c r="E441" s="15"/>
      <c r="F441" s="15"/>
      <c r="G441" s="15"/>
      <c r="H441" s="15"/>
      <c r="I441" s="15"/>
      <c r="J441" s="15"/>
      <c r="K441" s="15"/>
      <c r="L441" s="747"/>
      <c r="M441" s="15"/>
      <c r="N441" s="15"/>
      <c r="O441" s="15"/>
      <c r="P441" s="15"/>
      <c r="Q441" s="15"/>
      <c r="R441" s="15"/>
      <c r="S441" s="15"/>
      <c r="T441" s="15"/>
      <c r="U441" s="15"/>
      <c r="V441" s="15"/>
      <c r="W441" s="15"/>
      <c r="X441" s="15"/>
      <c r="Y441" s="15"/>
      <c r="Z441" s="15"/>
      <c r="AA441" s="15"/>
      <c r="AB441" s="15"/>
      <c r="AC441" s="15"/>
      <c r="AD441" s="15"/>
      <c r="AE441" s="15"/>
    </row>
    <row r="442" spans="1:31" x14ac:dyDescent="0.85">
      <c r="A442" s="15"/>
      <c r="B442" s="15"/>
      <c r="C442" s="15"/>
      <c r="D442" s="15"/>
      <c r="E442" s="15"/>
      <c r="F442" s="15"/>
      <c r="G442" s="15"/>
      <c r="H442" s="15"/>
      <c r="I442" s="15"/>
      <c r="J442" s="15"/>
      <c r="K442" s="15"/>
      <c r="L442" s="747"/>
      <c r="M442" s="15"/>
      <c r="N442" s="15"/>
      <c r="O442" s="15"/>
      <c r="P442" s="15"/>
      <c r="Q442" s="15"/>
      <c r="R442" s="15"/>
      <c r="S442" s="15"/>
      <c r="T442" s="15"/>
      <c r="U442" s="15"/>
      <c r="V442" s="15"/>
      <c r="W442" s="15"/>
      <c r="X442" s="15"/>
      <c r="Y442" s="15"/>
      <c r="Z442" s="15"/>
      <c r="AA442" s="15"/>
      <c r="AB442" s="15"/>
      <c r="AC442" s="15"/>
      <c r="AD442" s="15"/>
      <c r="AE442" s="15"/>
    </row>
    <row r="443" spans="1:31" x14ac:dyDescent="0.85">
      <c r="A443" s="15"/>
      <c r="B443" s="15"/>
      <c r="C443" s="15"/>
      <c r="D443" s="15"/>
      <c r="E443" s="15"/>
      <c r="F443" s="15"/>
      <c r="G443" s="15"/>
      <c r="H443" s="15"/>
      <c r="I443" s="15"/>
      <c r="J443" s="15"/>
      <c r="K443" s="15"/>
      <c r="L443" s="747"/>
      <c r="M443" s="15"/>
      <c r="N443" s="15"/>
      <c r="O443" s="15"/>
      <c r="P443" s="15"/>
      <c r="Q443" s="15"/>
      <c r="R443" s="15"/>
      <c r="S443" s="15"/>
      <c r="T443" s="15"/>
      <c r="U443" s="15"/>
      <c r="V443" s="15"/>
      <c r="W443" s="15"/>
      <c r="X443" s="15"/>
      <c r="Y443" s="15"/>
      <c r="Z443" s="15"/>
      <c r="AA443" s="15"/>
      <c r="AB443" s="15"/>
      <c r="AC443" s="15"/>
      <c r="AD443" s="15"/>
      <c r="AE443" s="15"/>
    </row>
    <row r="444" spans="1:31" x14ac:dyDescent="0.85">
      <c r="A444" s="15"/>
      <c r="B444" s="15"/>
      <c r="C444" s="15"/>
      <c r="D444" s="15"/>
      <c r="E444" s="15"/>
      <c r="F444" s="15"/>
      <c r="G444" s="15"/>
      <c r="H444" s="15"/>
      <c r="I444" s="15"/>
      <c r="J444" s="15"/>
      <c r="K444" s="15"/>
      <c r="L444" s="747"/>
      <c r="M444" s="15"/>
      <c r="N444" s="15"/>
      <c r="O444" s="15"/>
      <c r="P444" s="15"/>
      <c r="Q444" s="15"/>
      <c r="R444" s="15"/>
      <c r="S444" s="15"/>
      <c r="T444" s="15"/>
      <c r="U444" s="15"/>
      <c r="V444" s="15"/>
      <c r="W444" s="15"/>
      <c r="X444" s="15"/>
      <c r="Y444" s="15"/>
      <c r="Z444" s="15"/>
      <c r="AA444" s="15"/>
      <c r="AB444" s="15"/>
      <c r="AC444" s="15"/>
      <c r="AD444" s="15"/>
      <c r="AE444" s="15"/>
    </row>
    <row r="445" spans="1:31" x14ac:dyDescent="0.85">
      <c r="A445" s="15"/>
      <c r="B445" s="15"/>
      <c r="C445" s="15"/>
      <c r="D445" s="15"/>
      <c r="E445" s="15"/>
      <c r="F445" s="15"/>
      <c r="G445" s="15"/>
      <c r="H445" s="15"/>
      <c r="I445" s="15"/>
      <c r="J445" s="15"/>
      <c r="K445" s="15"/>
      <c r="L445" s="747"/>
      <c r="M445" s="15"/>
      <c r="N445" s="15"/>
      <c r="O445" s="15"/>
      <c r="P445" s="15"/>
      <c r="Q445" s="15"/>
      <c r="R445" s="15"/>
      <c r="S445" s="15"/>
      <c r="T445" s="15"/>
      <c r="U445" s="15"/>
      <c r="V445" s="15"/>
      <c r="W445" s="15"/>
      <c r="X445" s="15"/>
      <c r="Y445" s="15"/>
      <c r="Z445" s="15"/>
      <c r="AA445" s="15"/>
      <c r="AB445" s="15"/>
      <c r="AC445" s="15"/>
      <c r="AD445" s="15"/>
      <c r="AE445" s="15"/>
    </row>
    <row r="446" spans="1:31" x14ac:dyDescent="0.85">
      <c r="A446" s="15"/>
      <c r="B446" s="15"/>
      <c r="C446" s="15"/>
      <c r="D446" s="15"/>
      <c r="E446" s="15"/>
      <c r="F446" s="15"/>
      <c r="G446" s="15"/>
      <c r="H446" s="15"/>
      <c r="I446" s="15"/>
      <c r="J446" s="15"/>
      <c r="K446" s="15"/>
      <c r="L446" s="747"/>
      <c r="M446" s="15"/>
      <c r="N446" s="15"/>
      <c r="O446" s="15"/>
      <c r="P446" s="15"/>
      <c r="Q446" s="15"/>
      <c r="R446" s="15"/>
      <c r="S446" s="15"/>
      <c r="T446" s="15"/>
      <c r="U446" s="15"/>
      <c r="V446" s="15"/>
      <c r="W446" s="15"/>
      <c r="X446" s="15"/>
      <c r="Y446" s="15"/>
      <c r="Z446" s="15"/>
      <c r="AA446" s="15"/>
      <c r="AB446" s="15"/>
      <c r="AC446" s="15"/>
      <c r="AD446" s="15"/>
      <c r="AE446" s="15"/>
    </row>
    <row r="447" spans="1:31" x14ac:dyDescent="0.85">
      <c r="A447" s="15"/>
      <c r="B447" s="15"/>
      <c r="C447" s="15"/>
      <c r="D447" s="15"/>
      <c r="E447" s="15"/>
      <c r="F447" s="15"/>
      <c r="G447" s="15"/>
      <c r="H447" s="15"/>
      <c r="I447" s="15"/>
      <c r="J447" s="15"/>
      <c r="K447" s="15"/>
      <c r="L447" s="747"/>
      <c r="M447" s="15"/>
      <c r="N447" s="15"/>
      <c r="O447" s="15"/>
      <c r="P447" s="15"/>
      <c r="Q447" s="15"/>
      <c r="R447" s="15"/>
      <c r="S447" s="15"/>
      <c r="T447" s="15"/>
      <c r="U447" s="15"/>
      <c r="V447" s="15"/>
      <c r="W447" s="15"/>
      <c r="X447" s="15"/>
      <c r="Y447" s="15"/>
      <c r="Z447" s="15"/>
      <c r="AA447" s="15"/>
      <c r="AB447" s="15"/>
      <c r="AC447" s="15"/>
      <c r="AD447" s="15"/>
      <c r="AE447" s="15"/>
    </row>
    <row r="448" spans="1:31" x14ac:dyDescent="0.85">
      <c r="A448" s="15"/>
      <c r="B448" s="15"/>
      <c r="C448" s="15"/>
      <c r="D448" s="15"/>
      <c r="E448" s="15"/>
      <c r="F448" s="15"/>
      <c r="G448" s="15"/>
      <c r="H448" s="15"/>
      <c r="I448" s="15"/>
      <c r="J448" s="15"/>
      <c r="K448" s="15"/>
      <c r="L448" s="747"/>
      <c r="M448" s="15"/>
      <c r="N448" s="15"/>
      <c r="O448" s="15"/>
      <c r="P448" s="15"/>
      <c r="Q448" s="15"/>
      <c r="R448" s="15"/>
      <c r="S448" s="15"/>
      <c r="T448" s="15"/>
      <c r="U448" s="15"/>
      <c r="V448" s="15"/>
      <c r="W448" s="15"/>
      <c r="X448" s="15"/>
      <c r="Y448" s="15"/>
      <c r="Z448" s="15"/>
      <c r="AA448" s="15"/>
      <c r="AB448" s="15"/>
      <c r="AC448" s="15"/>
      <c r="AD448" s="15"/>
      <c r="AE448" s="15"/>
    </row>
    <row r="449" spans="1:31" x14ac:dyDescent="0.85">
      <c r="A449" s="15"/>
      <c r="B449" s="15"/>
      <c r="C449" s="15"/>
      <c r="D449" s="15"/>
      <c r="E449" s="15"/>
      <c r="F449" s="15"/>
      <c r="G449" s="15"/>
      <c r="H449" s="15"/>
      <c r="I449" s="15"/>
      <c r="J449" s="15"/>
      <c r="K449" s="15"/>
      <c r="L449" s="747"/>
      <c r="M449" s="15"/>
      <c r="N449" s="15"/>
      <c r="O449" s="15"/>
      <c r="P449" s="15"/>
      <c r="Q449" s="15"/>
      <c r="R449" s="15"/>
      <c r="S449" s="15"/>
      <c r="T449" s="15"/>
      <c r="U449" s="15"/>
      <c r="V449" s="15"/>
      <c r="W449" s="15"/>
      <c r="X449" s="15"/>
      <c r="Y449" s="15"/>
      <c r="Z449" s="15"/>
      <c r="AA449" s="15"/>
      <c r="AB449" s="15"/>
      <c r="AC449" s="15"/>
      <c r="AD449" s="15"/>
      <c r="AE449" s="15"/>
    </row>
    <row r="450" spans="1:31" x14ac:dyDescent="0.85">
      <c r="A450" s="15"/>
      <c r="B450" s="15"/>
      <c r="C450" s="15"/>
      <c r="D450" s="15"/>
      <c r="E450" s="15"/>
      <c r="F450" s="15"/>
      <c r="G450" s="15"/>
      <c r="H450" s="15"/>
      <c r="I450" s="15"/>
      <c r="J450" s="15"/>
      <c r="K450" s="15"/>
      <c r="L450" s="747"/>
      <c r="M450" s="15"/>
      <c r="N450" s="15"/>
      <c r="O450" s="15"/>
      <c r="P450" s="15"/>
      <c r="Q450" s="15"/>
      <c r="R450" s="15"/>
      <c r="S450" s="15"/>
      <c r="T450" s="15"/>
      <c r="U450" s="15"/>
      <c r="V450" s="15"/>
      <c r="W450" s="15"/>
      <c r="X450" s="15"/>
      <c r="Y450" s="15"/>
      <c r="Z450" s="15"/>
      <c r="AA450" s="15"/>
      <c r="AB450" s="15"/>
      <c r="AC450" s="15"/>
      <c r="AD450" s="15"/>
      <c r="AE450" s="15"/>
    </row>
    <row r="451" spans="1:31" x14ac:dyDescent="0.85">
      <c r="A451" s="15"/>
      <c r="B451" s="15"/>
      <c r="C451" s="15"/>
      <c r="D451" s="15"/>
      <c r="E451" s="15"/>
      <c r="F451" s="15"/>
      <c r="G451" s="15"/>
      <c r="H451" s="15"/>
      <c r="I451" s="15"/>
      <c r="J451" s="15"/>
      <c r="K451" s="15"/>
      <c r="L451" s="747"/>
      <c r="M451" s="15"/>
      <c r="N451" s="15"/>
      <c r="O451" s="15"/>
      <c r="P451" s="15"/>
      <c r="Q451" s="15"/>
      <c r="R451" s="15"/>
      <c r="S451" s="15"/>
      <c r="T451" s="15"/>
      <c r="U451" s="15"/>
      <c r="V451" s="15"/>
      <c r="W451" s="15"/>
      <c r="X451" s="15"/>
      <c r="Y451" s="15"/>
      <c r="Z451" s="15"/>
      <c r="AA451" s="15"/>
      <c r="AB451" s="15"/>
      <c r="AC451" s="15"/>
      <c r="AD451" s="15"/>
      <c r="AE451" s="15"/>
    </row>
    <row r="452" spans="1:31" x14ac:dyDescent="0.85">
      <c r="A452" s="15"/>
      <c r="B452" s="15"/>
      <c r="C452" s="15"/>
      <c r="D452" s="15"/>
      <c r="E452" s="15"/>
      <c r="F452" s="15"/>
      <c r="G452" s="15"/>
      <c r="H452" s="15"/>
      <c r="I452" s="15"/>
      <c r="J452" s="15"/>
      <c r="K452" s="15"/>
      <c r="L452" s="747"/>
      <c r="M452" s="15"/>
      <c r="N452" s="15"/>
      <c r="O452" s="15"/>
      <c r="P452" s="15"/>
      <c r="Q452" s="15"/>
      <c r="R452" s="15"/>
      <c r="S452" s="15"/>
      <c r="T452" s="15"/>
      <c r="U452" s="15"/>
      <c r="V452" s="15"/>
      <c r="W452" s="15"/>
      <c r="X452" s="15"/>
      <c r="Y452" s="15"/>
      <c r="Z452" s="15"/>
      <c r="AA452" s="15"/>
      <c r="AB452" s="15"/>
      <c r="AC452" s="15"/>
      <c r="AD452" s="15"/>
      <c r="AE452" s="15"/>
    </row>
    <row r="453" spans="1:31" x14ac:dyDescent="0.85">
      <c r="A453" s="15"/>
      <c r="B453" s="15"/>
      <c r="C453" s="15"/>
      <c r="D453" s="15"/>
      <c r="E453" s="15"/>
      <c r="F453" s="15"/>
      <c r="G453" s="15"/>
      <c r="H453" s="15"/>
      <c r="I453" s="15"/>
      <c r="J453" s="15"/>
      <c r="K453" s="15"/>
      <c r="L453" s="747"/>
      <c r="M453" s="15"/>
      <c r="N453" s="15"/>
      <c r="O453" s="15"/>
      <c r="P453" s="15"/>
      <c r="Q453" s="15"/>
      <c r="R453" s="15"/>
      <c r="S453" s="15"/>
      <c r="T453" s="15"/>
      <c r="U453" s="15"/>
      <c r="V453" s="15"/>
      <c r="W453" s="15"/>
      <c r="X453" s="15"/>
      <c r="Y453" s="15"/>
      <c r="Z453" s="15"/>
      <c r="AA453" s="15"/>
      <c r="AB453" s="15"/>
      <c r="AC453" s="15"/>
      <c r="AD453" s="15"/>
      <c r="AE453" s="15"/>
    </row>
    <row r="454" spans="1:31" x14ac:dyDescent="0.85">
      <c r="A454" s="15"/>
      <c r="B454" s="15"/>
      <c r="C454" s="15"/>
      <c r="D454" s="15"/>
      <c r="E454" s="15"/>
      <c r="F454" s="15"/>
      <c r="G454" s="15"/>
      <c r="H454" s="15"/>
      <c r="I454" s="15"/>
      <c r="J454" s="15"/>
      <c r="K454" s="15"/>
      <c r="L454" s="747"/>
      <c r="M454" s="15"/>
      <c r="N454" s="15"/>
      <c r="O454" s="15"/>
      <c r="P454" s="15"/>
      <c r="Q454" s="15"/>
      <c r="R454" s="15"/>
      <c r="S454" s="15"/>
      <c r="T454" s="15"/>
      <c r="U454" s="15"/>
      <c r="V454" s="15"/>
      <c r="W454" s="15"/>
      <c r="X454" s="15"/>
      <c r="Y454" s="15"/>
      <c r="Z454" s="15"/>
      <c r="AA454" s="15"/>
      <c r="AB454" s="15"/>
      <c r="AC454" s="15"/>
      <c r="AD454" s="15"/>
      <c r="AE454" s="15"/>
    </row>
    <row r="455" spans="1:31" x14ac:dyDescent="0.85">
      <c r="A455" s="15"/>
      <c r="B455" s="15"/>
      <c r="C455" s="15"/>
      <c r="D455" s="15"/>
      <c r="E455" s="15"/>
      <c r="F455" s="15"/>
      <c r="G455" s="15"/>
      <c r="H455" s="15"/>
      <c r="I455" s="15"/>
      <c r="J455" s="15"/>
      <c r="K455" s="15"/>
      <c r="L455" s="747"/>
      <c r="M455" s="15"/>
      <c r="N455" s="15"/>
      <c r="O455" s="15"/>
      <c r="P455" s="15"/>
      <c r="Q455" s="15"/>
      <c r="R455" s="15"/>
      <c r="S455" s="15"/>
      <c r="T455" s="15"/>
      <c r="U455" s="15"/>
      <c r="V455" s="15"/>
      <c r="W455" s="15"/>
      <c r="X455" s="15"/>
      <c r="Y455" s="15"/>
      <c r="Z455" s="15"/>
      <c r="AA455" s="15"/>
      <c r="AB455" s="15"/>
      <c r="AC455" s="15"/>
      <c r="AD455" s="15"/>
      <c r="AE455" s="15"/>
    </row>
    <row r="456" spans="1:31" x14ac:dyDescent="0.85">
      <c r="A456" s="15"/>
      <c r="B456" s="15"/>
      <c r="C456" s="15"/>
      <c r="D456" s="15"/>
      <c r="E456" s="15"/>
      <c r="F456" s="15"/>
      <c r="G456" s="15"/>
      <c r="H456" s="15"/>
      <c r="I456" s="15"/>
      <c r="J456" s="15"/>
      <c r="K456" s="15"/>
      <c r="L456" s="747"/>
      <c r="M456" s="15"/>
      <c r="N456" s="15"/>
      <c r="O456" s="15"/>
      <c r="P456" s="15"/>
      <c r="Q456" s="15"/>
      <c r="R456" s="15"/>
      <c r="S456" s="15"/>
      <c r="T456" s="15"/>
      <c r="U456" s="15"/>
      <c r="V456" s="15"/>
      <c r="W456" s="15"/>
      <c r="X456" s="15"/>
      <c r="Y456" s="15"/>
      <c r="Z456" s="15"/>
      <c r="AA456" s="15"/>
      <c r="AB456" s="15"/>
      <c r="AC456" s="15"/>
      <c r="AD456" s="15"/>
      <c r="AE456" s="15"/>
    </row>
    <row r="457" spans="1:31" x14ac:dyDescent="0.85">
      <c r="A457" s="15"/>
      <c r="B457" s="15"/>
      <c r="C457" s="15"/>
      <c r="D457" s="15"/>
      <c r="E457" s="15"/>
      <c r="F457" s="15"/>
      <c r="G457" s="15"/>
      <c r="H457" s="15"/>
      <c r="I457" s="15"/>
      <c r="J457" s="15"/>
      <c r="K457" s="15"/>
      <c r="L457" s="747"/>
      <c r="M457" s="15"/>
      <c r="N457" s="15"/>
      <c r="O457" s="15"/>
      <c r="P457" s="15"/>
      <c r="Q457" s="15"/>
      <c r="R457" s="15"/>
      <c r="S457" s="15"/>
      <c r="T457" s="15"/>
      <c r="U457" s="15"/>
      <c r="V457" s="15"/>
      <c r="W457" s="15"/>
      <c r="X457" s="15"/>
      <c r="Y457" s="15"/>
      <c r="Z457" s="15"/>
      <c r="AA457" s="15"/>
      <c r="AB457" s="15"/>
      <c r="AC457" s="15"/>
      <c r="AD457" s="15"/>
      <c r="AE457" s="15"/>
    </row>
    <row r="458" spans="1:31" x14ac:dyDescent="0.85">
      <c r="A458" s="15"/>
      <c r="B458" s="15"/>
      <c r="C458" s="15"/>
      <c r="D458" s="15"/>
      <c r="E458" s="15"/>
      <c r="F458" s="15"/>
      <c r="G458" s="15"/>
      <c r="H458" s="15"/>
      <c r="I458" s="15"/>
      <c r="J458" s="15"/>
      <c r="K458" s="15"/>
      <c r="L458" s="747"/>
      <c r="M458" s="15"/>
      <c r="N458" s="15"/>
      <c r="O458" s="15"/>
      <c r="P458" s="15"/>
      <c r="Q458" s="15"/>
      <c r="R458" s="15"/>
      <c r="S458" s="15"/>
      <c r="T458" s="15"/>
      <c r="U458" s="15"/>
      <c r="V458" s="15"/>
      <c r="W458" s="15"/>
      <c r="X458" s="15"/>
      <c r="Y458" s="15"/>
      <c r="Z458" s="15"/>
      <c r="AA458" s="15"/>
      <c r="AB458" s="15"/>
      <c r="AC458" s="15"/>
      <c r="AD458" s="15"/>
      <c r="AE458" s="15"/>
    </row>
    <row r="459" spans="1:31" x14ac:dyDescent="0.85">
      <c r="A459" s="15"/>
      <c r="B459" s="15"/>
      <c r="C459" s="15"/>
      <c r="D459" s="15"/>
      <c r="E459" s="15"/>
      <c r="F459" s="15"/>
      <c r="G459" s="15"/>
      <c r="H459" s="15"/>
      <c r="I459" s="15"/>
      <c r="J459" s="15"/>
      <c r="K459" s="15"/>
      <c r="L459" s="747"/>
      <c r="M459" s="15"/>
      <c r="N459" s="15"/>
      <c r="O459" s="15"/>
      <c r="P459" s="15"/>
      <c r="Q459" s="15"/>
      <c r="R459" s="15"/>
      <c r="S459" s="15"/>
      <c r="T459" s="15"/>
      <c r="U459" s="15"/>
      <c r="V459" s="15"/>
      <c r="W459" s="15"/>
      <c r="X459" s="15"/>
      <c r="Y459" s="15"/>
      <c r="Z459" s="15"/>
      <c r="AA459" s="15"/>
      <c r="AB459" s="15"/>
      <c r="AC459" s="15"/>
      <c r="AD459" s="15"/>
      <c r="AE459" s="15"/>
    </row>
    <row r="460" spans="1:31" x14ac:dyDescent="0.85">
      <c r="A460" s="15"/>
      <c r="B460" s="15"/>
      <c r="C460" s="15"/>
      <c r="D460" s="15"/>
      <c r="E460" s="15"/>
      <c r="F460" s="15"/>
      <c r="G460" s="15"/>
      <c r="H460" s="15"/>
      <c r="I460" s="15"/>
      <c r="J460" s="15"/>
      <c r="K460" s="15"/>
      <c r="L460" s="747"/>
      <c r="M460" s="15"/>
      <c r="N460" s="15"/>
      <c r="O460" s="15"/>
      <c r="P460" s="15"/>
      <c r="Q460" s="15"/>
      <c r="R460" s="15"/>
      <c r="S460" s="15"/>
      <c r="T460" s="15"/>
      <c r="U460" s="15"/>
      <c r="V460" s="15"/>
      <c r="W460" s="15"/>
      <c r="X460" s="15"/>
      <c r="Y460" s="15"/>
      <c r="Z460" s="15"/>
      <c r="AA460" s="15"/>
      <c r="AB460" s="15"/>
      <c r="AC460" s="15"/>
      <c r="AD460" s="15"/>
      <c r="AE460" s="15"/>
    </row>
    <row r="461" spans="1:31" x14ac:dyDescent="0.85">
      <c r="A461" s="15"/>
      <c r="B461" s="15"/>
      <c r="C461" s="15"/>
      <c r="D461" s="15"/>
      <c r="E461" s="15"/>
      <c r="F461" s="15"/>
      <c r="G461" s="15"/>
      <c r="H461" s="15"/>
      <c r="I461" s="15"/>
      <c r="J461" s="15"/>
      <c r="K461" s="15"/>
      <c r="L461" s="747"/>
      <c r="M461" s="15"/>
      <c r="N461" s="15"/>
      <c r="O461" s="15"/>
      <c r="P461" s="15"/>
      <c r="Q461" s="15"/>
      <c r="R461" s="15"/>
      <c r="S461" s="15"/>
      <c r="T461" s="15"/>
      <c r="U461" s="15"/>
      <c r="V461" s="15"/>
      <c r="W461" s="15"/>
      <c r="X461" s="15"/>
      <c r="Y461" s="15"/>
      <c r="Z461" s="15"/>
      <c r="AA461" s="15"/>
      <c r="AB461" s="15"/>
      <c r="AC461" s="15"/>
      <c r="AD461" s="15"/>
      <c r="AE461" s="15"/>
    </row>
    <row r="462" spans="1:31" x14ac:dyDescent="0.85">
      <c r="A462" s="15"/>
      <c r="B462" s="15"/>
      <c r="C462" s="15"/>
      <c r="D462" s="15"/>
      <c r="E462" s="15"/>
      <c r="F462" s="15"/>
      <c r="G462" s="15"/>
      <c r="H462" s="15"/>
      <c r="I462" s="15"/>
      <c r="J462" s="15"/>
      <c r="K462" s="15"/>
      <c r="L462" s="747"/>
      <c r="M462" s="15"/>
      <c r="N462" s="15"/>
      <c r="O462" s="15"/>
      <c r="P462" s="15"/>
      <c r="Q462" s="15"/>
      <c r="R462" s="15"/>
      <c r="S462" s="15"/>
      <c r="T462" s="15"/>
      <c r="U462" s="15"/>
      <c r="V462" s="15"/>
      <c r="W462" s="15"/>
      <c r="X462" s="15"/>
      <c r="Y462" s="15"/>
      <c r="Z462" s="15"/>
      <c r="AA462" s="15"/>
      <c r="AB462" s="15"/>
      <c r="AC462" s="15"/>
      <c r="AD462" s="15"/>
      <c r="AE462" s="15"/>
    </row>
    <row r="463" spans="1:31" x14ac:dyDescent="0.85">
      <c r="A463" s="15"/>
      <c r="B463" s="15"/>
      <c r="C463" s="15"/>
      <c r="D463" s="15"/>
      <c r="E463" s="15"/>
      <c r="F463" s="15"/>
      <c r="G463" s="15"/>
      <c r="H463" s="15"/>
      <c r="I463" s="15"/>
      <c r="J463" s="15"/>
      <c r="K463" s="15"/>
      <c r="L463" s="747"/>
      <c r="M463" s="15"/>
      <c r="N463" s="15"/>
      <c r="O463" s="15"/>
      <c r="P463" s="15"/>
      <c r="Q463" s="15"/>
      <c r="R463" s="15"/>
      <c r="S463" s="15"/>
      <c r="T463" s="15"/>
      <c r="U463" s="15"/>
      <c r="V463" s="15"/>
      <c r="W463" s="15"/>
      <c r="X463" s="15"/>
      <c r="Y463" s="15"/>
      <c r="Z463" s="15"/>
      <c r="AA463" s="15"/>
      <c r="AB463" s="15"/>
      <c r="AC463" s="15"/>
      <c r="AD463" s="15"/>
      <c r="AE463" s="15"/>
    </row>
    <row r="464" spans="1:31" x14ac:dyDescent="0.85">
      <c r="A464" s="15"/>
      <c r="B464" s="15"/>
      <c r="C464" s="15"/>
      <c r="D464" s="15"/>
      <c r="E464" s="15"/>
      <c r="F464" s="15"/>
      <c r="G464" s="15"/>
      <c r="H464" s="15"/>
      <c r="I464" s="15"/>
      <c r="J464" s="15"/>
      <c r="K464" s="15"/>
      <c r="L464" s="747"/>
      <c r="M464" s="15"/>
      <c r="N464" s="15"/>
      <c r="O464" s="15"/>
      <c r="P464" s="15"/>
      <c r="Q464" s="15"/>
      <c r="R464" s="15"/>
      <c r="S464" s="15"/>
      <c r="T464" s="15"/>
      <c r="U464" s="15"/>
      <c r="V464" s="15"/>
      <c r="W464" s="15"/>
      <c r="X464" s="15"/>
      <c r="Y464" s="15"/>
      <c r="Z464" s="15"/>
      <c r="AA464" s="15"/>
      <c r="AB464" s="15"/>
      <c r="AC464" s="15"/>
      <c r="AD464" s="15"/>
      <c r="AE464" s="15"/>
    </row>
    <row r="465" spans="1:31" x14ac:dyDescent="0.85">
      <c r="A465" s="15"/>
      <c r="B465" s="15"/>
      <c r="C465" s="15"/>
      <c r="D465" s="15"/>
      <c r="E465" s="15"/>
      <c r="F465" s="15"/>
      <c r="G465" s="15"/>
      <c r="H465" s="15"/>
      <c r="I465" s="15"/>
      <c r="J465" s="15"/>
      <c r="K465" s="15"/>
      <c r="L465" s="747"/>
      <c r="M465" s="15"/>
      <c r="N465" s="15"/>
      <c r="O465" s="15"/>
      <c r="P465" s="15"/>
      <c r="Q465" s="15"/>
      <c r="R465" s="15"/>
      <c r="S465" s="15"/>
      <c r="T465" s="15"/>
      <c r="U465" s="15"/>
      <c r="V465" s="15"/>
      <c r="W465" s="15"/>
      <c r="X465" s="15"/>
      <c r="Y465" s="15"/>
      <c r="Z465" s="15"/>
      <c r="AA465" s="15"/>
      <c r="AB465" s="15"/>
      <c r="AC465" s="15"/>
      <c r="AD465" s="15"/>
      <c r="AE465" s="15"/>
    </row>
    <row r="466" spans="1:31" x14ac:dyDescent="0.85">
      <c r="A466" s="15"/>
      <c r="B466" s="15"/>
      <c r="C466" s="15"/>
      <c r="D466" s="15"/>
      <c r="E466" s="15"/>
      <c r="F466" s="15"/>
      <c r="G466" s="15"/>
      <c r="H466" s="15"/>
      <c r="I466" s="15"/>
      <c r="J466" s="15"/>
      <c r="K466" s="15"/>
      <c r="L466" s="747"/>
      <c r="M466" s="15"/>
      <c r="N466" s="15"/>
      <c r="O466" s="15"/>
      <c r="P466" s="15"/>
      <c r="Q466" s="15"/>
      <c r="R466" s="15"/>
      <c r="S466" s="15"/>
      <c r="T466" s="15"/>
      <c r="U466" s="15"/>
      <c r="V466" s="15"/>
      <c r="W466" s="15"/>
      <c r="X466" s="15"/>
      <c r="Y466" s="15"/>
      <c r="Z466" s="15"/>
      <c r="AA466" s="15"/>
      <c r="AB466" s="15"/>
      <c r="AC466" s="15"/>
      <c r="AD466" s="15"/>
      <c r="AE466" s="15"/>
    </row>
    <row r="467" spans="1:31" x14ac:dyDescent="0.85">
      <c r="A467" s="15"/>
      <c r="B467" s="15"/>
      <c r="C467" s="15"/>
      <c r="D467" s="15"/>
      <c r="E467" s="15"/>
      <c r="F467" s="15"/>
      <c r="G467" s="15"/>
      <c r="H467" s="15"/>
      <c r="I467" s="15"/>
      <c r="J467" s="15"/>
      <c r="K467" s="15"/>
      <c r="L467" s="747"/>
      <c r="M467" s="15"/>
      <c r="N467" s="15"/>
      <c r="O467" s="15"/>
      <c r="P467" s="15"/>
      <c r="Q467" s="15"/>
      <c r="R467" s="15"/>
      <c r="S467" s="15"/>
      <c r="T467" s="15"/>
      <c r="U467" s="15"/>
      <c r="V467" s="15"/>
      <c r="W467" s="15"/>
      <c r="X467" s="15"/>
      <c r="Y467" s="15"/>
      <c r="Z467" s="15"/>
      <c r="AA467" s="15"/>
      <c r="AB467" s="15"/>
      <c r="AC467" s="15"/>
      <c r="AD467" s="15"/>
      <c r="AE467" s="15"/>
    </row>
    <row r="468" spans="1:31" x14ac:dyDescent="0.85">
      <c r="A468" s="15"/>
      <c r="B468" s="15"/>
      <c r="C468" s="15"/>
      <c r="D468" s="15"/>
      <c r="E468" s="15"/>
      <c r="F468" s="15"/>
      <c r="G468" s="15"/>
      <c r="H468" s="15"/>
      <c r="I468" s="15"/>
      <c r="J468" s="15"/>
      <c r="K468" s="15"/>
      <c r="L468" s="747"/>
      <c r="M468" s="15"/>
      <c r="N468" s="15"/>
      <c r="O468" s="15"/>
      <c r="P468" s="15"/>
      <c r="Q468" s="15"/>
      <c r="R468" s="15"/>
      <c r="S468" s="15"/>
      <c r="T468" s="15"/>
      <c r="U468" s="15"/>
      <c r="V468" s="15"/>
      <c r="W468" s="15"/>
      <c r="X468" s="15"/>
      <c r="Y468" s="15"/>
      <c r="Z468" s="15"/>
      <c r="AA468" s="15"/>
      <c r="AB468" s="15"/>
      <c r="AC468" s="15"/>
      <c r="AD468" s="15"/>
      <c r="AE468" s="15"/>
    </row>
    <row r="469" spans="1:31" x14ac:dyDescent="0.85">
      <c r="A469" s="15"/>
      <c r="B469" s="15"/>
      <c r="C469" s="15"/>
      <c r="D469" s="15"/>
      <c r="E469" s="15"/>
      <c r="F469" s="15"/>
      <c r="G469" s="15"/>
      <c r="H469" s="15"/>
      <c r="I469" s="15"/>
      <c r="J469" s="15"/>
      <c r="K469" s="15"/>
      <c r="L469" s="747"/>
      <c r="M469" s="15"/>
      <c r="N469" s="15"/>
      <c r="O469" s="15"/>
      <c r="P469" s="15"/>
      <c r="Q469" s="15"/>
      <c r="R469" s="15"/>
      <c r="S469" s="15"/>
      <c r="T469" s="15"/>
      <c r="U469" s="15"/>
      <c r="V469" s="15"/>
      <c r="W469" s="15"/>
      <c r="X469" s="15"/>
      <c r="Y469" s="15"/>
      <c r="Z469" s="15"/>
      <c r="AA469" s="15"/>
      <c r="AB469" s="15"/>
      <c r="AC469" s="15"/>
      <c r="AD469" s="15"/>
      <c r="AE469" s="15"/>
    </row>
    <row r="470" spans="1:31" x14ac:dyDescent="0.85">
      <c r="A470" s="15"/>
      <c r="B470" s="15"/>
      <c r="C470" s="15"/>
      <c r="D470" s="15"/>
      <c r="E470" s="15"/>
      <c r="F470" s="15"/>
      <c r="G470" s="15"/>
      <c r="H470" s="15"/>
      <c r="I470" s="15"/>
      <c r="J470" s="15"/>
      <c r="K470" s="15"/>
      <c r="L470" s="747"/>
      <c r="M470" s="15"/>
      <c r="N470" s="15"/>
      <c r="O470" s="15"/>
      <c r="P470" s="15"/>
      <c r="Q470" s="15"/>
      <c r="R470" s="15"/>
      <c r="S470" s="15"/>
      <c r="T470" s="15"/>
      <c r="U470" s="15"/>
      <c r="V470" s="15"/>
      <c r="W470" s="15"/>
      <c r="X470" s="15"/>
      <c r="Y470" s="15"/>
      <c r="Z470" s="15"/>
      <c r="AA470" s="15"/>
      <c r="AB470" s="15"/>
      <c r="AC470" s="15"/>
      <c r="AD470" s="15"/>
      <c r="AE470" s="15"/>
    </row>
    <row r="471" spans="1:31" x14ac:dyDescent="0.85">
      <c r="A471" s="15"/>
      <c r="B471" s="15"/>
      <c r="C471" s="15"/>
      <c r="D471" s="15"/>
      <c r="E471" s="15"/>
      <c r="F471" s="15"/>
      <c r="G471" s="15"/>
      <c r="H471" s="15"/>
      <c r="I471" s="15"/>
      <c r="J471" s="15"/>
      <c r="K471" s="15"/>
      <c r="L471" s="747"/>
      <c r="M471" s="15"/>
      <c r="N471" s="15"/>
      <c r="O471" s="15"/>
      <c r="P471" s="15"/>
      <c r="Q471" s="15"/>
      <c r="R471" s="15"/>
      <c r="S471" s="15"/>
      <c r="T471" s="15"/>
      <c r="U471" s="15"/>
      <c r="V471" s="15"/>
      <c r="W471" s="15"/>
      <c r="X471" s="15"/>
      <c r="Y471" s="15"/>
      <c r="Z471" s="15"/>
      <c r="AA471" s="15"/>
      <c r="AB471" s="15"/>
      <c r="AC471" s="15"/>
      <c r="AD471" s="15"/>
      <c r="AE471" s="15"/>
    </row>
    <row r="472" spans="1:31" x14ac:dyDescent="0.85">
      <c r="A472" s="15"/>
      <c r="B472" s="15"/>
      <c r="C472" s="15"/>
      <c r="D472" s="15"/>
      <c r="E472" s="15"/>
      <c r="F472" s="15"/>
      <c r="G472" s="15"/>
      <c r="H472" s="15"/>
      <c r="I472" s="15"/>
      <c r="J472" s="15"/>
      <c r="K472" s="15"/>
      <c r="L472" s="747"/>
      <c r="M472" s="15"/>
      <c r="N472" s="15"/>
      <c r="O472" s="15"/>
      <c r="P472" s="15"/>
      <c r="Q472" s="15"/>
      <c r="R472" s="15"/>
      <c r="S472" s="15"/>
      <c r="T472" s="15"/>
      <c r="U472" s="15"/>
      <c r="V472" s="15"/>
      <c r="W472" s="15"/>
      <c r="X472" s="15"/>
      <c r="Y472" s="15"/>
      <c r="Z472" s="15"/>
      <c r="AA472" s="15"/>
      <c r="AB472" s="15"/>
      <c r="AC472" s="15"/>
      <c r="AD472" s="15"/>
      <c r="AE472" s="15"/>
    </row>
    <row r="473" spans="1:31" x14ac:dyDescent="0.85">
      <c r="A473" s="15"/>
      <c r="B473" s="15"/>
      <c r="C473" s="15"/>
      <c r="D473" s="15"/>
      <c r="E473" s="15"/>
      <c r="F473" s="15"/>
      <c r="G473" s="15"/>
      <c r="H473" s="15"/>
      <c r="I473" s="15"/>
      <c r="J473" s="15"/>
      <c r="K473" s="15"/>
      <c r="L473" s="747"/>
      <c r="M473" s="15"/>
      <c r="N473" s="15"/>
      <c r="O473" s="15"/>
      <c r="P473" s="15"/>
      <c r="Q473" s="15"/>
      <c r="R473" s="15"/>
      <c r="S473" s="15"/>
      <c r="T473" s="15"/>
      <c r="U473" s="15"/>
      <c r="V473" s="15"/>
      <c r="W473" s="15"/>
      <c r="X473" s="15"/>
      <c r="Y473" s="15"/>
      <c r="Z473" s="15"/>
      <c r="AA473" s="15"/>
      <c r="AB473" s="15"/>
      <c r="AC473" s="15"/>
      <c r="AD473" s="15"/>
      <c r="AE473" s="15"/>
    </row>
    <row r="474" spans="1:31" x14ac:dyDescent="0.85">
      <c r="A474" s="15"/>
      <c r="B474" s="15"/>
      <c r="C474" s="15"/>
      <c r="D474" s="15"/>
      <c r="E474" s="15"/>
      <c r="F474" s="15"/>
      <c r="G474" s="15"/>
      <c r="H474" s="15"/>
      <c r="I474" s="15"/>
      <c r="J474" s="15"/>
      <c r="K474" s="15"/>
      <c r="L474" s="747"/>
      <c r="M474" s="15"/>
      <c r="N474" s="15"/>
      <c r="O474" s="15"/>
      <c r="P474" s="15"/>
      <c r="Q474" s="15"/>
      <c r="R474" s="15"/>
      <c r="S474" s="15"/>
      <c r="T474" s="15"/>
      <c r="U474" s="15"/>
      <c r="V474" s="15"/>
      <c r="W474" s="15"/>
      <c r="X474" s="15"/>
      <c r="Y474" s="15"/>
      <c r="Z474" s="15"/>
      <c r="AA474" s="15"/>
      <c r="AB474" s="15"/>
      <c r="AC474" s="15"/>
      <c r="AD474" s="15"/>
      <c r="AE474" s="15"/>
    </row>
    <row r="475" spans="1:31" x14ac:dyDescent="0.85">
      <c r="A475" s="15"/>
      <c r="B475" s="15"/>
      <c r="C475" s="15"/>
      <c r="D475" s="15"/>
      <c r="E475" s="15"/>
      <c r="F475" s="15"/>
      <c r="G475" s="15"/>
      <c r="H475" s="15"/>
      <c r="I475" s="15"/>
      <c r="J475" s="15"/>
      <c r="K475" s="15"/>
      <c r="L475" s="747"/>
      <c r="M475" s="15"/>
      <c r="N475" s="15"/>
      <c r="O475" s="15"/>
      <c r="P475" s="15"/>
      <c r="Q475" s="15"/>
      <c r="R475" s="15"/>
      <c r="S475" s="15"/>
      <c r="T475" s="15"/>
      <c r="U475" s="15"/>
      <c r="V475" s="15"/>
      <c r="W475" s="15"/>
      <c r="X475" s="15"/>
      <c r="Y475" s="15"/>
      <c r="Z475" s="15"/>
      <c r="AA475" s="15"/>
      <c r="AB475" s="15"/>
      <c r="AC475" s="15"/>
      <c r="AD475" s="15"/>
      <c r="AE475" s="15"/>
    </row>
    <row r="476" spans="1:31" x14ac:dyDescent="0.85">
      <c r="A476" s="15"/>
      <c r="B476" s="15"/>
      <c r="C476" s="15"/>
      <c r="D476" s="15"/>
      <c r="E476" s="15"/>
      <c r="F476" s="15"/>
      <c r="G476" s="15"/>
      <c r="H476" s="15"/>
      <c r="I476" s="15"/>
      <c r="J476" s="15"/>
      <c r="K476" s="15"/>
      <c r="L476" s="747"/>
      <c r="M476" s="15"/>
      <c r="N476" s="15"/>
      <c r="O476" s="15"/>
      <c r="P476" s="15"/>
      <c r="Q476" s="15"/>
      <c r="R476" s="15"/>
      <c r="S476" s="15"/>
      <c r="T476" s="15"/>
      <c r="U476" s="15"/>
      <c r="V476" s="15"/>
      <c r="W476" s="15"/>
      <c r="X476" s="15"/>
      <c r="Y476" s="15"/>
      <c r="Z476" s="15"/>
      <c r="AA476" s="15"/>
      <c r="AB476" s="15"/>
      <c r="AC476" s="15"/>
      <c r="AD476" s="15"/>
      <c r="AE476" s="15"/>
    </row>
    <row r="477" spans="1:31" x14ac:dyDescent="0.85">
      <c r="A477" s="15"/>
      <c r="B477" s="15"/>
      <c r="C477" s="15"/>
      <c r="D477" s="15"/>
      <c r="E477" s="15"/>
      <c r="F477" s="15"/>
      <c r="G477" s="15"/>
      <c r="H477" s="15"/>
      <c r="I477" s="15"/>
      <c r="J477" s="15"/>
      <c r="K477" s="15"/>
      <c r="L477" s="747"/>
      <c r="M477" s="15"/>
      <c r="N477" s="15"/>
      <c r="O477" s="15"/>
      <c r="P477" s="15"/>
      <c r="Q477" s="15"/>
      <c r="R477" s="15"/>
      <c r="S477" s="15"/>
      <c r="T477" s="15"/>
      <c r="U477" s="15"/>
      <c r="V477" s="15"/>
      <c r="W477" s="15"/>
      <c r="X477" s="15"/>
      <c r="Y477" s="15"/>
      <c r="Z477" s="15"/>
      <c r="AA477" s="15"/>
      <c r="AB477" s="15"/>
      <c r="AC477" s="15"/>
      <c r="AD477" s="15"/>
      <c r="AE477" s="15"/>
    </row>
    <row r="478" spans="1:31" x14ac:dyDescent="0.85">
      <c r="A478" s="15"/>
      <c r="B478" s="15"/>
      <c r="C478" s="15"/>
      <c r="D478" s="15"/>
      <c r="E478" s="15"/>
      <c r="F478" s="15"/>
      <c r="G478" s="15"/>
      <c r="H478" s="15"/>
      <c r="I478" s="15"/>
      <c r="J478" s="15"/>
      <c r="K478" s="15"/>
      <c r="L478" s="747"/>
      <c r="M478" s="15"/>
      <c r="N478" s="15"/>
      <c r="O478" s="15"/>
      <c r="P478" s="15"/>
      <c r="Q478" s="15"/>
      <c r="R478" s="15"/>
      <c r="S478" s="15"/>
      <c r="T478" s="15"/>
      <c r="U478" s="15"/>
      <c r="V478" s="15"/>
      <c r="W478" s="15"/>
      <c r="X478" s="15"/>
      <c r="Y478" s="15"/>
      <c r="Z478" s="15"/>
      <c r="AA478" s="15"/>
      <c r="AB478" s="15"/>
      <c r="AC478" s="15"/>
      <c r="AD478" s="15"/>
      <c r="AE478" s="15"/>
    </row>
    <row r="479" spans="1:31" x14ac:dyDescent="0.85">
      <c r="A479" s="15"/>
      <c r="B479" s="15"/>
      <c r="C479" s="15"/>
      <c r="D479" s="15"/>
      <c r="E479" s="15"/>
      <c r="F479" s="15"/>
      <c r="G479" s="15"/>
      <c r="H479" s="15"/>
      <c r="I479" s="15"/>
      <c r="J479" s="15"/>
      <c r="K479" s="15"/>
      <c r="L479" s="747"/>
      <c r="M479" s="15"/>
      <c r="N479" s="15"/>
      <c r="O479" s="15"/>
      <c r="P479" s="15"/>
      <c r="Q479" s="15"/>
      <c r="R479" s="15"/>
      <c r="S479" s="15"/>
      <c r="T479" s="15"/>
      <c r="U479" s="15"/>
      <c r="V479" s="15"/>
      <c r="W479" s="15"/>
      <c r="X479" s="15"/>
      <c r="Y479" s="15"/>
      <c r="Z479" s="15"/>
      <c r="AA479" s="15"/>
      <c r="AB479" s="15"/>
      <c r="AC479" s="15"/>
      <c r="AD479" s="15"/>
      <c r="AE479" s="15"/>
    </row>
    <row r="480" spans="1:31" x14ac:dyDescent="0.85">
      <c r="A480" s="15"/>
      <c r="B480" s="15"/>
      <c r="C480" s="15"/>
      <c r="D480" s="15"/>
      <c r="E480" s="15"/>
      <c r="F480" s="15"/>
      <c r="G480" s="15"/>
      <c r="H480" s="15"/>
      <c r="I480" s="15"/>
      <c r="J480" s="15"/>
      <c r="K480" s="15"/>
      <c r="L480" s="747"/>
      <c r="M480" s="15"/>
      <c r="N480" s="15"/>
      <c r="O480" s="15"/>
      <c r="P480" s="15"/>
      <c r="Q480" s="15"/>
      <c r="R480" s="15"/>
      <c r="S480" s="15"/>
      <c r="T480" s="15"/>
      <c r="U480" s="15"/>
      <c r="V480" s="15"/>
      <c r="W480" s="15"/>
      <c r="X480" s="15"/>
      <c r="Y480" s="15"/>
      <c r="Z480" s="15"/>
      <c r="AA480" s="15"/>
      <c r="AB480" s="15"/>
      <c r="AC480" s="15"/>
      <c r="AD480" s="15"/>
      <c r="AE480" s="15"/>
    </row>
    <row r="481" spans="1:31" x14ac:dyDescent="0.85">
      <c r="A481" s="15"/>
      <c r="B481" s="15"/>
      <c r="C481" s="15"/>
      <c r="D481" s="15"/>
      <c r="E481" s="15"/>
      <c r="F481" s="15"/>
      <c r="G481" s="15"/>
      <c r="H481" s="15"/>
      <c r="I481" s="15"/>
      <c r="J481" s="15"/>
      <c r="K481" s="15"/>
      <c r="L481" s="747"/>
      <c r="M481" s="15"/>
      <c r="N481" s="15"/>
      <c r="O481" s="15"/>
      <c r="P481" s="15"/>
      <c r="Q481" s="15"/>
      <c r="R481" s="15"/>
      <c r="S481" s="15"/>
      <c r="T481" s="15"/>
      <c r="U481" s="15"/>
      <c r="V481" s="15"/>
      <c r="W481" s="15"/>
      <c r="X481" s="15"/>
      <c r="Y481" s="15"/>
      <c r="Z481" s="15"/>
      <c r="AA481" s="15"/>
      <c r="AB481" s="15"/>
      <c r="AC481" s="15"/>
      <c r="AD481" s="15"/>
      <c r="AE481" s="15"/>
    </row>
    <row r="482" spans="1:31" x14ac:dyDescent="0.85">
      <c r="A482" s="15"/>
      <c r="B482" s="15"/>
      <c r="C482" s="15"/>
      <c r="D482" s="15"/>
      <c r="E482" s="15"/>
      <c r="F482" s="15"/>
      <c r="G482" s="15"/>
      <c r="H482" s="15"/>
      <c r="I482" s="15"/>
      <c r="J482" s="15"/>
      <c r="K482" s="15"/>
      <c r="L482" s="747"/>
      <c r="M482" s="15"/>
      <c r="N482" s="15"/>
      <c r="O482" s="15"/>
      <c r="P482" s="15"/>
      <c r="Q482" s="15"/>
      <c r="R482" s="15"/>
      <c r="S482" s="15"/>
      <c r="T482" s="15"/>
      <c r="U482" s="15"/>
      <c r="V482" s="15"/>
      <c r="W482" s="15"/>
      <c r="X482" s="15"/>
      <c r="Y482" s="15"/>
      <c r="Z482" s="15"/>
      <c r="AA482" s="15"/>
      <c r="AB482" s="15"/>
      <c r="AC482" s="15"/>
      <c r="AD482" s="15"/>
      <c r="AE482" s="15"/>
    </row>
    <row r="483" spans="1:31" x14ac:dyDescent="0.85">
      <c r="A483" s="15"/>
      <c r="B483" s="15"/>
      <c r="C483" s="15"/>
      <c r="D483" s="15"/>
      <c r="E483" s="15"/>
      <c r="F483" s="15"/>
      <c r="G483" s="15"/>
      <c r="H483" s="15"/>
      <c r="I483" s="15"/>
      <c r="J483" s="15"/>
      <c r="K483" s="15"/>
      <c r="L483" s="747"/>
      <c r="M483" s="15"/>
      <c r="N483" s="15"/>
      <c r="O483" s="15"/>
      <c r="P483" s="15"/>
      <c r="Q483" s="15"/>
      <c r="R483" s="15"/>
      <c r="S483" s="15"/>
      <c r="T483" s="15"/>
      <c r="U483" s="15"/>
      <c r="V483" s="15"/>
      <c r="W483" s="15"/>
      <c r="X483" s="15"/>
      <c r="Y483" s="15"/>
      <c r="Z483" s="15"/>
      <c r="AA483" s="15"/>
      <c r="AB483" s="15"/>
      <c r="AC483" s="15"/>
      <c r="AD483" s="15"/>
      <c r="AE483" s="15"/>
    </row>
    <row r="484" spans="1:31" x14ac:dyDescent="0.85">
      <c r="A484" s="15"/>
      <c r="B484" s="15"/>
      <c r="C484" s="15"/>
      <c r="D484" s="15"/>
      <c r="E484" s="15"/>
      <c r="F484" s="15"/>
      <c r="G484" s="15"/>
      <c r="H484" s="15"/>
      <c r="I484" s="15"/>
      <c r="J484" s="15"/>
      <c r="K484" s="15"/>
      <c r="L484" s="747"/>
      <c r="M484" s="15"/>
      <c r="N484" s="15"/>
      <c r="O484" s="15"/>
      <c r="P484" s="15"/>
      <c r="Q484" s="15"/>
      <c r="R484" s="15"/>
      <c r="S484" s="15"/>
      <c r="T484" s="15"/>
      <c r="U484" s="15"/>
      <c r="V484" s="15"/>
      <c r="W484" s="15"/>
      <c r="X484" s="15"/>
      <c r="Y484" s="15"/>
      <c r="Z484" s="15"/>
      <c r="AA484" s="15"/>
      <c r="AB484" s="15"/>
      <c r="AC484" s="15"/>
      <c r="AD484" s="15"/>
      <c r="AE484" s="15"/>
    </row>
    <row r="485" spans="1:31" x14ac:dyDescent="0.85">
      <c r="A485" s="15"/>
      <c r="B485" s="15"/>
      <c r="C485" s="15"/>
      <c r="D485" s="15"/>
      <c r="E485" s="15"/>
      <c r="F485" s="15"/>
      <c r="G485" s="15"/>
      <c r="H485" s="15"/>
      <c r="I485" s="15"/>
      <c r="J485" s="15"/>
      <c r="K485" s="15"/>
      <c r="L485" s="747"/>
      <c r="M485" s="15"/>
      <c r="N485" s="15"/>
      <c r="O485" s="15"/>
      <c r="P485" s="15"/>
      <c r="Q485" s="15"/>
      <c r="R485" s="15"/>
      <c r="S485" s="15"/>
      <c r="T485" s="15"/>
      <c r="U485" s="15"/>
      <c r="V485" s="15"/>
      <c r="W485" s="15"/>
      <c r="X485" s="15"/>
      <c r="Y485" s="15"/>
      <c r="Z485" s="15"/>
      <c r="AA485" s="15"/>
      <c r="AB485" s="15"/>
      <c r="AC485" s="15"/>
      <c r="AD485" s="15"/>
      <c r="AE485" s="15"/>
    </row>
    <row r="486" spans="1:31" x14ac:dyDescent="0.85">
      <c r="A486" s="15"/>
      <c r="B486" s="15"/>
      <c r="C486" s="15"/>
      <c r="D486" s="15"/>
      <c r="E486" s="15"/>
      <c r="F486" s="15"/>
      <c r="G486" s="15"/>
      <c r="H486" s="15"/>
      <c r="I486" s="15"/>
      <c r="J486" s="15"/>
      <c r="K486" s="15"/>
      <c r="L486" s="747"/>
      <c r="M486" s="15"/>
      <c r="N486" s="15"/>
      <c r="O486" s="15"/>
      <c r="P486" s="15"/>
      <c r="Q486" s="15"/>
      <c r="R486" s="15"/>
      <c r="S486" s="15"/>
      <c r="T486" s="15"/>
      <c r="U486" s="15"/>
      <c r="V486" s="15"/>
      <c r="W486" s="15"/>
      <c r="X486" s="15"/>
      <c r="Y486" s="15"/>
      <c r="Z486" s="15"/>
      <c r="AA486" s="15"/>
      <c r="AB486" s="15"/>
      <c r="AC486" s="15"/>
      <c r="AD486" s="15"/>
      <c r="AE486" s="15"/>
    </row>
    <row r="487" spans="1:31" x14ac:dyDescent="0.85">
      <c r="A487" s="15"/>
      <c r="B487" s="15"/>
      <c r="C487" s="15"/>
      <c r="D487" s="15"/>
      <c r="E487" s="15"/>
      <c r="F487" s="15"/>
      <c r="G487" s="15"/>
      <c r="H487" s="15"/>
      <c r="I487" s="15"/>
      <c r="J487" s="15"/>
      <c r="K487" s="15"/>
      <c r="L487" s="747"/>
      <c r="M487" s="15"/>
      <c r="N487" s="15"/>
      <c r="O487" s="15"/>
      <c r="P487" s="15"/>
      <c r="Q487" s="15"/>
      <c r="R487" s="15"/>
      <c r="S487" s="15"/>
      <c r="T487" s="15"/>
      <c r="U487" s="15"/>
      <c r="V487" s="15"/>
      <c r="W487" s="15"/>
      <c r="X487" s="15"/>
      <c r="Y487" s="15"/>
      <c r="Z487" s="15"/>
      <c r="AA487" s="15"/>
      <c r="AB487" s="15"/>
      <c r="AC487" s="15"/>
      <c r="AD487" s="15"/>
      <c r="AE487" s="15"/>
    </row>
    <row r="488" spans="1:31" x14ac:dyDescent="0.85">
      <c r="A488" s="15"/>
      <c r="B488" s="15"/>
      <c r="C488" s="15"/>
      <c r="D488" s="15"/>
      <c r="E488" s="15"/>
      <c r="F488" s="15"/>
      <c r="G488" s="15"/>
      <c r="H488" s="15"/>
      <c r="I488" s="15"/>
      <c r="J488" s="15"/>
      <c r="K488" s="15"/>
      <c r="L488" s="747"/>
      <c r="M488" s="15"/>
      <c r="N488" s="15"/>
      <c r="O488" s="15"/>
      <c r="P488" s="15"/>
      <c r="Q488" s="15"/>
      <c r="R488" s="15"/>
      <c r="S488" s="15"/>
      <c r="T488" s="15"/>
      <c r="U488" s="15"/>
      <c r="V488" s="15"/>
      <c r="W488" s="15"/>
      <c r="X488" s="15"/>
      <c r="Y488" s="15"/>
      <c r="Z488" s="15"/>
      <c r="AA488" s="15"/>
      <c r="AB488" s="15"/>
      <c r="AC488" s="15"/>
      <c r="AD488" s="15"/>
      <c r="AE488" s="15"/>
    </row>
    <row r="489" spans="1:31" x14ac:dyDescent="0.85">
      <c r="A489" s="15"/>
      <c r="B489" s="15"/>
      <c r="C489" s="15"/>
      <c r="D489" s="15"/>
      <c r="E489" s="15"/>
      <c r="F489" s="15"/>
      <c r="G489" s="15"/>
      <c r="H489" s="15"/>
      <c r="I489" s="15"/>
      <c r="J489" s="15"/>
      <c r="K489" s="15"/>
      <c r="L489" s="747"/>
      <c r="M489" s="15"/>
      <c r="N489" s="15"/>
      <c r="O489" s="15"/>
      <c r="P489" s="15"/>
      <c r="Q489" s="15"/>
      <c r="R489" s="15"/>
      <c r="S489" s="15"/>
      <c r="T489" s="15"/>
      <c r="U489" s="15"/>
      <c r="V489" s="15"/>
      <c r="W489" s="15"/>
      <c r="X489" s="15"/>
      <c r="Y489" s="15"/>
      <c r="Z489" s="15"/>
      <c r="AA489" s="15"/>
      <c r="AB489" s="15"/>
      <c r="AC489" s="15"/>
      <c r="AD489" s="15"/>
      <c r="AE489" s="15"/>
    </row>
    <row r="490" spans="1:31" x14ac:dyDescent="0.85">
      <c r="A490" s="15"/>
      <c r="B490" s="15"/>
      <c r="C490" s="15"/>
      <c r="D490" s="15"/>
      <c r="E490" s="15"/>
      <c r="F490" s="15"/>
      <c r="G490" s="15"/>
      <c r="H490" s="15"/>
      <c r="I490" s="15"/>
      <c r="J490" s="15"/>
      <c r="K490" s="15"/>
      <c r="L490" s="747"/>
      <c r="M490" s="15"/>
      <c r="N490" s="15"/>
      <c r="O490" s="15"/>
      <c r="P490" s="15"/>
      <c r="Q490" s="15"/>
      <c r="R490" s="15"/>
      <c r="S490" s="15"/>
      <c r="T490" s="15"/>
      <c r="U490" s="15"/>
      <c r="V490" s="15"/>
      <c r="W490" s="15"/>
      <c r="X490" s="15"/>
      <c r="Y490" s="15"/>
      <c r="Z490" s="15"/>
      <c r="AA490" s="15"/>
      <c r="AB490" s="15"/>
      <c r="AC490" s="15"/>
      <c r="AD490" s="15"/>
      <c r="AE490" s="15"/>
    </row>
    <row r="491" spans="1:31" x14ac:dyDescent="0.85">
      <c r="A491" s="15"/>
      <c r="B491" s="15"/>
      <c r="C491" s="15"/>
      <c r="D491" s="15"/>
      <c r="E491" s="15"/>
      <c r="F491" s="15"/>
      <c r="G491" s="15"/>
      <c r="H491" s="15"/>
      <c r="I491" s="15"/>
      <c r="J491" s="15"/>
      <c r="K491" s="15"/>
      <c r="L491" s="747"/>
      <c r="M491" s="15"/>
      <c r="N491" s="15"/>
      <c r="O491" s="15"/>
      <c r="P491" s="15"/>
      <c r="Q491" s="15"/>
      <c r="R491" s="15"/>
      <c r="S491" s="15"/>
      <c r="T491" s="15"/>
      <c r="U491" s="15"/>
      <c r="V491" s="15"/>
      <c r="W491" s="15"/>
      <c r="X491" s="15"/>
      <c r="Y491" s="15"/>
      <c r="Z491" s="15"/>
      <c r="AA491" s="15"/>
      <c r="AB491" s="15"/>
      <c r="AC491" s="15"/>
      <c r="AD491" s="15"/>
      <c r="AE491" s="15"/>
    </row>
    <row r="492" spans="1:31" x14ac:dyDescent="0.85">
      <c r="A492" s="15"/>
      <c r="B492" s="15"/>
      <c r="C492" s="15"/>
      <c r="D492" s="15"/>
      <c r="E492" s="15"/>
      <c r="F492" s="15"/>
      <c r="G492" s="15"/>
      <c r="H492" s="15"/>
      <c r="I492" s="15"/>
      <c r="J492" s="15"/>
      <c r="K492" s="15"/>
      <c r="L492" s="747"/>
      <c r="M492" s="15"/>
      <c r="N492" s="15"/>
      <c r="O492" s="15"/>
      <c r="P492" s="15"/>
      <c r="Q492" s="15"/>
      <c r="R492" s="15"/>
      <c r="S492" s="15"/>
      <c r="T492" s="15"/>
      <c r="U492" s="15"/>
      <c r="V492" s="15"/>
      <c r="W492" s="15"/>
      <c r="X492" s="15"/>
      <c r="Y492" s="15"/>
      <c r="Z492" s="15"/>
      <c r="AA492" s="15"/>
      <c r="AB492" s="15"/>
      <c r="AC492" s="15"/>
      <c r="AD492" s="15"/>
      <c r="AE492" s="15"/>
    </row>
    <row r="493" spans="1:31" x14ac:dyDescent="0.85">
      <c r="A493" s="15"/>
      <c r="B493" s="15"/>
      <c r="C493" s="15"/>
      <c r="D493" s="15"/>
      <c r="E493" s="15"/>
      <c r="F493" s="15"/>
      <c r="G493" s="15"/>
      <c r="H493" s="15"/>
      <c r="I493" s="15"/>
      <c r="J493" s="15"/>
      <c r="K493" s="15"/>
      <c r="L493" s="747"/>
      <c r="M493" s="15"/>
      <c r="N493" s="15"/>
      <c r="O493" s="15"/>
      <c r="P493" s="15"/>
      <c r="Q493" s="15"/>
      <c r="R493" s="15"/>
      <c r="S493" s="15"/>
      <c r="T493" s="15"/>
      <c r="U493" s="15"/>
      <c r="V493" s="15"/>
      <c r="W493" s="15"/>
      <c r="X493" s="15"/>
      <c r="Y493" s="15"/>
      <c r="Z493" s="15"/>
      <c r="AA493" s="15"/>
      <c r="AB493" s="15"/>
      <c r="AC493" s="15"/>
      <c r="AD493" s="15"/>
      <c r="AE493" s="15"/>
    </row>
    <row r="494" spans="1:31" x14ac:dyDescent="0.85">
      <c r="A494" s="15"/>
      <c r="B494" s="15"/>
      <c r="C494" s="15"/>
      <c r="D494" s="15"/>
      <c r="E494" s="15"/>
      <c r="F494" s="15"/>
      <c r="G494" s="15"/>
      <c r="H494" s="15"/>
      <c r="I494" s="15"/>
      <c r="J494" s="15"/>
      <c r="K494" s="15"/>
      <c r="L494" s="747"/>
      <c r="M494" s="15"/>
      <c r="N494" s="15"/>
      <c r="O494" s="15"/>
      <c r="P494" s="15"/>
      <c r="Q494" s="15"/>
      <c r="R494" s="15"/>
      <c r="S494" s="15"/>
      <c r="T494" s="15"/>
      <c r="U494" s="15"/>
      <c r="V494" s="15"/>
      <c r="W494" s="15"/>
      <c r="X494" s="15"/>
      <c r="Y494" s="15"/>
      <c r="Z494" s="15"/>
      <c r="AA494" s="15"/>
      <c r="AB494" s="15"/>
      <c r="AC494" s="15"/>
      <c r="AD494" s="15"/>
      <c r="AE494" s="15"/>
    </row>
    <row r="495" spans="1:31" x14ac:dyDescent="0.85">
      <c r="A495" s="15"/>
      <c r="B495" s="15"/>
      <c r="C495" s="15"/>
      <c r="D495" s="15"/>
      <c r="E495" s="15"/>
      <c r="F495" s="15"/>
      <c r="G495" s="15"/>
      <c r="H495" s="15"/>
      <c r="I495" s="15"/>
      <c r="J495" s="15"/>
      <c r="K495" s="15"/>
      <c r="L495" s="747"/>
      <c r="M495" s="15"/>
      <c r="N495" s="15"/>
      <c r="O495" s="15"/>
      <c r="P495" s="15"/>
      <c r="Q495" s="15"/>
      <c r="R495" s="15"/>
      <c r="S495" s="15"/>
      <c r="T495" s="15"/>
      <c r="U495" s="15"/>
      <c r="V495" s="15"/>
      <c r="W495" s="15"/>
      <c r="X495" s="15"/>
      <c r="Y495" s="15"/>
      <c r="Z495" s="15"/>
      <c r="AA495" s="15"/>
      <c r="AB495" s="15"/>
      <c r="AC495" s="15"/>
      <c r="AD495" s="15"/>
      <c r="AE495" s="15"/>
    </row>
    <row r="496" spans="1:31" x14ac:dyDescent="0.85">
      <c r="A496" s="15"/>
      <c r="B496" s="15"/>
      <c r="C496" s="15"/>
      <c r="D496" s="15"/>
      <c r="E496" s="15"/>
      <c r="F496" s="15"/>
      <c r="G496" s="15"/>
      <c r="H496" s="15"/>
      <c r="I496" s="15"/>
      <c r="J496" s="15"/>
      <c r="K496" s="15"/>
      <c r="L496" s="747"/>
      <c r="M496" s="15"/>
      <c r="N496" s="15"/>
      <c r="O496" s="15"/>
      <c r="P496" s="15"/>
      <c r="Q496" s="15"/>
      <c r="R496" s="15"/>
      <c r="S496" s="15"/>
      <c r="T496" s="15"/>
      <c r="U496" s="15"/>
      <c r="V496" s="15"/>
      <c r="W496" s="15"/>
      <c r="X496" s="15"/>
      <c r="Y496" s="15"/>
      <c r="Z496" s="15"/>
      <c r="AA496" s="15"/>
      <c r="AB496" s="15"/>
      <c r="AC496" s="15"/>
      <c r="AD496" s="15"/>
      <c r="AE496" s="15"/>
    </row>
    <row r="497" spans="1:31" x14ac:dyDescent="0.85">
      <c r="A497" s="15"/>
      <c r="B497" s="15"/>
      <c r="C497" s="15"/>
      <c r="D497" s="15"/>
      <c r="E497" s="15"/>
      <c r="F497" s="15"/>
      <c r="G497" s="15"/>
      <c r="H497" s="15"/>
      <c r="I497" s="15"/>
      <c r="J497" s="15"/>
      <c r="K497" s="15"/>
      <c r="L497" s="747"/>
      <c r="M497" s="15"/>
      <c r="N497" s="15"/>
      <c r="O497" s="15"/>
      <c r="P497" s="15"/>
      <c r="Q497" s="15"/>
      <c r="R497" s="15"/>
      <c r="S497" s="15"/>
      <c r="T497" s="15"/>
      <c r="U497" s="15"/>
      <c r="V497" s="15"/>
      <c r="W497" s="15"/>
      <c r="X497" s="15"/>
      <c r="Y497" s="15"/>
      <c r="Z497" s="15"/>
      <c r="AA497" s="15"/>
      <c r="AB497" s="15"/>
      <c r="AC497" s="15"/>
      <c r="AD497" s="15"/>
      <c r="AE497" s="15"/>
    </row>
    <row r="498" spans="1:31" x14ac:dyDescent="0.85">
      <c r="A498" s="15"/>
      <c r="B498" s="15"/>
      <c r="C498" s="15"/>
      <c r="D498" s="15"/>
      <c r="E498" s="15"/>
      <c r="F498" s="15"/>
      <c r="G498" s="15"/>
      <c r="H498" s="15"/>
      <c r="I498" s="15"/>
      <c r="J498" s="15"/>
      <c r="K498" s="15"/>
      <c r="L498" s="747"/>
      <c r="M498" s="15"/>
      <c r="N498" s="15"/>
      <c r="O498" s="15"/>
      <c r="P498" s="15"/>
      <c r="Q498" s="15"/>
      <c r="R498" s="15"/>
      <c r="S498" s="15"/>
      <c r="T498" s="15"/>
      <c r="U498" s="15"/>
      <c r="V498" s="15"/>
      <c r="W498" s="15"/>
      <c r="X498" s="15"/>
      <c r="Y498" s="15"/>
      <c r="Z498" s="15"/>
      <c r="AA498" s="15"/>
      <c r="AB498" s="15"/>
      <c r="AC498" s="15"/>
      <c r="AD498" s="15"/>
      <c r="AE498" s="15"/>
    </row>
    <row r="499" spans="1:31" x14ac:dyDescent="0.85">
      <c r="A499" s="15"/>
      <c r="B499" s="15"/>
      <c r="C499" s="15"/>
      <c r="D499" s="15"/>
      <c r="E499" s="15"/>
      <c r="F499" s="15"/>
      <c r="G499" s="15"/>
      <c r="H499" s="15"/>
      <c r="I499" s="15"/>
      <c r="J499" s="15"/>
      <c r="K499" s="15"/>
      <c r="L499" s="747"/>
      <c r="M499" s="15"/>
      <c r="N499" s="15"/>
      <c r="O499" s="15"/>
      <c r="P499" s="15"/>
      <c r="Q499" s="15"/>
      <c r="R499" s="15"/>
      <c r="S499" s="15"/>
      <c r="T499" s="15"/>
      <c r="U499" s="15"/>
      <c r="V499" s="15"/>
      <c r="W499" s="15"/>
      <c r="X499" s="15"/>
      <c r="Y499" s="15"/>
      <c r="Z499" s="15"/>
      <c r="AA499" s="15"/>
      <c r="AB499" s="15"/>
      <c r="AC499" s="15"/>
      <c r="AD499" s="15"/>
      <c r="AE499" s="15"/>
    </row>
    <row r="500" spans="1:31" x14ac:dyDescent="0.85">
      <c r="A500" s="15"/>
      <c r="B500" s="15"/>
      <c r="C500" s="15"/>
      <c r="D500" s="15"/>
      <c r="E500" s="15"/>
      <c r="F500" s="15"/>
      <c r="G500" s="15"/>
      <c r="H500" s="15"/>
      <c r="I500" s="15"/>
      <c r="J500" s="15"/>
      <c r="K500" s="15"/>
      <c r="L500" s="747"/>
      <c r="M500" s="15"/>
      <c r="N500" s="15"/>
      <c r="O500" s="15"/>
      <c r="P500" s="15"/>
      <c r="Q500" s="15"/>
      <c r="R500" s="15"/>
      <c r="S500" s="15"/>
      <c r="T500" s="15"/>
      <c r="U500" s="15"/>
      <c r="V500" s="15"/>
      <c r="W500" s="15"/>
      <c r="X500" s="15"/>
      <c r="Y500" s="15"/>
      <c r="Z500" s="15"/>
      <c r="AA500" s="15"/>
      <c r="AB500" s="15"/>
      <c r="AC500" s="15"/>
      <c r="AD500" s="15"/>
      <c r="AE500" s="15"/>
    </row>
    <row r="501" spans="1:31" x14ac:dyDescent="0.85">
      <c r="A501" s="15"/>
      <c r="B501" s="15"/>
      <c r="C501" s="15"/>
      <c r="D501" s="15"/>
      <c r="E501" s="15"/>
      <c r="F501" s="15"/>
      <c r="G501" s="15"/>
      <c r="H501" s="15"/>
      <c r="I501" s="15"/>
      <c r="J501" s="15"/>
      <c r="K501" s="15"/>
      <c r="L501" s="747"/>
      <c r="M501" s="15"/>
      <c r="N501" s="15"/>
      <c r="O501" s="15"/>
      <c r="P501" s="15"/>
      <c r="Q501" s="15"/>
      <c r="R501" s="15"/>
      <c r="S501" s="15"/>
      <c r="T501" s="15"/>
      <c r="U501" s="15"/>
      <c r="V501" s="15"/>
      <c r="W501" s="15"/>
      <c r="X501" s="15"/>
      <c r="Y501" s="15"/>
      <c r="Z501" s="15"/>
      <c r="AA501" s="15"/>
      <c r="AB501" s="15"/>
      <c r="AC501" s="15"/>
      <c r="AD501" s="15"/>
      <c r="AE501" s="15"/>
    </row>
    <row r="502" spans="1:31" x14ac:dyDescent="0.85">
      <c r="A502" s="15"/>
      <c r="B502" s="15"/>
      <c r="C502" s="15"/>
      <c r="D502" s="15"/>
      <c r="E502" s="15"/>
      <c r="F502" s="15"/>
      <c r="G502" s="15"/>
      <c r="H502" s="15"/>
      <c r="I502" s="15"/>
      <c r="J502" s="15"/>
      <c r="K502" s="15"/>
      <c r="L502" s="747"/>
      <c r="M502" s="15"/>
      <c r="N502" s="15"/>
      <c r="O502" s="15"/>
      <c r="P502" s="15"/>
      <c r="Q502" s="15"/>
      <c r="R502" s="15"/>
      <c r="S502" s="15"/>
      <c r="T502" s="15"/>
      <c r="U502" s="15"/>
      <c r="V502" s="15"/>
      <c r="W502" s="15"/>
      <c r="X502" s="15"/>
      <c r="Y502" s="15"/>
      <c r="Z502" s="15"/>
      <c r="AA502" s="15"/>
      <c r="AB502" s="15"/>
      <c r="AC502" s="15"/>
      <c r="AD502" s="15"/>
      <c r="AE502" s="15"/>
    </row>
    <row r="503" spans="1:31" x14ac:dyDescent="0.85">
      <c r="A503" s="15"/>
      <c r="B503" s="15"/>
      <c r="C503" s="15"/>
      <c r="D503" s="15"/>
      <c r="E503" s="15"/>
      <c r="F503" s="15"/>
      <c r="G503" s="15"/>
      <c r="H503" s="15"/>
      <c r="I503" s="15"/>
      <c r="J503" s="15"/>
      <c r="K503" s="15"/>
      <c r="L503" s="747"/>
      <c r="M503" s="15"/>
      <c r="N503" s="15"/>
      <c r="O503" s="15"/>
      <c r="P503" s="15"/>
      <c r="Q503" s="15"/>
      <c r="R503" s="15"/>
      <c r="S503" s="15"/>
      <c r="T503" s="15"/>
      <c r="U503" s="15"/>
      <c r="V503" s="15"/>
      <c r="W503" s="15"/>
      <c r="X503" s="15"/>
      <c r="Y503" s="15"/>
      <c r="Z503" s="15"/>
      <c r="AA503" s="15"/>
      <c r="AB503" s="15"/>
      <c r="AC503" s="15"/>
      <c r="AD503" s="15"/>
      <c r="AE503" s="15"/>
    </row>
    <row r="504" spans="1:31" x14ac:dyDescent="0.85">
      <c r="A504" s="15"/>
      <c r="B504" s="15"/>
      <c r="C504" s="15"/>
      <c r="D504" s="15"/>
      <c r="E504" s="15"/>
      <c r="F504" s="15"/>
      <c r="G504" s="15"/>
      <c r="H504" s="15"/>
      <c r="I504" s="15"/>
      <c r="J504" s="15"/>
      <c r="K504" s="15"/>
      <c r="L504" s="747"/>
      <c r="M504" s="15"/>
      <c r="N504" s="15"/>
      <c r="O504" s="15"/>
      <c r="P504" s="15"/>
      <c r="Q504" s="15"/>
      <c r="R504" s="15"/>
      <c r="S504" s="15"/>
      <c r="T504" s="15"/>
      <c r="U504" s="15"/>
      <c r="V504" s="15"/>
      <c r="W504" s="15"/>
      <c r="X504" s="15"/>
      <c r="Y504" s="15"/>
      <c r="Z504" s="15"/>
      <c r="AA504" s="15"/>
      <c r="AB504" s="15"/>
      <c r="AC504" s="15"/>
      <c r="AD504" s="15"/>
      <c r="AE504" s="15"/>
    </row>
    <row r="505" spans="1:31" x14ac:dyDescent="0.85">
      <c r="A505" s="15"/>
      <c r="B505" s="15"/>
      <c r="C505" s="15"/>
      <c r="D505" s="15"/>
      <c r="E505" s="15"/>
      <c r="F505" s="15"/>
      <c r="G505" s="15"/>
      <c r="H505" s="15"/>
      <c r="I505" s="15"/>
      <c r="J505" s="15"/>
      <c r="K505" s="15"/>
      <c r="L505" s="747"/>
      <c r="M505" s="15"/>
      <c r="N505" s="15"/>
      <c r="O505" s="15"/>
      <c r="P505" s="15"/>
      <c r="Q505" s="15"/>
      <c r="R505" s="15"/>
      <c r="S505" s="15"/>
      <c r="T505" s="15"/>
      <c r="U505" s="15"/>
      <c r="V505" s="15"/>
      <c r="W505" s="15"/>
      <c r="X505" s="15"/>
      <c r="Y505" s="15"/>
      <c r="Z505" s="15"/>
      <c r="AA505" s="15"/>
      <c r="AB505" s="15"/>
      <c r="AC505" s="15"/>
      <c r="AD505" s="15"/>
      <c r="AE505" s="15"/>
    </row>
    <row r="506" spans="1:31" x14ac:dyDescent="0.85">
      <c r="A506" s="15"/>
      <c r="B506" s="15"/>
      <c r="C506" s="15"/>
      <c r="D506" s="15"/>
      <c r="E506" s="15"/>
      <c r="F506" s="15"/>
      <c r="G506" s="15"/>
      <c r="H506" s="15"/>
      <c r="I506" s="15"/>
      <c r="J506" s="15"/>
      <c r="K506" s="15"/>
      <c r="L506" s="747"/>
      <c r="M506" s="15"/>
      <c r="N506" s="15"/>
      <c r="O506" s="15"/>
      <c r="P506" s="15"/>
      <c r="Q506" s="15"/>
      <c r="R506" s="15"/>
      <c r="S506" s="15"/>
      <c r="T506" s="15"/>
      <c r="U506" s="15"/>
      <c r="V506" s="15"/>
      <c r="W506" s="15"/>
      <c r="X506" s="15"/>
      <c r="Y506" s="15"/>
      <c r="Z506" s="15"/>
      <c r="AA506" s="15"/>
      <c r="AB506" s="15"/>
      <c r="AC506" s="15"/>
      <c r="AD506" s="15"/>
      <c r="AE506" s="15"/>
    </row>
    <row r="507" spans="1:31" x14ac:dyDescent="0.85">
      <c r="A507" s="15"/>
      <c r="B507" s="15"/>
      <c r="C507" s="15"/>
      <c r="D507" s="15"/>
      <c r="E507" s="15"/>
      <c r="F507" s="15"/>
      <c r="G507" s="15"/>
      <c r="H507" s="15"/>
      <c r="I507" s="15"/>
      <c r="J507" s="15"/>
      <c r="K507" s="15"/>
      <c r="L507" s="747"/>
      <c r="M507" s="15"/>
      <c r="N507" s="15"/>
      <c r="O507" s="15"/>
      <c r="P507" s="15"/>
      <c r="Q507" s="15"/>
      <c r="R507" s="15"/>
      <c r="S507" s="15"/>
      <c r="T507" s="15"/>
      <c r="U507" s="15"/>
      <c r="V507" s="15"/>
      <c r="W507" s="15"/>
      <c r="X507" s="15"/>
      <c r="Y507" s="15"/>
      <c r="Z507" s="15"/>
      <c r="AA507" s="15"/>
      <c r="AB507" s="15"/>
      <c r="AC507" s="15"/>
      <c r="AD507" s="15"/>
      <c r="AE507" s="15"/>
    </row>
    <row r="508" spans="1:31" x14ac:dyDescent="0.85">
      <c r="A508" s="15"/>
      <c r="B508" s="15"/>
      <c r="C508" s="15"/>
      <c r="D508" s="15"/>
      <c r="E508" s="15"/>
      <c r="F508" s="15"/>
      <c r="G508" s="15"/>
      <c r="H508" s="15"/>
      <c r="I508" s="15"/>
      <c r="J508" s="15"/>
      <c r="K508" s="15"/>
      <c r="L508" s="747"/>
      <c r="M508" s="15"/>
      <c r="N508" s="15"/>
      <c r="O508" s="15"/>
      <c r="P508" s="15"/>
      <c r="Q508" s="15"/>
      <c r="R508" s="15"/>
      <c r="S508" s="15"/>
      <c r="T508" s="15"/>
      <c r="U508" s="15"/>
      <c r="V508" s="15"/>
      <c r="W508" s="15"/>
      <c r="X508" s="15"/>
      <c r="Y508" s="15"/>
      <c r="Z508" s="15"/>
      <c r="AA508" s="15"/>
      <c r="AB508" s="15"/>
      <c r="AC508" s="15"/>
      <c r="AD508" s="15"/>
      <c r="AE508" s="15"/>
    </row>
    <row r="509" spans="1:31" x14ac:dyDescent="0.85">
      <c r="A509" s="15"/>
      <c r="B509" s="15"/>
      <c r="C509" s="15"/>
      <c r="D509" s="15"/>
      <c r="E509" s="15"/>
      <c r="F509" s="15"/>
      <c r="G509" s="15"/>
      <c r="H509" s="15"/>
      <c r="I509" s="15"/>
      <c r="J509" s="15"/>
      <c r="K509" s="15"/>
      <c r="L509" s="747"/>
      <c r="M509" s="15"/>
      <c r="N509" s="15"/>
      <c r="O509" s="15"/>
      <c r="P509" s="15"/>
      <c r="Q509" s="15"/>
      <c r="R509" s="15"/>
      <c r="S509" s="15"/>
      <c r="T509" s="15"/>
      <c r="U509" s="15"/>
      <c r="V509" s="15"/>
      <c r="W509" s="15"/>
      <c r="X509" s="15"/>
      <c r="Y509" s="15"/>
      <c r="Z509" s="15"/>
      <c r="AA509" s="15"/>
      <c r="AB509" s="15"/>
      <c r="AC509" s="15"/>
      <c r="AD509" s="15"/>
      <c r="AE509" s="15"/>
    </row>
    <row r="510" spans="1:31" x14ac:dyDescent="0.85">
      <c r="A510" s="15"/>
      <c r="B510" s="15"/>
      <c r="C510" s="15"/>
      <c r="D510" s="15"/>
      <c r="E510" s="15"/>
      <c r="F510" s="15"/>
      <c r="G510" s="15"/>
      <c r="H510" s="15"/>
      <c r="I510" s="15"/>
      <c r="J510" s="15"/>
      <c r="K510" s="15"/>
      <c r="L510" s="747"/>
      <c r="M510" s="15"/>
      <c r="N510" s="15"/>
      <c r="O510" s="15"/>
      <c r="P510" s="15"/>
      <c r="Q510" s="15"/>
      <c r="R510" s="15"/>
      <c r="S510" s="15"/>
      <c r="T510" s="15"/>
      <c r="U510" s="15"/>
      <c r="V510" s="15"/>
      <c r="W510" s="15"/>
      <c r="X510" s="15"/>
      <c r="Y510" s="15"/>
      <c r="Z510" s="15"/>
      <c r="AA510" s="15"/>
      <c r="AB510" s="15"/>
      <c r="AC510" s="15"/>
      <c r="AD510" s="15"/>
      <c r="AE510" s="15"/>
    </row>
    <row r="511" spans="1:31" x14ac:dyDescent="0.85">
      <c r="A511" s="15"/>
      <c r="B511" s="15"/>
      <c r="C511" s="15"/>
      <c r="D511" s="15"/>
      <c r="E511" s="15"/>
      <c r="F511" s="15"/>
      <c r="G511" s="15"/>
      <c r="H511" s="15"/>
      <c r="I511" s="15"/>
      <c r="J511" s="15"/>
      <c r="K511" s="15"/>
      <c r="L511" s="747"/>
      <c r="M511" s="15"/>
      <c r="N511" s="15"/>
      <c r="O511" s="15"/>
      <c r="P511" s="15"/>
      <c r="Q511" s="15"/>
      <c r="R511" s="15"/>
      <c r="S511" s="15"/>
      <c r="T511" s="15"/>
      <c r="U511" s="15"/>
      <c r="V511" s="15"/>
      <c r="W511" s="15"/>
      <c r="X511" s="15"/>
      <c r="Y511" s="15"/>
      <c r="Z511" s="15"/>
      <c r="AA511" s="15"/>
      <c r="AB511" s="15"/>
      <c r="AC511" s="15"/>
      <c r="AD511" s="15"/>
      <c r="AE511" s="15"/>
    </row>
    <row r="512" spans="1:31" x14ac:dyDescent="0.85">
      <c r="A512" s="15"/>
      <c r="B512" s="15"/>
      <c r="C512" s="15"/>
      <c r="D512" s="15"/>
      <c r="E512" s="15"/>
      <c r="F512" s="15"/>
      <c r="G512" s="15"/>
      <c r="H512" s="15"/>
      <c r="I512" s="15"/>
      <c r="J512" s="15"/>
      <c r="K512" s="15"/>
      <c r="L512" s="747"/>
      <c r="M512" s="15"/>
      <c r="N512" s="15"/>
      <c r="O512" s="15"/>
      <c r="P512" s="15"/>
      <c r="Q512" s="15"/>
      <c r="R512" s="15"/>
      <c r="S512" s="15"/>
      <c r="T512" s="15"/>
      <c r="U512" s="15"/>
      <c r="V512" s="15"/>
      <c r="W512" s="15"/>
      <c r="X512" s="15"/>
      <c r="Y512" s="15"/>
      <c r="Z512" s="15"/>
      <c r="AA512" s="15"/>
      <c r="AB512" s="15"/>
      <c r="AC512" s="15"/>
      <c r="AD512" s="15"/>
      <c r="AE512" s="15"/>
    </row>
    <row r="513" spans="1:31" x14ac:dyDescent="0.85">
      <c r="A513" s="15"/>
      <c r="B513" s="15"/>
      <c r="C513" s="15"/>
      <c r="D513" s="15"/>
      <c r="E513" s="15"/>
      <c r="F513" s="15"/>
      <c r="G513" s="15"/>
      <c r="H513" s="15"/>
      <c r="I513" s="15"/>
      <c r="J513" s="15"/>
      <c r="K513" s="15"/>
      <c r="L513" s="747"/>
      <c r="M513" s="15"/>
      <c r="N513" s="15"/>
      <c r="O513" s="15"/>
      <c r="P513" s="15"/>
      <c r="Q513" s="15"/>
      <c r="R513" s="15"/>
      <c r="S513" s="15"/>
      <c r="T513" s="15"/>
      <c r="U513" s="15"/>
      <c r="V513" s="15"/>
      <c r="W513" s="15"/>
      <c r="X513" s="15"/>
      <c r="Y513" s="15"/>
      <c r="Z513" s="15"/>
      <c r="AA513" s="15"/>
      <c r="AB513" s="15"/>
      <c r="AC513" s="15"/>
      <c r="AD513" s="15"/>
      <c r="AE513" s="15"/>
    </row>
    <row r="514" spans="1:31" x14ac:dyDescent="0.85">
      <c r="A514" s="15"/>
      <c r="B514" s="15"/>
      <c r="C514" s="15"/>
      <c r="D514" s="15"/>
      <c r="E514" s="15"/>
      <c r="F514" s="15"/>
      <c r="G514" s="15"/>
      <c r="H514" s="15"/>
      <c r="I514" s="15"/>
      <c r="J514" s="15"/>
      <c r="K514" s="15"/>
      <c r="L514" s="747"/>
      <c r="M514" s="15"/>
      <c r="N514" s="15"/>
      <c r="O514" s="15"/>
      <c r="P514" s="15"/>
      <c r="Q514" s="15"/>
      <c r="R514" s="15"/>
      <c r="S514" s="15"/>
      <c r="T514" s="15"/>
      <c r="U514" s="15"/>
      <c r="V514" s="15"/>
      <c r="W514" s="15"/>
      <c r="X514" s="15"/>
      <c r="Y514" s="15"/>
      <c r="Z514" s="15"/>
      <c r="AA514" s="15"/>
      <c r="AB514" s="15"/>
      <c r="AC514" s="15"/>
      <c r="AD514" s="15"/>
      <c r="AE514" s="15"/>
    </row>
    <row r="515" spans="1:31" x14ac:dyDescent="0.85">
      <c r="A515" s="15"/>
      <c r="B515" s="15"/>
      <c r="C515" s="15"/>
      <c r="D515" s="15"/>
      <c r="E515" s="15"/>
      <c r="F515" s="15"/>
      <c r="G515" s="15"/>
      <c r="H515" s="15"/>
      <c r="I515" s="15"/>
      <c r="J515" s="15"/>
      <c r="K515" s="15"/>
      <c r="L515" s="747"/>
      <c r="M515" s="15"/>
      <c r="N515" s="15"/>
      <c r="O515" s="15"/>
      <c r="P515" s="15"/>
      <c r="Q515" s="15"/>
      <c r="R515" s="15"/>
      <c r="S515" s="15"/>
      <c r="T515" s="15"/>
      <c r="U515" s="15"/>
      <c r="V515" s="15"/>
      <c r="W515" s="15"/>
      <c r="X515" s="15"/>
      <c r="Y515" s="15"/>
      <c r="Z515" s="15"/>
      <c r="AA515" s="15"/>
      <c r="AB515" s="15"/>
      <c r="AC515" s="15"/>
      <c r="AD515" s="15"/>
      <c r="AE515" s="15"/>
    </row>
    <row r="516" spans="1:31" x14ac:dyDescent="0.85">
      <c r="A516" s="15"/>
      <c r="B516" s="15"/>
      <c r="C516" s="15"/>
      <c r="D516" s="15"/>
      <c r="E516" s="15"/>
      <c r="F516" s="15"/>
      <c r="G516" s="15"/>
      <c r="H516" s="15"/>
      <c r="I516" s="15"/>
      <c r="J516" s="15"/>
      <c r="K516" s="15"/>
      <c r="L516" s="747"/>
      <c r="M516" s="15"/>
      <c r="N516" s="15"/>
      <c r="O516" s="15"/>
      <c r="P516" s="15"/>
      <c r="Q516" s="15"/>
      <c r="R516" s="15"/>
      <c r="S516" s="15"/>
      <c r="T516" s="15"/>
      <c r="U516" s="15"/>
      <c r="V516" s="15"/>
      <c r="W516" s="15"/>
      <c r="X516" s="15"/>
      <c r="Y516" s="15"/>
      <c r="Z516" s="15"/>
      <c r="AA516" s="15"/>
      <c r="AB516" s="15"/>
      <c r="AC516" s="15"/>
      <c r="AD516" s="15"/>
      <c r="AE516" s="15"/>
    </row>
    <row r="517" spans="1:31" x14ac:dyDescent="0.85">
      <c r="A517" s="15"/>
      <c r="B517" s="15"/>
      <c r="C517" s="15"/>
      <c r="D517" s="15"/>
      <c r="E517" s="15"/>
      <c r="F517" s="15"/>
      <c r="G517" s="15"/>
      <c r="H517" s="15"/>
      <c r="I517" s="15"/>
      <c r="J517" s="15"/>
      <c r="K517" s="15"/>
      <c r="L517" s="747"/>
      <c r="M517" s="15"/>
      <c r="N517" s="15"/>
      <c r="O517" s="15"/>
      <c r="P517" s="15"/>
      <c r="Q517" s="15"/>
      <c r="R517" s="15"/>
      <c r="S517" s="15"/>
      <c r="T517" s="15"/>
      <c r="U517" s="15"/>
      <c r="V517" s="15"/>
      <c r="W517" s="15"/>
      <c r="X517" s="15"/>
      <c r="Y517" s="15"/>
      <c r="Z517" s="15"/>
      <c r="AA517" s="15"/>
      <c r="AB517" s="15"/>
      <c r="AC517" s="15"/>
      <c r="AD517" s="15"/>
      <c r="AE517" s="15"/>
    </row>
    <row r="518" spans="1:31" x14ac:dyDescent="0.85">
      <c r="A518" s="15"/>
      <c r="B518" s="15"/>
      <c r="C518" s="15"/>
      <c r="D518" s="15"/>
      <c r="E518" s="15"/>
      <c r="F518" s="15"/>
      <c r="G518" s="15"/>
      <c r="H518" s="15"/>
      <c r="I518" s="15"/>
      <c r="J518" s="15"/>
      <c r="K518" s="15"/>
      <c r="L518" s="747"/>
      <c r="M518" s="15"/>
      <c r="N518" s="15"/>
      <c r="O518" s="15"/>
      <c r="P518" s="15"/>
      <c r="Q518" s="15"/>
      <c r="R518" s="15"/>
      <c r="S518" s="15"/>
      <c r="T518" s="15"/>
      <c r="U518" s="15"/>
      <c r="V518" s="15"/>
      <c r="W518" s="15"/>
      <c r="X518" s="15"/>
      <c r="Y518" s="15"/>
      <c r="Z518" s="15"/>
      <c r="AA518" s="15"/>
      <c r="AB518" s="15"/>
      <c r="AC518" s="15"/>
      <c r="AD518" s="15"/>
      <c r="AE518" s="15"/>
    </row>
    <row r="519" spans="1:31" x14ac:dyDescent="0.85">
      <c r="A519" s="15"/>
      <c r="B519" s="15"/>
      <c r="C519" s="15"/>
      <c r="D519" s="15"/>
      <c r="E519" s="15"/>
      <c r="F519" s="15"/>
      <c r="G519" s="15"/>
      <c r="H519" s="15"/>
      <c r="I519" s="15"/>
      <c r="J519" s="15"/>
      <c r="K519" s="15"/>
      <c r="L519" s="747"/>
      <c r="M519" s="15"/>
      <c r="N519" s="15"/>
      <c r="O519" s="15"/>
      <c r="P519" s="15"/>
      <c r="Q519" s="15"/>
      <c r="R519" s="15"/>
      <c r="S519" s="15"/>
      <c r="T519" s="15"/>
      <c r="U519" s="15"/>
      <c r="V519" s="15"/>
      <c r="W519" s="15"/>
      <c r="X519" s="15"/>
      <c r="Y519" s="15"/>
      <c r="Z519" s="15"/>
      <c r="AA519" s="15"/>
      <c r="AB519" s="15"/>
      <c r="AC519" s="15"/>
      <c r="AD519" s="15"/>
      <c r="AE519" s="15"/>
    </row>
    <row r="520" spans="1:31" x14ac:dyDescent="0.85">
      <c r="A520" s="15"/>
      <c r="B520" s="15"/>
      <c r="C520" s="15"/>
      <c r="D520" s="15"/>
      <c r="E520" s="15"/>
      <c r="F520" s="15"/>
      <c r="G520" s="15"/>
      <c r="H520" s="15"/>
      <c r="I520" s="15"/>
      <c r="J520" s="15"/>
      <c r="K520" s="15"/>
      <c r="L520" s="747"/>
      <c r="M520" s="15"/>
      <c r="N520" s="15"/>
      <c r="O520" s="15"/>
      <c r="P520" s="15"/>
      <c r="Q520" s="15"/>
      <c r="R520" s="15"/>
      <c r="S520" s="15"/>
      <c r="T520" s="15"/>
      <c r="U520" s="15"/>
      <c r="V520" s="15"/>
      <c r="W520" s="15"/>
      <c r="X520" s="15"/>
      <c r="Y520" s="15"/>
      <c r="Z520" s="15"/>
      <c r="AA520" s="15"/>
      <c r="AB520" s="15"/>
      <c r="AC520" s="15"/>
      <c r="AD520" s="15"/>
      <c r="AE520" s="15"/>
    </row>
    <row r="521" spans="1:31" x14ac:dyDescent="0.85">
      <c r="A521" s="15"/>
      <c r="B521" s="15"/>
      <c r="C521" s="15"/>
      <c r="D521" s="15"/>
      <c r="E521" s="15"/>
      <c r="F521" s="15"/>
      <c r="G521" s="15"/>
      <c r="H521" s="15"/>
      <c r="I521" s="15"/>
      <c r="J521" s="15"/>
      <c r="K521" s="15"/>
      <c r="L521" s="747"/>
      <c r="M521" s="15"/>
      <c r="N521" s="15"/>
      <c r="O521" s="15"/>
      <c r="P521" s="15"/>
      <c r="Q521" s="15"/>
      <c r="R521" s="15"/>
      <c r="S521" s="15"/>
      <c r="T521" s="15"/>
      <c r="U521" s="15"/>
      <c r="V521" s="15"/>
      <c r="W521" s="15"/>
      <c r="X521" s="15"/>
      <c r="Y521" s="15"/>
      <c r="Z521" s="15"/>
      <c r="AA521" s="15"/>
      <c r="AB521" s="15"/>
      <c r="AC521" s="15"/>
      <c r="AD521" s="15"/>
      <c r="AE521" s="15"/>
    </row>
    <row r="522" spans="1:31" x14ac:dyDescent="0.85">
      <c r="A522" s="15"/>
      <c r="B522" s="15"/>
      <c r="C522" s="15"/>
      <c r="D522" s="15"/>
      <c r="E522" s="15"/>
      <c r="F522" s="15"/>
      <c r="G522" s="15"/>
      <c r="H522" s="15"/>
      <c r="I522" s="15"/>
      <c r="J522" s="15"/>
      <c r="K522" s="15"/>
      <c r="L522" s="747"/>
      <c r="M522" s="15"/>
      <c r="N522" s="15"/>
      <c r="O522" s="15"/>
      <c r="P522" s="15"/>
      <c r="Q522" s="15"/>
      <c r="R522" s="15"/>
      <c r="S522" s="15"/>
      <c r="T522" s="15"/>
      <c r="U522" s="15"/>
      <c r="V522" s="15"/>
      <c r="W522" s="15"/>
      <c r="X522" s="15"/>
      <c r="Y522" s="15"/>
      <c r="Z522" s="15"/>
      <c r="AA522" s="15"/>
      <c r="AB522" s="15"/>
      <c r="AC522" s="15"/>
      <c r="AD522" s="15"/>
      <c r="AE522" s="15"/>
    </row>
    <row r="523" spans="1:31" x14ac:dyDescent="0.85">
      <c r="A523" s="15"/>
      <c r="B523" s="15"/>
      <c r="C523" s="15"/>
      <c r="D523" s="15"/>
      <c r="E523" s="15"/>
      <c r="F523" s="15"/>
      <c r="G523" s="15"/>
      <c r="H523" s="15"/>
      <c r="I523" s="15"/>
      <c r="J523" s="15"/>
      <c r="K523" s="15"/>
      <c r="L523" s="747"/>
      <c r="M523" s="15"/>
      <c r="N523" s="15"/>
      <c r="O523" s="15"/>
      <c r="P523" s="15"/>
      <c r="Q523" s="15"/>
      <c r="R523" s="15"/>
      <c r="S523" s="15"/>
      <c r="T523" s="15"/>
      <c r="U523" s="15"/>
      <c r="V523" s="15"/>
      <c r="W523" s="15"/>
      <c r="X523" s="15"/>
      <c r="Y523" s="15"/>
      <c r="Z523" s="15"/>
      <c r="AA523" s="15"/>
      <c r="AB523" s="15"/>
      <c r="AC523" s="15"/>
      <c r="AD523" s="15"/>
      <c r="AE523" s="15"/>
    </row>
    <row r="524" spans="1:31" x14ac:dyDescent="0.85">
      <c r="A524" s="15"/>
      <c r="B524" s="15"/>
      <c r="C524" s="15"/>
      <c r="D524" s="15"/>
      <c r="E524" s="15"/>
      <c r="F524" s="15"/>
      <c r="G524" s="15"/>
      <c r="H524" s="15"/>
      <c r="I524" s="15"/>
      <c r="J524" s="15"/>
      <c r="K524" s="15"/>
      <c r="L524" s="747"/>
      <c r="M524" s="15"/>
      <c r="N524" s="15"/>
      <c r="O524" s="15"/>
      <c r="P524" s="15"/>
      <c r="Q524" s="15"/>
      <c r="R524" s="15"/>
      <c r="S524" s="15"/>
      <c r="T524" s="15"/>
      <c r="U524" s="15"/>
      <c r="V524" s="15"/>
      <c r="W524" s="15"/>
      <c r="X524" s="15"/>
      <c r="Y524" s="15"/>
      <c r="Z524" s="15"/>
      <c r="AA524" s="15"/>
      <c r="AB524" s="15"/>
      <c r="AC524" s="15"/>
      <c r="AD524" s="15"/>
      <c r="AE524" s="15"/>
    </row>
    <row r="525" spans="1:31" x14ac:dyDescent="0.85">
      <c r="A525" s="15"/>
      <c r="B525" s="15"/>
      <c r="C525" s="15"/>
      <c r="D525" s="15"/>
      <c r="E525" s="15"/>
      <c r="F525" s="15"/>
      <c r="G525" s="15"/>
      <c r="H525" s="15"/>
      <c r="I525" s="15"/>
      <c r="J525" s="15"/>
      <c r="K525" s="15"/>
      <c r="L525" s="747"/>
      <c r="M525" s="15"/>
      <c r="N525" s="15"/>
      <c r="O525" s="15"/>
      <c r="P525" s="15"/>
      <c r="Q525" s="15"/>
      <c r="R525" s="15"/>
      <c r="S525" s="15"/>
      <c r="T525" s="15"/>
      <c r="U525" s="15"/>
      <c r="V525" s="15"/>
      <c r="W525" s="15"/>
      <c r="X525" s="15"/>
      <c r="Y525" s="15"/>
      <c r="Z525" s="15"/>
      <c r="AA525" s="15"/>
      <c r="AB525" s="15"/>
      <c r="AC525" s="15"/>
      <c r="AD525" s="15"/>
      <c r="AE525" s="15"/>
    </row>
    <row r="526" spans="1:31" x14ac:dyDescent="0.85">
      <c r="A526" s="15"/>
      <c r="B526" s="15"/>
      <c r="C526" s="15"/>
      <c r="D526" s="15"/>
      <c r="E526" s="15"/>
      <c r="F526" s="15"/>
      <c r="G526" s="15"/>
      <c r="H526" s="15"/>
      <c r="I526" s="15"/>
      <c r="J526" s="15"/>
      <c r="K526" s="15"/>
      <c r="L526" s="747"/>
      <c r="M526" s="15"/>
      <c r="N526" s="15"/>
      <c r="O526" s="15"/>
      <c r="P526" s="15"/>
      <c r="Q526" s="15"/>
      <c r="R526" s="15"/>
      <c r="S526" s="15"/>
      <c r="T526" s="15"/>
      <c r="U526" s="15"/>
      <c r="V526" s="15"/>
      <c r="W526" s="15"/>
      <c r="X526" s="15"/>
      <c r="Y526" s="15"/>
      <c r="Z526" s="15"/>
      <c r="AA526" s="15"/>
      <c r="AB526" s="15"/>
      <c r="AC526" s="15"/>
      <c r="AD526" s="15"/>
      <c r="AE526" s="15"/>
    </row>
    <row r="527" spans="1:31" x14ac:dyDescent="0.85">
      <c r="A527" s="15"/>
      <c r="B527" s="15"/>
      <c r="C527" s="15"/>
      <c r="D527" s="15"/>
      <c r="E527" s="15"/>
      <c r="F527" s="15"/>
      <c r="G527" s="15"/>
      <c r="H527" s="15"/>
      <c r="I527" s="15"/>
      <c r="J527" s="15"/>
      <c r="K527" s="15"/>
      <c r="L527" s="747"/>
      <c r="M527" s="15"/>
      <c r="N527" s="15"/>
      <c r="O527" s="15"/>
      <c r="P527" s="15"/>
      <c r="Q527" s="15"/>
      <c r="R527" s="15"/>
      <c r="S527" s="15"/>
      <c r="T527" s="15"/>
      <c r="U527" s="15"/>
      <c r="V527" s="15"/>
      <c r="W527" s="15"/>
      <c r="X527" s="15"/>
      <c r="Y527" s="15"/>
      <c r="Z527" s="15"/>
      <c r="AA527" s="15"/>
      <c r="AB527" s="15"/>
      <c r="AC527" s="15"/>
      <c r="AD527" s="15"/>
      <c r="AE527" s="15"/>
    </row>
    <row r="528" spans="1:31" x14ac:dyDescent="0.85">
      <c r="A528" s="15"/>
      <c r="B528" s="15"/>
      <c r="C528" s="15"/>
      <c r="D528" s="15"/>
      <c r="E528" s="15"/>
      <c r="F528" s="15"/>
      <c r="G528" s="15"/>
      <c r="H528" s="15"/>
      <c r="I528" s="15"/>
      <c r="J528" s="15"/>
      <c r="K528" s="15"/>
      <c r="L528" s="747"/>
      <c r="M528" s="15"/>
      <c r="N528" s="15"/>
      <c r="O528" s="15"/>
      <c r="P528" s="15"/>
      <c r="Q528" s="15"/>
      <c r="R528" s="15"/>
      <c r="S528" s="15"/>
      <c r="T528" s="15"/>
      <c r="U528" s="15"/>
      <c r="V528" s="15"/>
      <c r="W528" s="15"/>
      <c r="X528" s="15"/>
      <c r="Y528" s="15"/>
      <c r="Z528" s="15"/>
      <c r="AA528" s="15"/>
      <c r="AB528" s="15"/>
      <c r="AC528" s="15"/>
      <c r="AD528" s="15"/>
      <c r="AE528" s="15"/>
    </row>
    <row r="529" spans="1:31" x14ac:dyDescent="0.85">
      <c r="A529" s="15"/>
      <c r="B529" s="15"/>
      <c r="C529" s="15"/>
      <c r="D529" s="15"/>
      <c r="E529" s="15"/>
      <c r="F529" s="15"/>
      <c r="G529" s="15"/>
      <c r="H529" s="15"/>
      <c r="I529" s="15"/>
      <c r="J529" s="15"/>
      <c r="K529" s="15"/>
      <c r="L529" s="747"/>
      <c r="M529" s="15"/>
      <c r="N529" s="15"/>
      <c r="O529" s="15"/>
      <c r="P529" s="15"/>
      <c r="Q529" s="15"/>
      <c r="R529" s="15"/>
      <c r="S529" s="15"/>
      <c r="T529" s="15"/>
      <c r="U529" s="15"/>
      <c r="V529" s="15"/>
      <c r="W529" s="15"/>
      <c r="X529" s="15"/>
      <c r="Y529" s="15"/>
      <c r="Z529" s="15"/>
      <c r="AA529" s="15"/>
      <c r="AB529" s="15"/>
      <c r="AC529" s="15"/>
      <c r="AD529" s="15"/>
      <c r="AE529" s="15"/>
    </row>
    <row r="530" spans="1:31" x14ac:dyDescent="0.85">
      <c r="A530" s="15"/>
      <c r="B530" s="15"/>
      <c r="C530" s="15"/>
      <c r="D530" s="15"/>
      <c r="E530" s="15"/>
      <c r="F530" s="15"/>
      <c r="G530" s="15"/>
      <c r="H530" s="15"/>
      <c r="I530" s="15"/>
      <c r="J530" s="15"/>
      <c r="K530" s="15"/>
      <c r="L530" s="747"/>
      <c r="M530" s="15"/>
      <c r="N530" s="15"/>
      <c r="O530" s="15"/>
      <c r="P530" s="15"/>
      <c r="Q530" s="15"/>
      <c r="R530" s="15"/>
      <c r="S530" s="15"/>
      <c r="T530" s="15"/>
      <c r="U530" s="15"/>
      <c r="V530" s="15"/>
      <c r="W530" s="15"/>
      <c r="X530" s="15"/>
      <c r="Y530" s="15"/>
      <c r="Z530" s="15"/>
      <c r="AA530" s="15"/>
      <c r="AB530" s="15"/>
      <c r="AC530" s="15"/>
      <c r="AD530" s="15"/>
      <c r="AE530" s="15"/>
    </row>
    <row r="531" spans="1:31" x14ac:dyDescent="0.85">
      <c r="A531" s="15"/>
      <c r="B531" s="15"/>
      <c r="C531" s="15"/>
      <c r="D531" s="15"/>
      <c r="E531" s="15"/>
      <c r="F531" s="15"/>
      <c r="G531" s="15"/>
      <c r="H531" s="15"/>
      <c r="I531" s="15"/>
      <c r="J531" s="15"/>
      <c r="K531" s="15"/>
      <c r="L531" s="747"/>
      <c r="M531" s="15"/>
      <c r="N531" s="15"/>
      <c r="O531" s="15"/>
      <c r="P531" s="15"/>
      <c r="Q531" s="15"/>
      <c r="R531" s="15"/>
      <c r="S531" s="15"/>
      <c r="T531" s="15"/>
      <c r="U531" s="15"/>
      <c r="V531" s="15"/>
      <c r="W531" s="15"/>
      <c r="X531" s="15"/>
      <c r="Y531" s="15"/>
      <c r="Z531" s="15"/>
      <c r="AA531" s="15"/>
      <c r="AB531" s="15"/>
      <c r="AC531" s="15"/>
      <c r="AD531" s="15"/>
      <c r="AE531" s="15"/>
    </row>
    <row r="532" spans="1:31" x14ac:dyDescent="0.85">
      <c r="A532" s="15"/>
      <c r="B532" s="15"/>
      <c r="C532" s="15"/>
      <c r="D532" s="15"/>
      <c r="E532" s="15"/>
      <c r="F532" s="15"/>
      <c r="G532" s="15"/>
      <c r="H532" s="15"/>
      <c r="I532" s="15"/>
      <c r="J532" s="15"/>
      <c r="K532" s="15"/>
      <c r="L532" s="747"/>
      <c r="M532" s="15"/>
      <c r="N532" s="15"/>
      <c r="O532" s="15"/>
      <c r="P532" s="15"/>
      <c r="Q532" s="15"/>
      <c r="R532" s="15"/>
      <c r="S532" s="15"/>
      <c r="T532" s="15"/>
      <c r="U532" s="15"/>
      <c r="V532" s="15"/>
      <c r="W532" s="15"/>
      <c r="X532" s="15"/>
      <c r="Y532" s="15"/>
      <c r="Z532" s="15"/>
      <c r="AA532" s="15"/>
      <c r="AB532" s="15"/>
      <c r="AC532" s="15"/>
      <c r="AD532" s="15"/>
      <c r="AE532" s="15"/>
    </row>
    <row r="533" spans="1:31" x14ac:dyDescent="0.85">
      <c r="A533" s="15"/>
      <c r="B533" s="15"/>
      <c r="C533" s="15"/>
      <c r="D533" s="15"/>
      <c r="E533" s="15"/>
      <c r="F533" s="15"/>
      <c r="G533" s="15"/>
      <c r="H533" s="15"/>
      <c r="I533" s="15"/>
      <c r="J533" s="15"/>
      <c r="K533" s="15"/>
      <c r="L533" s="747"/>
      <c r="M533" s="15"/>
      <c r="N533" s="15"/>
      <c r="O533" s="15"/>
      <c r="P533" s="15"/>
      <c r="Q533" s="15"/>
      <c r="R533" s="15"/>
      <c r="S533" s="15"/>
      <c r="T533" s="15"/>
      <c r="U533" s="15"/>
      <c r="V533" s="15"/>
      <c r="W533" s="15"/>
      <c r="X533" s="15"/>
      <c r="Y533" s="15"/>
      <c r="Z533" s="15"/>
      <c r="AA533" s="15"/>
      <c r="AB533" s="15"/>
      <c r="AC533" s="15"/>
      <c r="AD533" s="15"/>
      <c r="AE533" s="15"/>
    </row>
    <row r="534" spans="1:31" x14ac:dyDescent="0.85">
      <c r="A534" s="15"/>
      <c r="B534" s="15"/>
      <c r="C534" s="15"/>
      <c r="D534" s="15"/>
      <c r="E534" s="15"/>
      <c r="F534" s="15"/>
      <c r="G534" s="15"/>
      <c r="H534" s="15"/>
      <c r="I534" s="15"/>
      <c r="J534" s="15"/>
      <c r="K534" s="15"/>
      <c r="L534" s="747"/>
      <c r="M534" s="15"/>
      <c r="N534" s="15"/>
      <c r="O534" s="15"/>
      <c r="P534" s="15"/>
      <c r="Q534" s="15"/>
      <c r="R534" s="15"/>
      <c r="S534" s="15"/>
      <c r="T534" s="15"/>
      <c r="U534" s="15"/>
      <c r="V534" s="15"/>
      <c r="W534" s="15"/>
      <c r="X534" s="15"/>
      <c r="Y534" s="15"/>
      <c r="Z534" s="15"/>
      <c r="AA534" s="15"/>
      <c r="AB534" s="15"/>
      <c r="AC534" s="15"/>
      <c r="AD534" s="15"/>
      <c r="AE534" s="15"/>
    </row>
    <row r="535" spans="1:31" x14ac:dyDescent="0.85">
      <c r="A535" s="15"/>
      <c r="B535" s="15"/>
      <c r="C535" s="15"/>
      <c r="D535" s="15"/>
      <c r="E535" s="15"/>
      <c r="F535" s="15"/>
      <c r="G535" s="15"/>
      <c r="H535" s="15"/>
      <c r="I535" s="15"/>
      <c r="J535" s="15"/>
      <c r="K535" s="15"/>
      <c r="L535" s="747"/>
      <c r="M535" s="15"/>
      <c r="N535" s="15"/>
      <c r="O535" s="15"/>
      <c r="P535" s="15"/>
      <c r="Q535" s="15"/>
      <c r="R535" s="15"/>
      <c r="S535" s="15"/>
      <c r="T535" s="15"/>
      <c r="U535" s="15"/>
      <c r="V535" s="15"/>
      <c r="W535" s="15"/>
      <c r="X535" s="15"/>
      <c r="Y535" s="15"/>
      <c r="Z535" s="15"/>
      <c r="AA535" s="15"/>
      <c r="AB535" s="15"/>
      <c r="AC535" s="15"/>
      <c r="AD535" s="15"/>
      <c r="AE535" s="15"/>
    </row>
    <row r="536" spans="1:31" x14ac:dyDescent="0.85">
      <c r="A536" s="15"/>
      <c r="B536" s="15"/>
      <c r="C536" s="15"/>
      <c r="D536" s="15"/>
      <c r="E536" s="15"/>
      <c r="F536" s="15"/>
      <c r="G536" s="15"/>
      <c r="H536" s="15"/>
      <c r="I536" s="15"/>
      <c r="J536" s="15"/>
      <c r="K536" s="15"/>
      <c r="L536" s="747"/>
      <c r="M536" s="15"/>
      <c r="N536" s="15"/>
      <c r="O536" s="15"/>
      <c r="P536" s="15"/>
      <c r="Q536" s="15"/>
      <c r="R536" s="15"/>
      <c r="S536" s="15"/>
      <c r="T536" s="15"/>
      <c r="U536" s="15"/>
      <c r="V536" s="15"/>
      <c r="W536" s="15"/>
      <c r="X536" s="15"/>
      <c r="Y536" s="15"/>
      <c r="Z536" s="15"/>
      <c r="AA536" s="15"/>
      <c r="AB536" s="15"/>
      <c r="AC536" s="15"/>
      <c r="AD536" s="15"/>
      <c r="AE536" s="15"/>
    </row>
    <row r="537" spans="1:31" x14ac:dyDescent="0.85">
      <c r="A537" s="15"/>
      <c r="B537" s="15"/>
      <c r="C537" s="15"/>
      <c r="D537" s="15"/>
      <c r="E537" s="15"/>
      <c r="F537" s="15"/>
      <c r="G537" s="15"/>
      <c r="H537" s="15"/>
      <c r="I537" s="15"/>
      <c r="J537" s="15"/>
      <c r="K537" s="15"/>
      <c r="L537" s="747"/>
      <c r="M537" s="15"/>
      <c r="N537" s="15"/>
      <c r="O537" s="15"/>
      <c r="P537" s="15"/>
      <c r="Q537" s="15"/>
      <c r="R537" s="15"/>
      <c r="S537" s="15"/>
      <c r="T537" s="15"/>
      <c r="U537" s="15"/>
      <c r="V537" s="15"/>
      <c r="W537" s="15"/>
      <c r="X537" s="15"/>
      <c r="Y537" s="15"/>
      <c r="Z537" s="15"/>
      <c r="AA537" s="15"/>
      <c r="AB537" s="15"/>
      <c r="AC537" s="15"/>
      <c r="AD537" s="15"/>
      <c r="AE537" s="15"/>
    </row>
    <row r="538" spans="1:31" x14ac:dyDescent="0.85">
      <c r="A538" s="15"/>
      <c r="B538" s="15"/>
      <c r="C538" s="15"/>
      <c r="D538" s="15"/>
      <c r="E538" s="15"/>
      <c r="F538" s="15"/>
      <c r="G538" s="15"/>
      <c r="H538" s="15"/>
      <c r="I538" s="15"/>
      <c r="J538" s="15"/>
      <c r="K538" s="15"/>
      <c r="L538" s="747"/>
      <c r="M538" s="15"/>
      <c r="N538" s="15"/>
      <c r="O538" s="15"/>
      <c r="P538" s="15"/>
      <c r="Q538" s="15"/>
      <c r="R538" s="15"/>
      <c r="S538" s="15"/>
      <c r="T538" s="15"/>
      <c r="U538" s="15"/>
      <c r="V538" s="15"/>
      <c r="W538" s="15"/>
      <c r="X538" s="15"/>
      <c r="Y538" s="15"/>
      <c r="Z538" s="15"/>
      <c r="AA538" s="15"/>
      <c r="AB538" s="15"/>
      <c r="AC538" s="15"/>
      <c r="AD538" s="15"/>
      <c r="AE538" s="15"/>
    </row>
    <row r="539" spans="1:31" x14ac:dyDescent="0.85">
      <c r="A539" s="15"/>
      <c r="B539" s="15"/>
      <c r="C539" s="15"/>
      <c r="D539" s="15"/>
      <c r="E539" s="15"/>
      <c r="F539" s="15"/>
      <c r="G539" s="15"/>
      <c r="H539" s="15"/>
      <c r="I539" s="15"/>
      <c r="J539" s="15"/>
      <c r="K539" s="15"/>
      <c r="L539" s="747"/>
      <c r="M539" s="15"/>
      <c r="N539" s="15"/>
      <c r="O539" s="15"/>
      <c r="P539" s="15"/>
      <c r="Q539" s="15"/>
      <c r="R539" s="15"/>
      <c r="S539" s="15"/>
      <c r="T539" s="15"/>
      <c r="U539" s="15"/>
      <c r="V539" s="15"/>
      <c r="W539" s="15"/>
      <c r="X539" s="15"/>
      <c r="Y539" s="15"/>
      <c r="Z539" s="15"/>
      <c r="AA539" s="15"/>
      <c r="AB539" s="15"/>
      <c r="AC539" s="15"/>
      <c r="AD539" s="15"/>
      <c r="AE539" s="15"/>
    </row>
    <row r="540" spans="1:31" x14ac:dyDescent="0.85">
      <c r="A540" s="15"/>
      <c r="B540" s="15"/>
      <c r="C540" s="15"/>
      <c r="D540" s="15"/>
      <c r="E540" s="15"/>
      <c r="F540" s="15"/>
      <c r="G540" s="15"/>
      <c r="H540" s="15"/>
      <c r="I540" s="15"/>
      <c r="J540" s="15"/>
      <c r="K540" s="15"/>
      <c r="L540" s="747"/>
      <c r="M540" s="15"/>
      <c r="N540" s="15"/>
      <c r="O540" s="15"/>
      <c r="P540" s="15"/>
      <c r="Q540" s="15"/>
      <c r="R540" s="15"/>
      <c r="S540" s="15"/>
      <c r="T540" s="15"/>
      <c r="U540" s="15"/>
      <c r="V540" s="15"/>
      <c r="W540" s="15"/>
      <c r="X540" s="15"/>
      <c r="Y540" s="15"/>
      <c r="Z540" s="15"/>
      <c r="AA540" s="15"/>
      <c r="AB540" s="15"/>
      <c r="AC540" s="15"/>
      <c r="AD540" s="15"/>
      <c r="AE540" s="15"/>
    </row>
    <row r="541" spans="1:31" x14ac:dyDescent="0.85">
      <c r="A541" s="15"/>
      <c r="B541" s="15"/>
      <c r="C541" s="15"/>
      <c r="D541" s="15"/>
      <c r="E541" s="15"/>
      <c r="F541" s="15"/>
      <c r="G541" s="15"/>
      <c r="H541" s="15"/>
      <c r="I541" s="15"/>
      <c r="J541" s="15"/>
      <c r="K541" s="15"/>
      <c r="L541" s="747"/>
      <c r="M541" s="15"/>
      <c r="N541" s="15"/>
      <c r="O541" s="15"/>
      <c r="P541" s="15"/>
      <c r="Q541" s="15"/>
      <c r="R541" s="15"/>
      <c r="S541" s="15"/>
      <c r="T541" s="15"/>
      <c r="U541" s="15"/>
      <c r="V541" s="15"/>
      <c r="W541" s="15"/>
      <c r="X541" s="15"/>
      <c r="Y541" s="15"/>
      <c r="Z541" s="15"/>
      <c r="AA541" s="15"/>
      <c r="AB541" s="15"/>
      <c r="AC541" s="15"/>
      <c r="AD541" s="15"/>
      <c r="AE541" s="15"/>
    </row>
    <row r="542" spans="1:31" x14ac:dyDescent="0.85">
      <c r="A542" s="15"/>
      <c r="B542" s="15"/>
      <c r="C542" s="15"/>
      <c r="D542" s="15"/>
      <c r="E542" s="15"/>
      <c r="F542" s="15"/>
      <c r="G542" s="15"/>
      <c r="H542" s="15"/>
      <c r="I542" s="15"/>
      <c r="J542" s="15"/>
      <c r="K542" s="15"/>
      <c r="L542" s="747"/>
      <c r="M542" s="15"/>
      <c r="N542" s="15"/>
      <c r="O542" s="15"/>
      <c r="P542" s="15"/>
      <c r="Q542" s="15"/>
      <c r="R542" s="15"/>
      <c r="S542" s="15"/>
      <c r="T542" s="15"/>
      <c r="U542" s="15"/>
      <c r="V542" s="15"/>
      <c r="W542" s="15"/>
      <c r="X542" s="15"/>
      <c r="Y542" s="15"/>
      <c r="Z542" s="15"/>
      <c r="AA542" s="15"/>
      <c r="AB542" s="15"/>
      <c r="AC542" s="15"/>
      <c r="AD542" s="15"/>
      <c r="AE542" s="15"/>
    </row>
    <row r="543" spans="1:31" x14ac:dyDescent="0.85">
      <c r="A543" s="15"/>
      <c r="B543" s="15"/>
      <c r="C543" s="15"/>
      <c r="D543" s="15"/>
      <c r="E543" s="15"/>
      <c r="F543" s="15"/>
      <c r="G543" s="15"/>
      <c r="H543" s="15"/>
      <c r="I543" s="15"/>
      <c r="J543" s="15"/>
      <c r="K543" s="15"/>
      <c r="L543" s="747"/>
      <c r="M543" s="15"/>
      <c r="N543" s="15"/>
      <c r="O543" s="15"/>
      <c r="P543" s="15"/>
      <c r="Q543" s="15"/>
      <c r="R543" s="15"/>
      <c r="S543" s="15"/>
      <c r="T543" s="15"/>
      <c r="U543" s="15"/>
      <c r="V543" s="15"/>
      <c r="W543" s="15"/>
      <c r="X543" s="15"/>
      <c r="Y543" s="15"/>
      <c r="Z543" s="15"/>
      <c r="AA543" s="15"/>
      <c r="AB543" s="15"/>
      <c r="AC543" s="15"/>
      <c r="AD543" s="15"/>
      <c r="AE543" s="15"/>
    </row>
    <row r="544" spans="1:31" x14ac:dyDescent="0.85">
      <c r="A544" s="15"/>
      <c r="B544" s="15"/>
      <c r="C544" s="15"/>
      <c r="D544" s="15"/>
      <c r="E544" s="15"/>
      <c r="F544" s="15"/>
      <c r="G544" s="15"/>
      <c r="H544" s="15"/>
      <c r="I544" s="15"/>
      <c r="J544" s="15"/>
      <c r="K544" s="15"/>
      <c r="L544" s="747"/>
      <c r="M544" s="15"/>
      <c r="N544" s="15"/>
      <c r="O544" s="15"/>
      <c r="P544" s="15"/>
      <c r="Q544" s="15"/>
      <c r="R544" s="15"/>
      <c r="S544" s="15"/>
      <c r="T544" s="15"/>
      <c r="U544" s="15"/>
      <c r="V544" s="15"/>
      <c r="W544" s="15"/>
      <c r="X544" s="15"/>
      <c r="Y544" s="15"/>
      <c r="Z544" s="15"/>
      <c r="AA544" s="15"/>
      <c r="AB544" s="15"/>
      <c r="AC544" s="15"/>
      <c r="AD544" s="15"/>
      <c r="AE544" s="15"/>
    </row>
    <row r="545" spans="1:31" x14ac:dyDescent="0.85">
      <c r="A545" s="15"/>
      <c r="B545" s="15"/>
      <c r="C545" s="15"/>
      <c r="D545" s="15"/>
      <c r="E545" s="15"/>
      <c r="F545" s="15"/>
      <c r="G545" s="15"/>
      <c r="H545" s="15"/>
      <c r="I545" s="15"/>
      <c r="J545" s="15"/>
      <c r="K545" s="15"/>
      <c r="L545" s="747"/>
      <c r="M545" s="15"/>
      <c r="N545" s="15"/>
      <c r="O545" s="15"/>
      <c r="P545" s="15"/>
      <c r="Q545" s="15"/>
      <c r="R545" s="15"/>
      <c r="S545" s="15"/>
      <c r="T545" s="15"/>
      <c r="U545" s="15"/>
      <c r="V545" s="15"/>
      <c r="W545" s="15"/>
      <c r="X545" s="15"/>
      <c r="Y545" s="15"/>
      <c r="Z545" s="15"/>
      <c r="AA545" s="15"/>
      <c r="AB545" s="15"/>
      <c r="AC545" s="15"/>
      <c r="AD545" s="15"/>
      <c r="AE545" s="15"/>
    </row>
    <row r="546" spans="1:31" x14ac:dyDescent="0.85">
      <c r="A546" s="15"/>
      <c r="B546" s="15"/>
      <c r="C546" s="15"/>
      <c r="D546" s="15"/>
      <c r="E546" s="15"/>
      <c r="F546" s="15"/>
      <c r="G546" s="15"/>
      <c r="H546" s="15"/>
      <c r="I546" s="15"/>
      <c r="J546" s="15"/>
      <c r="K546" s="15"/>
      <c r="L546" s="747"/>
      <c r="M546" s="15"/>
      <c r="N546" s="15"/>
      <c r="O546" s="15"/>
      <c r="P546" s="15"/>
      <c r="Q546" s="15"/>
      <c r="R546" s="15"/>
      <c r="S546" s="15"/>
      <c r="T546" s="15"/>
      <c r="U546" s="15"/>
      <c r="V546" s="15"/>
      <c r="W546" s="15"/>
      <c r="X546" s="15"/>
      <c r="Y546" s="15"/>
      <c r="Z546" s="15"/>
      <c r="AA546" s="15"/>
      <c r="AB546" s="15"/>
      <c r="AC546" s="15"/>
      <c r="AD546" s="15"/>
      <c r="AE546" s="15"/>
    </row>
    <row r="547" spans="1:31" x14ac:dyDescent="0.85">
      <c r="A547" s="15"/>
      <c r="B547" s="15"/>
      <c r="C547" s="15"/>
      <c r="D547" s="15"/>
      <c r="E547" s="15"/>
      <c r="F547" s="15"/>
      <c r="G547" s="15"/>
      <c r="H547" s="15"/>
      <c r="I547" s="15"/>
      <c r="J547" s="15"/>
      <c r="K547" s="15"/>
      <c r="L547" s="747"/>
      <c r="M547" s="15"/>
      <c r="N547" s="15"/>
      <c r="O547" s="15"/>
      <c r="P547" s="15"/>
      <c r="Q547" s="15"/>
      <c r="R547" s="15"/>
      <c r="S547" s="15"/>
      <c r="T547" s="15"/>
      <c r="U547" s="15"/>
      <c r="V547" s="15"/>
      <c r="W547" s="15"/>
      <c r="X547" s="15"/>
      <c r="Y547" s="15"/>
      <c r="Z547" s="15"/>
      <c r="AA547" s="15"/>
      <c r="AB547" s="15"/>
      <c r="AC547" s="15"/>
      <c r="AD547" s="15"/>
      <c r="AE547" s="15"/>
    </row>
    <row r="548" spans="1:31" x14ac:dyDescent="0.85">
      <c r="A548" s="15"/>
      <c r="B548" s="15"/>
      <c r="C548" s="15"/>
      <c r="D548" s="15"/>
      <c r="E548" s="15"/>
      <c r="F548" s="15"/>
      <c r="G548" s="15"/>
      <c r="H548" s="15"/>
      <c r="I548" s="15"/>
      <c r="J548" s="15"/>
      <c r="K548" s="15"/>
      <c r="L548" s="747"/>
      <c r="M548" s="15"/>
      <c r="N548" s="15"/>
      <c r="O548" s="15"/>
      <c r="P548" s="15"/>
      <c r="Q548" s="15"/>
      <c r="R548" s="15"/>
      <c r="S548" s="15"/>
      <c r="T548" s="15"/>
      <c r="U548" s="15"/>
      <c r="V548" s="15"/>
      <c r="W548" s="15"/>
      <c r="X548" s="15"/>
      <c r="Y548" s="15"/>
      <c r="Z548" s="15"/>
      <c r="AA548" s="15"/>
      <c r="AB548" s="15"/>
      <c r="AC548" s="15"/>
      <c r="AD548" s="15"/>
      <c r="AE548" s="15"/>
    </row>
    <row r="549" spans="1:31" x14ac:dyDescent="0.85">
      <c r="A549" s="15"/>
      <c r="B549" s="15"/>
      <c r="C549" s="15"/>
      <c r="D549" s="15"/>
      <c r="E549" s="15"/>
      <c r="F549" s="15"/>
      <c r="G549" s="15"/>
      <c r="H549" s="15"/>
      <c r="I549" s="15"/>
      <c r="J549" s="15"/>
      <c r="K549" s="15"/>
      <c r="L549" s="747"/>
      <c r="M549" s="15"/>
      <c r="N549" s="15"/>
      <c r="O549" s="15"/>
      <c r="P549" s="15"/>
      <c r="Q549" s="15"/>
      <c r="R549" s="15"/>
      <c r="S549" s="15"/>
      <c r="T549" s="15"/>
      <c r="U549" s="15"/>
      <c r="V549" s="15"/>
      <c r="W549" s="15"/>
      <c r="X549" s="15"/>
      <c r="Y549" s="15"/>
      <c r="Z549" s="15"/>
      <c r="AA549" s="15"/>
      <c r="AB549" s="15"/>
      <c r="AC549" s="15"/>
      <c r="AD549" s="15"/>
      <c r="AE549" s="15"/>
    </row>
    <row r="550" spans="1:31" x14ac:dyDescent="0.85">
      <c r="A550" s="15"/>
      <c r="B550" s="15"/>
      <c r="C550" s="15"/>
      <c r="D550" s="15"/>
      <c r="E550" s="15"/>
      <c r="F550" s="15"/>
      <c r="G550" s="15"/>
      <c r="H550" s="15"/>
      <c r="I550" s="15"/>
      <c r="J550" s="15"/>
      <c r="K550" s="15"/>
      <c r="L550" s="747"/>
      <c r="M550" s="15"/>
      <c r="N550" s="15"/>
      <c r="O550" s="15"/>
      <c r="P550" s="15"/>
      <c r="Q550" s="15"/>
      <c r="R550" s="15"/>
      <c r="S550" s="15"/>
      <c r="T550" s="15"/>
      <c r="U550" s="15"/>
      <c r="V550" s="15"/>
      <c r="W550" s="15"/>
      <c r="X550" s="15"/>
      <c r="Y550" s="15"/>
      <c r="Z550" s="15"/>
      <c r="AA550" s="15"/>
      <c r="AB550" s="15"/>
      <c r="AC550" s="15"/>
      <c r="AD550" s="15"/>
      <c r="AE550" s="15"/>
    </row>
    <row r="551" spans="1:31" x14ac:dyDescent="0.85">
      <c r="A551" s="15"/>
      <c r="B551" s="15"/>
      <c r="C551" s="15"/>
      <c r="D551" s="15"/>
      <c r="E551" s="15"/>
      <c r="F551" s="15"/>
      <c r="G551" s="15"/>
      <c r="H551" s="15"/>
      <c r="I551" s="15"/>
      <c r="J551" s="15"/>
      <c r="K551" s="15"/>
      <c r="L551" s="747"/>
      <c r="M551" s="15"/>
      <c r="N551" s="15"/>
      <c r="O551" s="15"/>
      <c r="P551" s="15"/>
      <c r="Q551" s="15"/>
      <c r="R551" s="15"/>
      <c r="S551" s="15"/>
      <c r="T551" s="15"/>
      <c r="U551" s="15"/>
      <c r="V551" s="15"/>
      <c r="W551" s="15"/>
      <c r="X551" s="15"/>
      <c r="Y551" s="15"/>
      <c r="Z551" s="15"/>
      <c r="AA551" s="15"/>
      <c r="AB551" s="15"/>
      <c r="AC551" s="15"/>
      <c r="AD551" s="15"/>
      <c r="AE551" s="15"/>
    </row>
    <row r="552" spans="1:31" x14ac:dyDescent="0.85">
      <c r="A552" s="15"/>
      <c r="B552" s="15"/>
      <c r="C552" s="15"/>
      <c r="D552" s="15"/>
      <c r="E552" s="15"/>
      <c r="F552" s="15"/>
      <c r="G552" s="15"/>
      <c r="H552" s="15"/>
      <c r="I552" s="15"/>
      <c r="J552" s="15"/>
      <c r="K552" s="15"/>
      <c r="L552" s="747"/>
      <c r="M552" s="15"/>
      <c r="N552" s="15"/>
      <c r="O552" s="15"/>
      <c r="P552" s="15"/>
      <c r="Q552" s="15"/>
      <c r="R552" s="15"/>
      <c r="S552" s="15"/>
      <c r="T552" s="15"/>
      <c r="U552" s="15"/>
      <c r="V552" s="15"/>
      <c r="W552" s="15"/>
      <c r="X552" s="15"/>
      <c r="Y552" s="15"/>
      <c r="Z552" s="15"/>
      <c r="AA552" s="15"/>
      <c r="AB552" s="15"/>
      <c r="AC552" s="15"/>
      <c r="AD552" s="15"/>
      <c r="AE552" s="15"/>
    </row>
    <row r="553" spans="1:31" x14ac:dyDescent="0.85">
      <c r="A553" s="15"/>
      <c r="B553" s="15"/>
      <c r="C553" s="15"/>
      <c r="D553" s="15"/>
      <c r="E553" s="15"/>
      <c r="F553" s="15"/>
      <c r="G553" s="15"/>
      <c r="H553" s="15"/>
      <c r="I553" s="15"/>
      <c r="J553" s="15"/>
      <c r="K553" s="15"/>
      <c r="L553" s="747"/>
      <c r="M553" s="15"/>
      <c r="N553" s="15"/>
      <c r="O553" s="15"/>
      <c r="P553" s="15"/>
      <c r="Q553" s="15"/>
      <c r="R553" s="15"/>
      <c r="S553" s="15"/>
      <c r="T553" s="15"/>
      <c r="U553" s="15"/>
      <c r="V553" s="15"/>
      <c r="W553" s="15"/>
      <c r="X553" s="15"/>
      <c r="Y553" s="15"/>
      <c r="Z553" s="15"/>
      <c r="AA553" s="15"/>
      <c r="AB553" s="15"/>
      <c r="AC553" s="15"/>
      <c r="AD553" s="15"/>
      <c r="AE553" s="15"/>
    </row>
    <row r="554" spans="1:31" x14ac:dyDescent="0.85">
      <c r="A554" s="15"/>
      <c r="B554" s="15"/>
      <c r="C554" s="15"/>
      <c r="D554" s="15"/>
      <c r="E554" s="15"/>
      <c r="F554" s="15"/>
      <c r="G554" s="15"/>
      <c r="H554" s="15"/>
      <c r="I554" s="15"/>
      <c r="J554" s="15"/>
      <c r="K554" s="15"/>
      <c r="L554" s="747"/>
      <c r="M554" s="15"/>
      <c r="N554" s="15"/>
      <c r="O554" s="15"/>
      <c r="P554" s="15"/>
      <c r="Q554" s="15"/>
      <c r="R554" s="15"/>
      <c r="S554" s="15"/>
      <c r="T554" s="15"/>
      <c r="U554" s="15"/>
      <c r="V554" s="15"/>
      <c r="W554" s="15"/>
      <c r="X554" s="15"/>
      <c r="Y554" s="15"/>
      <c r="Z554" s="15"/>
      <c r="AA554" s="15"/>
      <c r="AB554" s="15"/>
      <c r="AC554" s="15"/>
      <c r="AD554" s="15"/>
      <c r="AE554" s="15"/>
    </row>
    <row r="555" spans="1:31" x14ac:dyDescent="0.85">
      <c r="A555" s="15"/>
      <c r="B555" s="15"/>
      <c r="C555" s="15"/>
      <c r="D555" s="15"/>
      <c r="E555" s="15"/>
      <c r="F555" s="15"/>
      <c r="G555" s="15"/>
      <c r="H555" s="15"/>
      <c r="I555" s="15"/>
      <c r="J555" s="15"/>
      <c r="K555" s="15"/>
      <c r="L555" s="747"/>
      <c r="M555" s="15"/>
      <c r="N555" s="15"/>
      <c r="O555" s="15"/>
      <c r="P555" s="15"/>
      <c r="Q555" s="15"/>
      <c r="R555" s="15"/>
      <c r="S555" s="15"/>
      <c r="T555" s="15"/>
      <c r="U555" s="15"/>
      <c r="V555" s="15"/>
      <c r="W555" s="15"/>
      <c r="X555" s="15"/>
      <c r="Y555" s="15"/>
      <c r="Z555" s="15"/>
      <c r="AA555" s="15"/>
      <c r="AB555" s="15"/>
      <c r="AC555" s="15"/>
      <c r="AD555" s="15"/>
      <c r="AE555" s="15"/>
    </row>
    <row r="556" spans="1:31" x14ac:dyDescent="0.85">
      <c r="A556" s="15"/>
      <c r="B556" s="15"/>
      <c r="C556" s="15"/>
      <c r="D556" s="15"/>
      <c r="E556" s="15"/>
      <c r="F556" s="15"/>
      <c r="G556" s="15"/>
      <c r="H556" s="15"/>
      <c r="I556" s="15"/>
      <c r="J556" s="15"/>
      <c r="K556" s="15"/>
      <c r="L556" s="747"/>
      <c r="M556" s="15"/>
      <c r="N556" s="15"/>
      <c r="O556" s="15"/>
      <c r="P556" s="15"/>
      <c r="Q556" s="15"/>
      <c r="R556" s="15"/>
      <c r="S556" s="15"/>
      <c r="T556" s="15"/>
      <c r="U556" s="15"/>
      <c r="V556" s="15"/>
      <c r="W556" s="15"/>
      <c r="X556" s="15"/>
      <c r="Y556" s="15"/>
      <c r="Z556" s="15"/>
      <c r="AA556" s="15"/>
      <c r="AB556" s="15"/>
      <c r="AC556" s="15"/>
      <c r="AD556" s="15"/>
      <c r="AE556" s="15"/>
    </row>
    <row r="557" spans="1:31" x14ac:dyDescent="0.85">
      <c r="A557" s="15"/>
      <c r="B557" s="15"/>
      <c r="C557" s="15"/>
      <c r="D557" s="15"/>
      <c r="E557" s="15"/>
      <c r="F557" s="15"/>
      <c r="G557" s="15"/>
      <c r="H557" s="15"/>
      <c r="I557" s="15"/>
      <c r="J557" s="15"/>
      <c r="K557" s="15"/>
      <c r="L557" s="747"/>
      <c r="M557" s="15"/>
      <c r="N557" s="15"/>
      <c r="O557" s="15"/>
      <c r="P557" s="15"/>
      <c r="Q557" s="15"/>
      <c r="R557" s="15"/>
      <c r="S557" s="15"/>
      <c r="T557" s="15"/>
      <c r="U557" s="15"/>
      <c r="V557" s="15"/>
      <c r="W557" s="15"/>
      <c r="X557" s="15"/>
      <c r="Y557" s="15"/>
      <c r="Z557" s="15"/>
      <c r="AA557" s="15"/>
      <c r="AB557" s="15"/>
      <c r="AC557" s="15"/>
      <c r="AD557" s="15"/>
      <c r="AE557" s="15"/>
    </row>
    <row r="558" spans="1:31" x14ac:dyDescent="0.85">
      <c r="A558" s="15"/>
      <c r="B558" s="15"/>
      <c r="C558" s="15"/>
      <c r="D558" s="15"/>
      <c r="E558" s="15"/>
      <c r="F558" s="15"/>
      <c r="G558" s="15"/>
      <c r="H558" s="15"/>
      <c r="I558" s="15"/>
      <c r="J558" s="15"/>
      <c r="K558" s="15"/>
      <c r="L558" s="747"/>
      <c r="M558" s="15"/>
      <c r="N558" s="15"/>
      <c r="O558" s="15"/>
      <c r="P558" s="15"/>
      <c r="Q558" s="15"/>
      <c r="R558" s="15"/>
      <c r="S558" s="15"/>
      <c r="T558" s="15"/>
      <c r="U558" s="15"/>
      <c r="V558" s="15"/>
      <c r="W558" s="15"/>
      <c r="X558" s="15"/>
      <c r="Y558" s="15"/>
      <c r="Z558" s="15"/>
      <c r="AA558" s="15"/>
      <c r="AB558" s="15"/>
      <c r="AC558" s="15"/>
      <c r="AD558" s="15"/>
      <c r="AE558" s="15"/>
    </row>
    <row r="559" spans="1:31" x14ac:dyDescent="0.85">
      <c r="A559" s="15"/>
      <c r="B559" s="15"/>
      <c r="C559" s="15"/>
      <c r="D559" s="15"/>
      <c r="E559" s="15"/>
      <c r="F559" s="15"/>
      <c r="G559" s="15"/>
      <c r="H559" s="15"/>
      <c r="I559" s="15"/>
      <c r="J559" s="15"/>
      <c r="K559" s="15"/>
      <c r="L559" s="747"/>
      <c r="M559" s="15"/>
      <c r="N559" s="15"/>
      <c r="O559" s="15"/>
      <c r="P559" s="15"/>
      <c r="Q559" s="15"/>
      <c r="R559" s="15"/>
      <c r="S559" s="15"/>
      <c r="T559" s="15"/>
      <c r="U559" s="15"/>
      <c r="V559" s="15"/>
      <c r="W559" s="15"/>
      <c r="X559" s="15"/>
      <c r="Y559" s="15"/>
      <c r="Z559" s="15"/>
      <c r="AA559" s="15"/>
      <c r="AB559" s="15"/>
      <c r="AC559" s="15"/>
      <c r="AD559" s="15"/>
      <c r="AE559" s="15"/>
    </row>
    <row r="560" spans="1:31" x14ac:dyDescent="0.85">
      <c r="A560" s="15"/>
      <c r="B560" s="15"/>
      <c r="C560" s="15"/>
      <c r="D560" s="15"/>
      <c r="E560" s="15"/>
      <c r="F560" s="15"/>
      <c r="G560" s="15"/>
      <c r="H560" s="15"/>
      <c r="I560" s="15"/>
      <c r="J560" s="15"/>
      <c r="K560" s="15"/>
      <c r="L560" s="747"/>
      <c r="M560" s="15"/>
      <c r="N560" s="15"/>
      <c r="O560" s="15"/>
      <c r="P560" s="15"/>
      <c r="Q560" s="15"/>
      <c r="R560" s="15"/>
      <c r="S560" s="15"/>
      <c r="T560" s="15"/>
      <c r="U560" s="15"/>
      <c r="V560" s="15"/>
      <c r="W560" s="15"/>
      <c r="X560" s="15"/>
      <c r="Y560" s="15"/>
      <c r="Z560" s="15"/>
      <c r="AA560" s="15"/>
      <c r="AB560" s="15"/>
      <c r="AC560" s="15"/>
      <c r="AD560" s="15"/>
      <c r="AE560" s="15"/>
    </row>
    <row r="561" spans="1:31" x14ac:dyDescent="0.85">
      <c r="A561" s="15"/>
      <c r="B561" s="15"/>
      <c r="C561" s="15"/>
      <c r="D561" s="15"/>
      <c r="E561" s="15"/>
      <c r="F561" s="15"/>
      <c r="G561" s="15"/>
      <c r="H561" s="15"/>
      <c r="I561" s="15"/>
      <c r="J561" s="15"/>
      <c r="K561" s="15"/>
      <c r="L561" s="747"/>
      <c r="M561" s="15"/>
      <c r="N561" s="15"/>
      <c r="O561" s="15"/>
      <c r="P561" s="15"/>
      <c r="Q561" s="15"/>
      <c r="R561" s="15"/>
      <c r="S561" s="15"/>
      <c r="T561" s="15"/>
      <c r="U561" s="15"/>
      <c r="V561" s="15"/>
      <c r="W561" s="15"/>
      <c r="X561" s="15"/>
      <c r="Y561" s="15"/>
      <c r="Z561" s="15"/>
      <c r="AA561" s="15"/>
      <c r="AB561" s="15"/>
      <c r="AC561" s="15"/>
      <c r="AD561" s="15"/>
      <c r="AE561" s="15"/>
    </row>
    <row r="562" spans="1:31" x14ac:dyDescent="0.85">
      <c r="A562" s="15"/>
      <c r="B562" s="15"/>
      <c r="C562" s="15"/>
      <c r="D562" s="15"/>
      <c r="E562" s="15"/>
      <c r="F562" s="15"/>
      <c r="G562" s="15"/>
      <c r="H562" s="15"/>
      <c r="I562" s="15"/>
      <c r="J562" s="15"/>
      <c r="K562" s="15"/>
      <c r="L562" s="747"/>
      <c r="M562" s="15"/>
      <c r="N562" s="15"/>
      <c r="O562" s="15"/>
      <c r="P562" s="15"/>
      <c r="Q562" s="15"/>
      <c r="R562" s="15"/>
      <c r="S562" s="15"/>
      <c r="T562" s="15"/>
      <c r="U562" s="15"/>
      <c r="V562" s="15"/>
      <c r="W562" s="15"/>
      <c r="X562" s="15"/>
      <c r="Y562" s="15"/>
      <c r="Z562" s="15"/>
      <c r="AA562" s="15"/>
      <c r="AB562" s="15"/>
      <c r="AC562" s="15"/>
      <c r="AD562" s="15"/>
      <c r="AE562" s="15"/>
    </row>
    <row r="563" spans="1:31" x14ac:dyDescent="0.85">
      <c r="A563" s="15"/>
      <c r="B563" s="15"/>
      <c r="C563" s="15"/>
      <c r="D563" s="15"/>
      <c r="E563" s="15"/>
      <c r="F563" s="15"/>
      <c r="G563" s="15"/>
      <c r="H563" s="15"/>
      <c r="I563" s="15"/>
      <c r="J563" s="15"/>
      <c r="K563" s="15"/>
      <c r="L563" s="747"/>
      <c r="M563" s="15"/>
      <c r="N563" s="15"/>
      <c r="O563" s="15"/>
      <c r="P563" s="15"/>
      <c r="Q563" s="15"/>
      <c r="R563" s="15"/>
      <c r="S563" s="15"/>
      <c r="T563" s="15"/>
      <c r="U563" s="15"/>
      <c r="V563" s="15"/>
      <c r="W563" s="15"/>
      <c r="X563" s="15"/>
      <c r="Y563" s="15"/>
      <c r="Z563" s="15"/>
      <c r="AA563" s="15"/>
      <c r="AB563" s="15"/>
      <c r="AC563" s="15"/>
      <c r="AD563" s="15"/>
      <c r="AE563" s="15"/>
    </row>
    <row r="564" spans="1:31" x14ac:dyDescent="0.85">
      <c r="A564" s="15"/>
      <c r="B564" s="15"/>
      <c r="C564" s="15"/>
      <c r="D564" s="15"/>
      <c r="E564" s="15"/>
      <c r="F564" s="15"/>
      <c r="G564" s="15"/>
      <c r="H564" s="15"/>
      <c r="I564" s="15"/>
      <c r="J564" s="15"/>
      <c r="K564" s="15"/>
      <c r="L564" s="747"/>
      <c r="M564" s="15"/>
      <c r="N564" s="15"/>
      <c r="O564" s="15"/>
      <c r="P564" s="15"/>
      <c r="Q564" s="15"/>
      <c r="R564" s="15"/>
      <c r="S564" s="15"/>
      <c r="T564" s="15"/>
      <c r="U564" s="15"/>
      <c r="V564" s="15"/>
      <c r="W564" s="15"/>
      <c r="X564" s="15"/>
      <c r="Y564" s="15"/>
      <c r="Z564" s="15"/>
      <c r="AA564" s="15"/>
      <c r="AB564" s="15"/>
      <c r="AC564" s="15"/>
      <c r="AD564" s="15"/>
      <c r="AE564" s="15"/>
    </row>
    <row r="565" spans="1:31" x14ac:dyDescent="0.85">
      <c r="A565" s="15"/>
      <c r="B565" s="15"/>
      <c r="C565" s="15"/>
      <c r="D565" s="15"/>
      <c r="E565" s="15"/>
      <c r="F565" s="15"/>
      <c r="G565" s="15"/>
      <c r="H565" s="15"/>
      <c r="I565" s="15"/>
      <c r="J565" s="15"/>
      <c r="K565" s="15"/>
      <c r="L565" s="747"/>
      <c r="M565" s="15"/>
      <c r="N565" s="15"/>
      <c r="O565" s="15"/>
      <c r="P565" s="15"/>
      <c r="Q565" s="15"/>
      <c r="R565" s="15"/>
      <c r="S565" s="15"/>
      <c r="T565" s="15"/>
      <c r="U565" s="15"/>
      <c r="V565" s="15"/>
      <c r="W565" s="15"/>
      <c r="X565" s="15"/>
      <c r="Y565" s="15"/>
      <c r="Z565" s="15"/>
      <c r="AA565" s="15"/>
      <c r="AB565" s="15"/>
      <c r="AC565" s="15"/>
      <c r="AD565" s="15"/>
      <c r="AE565" s="15"/>
    </row>
    <row r="566" spans="1:31" x14ac:dyDescent="0.85">
      <c r="A566" s="15"/>
      <c r="B566" s="15"/>
      <c r="C566" s="15"/>
      <c r="D566" s="15"/>
      <c r="E566" s="15"/>
      <c r="F566" s="15"/>
      <c r="G566" s="15"/>
      <c r="H566" s="15"/>
      <c r="I566" s="15"/>
      <c r="J566" s="15"/>
      <c r="K566" s="15"/>
      <c r="L566" s="747"/>
      <c r="M566" s="15"/>
      <c r="N566" s="15"/>
      <c r="O566" s="15"/>
      <c r="P566" s="15"/>
      <c r="Q566" s="15"/>
      <c r="R566" s="15"/>
      <c r="S566" s="15"/>
      <c r="T566" s="15"/>
      <c r="U566" s="15"/>
      <c r="V566" s="15"/>
      <c r="W566" s="15"/>
      <c r="X566" s="15"/>
      <c r="Y566" s="15"/>
      <c r="Z566" s="15"/>
      <c r="AA566" s="15"/>
      <c r="AB566" s="15"/>
      <c r="AC566" s="15"/>
      <c r="AD566" s="15"/>
      <c r="AE566" s="15"/>
    </row>
    <row r="567" spans="1:31" x14ac:dyDescent="0.85">
      <c r="A567" s="15"/>
      <c r="B567" s="15"/>
      <c r="C567" s="15"/>
      <c r="D567" s="15"/>
      <c r="E567" s="15"/>
      <c r="F567" s="15"/>
      <c r="G567" s="15"/>
      <c r="H567" s="15"/>
      <c r="I567" s="15"/>
      <c r="J567" s="15"/>
      <c r="K567" s="15"/>
      <c r="L567" s="747"/>
      <c r="M567" s="15"/>
      <c r="N567" s="15"/>
      <c r="O567" s="15"/>
      <c r="P567" s="15"/>
      <c r="Q567" s="15"/>
      <c r="R567" s="15"/>
      <c r="S567" s="15"/>
      <c r="T567" s="15"/>
      <c r="U567" s="15"/>
      <c r="V567" s="15"/>
      <c r="W567" s="15"/>
      <c r="X567" s="15"/>
      <c r="Y567" s="15"/>
      <c r="Z567" s="15"/>
      <c r="AA567" s="15"/>
      <c r="AB567" s="15"/>
      <c r="AC567" s="15"/>
      <c r="AD567" s="15"/>
      <c r="AE567" s="15"/>
    </row>
    <row r="568" spans="1:31" x14ac:dyDescent="0.85">
      <c r="A568" s="15"/>
      <c r="B568" s="15"/>
      <c r="C568" s="15"/>
      <c r="D568" s="15"/>
      <c r="E568" s="15"/>
      <c r="F568" s="15"/>
      <c r="G568" s="15"/>
      <c r="H568" s="15"/>
      <c r="I568" s="15"/>
      <c r="J568" s="15"/>
      <c r="K568" s="15"/>
      <c r="L568" s="747"/>
      <c r="M568" s="15"/>
      <c r="N568" s="15"/>
      <c r="O568" s="15"/>
      <c r="P568" s="15"/>
      <c r="Q568" s="15"/>
      <c r="R568" s="15"/>
      <c r="S568" s="15"/>
      <c r="T568" s="15"/>
      <c r="U568" s="15"/>
      <c r="V568" s="15"/>
      <c r="W568" s="15"/>
      <c r="X568" s="15"/>
      <c r="Y568" s="15"/>
      <c r="Z568" s="15"/>
      <c r="AA568" s="15"/>
      <c r="AB568" s="15"/>
      <c r="AC568" s="15"/>
      <c r="AD568" s="15"/>
      <c r="AE568" s="15"/>
    </row>
    <row r="569" spans="1:31" x14ac:dyDescent="0.85">
      <c r="A569" s="15"/>
      <c r="B569" s="15"/>
      <c r="C569" s="15"/>
      <c r="D569" s="15"/>
      <c r="E569" s="15"/>
      <c r="F569" s="15"/>
      <c r="G569" s="15"/>
      <c r="H569" s="15"/>
      <c r="I569" s="15"/>
      <c r="J569" s="15"/>
      <c r="K569" s="15"/>
      <c r="L569" s="747"/>
      <c r="M569" s="15"/>
      <c r="N569" s="15"/>
      <c r="O569" s="15"/>
      <c r="P569" s="15"/>
      <c r="Q569" s="15"/>
      <c r="R569" s="15"/>
      <c r="S569" s="15"/>
      <c r="T569" s="15"/>
      <c r="U569" s="15"/>
      <c r="V569" s="15"/>
      <c r="W569" s="15"/>
      <c r="X569" s="15"/>
      <c r="Y569" s="15"/>
      <c r="Z569" s="15"/>
      <c r="AA569" s="15"/>
      <c r="AB569" s="15"/>
      <c r="AC569" s="15"/>
      <c r="AD569" s="15"/>
      <c r="AE569" s="15"/>
    </row>
    <row r="570" spans="1:31" x14ac:dyDescent="0.85">
      <c r="A570" s="15"/>
      <c r="B570" s="15"/>
      <c r="C570" s="15"/>
      <c r="D570" s="15"/>
      <c r="E570" s="15"/>
      <c r="F570" s="15"/>
      <c r="G570" s="15"/>
      <c r="H570" s="15"/>
      <c r="I570" s="15"/>
      <c r="J570" s="15"/>
      <c r="K570" s="15"/>
      <c r="L570" s="747"/>
      <c r="M570" s="15"/>
      <c r="N570" s="15"/>
      <c r="O570" s="15"/>
      <c r="P570" s="15"/>
      <c r="Q570" s="15"/>
      <c r="R570" s="15"/>
      <c r="S570" s="15"/>
      <c r="T570" s="15"/>
      <c r="U570" s="15"/>
      <c r="V570" s="15"/>
      <c r="W570" s="15"/>
      <c r="X570" s="15"/>
      <c r="Y570" s="15"/>
      <c r="Z570" s="15"/>
      <c r="AA570" s="15"/>
      <c r="AB570" s="15"/>
      <c r="AC570" s="15"/>
      <c r="AD570" s="15"/>
      <c r="AE570" s="15"/>
    </row>
    <row r="571" spans="1:31" x14ac:dyDescent="0.85">
      <c r="A571" s="15"/>
      <c r="B571" s="15"/>
      <c r="C571" s="15"/>
      <c r="D571" s="15"/>
      <c r="E571" s="15"/>
      <c r="F571" s="15"/>
      <c r="G571" s="15"/>
      <c r="H571" s="15"/>
      <c r="I571" s="15"/>
      <c r="J571" s="15"/>
      <c r="K571" s="15"/>
      <c r="L571" s="747"/>
      <c r="M571" s="15"/>
      <c r="N571" s="15"/>
      <c r="O571" s="15"/>
      <c r="P571" s="15"/>
      <c r="Q571" s="15"/>
      <c r="R571" s="15"/>
      <c r="S571" s="15"/>
      <c r="T571" s="15"/>
      <c r="U571" s="15"/>
      <c r="V571" s="15"/>
      <c r="W571" s="15"/>
      <c r="X571" s="15"/>
      <c r="Y571" s="15"/>
      <c r="Z571" s="15"/>
      <c r="AA571" s="15"/>
      <c r="AB571" s="15"/>
      <c r="AC571" s="15"/>
      <c r="AD571" s="15"/>
      <c r="AE571" s="15"/>
    </row>
    <row r="572" spans="1:31" x14ac:dyDescent="0.85">
      <c r="A572" s="15"/>
      <c r="B572" s="15"/>
      <c r="C572" s="15"/>
      <c r="D572" s="15"/>
      <c r="E572" s="15"/>
      <c r="F572" s="15"/>
      <c r="G572" s="15"/>
      <c r="H572" s="15"/>
      <c r="I572" s="15"/>
      <c r="J572" s="15"/>
      <c r="K572" s="15"/>
      <c r="L572" s="747"/>
      <c r="M572" s="15"/>
      <c r="N572" s="15"/>
      <c r="O572" s="15"/>
      <c r="P572" s="15"/>
      <c r="Q572" s="15"/>
      <c r="R572" s="15"/>
      <c r="S572" s="15"/>
      <c r="T572" s="15"/>
      <c r="U572" s="15"/>
      <c r="V572" s="15"/>
      <c r="W572" s="15"/>
      <c r="X572" s="15"/>
      <c r="Y572" s="15"/>
      <c r="Z572" s="15"/>
      <c r="AA572" s="15"/>
      <c r="AB572" s="15"/>
      <c r="AC572" s="15"/>
      <c r="AD572" s="15"/>
      <c r="AE572" s="15"/>
    </row>
    <row r="573" spans="1:31" x14ac:dyDescent="0.85">
      <c r="A573" s="15"/>
      <c r="B573" s="15"/>
      <c r="C573" s="15"/>
      <c r="D573" s="15"/>
      <c r="E573" s="15"/>
      <c r="F573" s="15"/>
      <c r="G573" s="15"/>
      <c r="H573" s="15"/>
      <c r="I573" s="15"/>
      <c r="J573" s="15"/>
      <c r="K573" s="15"/>
      <c r="L573" s="747"/>
      <c r="M573" s="15"/>
      <c r="N573" s="15"/>
      <c r="O573" s="15"/>
      <c r="P573" s="15"/>
      <c r="Q573" s="15"/>
      <c r="R573" s="15"/>
      <c r="S573" s="15"/>
      <c r="T573" s="15"/>
      <c r="U573" s="15"/>
      <c r="V573" s="15"/>
      <c r="W573" s="15"/>
      <c r="X573" s="15"/>
      <c r="Y573" s="15"/>
      <c r="Z573" s="15"/>
      <c r="AA573" s="15"/>
      <c r="AB573" s="15"/>
      <c r="AC573" s="15"/>
      <c r="AD573" s="15"/>
      <c r="AE573" s="15"/>
    </row>
    <row r="574" spans="1:31" x14ac:dyDescent="0.85">
      <c r="A574" s="15"/>
      <c r="B574" s="15"/>
      <c r="C574" s="15"/>
      <c r="D574" s="15"/>
      <c r="E574" s="15"/>
      <c r="F574" s="15"/>
      <c r="G574" s="15"/>
      <c r="H574" s="15"/>
      <c r="I574" s="15"/>
      <c r="J574" s="15"/>
      <c r="K574" s="15"/>
      <c r="L574" s="747"/>
      <c r="M574" s="15"/>
      <c r="N574" s="15"/>
      <c r="O574" s="15"/>
      <c r="P574" s="15"/>
      <c r="Q574" s="15"/>
      <c r="R574" s="15"/>
      <c r="S574" s="15"/>
      <c r="T574" s="15"/>
      <c r="U574" s="15"/>
      <c r="V574" s="15"/>
      <c r="W574" s="15"/>
      <c r="X574" s="15"/>
      <c r="Y574" s="15"/>
      <c r="Z574" s="15"/>
      <c r="AA574" s="15"/>
      <c r="AB574" s="15"/>
      <c r="AC574" s="15"/>
      <c r="AD574" s="15"/>
      <c r="AE574" s="15"/>
    </row>
    <row r="575" spans="1:31" x14ac:dyDescent="0.85">
      <c r="A575" s="15"/>
      <c r="B575" s="15"/>
      <c r="C575" s="15"/>
      <c r="D575" s="15"/>
      <c r="E575" s="15"/>
      <c r="F575" s="15"/>
      <c r="G575" s="15"/>
      <c r="H575" s="15"/>
      <c r="I575" s="15"/>
      <c r="J575" s="15"/>
      <c r="K575" s="15"/>
      <c r="L575" s="747"/>
      <c r="M575" s="15"/>
      <c r="N575" s="15"/>
      <c r="O575" s="15"/>
      <c r="P575" s="15"/>
      <c r="Q575" s="15"/>
      <c r="R575" s="15"/>
      <c r="S575" s="15"/>
      <c r="T575" s="15"/>
      <c r="U575" s="15"/>
      <c r="V575" s="15"/>
      <c r="W575" s="15"/>
      <c r="X575" s="15"/>
      <c r="Y575" s="15"/>
      <c r="Z575" s="15"/>
      <c r="AA575" s="15"/>
      <c r="AB575" s="15"/>
      <c r="AC575" s="15"/>
      <c r="AD575" s="15"/>
      <c r="AE575" s="15"/>
    </row>
    <row r="576" spans="1:31" x14ac:dyDescent="0.85">
      <c r="A576" s="15"/>
      <c r="B576" s="15"/>
      <c r="C576" s="15"/>
      <c r="D576" s="15"/>
      <c r="E576" s="15"/>
      <c r="F576" s="15"/>
      <c r="G576" s="15"/>
      <c r="H576" s="15"/>
      <c r="I576" s="15"/>
      <c r="J576" s="15"/>
      <c r="K576" s="15"/>
      <c r="L576" s="747"/>
      <c r="M576" s="15"/>
      <c r="N576" s="15"/>
      <c r="O576" s="15"/>
      <c r="P576" s="15"/>
      <c r="Q576" s="15"/>
      <c r="R576" s="15"/>
      <c r="S576" s="15"/>
      <c r="T576" s="15"/>
      <c r="U576" s="15"/>
      <c r="V576" s="15"/>
      <c r="W576" s="15"/>
      <c r="X576" s="15"/>
      <c r="Y576" s="15"/>
      <c r="Z576" s="15"/>
      <c r="AA576" s="15"/>
      <c r="AB576" s="15"/>
      <c r="AC576" s="15"/>
      <c r="AD576" s="15"/>
      <c r="AE576" s="15"/>
    </row>
    <row r="577" spans="1:31" x14ac:dyDescent="0.85">
      <c r="A577" s="15"/>
      <c r="B577" s="15"/>
      <c r="C577" s="15"/>
      <c r="D577" s="15"/>
      <c r="E577" s="15"/>
      <c r="F577" s="15"/>
      <c r="G577" s="15"/>
      <c r="H577" s="15"/>
      <c r="I577" s="15"/>
      <c r="J577" s="15"/>
      <c r="K577" s="15"/>
      <c r="L577" s="747"/>
      <c r="M577" s="15"/>
      <c r="N577" s="15"/>
      <c r="O577" s="15"/>
      <c r="P577" s="15"/>
      <c r="Q577" s="15"/>
      <c r="R577" s="15"/>
      <c r="S577" s="15"/>
      <c r="T577" s="15"/>
      <c r="U577" s="15"/>
      <c r="V577" s="15"/>
      <c r="W577" s="15"/>
      <c r="X577" s="15"/>
      <c r="Y577" s="15"/>
      <c r="Z577" s="15"/>
      <c r="AA577" s="15"/>
      <c r="AB577" s="15"/>
      <c r="AC577" s="15"/>
      <c r="AD577" s="15"/>
      <c r="AE577" s="15"/>
    </row>
    <row r="578" spans="1:31" x14ac:dyDescent="0.85">
      <c r="A578" s="15"/>
      <c r="B578" s="15"/>
      <c r="C578" s="15"/>
      <c r="D578" s="15"/>
      <c r="E578" s="15"/>
      <c r="F578" s="15"/>
      <c r="G578" s="15"/>
      <c r="H578" s="15"/>
      <c r="I578" s="15"/>
      <c r="J578" s="15"/>
      <c r="K578" s="15"/>
      <c r="L578" s="747"/>
      <c r="M578" s="15"/>
      <c r="N578" s="15"/>
      <c r="O578" s="15"/>
      <c r="P578" s="15"/>
      <c r="Q578" s="15"/>
      <c r="R578" s="15"/>
      <c r="S578" s="15"/>
      <c r="T578" s="15"/>
      <c r="U578" s="15"/>
      <c r="V578" s="15"/>
      <c r="W578" s="15"/>
      <c r="X578" s="15"/>
      <c r="Y578" s="15"/>
      <c r="Z578" s="15"/>
      <c r="AA578" s="15"/>
      <c r="AB578" s="15"/>
      <c r="AC578" s="15"/>
      <c r="AD578" s="15"/>
      <c r="AE578" s="15"/>
    </row>
    <row r="579" spans="1:31" x14ac:dyDescent="0.85">
      <c r="A579" s="15"/>
      <c r="B579" s="15"/>
      <c r="C579" s="15"/>
      <c r="D579" s="15"/>
      <c r="E579" s="15"/>
      <c r="F579" s="15"/>
      <c r="G579" s="15"/>
      <c r="H579" s="15"/>
      <c r="I579" s="15"/>
      <c r="J579" s="15"/>
      <c r="K579" s="15"/>
      <c r="L579" s="747"/>
      <c r="M579" s="15"/>
      <c r="N579" s="15"/>
      <c r="O579" s="15"/>
      <c r="P579" s="15"/>
      <c r="Q579" s="15"/>
      <c r="R579" s="15"/>
      <c r="S579" s="15"/>
      <c r="T579" s="15"/>
      <c r="U579" s="15"/>
      <c r="V579" s="15"/>
      <c r="W579" s="15"/>
      <c r="X579" s="15"/>
      <c r="Y579" s="15"/>
      <c r="Z579" s="15"/>
      <c r="AA579" s="15"/>
      <c r="AB579" s="15"/>
      <c r="AC579" s="15"/>
      <c r="AD579" s="15"/>
      <c r="AE579" s="15"/>
    </row>
    <row r="580" spans="1:31" x14ac:dyDescent="0.85">
      <c r="A580" s="15"/>
      <c r="B580" s="15"/>
      <c r="C580" s="15"/>
      <c r="D580" s="15"/>
      <c r="E580" s="15"/>
      <c r="F580" s="15"/>
      <c r="G580" s="15"/>
      <c r="H580" s="15"/>
      <c r="I580" s="15"/>
      <c r="J580" s="15"/>
      <c r="K580" s="15"/>
      <c r="L580" s="747"/>
      <c r="M580" s="15"/>
      <c r="N580" s="15"/>
      <c r="O580" s="15"/>
      <c r="P580" s="15"/>
      <c r="Q580" s="15"/>
      <c r="R580" s="15"/>
      <c r="S580" s="15"/>
      <c r="T580" s="15"/>
      <c r="U580" s="15"/>
      <c r="V580" s="15"/>
      <c r="W580" s="15"/>
      <c r="X580" s="15"/>
      <c r="Y580" s="15"/>
      <c r="Z580" s="15"/>
      <c r="AA580" s="15"/>
      <c r="AB580" s="15"/>
      <c r="AC580" s="15"/>
      <c r="AD580" s="15"/>
      <c r="AE580" s="15"/>
    </row>
    <row r="581" spans="1:31" x14ac:dyDescent="0.85">
      <c r="A581" s="15"/>
      <c r="B581" s="15"/>
      <c r="C581" s="15"/>
      <c r="D581" s="15"/>
      <c r="E581" s="15"/>
      <c r="F581" s="15"/>
      <c r="G581" s="15"/>
      <c r="H581" s="15"/>
      <c r="I581" s="15"/>
      <c r="J581" s="15"/>
      <c r="K581" s="15"/>
      <c r="L581" s="747"/>
      <c r="M581" s="15"/>
      <c r="N581" s="15"/>
      <c r="O581" s="15"/>
      <c r="P581" s="15"/>
      <c r="Q581" s="15"/>
      <c r="R581" s="15"/>
      <c r="S581" s="15"/>
      <c r="T581" s="15"/>
      <c r="U581" s="15"/>
      <c r="V581" s="15"/>
      <c r="W581" s="15"/>
      <c r="X581" s="15"/>
      <c r="Y581" s="15"/>
      <c r="Z581" s="15"/>
      <c r="AA581" s="15"/>
      <c r="AB581" s="15"/>
      <c r="AC581" s="15"/>
      <c r="AD581" s="15"/>
      <c r="AE581" s="15"/>
    </row>
    <row r="582" spans="1:31" x14ac:dyDescent="0.85">
      <c r="A582" s="15"/>
      <c r="B582" s="15"/>
      <c r="C582" s="15"/>
      <c r="D582" s="15"/>
      <c r="E582" s="15"/>
      <c r="F582" s="15"/>
      <c r="G582" s="15"/>
      <c r="H582" s="15"/>
      <c r="I582" s="15"/>
      <c r="J582" s="15"/>
      <c r="K582" s="15"/>
      <c r="L582" s="747"/>
      <c r="M582" s="15"/>
      <c r="N582" s="15"/>
      <c r="O582" s="15"/>
      <c r="P582" s="15"/>
      <c r="Q582" s="15"/>
      <c r="R582" s="15"/>
      <c r="S582" s="15"/>
      <c r="T582" s="15"/>
      <c r="U582" s="15"/>
      <c r="V582" s="15"/>
      <c r="W582" s="15"/>
      <c r="X582" s="15"/>
      <c r="Y582" s="15"/>
      <c r="Z582" s="15"/>
      <c r="AA582" s="15"/>
      <c r="AB582" s="15"/>
      <c r="AC582" s="15"/>
      <c r="AD582" s="15"/>
      <c r="AE582" s="15"/>
    </row>
    <row r="583" spans="1:31" x14ac:dyDescent="0.85">
      <c r="A583" s="15"/>
      <c r="B583" s="15"/>
      <c r="C583" s="15"/>
      <c r="D583" s="15"/>
      <c r="E583" s="15"/>
      <c r="F583" s="15"/>
      <c r="G583" s="15"/>
      <c r="H583" s="15"/>
      <c r="I583" s="15"/>
      <c r="J583" s="15"/>
      <c r="K583" s="15"/>
      <c r="L583" s="747"/>
      <c r="M583" s="15"/>
      <c r="N583" s="15"/>
      <c r="O583" s="15"/>
      <c r="P583" s="15"/>
      <c r="Q583" s="15"/>
      <c r="R583" s="15"/>
      <c r="S583" s="15"/>
      <c r="T583" s="15"/>
      <c r="U583" s="15"/>
      <c r="V583" s="15"/>
      <c r="W583" s="15"/>
      <c r="X583" s="15"/>
      <c r="Y583" s="15"/>
      <c r="Z583" s="15"/>
      <c r="AA583" s="15"/>
      <c r="AB583" s="15"/>
      <c r="AC583" s="15"/>
      <c r="AD583" s="15"/>
      <c r="AE583" s="15"/>
    </row>
    <row r="584" spans="1:31" x14ac:dyDescent="0.85">
      <c r="A584" s="15"/>
      <c r="B584" s="15"/>
      <c r="C584" s="15"/>
      <c r="D584" s="15"/>
      <c r="E584" s="15"/>
      <c r="F584" s="15"/>
      <c r="G584" s="15"/>
      <c r="H584" s="15"/>
      <c r="I584" s="15"/>
      <c r="J584" s="15"/>
      <c r="K584" s="15"/>
      <c r="L584" s="747"/>
      <c r="M584" s="15"/>
      <c r="N584" s="15"/>
      <c r="O584" s="15"/>
      <c r="P584" s="15"/>
      <c r="Q584" s="15"/>
      <c r="R584" s="15"/>
      <c r="S584" s="15"/>
      <c r="T584" s="15"/>
      <c r="U584" s="15"/>
      <c r="V584" s="15"/>
      <c r="W584" s="15"/>
      <c r="X584" s="15"/>
      <c r="Y584" s="15"/>
      <c r="Z584" s="15"/>
      <c r="AA584" s="15"/>
      <c r="AB584" s="15"/>
      <c r="AC584" s="15"/>
      <c r="AD584" s="15"/>
      <c r="AE584" s="15"/>
    </row>
    <row r="585" spans="1:31" x14ac:dyDescent="0.85">
      <c r="A585" s="15"/>
      <c r="B585" s="15"/>
      <c r="C585" s="15"/>
      <c r="D585" s="15"/>
      <c r="E585" s="15"/>
      <c r="F585" s="15"/>
      <c r="G585" s="15"/>
      <c r="H585" s="15"/>
      <c r="I585" s="15"/>
      <c r="J585" s="15"/>
      <c r="K585" s="15"/>
      <c r="L585" s="747"/>
      <c r="M585" s="15"/>
      <c r="N585" s="15"/>
      <c r="O585" s="15"/>
      <c r="P585" s="15"/>
      <c r="Q585" s="15"/>
      <c r="R585" s="15"/>
      <c r="S585" s="15"/>
      <c r="T585" s="15"/>
      <c r="U585" s="15"/>
      <c r="V585" s="15"/>
      <c r="W585" s="15"/>
      <c r="X585" s="15"/>
      <c r="Y585" s="15"/>
      <c r="Z585" s="15"/>
      <c r="AA585" s="15"/>
      <c r="AB585" s="15"/>
      <c r="AC585" s="15"/>
      <c r="AD585" s="15"/>
      <c r="AE585" s="15"/>
    </row>
    <row r="586" spans="1:31" x14ac:dyDescent="0.85">
      <c r="A586" s="15"/>
      <c r="B586" s="15"/>
      <c r="C586" s="15"/>
      <c r="D586" s="15"/>
      <c r="E586" s="15"/>
      <c r="F586" s="15"/>
      <c r="G586" s="15"/>
      <c r="H586" s="15"/>
      <c r="I586" s="15"/>
      <c r="J586" s="15"/>
      <c r="K586" s="15"/>
      <c r="L586" s="747"/>
      <c r="M586" s="15"/>
      <c r="N586" s="15"/>
      <c r="O586" s="15"/>
      <c r="P586" s="15"/>
      <c r="Q586" s="15"/>
      <c r="R586" s="15"/>
      <c r="S586" s="15"/>
      <c r="T586" s="15"/>
      <c r="U586" s="15"/>
      <c r="V586" s="15"/>
      <c r="W586" s="15"/>
      <c r="X586" s="15"/>
      <c r="Y586" s="15"/>
      <c r="Z586" s="15"/>
      <c r="AA586" s="15"/>
      <c r="AB586" s="15"/>
      <c r="AC586" s="15"/>
      <c r="AD586" s="15"/>
      <c r="AE586" s="15"/>
    </row>
    <row r="587" spans="1:31" x14ac:dyDescent="0.85">
      <c r="A587" s="15"/>
      <c r="B587" s="15"/>
      <c r="C587" s="15"/>
      <c r="D587" s="15"/>
      <c r="E587" s="15"/>
      <c r="F587" s="15"/>
      <c r="G587" s="15"/>
      <c r="H587" s="15"/>
      <c r="I587" s="15"/>
      <c r="J587" s="15"/>
      <c r="K587" s="15"/>
      <c r="L587" s="747"/>
      <c r="M587" s="15"/>
      <c r="N587" s="15"/>
      <c r="O587" s="15"/>
      <c r="P587" s="15"/>
      <c r="Q587" s="15"/>
      <c r="R587" s="15"/>
      <c r="S587" s="15"/>
      <c r="T587" s="15"/>
      <c r="U587" s="15"/>
      <c r="V587" s="15"/>
      <c r="W587" s="15"/>
      <c r="X587" s="15"/>
      <c r="Y587" s="15"/>
      <c r="Z587" s="15"/>
      <c r="AA587" s="15"/>
      <c r="AB587" s="15"/>
      <c r="AC587" s="15"/>
      <c r="AD587" s="15"/>
      <c r="AE587" s="15"/>
    </row>
    <row r="588" spans="1:31" x14ac:dyDescent="0.85">
      <c r="A588" s="15"/>
      <c r="B588" s="15"/>
      <c r="C588" s="15"/>
      <c r="D588" s="15"/>
      <c r="E588" s="15"/>
      <c r="F588" s="15"/>
      <c r="G588" s="15"/>
      <c r="H588" s="15"/>
      <c r="I588" s="15"/>
      <c r="J588" s="15"/>
      <c r="K588" s="15"/>
      <c r="L588" s="747"/>
      <c r="M588" s="15"/>
      <c r="N588" s="15"/>
      <c r="O588" s="15"/>
      <c r="P588" s="15"/>
      <c r="Q588" s="15"/>
      <c r="R588" s="15"/>
      <c r="S588" s="15"/>
      <c r="T588" s="15"/>
      <c r="U588" s="15"/>
      <c r="V588" s="15"/>
      <c r="W588" s="15"/>
      <c r="X588" s="15"/>
      <c r="Y588" s="15"/>
      <c r="Z588" s="15"/>
      <c r="AA588" s="15"/>
      <c r="AB588" s="15"/>
      <c r="AC588" s="15"/>
      <c r="AD588" s="15"/>
      <c r="AE588" s="15"/>
    </row>
    <row r="589" spans="1:31" x14ac:dyDescent="0.85">
      <c r="A589" s="15"/>
      <c r="B589" s="15"/>
      <c r="C589" s="15"/>
      <c r="D589" s="15"/>
      <c r="E589" s="15"/>
      <c r="F589" s="15"/>
      <c r="G589" s="15"/>
      <c r="H589" s="15"/>
      <c r="I589" s="15"/>
      <c r="J589" s="15"/>
      <c r="K589" s="15"/>
      <c r="L589" s="747"/>
      <c r="M589" s="15"/>
      <c r="N589" s="15"/>
      <c r="O589" s="15"/>
      <c r="P589" s="15"/>
      <c r="Q589" s="15"/>
      <c r="R589" s="15"/>
      <c r="S589" s="15"/>
      <c r="T589" s="15"/>
      <c r="U589" s="15"/>
      <c r="V589" s="15"/>
      <c r="W589" s="15"/>
      <c r="X589" s="15"/>
      <c r="Y589" s="15"/>
      <c r="Z589" s="15"/>
      <c r="AA589" s="15"/>
      <c r="AB589" s="15"/>
      <c r="AC589" s="15"/>
      <c r="AD589" s="15"/>
      <c r="AE589" s="15"/>
    </row>
    <row r="590" spans="1:31" x14ac:dyDescent="0.85">
      <c r="A590" s="15"/>
      <c r="B590" s="15"/>
      <c r="C590" s="15"/>
      <c r="D590" s="15"/>
      <c r="E590" s="15"/>
      <c r="F590" s="15"/>
      <c r="G590" s="15"/>
      <c r="H590" s="15"/>
      <c r="I590" s="15"/>
      <c r="J590" s="15"/>
      <c r="K590" s="15"/>
      <c r="L590" s="747"/>
      <c r="M590" s="15"/>
      <c r="N590" s="15"/>
      <c r="O590" s="15"/>
      <c r="P590" s="15"/>
      <c r="Q590" s="15"/>
      <c r="R590" s="15"/>
      <c r="S590" s="15"/>
      <c r="T590" s="15"/>
      <c r="U590" s="15"/>
      <c r="V590" s="15"/>
      <c r="W590" s="15"/>
      <c r="X590" s="15"/>
      <c r="Y590" s="15"/>
      <c r="Z590" s="15"/>
      <c r="AA590" s="15"/>
      <c r="AB590" s="15"/>
      <c r="AC590" s="15"/>
      <c r="AD590" s="15"/>
      <c r="AE590" s="15"/>
    </row>
    <row r="591" spans="1:31" x14ac:dyDescent="0.85">
      <c r="A591" s="15"/>
      <c r="B591" s="15"/>
      <c r="C591" s="15"/>
      <c r="D591" s="15"/>
      <c r="E591" s="15"/>
      <c r="F591" s="15"/>
      <c r="G591" s="15"/>
      <c r="H591" s="15"/>
      <c r="I591" s="15"/>
      <c r="J591" s="15"/>
      <c r="K591" s="15"/>
      <c r="L591" s="747"/>
      <c r="M591" s="15"/>
      <c r="N591" s="15"/>
      <c r="O591" s="15"/>
      <c r="P591" s="15"/>
      <c r="Q591" s="15"/>
      <c r="R591" s="15"/>
      <c r="S591" s="15"/>
      <c r="T591" s="15"/>
      <c r="U591" s="15"/>
      <c r="V591" s="15"/>
      <c r="W591" s="15"/>
      <c r="X591" s="15"/>
      <c r="Y591" s="15"/>
      <c r="Z591" s="15"/>
      <c r="AA591" s="15"/>
      <c r="AB591" s="15"/>
      <c r="AC591" s="15"/>
      <c r="AD591" s="15"/>
      <c r="AE591" s="15"/>
    </row>
    <row r="592" spans="1:31" x14ac:dyDescent="0.85">
      <c r="A592" s="15"/>
      <c r="B592" s="15"/>
      <c r="C592" s="15"/>
      <c r="D592" s="15"/>
      <c r="E592" s="15"/>
      <c r="F592" s="15"/>
      <c r="G592" s="15"/>
      <c r="H592" s="15"/>
      <c r="I592" s="15"/>
      <c r="J592" s="15"/>
      <c r="K592" s="15"/>
      <c r="L592" s="747"/>
      <c r="M592" s="15"/>
      <c r="N592" s="15"/>
      <c r="O592" s="15"/>
      <c r="P592" s="15"/>
      <c r="Q592" s="15"/>
      <c r="R592" s="15"/>
      <c r="S592" s="15"/>
      <c r="T592" s="15"/>
      <c r="U592" s="15"/>
      <c r="V592" s="15"/>
      <c r="W592" s="15"/>
      <c r="X592" s="15"/>
      <c r="Y592" s="15"/>
      <c r="Z592" s="15"/>
      <c r="AA592" s="15"/>
      <c r="AB592" s="15"/>
      <c r="AC592" s="15"/>
      <c r="AD592" s="15"/>
      <c r="AE592" s="15"/>
    </row>
    <row r="593" spans="1:31" x14ac:dyDescent="0.85">
      <c r="A593" s="15"/>
      <c r="B593" s="15"/>
      <c r="C593" s="15"/>
      <c r="D593" s="15"/>
      <c r="E593" s="15"/>
      <c r="F593" s="15"/>
      <c r="G593" s="15"/>
      <c r="H593" s="15"/>
      <c r="I593" s="15"/>
      <c r="J593" s="15"/>
      <c r="K593" s="15"/>
      <c r="L593" s="747"/>
      <c r="M593" s="15"/>
      <c r="N593" s="15"/>
      <c r="O593" s="15"/>
      <c r="P593" s="15"/>
      <c r="Q593" s="15"/>
      <c r="R593" s="15"/>
      <c r="S593" s="15"/>
      <c r="T593" s="15"/>
      <c r="U593" s="15"/>
      <c r="V593" s="15"/>
      <c r="W593" s="15"/>
      <c r="X593" s="15"/>
      <c r="Y593" s="15"/>
      <c r="Z593" s="15"/>
      <c r="AA593" s="15"/>
      <c r="AB593" s="15"/>
      <c r="AC593" s="15"/>
      <c r="AD593" s="15"/>
      <c r="AE593" s="15"/>
    </row>
    <row r="594" spans="1:31" x14ac:dyDescent="0.85">
      <c r="A594" s="15"/>
      <c r="B594" s="15"/>
      <c r="C594" s="15"/>
      <c r="D594" s="15"/>
      <c r="E594" s="15"/>
      <c r="F594" s="15"/>
      <c r="G594" s="15"/>
      <c r="H594" s="15"/>
      <c r="I594" s="15"/>
      <c r="J594" s="15"/>
      <c r="K594" s="15"/>
      <c r="L594" s="747"/>
      <c r="M594" s="15"/>
      <c r="N594" s="15"/>
      <c r="O594" s="15"/>
      <c r="P594" s="15"/>
      <c r="Q594" s="15"/>
      <c r="R594" s="15"/>
      <c r="S594" s="15"/>
      <c r="T594" s="15"/>
      <c r="U594" s="15"/>
      <c r="V594" s="15"/>
      <c r="W594" s="15"/>
      <c r="X594" s="15"/>
      <c r="Y594" s="15"/>
      <c r="Z594" s="15"/>
      <c r="AA594" s="15"/>
      <c r="AB594" s="15"/>
      <c r="AC594" s="15"/>
      <c r="AD594" s="15"/>
      <c r="AE594" s="15"/>
    </row>
    <row r="595" spans="1:31" x14ac:dyDescent="0.85">
      <c r="A595" s="15"/>
      <c r="B595" s="15"/>
      <c r="C595" s="15"/>
      <c r="D595" s="15"/>
      <c r="E595" s="15"/>
      <c r="F595" s="15"/>
      <c r="G595" s="15"/>
      <c r="H595" s="15"/>
      <c r="I595" s="15"/>
      <c r="J595" s="15"/>
      <c r="K595" s="15"/>
      <c r="L595" s="747"/>
      <c r="M595" s="15"/>
      <c r="N595" s="15"/>
      <c r="O595" s="15"/>
      <c r="P595" s="15"/>
      <c r="Q595" s="15"/>
      <c r="R595" s="15"/>
      <c r="S595" s="15"/>
      <c r="T595" s="15"/>
      <c r="U595" s="15"/>
      <c r="V595" s="15"/>
      <c r="W595" s="15"/>
      <c r="X595" s="15"/>
      <c r="Y595" s="15"/>
      <c r="Z595" s="15"/>
      <c r="AA595" s="15"/>
      <c r="AB595" s="15"/>
      <c r="AC595" s="15"/>
      <c r="AD595" s="15"/>
      <c r="AE595" s="15"/>
    </row>
    <row r="596" spans="1:31" x14ac:dyDescent="0.85">
      <c r="A596" s="15"/>
      <c r="B596" s="15"/>
      <c r="C596" s="15"/>
      <c r="D596" s="15"/>
      <c r="E596" s="15"/>
      <c r="F596" s="15"/>
      <c r="G596" s="15"/>
      <c r="H596" s="15"/>
      <c r="I596" s="15"/>
      <c r="J596" s="15"/>
      <c r="K596" s="15"/>
      <c r="L596" s="747"/>
      <c r="M596" s="15"/>
      <c r="N596" s="15"/>
      <c r="O596" s="15"/>
      <c r="P596" s="15"/>
      <c r="Q596" s="15"/>
      <c r="R596" s="15"/>
      <c r="S596" s="15"/>
      <c r="T596" s="15"/>
      <c r="U596" s="15"/>
      <c r="V596" s="15"/>
      <c r="W596" s="15"/>
      <c r="X596" s="15"/>
      <c r="Y596" s="15"/>
      <c r="Z596" s="15"/>
      <c r="AA596" s="15"/>
      <c r="AB596" s="15"/>
      <c r="AC596" s="15"/>
      <c r="AD596" s="15"/>
      <c r="AE596" s="15"/>
    </row>
    <row r="597" spans="1:31" x14ac:dyDescent="0.85">
      <c r="A597" s="15"/>
      <c r="B597" s="15"/>
      <c r="C597" s="15"/>
      <c r="D597" s="15"/>
      <c r="E597" s="15"/>
      <c r="F597" s="15"/>
      <c r="G597" s="15"/>
      <c r="H597" s="15"/>
      <c r="I597" s="15"/>
      <c r="J597" s="15"/>
      <c r="K597" s="15"/>
      <c r="L597" s="747"/>
      <c r="M597" s="15"/>
      <c r="N597" s="15"/>
      <c r="O597" s="15"/>
      <c r="P597" s="15"/>
      <c r="Q597" s="15"/>
      <c r="R597" s="15"/>
      <c r="S597" s="15"/>
      <c r="T597" s="15"/>
      <c r="U597" s="15"/>
      <c r="V597" s="15"/>
      <c r="W597" s="15"/>
      <c r="X597" s="15"/>
      <c r="Y597" s="15"/>
      <c r="Z597" s="15"/>
      <c r="AA597" s="15"/>
      <c r="AB597" s="15"/>
      <c r="AC597" s="15"/>
      <c r="AD597" s="15"/>
      <c r="AE597" s="15"/>
    </row>
    <row r="598" spans="1:31" x14ac:dyDescent="0.85">
      <c r="A598" s="15"/>
      <c r="B598" s="15"/>
      <c r="C598" s="15"/>
      <c r="D598" s="15"/>
      <c r="E598" s="15"/>
      <c r="F598" s="15"/>
      <c r="G598" s="15"/>
      <c r="H598" s="15"/>
      <c r="I598" s="15"/>
      <c r="J598" s="15"/>
      <c r="K598" s="15"/>
      <c r="L598" s="747"/>
      <c r="M598" s="15"/>
      <c r="N598" s="15"/>
      <c r="O598" s="15"/>
      <c r="P598" s="15"/>
      <c r="Q598" s="15"/>
      <c r="R598" s="15"/>
      <c r="S598" s="15"/>
      <c r="T598" s="15"/>
      <c r="U598" s="15"/>
      <c r="V598" s="15"/>
      <c r="W598" s="15"/>
      <c r="X598" s="15"/>
      <c r="Y598" s="15"/>
      <c r="Z598" s="15"/>
      <c r="AA598" s="15"/>
      <c r="AB598" s="15"/>
      <c r="AC598" s="15"/>
      <c r="AD598" s="15"/>
      <c r="AE598" s="15"/>
    </row>
    <row r="599" spans="1:31" x14ac:dyDescent="0.85">
      <c r="A599" s="15"/>
      <c r="B599" s="15"/>
      <c r="C599" s="15"/>
      <c r="D599" s="15"/>
      <c r="E599" s="15"/>
      <c r="F599" s="15"/>
      <c r="G599" s="15"/>
      <c r="H599" s="15"/>
      <c r="I599" s="15"/>
      <c r="J599" s="15"/>
      <c r="K599" s="15"/>
      <c r="L599" s="747"/>
      <c r="M599" s="15"/>
      <c r="N599" s="15"/>
      <c r="O599" s="15"/>
      <c r="P599" s="15"/>
      <c r="Q599" s="15"/>
      <c r="R599" s="15"/>
      <c r="S599" s="15"/>
      <c r="T599" s="15"/>
      <c r="U599" s="15"/>
      <c r="V599" s="15"/>
      <c r="W599" s="15"/>
      <c r="X599" s="15"/>
      <c r="Y599" s="15"/>
      <c r="Z599" s="15"/>
      <c r="AA599" s="15"/>
      <c r="AB599" s="15"/>
      <c r="AC599" s="15"/>
      <c r="AD599" s="15"/>
      <c r="AE599" s="15"/>
    </row>
    <row r="600" spans="1:31" x14ac:dyDescent="0.85">
      <c r="A600" s="15"/>
      <c r="B600" s="15"/>
      <c r="C600" s="15"/>
      <c r="D600" s="15"/>
      <c r="E600" s="15"/>
      <c r="F600" s="15"/>
      <c r="G600" s="15"/>
      <c r="H600" s="15"/>
      <c r="I600" s="15"/>
      <c r="J600" s="15"/>
      <c r="K600" s="15"/>
      <c r="L600" s="747"/>
      <c r="M600" s="15"/>
      <c r="N600" s="15"/>
      <c r="O600" s="15"/>
      <c r="P600" s="15"/>
      <c r="Q600" s="15"/>
      <c r="R600" s="15"/>
      <c r="S600" s="15"/>
      <c r="T600" s="15"/>
      <c r="U600" s="15"/>
      <c r="V600" s="15"/>
      <c r="W600" s="15"/>
      <c r="X600" s="15"/>
      <c r="Y600" s="15"/>
      <c r="Z600" s="15"/>
      <c r="AA600" s="15"/>
      <c r="AB600" s="15"/>
      <c r="AC600" s="15"/>
      <c r="AD600" s="15"/>
      <c r="AE600" s="15"/>
    </row>
    <row r="601" spans="1:31" x14ac:dyDescent="0.85">
      <c r="A601" s="15"/>
      <c r="B601" s="15"/>
      <c r="C601" s="15"/>
      <c r="D601" s="15"/>
      <c r="E601" s="15"/>
      <c r="F601" s="15"/>
      <c r="G601" s="15"/>
      <c r="H601" s="15"/>
      <c r="I601" s="15"/>
      <c r="J601" s="15"/>
      <c r="K601" s="15"/>
      <c r="L601" s="747"/>
      <c r="M601" s="15"/>
      <c r="N601" s="15"/>
      <c r="O601" s="15"/>
      <c r="P601" s="15"/>
      <c r="Q601" s="15"/>
      <c r="R601" s="15"/>
      <c r="S601" s="15"/>
      <c r="T601" s="15"/>
      <c r="U601" s="15"/>
      <c r="V601" s="15"/>
      <c r="W601" s="15"/>
      <c r="X601" s="15"/>
      <c r="Y601" s="15"/>
      <c r="Z601" s="15"/>
      <c r="AA601" s="15"/>
      <c r="AB601" s="15"/>
      <c r="AC601" s="15"/>
      <c r="AD601" s="15"/>
      <c r="AE601" s="15"/>
    </row>
    <row r="602" spans="1:31" x14ac:dyDescent="0.85">
      <c r="A602" s="15"/>
      <c r="B602" s="15"/>
      <c r="C602" s="15"/>
      <c r="D602" s="15"/>
      <c r="E602" s="15"/>
      <c r="F602" s="15"/>
      <c r="G602" s="15"/>
      <c r="H602" s="15"/>
      <c r="I602" s="15"/>
      <c r="J602" s="15"/>
      <c r="K602" s="15"/>
      <c r="L602" s="747"/>
      <c r="M602" s="15"/>
      <c r="N602" s="15"/>
      <c r="O602" s="15"/>
      <c r="P602" s="15"/>
      <c r="Q602" s="15"/>
      <c r="R602" s="15"/>
      <c r="S602" s="15"/>
      <c r="T602" s="15"/>
      <c r="U602" s="15"/>
      <c r="V602" s="15"/>
      <c r="W602" s="15"/>
      <c r="X602" s="15"/>
      <c r="Y602" s="15"/>
      <c r="Z602" s="15"/>
      <c r="AA602" s="15"/>
      <c r="AB602" s="15"/>
      <c r="AC602" s="15"/>
      <c r="AD602" s="15"/>
      <c r="AE602" s="15"/>
    </row>
    <row r="603" spans="1:31" x14ac:dyDescent="0.85">
      <c r="A603" s="15"/>
      <c r="B603" s="15"/>
      <c r="C603" s="15"/>
      <c r="D603" s="15"/>
      <c r="E603" s="15"/>
      <c r="F603" s="15"/>
      <c r="G603" s="15"/>
      <c r="H603" s="15"/>
      <c r="I603" s="15"/>
      <c r="J603" s="15"/>
      <c r="K603" s="15"/>
      <c r="L603" s="747"/>
      <c r="M603" s="15"/>
      <c r="N603" s="15"/>
      <c r="O603" s="15"/>
      <c r="P603" s="15"/>
      <c r="Q603" s="15"/>
      <c r="R603" s="15"/>
      <c r="S603" s="15"/>
      <c r="T603" s="15"/>
      <c r="U603" s="15"/>
      <c r="V603" s="15"/>
      <c r="W603" s="15"/>
      <c r="X603" s="15"/>
      <c r="Y603" s="15"/>
      <c r="Z603" s="15"/>
      <c r="AA603" s="15"/>
      <c r="AB603" s="15"/>
      <c r="AC603" s="15"/>
      <c r="AD603" s="15"/>
      <c r="AE603" s="15"/>
    </row>
    <row r="604" spans="1:31" x14ac:dyDescent="0.85">
      <c r="A604" s="15"/>
      <c r="B604" s="15"/>
      <c r="C604" s="15"/>
      <c r="D604" s="15"/>
      <c r="E604" s="15"/>
      <c r="F604" s="15"/>
      <c r="G604" s="15"/>
      <c r="H604" s="15"/>
      <c r="I604" s="15"/>
      <c r="J604" s="15"/>
      <c r="K604" s="15"/>
      <c r="L604" s="747"/>
      <c r="M604" s="15"/>
      <c r="N604" s="15"/>
      <c r="O604" s="15"/>
      <c r="P604" s="15"/>
      <c r="Q604" s="15"/>
      <c r="R604" s="15"/>
      <c r="S604" s="15"/>
      <c r="T604" s="15"/>
      <c r="U604" s="15"/>
      <c r="V604" s="15"/>
      <c r="W604" s="15"/>
      <c r="X604" s="15"/>
      <c r="Y604" s="15"/>
      <c r="Z604" s="15"/>
      <c r="AA604" s="15"/>
      <c r="AB604" s="15"/>
      <c r="AC604" s="15"/>
      <c r="AD604" s="15"/>
      <c r="AE604" s="15"/>
    </row>
    <row r="605" spans="1:31" x14ac:dyDescent="0.85">
      <c r="A605" s="15"/>
      <c r="B605" s="15"/>
      <c r="C605" s="15"/>
      <c r="D605" s="15"/>
      <c r="E605" s="15"/>
      <c r="F605" s="15"/>
      <c r="G605" s="15"/>
      <c r="H605" s="15"/>
      <c r="I605" s="15"/>
      <c r="J605" s="15"/>
      <c r="K605" s="15"/>
      <c r="L605" s="747"/>
      <c r="M605" s="15"/>
      <c r="N605" s="15"/>
      <c r="O605" s="15"/>
      <c r="P605" s="15"/>
      <c r="Q605" s="15"/>
      <c r="R605" s="15"/>
      <c r="S605" s="15"/>
      <c r="T605" s="15"/>
      <c r="U605" s="15"/>
      <c r="V605" s="15"/>
      <c r="W605" s="15"/>
      <c r="X605" s="15"/>
      <c r="Y605" s="15"/>
      <c r="Z605" s="15"/>
      <c r="AA605" s="15"/>
      <c r="AB605" s="15"/>
      <c r="AC605" s="15"/>
      <c r="AD605" s="15"/>
      <c r="AE605" s="15"/>
    </row>
    <row r="606" spans="1:31" x14ac:dyDescent="0.85">
      <c r="A606" s="15"/>
      <c r="B606" s="15"/>
      <c r="C606" s="15"/>
      <c r="D606" s="15"/>
      <c r="E606" s="15"/>
      <c r="F606" s="15"/>
      <c r="G606" s="15"/>
      <c r="H606" s="15"/>
      <c r="I606" s="15"/>
      <c r="J606" s="15"/>
      <c r="K606" s="15"/>
      <c r="L606" s="747"/>
      <c r="M606" s="15"/>
      <c r="N606" s="15"/>
      <c r="O606" s="15"/>
      <c r="P606" s="15"/>
      <c r="Q606" s="15"/>
      <c r="R606" s="15"/>
      <c r="S606" s="15"/>
      <c r="T606" s="15"/>
      <c r="U606" s="15"/>
      <c r="V606" s="15"/>
      <c r="W606" s="15"/>
      <c r="X606" s="15"/>
      <c r="Y606" s="15"/>
      <c r="Z606" s="15"/>
      <c r="AA606" s="15"/>
      <c r="AB606" s="15"/>
      <c r="AC606" s="15"/>
      <c r="AD606" s="15"/>
      <c r="AE606" s="15"/>
    </row>
    <row r="607" spans="1:31" x14ac:dyDescent="0.85">
      <c r="A607" s="15"/>
      <c r="B607" s="15"/>
      <c r="C607" s="15"/>
      <c r="D607" s="15"/>
      <c r="E607" s="15"/>
      <c r="F607" s="15"/>
      <c r="G607" s="15"/>
      <c r="H607" s="15"/>
      <c r="I607" s="15"/>
      <c r="J607" s="15"/>
      <c r="K607" s="15"/>
      <c r="L607" s="747"/>
      <c r="M607" s="15"/>
      <c r="N607" s="15"/>
      <c r="O607" s="15"/>
      <c r="P607" s="15"/>
      <c r="Q607" s="15"/>
      <c r="R607" s="15"/>
      <c r="S607" s="15"/>
      <c r="T607" s="15"/>
      <c r="U607" s="15"/>
      <c r="V607" s="15"/>
      <c r="W607" s="15"/>
      <c r="X607" s="15"/>
      <c r="Y607" s="15"/>
      <c r="Z607" s="15"/>
      <c r="AA607" s="15"/>
      <c r="AB607" s="15"/>
      <c r="AC607" s="15"/>
      <c r="AD607" s="15"/>
      <c r="AE607" s="15"/>
    </row>
    <row r="608" spans="1:31" x14ac:dyDescent="0.85">
      <c r="A608" s="15"/>
      <c r="B608" s="15"/>
      <c r="C608" s="15"/>
      <c r="D608" s="15"/>
      <c r="E608" s="15"/>
      <c r="F608" s="15"/>
      <c r="G608" s="15"/>
      <c r="H608" s="15"/>
      <c r="I608" s="15"/>
      <c r="J608" s="15"/>
      <c r="K608" s="15"/>
      <c r="L608" s="747"/>
      <c r="M608" s="15"/>
      <c r="N608" s="15"/>
      <c r="O608" s="15"/>
      <c r="P608" s="15"/>
      <c r="Q608" s="15"/>
      <c r="R608" s="15"/>
      <c r="S608" s="15"/>
      <c r="T608" s="15"/>
      <c r="U608" s="15"/>
      <c r="V608" s="15"/>
      <c r="W608" s="15"/>
      <c r="X608" s="15"/>
      <c r="Y608" s="15"/>
      <c r="Z608" s="15"/>
      <c r="AA608" s="15"/>
      <c r="AB608" s="15"/>
      <c r="AC608" s="15"/>
      <c r="AD608" s="15"/>
      <c r="AE608" s="15"/>
    </row>
    <row r="609" spans="1:31" x14ac:dyDescent="0.85">
      <c r="A609" s="15"/>
      <c r="B609" s="15"/>
      <c r="C609" s="15"/>
      <c r="D609" s="15"/>
      <c r="E609" s="15"/>
      <c r="F609" s="15"/>
      <c r="G609" s="15"/>
      <c r="H609" s="15"/>
      <c r="I609" s="15"/>
      <c r="J609" s="15"/>
      <c r="K609" s="15"/>
      <c r="L609" s="747"/>
      <c r="M609" s="15"/>
      <c r="N609" s="15"/>
      <c r="O609" s="15"/>
      <c r="P609" s="15"/>
      <c r="Q609" s="15"/>
      <c r="R609" s="15"/>
      <c r="S609" s="15"/>
      <c r="T609" s="15"/>
      <c r="U609" s="15"/>
      <c r="V609" s="15"/>
      <c r="W609" s="15"/>
      <c r="X609" s="15"/>
      <c r="Y609" s="15"/>
      <c r="Z609" s="15"/>
      <c r="AA609" s="15"/>
      <c r="AB609" s="15"/>
      <c r="AC609" s="15"/>
      <c r="AD609" s="15"/>
      <c r="AE609" s="15"/>
    </row>
    <row r="610" spans="1:31" x14ac:dyDescent="0.85">
      <c r="A610" s="15"/>
      <c r="B610" s="15"/>
      <c r="C610" s="15"/>
      <c r="D610" s="15"/>
      <c r="E610" s="15"/>
      <c r="F610" s="15"/>
      <c r="G610" s="15"/>
      <c r="H610" s="15"/>
      <c r="I610" s="15"/>
      <c r="J610" s="15"/>
      <c r="K610" s="15"/>
      <c r="L610" s="747"/>
      <c r="M610" s="15"/>
      <c r="N610" s="15"/>
      <c r="O610" s="15"/>
      <c r="P610" s="15"/>
      <c r="Q610" s="15"/>
      <c r="R610" s="15"/>
      <c r="S610" s="15"/>
      <c r="T610" s="15"/>
      <c r="U610" s="15"/>
      <c r="V610" s="15"/>
      <c r="W610" s="15"/>
      <c r="X610" s="15"/>
      <c r="Y610" s="15"/>
      <c r="Z610" s="15"/>
      <c r="AA610" s="15"/>
      <c r="AB610" s="15"/>
      <c r="AC610" s="15"/>
      <c r="AD610" s="15"/>
      <c r="AE610" s="15"/>
    </row>
    <row r="611" spans="1:31" x14ac:dyDescent="0.85">
      <c r="A611" s="15"/>
      <c r="B611" s="15"/>
      <c r="C611" s="15"/>
      <c r="D611" s="15"/>
      <c r="E611" s="15"/>
      <c r="F611" s="15"/>
      <c r="G611" s="15"/>
      <c r="H611" s="15"/>
      <c r="I611" s="15"/>
      <c r="J611" s="15"/>
      <c r="K611" s="15"/>
      <c r="L611" s="747"/>
      <c r="M611" s="15"/>
      <c r="N611" s="15"/>
      <c r="O611" s="15"/>
      <c r="P611" s="15"/>
      <c r="Q611" s="15"/>
      <c r="R611" s="15"/>
      <c r="S611" s="15"/>
      <c r="T611" s="15"/>
      <c r="U611" s="15"/>
      <c r="V611" s="15"/>
      <c r="W611" s="15"/>
      <c r="X611" s="15"/>
      <c r="Y611" s="15"/>
      <c r="Z611" s="15"/>
      <c r="AA611" s="15"/>
      <c r="AB611" s="15"/>
      <c r="AC611" s="15"/>
      <c r="AD611" s="15"/>
      <c r="AE611" s="15"/>
    </row>
    <row r="612" spans="1:31" x14ac:dyDescent="0.85">
      <c r="A612" s="15"/>
      <c r="B612" s="15"/>
      <c r="C612" s="15"/>
      <c r="D612" s="15"/>
      <c r="E612" s="15"/>
      <c r="F612" s="15"/>
      <c r="G612" s="15"/>
      <c r="H612" s="15"/>
      <c r="I612" s="15"/>
      <c r="J612" s="15"/>
      <c r="K612" s="15"/>
      <c r="L612" s="747"/>
      <c r="M612" s="15"/>
      <c r="N612" s="15"/>
      <c r="O612" s="15"/>
      <c r="P612" s="15"/>
      <c r="Q612" s="15"/>
      <c r="R612" s="15"/>
      <c r="S612" s="15"/>
      <c r="T612" s="15"/>
      <c r="U612" s="15"/>
      <c r="V612" s="15"/>
      <c r="W612" s="15"/>
      <c r="X612" s="15"/>
      <c r="Y612" s="15"/>
      <c r="Z612" s="15"/>
      <c r="AA612" s="15"/>
      <c r="AB612" s="15"/>
      <c r="AC612" s="15"/>
      <c r="AD612" s="15"/>
      <c r="AE612" s="15"/>
    </row>
    <row r="613" spans="1:31" x14ac:dyDescent="0.85">
      <c r="A613" s="15"/>
      <c r="B613" s="15"/>
      <c r="C613" s="15"/>
      <c r="D613" s="15"/>
      <c r="E613" s="15"/>
      <c r="F613" s="15"/>
      <c r="G613" s="15"/>
      <c r="H613" s="15"/>
      <c r="I613" s="15"/>
      <c r="J613" s="15"/>
      <c r="K613" s="15"/>
      <c r="L613" s="747"/>
      <c r="M613" s="15"/>
      <c r="N613" s="15"/>
      <c r="O613" s="15"/>
      <c r="P613" s="15"/>
      <c r="Q613" s="15"/>
      <c r="R613" s="15"/>
      <c r="S613" s="15"/>
      <c r="T613" s="15"/>
      <c r="U613" s="15"/>
      <c r="V613" s="15"/>
      <c r="W613" s="15"/>
      <c r="X613" s="15"/>
      <c r="Y613" s="15"/>
      <c r="Z613" s="15"/>
      <c r="AA613" s="15"/>
      <c r="AB613" s="15"/>
      <c r="AC613" s="15"/>
      <c r="AD613" s="15"/>
      <c r="AE613" s="15"/>
    </row>
    <row r="614" spans="1:31" x14ac:dyDescent="0.85">
      <c r="A614" s="15"/>
      <c r="B614" s="15"/>
      <c r="C614" s="15"/>
      <c r="D614" s="15"/>
      <c r="E614" s="15"/>
      <c r="F614" s="15"/>
      <c r="G614" s="15"/>
      <c r="H614" s="15"/>
      <c r="I614" s="15"/>
      <c r="J614" s="15"/>
      <c r="K614" s="15"/>
      <c r="L614" s="747"/>
      <c r="M614" s="15"/>
      <c r="N614" s="15"/>
      <c r="O614" s="15"/>
      <c r="P614" s="15"/>
      <c r="Q614" s="15"/>
      <c r="R614" s="15"/>
      <c r="S614" s="15"/>
      <c r="T614" s="15"/>
      <c r="U614" s="15"/>
      <c r="V614" s="15"/>
      <c r="W614" s="15"/>
      <c r="X614" s="15"/>
      <c r="Y614" s="15"/>
      <c r="Z614" s="15"/>
      <c r="AA614" s="15"/>
      <c r="AB614" s="15"/>
      <c r="AC614" s="15"/>
      <c r="AD614" s="15"/>
      <c r="AE614" s="15"/>
    </row>
    <row r="615" spans="1:31" x14ac:dyDescent="0.85">
      <c r="A615" s="15"/>
      <c r="B615" s="15"/>
      <c r="C615" s="15"/>
      <c r="D615" s="15"/>
      <c r="E615" s="15"/>
      <c r="F615" s="15"/>
      <c r="G615" s="15"/>
      <c r="H615" s="15"/>
      <c r="I615" s="15"/>
      <c r="J615" s="15"/>
      <c r="K615" s="15"/>
      <c r="L615" s="747"/>
      <c r="M615" s="15"/>
      <c r="N615" s="15"/>
      <c r="O615" s="15"/>
      <c r="P615" s="15"/>
      <c r="Q615" s="15"/>
      <c r="R615" s="15"/>
      <c r="S615" s="15"/>
      <c r="T615" s="15"/>
      <c r="U615" s="15"/>
      <c r="V615" s="15"/>
      <c r="W615" s="15"/>
      <c r="X615" s="15"/>
      <c r="Y615" s="15"/>
      <c r="Z615" s="15"/>
      <c r="AA615" s="15"/>
      <c r="AB615" s="15"/>
      <c r="AC615" s="15"/>
      <c r="AD615" s="15"/>
      <c r="AE615" s="15"/>
    </row>
    <row r="616" spans="1:31" x14ac:dyDescent="0.85">
      <c r="A616" s="15"/>
      <c r="B616" s="15"/>
      <c r="C616" s="15"/>
      <c r="D616" s="15"/>
      <c r="E616" s="15"/>
      <c r="F616" s="15"/>
      <c r="G616" s="15"/>
      <c r="H616" s="15"/>
      <c r="I616" s="15"/>
      <c r="J616" s="15"/>
      <c r="K616" s="15"/>
      <c r="L616" s="747"/>
      <c r="M616" s="15"/>
      <c r="N616" s="15"/>
      <c r="O616" s="15"/>
      <c r="P616" s="15"/>
      <c r="Q616" s="15"/>
      <c r="R616" s="15"/>
      <c r="S616" s="15"/>
      <c r="T616" s="15"/>
      <c r="U616" s="15"/>
      <c r="V616" s="15"/>
      <c r="W616" s="15"/>
      <c r="X616" s="15"/>
      <c r="Y616" s="15"/>
      <c r="Z616" s="15"/>
      <c r="AA616" s="15"/>
      <c r="AB616" s="15"/>
      <c r="AC616" s="15"/>
      <c r="AD616" s="15"/>
      <c r="AE616" s="15"/>
    </row>
    <row r="617" spans="1:31" x14ac:dyDescent="0.85">
      <c r="A617" s="15"/>
      <c r="B617" s="15"/>
      <c r="C617" s="15"/>
      <c r="D617" s="15"/>
      <c r="E617" s="15"/>
      <c r="F617" s="15"/>
      <c r="G617" s="15"/>
      <c r="H617" s="15"/>
      <c r="I617" s="15"/>
      <c r="J617" s="15"/>
      <c r="K617" s="15"/>
      <c r="L617" s="747"/>
      <c r="M617" s="15"/>
      <c r="N617" s="15"/>
      <c r="O617" s="15"/>
      <c r="P617" s="15"/>
      <c r="Q617" s="15"/>
      <c r="R617" s="15"/>
      <c r="S617" s="15"/>
      <c r="T617" s="15"/>
      <c r="U617" s="15"/>
      <c r="V617" s="15"/>
      <c r="W617" s="15"/>
      <c r="X617" s="15"/>
      <c r="Y617" s="15"/>
      <c r="Z617" s="15"/>
      <c r="AA617" s="15"/>
      <c r="AB617" s="15"/>
      <c r="AC617" s="15"/>
      <c r="AD617" s="15"/>
      <c r="AE617" s="15"/>
    </row>
    <row r="618" spans="1:31" x14ac:dyDescent="0.85">
      <c r="A618" s="15"/>
      <c r="B618" s="15"/>
      <c r="C618" s="15"/>
      <c r="D618" s="15"/>
      <c r="E618" s="15"/>
      <c r="F618" s="15"/>
      <c r="G618" s="15"/>
      <c r="H618" s="15"/>
      <c r="I618" s="15"/>
      <c r="J618" s="15"/>
      <c r="K618" s="15"/>
      <c r="L618" s="747"/>
      <c r="M618" s="15"/>
      <c r="N618" s="15"/>
      <c r="O618" s="15"/>
      <c r="P618" s="15"/>
      <c r="Q618" s="15"/>
      <c r="R618" s="15"/>
      <c r="S618" s="15"/>
      <c r="T618" s="15"/>
      <c r="U618" s="15"/>
      <c r="V618" s="15"/>
      <c r="W618" s="15"/>
      <c r="X618" s="15"/>
      <c r="Y618" s="15"/>
      <c r="Z618" s="15"/>
      <c r="AA618" s="15"/>
      <c r="AB618" s="15"/>
      <c r="AC618" s="15"/>
      <c r="AD618" s="15"/>
      <c r="AE618" s="15"/>
    </row>
    <row r="619" spans="1:31" x14ac:dyDescent="0.85">
      <c r="A619" s="15"/>
      <c r="B619" s="15"/>
      <c r="C619" s="15"/>
      <c r="D619" s="15"/>
      <c r="E619" s="15"/>
      <c r="F619" s="15"/>
      <c r="G619" s="15"/>
      <c r="H619" s="15"/>
      <c r="I619" s="15"/>
      <c r="J619" s="15"/>
      <c r="K619" s="15"/>
      <c r="L619" s="747"/>
      <c r="M619" s="15"/>
      <c r="N619" s="15"/>
      <c r="O619" s="15"/>
      <c r="P619" s="15"/>
      <c r="Q619" s="15"/>
      <c r="R619" s="15"/>
      <c r="S619" s="15"/>
      <c r="T619" s="15"/>
      <c r="U619" s="15"/>
      <c r="V619" s="15"/>
      <c r="W619" s="15"/>
      <c r="X619" s="15"/>
      <c r="Y619" s="15"/>
      <c r="Z619" s="15"/>
      <c r="AA619" s="15"/>
      <c r="AB619" s="15"/>
      <c r="AC619" s="15"/>
      <c r="AD619" s="15"/>
      <c r="AE619" s="15"/>
    </row>
    <row r="620" spans="1:31" x14ac:dyDescent="0.85">
      <c r="A620" s="15"/>
      <c r="B620" s="15"/>
      <c r="C620" s="15"/>
      <c r="D620" s="15"/>
      <c r="E620" s="15"/>
      <c r="F620" s="15"/>
      <c r="G620" s="15"/>
      <c r="H620" s="15"/>
      <c r="I620" s="15"/>
      <c r="J620" s="15"/>
      <c r="K620" s="15"/>
      <c r="L620" s="747"/>
      <c r="M620" s="15"/>
      <c r="N620" s="15"/>
      <c r="O620" s="15"/>
      <c r="P620" s="15"/>
      <c r="Q620" s="15"/>
      <c r="R620" s="15"/>
      <c r="S620" s="15"/>
      <c r="T620" s="15"/>
      <c r="U620" s="15"/>
      <c r="V620" s="15"/>
      <c r="W620" s="15"/>
      <c r="X620" s="15"/>
      <c r="Y620" s="15"/>
      <c r="Z620" s="15"/>
      <c r="AA620" s="15"/>
      <c r="AB620" s="15"/>
      <c r="AC620" s="15"/>
      <c r="AD620" s="15"/>
      <c r="AE620" s="15"/>
    </row>
    <row r="621" spans="1:31" x14ac:dyDescent="0.85">
      <c r="A621" s="15"/>
      <c r="B621" s="15"/>
      <c r="C621" s="15"/>
      <c r="D621" s="15"/>
      <c r="E621" s="15"/>
      <c r="F621" s="15"/>
      <c r="G621" s="15"/>
      <c r="H621" s="15"/>
      <c r="I621" s="15"/>
      <c r="J621" s="15"/>
      <c r="K621" s="15"/>
      <c r="L621" s="747"/>
      <c r="M621" s="15"/>
      <c r="N621" s="15"/>
      <c r="O621" s="15"/>
      <c r="P621" s="15"/>
      <c r="Q621" s="15"/>
      <c r="R621" s="15"/>
      <c r="S621" s="15"/>
      <c r="T621" s="15"/>
      <c r="U621" s="15"/>
      <c r="V621" s="15"/>
      <c r="W621" s="15"/>
      <c r="X621" s="15"/>
      <c r="Y621" s="15"/>
      <c r="Z621" s="15"/>
      <c r="AA621" s="15"/>
      <c r="AB621" s="15"/>
      <c r="AC621" s="15"/>
      <c r="AD621" s="15"/>
      <c r="AE621" s="15"/>
    </row>
    <row r="622" spans="1:31" x14ac:dyDescent="0.85">
      <c r="A622" s="15"/>
      <c r="B622" s="15"/>
      <c r="C622" s="15"/>
      <c r="D622" s="15"/>
      <c r="E622" s="15"/>
      <c r="F622" s="15"/>
      <c r="G622" s="15"/>
      <c r="H622" s="15"/>
      <c r="I622" s="15"/>
      <c r="J622" s="15"/>
      <c r="K622" s="15"/>
      <c r="L622" s="747"/>
      <c r="M622" s="15"/>
      <c r="N622" s="15"/>
      <c r="O622" s="15"/>
      <c r="P622" s="15"/>
      <c r="Q622" s="15"/>
      <c r="R622" s="15"/>
      <c r="S622" s="15"/>
      <c r="T622" s="15"/>
      <c r="U622" s="15"/>
      <c r="V622" s="15"/>
      <c r="W622" s="15"/>
      <c r="X622" s="15"/>
      <c r="Y622" s="15"/>
      <c r="Z622" s="15"/>
      <c r="AA622" s="15"/>
      <c r="AB622" s="15"/>
      <c r="AC622" s="15"/>
      <c r="AD622" s="15"/>
      <c r="AE622" s="15"/>
    </row>
    <row r="623" spans="1:31" x14ac:dyDescent="0.85">
      <c r="A623" s="15"/>
      <c r="B623" s="15"/>
      <c r="C623" s="15"/>
      <c r="D623" s="15"/>
      <c r="E623" s="15"/>
      <c r="F623" s="15"/>
      <c r="G623" s="15"/>
      <c r="H623" s="15"/>
      <c r="I623" s="15"/>
      <c r="J623" s="15"/>
      <c r="K623" s="15"/>
      <c r="L623" s="747"/>
      <c r="M623" s="15"/>
      <c r="N623" s="15"/>
      <c r="O623" s="15"/>
      <c r="P623" s="15"/>
      <c r="Q623" s="15"/>
      <c r="R623" s="15"/>
      <c r="S623" s="15"/>
      <c r="T623" s="15"/>
      <c r="U623" s="15"/>
      <c r="V623" s="15"/>
      <c r="W623" s="15"/>
      <c r="X623" s="15"/>
      <c r="Y623" s="15"/>
      <c r="Z623" s="15"/>
      <c r="AA623" s="15"/>
      <c r="AB623" s="15"/>
      <c r="AC623" s="15"/>
      <c r="AD623" s="15"/>
      <c r="AE623" s="15"/>
    </row>
    <row r="624" spans="1:31" x14ac:dyDescent="0.85">
      <c r="A624" s="15"/>
      <c r="B624" s="15"/>
      <c r="C624" s="15"/>
      <c r="D624" s="15"/>
      <c r="E624" s="15"/>
      <c r="F624" s="15"/>
      <c r="G624" s="15"/>
      <c r="H624" s="15"/>
      <c r="I624" s="15"/>
      <c r="J624" s="15"/>
      <c r="K624" s="15"/>
      <c r="L624" s="747"/>
      <c r="M624" s="15"/>
      <c r="N624" s="15"/>
      <c r="O624" s="15"/>
      <c r="P624" s="15"/>
      <c r="Q624" s="15"/>
      <c r="R624" s="15"/>
      <c r="S624" s="15"/>
      <c r="T624" s="15"/>
      <c r="U624" s="15"/>
      <c r="V624" s="15"/>
      <c r="W624" s="15"/>
      <c r="X624" s="15"/>
      <c r="Y624" s="15"/>
      <c r="Z624" s="15"/>
      <c r="AA624" s="15"/>
      <c r="AB624" s="15"/>
      <c r="AC624" s="15"/>
      <c r="AD624" s="15"/>
      <c r="AE624" s="15"/>
    </row>
    <row r="625" spans="1:31" x14ac:dyDescent="0.85">
      <c r="A625" s="15"/>
      <c r="B625" s="15"/>
      <c r="C625" s="15"/>
      <c r="D625" s="15"/>
      <c r="E625" s="15"/>
      <c r="F625" s="15"/>
      <c r="G625" s="15"/>
      <c r="H625" s="15"/>
      <c r="I625" s="15"/>
      <c r="J625" s="15"/>
      <c r="K625" s="15"/>
      <c r="L625" s="747"/>
      <c r="M625" s="15"/>
      <c r="N625" s="15"/>
      <c r="O625" s="15"/>
      <c r="P625" s="15"/>
      <c r="Q625" s="15"/>
      <c r="R625" s="15"/>
      <c r="S625" s="15"/>
      <c r="T625" s="15"/>
      <c r="U625" s="15"/>
      <c r="V625" s="15"/>
      <c r="W625" s="15"/>
      <c r="X625" s="15"/>
      <c r="Y625" s="15"/>
      <c r="Z625" s="15"/>
      <c r="AA625" s="15"/>
      <c r="AB625" s="15"/>
      <c r="AC625" s="15"/>
      <c r="AD625" s="15"/>
      <c r="AE625" s="15"/>
    </row>
    <row r="626" spans="1:31" x14ac:dyDescent="0.85">
      <c r="A626" s="15"/>
      <c r="B626" s="15"/>
      <c r="C626" s="15"/>
      <c r="D626" s="15"/>
      <c r="E626" s="15"/>
      <c r="F626" s="15"/>
      <c r="G626" s="15"/>
      <c r="H626" s="15"/>
      <c r="I626" s="15"/>
      <c r="J626" s="15"/>
      <c r="K626" s="15"/>
      <c r="L626" s="747"/>
      <c r="M626" s="15"/>
      <c r="N626" s="15"/>
      <c r="O626" s="15"/>
      <c r="P626" s="15"/>
      <c r="Q626" s="15"/>
      <c r="R626" s="15"/>
      <c r="S626" s="15"/>
      <c r="T626" s="15"/>
      <c r="U626" s="15"/>
      <c r="V626" s="15"/>
      <c r="W626" s="15"/>
      <c r="X626" s="15"/>
      <c r="Y626" s="15"/>
      <c r="Z626" s="15"/>
      <c r="AA626" s="15"/>
      <c r="AB626" s="15"/>
      <c r="AC626" s="15"/>
      <c r="AD626" s="15"/>
      <c r="AE626" s="15"/>
    </row>
    <row r="627" spans="1:31" x14ac:dyDescent="0.85">
      <c r="A627" s="15"/>
      <c r="B627" s="15"/>
      <c r="C627" s="15"/>
      <c r="D627" s="15"/>
      <c r="E627" s="15"/>
      <c r="F627" s="15"/>
      <c r="G627" s="15"/>
      <c r="H627" s="15"/>
      <c r="I627" s="15"/>
      <c r="J627" s="15"/>
      <c r="K627" s="15"/>
      <c r="L627" s="747"/>
      <c r="M627" s="15"/>
      <c r="N627" s="15"/>
      <c r="O627" s="15"/>
      <c r="P627" s="15"/>
      <c r="Q627" s="15"/>
      <c r="R627" s="15"/>
      <c r="S627" s="15"/>
      <c r="T627" s="15"/>
      <c r="U627" s="15"/>
      <c r="V627" s="15"/>
      <c r="W627" s="15"/>
      <c r="X627" s="15"/>
      <c r="Y627" s="15"/>
      <c r="Z627" s="15"/>
      <c r="AA627" s="15"/>
      <c r="AB627" s="15"/>
      <c r="AC627" s="15"/>
      <c r="AD627" s="15"/>
      <c r="AE627" s="15"/>
    </row>
    <row r="628" spans="1:31" x14ac:dyDescent="0.85">
      <c r="A628" s="15"/>
      <c r="B628" s="15"/>
      <c r="C628" s="15"/>
      <c r="D628" s="15"/>
      <c r="E628" s="15"/>
      <c r="F628" s="15"/>
      <c r="G628" s="15"/>
      <c r="H628" s="15"/>
      <c r="I628" s="15"/>
      <c r="J628" s="15"/>
      <c r="K628" s="15"/>
      <c r="L628" s="747"/>
      <c r="M628" s="15"/>
      <c r="N628" s="15"/>
      <c r="O628" s="15"/>
      <c r="P628" s="15"/>
      <c r="Q628" s="15"/>
      <c r="R628" s="15"/>
      <c r="S628" s="15"/>
      <c r="T628" s="15"/>
      <c r="U628" s="15"/>
      <c r="V628" s="15"/>
      <c r="W628" s="15"/>
      <c r="X628" s="15"/>
      <c r="Y628" s="15"/>
      <c r="Z628" s="15"/>
      <c r="AA628" s="15"/>
      <c r="AB628" s="15"/>
      <c r="AC628" s="15"/>
      <c r="AD628" s="15"/>
      <c r="AE628" s="15"/>
    </row>
    <row r="629" spans="1:31" x14ac:dyDescent="0.85">
      <c r="A629" s="15"/>
      <c r="B629" s="15"/>
      <c r="C629" s="15"/>
      <c r="D629" s="15"/>
      <c r="E629" s="15"/>
      <c r="F629" s="15"/>
      <c r="G629" s="15"/>
      <c r="H629" s="15"/>
      <c r="I629" s="15"/>
      <c r="J629" s="15"/>
      <c r="K629" s="15"/>
      <c r="L629" s="747"/>
      <c r="M629" s="15"/>
      <c r="N629" s="15"/>
      <c r="O629" s="15"/>
      <c r="P629" s="15"/>
      <c r="Q629" s="15"/>
      <c r="R629" s="15"/>
      <c r="S629" s="15"/>
      <c r="T629" s="15"/>
      <c r="U629" s="15"/>
      <c r="V629" s="15"/>
      <c r="W629" s="15"/>
      <c r="X629" s="15"/>
      <c r="Y629" s="15"/>
      <c r="Z629" s="15"/>
      <c r="AA629" s="15"/>
      <c r="AB629" s="15"/>
      <c r="AC629" s="15"/>
      <c r="AD629" s="15"/>
      <c r="AE629" s="15"/>
    </row>
    <row r="630" spans="1:31" x14ac:dyDescent="0.85">
      <c r="A630" s="15"/>
      <c r="B630" s="15"/>
      <c r="C630" s="15"/>
      <c r="D630" s="15"/>
      <c r="E630" s="15"/>
      <c r="F630" s="15"/>
      <c r="G630" s="15"/>
      <c r="H630" s="15"/>
      <c r="I630" s="15"/>
      <c r="J630" s="15"/>
      <c r="K630" s="15"/>
      <c r="L630" s="747"/>
      <c r="M630" s="15"/>
      <c r="N630" s="15"/>
      <c r="O630" s="15"/>
      <c r="P630" s="15"/>
      <c r="Q630" s="15"/>
      <c r="R630" s="15"/>
      <c r="S630" s="15"/>
      <c r="T630" s="15"/>
      <c r="U630" s="15"/>
      <c r="V630" s="15"/>
      <c r="W630" s="15"/>
      <c r="X630" s="15"/>
      <c r="Y630" s="15"/>
      <c r="Z630" s="15"/>
      <c r="AA630" s="15"/>
      <c r="AB630" s="15"/>
      <c r="AC630" s="15"/>
      <c r="AD630" s="15"/>
      <c r="AE630" s="15"/>
    </row>
    <row r="631" spans="1:31" x14ac:dyDescent="0.85">
      <c r="A631" s="15"/>
      <c r="B631" s="15"/>
      <c r="C631" s="15"/>
      <c r="D631" s="15"/>
      <c r="E631" s="15"/>
      <c r="F631" s="15"/>
      <c r="G631" s="15"/>
      <c r="H631" s="15"/>
      <c r="I631" s="15"/>
      <c r="J631" s="15"/>
      <c r="K631" s="15"/>
      <c r="L631" s="747"/>
      <c r="M631" s="15"/>
      <c r="N631" s="15"/>
      <c r="O631" s="15"/>
      <c r="P631" s="15"/>
      <c r="Q631" s="15"/>
      <c r="R631" s="15"/>
      <c r="S631" s="15"/>
      <c r="T631" s="15"/>
      <c r="U631" s="15"/>
      <c r="V631" s="15"/>
      <c r="W631" s="15"/>
      <c r="X631" s="15"/>
      <c r="Y631" s="15"/>
      <c r="Z631" s="15"/>
      <c r="AA631" s="15"/>
      <c r="AB631" s="15"/>
      <c r="AC631" s="15"/>
      <c r="AD631" s="15"/>
      <c r="AE631" s="15"/>
    </row>
    <row r="632" spans="1:31" x14ac:dyDescent="0.85">
      <c r="A632" s="15"/>
      <c r="B632" s="15"/>
      <c r="C632" s="15"/>
      <c r="D632" s="15"/>
      <c r="E632" s="15"/>
      <c r="F632" s="15"/>
      <c r="G632" s="15"/>
      <c r="H632" s="15"/>
      <c r="I632" s="15"/>
      <c r="J632" s="15"/>
      <c r="K632" s="15"/>
      <c r="L632" s="747"/>
      <c r="M632" s="15"/>
      <c r="N632" s="15"/>
      <c r="O632" s="15"/>
      <c r="P632" s="15"/>
      <c r="Q632" s="15"/>
      <c r="R632" s="15"/>
      <c r="S632" s="15"/>
      <c r="T632" s="15"/>
      <c r="U632" s="15"/>
      <c r="V632" s="15"/>
      <c r="W632" s="15"/>
      <c r="X632" s="15"/>
      <c r="Y632" s="15"/>
      <c r="Z632" s="15"/>
      <c r="AA632" s="15"/>
      <c r="AB632" s="15"/>
      <c r="AC632" s="15"/>
      <c r="AD632" s="15"/>
      <c r="AE632" s="15"/>
    </row>
    <row r="633" spans="1:31" x14ac:dyDescent="0.85">
      <c r="A633" s="15"/>
      <c r="B633" s="15"/>
      <c r="C633" s="15"/>
      <c r="D633" s="15"/>
      <c r="E633" s="15"/>
      <c r="F633" s="15"/>
      <c r="G633" s="15"/>
      <c r="H633" s="15"/>
      <c r="I633" s="15"/>
      <c r="J633" s="15"/>
      <c r="K633" s="15"/>
      <c r="L633" s="747"/>
      <c r="M633" s="15"/>
      <c r="N633" s="15"/>
      <c r="O633" s="15"/>
      <c r="P633" s="15"/>
      <c r="Q633" s="15"/>
      <c r="R633" s="15"/>
      <c r="S633" s="15"/>
      <c r="T633" s="15"/>
      <c r="U633" s="15"/>
      <c r="V633" s="15"/>
      <c r="W633" s="15"/>
      <c r="X633" s="15"/>
      <c r="Y633" s="15"/>
      <c r="Z633" s="15"/>
      <c r="AA633" s="15"/>
      <c r="AB633" s="15"/>
      <c r="AC633" s="15"/>
      <c r="AD633" s="15"/>
      <c r="AE633" s="15"/>
    </row>
    <row r="634" spans="1:31" x14ac:dyDescent="0.85">
      <c r="A634" s="15"/>
      <c r="B634" s="15"/>
      <c r="C634" s="15"/>
      <c r="D634" s="15"/>
      <c r="E634" s="15"/>
      <c r="F634" s="15"/>
      <c r="G634" s="15"/>
      <c r="H634" s="15"/>
      <c r="I634" s="15"/>
      <c r="J634" s="15"/>
      <c r="K634" s="15"/>
      <c r="L634" s="747"/>
      <c r="M634" s="15"/>
      <c r="N634" s="15"/>
      <c r="O634" s="15"/>
      <c r="P634" s="15"/>
      <c r="Q634" s="15"/>
      <c r="R634" s="15"/>
      <c r="S634" s="15"/>
      <c r="T634" s="15"/>
      <c r="U634" s="15"/>
      <c r="V634" s="15"/>
      <c r="W634" s="15"/>
      <c r="X634" s="15"/>
      <c r="Y634" s="15"/>
      <c r="Z634" s="15"/>
      <c r="AA634" s="15"/>
      <c r="AB634" s="15"/>
      <c r="AC634" s="15"/>
      <c r="AD634" s="15"/>
      <c r="AE634" s="15"/>
    </row>
    <row r="635" spans="1:31" x14ac:dyDescent="0.85">
      <c r="A635" s="15"/>
      <c r="B635" s="15"/>
      <c r="C635" s="15"/>
      <c r="D635" s="15"/>
      <c r="E635" s="15"/>
      <c r="F635" s="15"/>
      <c r="G635" s="15"/>
      <c r="H635" s="15"/>
      <c r="I635" s="15"/>
      <c r="J635" s="15"/>
      <c r="K635" s="15"/>
      <c r="L635" s="747"/>
      <c r="M635" s="15"/>
      <c r="N635" s="15"/>
      <c r="O635" s="15"/>
      <c r="P635" s="15"/>
      <c r="Q635" s="15"/>
      <c r="R635" s="15"/>
      <c r="S635" s="15"/>
      <c r="T635" s="15"/>
      <c r="U635" s="15"/>
      <c r="V635" s="15"/>
      <c r="W635" s="15"/>
      <c r="X635" s="15"/>
      <c r="Y635" s="15"/>
      <c r="Z635" s="15"/>
      <c r="AA635" s="15"/>
      <c r="AB635" s="15"/>
      <c r="AC635" s="15"/>
      <c r="AD635" s="15"/>
      <c r="AE635" s="15"/>
    </row>
    <row r="636" spans="1:31" x14ac:dyDescent="0.85">
      <c r="A636" s="15"/>
      <c r="B636" s="15"/>
      <c r="C636" s="15"/>
      <c r="D636" s="15"/>
      <c r="E636" s="15"/>
      <c r="F636" s="15"/>
      <c r="G636" s="15"/>
      <c r="H636" s="15"/>
      <c r="I636" s="15"/>
      <c r="J636" s="15"/>
      <c r="K636" s="15"/>
      <c r="L636" s="747"/>
      <c r="M636" s="15"/>
      <c r="N636" s="15"/>
      <c r="O636" s="15"/>
      <c r="P636" s="15"/>
      <c r="Q636" s="15"/>
      <c r="R636" s="15"/>
      <c r="S636" s="15"/>
      <c r="T636" s="15"/>
      <c r="U636" s="15"/>
      <c r="V636" s="15"/>
      <c r="W636" s="15"/>
      <c r="X636" s="15"/>
      <c r="Y636" s="15"/>
      <c r="Z636" s="15"/>
      <c r="AA636" s="15"/>
      <c r="AB636" s="15"/>
      <c r="AC636" s="15"/>
      <c r="AD636" s="15"/>
      <c r="AE636" s="15"/>
    </row>
    <row r="637" spans="1:31" x14ac:dyDescent="0.85">
      <c r="A637" s="15"/>
      <c r="B637" s="15"/>
      <c r="C637" s="15"/>
      <c r="D637" s="15"/>
      <c r="E637" s="15"/>
      <c r="F637" s="15"/>
      <c r="G637" s="15"/>
      <c r="H637" s="15"/>
      <c r="I637" s="15"/>
      <c r="J637" s="15"/>
      <c r="K637" s="15"/>
      <c r="L637" s="747"/>
      <c r="M637" s="15"/>
      <c r="N637" s="15"/>
      <c r="O637" s="15"/>
      <c r="P637" s="15"/>
      <c r="Q637" s="15"/>
      <c r="R637" s="15"/>
      <c r="S637" s="15"/>
      <c r="T637" s="15"/>
      <c r="U637" s="15"/>
      <c r="V637" s="15"/>
      <c r="W637" s="15"/>
      <c r="X637" s="15"/>
      <c r="Y637" s="15"/>
      <c r="Z637" s="15"/>
      <c r="AA637" s="15"/>
      <c r="AB637" s="15"/>
      <c r="AC637" s="15"/>
      <c r="AD637" s="15"/>
      <c r="AE637" s="15"/>
    </row>
    <row r="638" spans="1:31" x14ac:dyDescent="0.85">
      <c r="A638" s="15"/>
      <c r="B638" s="15"/>
      <c r="C638" s="15"/>
      <c r="D638" s="15"/>
      <c r="E638" s="15"/>
      <c r="F638" s="15"/>
      <c r="G638" s="15"/>
      <c r="H638" s="15"/>
      <c r="I638" s="15"/>
      <c r="J638" s="15"/>
      <c r="K638" s="15"/>
      <c r="L638" s="747"/>
      <c r="M638" s="15"/>
      <c r="N638" s="15"/>
      <c r="O638" s="15"/>
      <c r="P638" s="15"/>
      <c r="Q638" s="15"/>
      <c r="R638" s="15"/>
      <c r="S638" s="15"/>
      <c r="T638" s="15"/>
      <c r="U638" s="15"/>
      <c r="V638" s="15"/>
      <c r="W638" s="15"/>
      <c r="X638" s="15"/>
      <c r="Y638" s="15"/>
      <c r="Z638" s="15"/>
      <c r="AA638" s="15"/>
      <c r="AB638" s="15"/>
      <c r="AC638" s="15"/>
      <c r="AD638" s="15"/>
      <c r="AE638" s="15"/>
    </row>
    <row r="639" spans="1:31" x14ac:dyDescent="0.85">
      <c r="A639" s="15"/>
      <c r="B639" s="15"/>
      <c r="C639" s="15"/>
      <c r="D639" s="15"/>
      <c r="E639" s="15"/>
      <c r="F639" s="15"/>
      <c r="G639" s="15"/>
      <c r="H639" s="15"/>
      <c r="I639" s="15"/>
      <c r="J639" s="15"/>
      <c r="K639" s="15"/>
      <c r="L639" s="747"/>
      <c r="M639" s="15"/>
      <c r="N639" s="15"/>
      <c r="O639" s="15"/>
      <c r="P639" s="15"/>
      <c r="Q639" s="15"/>
      <c r="R639" s="15"/>
      <c r="S639" s="15"/>
      <c r="T639" s="15"/>
      <c r="U639" s="15"/>
      <c r="V639" s="15"/>
      <c r="W639" s="15"/>
      <c r="X639" s="15"/>
      <c r="Y639" s="15"/>
      <c r="Z639" s="15"/>
      <c r="AA639" s="15"/>
      <c r="AB639" s="15"/>
      <c r="AC639" s="15"/>
      <c r="AD639" s="15"/>
      <c r="AE639" s="15"/>
    </row>
    <row r="640" spans="1:31" x14ac:dyDescent="0.85">
      <c r="A640" s="15"/>
      <c r="B640" s="15"/>
      <c r="C640" s="15"/>
      <c r="D640" s="15"/>
      <c r="E640" s="15"/>
      <c r="F640" s="15"/>
      <c r="G640" s="15"/>
      <c r="H640" s="15"/>
      <c r="I640" s="15"/>
      <c r="J640" s="15"/>
      <c r="K640" s="15"/>
      <c r="L640" s="747"/>
      <c r="M640" s="15"/>
      <c r="N640" s="15"/>
      <c r="O640" s="15"/>
      <c r="P640" s="15"/>
      <c r="Q640" s="15"/>
      <c r="R640" s="15"/>
      <c r="S640" s="15"/>
      <c r="T640" s="15"/>
      <c r="U640" s="15"/>
      <c r="V640" s="15"/>
      <c r="W640" s="15"/>
      <c r="X640" s="15"/>
      <c r="Y640" s="15"/>
      <c r="Z640" s="15"/>
      <c r="AA640" s="15"/>
      <c r="AB640" s="15"/>
      <c r="AC640" s="15"/>
      <c r="AD640" s="15"/>
      <c r="AE640" s="15"/>
    </row>
    <row r="641" spans="1:31" x14ac:dyDescent="0.85">
      <c r="A641" s="15"/>
      <c r="B641" s="15"/>
      <c r="C641" s="15"/>
      <c r="D641" s="15"/>
      <c r="E641" s="15"/>
      <c r="F641" s="15"/>
      <c r="G641" s="15"/>
      <c r="H641" s="15"/>
      <c r="I641" s="15"/>
      <c r="J641" s="15"/>
      <c r="K641" s="15"/>
      <c r="L641" s="747"/>
      <c r="M641" s="15"/>
      <c r="N641" s="15"/>
      <c r="O641" s="15"/>
      <c r="P641" s="15"/>
      <c r="Q641" s="15"/>
      <c r="R641" s="15"/>
      <c r="S641" s="15"/>
      <c r="T641" s="15"/>
      <c r="U641" s="15"/>
      <c r="V641" s="15"/>
      <c r="W641" s="15"/>
      <c r="X641" s="15"/>
      <c r="Y641" s="15"/>
      <c r="Z641" s="15"/>
      <c r="AA641" s="15"/>
      <c r="AB641" s="15"/>
      <c r="AC641" s="15"/>
      <c r="AD641" s="15"/>
      <c r="AE641" s="15"/>
    </row>
    <row r="642" spans="1:31" x14ac:dyDescent="0.85">
      <c r="A642" s="15"/>
      <c r="B642" s="15"/>
      <c r="C642" s="15"/>
      <c r="D642" s="15"/>
      <c r="E642" s="15"/>
      <c r="F642" s="15"/>
      <c r="G642" s="15"/>
      <c r="H642" s="15"/>
      <c r="I642" s="15"/>
      <c r="J642" s="15"/>
      <c r="K642" s="15"/>
      <c r="L642" s="747"/>
      <c r="M642" s="15"/>
      <c r="N642" s="15"/>
      <c r="O642" s="15"/>
      <c r="P642" s="15"/>
      <c r="Q642" s="15"/>
      <c r="R642" s="15"/>
      <c r="S642" s="15"/>
      <c r="T642" s="15"/>
      <c r="U642" s="15"/>
      <c r="V642" s="15"/>
      <c r="W642" s="15"/>
      <c r="X642" s="15"/>
      <c r="Y642" s="15"/>
      <c r="Z642" s="15"/>
      <c r="AA642" s="15"/>
      <c r="AB642" s="15"/>
      <c r="AC642" s="15"/>
      <c r="AD642" s="15"/>
      <c r="AE642" s="15"/>
    </row>
    <row r="643" spans="1:31" x14ac:dyDescent="0.85">
      <c r="A643" s="15"/>
      <c r="B643" s="15"/>
      <c r="C643" s="15"/>
      <c r="D643" s="15"/>
      <c r="E643" s="15"/>
      <c r="F643" s="15"/>
      <c r="G643" s="15"/>
      <c r="H643" s="15"/>
      <c r="I643" s="15"/>
      <c r="J643" s="15"/>
      <c r="K643" s="15"/>
      <c r="L643" s="747"/>
      <c r="M643" s="15"/>
      <c r="N643" s="15"/>
      <c r="O643" s="15"/>
      <c r="P643" s="15"/>
      <c r="Q643" s="15"/>
      <c r="R643" s="15"/>
      <c r="S643" s="15"/>
      <c r="T643" s="15"/>
      <c r="U643" s="15"/>
      <c r="V643" s="15"/>
      <c r="W643" s="15"/>
      <c r="X643" s="15"/>
      <c r="Y643" s="15"/>
      <c r="Z643" s="15"/>
      <c r="AA643" s="15"/>
      <c r="AB643" s="15"/>
      <c r="AC643" s="15"/>
      <c r="AD643" s="15"/>
      <c r="AE643" s="15"/>
    </row>
    <row r="644" spans="1:31" x14ac:dyDescent="0.85">
      <c r="A644" s="15"/>
      <c r="B644" s="15"/>
      <c r="C644" s="15"/>
      <c r="D644" s="15"/>
      <c r="E644" s="15"/>
      <c r="F644" s="15"/>
      <c r="G644" s="15"/>
      <c r="H644" s="15"/>
      <c r="I644" s="15"/>
      <c r="J644" s="15"/>
      <c r="K644" s="15"/>
      <c r="L644" s="747"/>
      <c r="M644" s="15"/>
      <c r="N644" s="15"/>
      <c r="O644" s="15"/>
      <c r="P644" s="15"/>
      <c r="Q644" s="15"/>
      <c r="R644" s="15"/>
      <c r="S644" s="15"/>
      <c r="T644" s="15"/>
      <c r="U644" s="15"/>
      <c r="V644" s="15"/>
      <c r="W644" s="15"/>
      <c r="X644" s="15"/>
      <c r="Y644" s="15"/>
      <c r="Z644" s="15"/>
      <c r="AA644" s="15"/>
      <c r="AB644" s="15"/>
      <c r="AC644" s="15"/>
      <c r="AD644" s="15"/>
      <c r="AE644" s="15"/>
    </row>
    <row r="645" spans="1:31" x14ac:dyDescent="0.85">
      <c r="A645" s="15"/>
      <c r="B645" s="15"/>
      <c r="C645" s="15"/>
      <c r="D645" s="15"/>
      <c r="E645" s="15"/>
      <c r="F645" s="15"/>
      <c r="G645" s="15"/>
      <c r="H645" s="15"/>
      <c r="I645" s="15"/>
      <c r="J645" s="15"/>
      <c r="K645" s="15"/>
      <c r="L645" s="747"/>
      <c r="M645" s="15"/>
      <c r="N645" s="15"/>
      <c r="O645" s="15"/>
      <c r="P645" s="15"/>
      <c r="Q645" s="15"/>
      <c r="R645" s="15"/>
      <c r="S645" s="15"/>
      <c r="T645" s="15"/>
      <c r="U645" s="15"/>
      <c r="V645" s="15"/>
      <c r="W645" s="15"/>
      <c r="X645" s="15"/>
      <c r="Y645" s="15"/>
      <c r="Z645" s="15"/>
      <c r="AA645" s="15"/>
      <c r="AB645" s="15"/>
      <c r="AC645" s="15"/>
      <c r="AD645" s="15"/>
      <c r="AE645" s="15"/>
    </row>
    <row r="646" spans="1:31" x14ac:dyDescent="0.85">
      <c r="A646" s="15"/>
      <c r="B646" s="15"/>
      <c r="C646" s="15"/>
      <c r="D646" s="15"/>
      <c r="E646" s="15"/>
      <c r="F646" s="15"/>
      <c r="G646" s="15"/>
      <c r="H646" s="15"/>
      <c r="I646" s="15"/>
      <c r="J646" s="15"/>
      <c r="K646" s="15"/>
      <c r="L646" s="747"/>
      <c r="M646" s="15"/>
      <c r="N646" s="15"/>
      <c r="O646" s="15"/>
      <c r="P646" s="15"/>
      <c r="Q646" s="15"/>
      <c r="R646" s="15"/>
      <c r="S646" s="15"/>
      <c r="T646" s="15"/>
      <c r="U646" s="15"/>
      <c r="V646" s="15"/>
      <c r="W646" s="15"/>
      <c r="X646" s="15"/>
      <c r="Y646" s="15"/>
      <c r="Z646" s="15"/>
      <c r="AA646" s="15"/>
      <c r="AB646" s="15"/>
      <c r="AC646" s="15"/>
      <c r="AD646" s="15"/>
      <c r="AE646" s="15"/>
    </row>
    <row r="647" spans="1:31" x14ac:dyDescent="0.85">
      <c r="A647" s="15"/>
      <c r="B647" s="15"/>
      <c r="C647" s="15"/>
      <c r="D647" s="15"/>
      <c r="E647" s="15"/>
      <c r="F647" s="15"/>
      <c r="G647" s="15"/>
      <c r="H647" s="15"/>
      <c r="I647" s="15"/>
      <c r="J647" s="15"/>
      <c r="K647" s="15"/>
      <c r="L647" s="747"/>
      <c r="M647" s="15"/>
      <c r="N647" s="15"/>
      <c r="O647" s="15"/>
      <c r="P647" s="15"/>
      <c r="Q647" s="15"/>
      <c r="R647" s="15"/>
      <c r="S647" s="15"/>
      <c r="T647" s="15"/>
      <c r="U647" s="15"/>
      <c r="V647" s="15"/>
      <c r="W647" s="15"/>
      <c r="X647" s="15"/>
      <c r="Y647" s="15"/>
      <c r="Z647" s="15"/>
      <c r="AA647" s="15"/>
      <c r="AB647" s="15"/>
      <c r="AC647" s="15"/>
      <c r="AD647" s="15"/>
      <c r="AE647" s="15"/>
    </row>
    <row r="648" spans="1:31" x14ac:dyDescent="0.85">
      <c r="A648" s="15"/>
      <c r="B648" s="15"/>
      <c r="C648" s="15"/>
      <c r="D648" s="15"/>
      <c r="E648" s="15"/>
      <c r="F648" s="15"/>
      <c r="G648" s="15"/>
      <c r="H648" s="15"/>
      <c r="I648" s="15"/>
      <c r="J648" s="15"/>
      <c r="K648" s="15"/>
      <c r="L648" s="747"/>
      <c r="M648" s="15"/>
      <c r="N648" s="15"/>
      <c r="O648" s="15"/>
      <c r="P648" s="15"/>
      <c r="Q648" s="15"/>
      <c r="R648" s="15"/>
      <c r="S648" s="15"/>
      <c r="T648" s="15"/>
      <c r="U648" s="15"/>
      <c r="V648" s="15"/>
      <c r="W648" s="15"/>
      <c r="X648" s="15"/>
      <c r="Y648" s="15"/>
      <c r="Z648" s="15"/>
      <c r="AA648" s="15"/>
      <c r="AB648" s="15"/>
      <c r="AC648" s="15"/>
      <c r="AD648" s="15"/>
      <c r="AE648" s="15"/>
    </row>
    <row r="649" spans="1:31" x14ac:dyDescent="0.85">
      <c r="A649" s="15"/>
      <c r="B649" s="15"/>
      <c r="C649" s="15"/>
      <c r="D649" s="15"/>
      <c r="E649" s="15"/>
      <c r="F649" s="15"/>
      <c r="G649" s="15"/>
      <c r="H649" s="15"/>
      <c r="I649" s="15"/>
      <c r="J649" s="15"/>
      <c r="K649" s="15"/>
      <c r="L649" s="747"/>
      <c r="M649" s="15"/>
      <c r="N649" s="15"/>
      <c r="O649" s="15"/>
      <c r="P649" s="15"/>
      <c r="Q649" s="15"/>
      <c r="R649" s="15"/>
      <c r="S649" s="15"/>
      <c r="T649" s="15"/>
      <c r="U649" s="15"/>
      <c r="V649" s="15"/>
      <c r="W649" s="15"/>
      <c r="X649" s="15"/>
      <c r="Y649" s="15"/>
      <c r="Z649" s="15"/>
      <c r="AA649" s="15"/>
      <c r="AB649" s="15"/>
      <c r="AC649" s="15"/>
      <c r="AD649" s="15"/>
      <c r="AE649" s="15"/>
    </row>
    <row r="650" spans="1:31" x14ac:dyDescent="0.85">
      <c r="A650" s="15"/>
      <c r="B650" s="15"/>
      <c r="C650" s="15"/>
      <c r="D650" s="15"/>
      <c r="E650" s="15"/>
      <c r="F650" s="15"/>
      <c r="G650" s="15"/>
      <c r="H650" s="15"/>
      <c r="I650" s="15"/>
      <c r="J650" s="15"/>
      <c r="K650" s="15"/>
      <c r="L650" s="747"/>
      <c r="M650" s="15"/>
      <c r="N650" s="15"/>
      <c r="O650" s="15"/>
      <c r="P650" s="15"/>
      <c r="Q650" s="15"/>
      <c r="R650" s="15"/>
      <c r="S650" s="15"/>
      <c r="T650" s="15"/>
      <c r="U650" s="15"/>
      <c r="V650" s="15"/>
      <c r="W650" s="15"/>
      <c r="X650" s="15"/>
      <c r="Y650" s="15"/>
      <c r="Z650" s="15"/>
      <c r="AA650" s="15"/>
      <c r="AB650" s="15"/>
      <c r="AC650" s="15"/>
      <c r="AD650" s="15"/>
      <c r="AE650" s="15"/>
    </row>
    <row r="651" spans="1:31" x14ac:dyDescent="0.85">
      <c r="A651" s="15"/>
      <c r="B651" s="15"/>
      <c r="C651" s="15"/>
      <c r="D651" s="15"/>
      <c r="E651" s="15"/>
      <c r="F651" s="15"/>
      <c r="G651" s="15"/>
      <c r="H651" s="15"/>
      <c r="I651" s="15"/>
      <c r="J651" s="15"/>
      <c r="K651" s="15"/>
      <c r="L651" s="747"/>
      <c r="M651" s="15"/>
      <c r="N651" s="15"/>
      <c r="O651" s="15"/>
      <c r="P651" s="15"/>
      <c r="Q651" s="15"/>
      <c r="R651" s="15"/>
      <c r="S651" s="15"/>
      <c r="T651" s="15"/>
      <c r="U651" s="15"/>
      <c r="V651" s="15"/>
      <c r="W651" s="15"/>
      <c r="X651" s="15"/>
      <c r="Y651" s="15"/>
      <c r="Z651" s="15"/>
      <c r="AA651" s="15"/>
      <c r="AB651" s="15"/>
      <c r="AC651" s="15"/>
      <c r="AD651" s="15"/>
      <c r="AE651" s="15"/>
    </row>
    <row r="652" spans="1:31" x14ac:dyDescent="0.85">
      <c r="A652" s="15"/>
      <c r="B652" s="15"/>
      <c r="C652" s="15"/>
      <c r="D652" s="15"/>
      <c r="E652" s="15"/>
      <c r="F652" s="15"/>
      <c r="G652" s="15"/>
      <c r="H652" s="15"/>
      <c r="I652" s="15"/>
      <c r="J652" s="15"/>
      <c r="K652" s="15"/>
      <c r="L652" s="747"/>
      <c r="M652" s="15"/>
      <c r="N652" s="15"/>
      <c r="O652" s="15"/>
      <c r="P652" s="15"/>
      <c r="Q652" s="15"/>
      <c r="R652" s="15"/>
      <c r="S652" s="15"/>
      <c r="T652" s="15"/>
      <c r="U652" s="15"/>
      <c r="V652" s="15"/>
      <c r="W652" s="15"/>
      <c r="X652" s="15"/>
      <c r="Y652" s="15"/>
      <c r="Z652" s="15"/>
      <c r="AA652" s="15"/>
      <c r="AB652" s="15"/>
      <c r="AC652" s="15"/>
      <c r="AD652" s="15"/>
      <c r="AE652" s="15"/>
    </row>
    <row r="653" spans="1:31" x14ac:dyDescent="0.85">
      <c r="A653" s="15"/>
      <c r="B653" s="15"/>
      <c r="C653" s="15"/>
      <c r="D653" s="15"/>
      <c r="E653" s="15"/>
      <c r="F653" s="15"/>
      <c r="G653" s="15"/>
      <c r="H653" s="15"/>
      <c r="I653" s="15"/>
      <c r="J653" s="15"/>
      <c r="K653" s="15"/>
      <c r="L653" s="747"/>
      <c r="M653" s="15"/>
      <c r="N653" s="15"/>
      <c r="O653" s="15"/>
      <c r="P653" s="15"/>
      <c r="Q653" s="15"/>
      <c r="R653" s="15"/>
      <c r="S653" s="15"/>
      <c r="T653" s="15"/>
      <c r="U653" s="15"/>
      <c r="V653" s="15"/>
      <c r="W653" s="15"/>
      <c r="X653" s="15"/>
      <c r="Y653" s="15"/>
      <c r="Z653" s="15"/>
      <c r="AA653" s="15"/>
      <c r="AB653" s="15"/>
      <c r="AC653" s="15"/>
      <c r="AD653" s="15"/>
      <c r="AE653" s="15"/>
    </row>
    <row r="654" spans="1:31" x14ac:dyDescent="0.85">
      <c r="A654" s="15"/>
      <c r="B654" s="15"/>
      <c r="C654" s="15"/>
      <c r="D654" s="15"/>
      <c r="E654" s="15"/>
      <c r="F654" s="15"/>
      <c r="G654" s="15"/>
      <c r="H654" s="15"/>
      <c r="I654" s="15"/>
      <c r="J654" s="15"/>
      <c r="K654" s="15"/>
      <c r="L654" s="747"/>
      <c r="M654" s="15"/>
      <c r="N654" s="15"/>
      <c r="O654" s="15"/>
      <c r="P654" s="15"/>
      <c r="Q654" s="15"/>
      <c r="R654" s="15"/>
      <c r="S654" s="15"/>
      <c r="T654" s="15"/>
      <c r="U654" s="15"/>
      <c r="V654" s="15"/>
      <c r="W654" s="15"/>
      <c r="X654" s="15"/>
      <c r="Y654" s="15"/>
      <c r="Z654" s="15"/>
      <c r="AA654" s="15"/>
      <c r="AB654" s="15"/>
      <c r="AC654" s="15"/>
      <c r="AD654" s="15"/>
      <c r="AE654" s="15"/>
    </row>
    <row r="655" spans="1:31" x14ac:dyDescent="0.85">
      <c r="A655" s="15"/>
      <c r="B655" s="15"/>
      <c r="C655" s="15"/>
      <c r="D655" s="15"/>
      <c r="E655" s="15"/>
      <c r="F655" s="15"/>
      <c r="G655" s="15"/>
      <c r="H655" s="15"/>
      <c r="I655" s="15"/>
      <c r="J655" s="15"/>
      <c r="K655" s="15"/>
      <c r="L655" s="747"/>
      <c r="M655" s="15"/>
      <c r="N655" s="15"/>
      <c r="O655" s="15"/>
      <c r="P655" s="15"/>
      <c r="Q655" s="15"/>
      <c r="R655" s="15"/>
      <c r="S655" s="15"/>
      <c r="T655" s="15"/>
      <c r="U655" s="15"/>
      <c r="V655" s="15"/>
      <c r="W655" s="15"/>
      <c r="X655" s="15"/>
      <c r="Y655" s="15"/>
      <c r="Z655" s="15"/>
      <c r="AA655" s="15"/>
      <c r="AB655" s="15"/>
      <c r="AC655" s="15"/>
      <c r="AD655" s="15"/>
      <c r="AE655" s="15"/>
    </row>
    <row r="656" spans="1:31" x14ac:dyDescent="0.85">
      <c r="A656" s="15"/>
      <c r="B656" s="15"/>
      <c r="C656" s="15"/>
      <c r="D656" s="15"/>
      <c r="E656" s="15"/>
      <c r="F656" s="15"/>
      <c r="G656" s="15"/>
      <c r="H656" s="15"/>
      <c r="I656" s="15"/>
      <c r="J656" s="15"/>
      <c r="K656" s="15"/>
      <c r="L656" s="747"/>
      <c r="M656" s="15"/>
      <c r="N656" s="15"/>
      <c r="O656" s="15"/>
      <c r="P656" s="15"/>
      <c r="Q656" s="15"/>
      <c r="R656" s="15"/>
      <c r="S656" s="15"/>
      <c r="T656" s="15"/>
      <c r="U656" s="15"/>
      <c r="V656" s="15"/>
      <c r="W656" s="15"/>
      <c r="X656" s="15"/>
      <c r="Y656" s="15"/>
      <c r="Z656" s="15"/>
      <c r="AA656" s="15"/>
      <c r="AB656" s="15"/>
      <c r="AC656" s="15"/>
      <c r="AD656" s="15"/>
      <c r="AE656" s="15"/>
    </row>
    <row r="657" spans="1:31" x14ac:dyDescent="0.85">
      <c r="A657" s="15"/>
      <c r="B657" s="15"/>
      <c r="C657" s="15"/>
      <c r="D657" s="15"/>
      <c r="E657" s="15"/>
      <c r="F657" s="15"/>
      <c r="G657" s="15"/>
      <c r="H657" s="15"/>
      <c r="I657" s="15"/>
      <c r="J657" s="15"/>
      <c r="K657" s="15"/>
      <c r="L657" s="747"/>
      <c r="M657" s="15"/>
      <c r="N657" s="15"/>
      <c r="O657" s="15"/>
      <c r="P657" s="15"/>
      <c r="Q657" s="15"/>
      <c r="R657" s="15"/>
      <c r="S657" s="15"/>
      <c r="T657" s="15"/>
      <c r="U657" s="15"/>
      <c r="V657" s="15"/>
      <c r="W657" s="15"/>
      <c r="X657" s="15"/>
      <c r="Y657" s="15"/>
      <c r="Z657" s="15"/>
      <c r="AA657" s="15"/>
      <c r="AB657" s="15"/>
      <c r="AC657" s="15"/>
      <c r="AD657" s="15"/>
      <c r="AE657" s="15"/>
    </row>
    <row r="658" spans="1:31" x14ac:dyDescent="0.85">
      <c r="A658" s="15"/>
      <c r="B658" s="15"/>
      <c r="C658" s="15"/>
      <c r="D658" s="15"/>
      <c r="E658" s="15"/>
      <c r="F658" s="15"/>
      <c r="G658" s="15"/>
      <c r="H658" s="15"/>
      <c r="I658" s="15"/>
      <c r="J658" s="15"/>
      <c r="K658" s="15"/>
      <c r="L658" s="747"/>
      <c r="M658" s="15"/>
      <c r="N658" s="15"/>
      <c r="O658" s="15"/>
      <c r="P658" s="15"/>
      <c r="Q658" s="15"/>
      <c r="R658" s="15"/>
      <c r="S658" s="15"/>
      <c r="T658" s="15"/>
      <c r="U658" s="15"/>
      <c r="V658" s="15"/>
      <c r="W658" s="15"/>
      <c r="X658" s="15"/>
      <c r="Y658" s="15"/>
      <c r="Z658" s="15"/>
      <c r="AA658" s="15"/>
      <c r="AB658" s="15"/>
      <c r="AC658" s="15"/>
      <c r="AD658" s="15"/>
      <c r="AE658" s="15"/>
    </row>
    <row r="659" spans="1:31" x14ac:dyDescent="0.85">
      <c r="A659" s="15"/>
      <c r="B659" s="15"/>
      <c r="C659" s="15"/>
      <c r="D659" s="15"/>
      <c r="E659" s="15"/>
      <c r="F659" s="15"/>
      <c r="G659" s="15"/>
      <c r="H659" s="15"/>
      <c r="I659" s="15"/>
      <c r="J659" s="15"/>
      <c r="K659" s="15"/>
      <c r="L659" s="747"/>
      <c r="M659" s="15"/>
      <c r="N659" s="15"/>
      <c r="O659" s="15"/>
      <c r="P659" s="15"/>
      <c r="Q659" s="15"/>
      <c r="R659" s="15"/>
      <c r="S659" s="15"/>
      <c r="T659" s="15"/>
      <c r="U659" s="15"/>
      <c r="V659" s="15"/>
      <c r="W659" s="15"/>
      <c r="X659" s="15"/>
      <c r="Y659" s="15"/>
      <c r="Z659" s="15"/>
      <c r="AA659" s="15"/>
      <c r="AB659" s="15"/>
      <c r="AC659" s="15"/>
      <c r="AD659" s="15"/>
      <c r="AE659" s="15"/>
    </row>
    <row r="660" spans="1:31" x14ac:dyDescent="0.85">
      <c r="A660" s="15"/>
      <c r="B660" s="15"/>
      <c r="C660" s="15"/>
      <c r="D660" s="15"/>
      <c r="E660" s="15"/>
      <c r="F660" s="15"/>
      <c r="G660" s="15"/>
      <c r="H660" s="15"/>
      <c r="I660" s="15"/>
      <c r="J660" s="15"/>
      <c r="K660" s="15"/>
      <c r="L660" s="747"/>
      <c r="M660" s="15"/>
      <c r="N660" s="15"/>
      <c r="O660" s="15"/>
      <c r="P660" s="15"/>
      <c r="Q660" s="15"/>
      <c r="R660" s="15"/>
      <c r="S660" s="15"/>
      <c r="T660" s="15"/>
      <c r="U660" s="15"/>
      <c r="V660" s="15"/>
      <c r="W660" s="15"/>
      <c r="X660" s="15"/>
      <c r="Y660" s="15"/>
      <c r="Z660" s="15"/>
      <c r="AA660" s="15"/>
      <c r="AB660" s="15"/>
      <c r="AC660" s="15"/>
      <c r="AD660" s="15"/>
      <c r="AE660" s="15"/>
    </row>
    <row r="661" spans="1:31" x14ac:dyDescent="0.85">
      <c r="A661" s="15"/>
      <c r="B661" s="15"/>
      <c r="C661" s="15"/>
      <c r="D661" s="15"/>
      <c r="E661" s="15"/>
      <c r="F661" s="15"/>
      <c r="G661" s="15"/>
      <c r="H661" s="15"/>
      <c r="I661" s="15"/>
      <c r="J661" s="15"/>
      <c r="K661" s="15"/>
      <c r="L661" s="747"/>
      <c r="M661" s="15"/>
      <c r="N661" s="15"/>
      <c r="O661" s="15"/>
      <c r="P661" s="15"/>
      <c r="Q661" s="15"/>
      <c r="R661" s="15"/>
      <c r="S661" s="15"/>
      <c r="T661" s="15"/>
      <c r="U661" s="15"/>
      <c r="V661" s="15"/>
      <c r="W661" s="15"/>
      <c r="X661" s="15"/>
      <c r="Y661" s="15"/>
      <c r="Z661" s="15"/>
      <c r="AA661" s="15"/>
      <c r="AB661" s="15"/>
      <c r="AC661" s="15"/>
      <c r="AD661" s="15"/>
      <c r="AE661" s="15"/>
    </row>
    <row r="662" spans="1:31" x14ac:dyDescent="0.85">
      <c r="A662" s="15"/>
      <c r="B662" s="15"/>
      <c r="C662" s="15"/>
      <c r="D662" s="15"/>
      <c r="E662" s="15"/>
      <c r="F662" s="15"/>
      <c r="G662" s="15"/>
      <c r="H662" s="15"/>
      <c r="I662" s="15"/>
      <c r="J662" s="15"/>
      <c r="K662" s="15"/>
      <c r="L662" s="747"/>
      <c r="M662" s="15"/>
      <c r="N662" s="15"/>
      <c r="O662" s="15"/>
      <c r="P662" s="15"/>
      <c r="Q662" s="15"/>
      <c r="R662" s="15"/>
      <c r="S662" s="15"/>
      <c r="T662" s="15"/>
      <c r="U662" s="15"/>
      <c r="V662" s="15"/>
      <c r="W662" s="15"/>
      <c r="X662" s="15"/>
      <c r="Y662" s="15"/>
      <c r="Z662" s="15"/>
      <c r="AA662" s="15"/>
      <c r="AB662" s="15"/>
      <c r="AC662" s="15"/>
      <c r="AD662" s="15"/>
      <c r="AE662" s="15"/>
    </row>
    <row r="663" spans="1:31" x14ac:dyDescent="0.85">
      <c r="A663" s="15"/>
      <c r="B663" s="15"/>
      <c r="C663" s="15"/>
      <c r="D663" s="15"/>
      <c r="E663" s="15"/>
      <c r="F663" s="15"/>
      <c r="G663" s="15"/>
      <c r="H663" s="15"/>
      <c r="I663" s="15"/>
      <c r="J663" s="15"/>
      <c r="K663" s="15"/>
      <c r="L663" s="747"/>
      <c r="M663" s="15"/>
      <c r="N663" s="15"/>
      <c r="O663" s="15"/>
      <c r="P663" s="15"/>
      <c r="Q663" s="15"/>
      <c r="R663" s="15"/>
      <c r="S663" s="15"/>
      <c r="T663" s="15"/>
      <c r="U663" s="15"/>
      <c r="V663" s="15"/>
      <c r="W663" s="15"/>
      <c r="X663" s="15"/>
      <c r="Y663" s="15"/>
      <c r="Z663" s="15"/>
      <c r="AA663" s="15"/>
      <c r="AB663" s="15"/>
      <c r="AC663" s="15"/>
      <c r="AD663" s="15"/>
      <c r="AE663" s="15"/>
    </row>
    <row r="664" spans="1:31" x14ac:dyDescent="0.85">
      <c r="A664" s="15"/>
      <c r="B664" s="15"/>
      <c r="C664" s="15"/>
      <c r="D664" s="15"/>
      <c r="E664" s="15"/>
      <c r="F664" s="15"/>
      <c r="G664" s="15"/>
      <c r="H664" s="15"/>
      <c r="I664" s="15"/>
      <c r="J664" s="15"/>
      <c r="K664" s="15"/>
      <c r="L664" s="747"/>
      <c r="M664" s="15"/>
      <c r="N664" s="15"/>
      <c r="O664" s="15"/>
      <c r="P664" s="15"/>
      <c r="Q664" s="15"/>
      <c r="R664" s="15"/>
      <c r="S664" s="15"/>
      <c r="T664" s="15"/>
      <c r="U664" s="15"/>
      <c r="V664" s="15"/>
      <c r="W664" s="15"/>
      <c r="X664" s="15"/>
      <c r="Y664" s="15"/>
      <c r="Z664" s="15"/>
      <c r="AA664" s="15"/>
      <c r="AB664" s="15"/>
      <c r="AC664" s="15"/>
      <c r="AD664" s="15"/>
      <c r="AE664" s="15"/>
    </row>
    <row r="665" spans="1:31" x14ac:dyDescent="0.85">
      <c r="A665" s="15"/>
      <c r="B665" s="15"/>
      <c r="C665" s="15"/>
      <c r="D665" s="15"/>
      <c r="E665" s="15"/>
      <c r="F665" s="15"/>
      <c r="G665" s="15"/>
      <c r="H665" s="15"/>
      <c r="I665" s="15"/>
      <c r="J665" s="15"/>
      <c r="K665" s="15"/>
      <c r="L665" s="747"/>
      <c r="M665" s="15"/>
      <c r="N665" s="15"/>
      <c r="O665" s="15"/>
      <c r="P665" s="15"/>
      <c r="Q665" s="15"/>
      <c r="R665" s="15"/>
      <c r="S665" s="15"/>
      <c r="T665" s="15"/>
      <c r="U665" s="15"/>
      <c r="V665" s="15"/>
      <c r="W665" s="15"/>
      <c r="X665" s="15"/>
      <c r="Y665" s="15"/>
      <c r="Z665" s="15"/>
      <c r="AA665" s="15"/>
      <c r="AB665" s="15"/>
      <c r="AC665" s="15"/>
      <c r="AD665" s="15"/>
      <c r="AE665" s="15"/>
    </row>
    <row r="666" spans="1:31" x14ac:dyDescent="0.85">
      <c r="A666" s="15"/>
      <c r="B666" s="15"/>
      <c r="C666" s="15"/>
      <c r="D666" s="15"/>
      <c r="E666" s="15"/>
      <c r="F666" s="15"/>
      <c r="G666" s="15"/>
      <c r="H666" s="15"/>
      <c r="I666" s="15"/>
      <c r="J666" s="15"/>
      <c r="K666" s="15"/>
      <c r="L666" s="747"/>
      <c r="M666" s="15"/>
      <c r="N666" s="15"/>
      <c r="O666" s="15"/>
      <c r="P666" s="15"/>
      <c r="Q666" s="15"/>
      <c r="R666" s="15"/>
      <c r="S666" s="15"/>
      <c r="T666" s="15"/>
      <c r="U666" s="15"/>
      <c r="V666" s="15"/>
      <c r="W666" s="15"/>
      <c r="X666" s="15"/>
      <c r="Y666" s="15"/>
      <c r="Z666" s="15"/>
      <c r="AA666" s="15"/>
      <c r="AB666" s="15"/>
      <c r="AC666" s="15"/>
      <c r="AD666" s="15"/>
      <c r="AE666" s="15"/>
    </row>
    <row r="667" spans="1:31" x14ac:dyDescent="0.85">
      <c r="A667" s="15"/>
      <c r="B667" s="15"/>
      <c r="C667" s="15"/>
      <c r="D667" s="15"/>
      <c r="E667" s="15"/>
      <c r="F667" s="15"/>
      <c r="G667" s="15"/>
      <c r="H667" s="15"/>
      <c r="I667" s="15"/>
      <c r="J667" s="15"/>
      <c r="K667" s="15"/>
      <c r="L667" s="747"/>
      <c r="M667" s="15"/>
      <c r="N667" s="15"/>
      <c r="O667" s="15"/>
      <c r="P667" s="15"/>
      <c r="Q667" s="15"/>
      <c r="R667" s="15"/>
      <c r="S667" s="15"/>
      <c r="T667" s="15"/>
      <c r="U667" s="15"/>
      <c r="V667" s="15"/>
      <c r="W667" s="15"/>
      <c r="X667" s="15"/>
      <c r="Y667" s="15"/>
      <c r="Z667" s="15"/>
      <c r="AA667" s="15"/>
      <c r="AB667" s="15"/>
      <c r="AC667" s="15"/>
      <c r="AD667" s="15"/>
      <c r="AE667" s="15"/>
    </row>
    <row r="668" spans="1:31" x14ac:dyDescent="0.85">
      <c r="A668" s="15"/>
      <c r="B668" s="15"/>
      <c r="C668" s="15"/>
      <c r="D668" s="15"/>
      <c r="E668" s="15"/>
      <c r="F668" s="15"/>
      <c r="G668" s="15"/>
      <c r="H668" s="15"/>
      <c r="I668" s="15"/>
      <c r="J668" s="15"/>
      <c r="K668" s="15"/>
      <c r="L668" s="747"/>
      <c r="M668" s="15"/>
      <c r="N668" s="15"/>
      <c r="O668" s="15"/>
      <c r="P668" s="15"/>
      <c r="Q668" s="15"/>
      <c r="R668" s="15"/>
      <c r="S668" s="15"/>
      <c r="T668" s="15"/>
      <c r="U668" s="15"/>
      <c r="V668" s="15"/>
      <c r="W668" s="15"/>
      <c r="X668" s="15"/>
      <c r="Y668" s="15"/>
      <c r="Z668" s="15"/>
      <c r="AA668" s="15"/>
      <c r="AB668" s="15"/>
      <c r="AC668" s="15"/>
      <c r="AD668" s="15"/>
      <c r="AE668" s="15"/>
    </row>
    <row r="669" spans="1:31" x14ac:dyDescent="0.85">
      <c r="A669" s="15"/>
      <c r="B669" s="15"/>
      <c r="C669" s="15"/>
      <c r="D669" s="15"/>
      <c r="E669" s="15"/>
      <c r="F669" s="15"/>
      <c r="G669" s="15"/>
      <c r="H669" s="15"/>
      <c r="I669" s="15"/>
      <c r="J669" s="15"/>
      <c r="K669" s="15"/>
      <c r="L669" s="747"/>
      <c r="M669" s="15"/>
      <c r="N669" s="15"/>
      <c r="O669" s="15"/>
      <c r="P669" s="15"/>
      <c r="Q669" s="15"/>
      <c r="R669" s="15"/>
      <c r="S669" s="15"/>
      <c r="T669" s="15"/>
      <c r="U669" s="15"/>
      <c r="V669" s="15"/>
      <c r="W669" s="15"/>
      <c r="X669" s="15"/>
      <c r="Y669" s="15"/>
      <c r="Z669" s="15"/>
      <c r="AA669" s="15"/>
      <c r="AB669" s="15"/>
      <c r="AC669" s="15"/>
      <c r="AD669" s="15"/>
      <c r="AE669" s="15"/>
    </row>
    <row r="670" spans="1:31" x14ac:dyDescent="0.85">
      <c r="A670" s="15"/>
      <c r="B670" s="15"/>
      <c r="C670" s="15"/>
      <c r="D670" s="15"/>
      <c r="E670" s="15"/>
      <c r="F670" s="15"/>
      <c r="G670" s="15"/>
      <c r="H670" s="15"/>
      <c r="I670" s="15"/>
      <c r="J670" s="15"/>
      <c r="K670" s="15"/>
      <c r="L670" s="747"/>
      <c r="M670" s="15"/>
      <c r="N670" s="15"/>
      <c r="O670" s="15"/>
      <c r="P670" s="15"/>
      <c r="Q670" s="15"/>
      <c r="R670" s="15"/>
      <c r="S670" s="15"/>
      <c r="T670" s="15"/>
      <c r="U670" s="15"/>
      <c r="V670" s="15"/>
      <c r="W670" s="15"/>
      <c r="X670" s="15"/>
      <c r="Y670" s="15"/>
      <c r="Z670" s="15"/>
      <c r="AA670" s="15"/>
      <c r="AB670" s="15"/>
      <c r="AC670" s="15"/>
      <c r="AD670" s="15"/>
      <c r="AE670" s="15"/>
    </row>
    <row r="671" spans="1:31" x14ac:dyDescent="0.85">
      <c r="A671" s="15"/>
      <c r="B671" s="15"/>
      <c r="C671" s="15"/>
      <c r="D671" s="15"/>
      <c r="E671" s="15"/>
      <c r="F671" s="15"/>
      <c r="G671" s="15"/>
      <c r="H671" s="15"/>
      <c r="I671" s="15"/>
      <c r="J671" s="15"/>
      <c r="K671" s="15"/>
      <c r="L671" s="747"/>
      <c r="M671" s="15"/>
      <c r="N671" s="15"/>
      <c r="O671" s="15"/>
      <c r="P671" s="15"/>
      <c r="Q671" s="15"/>
      <c r="R671" s="15"/>
      <c r="S671" s="15"/>
      <c r="T671" s="15"/>
      <c r="U671" s="15"/>
      <c r="V671" s="15"/>
      <c r="W671" s="15"/>
      <c r="X671" s="15"/>
      <c r="Y671" s="15"/>
      <c r="Z671" s="15"/>
      <c r="AA671" s="15"/>
      <c r="AB671" s="15"/>
      <c r="AC671" s="15"/>
      <c r="AD671" s="15"/>
      <c r="AE671" s="15"/>
    </row>
    <row r="672" spans="1:31" x14ac:dyDescent="0.85">
      <c r="A672" s="15"/>
      <c r="B672" s="15"/>
      <c r="C672" s="15"/>
      <c r="D672" s="15"/>
      <c r="E672" s="15"/>
      <c r="F672" s="15"/>
      <c r="G672" s="15"/>
      <c r="H672" s="15"/>
      <c r="I672" s="15"/>
      <c r="J672" s="15"/>
      <c r="K672" s="15"/>
      <c r="L672" s="747"/>
      <c r="M672" s="15"/>
      <c r="N672" s="15"/>
      <c r="O672" s="15"/>
      <c r="P672" s="15"/>
      <c r="Q672" s="15"/>
      <c r="R672" s="15"/>
      <c r="S672" s="15"/>
      <c r="T672" s="15"/>
      <c r="U672" s="15"/>
      <c r="V672" s="15"/>
      <c r="W672" s="15"/>
      <c r="X672" s="15"/>
      <c r="Y672" s="15"/>
      <c r="Z672" s="15"/>
      <c r="AA672" s="15"/>
      <c r="AB672" s="15"/>
      <c r="AC672" s="15"/>
      <c r="AD672" s="15"/>
      <c r="AE672" s="15"/>
    </row>
    <row r="673" spans="1:31" x14ac:dyDescent="0.85">
      <c r="A673" s="15"/>
      <c r="B673" s="15"/>
      <c r="C673" s="15"/>
      <c r="D673" s="15"/>
      <c r="E673" s="15"/>
      <c r="F673" s="15"/>
      <c r="G673" s="15"/>
      <c r="H673" s="15"/>
      <c r="I673" s="15"/>
      <c r="J673" s="15"/>
      <c r="K673" s="15"/>
      <c r="L673" s="747"/>
      <c r="M673" s="15"/>
      <c r="N673" s="15"/>
      <c r="O673" s="15"/>
      <c r="P673" s="15"/>
      <c r="Q673" s="15"/>
      <c r="R673" s="15"/>
      <c r="S673" s="15"/>
      <c r="T673" s="15"/>
      <c r="U673" s="15"/>
      <c r="V673" s="15"/>
      <c r="W673" s="15"/>
      <c r="X673" s="15"/>
      <c r="Y673" s="15"/>
      <c r="Z673" s="15"/>
      <c r="AA673" s="15"/>
      <c r="AB673" s="15"/>
      <c r="AC673" s="15"/>
      <c r="AD673" s="15"/>
      <c r="AE673" s="15"/>
    </row>
    <row r="674" spans="1:31" x14ac:dyDescent="0.85">
      <c r="A674" s="15"/>
      <c r="B674" s="15"/>
      <c r="C674" s="15"/>
      <c r="D674" s="15"/>
      <c r="E674" s="15"/>
      <c r="F674" s="15"/>
      <c r="G674" s="15"/>
      <c r="H674" s="15"/>
      <c r="I674" s="15"/>
      <c r="J674" s="15"/>
      <c r="K674" s="15"/>
      <c r="L674" s="747"/>
      <c r="M674" s="15"/>
      <c r="N674" s="15"/>
      <c r="O674" s="15"/>
      <c r="P674" s="15"/>
      <c r="Q674" s="15"/>
      <c r="R674" s="15"/>
      <c r="S674" s="15"/>
      <c r="T674" s="15"/>
      <c r="U674" s="15"/>
      <c r="V674" s="15"/>
      <c r="W674" s="15"/>
      <c r="X674" s="15"/>
      <c r="Y674" s="15"/>
      <c r="Z674" s="15"/>
      <c r="AA674" s="15"/>
      <c r="AB674" s="15"/>
      <c r="AC674" s="15"/>
      <c r="AD674" s="15"/>
      <c r="AE674" s="15"/>
    </row>
    <row r="675" spans="1:31" x14ac:dyDescent="0.85">
      <c r="A675" s="15"/>
      <c r="B675" s="15"/>
      <c r="C675" s="15"/>
      <c r="D675" s="15"/>
      <c r="E675" s="15"/>
      <c r="F675" s="15"/>
      <c r="G675" s="15"/>
      <c r="H675" s="15"/>
      <c r="I675" s="15"/>
      <c r="J675" s="15"/>
      <c r="K675" s="15"/>
      <c r="L675" s="747"/>
      <c r="M675" s="15"/>
      <c r="N675" s="15"/>
      <c r="O675" s="15"/>
      <c r="P675" s="15"/>
      <c r="Q675" s="15"/>
      <c r="R675" s="15"/>
      <c r="S675" s="15"/>
      <c r="T675" s="15"/>
      <c r="U675" s="15"/>
      <c r="V675" s="15"/>
      <c r="W675" s="15"/>
      <c r="X675" s="15"/>
      <c r="Y675" s="15"/>
      <c r="Z675" s="15"/>
      <c r="AA675" s="15"/>
      <c r="AB675" s="15"/>
      <c r="AC675" s="15"/>
      <c r="AD675" s="15"/>
      <c r="AE675" s="15"/>
    </row>
    <row r="676" spans="1:31" x14ac:dyDescent="0.85">
      <c r="A676" s="15"/>
      <c r="B676" s="15"/>
      <c r="C676" s="15"/>
      <c r="D676" s="15"/>
      <c r="E676" s="15"/>
      <c r="F676" s="15"/>
      <c r="G676" s="15"/>
      <c r="H676" s="15"/>
      <c r="I676" s="15"/>
      <c r="J676" s="15"/>
      <c r="K676" s="15"/>
      <c r="L676" s="747"/>
      <c r="M676" s="15"/>
      <c r="N676" s="15"/>
      <c r="O676" s="15"/>
      <c r="P676" s="15"/>
      <c r="Q676" s="15"/>
      <c r="R676" s="15"/>
      <c r="S676" s="15"/>
      <c r="T676" s="15"/>
      <c r="U676" s="15"/>
      <c r="V676" s="15"/>
      <c r="W676" s="15"/>
      <c r="X676" s="15"/>
      <c r="Y676" s="15"/>
      <c r="Z676" s="15"/>
      <c r="AA676" s="15"/>
      <c r="AB676" s="15"/>
      <c r="AC676" s="15"/>
      <c r="AD676" s="15"/>
      <c r="AE676" s="15"/>
    </row>
    <row r="677" spans="1:31" x14ac:dyDescent="0.85">
      <c r="A677" s="15"/>
      <c r="B677" s="15"/>
      <c r="C677" s="15"/>
      <c r="D677" s="15"/>
      <c r="E677" s="15"/>
      <c r="F677" s="15"/>
      <c r="G677" s="15"/>
      <c r="H677" s="15"/>
      <c r="I677" s="15"/>
      <c r="J677" s="15"/>
      <c r="K677" s="15"/>
      <c r="L677" s="747"/>
      <c r="M677" s="15"/>
      <c r="N677" s="15"/>
      <c r="O677" s="15"/>
      <c r="P677" s="15"/>
      <c r="Q677" s="15"/>
      <c r="R677" s="15"/>
      <c r="S677" s="15"/>
      <c r="T677" s="15"/>
      <c r="U677" s="15"/>
      <c r="V677" s="15"/>
      <c r="W677" s="15"/>
      <c r="X677" s="15"/>
      <c r="Y677" s="15"/>
      <c r="Z677" s="15"/>
      <c r="AA677" s="15"/>
      <c r="AB677" s="15"/>
      <c r="AC677" s="15"/>
      <c r="AD677" s="15"/>
      <c r="AE677" s="15"/>
    </row>
    <row r="678" spans="1:31" x14ac:dyDescent="0.85">
      <c r="A678" s="15"/>
      <c r="B678" s="15"/>
      <c r="C678" s="15"/>
      <c r="D678" s="15"/>
      <c r="E678" s="15"/>
      <c r="F678" s="15"/>
      <c r="G678" s="15"/>
      <c r="H678" s="15"/>
      <c r="I678" s="15"/>
      <c r="J678" s="15"/>
      <c r="K678" s="15"/>
      <c r="L678" s="747"/>
      <c r="M678" s="15"/>
      <c r="N678" s="15"/>
      <c r="O678" s="15"/>
      <c r="P678" s="15"/>
      <c r="Q678" s="15"/>
      <c r="R678" s="15"/>
      <c r="S678" s="15"/>
      <c r="T678" s="15"/>
      <c r="U678" s="15"/>
      <c r="V678" s="15"/>
      <c r="W678" s="15"/>
      <c r="X678" s="15"/>
      <c r="Y678" s="15"/>
      <c r="Z678" s="15"/>
      <c r="AA678" s="15"/>
      <c r="AB678" s="15"/>
      <c r="AC678" s="15"/>
      <c r="AD678" s="15"/>
      <c r="AE678" s="15"/>
    </row>
    <row r="679" spans="1:31" x14ac:dyDescent="0.85">
      <c r="A679" s="15"/>
      <c r="B679" s="15"/>
      <c r="C679" s="15"/>
      <c r="D679" s="15"/>
      <c r="E679" s="15"/>
      <c r="F679" s="15"/>
      <c r="G679" s="15"/>
      <c r="H679" s="15"/>
      <c r="I679" s="15"/>
      <c r="J679" s="15"/>
      <c r="K679" s="15"/>
      <c r="L679" s="747"/>
      <c r="M679" s="15"/>
      <c r="N679" s="15"/>
      <c r="O679" s="15"/>
      <c r="P679" s="15"/>
      <c r="Q679" s="15"/>
      <c r="R679" s="15"/>
      <c r="S679" s="15"/>
      <c r="T679" s="15"/>
      <c r="U679" s="15"/>
      <c r="V679" s="15"/>
      <c r="W679" s="15"/>
      <c r="X679" s="15"/>
      <c r="Y679" s="15"/>
      <c r="Z679" s="15"/>
      <c r="AA679" s="15"/>
      <c r="AB679" s="15"/>
      <c r="AC679" s="15"/>
      <c r="AD679" s="15"/>
      <c r="AE679" s="15"/>
    </row>
    <row r="680" spans="1:31" x14ac:dyDescent="0.85">
      <c r="A680" s="15"/>
      <c r="B680" s="15"/>
      <c r="C680" s="15"/>
      <c r="D680" s="15"/>
      <c r="E680" s="15"/>
      <c r="F680" s="15"/>
      <c r="G680" s="15"/>
      <c r="H680" s="15"/>
      <c r="I680" s="15"/>
      <c r="J680" s="15"/>
      <c r="K680" s="15"/>
      <c r="L680" s="747"/>
      <c r="M680" s="15"/>
      <c r="N680" s="15"/>
      <c r="O680" s="15"/>
      <c r="P680" s="15"/>
      <c r="Q680" s="15"/>
      <c r="R680" s="15"/>
      <c r="S680" s="15"/>
      <c r="T680" s="15"/>
      <c r="U680" s="15"/>
      <c r="V680" s="15"/>
      <c r="W680" s="15"/>
      <c r="X680" s="15"/>
      <c r="Y680" s="15"/>
      <c r="Z680" s="15"/>
      <c r="AA680" s="15"/>
      <c r="AB680" s="15"/>
      <c r="AC680" s="15"/>
      <c r="AD680" s="15"/>
      <c r="AE680" s="15"/>
    </row>
    <row r="681" spans="1:31" x14ac:dyDescent="0.85">
      <c r="A681" s="15"/>
      <c r="B681" s="15"/>
      <c r="C681" s="15"/>
      <c r="D681" s="15"/>
      <c r="E681" s="15"/>
      <c r="F681" s="15"/>
      <c r="G681" s="15"/>
      <c r="H681" s="15"/>
      <c r="I681" s="15"/>
      <c r="J681" s="15"/>
      <c r="K681" s="15"/>
      <c r="L681" s="747"/>
      <c r="M681" s="15"/>
      <c r="N681" s="15"/>
      <c r="O681" s="15"/>
      <c r="P681" s="15"/>
      <c r="Q681" s="15"/>
      <c r="R681" s="15"/>
      <c r="S681" s="15"/>
      <c r="T681" s="15"/>
      <c r="U681" s="15"/>
      <c r="V681" s="15"/>
      <c r="W681" s="15"/>
      <c r="X681" s="15"/>
      <c r="Y681" s="15"/>
      <c r="Z681" s="15"/>
      <c r="AA681" s="15"/>
      <c r="AB681" s="15"/>
      <c r="AC681" s="15"/>
      <c r="AD681" s="15"/>
      <c r="AE681" s="15"/>
    </row>
    <row r="682" spans="1:31" x14ac:dyDescent="0.85">
      <c r="A682" s="15"/>
      <c r="B682" s="15"/>
      <c r="C682" s="15"/>
      <c r="D682" s="15"/>
      <c r="E682" s="15"/>
      <c r="F682" s="15"/>
      <c r="G682" s="15"/>
      <c r="H682" s="15"/>
      <c r="I682" s="15"/>
      <c r="J682" s="15"/>
      <c r="K682" s="15"/>
      <c r="L682" s="747"/>
      <c r="M682" s="15"/>
      <c r="N682" s="15"/>
      <c r="O682" s="15"/>
      <c r="P682" s="15"/>
      <c r="Q682" s="15"/>
      <c r="R682" s="15"/>
      <c r="S682" s="15"/>
      <c r="T682" s="15"/>
      <c r="U682" s="15"/>
      <c r="V682" s="15"/>
      <c r="W682" s="15"/>
      <c r="X682" s="15"/>
      <c r="Y682" s="15"/>
      <c r="Z682" s="15"/>
      <c r="AA682" s="15"/>
      <c r="AB682" s="15"/>
      <c r="AC682" s="15"/>
      <c r="AD682" s="15"/>
      <c r="AE682" s="15"/>
    </row>
    <row r="683" spans="1:31" x14ac:dyDescent="0.85">
      <c r="A683" s="15"/>
      <c r="B683" s="15"/>
      <c r="C683" s="15"/>
      <c r="D683" s="15"/>
      <c r="E683" s="15"/>
      <c r="F683" s="15"/>
      <c r="G683" s="15"/>
      <c r="H683" s="15"/>
      <c r="I683" s="15"/>
      <c r="J683" s="15"/>
      <c r="K683" s="15"/>
      <c r="L683" s="747"/>
      <c r="M683" s="15"/>
      <c r="N683" s="15"/>
      <c r="O683" s="15"/>
      <c r="P683" s="15"/>
      <c r="Q683" s="15"/>
      <c r="R683" s="15"/>
      <c r="S683" s="15"/>
      <c r="T683" s="15"/>
      <c r="U683" s="15"/>
      <c r="V683" s="15"/>
      <c r="W683" s="15"/>
      <c r="X683" s="15"/>
      <c r="Y683" s="15"/>
      <c r="Z683" s="15"/>
      <c r="AA683" s="15"/>
      <c r="AB683" s="15"/>
      <c r="AC683" s="15"/>
      <c r="AD683" s="15"/>
      <c r="AE683" s="15"/>
    </row>
    <row r="684" spans="1:31" x14ac:dyDescent="0.85">
      <c r="A684" s="15"/>
      <c r="B684" s="15"/>
      <c r="C684" s="15"/>
      <c r="D684" s="15"/>
      <c r="E684" s="15"/>
      <c r="F684" s="15"/>
      <c r="G684" s="15"/>
      <c r="H684" s="15"/>
      <c r="I684" s="15"/>
      <c r="J684" s="15"/>
      <c r="K684" s="15"/>
      <c r="L684" s="747"/>
      <c r="M684" s="15"/>
      <c r="N684" s="15"/>
      <c r="O684" s="15"/>
      <c r="P684" s="15"/>
      <c r="Q684" s="15"/>
      <c r="R684" s="15"/>
      <c r="S684" s="15"/>
      <c r="T684" s="15"/>
      <c r="U684" s="15"/>
      <c r="V684" s="15"/>
      <c r="W684" s="15"/>
      <c r="X684" s="15"/>
      <c r="Y684" s="15"/>
      <c r="Z684" s="15"/>
      <c r="AA684" s="15"/>
      <c r="AB684" s="15"/>
      <c r="AC684" s="15"/>
      <c r="AD684" s="15"/>
      <c r="AE684" s="15"/>
    </row>
    <row r="685" spans="1:31" x14ac:dyDescent="0.85">
      <c r="A685" s="15"/>
      <c r="B685" s="15"/>
      <c r="C685" s="15"/>
      <c r="D685" s="15"/>
      <c r="E685" s="15"/>
      <c r="F685" s="15"/>
      <c r="G685" s="15"/>
      <c r="H685" s="15"/>
      <c r="I685" s="15"/>
      <c r="J685" s="15"/>
      <c r="K685" s="15"/>
      <c r="L685" s="747"/>
      <c r="M685" s="15"/>
      <c r="N685" s="15"/>
      <c r="O685" s="15"/>
      <c r="P685" s="15"/>
      <c r="Q685" s="15"/>
      <c r="R685" s="15"/>
      <c r="S685" s="15"/>
      <c r="T685" s="15"/>
      <c r="U685" s="15"/>
      <c r="V685" s="15"/>
      <c r="W685" s="15"/>
      <c r="X685" s="15"/>
      <c r="Y685" s="15"/>
      <c r="Z685" s="15"/>
      <c r="AA685" s="15"/>
      <c r="AB685" s="15"/>
      <c r="AC685" s="15"/>
      <c r="AD685" s="15"/>
      <c r="AE685" s="15"/>
    </row>
    <row r="686" spans="1:31" x14ac:dyDescent="0.85">
      <c r="A686" s="15"/>
      <c r="B686" s="15"/>
      <c r="C686" s="15"/>
      <c r="D686" s="15"/>
      <c r="E686" s="15"/>
      <c r="F686" s="15"/>
      <c r="G686" s="15"/>
      <c r="H686" s="15"/>
      <c r="I686" s="15"/>
      <c r="J686" s="15"/>
      <c r="K686" s="15"/>
      <c r="L686" s="747"/>
      <c r="M686" s="15"/>
      <c r="N686" s="15"/>
      <c r="O686" s="15"/>
      <c r="P686" s="15"/>
      <c r="Q686" s="15"/>
      <c r="R686" s="15"/>
      <c r="S686" s="15"/>
      <c r="T686" s="15"/>
      <c r="U686" s="15"/>
      <c r="V686" s="15"/>
      <c r="W686" s="15"/>
      <c r="X686" s="15"/>
      <c r="Y686" s="15"/>
      <c r="Z686" s="15"/>
      <c r="AA686" s="15"/>
      <c r="AB686" s="15"/>
      <c r="AC686" s="15"/>
      <c r="AD686" s="15"/>
      <c r="AE686" s="15"/>
    </row>
    <row r="687" spans="1:31" x14ac:dyDescent="0.85">
      <c r="A687" s="15"/>
      <c r="B687" s="15"/>
      <c r="C687" s="15"/>
      <c r="D687" s="15"/>
      <c r="E687" s="15"/>
      <c r="F687" s="15"/>
      <c r="G687" s="15"/>
      <c r="H687" s="15"/>
      <c r="I687" s="15"/>
      <c r="J687" s="15"/>
      <c r="K687" s="15"/>
      <c r="L687" s="747"/>
      <c r="M687" s="15"/>
      <c r="N687" s="15"/>
      <c r="O687" s="15"/>
      <c r="P687" s="15"/>
      <c r="Q687" s="15"/>
      <c r="R687" s="15"/>
      <c r="S687" s="15"/>
      <c r="T687" s="15"/>
      <c r="U687" s="15"/>
      <c r="V687" s="15"/>
      <c r="W687" s="15"/>
      <c r="X687" s="15"/>
      <c r="Y687" s="15"/>
      <c r="Z687" s="15"/>
      <c r="AA687" s="15"/>
      <c r="AB687" s="15"/>
      <c r="AC687" s="15"/>
      <c r="AD687" s="15"/>
      <c r="AE687" s="15"/>
    </row>
    <row r="688" spans="1:31" x14ac:dyDescent="0.85">
      <c r="A688" s="15"/>
      <c r="B688" s="15"/>
      <c r="C688" s="15"/>
      <c r="D688" s="15"/>
      <c r="E688" s="15"/>
      <c r="F688" s="15"/>
      <c r="G688" s="15"/>
      <c r="H688" s="15"/>
      <c r="I688" s="15"/>
      <c r="J688" s="15"/>
      <c r="K688" s="15"/>
      <c r="L688" s="747"/>
      <c r="M688" s="15"/>
      <c r="N688" s="15"/>
      <c r="O688" s="15"/>
      <c r="P688" s="15"/>
      <c r="Q688" s="15"/>
      <c r="R688" s="15"/>
      <c r="S688" s="15"/>
      <c r="T688" s="15"/>
      <c r="U688" s="15"/>
      <c r="V688" s="15"/>
      <c r="W688" s="15"/>
      <c r="X688" s="15"/>
      <c r="Y688" s="15"/>
      <c r="Z688" s="15"/>
      <c r="AA688" s="15"/>
      <c r="AB688" s="15"/>
      <c r="AC688" s="15"/>
      <c r="AD688" s="15"/>
      <c r="AE688" s="15"/>
    </row>
    <row r="689" spans="1:31" x14ac:dyDescent="0.85">
      <c r="A689" s="15"/>
      <c r="B689" s="15"/>
      <c r="C689" s="15"/>
      <c r="D689" s="15"/>
      <c r="E689" s="15"/>
      <c r="F689" s="15"/>
      <c r="G689" s="15"/>
      <c r="H689" s="15"/>
      <c r="I689" s="15"/>
      <c r="J689" s="15"/>
      <c r="K689" s="15"/>
      <c r="L689" s="747"/>
      <c r="M689" s="15"/>
      <c r="N689" s="15"/>
      <c r="O689" s="15"/>
      <c r="P689" s="15"/>
      <c r="Q689" s="15"/>
      <c r="R689" s="15"/>
      <c r="S689" s="15"/>
      <c r="T689" s="15"/>
      <c r="U689" s="15"/>
      <c r="V689" s="15"/>
      <c r="W689" s="15"/>
      <c r="X689" s="15"/>
      <c r="Y689" s="15"/>
      <c r="Z689" s="15"/>
      <c r="AA689" s="15"/>
      <c r="AB689" s="15"/>
      <c r="AC689" s="15"/>
      <c r="AD689" s="15"/>
      <c r="AE689" s="15"/>
    </row>
    <row r="690" spans="1:31" x14ac:dyDescent="0.85">
      <c r="A690" s="15"/>
      <c r="B690" s="15"/>
      <c r="C690" s="15"/>
      <c r="D690" s="15"/>
      <c r="E690" s="15"/>
      <c r="F690" s="15"/>
      <c r="G690" s="15"/>
      <c r="H690" s="15"/>
      <c r="I690" s="15"/>
      <c r="J690" s="15"/>
      <c r="K690" s="15"/>
      <c r="L690" s="747"/>
      <c r="M690" s="15"/>
      <c r="N690" s="15"/>
      <c r="O690" s="15"/>
      <c r="P690" s="15"/>
      <c r="Q690" s="15"/>
      <c r="R690" s="15"/>
      <c r="S690" s="15"/>
      <c r="T690" s="15"/>
      <c r="U690" s="15"/>
      <c r="V690" s="15"/>
      <c r="W690" s="15"/>
      <c r="X690" s="15"/>
      <c r="Y690" s="15"/>
      <c r="Z690" s="15"/>
      <c r="AA690" s="15"/>
      <c r="AB690" s="15"/>
      <c r="AC690" s="15"/>
      <c r="AD690" s="15"/>
      <c r="AE690" s="15"/>
    </row>
    <row r="691" spans="1:31" x14ac:dyDescent="0.85">
      <c r="A691" s="15"/>
      <c r="B691" s="15"/>
      <c r="C691" s="15"/>
      <c r="D691" s="15"/>
      <c r="E691" s="15"/>
      <c r="F691" s="15"/>
      <c r="G691" s="15"/>
      <c r="H691" s="15"/>
      <c r="I691" s="15"/>
      <c r="J691" s="15"/>
      <c r="K691" s="15"/>
      <c r="L691" s="747"/>
      <c r="M691" s="15"/>
      <c r="N691" s="15"/>
      <c r="O691" s="15"/>
      <c r="P691" s="15"/>
      <c r="Q691" s="15"/>
      <c r="R691" s="15"/>
      <c r="S691" s="15"/>
      <c r="T691" s="15"/>
      <c r="U691" s="15"/>
      <c r="V691" s="15"/>
      <c r="W691" s="15"/>
      <c r="X691" s="15"/>
      <c r="Y691" s="15"/>
      <c r="Z691" s="15"/>
      <c r="AA691" s="15"/>
      <c r="AB691" s="15"/>
      <c r="AC691" s="15"/>
      <c r="AD691" s="15"/>
      <c r="AE691" s="15"/>
    </row>
    <row r="692" spans="1:31" x14ac:dyDescent="0.85">
      <c r="A692" s="15"/>
      <c r="B692" s="15"/>
      <c r="C692" s="15"/>
      <c r="D692" s="15"/>
      <c r="E692" s="15"/>
      <c r="F692" s="15"/>
      <c r="G692" s="15"/>
      <c r="H692" s="15"/>
      <c r="I692" s="15"/>
      <c r="J692" s="15"/>
      <c r="K692" s="15"/>
      <c r="L692" s="747"/>
      <c r="M692" s="15"/>
      <c r="N692" s="15"/>
      <c r="O692" s="15"/>
      <c r="P692" s="15"/>
      <c r="Q692" s="15"/>
      <c r="R692" s="15"/>
      <c r="S692" s="15"/>
      <c r="T692" s="15"/>
      <c r="U692" s="15"/>
      <c r="V692" s="15"/>
      <c r="W692" s="15"/>
      <c r="X692" s="15"/>
      <c r="Y692" s="15"/>
      <c r="Z692" s="15"/>
      <c r="AA692" s="15"/>
      <c r="AB692" s="15"/>
      <c r="AC692" s="15"/>
      <c r="AD692" s="15"/>
      <c r="AE692" s="15"/>
    </row>
    <row r="693" spans="1:31" x14ac:dyDescent="0.85">
      <c r="A693" s="15"/>
      <c r="B693" s="15"/>
      <c r="C693" s="15"/>
      <c r="D693" s="15"/>
      <c r="E693" s="15"/>
      <c r="F693" s="15"/>
      <c r="G693" s="15"/>
      <c r="H693" s="15"/>
      <c r="I693" s="15"/>
      <c r="J693" s="15"/>
      <c r="K693" s="15"/>
      <c r="L693" s="747"/>
      <c r="M693" s="15"/>
      <c r="N693" s="15"/>
      <c r="O693" s="15"/>
      <c r="P693" s="15"/>
      <c r="Q693" s="15"/>
      <c r="R693" s="15"/>
      <c r="S693" s="15"/>
      <c r="T693" s="15"/>
      <c r="U693" s="15"/>
      <c r="V693" s="15"/>
      <c r="W693" s="15"/>
      <c r="X693" s="15"/>
      <c r="Y693" s="15"/>
      <c r="Z693" s="15"/>
      <c r="AA693" s="15"/>
      <c r="AB693" s="15"/>
      <c r="AC693" s="15"/>
      <c r="AD693" s="15"/>
      <c r="AE693" s="15"/>
    </row>
    <row r="694" spans="1:31" x14ac:dyDescent="0.85">
      <c r="A694" s="15"/>
      <c r="B694" s="15"/>
      <c r="C694" s="15"/>
      <c r="D694" s="15"/>
      <c r="E694" s="15"/>
      <c r="F694" s="15"/>
      <c r="G694" s="15"/>
      <c r="H694" s="15"/>
      <c r="I694" s="15"/>
      <c r="J694" s="15"/>
      <c r="K694" s="15"/>
      <c r="L694" s="747"/>
      <c r="M694" s="15"/>
      <c r="N694" s="15"/>
      <c r="O694" s="15"/>
      <c r="P694" s="15"/>
      <c r="Q694" s="15"/>
      <c r="R694" s="15"/>
      <c r="S694" s="15"/>
      <c r="T694" s="15"/>
      <c r="U694" s="15"/>
      <c r="V694" s="15"/>
      <c r="W694" s="15"/>
      <c r="X694" s="15"/>
      <c r="Y694" s="15"/>
      <c r="Z694" s="15"/>
      <c r="AA694" s="15"/>
      <c r="AB694" s="15"/>
      <c r="AC694" s="15"/>
      <c r="AD694" s="15"/>
      <c r="AE694" s="15"/>
    </row>
    <row r="695" spans="1:31" x14ac:dyDescent="0.85">
      <c r="A695" s="15"/>
      <c r="B695" s="15"/>
      <c r="C695" s="15"/>
      <c r="D695" s="15"/>
      <c r="E695" s="15"/>
      <c r="F695" s="15"/>
      <c r="G695" s="15"/>
      <c r="H695" s="15"/>
      <c r="I695" s="15"/>
      <c r="J695" s="15"/>
      <c r="K695" s="15"/>
      <c r="L695" s="747"/>
      <c r="M695" s="15"/>
      <c r="N695" s="15"/>
      <c r="O695" s="15"/>
      <c r="P695" s="15"/>
      <c r="Q695" s="15"/>
      <c r="R695" s="15"/>
      <c r="S695" s="15"/>
      <c r="T695" s="15"/>
      <c r="U695" s="15"/>
      <c r="V695" s="15"/>
      <c r="W695" s="15"/>
      <c r="X695" s="15"/>
      <c r="Y695" s="15"/>
      <c r="Z695" s="15"/>
      <c r="AA695" s="15"/>
      <c r="AB695" s="15"/>
      <c r="AC695" s="15"/>
      <c r="AD695" s="15"/>
      <c r="AE695" s="15"/>
    </row>
    <row r="696" spans="1:31" x14ac:dyDescent="0.85">
      <c r="A696" s="15"/>
      <c r="B696" s="15"/>
      <c r="C696" s="15"/>
      <c r="D696" s="15"/>
      <c r="E696" s="15"/>
      <c r="F696" s="15"/>
      <c r="G696" s="15"/>
      <c r="H696" s="15"/>
      <c r="I696" s="15"/>
      <c r="J696" s="15"/>
      <c r="K696" s="15"/>
      <c r="L696" s="747"/>
      <c r="M696" s="15"/>
      <c r="N696" s="15"/>
      <c r="O696" s="15"/>
      <c r="P696" s="15"/>
      <c r="Q696" s="15"/>
      <c r="R696" s="15"/>
      <c r="S696" s="15"/>
      <c r="T696" s="15"/>
      <c r="U696" s="15"/>
      <c r="V696" s="15"/>
      <c r="W696" s="15"/>
      <c r="X696" s="15"/>
      <c r="Y696" s="15"/>
      <c r="Z696" s="15"/>
      <c r="AA696" s="15"/>
      <c r="AB696" s="15"/>
      <c r="AC696" s="15"/>
      <c r="AD696" s="15"/>
      <c r="AE696" s="15"/>
    </row>
    <row r="697" spans="1:31" x14ac:dyDescent="0.85">
      <c r="A697" s="15"/>
      <c r="B697" s="15"/>
      <c r="C697" s="15"/>
      <c r="D697" s="15"/>
      <c r="E697" s="15"/>
      <c r="F697" s="15"/>
      <c r="G697" s="15"/>
      <c r="H697" s="15"/>
      <c r="I697" s="15"/>
      <c r="J697" s="15"/>
      <c r="K697" s="15"/>
      <c r="L697" s="747"/>
      <c r="M697" s="15"/>
      <c r="N697" s="15"/>
      <c r="O697" s="15"/>
      <c r="P697" s="15"/>
      <c r="Q697" s="15"/>
      <c r="R697" s="15"/>
      <c r="S697" s="15"/>
      <c r="T697" s="15"/>
      <c r="U697" s="15"/>
      <c r="V697" s="15"/>
      <c r="W697" s="15"/>
      <c r="X697" s="15"/>
      <c r="Y697" s="15"/>
      <c r="Z697" s="15"/>
      <c r="AA697" s="15"/>
      <c r="AB697" s="15"/>
      <c r="AC697" s="15"/>
      <c r="AD697" s="15"/>
      <c r="AE697" s="15"/>
    </row>
    <row r="698" spans="1:31" x14ac:dyDescent="0.85">
      <c r="A698" s="15"/>
      <c r="B698" s="15"/>
      <c r="C698" s="15"/>
      <c r="D698" s="15"/>
      <c r="E698" s="15"/>
      <c r="F698" s="15"/>
      <c r="G698" s="15"/>
      <c r="H698" s="15"/>
      <c r="I698" s="15"/>
      <c r="J698" s="15"/>
      <c r="K698" s="15"/>
      <c r="L698" s="747"/>
      <c r="M698" s="15"/>
      <c r="N698" s="15"/>
      <c r="O698" s="15"/>
      <c r="P698" s="15"/>
      <c r="Q698" s="15"/>
      <c r="R698" s="15"/>
      <c r="S698" s="15"/>
      <c r="T698" s="15"/>
      <c r="U698" s="15"/>
      <c r="V698" s="15"/>
      <c r="W698" s="15"/>
      <c r="X698" s="15"/>
      <c r="Y698" s="15"/>
      <c r="Z698" s="15"/>
      <c r="AA698" s="15"/>
      <c r="AB698" s="15"/>
      <c r="AC698" s="15"/>
      <c r="AD698" s="15"/>
      <c r="AE698" s="15"/>
    </row>
    <row r="699" spans="1:31" x14ac:dyDescent="0.85">
      <c r="A699" s="15"/>
      <c r="B699" s="15"/>
      <c r="C699" s="15"/>
      <c r="D699" s="15"/>
      <c r="E699" s="15"/>
      <c r="F699" s="15"/>
      <c r="G699" s="15"/>
      <c r="H699" s="15"/>
      <c r="I699" s="15"/>
      <c r="J699" s="15"/>
      <c r="K699" s="15"/>
      <c r="L699" s="747"/>
      <c r="M699" s="15"/>
      <c r="N699" s="15"/>
      <c r="O699" s="15"/>
      <c r="P699" s="15"/>
      <c r="Q699" s="15"/>
      <c r="R699" s="15"/>
      <c r="S699" s="15"/>
      <c r="T699" s="15"/>
      <c r="U699" s="15"/>
      <c r="V699" s="15"/>
      <c r="W699" s="15"/>
      <c r="X699" s="15"/>
      <c r="Y699" s="15"/>
      <c r="Z699" s="15"/>
      <c r="AA699" s="15"/>
      <c r="AB699" s="15"/>
      <c r="AC699" s="15"/>
      <c r="AD699" s="15"/>
      <c r="AE699" s="15"/>
    </row>
    <row r="700" spans="1:31" x14ac:dyDescent="0.85">
      <c r="A700" s="15"/>
      <c r="B700" s="15"/>
      <c r="C700" s="15"/>
      <c r="D700" s="15"/>
      <c r="E700" s="15"/>
      <c r="F700" s="15"/>
      <c r="G700" s="15"/>
      <c r="H700" s="15"/>
      <c r="I700" s="15"/>
      <c r="J700" s="15"/>
      <c r="K700" s="15"/>
      <c r="L700" s="747"/>
      <c r="M700" s="15"/>
      <c r="N700" s="15"/>
      <c r="O700" s="15"/>
      <c r="P700" s="15"/>
      <c r="Q700" s="15"/>
      <c r="R700" s="15"/>
      <c r="S700" s="15"/>
      <c r="T700" s="15"/>
      <c r="U700" s="15"/>
      <c r="V700" s="15"/>
      <c r="W700" s="15"/>
      <c r="X700" s="15"/>
      <c r="Y700" s="15"/>
      <c r="Z700" s="15"/>
      <c r="AA700" s="15"/>
      <c r="AB700" s="15"/>
      <c r="AC700" s="15"/>
      <c r="AD700" s="15"/>
      <c r="AE700" s="15"/>
    </row>
    <row r="701" spans="1:31" x14ac:dyDescent="0.85">
      <c r="A701" s="15"/>
      <c r="B701" s="15"/>
      <c r="C701" s="15"/>
      <c r="D701" s="15"/>
      <c r="E701" s="15"/>
      <c r="F701" s="15"/>
      <c r="G701" s="15"/>
      <c r="H701" s="15"/>
      <c r="I701" s="15"/>
      <c r="J701" s="15"/>
      <c r="K701" s="15"/>
      <c r="L701" s="747"/>
      <c r="M701" s="15"/>
      <c r="N701" s="15"/>
      <c r="O701" s="15"/>
      <c r="P701" s="15"/>
      <c r="Q701" s="15"/>
      <c r="R701" s="15"/>
      <c r="S701" s="15"/>
      <c r="T701" s="15"/>
      <c r="U701" s="15"/>
      <c r="V701" s="15"/>
      <c r="W701" s="15"/>
      <c r="X701" s="15"/>
      <c r="Y701" s="15"/>
      <c r="Z701" s="15"/>
      <c r="AA701" s="15"/>
      <c r="AB701" s="15"/>
      <c r="AC701" s="15"/>
      <c r="AD701" s="15"/>
      <c r="AE701" s="15"/>
    </row>
    <row r="702" spans="1:31" x14ac:dyDescent="0.85">
      <c r="A702" s="15"/>
      <c r="B702" s="15"/>
      <c r="C702" s="15"/>
      <c r="D702" s="15"/>
      <c r="E702" s="15"/>
      <c r="F702" s="15"/>
      <c r="G702" s="15"/>
      <c r="H702" s="15"/>
      <c r="I702" s="15"/>
      <c r="J702" s="15"/>
      <c r="K702" s="15"/>
      <c r="L702" s="747"/>
      <c r="M702" s="15"/>
      <c r="N702" s="15"/>
      <c r="O702" s="15"/>
      <c r="P702" s="15"/>
      <c r="Q702" s="15"/>
      <c r="R702" s="15"/>
      <c r="S702" s="15"/>
      <c r="T702" s="15"/>
      <c r="U702" s="15"/>
      <c r="V702" s="15"/>
      <c r="W702" s="15"/>
      <c r="X702" s="15"/>
      <c r="Y702" s="15"/>
      <c r="Z702" s="15"/>
      <c r="AA702" s="15"/>
      <c r="AB702" s="15"/>
      <c r="AC702" s="15"/>
      <c r="AD702" s="15"/>
      <c r="AE702" s="15"/>
    </row>
    <row r="703" spans="1:31" x14ac:dyDescent="0.85">
      <c r="A703" s="15"/>
      <c r="B703" s="15"/>
      <c r="C703" s="15"/>
      <c r="D703" s="15"/>
      <c r="E703" s="15"/>
      <c r="F703" s="15"/>
      <c r="G703" s="15"/>
      <c r="H703" s="15"/>
      <c r="I703" s="15"/>
      <c r="J703" s="15"/>
      <c r="K703" s="15"/>
      <c r="L703" s="747"/>
      <c r="M703" s="15"/>
      <c r="N703" s="15"/>
      <c r="O703" s="15"/>
      <c r="P703" s="15"/>
      <c r="Q703" s="15"/>
      <c r="R703" s="15"/>
      <c r="S703" s="15"/>
      <c r="T703" s="15"/>
      <c r="U703" s="15"/>
      <c r="V703" s="15"/>
      <c r="W703" s="15"/>
      <c r="X703" s="15"/>
      <c r="Y703" s="15"/>
      <c r="Z703" s="15"/>
      <c r="AA703" s="15"/>
      <c r="AB703" s="15"/>
      <c r="AC703" s="15"/>
      <c r="AD703" s="15"/>
      <c r="AE703" s="15"/>
    </row>
    <row r="704" spans="1:31" x14ac:dyDescent="0.85">
      <c r="A704" s="15"/>
      <c r="B704" s="15"/>
      <c r="C704" s="15"/>
      <c r="D704" s="15"/>
      <c r="E704" s="15"/>
      <c r="F704" s="15"/>
      <c r="G704" s="15"/>
      <c r="H704" s="15"/>
      <c r="I704" s="15"/>
      <c r="J704" s="15"/>
      <c r="K704" s="15"/>
      <c r="L704" s="747"/>
      <c r="M704" s="15"/>
      <c r="N704" s="15"/>
      <c r="O704" s="15"/>
      <c r="P704" s="15"/>
      <c r="Q704" s="15"/>
      <c r="R704" s="15"/>
      <c r="S704" s="15"/>
      <c r="T704" s="15"/>
      <c r="U704" s="15"/>
      <c r="V704" s="15"/>
      <c r="W704" s="15"/>
      <c r="X704" s="15"/>
      <c r="Y704" s="15"/>
      <c r="Z704" s="15"/>
      <c r="AA704" s="15"/>
      <c r="AB704" s="15"/>
      <c r="AC704" s="15"/>
      <c r="AD704" s="15"/>
      <c r="AE704" s="15"/>
    </row>
    <row r="705" spans="1:31" x14ac:dyDescent="0.85">
      <c r="A705" s="15"/>
      <c r="B705" s="15"/>
      <c r="C705" s="15"/>
      <c r="D705" s="15"/>
      <c r="E705" s="15"/>
      <c r="F705" s="15"/>
      <c r="G705" s="15"/>
      <c r="H705" s="15"/>
      <c r="I705" s="15"/>
      <c r="J705" s="15"/>
      <c r="K705" s="15"/>
      <c r="L705" s="747"/>
      <c r="M705" s="15"/>
      <c r="N705" s="15"/>
      <c r="O705" s="15"/>
      <c r="P705" s="15"/>
      <c r="Q705" s="15"/>
      <c r="R705" s="15"/>
      <c r="S705" s="15"/>
      <c r="T705" s="15"/>
      <c r="U705" s="15"/>
      <c r="V705" s="15"/>
      <c r="W705" s="15"/>
      <c r="X705" s="15"/>
      <c r="Y705" s="15"/>
      <c r="Z705" s="15"/>
      <c r="AA705" s="15"/>
      <c r="AB705" s="15"/>
      <c r="AC705" s="15"/>
      <c r="AD705" s="15"/>
      <c r="AE705" s="15"/>
    </row>
    <row r="706" spans="1:31" x14ac:dyDescent="0.85">
      <c r="A706" s="15"/>
      <c r="B706" s="15"/>
      <c r="C706" s="15"/>
      <c r="D706" s="15"/>
      <c r="E706" s="15"/>
      <c r="F706" s="15"/>
      <c r="G706" s="15"/>
      <c r="H706" s="15"/>
      <c r="I706" s="15"/>
      <c r="J706" s="15"/>
      <c r="K706" s="15"/>
      <c r="L706" s="747"/>
      <c r="M706" s="15"/>
      <c r="N706" s="15"/>
      <c r="O706" s="15"/>
      <c r="P706" s="15"/>
      <c r="Q706" s="15"/>
      <c r="R706" s="15"/>
      <c r="S706" s="15"/>
      <c r="T706" s="15"/>
      <c r="U706" s="15"/>
      <c r="V706" s="15"/>
      <c r="W706" s="15"/>
      <c r="X706" s="15"/>
      <c r="Y706" s="15"/>
      <c r="Z706" s="15"/>
      <c r="AA706" s="15"/>
      <c r="AB706" s="15"/>
      <c r="AC706" s="15"/>
      <c r="AD706" s="15"/>
      <c r="AE706" s="15"/>
    </row>
    <row r="707" spans="1:31" x14ac:dyDescent="0.85">
      <c r="A707" s="15"/>
      <c r="B707" s="15"/>
      <c r="C707" s="15"/>
      <c r="D707" s="15"/>
      <c r="E707" s="15"/>
      <c r="F707" s="15"/>
      <c r="G707" s="15"/>
      <c r="H707" s="15"/>
      <c r="I707" s="15"/>
      <c r="J707" s="15"/>
      <c r="K707" s="15"/>
      <c r="L707" s="747"/>
      <c r="M707" s="15"/>
      <c r="N707" s="15"/>
      <c r="O707" s="15"/>
      <c r="P707" s="15"/>
      <c r="Q707" s="15"/>
      <c r="R707" s="15"/>
      <c r="S707" s="15"/>
      <c r="T707" s="15"/>
      <c r="U707" s="15"/>
      <c r="V707" s="15"/>
      <c r="W707" s="15"/>
      <c r="X707" s="15"/>
      <c r="Y707" s="15"/>
      <c r="Z707" s="15"/>
      <c r="AA707" s="15"/>
      <c r="AB707" s="15"/>
      <c r="AC707" s="15"/>
      <c r="AD707" s="15"/>
      <c r="AE707" s="15"/>
    </row>
    <row r="708" spans="1:31" x14ac:dyDescent="0.85">
      <c r="A708" s="15"/>
      <c r="B708" s="15"/>
      <c r="C708" s="15"/>
      <c r="D708" s="15"/>
      <c r="E708" s="15"/>
      <c r="F708" s="15"/>
      <c r="G708" s="15"/>
      <c r="H708" s="15"/>
      <c r="I708" s="15"/>
      <c r="J708" s="15"/>
      <c r="K708" s="15"/>
      <c r="L708" s="747"/>
      <c r="M708" s="15"/>
      <c r="N708" s="15"/>
      <c r="O708" s="15"/>
      <c r="P708" s="15"/>
      <c r="Q708" s="15"/>
      <c r="R708" s="15"/>
      <c r="S708" s="15"/>
      <c r="T708" s="15"/>
      <c r="U708" s="15"/>
      <c r="V708" s="15"/>
      <c r="W708" s="15"/>
      <c r="X708" s="15"/>
      <c r="Y708" s="15"/>
      <c r="Z708" s="15"/>
      <c r="AA708" s="15"/>
      <c r="AB708" s="15"/>
      <c r="AC708" s="15"/>
      <c r="AD708" s="15"/>
      <c r="AE708" s="15"/>
    </row>
    <row r="709" spans="1:31" x14ac:dyDescent="0.85">
      <c r="A709" s="15"/>
      <c r="B709" s="15"/>
      <c r="C709" s="15"/>
      <c r="D709" s="15"/>
      <c r="E709" s="15"/>
      <c r="F709" s="15"/>
      <c r="G709" s="15"/>
      <c r="H709" s="15"/>
      <c r="I709" s="15"/>
      <c r="J709" s="15"/>
      <c r="K709" s="15"/>
      <c r="L709" s="747"/>
      <c r="M709" s="15"/>
      <c r="N709" s="15"/>
      <c r="O709" s="15"/>
      <c r="P709" s="15"/>
      <c r="Q709" s="15"/>
      <c r="R709" s="15"/>
      <c r="S709" s="15"/>
      <c r="T709" s="15"/>
      <c r="U709" s="15"/>
      <c r="V709" s="15"/>
      <c r="W709" s="15"/>
      <c r="X709" s="15"/>
      <c r="Y709" s="15"/>
      <c r="Z709" s="15"/>
      <c r="AA709" s="15"/>
      <c r="AB709" s="15"/>
      <c r="AC709" s="15"/>
      <c r="AD709" s="15"/>
      <c r="AE709" s="15"/>
    </row>
    <row r="710" spans="1:31" x14ac:dyDescent="0.85">
      <c r="A710" s="15"/>
      <c r="B710" s="15"/>
      <c r="C710" s="15"/>
      <c r="D710" s="15"/>
      <c r="E710" s="15"/>
      <c r="F710" s="15"/>
      <c r="G710" s="15"/>
      <c r="H710" s="15"/>
      <c r="I710" s="15"/>
      <c r="J710" s="15"/>
      <c r="K710" s="15"/>
      <c r="L710" s="747"/>
      <c r="M710" s="15"/>
      <c r="N710" s="15"/>
      <c r="O710" s="15"/>
      <c r="P710" s="15"/>
      <c r="Q710" s="15"/>
      <c r="R710" s="15"/>
      <c r="S710" s="15"/>
      <c r="T710" s="15"/>
      <c r="U710" s="15"/>
      <c r="V710" s="15"/>
      <c r="W710" s="15"/>
      <c r="X710" s="15"/>
      <c r="Y710" s="15"/>
      <c r="Z710" s="15"/>
      <c r="AA710" s="15"/>
      <c r="AB710" s="15"/>
      <c r="AC710" s="15"/>
      <c r="AD710" s="15"/>
      <c r="AE710" s="15"/>
    </row>
    <row r="711" spans="1:31" x14ac:dyDescent="0.85">
      <c r="A711" s="15"/>
      <c r="B711" s="15"/>
      <c r="C711" s="15"/>
      <c r="D711" s="15"/>
      <c r="E711" s="15"/>
      <c r="F711" s="15"/>
      <c r="G711" s="15"/>
      <c r="H711" s="15"/>
      <c r="I711" s="15"/>
      <c r="J711" s="15"/>
      <c r="K711" s="15"/>
      <c r="L711" s="747"/>
      <c r="M711" s="15"/>
      <c r="N711" s="15"/>
      <c r="O711" s="15"/>
      <c r="P711" s="15"/>
      <c r="Q711" s="15"/>
      <c r="R711" s="15"/>
      <c r="S711" s="15"/>
      <c r="T711" s="15"/>
      <c r="U711" s="15"/>
      <c r="V711" s="15"/>
      <c r="W711" s="15"/>
      <c r="X711" s="15"/>
      <c r="Y711" s="15"/>
      <c r="Z711" s="15"/>
      <c r="AA711" s="15"/>
      <c r="AB711" s="15"/>
      <c r="AC711" s="15"/>
      <c r="AD711" s="15"/>
      <c r="AE711" s="15"/>
    </row>
    <row r="712" spans="1:31" x14ac:dyDescent="0.85">
      <c r="A712" s="15"/>
      <c r="B712" s="15"/>
      <c r="C712" s="15"/>
      <c r="D712" s="15"/>
      <c r="E712" s="15"/>
      <c r="F712" s="15"/>
      <c r="G712" s="15"/>
      <c r="H712" s="15"/>
      <c r="I712" s="15"/>
      <c r="J712" s="15"/>
      <c r="K712" s="15"/>
      <c r="L712" s="747"/>
      <c r="M712" s="15"/>
      <c r="N712" s="15"/>
      <c r="O712" s="15"/>
      <c r="P712" s="15"/>
      <c r="Q712" s="15"/>
      <c r="R712" s="15"/>
      <c r="S712" s="15"/>
      <c r="T712" s="15"/>
      <c r="U712" s="15"/>
      <c r="V712" s="15"/>
      <c r="W712" s="15"/>
      <c r="X712" s="15"/>
      <c r="Y712" s="15"/>
      <c r="Z712" s="15"/>
      <c r="AA712" s="15"/>
      <c r="AB712" s="15"/>
      <c r="AC712" s="15"/>
      <c r="AD712" s="15"/>
      <c r="AE712" s="15"/>
    </row>
    <row r="713" spans="1:31" x14ac:dyDescent="0.85">
      <c r="A713" s="15"/>
      <c r="B713" s="15"/>
      <c r="C713" s="15"/>
      <c r="D713" s="15"/>
      <c r="E713" s="15"/>
      <c r="F713" s="15"/>
      <c r="G713" s="15"/>
      <c r="H713" s="15"/>
      <c r="I713" s="15"/>
      <c r="J713" s="15"/>
      <c r="K713" s="15"/>
      <c r="L713" s="747"/>
      <c r="M713" s="15"/>
      <c r="N713" s="15"/>
      <c r="O713" s="15"/>
      <c r="P713" s="15"/>
      <c r="Q713" s="15"/>
      <c r="R713" s="15"/>
      <c r="S713" s="15"/>
      <c r="T713" s="15"/>
      <c r="U713" s="15"/>
      <c r="V713" s="15"/>
      <c r="W713" s="15"/>
      <c r="X713" s="15"/>
      <c r="Y713" s="15"/>
      <c r="Z713" s="15"/>
      <c r="AA713" s="15"/>
      <c r="AB713" s="15"/>
      <c r="AC713" s="15"/>
      <c r="AD713" s="15"/>
      <c r="AE713" s="15"/>
    </row>
    <row r="714" spans="1:31" x14ac:dyDescent="0.85">
      <c r="A714" s="15"/>
      <c r="B714" s="15"/>
      <c r="C714" s="15"/>
      <c r="D714" s="15"/>
      <c r="E714" s="15"/>
      <c r="F714" s="15"/>
      <c r="G714" s="15"/>
      <c r="H714" s="15"/>
      <c r="I714" s="15"/>
      <c r="J714" s="15"/>
      <c r="K714" s="15"/>
      <c r="L714" s="747"/>
      <c r="M714" s="15"/>
      <c r="N714" s="15"/>
      <c r="O714" s="15"/>
      <c r="P714" s="15"/>
      <c r="Q714" s="15"/>
      <c r="R714" s="15"/>
      <c r="S714" s="15"/>
      <c r="T714" s="15"/>
      <c r="U714" s="15"/>
      <c r="V714" s="15"/>
      <c r="W714" s="15"/>
      <c r="X714" s="15"/>
      <c r="Y714" s="15"/>
      <c r="Z714" s="15"/>
      <c r="AA714" s="15"/>
      <c r="AB714" s="15"/>
      <c r="AC714" s="15"/>
      <c r="AD714" s="15"/>
      <c r="AE714" s="15"/>
    </row>
    <row r="715" spans="1:31" x14ac:dyDescent="0.85">
      <c r="A715" s="15"/>
      <c r="B715" s="15"/>
      <c r="C715" s="15"/>
      <c r="D715" s="15"/>
      <c r="E715" s="15"/>
      <c r="F715" s="15"/>
      <c r="G715" s="15"/>
      <c r="H715" s="15"/>
      <c r="I715" s="15"/>
      <c r="J715" s="15"/>
      <c r="K715" s="15"/>
      <c r="L715" s="747"/>
      <c r="M715" s="15"/>
      <c r="N715" s="15"/>
      <c r="O715" s="15"/>
      <c r="P715" s="15"/>
      <c r="Q715" s="15"/>
      <c r="R715" s="15"/>
      <c r="S715" s="15"/>
      <c r="T715" s="15"/>
      <c r="U715" s="15"/>
      <c r="V715" s="15"/>
      <c r="W715" s="15"/>
      <c r="X715" s="15"/>
      <c r="Y715" s="15"/>
      <c r="Z715" s="15"/>
      <c r="AA715" s="15"/>
      <c r="AB715" s="15"/>
      <c r="AC715" s="15"/>
      <c r="AD715" s="15"/>
      <c r="AE715" s="15"/>
    </row>
    <row r="716" spans="1:31" x14ac:dyDescent="0.85">
      <c r="A716" s="15"/>
      <c r="B716" s="15"/>
      <c r="C716" s="15"/>
      <c r="D716" s="15"/>
      <c r="E716" s="15"/>
      <c r="F716" s="15"/>
      <c r="G716" s="15"/>
      <c r="H716" s="15"/>
      <c r="I716" s="15"/>
      <c r="J716" s="15"/>
      <c r="K716" s="15"/>
      <c r="L716" s="747"/>
      <c r="M716" s="15"/>
      <c r="N716" s="15"/>
      <c r="O716" s="15"/>
      <c r="P716" s="15"/>
      <c r="Q716" s="15"/>
      <c r="R716" s="15"/>
      <c r="S716" s="15"/>
      <c r="T716" s="15"/>
      <c r="U716" s="15"/>
      <c r="V716" s="15"/>
      <c r="W716" s="15"/>
      <c r="X716" s="15"/>
      <c r="Y716" s="15"/>
      <c r="Z716" s="15"/>
      <c r="AA716" s="15"/>
      <c r="AB716" s="15"/>
      <c r="AC716" s="15"/>
      <c r="AD716" s="15"/>
      <c r="AE716" s="15"/>
    </row>
    <row r="717" spans="1:31" x14ac:dyDescent="0.85">
      <c r="A717" s="15"/>
      <c r="B717" s="15"/>
      <c r="C717" s="15"/>
      <c r="D717" s="15"/>
      <c r="E717" s="15"/>
      <c r="F717" s="15"/>
      <c r="G717" s="15"/>
      <c r="H717" s="15"/>
      <c r="I717" s="15"/>
      <c r="J717" s="15"/>
      <c r="K717" s="15"/>
      <c r="L717" s="747"/>
      <c r="M717" s="15"/>
      <c r="N717" s="15"/>
      <c r="O717" s="15"/>
      <c r="P717" s="15"/>
      <c r="Q717" s="15"/>
      <c r="R717" s="15"/>
      <c r="S717" s="15"/>
      <c r="T717" s="15"/>
      <c r="U717" s="15"/>
      <c r="V717" s="15"/>
      <c r="W717" s="15"/>
      <c r="X717" s="15"/>
      <c r="Y717" s="15"/>
      <c r="Z717" s="15"/>
      <c r="AA717" s="15"/>
      <c r="AB717" s="15"/>
      <c r="AC717" s="15"/>
      <c r="AD717" s="15"/>
      <c r="AE717" s="15"/>
    </row>
    <row r="718" spans="1:31" x14ac:dyDescent="0.85">
      <c r="A718" s="15"/>
      <c r="B718" s="15"/>
      <c r="C718" s="15"/>
      <c r="D718" s="15"/>
      <c r="E718" s="15"/>
      <c r="F718" s="15"/>
      <c r="G718" s="15"/>
      <c r="H718" s="15"/>
      <c r="I718" s="15"/>
      <c r="J718" s="15"/>
      <c r="K718" s="15"/>
      <c r="L718" s="747"/>
      <c r="M718" s="15"/>
      <c r="N718" s="15"/>
      <c r="O718" s="15"/>
      <c r="P718" s="15"/>
      <c r="Q718" s="15"/>
      <c r="R718" s="15"/>
      <c r="S718" s="15"/>
      <c r="T718" s="15"/>
      <c r="U718" s="15"/>
      <c r="V718" s="15"/>
      <c r="W718" s="15"/>
      <c r="X718" s="15"/>
      <c r="Y718" s="15"/>
      <c r="Z718" s="15"/>
      <c r="AA718" s="15"/>
      <c r="AB718" s="15"/>
      <c r="AC718" s="15"/>
      <c r="AD718" s="15"/>
      <c r="AE718" s="15"/>
    </row>
    <row r="719" spans="1:31" x14ac:dyDescent="0.85">
      <c r="A719" s="15"/>
      <c r="B719" s="15"/>
      <c r="C719" s="15"/>
      <c r="D719" s="15"/>
      <c r="E719" s="15"/>
      <c r="F719" s="15"/>
      <c r="G719" s="15"/>
      <c r="H719" s="15"/>
      <c r="I719" s="15"/>
      <c r="J719" s="15"/>
      <c r="K719" s="15"/>
      <c r="L719" s="747"/>
      <c r="M719" s="15"/>
      <c r="N719" s="15"/>
      <c r="O719" s="15"/>
      <c r="P719" s="15"/>
      <c r="Q719" s="15"/>
      <c r="R719" s="15"/>
      <c r="S719" s="15"/>
      <c r="T719" s="15"/>
      <c r="U719" s="15"/>
      <c r="V719" s="15"/>
      <c r="W719" s="15"/>
      <c r="X719" s="15"/>
      <c r="Y719" s="15"/>
      <c r="Z719" s="15"/>
      <c r="AA719" s="15"/>
      <c r="AB719" s="15"/>
      <c r="AC719" s="15"/>
      <c r="AD719" s="15"/>
      <c r="AE719" s="15"/>
    </row>
    <row r="720" spans="1:31" x14ac:dyDescent="0.85">
      <c r="A720" s="15"/>
      <c r="B720" s="15"/>
      <c r="C720" s="15"/>
      <c r="D720" s="15"/>
      <c r="E720" s="15"/>
      <c r="F720" s="15"/>
      <c r="G720" s="15"/>
      <c r="H720" s="15"/>
      <c r="I720" s="15"/>
      <c r="J720" s="15"/>
      <c r="K720" s="15"/>
      <c r="L720" s="747"/>
      <c r="M720" s="15"/>
      <c r="N720" s="15"/>
      <c r="O720" s="15"/>
      <c r="P720" s="15"/>
      <c r="Q720" s="15"/>
      <c r="R720" s="15"/>
      <c r="S720" s="15"/>
      <c r="T720" s="15"/>
      <c r="U720" s="15"/>
      <c r="V720" s="15"/>
      <c r="W720" s="15"/>
      <c r="X720" s="15"/>
      <c r="Y720" s="15"/>
      <c r="Z720" s="15"/>
      <c r="AA720" s="15"/>
      <c r="AB720" s="15"/>
      <c r="AC720" s="15"/>
      <c r="AD720" s="15"/>
      <c r="AE720" s="15"/>
    </row>
    <row r="721" spans="1:31" x14ac:dyDescent="0.85">
      <c r="A721" s="15"/>
      <c r="B721" s="15"/>
      <c r="C721" s="15"/>
      <c r="D721" s="15"/>
      <c r="E721" s="15"/>
      <c r="F721" s="15"/>
      <c r="G721" s="15"/>
      <c r="H721" s="15"/>
      <c r="I721" s="15"/>
      <c r="J721" s="15"/>
      <c r="K721" s="15"/>
      <c r="L721" s="747"/>
      <c r="M721" s="15"/>
      <c r="N721" s="15"/>
      <c r="O721" s="15"/>
      <c r="P721" s="15"/>
      <c r="Q721" s="15"/>
      <c r="R721" s="15"/>
      <c r="S721" s="15"/>
      <c r="T721" s="15"/>
      <c r="U721" s="15"/>
      <c r="V721" s="15"/>
      <c r="W721" s="15"/>
      <c r="X721" s="15"/>
      <c r="Y721" s="15"/>
      <c r="Z721" s="15"/>
      <c r="AA721" s="15"/>
      <c r="AB721" s="15"/>
      <c r="AC721" s="15"/>
      <c r="AD721" s="15"/>
      <c r="AE721" s="15"/>
    </row>
    <row r="722" spans="1:31" x14ac:dyDescent="0.85">
      <c r="A722" s="15"/>
      <c r="B722" s="15"/>
      <c r="C722" s="15"/>
      <c r="D722" s="15"/>
      <c r="E722" s="15"/>
      <c r="F722" s="15"/>
      <c r="G722" s="15"/>
      <c r="H722" s="15"/>
      <c r="I722" s="15"/>
      <c r="J722" s="15"/>
      <c r="K722" s="15"/>
      <c r="L722" s="747"/>
      <c r="M722" s="15"/>
      <c r="N722" s="15"/>
      <c r="O722" s="15"/>
      <c r="P722" s="15"/>
      <c r="Q722" s="15"/>
      <c r="R722" s="15"/>
      <c r="S722" s="15"/>
      <c r="T722" s="15"/>
      <c r="U722" s="15"/>
      <c r="V722" s="15"/>
      <c r="W722" s="15"/>
      <c r="X722" s="15"/>
      <c r="Y722" s="15"/>
      <c r="Z722" s="15"/>
      <c r="AA722" s="15"/>
      <c r="AB722" s="15"/>
      <c r="AC722" s="15"/>
      <c r="AD722" s="15"/>
      <c r="AE722" s="15"/>
    </row>
    <row r="723" spans="1:31" x14ac:dyDescent="0.85">
      <c r="A723" s="15"/>
      <c r="B723" s="15"/>
      <c r="C723" s="15"/>
      <c r="D723" s="15"/>
      <c r="E723" s="15"/>
      <c r="F723" s="15"/>
      <c r="G723" s="15"/>
      <c r="H723" s="15"/>
      <c r="I723" s="15"/>
      <c r="J723" s="15"/>
      <c r="K723" s="15"/>
      <c r="L723" s="747"/>
      <c r="M723" s="15"/>
      <c r="N723" s="15"/>
      <c r="O723" s="15"/>
      <c r="P723" s="15"/>
      <c r="Q723" s="15"/>
      <c r="R723" s="15"/>
      <c r="S723" s="15"/>
      <c r="T723" s="15"/>
      <c r="U723" s="15"/>
      <c r="V723" s="15"/>
      <c r="W723" s="15"/>
      <c r="X723" s="15"/>
      <c r="Y723" s="15"/>
      <c r="Z723" s="15"/>
      <c r="AA723" s="15"/>
      <c r="AB723" s="15"/>
      <c r="AC723" s="15"/>
      <c r="AD723" s="15"/>
      <c r="AE723" s="15"/>
    </row>
    <row r="724" spans="1:31" x14ac:dyDescent="0.85">
      <c r="A724" s="15"/>
      <c r="B724" s="15"/>
      <c r="C724" s="15"/>
      <c r="D724" s="15"/>
      <c r="E724" s="15"/>
      <c r="F724" s="15"/>
      <c r="G724" s="15"/>
      <c r="H724" s="15"/>
      <c r="I724" s="15"/>
      <c r="J724" s="15"/>
      <c r="K724" s="15"/>
      <c r="L724" s="747"/>
      <c r="M724" s="15"/>
      <c r="N724" s="15"/>
      <c r="O724" s="15"/>
      <c r="P724" s="15"/>
      <c r="Q724" s="15"/>
      <c r="R724" s="15"/>
      <c r="S724" s="15"/>
      <c r="T724" s="15"/>
      <c r="U724" s="15"/>
      <c r="V724" s="15"/>
      <c r="W724" s="15"/>
      <c r="X724" s="15"/>
      <c r="Y724" s="15"/>
      <c r="Z724" s="15"/>
      <c r="AA724" s="15"/>
      <c r="AB724" s="15"/>
      <c r="AC724" s="15"/>
      <c r="AD724" s="15"/>
      <c r="AE724" s="15"/>
    </row>
    <row r="725" spans="1:31" x14ac:dyDescent="0.85">
      <c r="A725" s="15"/>
      <c r="B725" s="15"/>
      <c r="C725" s="15"/>
      <c r="D725" s="15"/>
      <c r="E725" s="15"/>
      <c r="F725" s="15"/>
      <c r="G725" s="15"/>
      <c r="H725" s="15"/>
      <c r="I725" s="15"/>
      <c r="J725" s="15"/>
      <c r="K725" s="15"/>
      <c r="L725" s="747"/>
      <c r="M725" s="15"/>
      <c r="N725" s="15"/>
      <c r="O725" s="15"/>
      <c r="P725" s="15"/>
      <c r="Q725" s="15"/>
      <c r="R725" s="15"/>
      <c r="S725" s="15"/>
      <c r="T725" s="15"/>
      <c r="U725" s="15"/>
      <c r="V725" s="15"/>
      <c r="W725" s="15"/>
      <c r="X725" s="15"/>
      <c r="Y725" s="15"/>
      <c r="Z725" s="15"/>
      <c r="AA725" s="15"/>
      <c r="AB725" s="15"/>
      <c r="AC725" s="15"/>
      <c r="AD725" s="15"/>
      <c r="AE725" s="15"/>
    </row>
    <row r="726" spans="1:31" x14ac:dyDescent="0.85">
      <c r="A726" s="15"/>
      <c r="B726" s="15"/>
      <c r="C726" s="15"/>
      <c r="D726" s="15"/>
      <c r="E726" s="15"/>
      <c r="F726" s="15"/>
      <c r="G726" s="15"/>
      <c r="H726" s="15"/>
      <c r="I726" s="15"/>
      <c r="J726" s="15"/>
      <c r="K726" s="15"/>
      <c r="L726" s="747"/>
      <c r="M726" s="15"/>
      <c r="N726" s="15"/>
      <c r="O726" s="15"/>
      <c r="P726" s="15"/>
      <c r="Q726" s="15"/>
      <c r="R726" s="15"/>
      <c r="S726" s="15"/>
      <c r="T726" s="15"/>
      <c r="U726" s="15"/>
      <c r="V726" s="15"/>
      <c r="W726" s="15"/>
      <c r="X726" s="15"/>
      <c r="Y726" s="15"/>
      <c r="Z726" s="15"/>
      <c r="AA726" s="15"/>
      <c r="AB726" s="15"/>
      <c r="AC726" s="15"/>
      <c r="AD726" s="15"/>
      <c r="AE726" s="15"/>
    </row>
    <row r="727" spans="1:31" x14ac:dyDescent="0.85">
      <c r="A727" s="15"/>
      <c r="B727" s="15"/>
      <c r="C727" s="15"/>
      <c r="D727" s="15"/>
      <c r="E727" s="15"/>
      <c r="F727" s="15"/>
      <c r="G727" s="15"/>
      <c r="H727" s="15"/>
      <c r="I727" s="15"/>
      <c r="J727" s="15"/>
      <c r="K727" s="15"/>
      <c r="L727" s="747"/>
      <c r="M727" s="15"/>
      <c r="N727" s="15"/>
      <c r="O727" s="15"/>
      <c r="P727" s="15"/>
      <c r="Q727" s="15"/>
      <c r="R727" s="15"/>
      <c r="S727" s="15"/>
      <c r="T727" s="15"/>
      <c r="U727" s="15"/>
      <c r="V727" s="15"/>
      <c r="W727" s="15"/>
      <c r="X727" s="15"/>
      <c r="Y727" s="15"/>
      <c r="Z727" s="15"/>
      <c r="AA727" s="15"/>
      <c r="AB727" s="15"/>
      <c r="AC727" s="15"/>
      <c r="AD727" s="15"/>
      <c r="AE727" s="15"/>
    </row>
    <row r="728" spans="1:31" x14ac:dyDescent="0.85">
      <c r="A728" s="15"/>
      <c r="B728" s="15"/>
      <c r="C728" s="15"/>
      <c r="D728" s="15"/>
      <c r="E728" s="15"/>
      <c r="F728" s="15"/>
      <c r="G728" s="15"/>
      <c r="H728" s="15"/>
      <c r="I728" s="15"/>
      <c r="J728" s="15"/>
      <c r="K728" s="15"/>
      <c r="L728" s="747"/>
      <c r="M728" s="15"/>
      <c r="N728" s="15"/>
      <c r="O728" s="15"/>
      <c r="P728" s="15"/>
      <c r="Q728" s="15"/>
      <c r="R728" s="15"/>
      <c r="S728" s="15"/>
      <c r="T728" s="15"/>
      <c r="U728" s="15"/>
      <c r="V728" s="15"/>
      <c r="W728" s="15"/>
      <c r="X728" s="15"/>
      <c r="Y728" s="15"/>
      <c r="Z728" s="15"/>
      <c r="AA728" s="15"/>
      <c r="AB728" s="15"/>
      <c r="AC728" s="15"/>
      <c r="AD728" s="15"/>
      <c r="AE728" s="15"/>
    </row>
    <row r="729" spans="1:31" x14ac:dyDescent="0.85">
      <c r="A729" s="15"/>
      <c r="B729" s="15"/>
      <c r="C729" s="15"/>
      <c r="D729" s="15"/>
      <c r="E729" s="15"/>
      <c r="F729" s="15"/>
      <c r="G729" s="15"/>
      <c r="H729" s="15"/>
      <c r="I729" s="15"/>
      <c r="J729" s="15"/>
      <c r="K729" s="15"/>
      <c r="L729" s="747"/>
      <c r="M729" s="15"/>
      <c r="N729" s="15"/>
      <c r="O729" s="15"/>
      <c r="P729" s="15"/>
      <c r="Q729" s="15"/>
      <c r="R729" s="15"/>
      <c r="S729" s="15"/>
      <c r="T729" s="15"/>
      <c r="U729" s="15"/>
      <c r="V729" s="15"/>
      <c r="W729" s="15"/>
      <c r="X729" s="15"/>
      <c r="Y729" s="15"/>
      <c r="Z729" s="15"/>
      <c r="AA729" s="15"/>
      <c r="AB729" s="15"/>
      <c r="AC729" s="15"/>
      <c r="AD729" s="15"/>
      <c r="AE729" s="15"/>
    </row>
    <row r="730" spans="1:31" x14ac:dyDescent="0.85">
      <c r="A730" s="15"/>
      <c r="B730" s="15"/>
      <c r="C730" s="15"/>
      <c r="D730" s="15"/>
      <c r="E730" s="15"/>
      <c r="F730" s="15"/>
      <c r="G730" s="15"/>
      <c r="H730" s="15"/>
      <c r="I730" s="15"/>
      <c r="J730" s="15"/>
      <c r="K730" s="15"/>
      <c r="L730" s="747"/>
      <c r="M730" s="15"/>
      <c r="N730" s="15"/>
      <c r="O730" s="15"/>
      <c r="P730" s="15"/>
      <c r="Q730" s="15"/>
      <c r="R730" s="15"/>
      <c r="S730" s="15"/>
      <c r="T730" s="15"/>
      <c r="U730" s="15"/>
      <c r="V730" s="15"/>
      <c r="W730" s="15"/>
      <c r="X730" s="15"/>
      <c r="Y730" s="15"/>
      <c r="Z730" s="15"/>
      <c r="AA730" s="15"/>
      <c r="AB730" s="15"/>
      <c r="AC730" s="15"/>
      <c r="AD730" s="15"/>
      <c r="AE730" s="15"/>
    </row>
    <row r="731" spans="1:31" x14ac:dyDescent="0.85">
      <c r="A731" s="15"/>
      <c r="B731" s="15"/>
      <c r="C731" s="15"/>
      <c r="D731" s="15"/>
      <c r="E731" s="15"/>
      <c r="F731" s="15"/>
      <c r="G731" s="15"/>
      <c r="H731" s="15"/>
      <c r="I731" s="15"/>
      <c r="J731" s="15"/>
      <c r="K731" s="15"/>
      <c r="L731" s="747"/>
      <c r="M731" s="15"/>
      <c r="N731" s="15"/>
      <c r="O731" s="15"/>
      <c r="P731" s="15"/>
      <c r="Q731" s="15"/>
      <c r="R731" s="15"/>
      <c r="S731" s="15"/>
      <c r="T731" s="15"/>
      <c r="U731" s="15"/>
      <c r="V731" s="15"/>
      <c r="W731" s="15"/>
      <c r="X731" s="15"/>
      <c r="Y731" s="15"/>
      <c r="Z731" s="15"/>
      <c r="AA731" s="15"/>
      <c r="AB731" s="15"/>
      <c r="AC731" s="15"/>
      <c r="AD731" s="15"/>
      <c r="AE731" s="15"/>
    </row>
    <row r="732" spans="1:31" x14ac:dyDescent="0.85">
      <c r="A732" s="15"/>
      <c r="B732" s="15"/>
      <c r="C732" s="15"/>
      <c r="D732" s="15"/>
      <c r="E732" s="15"/>
      <c r="F732" s="15"/>
      <c r="G732" s="15"/>
      <c r="H732" s="15"/>
      <c r="I732" s="15"/>
      <c r="J732" s="15"/>
      <c r="K732" s="15"/>
      <c r="L732" s="747"/>
      <c r="M732" s="15"/>
      <c r="N732" s="15"/>
      <c r="O732" s="15"/>
      <c r="P732" s="15"/>
      <c r="Q732" s="15"/>
      <c r="R732" s="15"/>
      <c r="S732" s="15"/>
      <c r="T732" s="15"/>
      <c r="U732" s="15"/>
      <c r="V732" s="15"/>
      <c r="W732" s="15"/>
      <c r="X732" s="15"/>
      <c r="Y732" s="15"/>
      <c r="Z732" s="15"/>
      <c r="AA732" s="15"/>
      <c r="AB732" s="15"/>
      <c r="AC732" s="15"/>
      <c r="AD732" s="15"/>
      <c r="AE732" s="15"/>
    </row>
    <row r="733" spans="1:31" x14ac:dyDescent="0.85">
      <c r="A733" s="15"/>
      <c r="B733" s="15"/>
      <c r="C733" s="15"/>
      <c r="D733" s="15"/>
      <c r="E733" s="15"/>
      <c r="F733" s="15"/>
      <c r="G733" s="15"/>
      <c r="H733" s="15"/>
      <c r="I733" s="15"/>
      <c r="J733" s="15"/>
      <c r="K733" s="15"/>
      <c r="L733" s="747"/>
      <c r="M733" s="15"/>
      <c r="N733" s="15"/>
      <c r="O733" s="15"/>
      <c r="P733" s="15"/>
      <c r="Q733" s="15"/>
      <c r="R733" s="15"/>
      <c r="S733" s="15"/>
      <c r="T733" s="15"/>
      <c r="U733" s="15"/>
      <c r="V733" s="15"/>
      <c r="W733" s="15"/>
      <c r="X733" s="15"/>
      <c r="Y733" s="15"/>
      <c r="Z733" s="15"/>
      <c r="AA733" s="15"/>
      <c r="AB733" s="15"/>
      <c r="AC733" s="15"/>
      <c r="AD733" s="15"/>
      <c r="AE733" s="15"/>
    </row>
    <row r="734" spans="1:31" x14ac:dyDescent="0.85">
      <c r="A734" s="15"/>
      <c r="B734" s="15"/>
      <c r="C734" s="15"/>
      <c r="D734" s="15"/>
      <c r="E734" s="15"/>
      <c r="F734" s="15"/>
      <c r="G734" s="15"/>
      <c r="H734" s="15"/>
      <c r="I734" s="15"/>
      <c r="J734" s="15"/>
      <c r="K734" s="15"/>
      <c r="L734" s="747"/>
      <c r="M734" s="15"/>
      <c r="N734" s="15"/>
      <c r="O734" s="15"/>
      <c r="P734" s="15"/>
      <c r="Q734" s="15"/>
      <c r="R734" s="15"/>
      <c r="S734" s="15"/>
      <c r="T734" s="15"/>
      <c r="U734" s="15"/>
      <c r="V734" s="15"/>
      <c r="W734" s="15"/>
      <c r="X734" s="15"/>
      <c r="Y734" s="15"/>
      <c r="Z734" s="15"/>
      <c r="AA734" s="15"/>
      <c r="AB734" s="15"/>
      <c r="AC734" s="15"/>
      <c r="AD734" s="15"/>
      <c r="AE734" s="15"/>
    </row>
    <row r="735" spans="1:31" x14ac:dyDescent="0.85">
      <c r="A735" s="15"/>
      <c r="B735" s="15"/>
      <c r="C735" s="15"/>
      <c r="D735" s="15"/>
      <c r="E735" s="15"/>
      <c r="F735" s="15"/>
      <c r="G735" s="15"/>
      <c r="H735" s="15"/>
      <c r="I735" s="15"/>
      <c r="J735" s="15"/>
      <c r="K735" s="15"/>
      <c r="L735" s="747"/>
      <c r="M735" s="15"/>
      <c r="N735" s="15"/>
      <c r="O735" s="15"/>
      <c r="P735" s="15"/>
      <c r="Q735" s="15"/>
      <c r="R735" s="15"/>
      <c r="S735" s="15"/>
      <c r="T735" s="15"/>
      <c r="U735" s="15"/>
      <c r="V735" s="15"/>
      <c r="W735" s="15"/>
      <c r="X735" s="15"/>
      <c r="Y735" s="15"/>
      <c r="Z735" s="15"/>
      <c r="AA735" s="15"/>
      <c r="AB735" s="15"/>
      <c r="AC735" s="15"/>
      <c r="AD735" s="15"/>
      <c r="AE735" s="15"/>
    </row>
    <row r="736" spans="1:31" x14ac:dyDescent="0.85">
      <c r="A736" s="15"/>
      <c r="B736" s="15"/>
      <c r="C736" s="15"/>
      <c r="D736" s="15"/>
      <c r="E736" s="15"/>
      <c r="F736" s="15"/>
      <c r="G736" s="15"/>
      <c r="H736" s="15"/>
      <c r="I736" s="15"/>
      <c r="J736" s="15"/>
      <c r="K736" s="15"/>
      <c r="L736" s="747"/>
      <c r="M736" s="15"/>
      <c r="N736" s="15"/>
      <c r="O736" s="15"/>
      <c r="P736" s="15"/>
      <c r="Q736" s="15"/>
      <c r="R736" s="15"/>
      <c r="S736" s="15"/>
      <c r="T736" s="15"/>
      <c r="U736" s="15"/>
      <c r="V736" s="15"/>
      <c r="W736" s="15"/>
      <c r="X736" s="15"/>
      <c r="Y736" s="15"/>
      <c r="Z736" s="15"/>
      <c r="AA736" s="15"/>
      <c r="AB736" s="15"/>
      <c r="AC736" s="15"/>
      <c r="AD736" s="15"/>
      <c r="AE736" s="15"/>
    </row>
    <row r="737" spans="1:31" x14ac:dyDescent="0.85">
      <c r="A737" s="15"/>
      <c r="B737" s="15"/>
      <c r="C737" s="15"/>
      <c r="D737" s="15"/>
      <c r="E737" s="15"/>
      <c r="F737" s="15"/>
      <c r="G737" s="15"/>
      <c r="H737" s="15"/>
      <c r="I737" s="15"/>
      <c r="J737" s="15"/>
      <c r="K737" s="15"/>
      <c r="L737" s="747"/>
      <c r="M737" s="15"/>
      <c r="N737" s="15"/>
      <c r="O737" s="15"/>
      <c r="P737" s="15"/>
      <c r="Q737" s="15"/>
      <c r="R737" s="15"/>
      <c r="S737" s="15"/>
      <c r="T737" s="15"/>
      <c r="U737" s="15"/>
      <c r="V737" s="15"/>
      <c r="W737" s="15"/>
      <c r="X737" s="15"/>
      <c r="Y737" s="15"/>
      <c r="Z737" s="15"/>
      <c r="AA737" s="15"/>
      <c r="AB737" s="15"/>
      <c r="AC737" s="15"/>
      <c r="AD737" s="15"/>
      <c r="AE737" s="15"/>
    </row>
    <row r="738" spans="1:31" x14ac:dyDescent="0.85">
      <c r="A738" s="15"/>
      <c r="B738" s="15"/>
      <c r="C738" s="15"/>
      <c r="D738" s="15"/>
      <c r="E738" s="15"/>
      <c r="F738" s="15"/>
      <c r="G738" s="15"/>
      <c r="H738" s="15"/>
      <c r="I738" s="15"/>
      <c r="J738" s="15"/>
      <c r="K738" s="15"/>
      <c r="L738" s="747"/>
      <c r="M738" s="15"/>
      <c r="N738" s="15"/>
      <c r="O738" s="15"/>
      <c r="P738" s="15"/>
      <c r="Q738" s="15"/>
      <c r="R738" s="15"/>
      <c r="S738" s="15"/>
      <c r="T738" s="15"/>
      <c r="U738" s="15"/>
      <c r="V738" s="15"/>
      <c r="W738" s="15"/>
      <c r="X738" s="15"/>
      <c r="Y738" s="15"/>
      <c r="Z738" s="15"/>
      <c r="AA738" s="15"/>
      <c r="AB738" s="15"/>
      <c r="AC738" s="15"/>
      <c r="AD738" s="15"/>
      <c r="AE738" s="15"/>
    </row>
    <row r="739" spans="1:31" x14ac:dyDescent="0.85">
      <c r="A739" s="15"/>
      <c r="B739" s="15"/>
      <c r="C739" s="15"/>
      <c r="D739" s="15"/>
      <c r="E739" s="15"/>
      <c r="F739" s="15"/>
      <c r="G739" s="15"/>
      <c r="H739" s="15"/>
      <c r="I739" s="15"/>
      <c r="J739" s="15"/>
      <c r="K739" s="15"/>
      <c r="L739" s="747"/>
      <c r="M739" s="15"/>
      <c r="N739" s="15"/>
      <c r="O739" s="15"/>
      <c r="P739" s="15"/>
      <c r="Q739" s="15"/>
      <c r="R739" s="15"/>
      <c r="S739" s="15"/>
      <c r="T739" s="15"/>
      <c r="U739" s="15"/>
      <c r="V739" s="15"/>
      <c r="W739" s="15"/>
      <c r="X739" s="15"/>
      <c r="Y739" s="15"/>
      <c r="Z739" s="15"/>
      <c r="AA739" s="15"/>
      <c r="AB739" s="15"/>
      <c r="AC739" s="15"/>
      <c r="AD739" s="15"/>
      <c r="AE739" s="15"/>
    </row>
    <row r="740" spans="1:31" x14ac:dyDescent="0.85">
      <c r="A740" s="15"/>
      <c r="B740" s="15"/>
      <c r="C740" s="15"/>
      <c r="D740" s="15"/>
      <c r="E740" s="15"/>
      <c r="F740" s="15"/>
      <c r="G740" s="15"/>
      <c r="H740" s="15"/>
      <c r="I740" s="15"/>
      <c r="J740" s="15"/>
      <c r="K740" s="15"/>
      <c r="L740" s="747"/>
      <c r="M740" s="15"/>
      <c r="N740" s="15"/>
      <c r="O740" s="15"/>
      <c r="P740" s="15"/>
      <c r="Q740" s="15"/>
      <c r="R740" s="15"/>
      <c r="S740" s="15"/>
      <c r="T740" s="15"/>
      <c r="U740" s="15"/>
      <c r="V740" s="15"/>
      <c r="W740" s="15"/>
      <c r="X740" s="15"/>
      <c r="Y740" s="15"/>
      <c r="Z740" s="15"/>
      <c r="AA740" s="15"/>
      <c r="AB740" s="15"/>
      <c r="AC740" s="15"/>
      <c r="AD740" s="15"/>
      <c r="AE740" s="15"/>
    </row>
    <row r="741" spans="1:31" x14ac:dyDescent="0.85">
      <c r="A741" s="15"/>
      <c r="B741" s="15"/>
      <c r="C741" s="15"/>
      <c r="D741" s="15"/>
      <c r="E741" s="15"/>
      <c r="F741" s="15"/>
      <c r="G741" s="15"/>
      <c r="H741" s="15"/>
      <c r="I741" s="15"/>
      <c r="J741" s="15"/>
      <c r="K741" s="15"/>
      <c r="L741" s="747"/>
      <c r="M741" s="15"/>
      <c r="N741" s="15"/>
      <c r="O741" s="15"/>
      <c r="P741" s="15"/>
      <c r="Q741" s="15"/>
      <c r="R741" s="15"/>
      <c r="S741" s="15"/>
      <c r="T741" s="15"/>
      <c r="U741" s="15"/>
      <c r="V741" s="15"/>
      <c r="W741" s="15"/>
      <c r="X741" s="15"/>
      <c r="Y741" s="15"/>
      <c r="Z741" s="15"/>
      <c r="AA741" s="15"/>
      <c r="AB741" s="15"/>
      <c r="AC741" s="15"/>
      <c r="AD741" s="15"/>
      <c r="AE741" s="15"/>
    </row>
    <row r="742" spans="1:31" x14ac:dyDescent="0.85">
      <c r="A742" s="15"/>
      <c r="B742" s="15"/>
      <c r="C742" s="15"/>
      <c r="D742" s="15"/>
      <c r="E742" s="15"/>
      <c r="F742" s="15"/>
      <c r="G742" s="15"/>
      <c r="H742" s="15"/>
      <c r="I742" s="15"/>
      <c r="J742" s="15"/>
      <c r="K742" s="15"/>
      <c r="L742" s="747"/>
      <c r="M742" s="15"/>
      <c r="N742" s="15"/>
      <c r="O742" s="15"/>
      <c r="P742" s="15"/>
      <c r="Q742" s="15"/>
      <c r="R742" s="15"/>
      <c r="S742" s="15"/>
      <c r="T742" s="15"/>
      <c r="U742" s="15"/>
      <c r="V742" s="15"/>
      <c r="W742" s="15"/>
      <c r="X742" s="15"/>
      <c r="Y742" s="15"/>
      <c r="Z742" s="15"/>
      <c r="AA742" s="15"/>
      <c r="AB742" s="15"/>
      <c r="AC742" s="15"/>
      <c r="AD742" s="15"/>
      <c r="AE742" s="15"/>
    </row>
    <row r="743" spans="1:31" x14ac:dyDescent="0.85">
      <c r="A743" s="15"/>
      <c r="B743" s="15"/>
      <c r="C743" s="15"/>
      <c r="D743" s="15"/>
      <c r="E743" s="15"/>
      <c r="F743" s="15"/>
      <c r="G743" s="15"/>
      <c r="H743" s="15"/>
      <c r="I743" s="15"/>
      <c r="J743" s="15"/>
      <c r="K743" s="15"/>
      <c r="L743" s="747"/>
      <c r="M743" s="15"/>
      <c r="N743" s="15"/>
      <c r="O743" s="15"/>
      <c r="P743" s="15"/>
      <c r="Q743" s="15"/>
      <c r="R743" s="15"/>
      <c r="S743" s="15"/>
      <c r="T743" s="15"/>
      <c r="U743" s="15"/>
      <c r="V743" s="15"/>
      <c r="W743" s="15"/>
      <c r="X743" s="15"/>
      <c r="Y743" s="15"/>
      <c r="Z743" s="15"/>
      <c r="AA743" s="15"/>
      <c r="AB743" s="15"/>
      <c r="AC743" s="15"/>
      <c r="AD743" s="15"/>
      <c r="AE743" s="15"/>
    </row>
    <row r="744" spans="1:31" x14ac:dyDescent="0.85">
      <c r="A744" s="15"/>
      <c r="B744" s="15"/>
      <c r="C744" s="15"/>
      <c r="D744" s="15"/>
      <c r="E744" s="15"/>
      <c r="F744" s="15"/>
      <c r="G744" s="15"/>
      <c r="H744" s="15"/>
      <c r="I744" s="15"/>
      <c r="J744" s="15"/>
      <c r="K744" s="15"/>
      <c r="L744" s="747"/>
      <c r="M744" s="15"/>
      <c r="N744" s="15"/>
      <c r="O744" s="15"/>
      <c r="P744" s="15"/>
      <c r="Q744" s="15"/>
      <c r="R744" s="15"/>
      <c r="S744" s="15"/>
      <c r="T744" s="15"/>
      <c r="U744" s="15"/>
      <c r="V744" s="15"/>
      <c r="W744" s="15"/>
      <c r="X744" s="15"/>
      <c r="Y744" s="15"/>
      <c r="Z744" s="15"/>
      <c r="AA744" s="15"/>
      <c r="AB744" s="15"/>
      <c r="AC744" s="15"/>
      <c r="AD744" s="15"/>
      <c r="AE744" s="15"/>
    </row>
    <row r="745" spans="1:31" x14ac:dyDescent="0.85">
      <c r="A745" s="15"/>
      <c r="B745" s="15"/>
      <c r="C745" s="15"/>
      <c r="D745" s="15"/>
      <c r="E745" s="15"/>
      <c r="F745" s="15"/>
      <c r="G745" s="15"/>
      <c r="H745" s="15"/>
      <c r="I745" s="15"/>
      <c r="J745" s="15"/>
      <c r="K745" s="15"/>
      <c r="L745" s="747"/>
      <c r="M745" s="15"/>
      <c r="N745" s="15"/>
      <c r="O745" s="15"/>
      <c r="P745" s="15"/>
      <c r="Q745" s="15"/>
      <c r="R745" s="15"/>
      <c r="S745" s="15"/>
      <c r="T745" s="15"/>
      <c r="U745" s="15"/>
      <c r="V745" s="15"/>
      <c r="W745" s="15"/>
      <c r="X745" s="15"/>
      <c r="Y745" s="15"/>
      <c r="Z745" s="15"/>
      <c r="AA745" s="15"/>
      <c r="AB745" s="15"/>
      <c r="AC745" s="15"/>
      <c r="AD745" s="15"/>
      <c r="AE745" s="15"/>
    </row>
    <row r="746" spans="1:31" x14ac:dyDescent="0.85">
      <c r="A746" s="15"/>
      <c r="B746" s="15"/>
      <c r="C746" s="15"/>
      <c r="D746" s="15"/>
      <c r="E746" s="15"/>
      <c r="F746" s="15"/>
      <c r="G746" s="15"/>
      <c r="H746" s="15"/>
      <c r="I746" s="15"/>
      <c r="J746" s="15"/>
      <c r="K746" s="15"/>
      <c r="L746" s="747"/>
      <c r="M746" s="15"/>
      <c r="N746" s="15"/>
      <c r="O746" s="15"/>
      <c r="P746" s="15"/>
      <c r="Q746" s="15"/>
      <c r="R746" s="15"/>
      <c r="S746" s="15"/>
      <c r="T746" s="15"/>
      <c r="U746" s="15"/>
      <c r="V746" s="15"/>
      <c r="W746" s="15"/>
      <c r="X746" s="15"/>
      <c r="Y746" s="15"/>
      <c r="Z746" s="15"/>
      <c r="AA746" s="15"/>
      <c r="AB746" s="15"/>
      <c r="AC746" s="15"/>
      <c r="AD746" s="15"/>
      <c r="AE746" s="15"/>
    </row>
    <row r="747" spans="1:31" x14ac:dyDescent="0.85">
      <c r="A747" s="15"/>
      <c r="B747" s="15"/>
      <c r="C747" s="15"/>
      <c r="D747" s="15"/>
      <c r="E747" s="15"/>
      <c r="F747" s="15"/>
      <c r="G747" s="15"/>
      <c r="H747" s="15"/>
      <c r="I747" s="15"/>
      <c r="J747" s="15"/>
      <c r="K747" s="15"/>
      <c r="L747" s="747"/>
      <c r="M747" s="15"/>
      <c r="N747" s="15"/>
      <c r="O747" s="15"/>
      <c r="P747" s="15"/>
      <c r="Q747" s="15"/>
      <c r="R747" s="15"/>
      <c r="S747" s="15"/>
      <c r="T747" s="15"/>
      <c r="U747" s="15"/>
      <c r="V747" s="15"/>
      <c r="W747" s="15"/>
      <c r="X747" s="15"/>
      <c r="Y747" s="15"/>
      <c r="Z747" s="15"/>
      <c r="AA747" s="15"/>
      <c r="AB747" s="15"/>
      <c r="AC747" s="15"/>
      <c r="AD747" s="15"/>
      <c r="AE747" s="15"/>
    </row>
    <row r="748" spans="1:31" x14ac:dyDescent="0.85">
      <c r="A748" s="15"/>
      <c r="B748" s="15"/>
      <c r="C748" s="15"/>
      <c r="D748" s="15"/>
      <c r="E748" s="15"/>
      <c r="F748" s="15"/>
      <c r="G748" s="15"/>
      <c r="H748" s="15"/>
      <c r="I748" s="15"/>
      <c r="J748" s="15"/>
      <c r="K748" s="15"/>
      <c r="L748" s="747"/>
      <c r="M748" s="15"/>
      <c r="N748" s="15"/>
      <c r="O748" s="15"/>
      <c r="P748" s="15"/>
      <c r="Q748" s="15"/>
      <c r="R748" s="15"/>
      <c r="S748" s="15"/>
      <c r="T748" s="15"/>
      <c r="U748" s="15"/>
      <c r="V748" s="15"/>
      <c r="W748" s="15"/>
      <c r="X748" s="15"/>
      <c r="Y748" s="15"/>
      <c r="Z748" s="15"/>
      <c r="AA748" s="15"/>
      <c r="AB748" s="15"/>
      <c r="AC748" s="15"/>
      <c r="AD748" s="15"/>
      <c r="AE748" s="15"/>
    </row>
    <row r="749" spans="1:31" x14ac:dyDescent="0.85">
      <c r="A749" s="15"/>
      <c r="B749" s="15"/>
      <c r="C749" s="15"/>
      <c r="D749" s="15"/>
      <c r="E749" s="15"/>
      <c r="F749" s="15"/>
      <c r="G749" s="15"/>
      <c r="H749" s="15"/>
      <c r="I749" s="15"/>
      <c r="J749" s="15"/>
      <c r="K749" s="15"/>
      <c r="L749" s="747"/>
      <c r="M749" s="15"/>
      <c r="N749" s="15"/>
      <c r="O749" s="15"/>
      <c r="P749" s="15"/>
      <c r="Q749" s="15"/>
      <c r="R749" s="15"/>
      <c r="S749" s="15"/>
      <c r="T749" s="15"/>
      <c r="U749" s="15"/>
      <c r="V749" s="15"/>
      <c r="W749" s="15"/>
      <c r="X749" s="15"/>
      <c r="Y749" s="15"/>
      <c r="Z749" s="15"/>
      <c r="AA749" s="15"/>
      <c r="AB749" s="15"/>
      <c r="AC749" s="15"/>
      <c r="AD749" s="15"/>
      <c r="AE749" s="15"/>
    </row>
    <row r="750" spans="1:31" x14ac:dyDescent="0.85">
      <c r="A750" s="15"/>
      <c r="B750" s="15"/>
      <c r="C750" s="15"/>
      <c r="D750" s="15"/>
      <c r="E750" s="15"/>
      <c r="F750" s="15"/>
      <c r="G750" s="15"/>
      <c r="H750" s="15"/>
      <c r="I750" s="15"/>
      <c r="J750" s="15"/>
      <c r="K750" s="15"/>
      <c r="L750" s="747"/>
      <c r="M750" s="15"/>
      <c r="N750" s="15"/>
      <c r="O750" s="15"/>
      <c r="P750" s="15"/>
      <c r="Q750" s="15"/>
      <c r="R750" s="15"/>
      <c r="S750" s="15"/>
      <c r="T750" s="15"/>
      <c r="U750" s="15"/>
      <c r="V750" s="15"/>
      <c r="W750" s="15"/>
      <c r="X750" s="15"/>
      <c r="Y750" s="15"/>
      <c r="Z750" s="15"/>
      <c r="AA750" s="15"/>
      <c r="AB750" s="15"/>
      <c r="AC750" s="15"/>
      <c r="AD750" s="15"/>
      <c r="AE750" s="15"/>
    </row>
    <row r="751" spans="1:31" x14ac:dyDescent="0.85">
      <c r="A751" s="15"/>
      <c r="B751" s="15"/>
      <c r="C751" s="15"/>
      <c r="D751" s="15"/>
      <c r="E751" s="15"/>
      <c r="F751" s="15"/>
      <c r="G751" s="15"/>
      <c r="H751" s="15"/>
      <c r="I751" s="15"/>
      <c r="J751" s="15"/>
      <c r="K751" s="15"/>
      <c r="L751" s="747"/>
      <c r="M751" s="15"/>
      <c r="N751" s="15"/>
      <c r="O751" s="15"/>
      <c r="P751" s="15"/>
      <c r="Q751" s="15"/>
      <c r="R751" s="15"/>
      <c r="S751" s="15"/>
      <c r="T751" s="15"/>
      <c r="U751" s="15"/>
      <c r="V751" s="15"/>
      <c r="W751" s="15"/>
      <c r="X751" s="15"/>
      <c r="Y751" s="15"/>
      <c r="Z751" s="15"/>
      <c r="AA751" s="15"/>
      <c r="AB751" s="15"/>
      <c r="AC751" s="15"/>
      <c r="AD751" s="15"/>
      <c r="AE751" s="15"/>
    </row>
    <row r="752" spans="1:31" x14ac:dyDescent="0.85">
      <c r="A752" s="15"/>
      <c r="B752" s="15"/>
      <c r="C752" s="15"/>
      <c r="D752" s="15"/>
      <c r="E752" s="15"/>
      <c r="F752" s="15"/>
      <c r="G752" s="15"/>
      <c r="H752" s="15"/>
      <c r="I752" s="15"/>
      <c r="J752" s="15"/>
      <c r="K752" s="15"/>
      <c r="L752" s="747"/>
      <c r="M752" s="15"/>
      <c r="N752" s="15"/>
      <c r="O752" s="15"/>
      <c r="P752" s="15"/>
      <c r="Q752" s="15"/>
      <c r="R752" s="15"/>
      <c r="S752" s="15"/>
      <c r="T752" s="15"/>
      <c r="U752" s="15"/>
      <c r="V752" s="15"/>
      <c r="W752" s="15"/>
      <c r="X752" s="15"/>
      <c r="Y752" s="15"/>
      <c r="Z752" s="15"/>
      <c r="AA752" s="15"/>
      <c r="AB752" s="15"/>
      <c r="AC752" s="15"/>
      <c r="AD752" s="15"/>
      <c r="AE752" s="15"/>
    </row>
    <row r="753" spans="1:31" x14ac:dyDescent="0.85">
      <c r="A753" s="15"/>
      <c r="B753" s="15"/>
      <c r="C753" s="15"/>
      <c r="D753" s="15"/>
      <c r="E753" s="15"/>
      <c r="F753" s="15"/>
      <c r="G753" s="15"/>
      <c r="H753" s="15"/>
      <c r="I753" s="15"/>
      <c r="J753" s="15"/>
      <c r="K753" s="15"/>
      <c r="L753" s="747"/>
      <c r="M753" s="15"/>
      <c r="N753" s="15"/>
      <c r="O753" s="15"/>
      <c r="P753" s="15"/>
      <c r="Q753" s="15"/>
      <c r="R753" s="15"/>
      <c r="S753" s="15"/>
      <c r="T753" s="15"/>
      <c r="U753" s="15"/>
      <c r="V753" s="15"/>
      <c r="W753" s="15"/>
      <c r="X753" s="15"/>
      <c r="Y753" s="15"/>
      <c r="Z753" s="15"/>
      <c r="AA753" s="15"/>
      <c r="AB753" s="15"/>
      <c r="AC753" s="15"/>
      <c r="AD753" s="15"/>
      <c r="AE753" s="15"/>
    </row>
    <row r="754" spans="1:31" x14ac:dyDescent="0.85">
      <c r="A754" s="15"/>
      <c r="B754" s="15"/>
      <c r="C754" s="15"/>
      <c r="D754" s="15"/>
      <c r="E754" s="15"/>
      <c r="F754" s="15"/>
      <c r="G754" s="15"/>
      <c r="H754" s="15"/>
      <c r="I754" s="15"/>
      <c r="J754" s="15"/>
      <c r="K754" s="15"/>
      <c r="L754" s="747"/>
      <c r="M754" s="15"/>
      <c r="N754" s="15"/>
      <c r="O754" s="15"/>
      <c r="P754" s="15"/>
      <c r="Q754" s="15"/>
      <c r="R754" s="15"/>
      <c r="S754" s="15"/>
      <c r="T754" s="15"/>
      <c r="U754" s="15"/>
      <c r="V754" s="15"/>
      <c r="W754" s="15"/>
      <c r="X754" s="15"/>
      <c r="Y754" s="15"/>
      <c r="Z754" s="15"/>
      <c r="AA754" s="15"/>
      <c r="AB754" s="15"/>
      <c r="AC754" s="15"/>
      <c r="AD754" s="15"/>
      <c r="AE754" s="15"/>
    </row>
    <row r="755" spans="1:31" x14ac:dyDescent="0.85">
      <c r="A755" s="15"/>
      <c r="B755" s="15"/>
      <c r="C755" s="15"/>
      <c r="D755" s="15"/>
      <c r="E755" s="15"/>
      <c r="F755" s="15"/>
      <c r="G755" s="15"/>
      <c r="H755" s="15"/>
      <c r="I755" s="15"/>
      <c r="J755" s="15"/>
      <c r="K755" s="15"/>
      <c r="L755" s="747"/>
      <c r="M755" s="15"/>
      <c r="N755" s="15"/>
      <c r="O755" s="15"/>
      <c r="P755" s="15"/>
      <c r="Q755" s="15"/>
      <c r="R755" s="15"/>
      <c r="S755" s="15"/>
      <c r="T755" s="15"/>
      <c r="U755" s="15"/>
      <c r="V755" s="15"/>
      <c r="W755" s="15"/>
      <c r="X755" s="15"/>
      <c r="Y755" s="15"/>
      <c r="Z755" s="15"/>
      <c r="AA755" s="15"/>
      <c r="AB755" s="15"/>
      <c r="AC755" s="15"/>
      <c r="AD755" s="15"/>
      <c r="AE755" s="15"/>
    </row>
    <row r="756" spans="1:31" x14ac:dyDescent="0.85">
      <c r="A756" s="15"/>
      <c r="B756" s="15"/>
      <c r="C756" s="15"/>
      <c r="D756" s="15"/>
      <c r="E756" s="15"/>
      <c r="F756" s="15"/>
      <c r="G756" s="15"/>
      <c r="H756" s="15"/>
      <c r="I756" s="15"/>
      <c r="J756" s="15"/>
      <c r="K756" s="15"/>
      <c r="L756" s="747"/>
      <c r="M756" s="15"/>
      <c r="N756" s="15"/>
      <c r="O756" s="15"/>
      <c r="P756" s="15"/>
      <c r="Q756" s="15"/>
      <c r="R756" s="15"/>
      <c r="S756" s="15"/>
      <c r="T756" s="15"/>
      <c r="U756" s="15"/>
      <c r="V756" s="15"/>
      <c r="W756" s="15"/>
      <c r="X756" s="15"/>
      <c r="Y756" s="15"/>
      <c r="Z756" s="15"/>
      <c r="AA756" s="15"/>
      <c r="AB756" s="15"/>
      <c r="AC756" s="15"/>
      <c r="AD756" s="15"/>
      <c r="AE756" s="15"/>
    </row>
    <row r="757" spans="1:31" x14ac:dyDescent="0.85">
      <c r="A757" s="15"/>
      <c r="B757" s="15"/>
      <c r="C757" s="15"/>
      <c r="D757" s="15"/>
      <c r="E757" s="15"/>
      <c r="F757" s="15"/>
      <c r="G757" s="15"/>
      <c r="H757" s="15"/>
      <c r="I757" s="15"/>
      <c r="J757" s="15"/>
      <c r="K757" s="15"/>
      <c r="L757" s="747"/>
      <c r="M757" s="15"/>
      <c r="N757" s="15"/>
      <c r="O757" s="15"/>
      <c r="P757" s="15"/>
      <c r="Q757" s="15"/>
      <c r="R757" s="15"/>
      <c r="S757" s="15"/>
      <c r="T757" s="15"/>
      <c r="U757" s="15"/>
      <c r="V757" s="15"/>
      <c r="W757" s="15"/>
      <c r="X757" s="15"/>
      <c r="Y757" s="15"/>
      <c r="Z757" s="15"/>
      <c r="AA757" s="15"/>
      <c r="AB757" s="15"/>
      <c r="AC757" s="15"/>
      <c r="AD757" s="15"/>
      <c r="AE757" s="15"/>
    </row>
    <row r="758" spans="1:31" x14ac:dyDescent="0.85">
      <c r="A758" s="15"/>
      <c r="B758" s="15"/>
      <c r="C758" s="15"/>
      <c r="D758" s="15"/>
      <c r="E758" s="15"/>
      <c r="F758" s="15"/>
      <c r="G758" s="15"/>
      <c r="H758" s="15"/>
      <c r="I758" s="15"/>
      <c r="J758" s="15"/>
      <c r="K758" s="15"/>
      <c r="L758" s="747"/>
      <c r="M758" s="15"/>
      <c r="N758" s="15"/>
      <c r="O758" s="15"/>
      <c r="P758" s="15"/>
      <c r="Q758" s="15"/>
      <c r="R758" s="15"/>
      <c r="S758" s="15"/>
      <c r="T758" s="15"/>
      <c r="U758" s="15"/>
      <c r="V758" s="15"/>
      <c r="W758" s="15"/>
      <c r="X758" s="15"/>
      <c r="Y758" s="15"/>
      <c r="Z758" s="15"/>
      <c r="AA758" s="15"/>
      <c r="AB758" s="15"/>
      <c r="AC758" s="15"/>
      <c r="AD758" s="15"/>
      <c r="AE758" s="15"/>
    </row>
    <row r="759" spans="1:31" x14ac:dyDescent="0.85">
      <c r="A759" s="15"/>
      <c r="B759" s="15"/>
      <c r="C759" s="15"/>
      <c r="D759" s="15"/>
      <c r="E759" s="15"/>
      <c r="F759" s="15"/>
      <c r="G759" s="15"/>
      <c r="H759" s="15"/>
      <c r="I759" s="15"/>
      <c r="J759" s="15"/>
      <c r="K759" s="15"/>
      <c r="L759" s="747"/>
      <c r="M759" s="15"/>
      <c r="N759" s="15"/>
      <c r="O759" s="15"/>
      <c r="P759" s="15"/>
      <c r="Q759" s="15"/>
      <c r="R759" s="15"/>
      <c r="S759" s="15"/>
      <c r="T759" s="15"/>
      <c r="U759" s="15"/>
      <c r="V759" s="15"/>
      <c r="W759" s="15"/>
      <c r="X759" s="15"/>
      <c r="Y759" s="15"/>
      <c r="Z759" s="15"/>
      <c r="AA759" s="15"/>
      <c r="AB759" s="15"/>
      <c r="AC759" s="15"/>
      <c r="AD759" s="15"/>
      <c r="AE759" s="15"/>
    </row>
    <row r="760" spans="1:31" x14ac:dyDescent="0.85">
      <c r="A760" s="15"/>
      <c r="B760" s="15"/>
      <c r="C760" s="15"/>
      <c r="D760" s="15"/>
      <c r="E760" s="15"/>
      <c r="F760" s="15"/>
      <c r="G760" s="15"/>
      <c r="H760" s="15"/>
      <c r="I760" s="15"/>
      <c r="J760" s="15"/>
      <c r="K760" s="15"/>
      <c r="L760" s="747"/>
      <c r="M760" s="15"/>
      <c r="N760" s="15"/>
      <c r="O760" s="15"/>
      <c r="P760" s="15"/>
      <c r="Q760" s="15"/>
      <c r="R760" s="15"/>
      <c r="S760" s="15"/>
      <c r="T760" s="15"/>
      <c r="U760" s="15"/>
      <c r="V760" s="15"/>
      <c r="W760" s="15"/>
      <c r="X760" s="15"/>
      <c r="Y760" s="15"/>
      <c r="Z760" s="15"/>
      <c r="AA760" s="15"/>
      <c r="AB760" s="15"/>
      <c r="AC760" s="15"/>
      <c r="AD760" s="15"/>
      <c r="AE760" s="15"/>
    </row>
    <row r="761" spans="1:31" x14ac:dyDescent="0.85">
      <c r="A761" s="15"/>
      <c r="B761" s="15"/>
      <c r="C761" s="15"/>
      <c r="D761" s="15"/>
      <c r="E761" s="15"/>
      <c r="F761" s="15"/>
      <c r="G761" s="15"/>
      <c r="H761" s="15"/>
      <c r="I761" s="15"/>
      <c r="J761" s="15"/>
      <c r="K761" s="15"/>
      <c r="L761" s="747"/>
      <c r="M761" s="15"/>
      <c r="N761" s="15"/>
      <c r="O761" s="15"/>
      <c r="P761" s="15"/>
      <c r="Q761" s="15"/>
      <c r="R761" s="15"/>
      <c r="S761" s="15"/>
      <c r="T761" s="15"/>
      <c r="U761" s="15"/>
      <c r="V761" s="15"/>
      <c r="W761" s="15"/>
      <c r="X761" s="15"/>
      <c r="Y761" s="15"/>
      <c r="Z761" s="15"/>
      <c r="AA761" s="15"/>
      <c r="AB761" s="15"/>
      <c r="AC761" s="15"/>
      <c r="AD761" s="15"/>
      <c r="AE761" s="15"/>
    </row>
    <row r="762" spans="1:31" x14ac:dyDescent="0.85">
      <c r="A762" s="15"/>
      <c r="B762" s="15"/>
      <c r="C762" s="15"/>
      <c r="D762" s="15"/>
      <c r="E762" s="15"/>
      <c r="F762" s="15"/>
      <c r="G762" s="15"/>
      <c r="H762" s="15"/>
      <c r="I762" s="15"/>
      <c r="J762" s="15"/>
      <c r="K762" s="15"/>
      <c r="L762" s="747"/>
      <c r="M762" s="15"/>
      <c r="N762" s="15"/>
      <c r="O762" s="15"/>
      <c r="P762" s="15"/>
      <c r="Q762" s="15"/>
      <c r="R762" s="15"/>
      <c r="S762" s="15"/>
      <c r="T762" s="15"/>
      <c r="U762" s="15"/>
      <c r="V762" s="15"/>
      <c r="W762" s="15"/>
      <c r="X762" s="15"/>
      <c r="Y762" s="15"/>
      <c r="Z762" s="15"/>
      <c r="AA762" s="15"/>
      <c r="AB762" s="15"/>
      <c r="AC762" s="15"/>
      <c r="AD762" s="15"/>
      <c r="AE762" s="15"/>
    </row>
    <row r="763" spans="1:31" x14ac:dyDescent="0.85">
      <c r="A763" s="15"/>
      <c r="B763" s="15"/>
      <c r="C763" s="15"/>
      <c r="D763" s="15"/>
      <c r="E763" s="15"/>
      <c r="F763" s="15"/>
      <c r="G763" s="15"/>
      <c r="H763" s="15"/>
      <c r="I763" s="15"/>
      <c r="J763" s="15"/>
      <c r="K763" s="15"/>
      <c r="L763" s="747"/>
      <c r="M763" s="15"/>
      <c r="N763" s="15"/>
      <c r="O763" s="15"/>
      <c r="P763" s="15"/>
      <c r="Q763" s="15"/>
      <c r="R763" s="15"/>
      <c r="S763" s="15"/>
      <c r="T763" s="15"/>
      <c r="U763" s="15"/>
      <c r="V763" s="15"/>
      <c r="W763" s="15"/>
      <c r="X763" s="15"/>
      <c r="Y763" s="15"/>
      <c r="Z763" s="15"/>
      <c r="AA763" s="15"/>
      <c r="AB763" s="15"/>
      <c r="AC763" s="15"/>
      <c r="AD763" s="15"/>
      <c r="AE763" s="15"/>
    </row>
    <row r="764" spans="1:31" x14ac:dyDescent="0.85">
      <c r="A764" s="15"/>
      <c r="B764" s="15"/>
      <c r="C764" s="15"/>
      <c r="D764" s="15"/>
      <c r="E764" s="15"/>
      <c r="F764" s="15"/>
      <c r="G764" s="15"/>
      <c r="H764" s="15"/>
      <c r="I764" s="15"/>
      <c r="J764" s="15"/>
      <c r="K764" s="15"/>
      <c r="L764" s="747"/>
      <c r="M764" s="15"/>
      <c r="N764" s="15"/>
      <c r="O764" s="15"/>
      <c r="P764" s="15"/>
      <c r="Q764" s="15"/>
      <c r="R764" s="15"/>
      <c r="S764" s="15"/>
      <c r="T764" s="15"/>
      <c r="U764" s="15"/>
      <c r="V764" s="15"/>
      <c r="W764" s="15"/>
      <c r="X764" s="15"/>
      <c r="Y764" s="15"/>
      <c r="Z764" s="15"/>
      <c r="AA764" s="15"/>
      <c r="AB764" s="15"/>
      <c r="AC764" s="15"/>
      <c r="AD764" s="15"/>
      <c r="AE764" s="15"/>
    </row>
    <row r="765" spans="1:31" x14ac:dyDescent="0.85">
      <c r="A765" s="15"/>
      <c r="B765" s="15"/>
      <c r="C765" s="15"/>
      <c r="D765" s="15"/>
      <c r="E765" s="15"/>
      <c r="F765" s="15"/>
      <c r="G765" s="15"/>
      <c r="H765" s="15"/>
      <c r="I765" s="15"/>
      <c r="J765" s="15"/>
      <c r="K765" s="15"/>
      <c r="L765" s="747"/>
      <c r="M765" s="15"/>
      <c r="N765" s="15"/>
      <c r="O765" s="15"/>
      <c r="P765" s="15"/>
      <c r="Q765" s="15"/>
      <c r="R765" s="15"/>
      <c r="S765" s="15"/>
      <c r="T765" s="15"/>
      <c r="U765" s="15"/>
      <c r="V765" s="15"/>
      <c r="W765" s="15"/>
      <c r="X765" s="15"/>
      <c r="Y765" s="15"/>
      <c r="Z765" s="15"/>
      <c r="AA765" s="15"/>
      <c r="AB765" s="15"/>
      <c r="AC765" s="15"/>
      <c r="AD765" s="15"/>
      <c r="AE765" s="15"/>
    </row>
    <row r="766" spans="1:31" x14ac:dyDescent="0.85">
      <c r="A766" s="15"/>
      <c r="B766" s="15"/>
      <c r="C766" s="15"/>
      <c r="D766" s="15"/>
      <c r="E766" s="15"/>
      <c r="F766" s="15"/>
      <c r="G766" s="15"/>
      <c r="H766" s="15"/>
      <c r="I766" s="15"/>
      <c r="J766" s="15"/>
      <c r="K766" s="15"/>
      <c r="L766" s="747"/>
      <c r="M766" s="15"/>
      <c r="N766" s="15"/>
      <c r="O766" s="15"/>
      <c r="P766" s="15"/>
      <c r="Q766" s="15"/>
      <c r="R766" s="15"/>
      <c r="S766" s="15"/>
      <c r="T766" s="15"/>
      <c r="U766" s="15"/>
      <c r="V766" s="15"/>
      <c r="W766" s="15"/>
      <c r="X766" s="15"/>
      <c r="Y766" s="15"/>
      <c r="Z766" s="15"/>
      <c r="AA766" s="15"/>
      <c r="AB766" s="15"/>
      <c r="AC766" s="15"/>
      <c r="AD766" s="15"/>
      <c r="AE766" s="15"/>
    </row>
    <row r="767" spans="1:31" x14ac:dyDescent="0.85">
      <c r="A767" s="15"/>
      <c r="B767" s="15"/>
      <c r="C767" s="15"/>
      <c r="D767" s="15"/>
      <c r="E767" s="15"/>
      <c r="F767" s="15"/>
      <c r="G767" s="15"/>
      <c r="H767" s="15"/>
      <c r="I767" s="15"/>
      <c r="J767" s="15"/>
      <c r="K767" s="15"/>
      <c r="L767" s="747"/>
      <c r="M767" s="15"/>
      <c r="N767" s="15"/>
      <c r="O767" s="15"/>
      <c r="P767" s="15"/>
      <c r="Q767" s="15"/>
      <c r="R767" s="15"/>
      <c r="S767" s="15"/>
      <c r="T767" s="15"/>
      <c r="U767" s="15"/>
      <c r="V767" s="15"/>
      <c r="W767" s="15"/>
      <c r="X767" s="15"/>
      <c r="Y767" s="15"/>
      <c r="Z767" s="15"/>
      <c r="AA767" s="15"/>
      <c r="AB767" s="15"/>
      <c r="AC767" s="15"/>
      <c r="AD767" s="15"/>
      <c r="AE767" s="15"/>
    </row>
    <row r="768" spans="1:31" x14ac:dyDescent="0.85">
      <c r="A768" s="15"/>
      <c r="B768" s="15"/>
      <c r="C768" s="15"/>
      <c r="D768" s="15"/>
      <c r="E768" s="15"/>
      <c r="F768" s="15"/>
      <c r="G768" s="15"/>
      <c r="H768" s="15"/>
      <c r="I768" s="15"/>
      <c r="J768" s="15"/>
      <c r="K768" s="15"/>
      <c r="L768" s="747"/>
      <c r="M768" s="15"/>
      <c r="N768" s="15"/>
      <c r="O768" s="15"/>
      <c r="P768" s="15"/>
      <c r="Q768" s="15"/>
      <c r="R768" s="15"/>
      <c r="S768" s="15"/>
      <c r="T768" s="15"/>
      <c r="U768" s="15"/>
      <c r="V768" s="15"/>
      <c r="W768" s="15"/>
      <c r="X768" s="15"/>
      <c r="Y768" s="15"/>
      <c r="Z768" s="15"/>
      <c r="AA768" s="15"/>
      <c r="AB768" s="15"/>
      <c r="AC768" s="15"/>
      <c r="AD768" s="15"/>
      <c r="AE768" s="15"/>
    </row>
    <row r="769" spans="1:31" x14ac:dyDescent="0.85">
      <c r="A769" s="15"/>
      <c r="B769" s="15"/>
      <c r="C769" s="15"/>
      <c r="D769" s="15"/>
      <c r="E769" s="15"/>
      <c r="F769" s="15"/>
      <c r="G769" s="15"/>
      <c r="H769" s="15"/>
      <c r="I769" s="15"/>
      <c r="J769" s="15"/>
      <c r="K769" s="15"/>
      <c r="L769" s="747"/>
      <c r="M769" s="15"/>
      <c r="N769" s="15"/>
      <c r="O769" s="15"/>
      <c r="P769" s="15"/>
      <c r="Q769" s="15"/>
      <c r="R769" s="15"/>
      <c r="S769" s="15"/>
      <c r="T769" s="15"/>
      <c r="U769" s="15"/>
      <c r="V769" s="15"/>
      <c r="W769" s="15"/>
      <c r="X769" s="15"/>
      <c r="Y769" s="15"/>
      <c r="Z769" s="15"/>
      <c r="AA769" s="15"/>
      <c r="AB769" s="15"/>
      <c r="AC769" s="15"/>
      <c r="AD769" s="15"/>
      <c r="AE769" s="15"/>
    </row>
    <row r="770" spans="1:31" x14ac:dyDescent="0.85">
      <c r="A770" s="15"/>
      <c r="B770" s="15"/>
      <c r="C770" s="15"/>
      <c r="D770" s="15"/>
      <c r="E770" s="15"/>
      <c r="F770" s="15"/>
      <c r="G770" s="15"/>
      <c r="H770" s="15"/>
      <c r="I770" s="15"/>
      <c r="J770" s="15"/>
      <c r="K770" s="15"/>
      <c r="L770" s="747"/>
      <c r="M770" s="15"/>
      <c r="N770" s="15"/>
      <c r="O770" s="15"/>
      <c r="P770" s="15"/>
      <c r="Q770" s="15"/>
      <c r="R770" s="15"/>
      <c r="S770" s="15"/>
      <c r="T770" s="15"/>
      <c r="U770" s="15"/>
      <c r="V770" s="15"/>
      <c r="W770" s="15"/>
      <c r="X770" s="15"/>
      <c r="Y770" s="15"/>
      <c r="Z770" s="15"/>
      <c r="AA770" s="15"/>
      <c r="AB770" s="15"/>
      <c r="AC770" s="15"/>
      <c r="AD770" s="15"/>
      <c r="AE770" s="15"/>
    </row>
    <row r="771" spans="1:31" x14ac:dyDescent="0.85">
      <c r="A771" s="15"/>
      <c r="B771" s="15"/>
      <c r="C771" s="15"/>
      <c r="D771" s="15"/>
      <c r="E771" s="15"/>
      <c r="F771" s="15"/>
      <c r="G771" s="15"/>
      <c r="H771" s="15"/>
      <c r="I771" s="15"/>
      <c r="J771" s="15"/>
      <c r="K771" s="15"/>
      <c r="L771" s="747"/>
      <c r="M771" s="15"/>
      <c r="N771" s="15"/>
      <c r="O771" s="15"/>
      <c r="P771" s="15"/>
      <c r="Q771" s="15"/>
      <c r="R771" s="15"/>
      <c r="S771" s="15"/>
      <c r="T771" s="15"/>
      <c r="U771" s="15"/>
      <c r="V771" s="15"/>
      <c r="W771" s="15"/>
      <c r="X771" s="15"/>
      <c r="Y771" s="15"/>
      <c r="Z771" s="15"/>
      <c r="AA771" s="15"/>
      <c r="AB771" s="15"/>
      <c r="AC771" s="15"/>
      <c r="AD771" s="15"/>
      <c r="AE771" s="15"/>
    </row>
    <row r="772" spans="1:31" x14ac:dyDescent="0.85">
      <c r="A772" s="15"/>
      <c r="B772" s="15"/>
      <c r="C772" s="15"/>
      <c r="D772" s="15"/>
      <c r="E772" s="15"/>
      <c r="F772" s="15"/>
      <c r="G772" s="15"/>
      <c r="H772" s="15"/>
      <c r="I772" s="15"/>
      <c r="J772" s="15"/>
      <c r="K772" s="15"/>
      <c r="L772" s="747"/>
      <c r="M772" s="15"/>
      <c r="N772" s="15"/>
      <c r="O772" s="15"/>
      <c r="P772" s="15"/>
      <c r="Q772" s="15"/>
      <c r="R772" s="15"/>
      <c r="S772" s="15"/>
      <c r="T772" s="15"/>
      <c r="U772" s="15"/>
      <c r="V772" s="15"/>
      <c r="W772" s="15"/>
      <c r="X772" s="15"/>
      <c r="Y772" s="15"/>
      <c r="Z772" s="15"/>
      <c r="AA772" s="15"/>
      <c r="AB772" s="15"/>
      <c r="AC772" s="15"/>
      <c r="AD772" s="15"/>
      <c r="AE772" s="15"/>
    </row>
    <row r="773" spans="1:31" x14ac:dyDescent="0.85">
      <c r="A773" s="15"/>
      <c r="B773" s="15"/>
      <c r="C773" s="15"/>
      <c r="D773" s="15"/>
      <c r="E773" s="15"/>
      <c r="F773" s="15"/>
      <c r="G773" s="15"/>
      <c r="H773" s="15"/>
      <c r="I773" s="15"/>
      <c r="J773" s="15"/>
      <c r="K773" s="15"/>
      <c r="L773" s="747"/>
      <c r="M773" s="15"/>
      <c r="N773" s="15"/>
      <c r="O773" s="15"/>
      <c r="P773" s="15"/>
      <c r="Q773" s="15"/>
      <c r="R773" s="15"/>
      <c r="S773" s="15"/>
      <c r="T773" s="15"/>
      <c r="U773" s="15"/>
      <c r="V773" s="15"/>
      <c r="W773" s="15"/>
      <c r="X773" s="15"/>
      <c r="Y773" s="15"/>
      <c r="Z773" s="15"/>
      <c r="AA773" s="15"/>
      <c r="AB773" s="15"/>
      <c r="AC773" s="15"/>
      <c r="AD773" s="15"/>
      <c r="AE773" s="15"/>
    </row>
    <row r="774" spans="1:31" x14ac:dyDescent="0.85">
      <c r="A774" s="15"/>
      <c r="B774" s="15"/>
      <c r="C774" s="15"/>
      <c r="D774" s="15"/>
      <c r="E774" s="15"/>
      <c r="F774" s="15"/>
      <c r="G774" s="15"/>
      <c r="H774" s="15"/>
      <c r="I774" s="15"/>
      <c r="J774" s="15"/>
      <c r="K774" s="15"/>
      <c r="L774" s="747"/>
      <c r="M774" s="15"/>
      <c r="N774" s="15"/>
      <c r="O774" s="15"/>
      <c r="P774" s="15"/>
      <c r="Q774" s="15"/>
      <c r="R774" s="15"/>
      <c r="S774" s="15"/>
      <c r="T774" s="15"/>
      <c r="U774" s="15"/>
      <c r="V774" s="15"/>
      <c r="W774" s="15"/>
      <c r="X774" s="15"/>
      <c r="Y774" s="15"/>
      <c r="Z774" s="15"/>
      <c r="AA774" s="15"/>
      <c r="AB774" s="15"/>
      <c r="AC774" s="15"/>
      <c r="AD774" s="15"/>
      <c r="AE774" s="15"/>
    </row>
    <row r="775" spans="1:31" x14ac:dyDescent="0.85">
      <c r="A775" s="15"/>
      <c r="B775" s="15"/>
      <c r="C775" s="15"/>
      <c r="D775" s="15"/>
      <c r="E775" s="15"/>
      <c r="F775" s="15"/>
      <c r="G775" s="15"/>
      <c r="H775" s="15"/>
      <c r="I775" s="15"/>
      <c r="J775" s="15"/>
      <c r="K775" s="15"/>
      <c r="L775" s="747"/>
      <c r="M775" s="15"/>
      <c r="N775" s="15"/>
      <c r="O775" s="15"/>
      <c r="P775" s="15"/>
      <c r="Q775" s="15"/>
      <c r="R775" s="15"/>
      <c r="S775" s="15"/>
      <c r="T775" s="15"/>
      <c r="U775" s="15"/>
      <c r="V775" s="15"/>
      <c r="W775" s="15"/>
      <c r="X775" s="15"/>
      <c r="Y775" s="15"/>
      <c r="Z775" s="15"/>
      <c r="AA775" s="15"/>
      <c r="AB775" s="15"/>
      <c r="AC775" s="15"/>
      <c r="AD775" s="15"/>
      <c r="AE775" s="15"/>
    </row>
    <row r="776" spans="1:31" x14ac:dyDescent="0.85">
      <c r="A776" s="15"/>
      <c r="B776" s="15"/>
      <c r="C776" s="15"/>
      <c r="D776" s="15"/>
      <c r="E776" s="15"/>
      <c r="F776" s="15"/>
      <c r="G776" s="15"/>
      <c r="H776" s="15"/>
      <c r="I776" s="15"/>
      <c r="J776" s="15"/>
      <c r="K776" s="15"/>
      <c r="L776" s="747"/>
      <c r="M776" s="15"/>
      <c r="N776" s="15"/>
      <c r="O776" s="15"/>
      <c r="P776" s="15"/>
      <c r="Q776" s="15"/>
      <c r="R776" s="15"/>
      <c r="S776" s="15"/>
      <c r="T776" s="15"/>
      <c r="U776" s="15"/>
      <c r="V776" s="15"/>
      <c r="W776" s="15"/>
      <c r="X776" s="15"/>
      <c r="Y776" s="15"/>
      <c r="Z776" s="15"/>
      <c r="AA776" s="15"/>
      <c r="AB776" s="15"/>
      <c r="AC776" s="15"/>
      <c r="AD776" s="15"/>
      <c r="AE776" s="15"/>
    </row>
    <row r="777" spans="1:31" x14ac:dyDescent="0.85">
      <c r="A777" s="15"/>
      <c r="B777" s="15"/>
      <c r="C777" s="15"/>
      <c r="D777" s="15"/>
      <c r="E777" s="15"/>
      <c r="F777" s="15"/>
      <c r="G777" s="15"/>
      <c r="H777" s="15"/>
      <c r="I777" s="15"/>
      <c r="J777" s="15"/>
      <c r="K777" s="15"/>
      <c r="L777" s="747"/>
      <c r="M777" s="15"/>
      <c r="N777" s="15"/>
      <c r="O777" s="15"/>
      <c r="P777" s="15"/>
      <c r="Q777" s="15"/>
      <c r="R777" s="15"/>
      <c r="S777" s="15"/>
      <c r="T777" s="15"/>
      <c r="U777" s="15"/>
      <c r="V777" s="15"/>
      <c r="W777" s="15"/>
      <c r="X777" s="15"/>
      <c r="Y777" s="15"/>
      <c r="Z777" s="15"/>
      <c r="AA777" s="15"/>
      <c r="AB777" s="15"/>
      <c r="AC777" s="15"/>
      <c r="AD777" s="15"/>
      <c r="AE777" s="15"/>
    </row>
    <row r="778" spans="1:31" x14ac:dyDescent="0.85">
      <c r="A778" s="15"/>
      <c r="B778" s="15"/>
      <c r="C778" s="15"/>
      <c r="D778" s="15"/>
      <c r="E778" s="15"/>
      <c r="F778" s="15"/>
      <c r="G778" s="15"/>
      <c r="H778" s="15"/>
      <c r="I778" s="15"/>
      <c r="J778" s="15"/>
      <c r="K778" s="15"/>
      <c r="L778" s="747"/>
      <c r="M778" s="15"/>
      <c r="N778" s="15"/>
      <c r="O778" s="15"/>
      <c r="P778" s="15"/>
      <c r="Q778" s="15"/>
      <c r="R778" s="15"/>
      <c r="S778" s="15"/>
      <c r="T778" s="15"/>
      <c r="U778" s="15"/>
      <c r="V778" s="15"/>
      <c r="W778" s="15"/>
      <c r="X778" s="15"/>
      <c r="Y778" s="15"/>
      <c r="Z778" s="15"/>
      <c r="AA778" s="15"/>
      <c r="AB778" s="15"/>
      <c r="AC778" s="15"/>
      <c r="AD778" s="15"/>
      <c r="AE778" s="15"/>
    </row>
    <row r="779" spans="1:31" x14ac:dyDescent="0.85">
      <c r="A779" s="15"/>
      <c r="B779" s="15"/>
      <c r="C779" s="15"/>
      <c r="D779" s="15"/>
      <c r="E779" s="15"/>
      <c r="F779" s="15"/>
      <c r="G779" s="15"/>
      <c r="H779" s="15"/>
      <c r="I779" s="15"/>
      <c r="J779" s="15"/>
      <c r="K779" s="15"/>
      <c r="L779" s="747"/>
      <c r="M779" s="15"/>
      <c r="N779" s="15"/>
      <c r="O779" s="15"/>
      <c r="P779" s="15"/>
      <c r="Q779" s="15"/>
      <c r="R779" s="15"/>
      <c r="S779" s="15"/>
      <c r="T779" s="15"/>
      <c r="U779" s="15"/>
      <c r="V779" s="15"/>
      <c r="W779" s="15"/>
      <c r="X779" s="15"/>
      <c r="Y779" s="15"/>
      <c r="Z779" s="15"/>
      <c r="AA779" s="15"/>
      <c r="AB779" s="15"/>
      <c r="AC779" s="15"/>
      <c r="AD779" s="15"/>
      <c r="AE779" s="15"/>
    </row>
    <row r="780" spans="1:31" x14ac:dyDescent="0.85">
      <c r="A780" s="15"/>
      <c r="B780" s="15"/>
      <c r="C780" s="15"/>
      <c r="D780" s="15"/>
      <c r="E780" s="15"/>
      <c r="F780" s="15"/>
      <c r="G780" s="15"/>
      <c r="H780" s="15"/>
      <c r="I780" s="15"/>
      <c r="J780" s="15"/>
      <c r="K780" s="15"/>
      <c r="L780" s="747"/>
      <c r="M780" s="15"/>
      <c r="N780" s="15"/>
      <c r="O780" s="15"/>
      <c r="P780" s="15"/>
      <c r="Q780" s="15"/>
      <c r="R780" s="15"/>
      <c r="S780" s="15"/>
      <c r="T780" s="15"/>
      <c r="U780" s="15"/>
      <c r="V780" s="15"/>
      <c r="W780" s="15"/>
      <c r="X780" s="15"/>
      <c r="Y780" s="15"/>
      <c r="Z780" s="15"/>
      <c r="AA780" s="15"/>
      <c r="AB780" s="15"/>
      <c r="AC780" s="15"/>
      <c r="AD780" s="15"/>
      <c r="AE780" s="15"/>
    </row>
    <row r="781" spans="1:31" x14ac:dyDescent="0.85">
      <c r="A781" s="15"/>
      <c r="B781" s="15"/>
      <c r="C781" s="15"/>
      <c r="D781" s="15"/>
      <c r="E781" s="15"/>
      <c r="F781" s="15"/>
      <c r="G781" s="15"/>
      <c r="H781" s="15"/>
      <c r="I781" s="15"/>
      <c r="J781" s="15"/>
      <c r="K781" s="15"/>
      <c r="L781" s="747"/>
      <c r="M781" s="15"/>
      <c r="N781" s="15"/>
      <c r="O781" s="15"/>
      <c r="P781" s="15"/>
      <c r="Q781" s="15"/>
      <c r="R781" s="15"/>
      <c r="S781" s="15"/>
      <c r="T781" s="15"/>
      <c r="U781" s="15"/>
      <c r="V781" s="15"/>
      <c r="W781" s="15"/>
      <c r="X781" s="15"/>
      <c r="Y781" s="15"/>
      <c r="Z781" s="15"/>
      <c r="AA781" s="15"/>
      <c r="AB781" s="15"/>
      <c r="AC781" s="15"/>
      <c r="AD781" s="15"/>
      <c r="AE781" s="15"/>
    </row>
    <row r="782" spans="1:31" x14ac:dyDescent="0.85">
      <c r="A782" s="15"/>
      <c r="B782" s="15"/>
      <c r="C782" s="15"/>
      <c r="D782" s="15"/>
      <c r="E782" s="15"/>
      <c r="F782" s="15"/>
      <c r="G782" s="15"/>
      <c r="H782" s="15"/>
      <c r="I782" s="15"/>
      <c r="J782" s="15"/>
      <c r="K782" s="15"/>
      <c r="L782" s="747"/>
      <c r="M782" s="15"/>
      <c r="N782" s="15"/>
      <c r="O782" s="15"/>
      <c r="P782" s="15"/>
      <c r="Q782" s="15"/>
      <c r="R782" s="15"/>
      <c r="S782" s="15"/>
      <c r="T782" s="15"/>
      <c r="U782" s="15"/>
      <c r="V782" s="15"/>
      <c r="W782" s="15"/>
      <c r="X782" s="15"/>
      <c r="Y782" s="15"/>
      <c r="Z782" s="15"/>
      <c r="AA782" s="15"/>
      <c r="AB782" s="15"/>
      <c r="AC782" s="15"/>
      <c r="AD782" s="15"/>
      <c r="AE782" s="15"/>
    </row>
    <row r="783" spans="1:31" x14ac:dyDescent="0.85">
      <c r="A783" s="15"/>
      <c r="B783" s="15"/>
      <c r="C783" s="15"/>
      <c r="D783" s="15"/>
      <c r="E783" s="15"/>
      <c r="F783" s="15"/>
      <c r="G783" s="15"/>
      <c r="H783" s="15"/>
      <c r="I783" s="15"/>
      <c r="J783" s="15"/>
      <c r="K783" s="15"/>
      <c r="L783" s="747"/>
      <c r="M783" s="15"/>
      <c r="N783" s="15"/>
      <c r="O783" s="15"/>
      <c r="P783" s="15"/>
      <c r="Q783" s="15"/>
      <c r="R783" s="15"/>
      <c r="S783" s="15"/>
      <c r="T783" s="15"/>
      <c r="U783" s="15"/>
      <c r="V783" s="15"/>
      <c r="W783" s="15"/>
      <c r="X783" s="15"/>
      <c r="Y783" s="15"/>
      <c r="Z783" s="15"/>
      <c r="AA783" s="15"/>
      <c r="AB783" s="15"/>
      <c r="AC783" s="15"/>
      <c r="AD783" s="15"/>
      <c r="AE783" s="15"/>
    </row>
    <row r="784" spans="1:31" x14ac:dyDescent="0.85">
      <c r="A784" s="15"/>
      <c r="B784" s="15"/>
      <c r="C784" s="15"/>
      <c r="D784" s="15"/>
      <c r="E784" s="15"/>
      <c r="F784" s="15"/>
      <c r="G784" s="15"/>
      <c r="H784" s="15"/>
      <c r="I784" s="15"/>
      <c r="J784" s="15"/>
      <c r="K784" s="15"/>
      <c r="L784" s="747"/>
      <c r="M784" s="15"/>
      <c r="N784" s="15"/>
      <c r="O784" s="15"/>
      <c r="P784" s="15"/>
      <c r="Q784" s="15"/>
      <c r="R784" s="15"/>
      <c r="S784" s="15"/>
      <c r="T784" s="15"/>
      <c r="U784" s="15"/>
      <c r="V784" s="15"/>
      <c r="W784" s="15"/>
      <c r="X784" s="15"/>
      <c r="Y784" s="15"/>
      <c r="Z784" s="15"/>
      <c r="AA784" s="15"/>
      <c r="AB784" s="15"/>
      <c r="AC784" s="15"/>
      <c r="AD784" s="15"/>
      <c r="AE784" s="15"/>
    </row>
    <row r="785" spans="1:31" x14ac:dyDescent="0.85">
      <c r="A785" s="15"/>
      <c r="B785" s="15"/>
      <c r="C785" s="15"/>
      <c r="D785" s="15"/>
      <c r="E785" s="15"/>
      <c r="F785" s="15"/>
      <c r="G785" s="15"/>
      <c r="H785" s="15"/>
      <c r="I785" s="15"/>
      <c r="J785" s="15"/>
      <c r="K785" s="15"/>
      <c r="L785" s="747"/>
      <c r="M785" s="15"/>
      <c r="N785" s="15"/>
      <c r="O785" s="15"/>
      <c r="P785" s="15"/>
      <c r="Q785" s="15"/>
      <c r="R785" s="15"/>
      <c r="S785" s="15"/>
      <c r="T785" s="15"/>
      <c r="U785" s="15"/>
      <c r="V785" s="15"/>
      <c r="W785" s="15"/>
      <c r="X785" s="15"/>
      <c r="Y785" s="15"/>
      <c r="Z785" s="15"/>
      <c r="AA785" s="15"/>
      <c r="AB785" s="15"/>
      <c r="AC785" s="15"/>
      <c r="AD785" s="15"/>
      <c r="AE785" s="15"/>
    </row>
    <row r="786" spans="1:31" x14ac:dyDescent="0.85">
      <c r="A786" s="15"/>
      <c r="B786" s="15"/>
      <c r="C786" s="15"/>
      <c r="D786" s="15"/>
      <c r="E786" s="15"/>
      <c r="F786" s="15"/>
      <c r="G786" s="15"/>
      <c r="H786" s="15"/>
      <c r="I786" s="15"/>
      <c r="J786" s="15"/>
      <c r="K786" s="15"/>
      <c r="L786" s="747"/>
      <c r="M786" s="15"/>
      <c r="N786" s="15"/>
      <c r="O786" s="15"/>
      <c r="P786" s="15"/>
      <c r="Q786" s="15"/>
      <c r="R786" s="15"/>
      <c r="S786" s="15"/>
      <c r="T786" s="15"/>
      <c r="U786" s="15"/>
      <c r="V786" s="15"/>
      <c r="W786" s="15"/>
      <c r="X786" s="15"/>
      <c r="Y786" s="15"/>
      <c r="Z786" s="15"/>
      <c r="AA786" s="15"/>
      <c r="AB786" s="15"/>
      <c r="AC786" s="15"/>
      <c r="AD786" s="15"/>
      <c r="AE786" s="15"/>
    </row>
    <row r="787" spans="1:31" x14ac:dyDescent="0.85">
      <c r="A787" s="15"/>
      <c r="B787" s="15"/>
      <c r="C787" s="15"/>
      <c r="D787" s="15"/>
      <c r="E787" s="15"/>
      <c r="F787" s="15"/>
      <c r="G787" s="15"/>
      <c r="H787" s="15"/>
      <c r="I787" s="15"/>
      <c r="J787" s="15"/>
      <c r="K787" s="15"/>
      <c r="L787" s="747"/>
      <c r="M787" s="15"/>
      <c r="N787" s="15"/>
      <c r="O787" s="15"/>
      <c r="P787" s="15"/>
      <c r="Q787" s="15"/>
      <c r="R787" s="15"/>
      <c r="S787" s="15"/>
      <c r="T787" s="15"/>
      <c r="U787" s="15"/>
      <c r="V787" s="15"/>
      <c r="W787" s="15"/>
      <c r="X787" s="15"/>
      <c r="Y787" s="15"/>
      <c r="Z787" s="15"/>
      <c r="AA787" s="15"/>
      <c r="AB787" s="15"/>
      <c r="AC787" s="15"/>
      <c r="AD787" s="15"/>
      <c r="AE787" s="15"/>
    </row>
    <row r="788" spans="1:31" x14ac:dyDescent="0.85">
      <c r="A788" s="15"/>
      <c r="B788" s="15"/>
      <c r="C788" s="15"/>
      <c r="D788" s="15"/>
      <c r="E788" s="15"/>
      <c r="F788" s="15"/>
      <c r="G788" s="15"/>
      <c r="H788" s="15"/>
      <c r="I788" s="15"/>
      <c r="J788" s="15"/>
      <c r="K788" s="15"/>
      <c r="L788" s="747"/>
      <c r="M788" s="15"/>
      <c r="N788" s="15"/>
      <c r="O788" s="15"/>
      <c r="P788" s="15"/>
      <c r="Q788" s="15"/>
      <c r="R788" s="15"/>
      <c r="S788" s="15"/>
      <c r="T788" s="15"/>
      <c r="U788" s="15"/>
      <c r="V788" s="15"/>
      <c r="W788" s="15"/>
      <c r="X788" s="15"/>
      <c r="Y788" s="15"/>
      <c r="Z788" s="15"/>
      <c r="AA788" s="15"/>
      <c r="AB788" s="15"/>
      <c r="AC788" s="15"/>
      <c r="AD788" s="15"/>
      <c r="AE788" s="15"/>
    </row>
    <row r="789" spans="1:31" x14ac:dyDescent="0.85">
      <c r="A789" s="15"/>
      <c r="B789" s="15"/>
      <c r="C789" s="15"/>
      <c r="D789" s="15"/>
      <c r="E789" s="15"/>
      <c r="F789" s="15"/>
      <c r="G789" s="15"/>
      <c r="H789" s="15"/>
      <c r="I789" s="15"/>
      <c r="J789" s="15"/>
      <c r="K789" s="15"/>
      <c r="L789" s="747"/>
      <c r="M789" s="15"/>
      <c r="N789" s="15"/>
      <c r="O789" s="15"/>
      <c r="P789" s="15"/>
      <c r="Q789" s="15"/>
      <c r="R789" s="15"/>
      <c r="S789" s="15"/>
      <c r="T789" s="15"/>
      <c r="U789" s="15"/>
      <c r="V789" s="15"/>
      <c r="W789" s="15"/>
      <c r="X789" s="15"/>
      <c r="Y789" s="15"/>
      <c r="Z789" s="15"/>
      <c r="AA789" s="15"/>
      <c r="AB789" s="15"/>
      <c r="AC789" s="15"/>
      <c r="AD789" s="15"/>
      <c r="AE789" s="15"/>
    </row>
    <row r="790" spans="1:31" x14ac:dyDescent="0.85">
      <c r="A790" s="15"/>
      <c r="B790" s="15"/>
      <c r="C790" s="15"/>
      <c r="D790" s="15"/>
      <c r="E790" s="15"/>
      <c r="F790" s="15"/>
      <c r="G790" s="15"/>
      <c r="H790" s="15"/>
      <c r="I790" s="15"/>
      <c r="J790" s="15"/>
      <c r="K790" s="15"/>
      <c r="L790" s="747"/>
      <c r="M790" s="15"/>
      <c r="N790" s="15"/>
      <c r="O790" s="15"/>
      <c r="P790" s="15"/>
      <c r="Q790" s="15"/>
      <c r="R790" s="15"/>
      <c r="S790" s="15"/>
      <c r="T790" s="15"/>
      <c r="U790" s="15"/>
      <c r="V790" s="15"/>
      <c r="W790" s="15"/>
      <c r="X790" s="15"/>
      <c r="Y790" s="15"/>
      <c r="Z790" s="15"/>
      <c r="AA790" s="15"/>
      <c r="AB790" s="15"/>
      <c r="AC790" s="15"/>
      <c r="AD790" s="15"/>
      <c r="AE790" s="15"/>
    </row>
    <row r="791" spans="1:31" x14ac:dyDescent="0.85">
      <c r="A791" s="15"/>
      <c r="B791" s="15"/>
      <c r="C791" s="15"/>
      <c r="D791" s="15"/>
      <c r="E791" s="15"/>
      <c r="F791" s="15"/>
      <c r="G791" s="15"/>
      <c r="H791" s="15"/>
      <c r="I791" s="15"/>
      <c r="J791" s="15"/>
      <c r="K791" s="15"/>
      <c r="L791" s="747"/>
      <c r="M791" s="15"/>
      <c r="N791" s="15"/>
      <c r="O791" s="15"/>
      <c r="P791" s="15"/>
      <c r="Q791" s="15"/>
      <c r="R791" s="15"/>
      <c r="S791" s="15"/>
      <c r="T791" s="15"/>
      <c r="U791" s="15"/>
      <c r="V791" s="15"/>
      <c r="W791" s="15"/>
      <c r="X791" s="15"/>
      <c r="Y791" s="15"/>
      <c r="Z791" s="15"/>
      <c r="AA791" s="15"/>
      <c r="AB791" s="15"/>
      <c r="AC791" s="15"/>
      <c r="AD791" s="15"/>
      <c r="AE791" s="15"/>
    </row>
    <row r="792" spans="1:31" x14ac:dyDescent="0.85">
      <c r="A792" s="15"/>
      <c r="B792" s="15"/>
      <c r="C792" s="15"/>
      <c r="D792" s="15"/>
      <c r="E792" s="15"/>
      <c r="F792" s="15"/>
      <c r="G792" s="15"/>
      <c r="H792" s="15"/>
      <c r="I792" s="15"/>
      <c r="J792" s="15"/>
      <c r="K792" s="15"/>
      <c r="L792" s="747"/>
      <c r="M792" s="15"/>
      <c r="N792" s="15"/>
      <c r="O792" s="15"/>
      <c r="P792" s="15"/>
      <c r="Q792" s="15"/>
      <c r="R792" s="15"/>
      <c r="S792" s="15"/>
      <c r="T792" s="15"/>
      <c r="U792" s="15"/>
      <c r="V792" s="15"/>
      <c r="W792" s="15"/>
      <c r="X792" s="15"/>
      <c r="Y792" s="15"/>
      <c r="Z792" s="15"/>
      <c r="AA792" s="15"/>
      <c r="AB792" s="15"/>
      <c r="AC792" s="15"/>
      <c r="AD792" s="15"/>
      <c r="AE792" s="15"/>
    </row>
    <row r="793" spans="1:31" x14ac:dyDescent="0.85">
      <c r="A793" s="15"/>
      <c r="B793" s="15"/>
      <c r="C793" s="15"/>
      <c r="D793" s="15"/>
      <c r="E793" s="15"/>
      <c r="F793" s="15"/>
      <c r="G793" s="15"/>
      <c r="H793" s="15"/>
      <c r="I793" s="15"/>
      <c r="J793" s="15"/>
      <c r="K793" s="15"/>
      <c r="L793" s="747"/>
      <c r="M793" s="15"/>
      <c r="N793" s="15"/>
      <c r="O793" s="15"/>
      <c r="P793" s="15"/>
      <c r="Q793" s="15"/>
      <c r="R793" s="15"/>
      <c r="S793" s="15"/>
      <c r="T793" s="15"/>
      <c r="U793" s="15"/>
      <c r="V793" s="15"/>
      <c r="W793" s="15"/>
      <c r="X793" s="15"/>
      <c r="Y793" s="15"/>
      <c r="Z793" s="15"/>
      <c r="AA793" s="15"/>
      <c r="AB793" s="15"/>
      <c r="AC793" s="15"/>
      <c r="AD793" s="15"/>
      <c r="AE793" s="15"/>
    </row>
    <row r="794" spans="1:31" x14ac:dyDescent="0.85">
      <c r="A794" s="15"/>
      <c r="B794" s="15"/>
      <c r="C794" s="15"/>
      <c r="D794" s="15"/>
      <c r="E794" s="15"/>
      <c r="F794" s="15"/>
      <c r="G794" s="15"/>
      <c r="H794" s="15"/>
      <c r="I794" s="15"/>
      <c r="J794" s="15"/>
      <c r="K794" s="15"/>
      <c r="L794" s="747"/>
      <c r="M794" s="15"/>
      <c r="N794" s="15"/>
      <c r="O794" s="15"/>
      <c r="P794" s="15"/>
      <c r="Q794" s="15"/>
      <c r="R794" s="15"/>
      <c r="S794" s="15"/>
      <c r="T794" s="15"/>
      <c r="U794" s="15"/>
      <c r="V794" s="15"/>
      <c r="W794" s="15"/>
      <c r="X794" s="15"/>
      <c r="Y794" s="15"/>
      <c r="Z794" s="15"/>
      <c r="AA794" s="15"/>
      <c r="AB794" s="15"/>
      <c r="AC794" s="15"/>
      <c r="AD794" s="15"/>
      <c r="AE794" s="15"/>
    </row>
    <row r="795" spans="1:31" x14ac:dyDescent="0.85">
      <c r="A795" s="15"/>
      <c r="B795" s="15"/>
      <c r="C795" s="15"/>
      <c r="D795" s="15"/>
      <c r="E795" s="15"/>
      <c r="F795" s="15"/>
      <c r="G795" s="15"/>
      <c r="H795" s="15"/>
      <c r="I795" s="15"/>
      <c r="J795" s="15"/>
      <c r="K795" s="15"/>
      <c r="L795" s="747"/>
      <c r="M795" s="15"/>
      <c r="N795" s="15"/>
      <c r="O795" s="15"/>
      <c r="P795" s="15"/>
      <c r="Q795" s="15"/>
      <c r="R795" s="15"/>
      <c r="S795" s="15"/>
      <c r="T795" s="15"/>
      <c r="U795" s="15"/>
      <c r="V795" s="15"/>
      <c r="W795" s="15"/>
      <c r="X795" s="15"/>
      <c r="Y795" s="15"/>
      <c r="Z795" s="15"/>
      <c r="AA795" s="15"/>
      <c r="AB795" s="15"/>
      <c r="AC795" s="15"/>
      <c r="AD795" s="15"/>
      <c r="AE795" s="15"/>
    </row>
    <row r="796" spans="1:31" x14ac:dyDescent="0.85">
      <c r="A796" s="15"/>
      <c r="B796" s="15"/>
      <c r="C796" s="15"/>
      <c r="D796" s="15"/>
      <c r="E796" s="15"/>
      <c r="F796" s="15"/>
      <c r="G796" s="15"/>
      <c r="H796" s="15"/>
      <c r="I796" s="15"/>
      <c r="J796" s="15"/>
      <c r="K796" s="15"/>
      <c r="L796" s="747"/>
      <c r="M796" s="15"/>
      <c r="N796" s="15"/>
      <c r="O796" s="15"/>
      <c r="P796" s="15"/>
      <c r="Q796" s="15"/>
      <c r="R796" s="15"/>
      <c r="S796" s="15"/>
      <c r="T796" s="15"/>
      <c r="U796" s="15"/>
      <c r="V796" s="15"/>
      <c r="W796" s="15"/>
      <c r="X796" s="15"/>
      <c r="Y796" s="15"/>
      <c r="Z796" s="15"/>
      <c r="AA796" s="15"/>
      <c r="AB796" s="15"/>
      <c r="AC796" s="15"/>
      <c r="AD796" s="15"/>
      <c r="AE796" s="15"/>
    </row>
    <row r="797" spans="1:31" x14ac:dyDescent="0.85">
      <c r="A797" s="15"/>
      <c r="B797" s="15"/>
      <c r="C797" s="15"/>
      <c r="D797" s="15"/>
      <c r="E797" s="15"/>
      <c r="F797" s="15"/>
      <c r="G797" s="15"/>
      <c r="H797" s="15"/>
      <c r="I797" s="15"/>
      <c r="J797" s="15"/>
      <c r="K797" s="15"/>
      <c r="L797" s="747"/>
      <c r="M797" s="15"/>
      <c r="N797" s="15"/>
      <c r="O797" s="15"/>
      <c r="P797" s="15"/>
      <c r="Q797" s="15"/>
      <c r="R797" s="15"/>
      <c r="S797" s="15"/>
      <c r="T797" s="15"/>
      <c r="U797" s="15"/>
      <c r="V797" s="15"/>
      <c r="W797" s="15"/>
      <c r="X797" s="15"/>
      <c r="Y797" s="15"/>
      <c r="Z797" s="15"/>
      <c r="AA797" s="15"/>
      <c r="AB797" s="15"/>
      <c r="AC797" s="15"/>
      <c r="AD797" s="15"/>
      <c r="AE797" s="15"/>
    </row>
    <row r="798" spans="1:31" x14ac:dyDescent="0.85">
      <c r="A798" s="15"/>
      <c r="B798" s="15"/>
      <c r="C798" s="15"/>
      <c r="D798" s="15"/>
      <c r="E798" s="15"/>
      <c r="F798" s="15"/>
      <c r="G798" s="15"/>
      <c r="H798" s="15"/>
      <c r="I798" s="15"/>
      <c r="J798" s="15"/>
      <c r="K798" s="15"/>
      <c r="L798" s="747"/>
      <c r="M798" s="15"/>
      <c r="N798" s="15"/>
      <c r="O798" s="15"/>
      <c r="P798" s="15"/>
      <c r="Q798" s="15"/>
      <c r="R798" s="15"/>
      <c r="S798" s="15"/>
      <c r="T798" s="15"/>
      <c r="U798" s="15"/>
      <c r="V798" s="15"/>
      <c r="W798" s="15"/>
      <c r="X798" s="15"/>
      <c r="Y798" s="15"/>
      <c r="Z798" s="15"/>
      <c r="AA798" s="15"/>
      <c r="AB798" s="15"/>
      <c r="AC798" s="15"/>
      <c r="AD798" s="15"/>
      <c r="AE798" s="15"/>
    </row>
    <row r="799" spans="1:31" x14ac:dyDescent="0.85">
      <c r="A799" s="15"/>
      <c r="B799" s="15"/>
      <c r="C799" s="15"/>
      <c r="D799" s="15"/>
      <c r="E799" s="15"/>
      <c r="F799" s="15"/>
      <c r="G799" s="15"/>
      <c r="H799" s="15"/>
      <c r="I799" s="15"/>
      <c r="J799" s="15"/>
      <c r="K799" s="15"/>
      <c r="L799" s="747"/>
      <c r="M799" s="15"/>
      <c r="N799" s="15"/>
      <c r="O799" s="15"/>
      <c r="P799" s="15"/>
      <c r="Q799" s="15"/>
      <c r="R799" s="15"/>
      <c r="S799" s="15"/>
      <c r="T799" s="15"/>
      <c r="U799" s="15"/>
      <c r="V799" s="15"/>
      <c r="W799" s="15"/>
      <c r="X799" s="15"/>
      <c r="Y799" s="15"/>
      <c r="Z799" s="15"/>
      <c r="AA799" s="15"/>
      <c r="AB799" s="15"/>
      <c r="AC799" s="15"/>
      <c r="AD799" s="15"/>
      <c r="AE799" s="15"/>
    </row>
    <row r="800" spans="1:31" x14ac:dyDescent="0.85">
      <c r="A800" s="15"/>
      <c r="B800" s="15"/>
      <c r="C800" s="15"/>
      <c r="D800" s="15"/>
      <c r="E800" s="15"/>
      <c r="F800" s="15"/>
      <c r="G800" s="15"/>
      <c r="H800" s="15"/>
      <c r="I800" s="15"/>
      <c r="J800" s="15"/>
      <c r="K800" s="15"/>
      <c r="L800" s="747"/>
      <c r="M800" s="15"/>
      <c r="N800" s="15"/>
      <c r="O800" s="15"/>
      <c r="P800" s="15"/>
      <c r="Q800" s="15"/>
      <c r="R800" s="15"/>
      <c r="S800" s="15"/>
      <c r="T800" s="15"/>
      <c r="U800" s="15"/>
      <c r="V800" s="15"/>
      <c r="W800" s="15"/>
      <c r="X800" s="15"/>
      <c r="Y800" s="15"/>
      <c r="Z800" s="15"/>
      <c r="AA800" s="15"/>
      <c r="AB800" s="15"/>
      <c r="AC800" s="15"/>
      <c r="AD800" s="15"/>
      <c r="AE800" s="15"/>
    </row>
    <row r="801" spans="1:31" x14ac:dyDescent="0.85">
      <c r="A801" s="15"/>
      <c r="B801" s="15"/>
      <c r="C801" s="15"/>
      <c r="D801" s="15"/>
      <c r="E801" s="15"/>
      <c r="F801" s="15"/>
      <c r="G801" s="15"/>
      <c r="H801" s="15"/>
      <c r="I801" s="15"/>
      <c r="J801" s="15"/>
      <c r="K801" s="15"/>
      <c r="L801" s="747"/>
      <c r="M801" s="15"/>
      <c r="N801" s="15"/>
      <c r="O801" s="15"/>
      <c r="P801" s="15"/>
      <c r="Q801" s="15"/>
      <c r="R801" s="15"/>
      <c r="S801" s="15"/>
      <c r="T801" s="15"/>
      <c r="U801" s="15"/>
      <c r="V801" s="15"/>
      <c r="W801" s="15"/>
      <c r="X801" s="15"/>
      <c r="Y801" s="15"/>
      <c r="Z801" s="15"/>
      <c r="AA801" s="15"/>
      <c r="AB801" s="15"/>
      <c r="AC801" s="15"/>
      <c r="AD801" s="15"/>
      <c r="AE801" s="15"/>
    </row>
    <row r="802" spans="1:31" x14ac:dyDescent="0.85">
      <c r="A802" s="15"/>
      <c r="B802" s="15"/>
      <c r="C802" s="15"/>
      <c r="D802" s="15"/>
      <c r="E802" s="15"/>
      <c r="F802" s="15"/>
      <c r="G802" s="15"/>
      <c r="H802" s="15"/>
      <c r="I802" s="15"/>
      <c r="J802" s="15"/>
      <c r="K802" s="15"/>
      <c r="L802" s="747"/>
      <c r="M802" s="15"/>
      <c r="N802" s="15"/>
      <c r="O802" s="15"/>
      <c r="P802" s="15"/>
      <c r="Q802" s="15"/>
      <c r="R802" s="15"/>
      <c r="S802" s="15"/>
      <c r="T802" s="15"/>
      <c r="U802" s="15"/>
      <c r="V802" s="15"/>
      <c r="W802" s="15"/>
      <c r="X802" s="15"/>
      <c r="Y802" s="15"/>
      <c r="Z802" s="15"/>
      <c r="AA802" s="15"/>
      <c r="AB802" s="15"/>
      <c r="AC802" s="15"/>
      <c r="AD802" s="15"/>
      <c r="AE802" s="15"/>
    </row>
    <row r="803" spans="1:31" x14ac:dyDescent="0.85">
      <c r="A803" s="15"/>
      <c r="B803" s="15"/>
      <c r="C803" s="15"/>
      <c r="D803" s="15"/>
      <c r="E803" s="15"/>
      <c r="F803" s="15"/>
      <c r="G803" s="15"/>
      <c r="H803" s="15"/>
      <c r="I803" s="15"/>
      <c r="J803" s="15"/>
      <c r="K803" s="15"/>
      <c r="L803" s="747"/>
      <c r="M803" s="15"/>
      <c r="N803" s="15"/>
      <c r="O803" s="15"/>
      <c r="P803" s="15"/>
      <c r="Q803" s="15"/>
      <c r="R803" s="15"/>
      <c r="S803" s="15"/>
      <c r="T803" s="15"/>
      <c r="U803" s="15"/>
      <c r="V803" s="15"/>
      <c r="W803" s="15"/>
      <c r="X803" s="15"/>
      <c r="Y803" s="15"/>
      <c r="Z803" s="15"/>
      <c r="AA803" s="15"/>
      <c r="AB803" s="15"/>
      <c r="AC803" s="15"/>
      <c r="AD803" s="15"/>
      <c r="AE803" s="15"/>
    </row>
    <row r="804" spans="1:31" x14ac:dyDescent="0.85">
      <c r="A804" s="15"/>
      <c r="B804" s="15"/>
      <c r="C804" s="15"/>
      <c r="D804" s="15"/>
      <c r="E804" s="15"/>
      <c r="F804" s="15"/>
      <c r="G804" s="15"/>
      <c r="H804" s="15"/>
      <c r="I804" s="15"/>
      <c r="J804" s="15"/>
      <c r="K804" s="15"/>
      <c r="L804" s="747"/>
      <c r="M804" s="15"/>
      <c r="N804" s="15"/>
      <c r="O804" s="15"/>
      <c r="P804" s="15"/>
      <c r="Q804" s="15"/>
      <c r="R804" s="15"/>
      <c r="S804" s="15"/>
      <c r="T804" s="15"/>
      <c r="U804" s="15"/>
      <c r="V804" s="15"/>
      <c r="W804" s="15"/>
      <c r="X804" s="15"/>
      <c r="Y804" s="15"/>
      <c r="Z804" s="15"/>
      <c r="AA804" s="15"/>
      <c r="AB804" s="15"/>
      <c r="AC804" s="15"/>
      <c r="AD804" s="15"/>
      <c r="AE804" s="15"/>
    </row>
    <row r="805" spans="1:31" x14ac:dyDescent="0.85">
      <c r="A805" s="15"/>
      <c r="B805" s="15"/>
      <c r="C805" s="15"/>
      <c r="D805" s="15"/>
      <c r="E805" s="15"/>
      <c r="F805" s="15"/>
      <c r="G805" s="15"/>
      <c r="H805" s="15"/>
      <c r="I805" s="15"/>
      <c r="J805" s="15"/>
      <c r="K805" s="15"/>
      <c r="L805" s="747"/>
      <c r="M805" s="15"/>
      <c r="N805" s="15"/>
      <c r="O805" s="15"/>
      <c r="P805" s="15"/>
      <c r="Q805" s="15"/>
      <c r="R805" s="15"/>
      <c r="S805" s="15"/>
      <c r="T805" s="15"/>
      <c r="U805" s="15"/>
      <c r="V805" s="15"/>
      <c r="W805" s="15"/>
      <c r="X805" s="15"/>
      <c r="Y805" s="15"/>
      <c r="Z805" s="15"/>
      <c r="AA805" s="15"/>
      <c r="AB805" s="15"/>
      <c r="AC805" s="15"/>
      <c r="AD805" s="15"/>
      <c r="AE805" s="15"/>
    </row>
    <row r="806" spans="1:31" x14ac:dyDescent="0.85">
      <c r="A806" s="15"/>
      <c r="B806" s="15"/>
      <c r="C806" s="15"/>
      <c r="D806" s="15"/>
      <c r="E806" s="15"/>
      <c r="F806" s="15"/>
      <c r="G806" s="15"/>
      <c r="H806" s="15"/>
      <c r="I806" s="15"/>
      <c r="J806" s="15"/>
      <c r="K806" s="15"/>
      <c r="L806" s="747"/>
      <c r="M806" s="15"/>
      <c r="N806" s="15"/>
      <c r="O806" s="15"/>
      <c r="P806" s="15"/>
      <c r="Q806" s="15"/>
      <c r="R806" s="15"/>
      <c r="S806" s="15"/>
      <c r="T806" s="15"/>
      <c r="U806" s="15"/>
      <c r="V806" s="15"/>
      <c r="W806" s="15"/>
      <c r="X806" s="15"/>
      <c r="Y806" s="15"/>
      <c r="Z806" s="15"/>
      <c r="AA806" s="15"/>
      <c r="AB806" s="15"/>
      <c r="AC806" s="15"/>
      <c r="AD806" s="15"/>
      <c r="AE806" s="15"/>
    </row>
    <row r="807" spans="1:31" x14ac:dyDescent="0.85">
      <c r="A807" s="15"/>
      <c r="B807" s="15"/>
      <c r="C807" s="15"/>
      <c r="D807" s="15"/>
      <c r="E807" s="15"/>
      <c r="F807" s="15"/>
      <c r="G807" s="15"/>
      <c r="H807" s="15"/>
      <c r="I807" s="15"/>
      <c r="J807" s="15"/>
      <c r="K807" s="15"/>
      <c r="L807" s="747"/>
      <c r="M807" s="15"/>
      <c r="N807" s="15"/>
      <c r="O807" s="15"/>
      <c r="P807" s="15"/>
      <c r="Q807" s="15"/>
      <c r="R807" s="15"/>
      <c r="S807" s="15"/>
      <c r="T807" s="15"/>
      <c r="U807" s="15"/>
      <c r="V807" s="15"/>
      <c r="W807" s="15"/>
      <c r="X807" s="15"/>
      <c r="Y807" s="15"/>
      <c r="Z807" s="15"/>
      <c r="AA807" s="15"/>
      <c r="AB807" s="15"/>
      <c r="AC807" s="15"/>
      <c r="AD807" s="15"/>
      <c r="AE807" s="15"/>
    </row>
    <row r="808" spans="1:31" x14ac:dyDescent="0.85">
      <c r="A808" s="15"/>
      <c r="B808" s="15"/>
      <c r="C808" s="15"/>
      <c r="D808" s="15"/>
      <c r="E808" s="15"/>
      <c r="F808" s="15"/>
      <c r="G808" s="15"/>
      <c r="H808" s="15"/>
      <c r="I808" s="15"/>
      <c r="J808" s="15"/>
      <c r="K808" s="15"/>
      <c r="L808" s="747"/>
      <c r="M808" s="15"/>
      <c r="N808" s="15"/>
      <c r="O808" s="15"/>
      <c r="P808" s="15"/>
      <c r="Q808" s="15"/>
      <c r="R808" s="15"/>
      <c r="S808" s="15"/>
      <c r="T808" s="15"/>
      <c r="U808" s="15"/>
      <c r="V808" s="15"/>
      <c r="W808" s="15"/>
      <c r="X808" s="15"/>
      <c r="Y808" s="15"/>
      <c r="Z808" s="15"/>
      <c r="AA808" s="15"/>
      <c r="AB808" s="15"/>
      <c r="AC808" s="15"/>
      <c r="AD808" s="15"/>
      <c r="AE808" s="15"/>
    </row>
    <row r="809" spans="1:31" x14ac:dyDescent="0.85">
      <c r="A809" s="15"/>
      <c r="B809" s="15"/>
      <c r="C809" s="15"/>
      <c r="D809" s="15"/>
      <c r="E809" s="15"/>
      <c r="F809" s="15"/>
      <c r="G809" s="15"/>
      <c r="H809" s="15"/>
      <c r="I809" s="15"/>
      <c r="J809" s="15"/>
      <c r="K809" s="15"/>
      <c r="L809" s="747"/>
      <c r="M809" s="15"/>
      <c r="N809" s="15"/>
      <c r="O809" s="15"/>
      <c r="P809" s="15"/>
      <c r="Q809" s="15"/>
      <c r="R809" s="15"/>
      <c r="S809" s="15"/>
      <c r="T809" s="15"/>
      <c r="U809" s="15"/>
      <c r="V809" s="15"/>
      <c r="W809" s="15"/>
      <c r="X809" s="15"/>
      <c r="Y809" s="15"/>
      <c r="Z809" s="15"/>
      <c r="AA809" s="15"/>
      <c r="AB809" s="15"/>
      <c r="AC809" s="15"/>
      <c r="AD809" s="15"/>
      <c r="AE809" s="15"/>
    </row>
    <row r="810" spans="1:31" x14ac:dyDescent="0.85">
      <c r="A810" s="15"/>
      <c r="B810" s="15"/>
      <c r="C810" s="15"/>
      <c r="D810" s="15"/>
      <c r="E810" s="15"/>
      <c r="F810" s="15"/>
      <c r="G810" s="15"/>
      <c r="H810" s="15"/>
      <c r="I810" s="15"/>
      <c r="J810" s="15"/>
      <c r="K810" s="15"/>
      <c r="L810" s="747"/>
      <c r="M810" s="15"/>
      <c r="N810" s="15"/>
      <c r="O810" s="15"/>
      <c r="P810" s="15"/>
      <c r="Q810" s="15"/>
      <c r="R810" s="15"/>
      <c r="S810" s="15"/>
      <c r="T810" s="15"/>
      <c r="U810" s="15"/>
      <c r="V810" s="15"/>
      <c r="W810" s="15"/>
      <c r="X810" s="15"/>
      <c r="Y810" s="15"/>
      <c r="Z810" s="15"/>
      <c r="AA810" s="15"/>
      <c r="AB810" s="15"/>
      <c r="AC810" s="15"/>
      <c r="AD810" s="15"/>
      <c r="AE810" s="15"/>
    </row>
    <row r="811" spans="1:31" x14ac:dyDescent="0.85">
      <c r="A811" s="15"/>
      <c r="B811" s="15"/>
      <c r="C811" s="15"/>
      <c r="D811" s="15"/>
      <c r="E811" s="15"/>
      <c r="F811" s="15"/>
      <c r="G811" s="15"/>
      <c r="H811" s="15"/>
      <c r="I811" s="15"/>
      <c r="J811" s="15"/>
      <c r="K811" s="15"/>
      <c r="L811" s="747"/>
      <c r="M811" s="15"/>
      <c r="N811" s="15"/>
      <c r="O811" s="15"/>
      <c r="P811" s="15"/>
      <c r="Q811" s="15"/>
      <c r="R811" s="15"/>
      <c r="S811" s="15"/>
      <c r="T811" s="15"/>
      <c r="U811" s="15"/>
      <c r="V811" s="15"/>
      <c r="W811" s="15"/>
      <c r="X811" s="15"/>
      <c r="Y811" s="15"/>
      <c r="Z811" s="15"/>
      <c r="AA811" s="15"/>
      <c r="AB811" s="15"/>
      <c r="AC811" s="15"/>
      <c r="AD811" s="15"/>
      <c r="AE811" s="15"/>
    </row>
    <row r="812" spans="1:31" x14ac:dyDescent="0.85">
      <c r="A812" s="15"/>
      <c r="B812" s="15"/>
      <c r="C812" s="15"/>
      <c r="D812" s="15"/>
      <c r="E812" s="15"/>
      <c r="F812" s="15"/>
      <c r="G812" s="15"/>
      <c r="H812" s="15"/>
      <c r="I812" s="15"/>
      <c r="J812" s="15"/>
      <c r="K812" s="15"/>
      <c r="L812" s="747"/>
      <c r="M812" s="15"/>
      <c r="N812" s="15"/>
      <c r="O812" s="15"/>
      <c r="P812" s="15"/>
      <c r="Q812" s="15"/>
      <c r="R812" s="15"/>
      <c r="S812" s="15"/>
      <c r="T812" s="15"/>
      <c r="U812" s="15"/>
      <c r="V812" s="15"/>
      <c r="W812" s="15"/>
      <c r="X812" s="15"/>
      <c r="Y812" s="15"/>
      <c r="Z812" s="15"/>
      <c r="AA812" s="15"/>
      <c r="AB812" s="15"/>
      <c r="AC812" s="15"/>
      <c r="AD812" s="15"/>
      <c r="AE812" s="15"/>
    </row>
    <row r="813" spans="1:31" x14ac:dyDescent="0.85">
      <c r="A813" s="15"/>
      <c r="B813" s="15"/>
      <c r="C813" s="15"/>
      <c r="D813" s="15"/>
      <c r="E813" s="15"/>
      <c r="F813" s="15"/>
      <c r="G813" s="15"/>
      <c r="H813" s="15"/>
      <c r="I813" s="15"/>
      <c r="J813" s="15"/>
      <c r="K813" s="15"/>
      <c r="L813" s="747"/>
      <c r="M813" s="15"/>
      <c r="N813" s="15"/>
      <c r="O813" s="15"/>
      <c r="P813" s="15"/>
      <c r="Q813" s="15"/>
      <c r="R813" s="15"/>
      <c r="S813" s="15"/>
      <c r="T813" s="15"/>
      <c r="U813" s="15"/>
      <c r="V813" s="15"/>
      <c r="W813" s="15"/>
      <c r="X813" s="15"/>
      <c r="Y813" s="15"/>
      <c r="Z813" s="15"/>
      <c r="AA813" s="15"/>
      <c r="AB813" s="15"/>
      <c r="AC813" s="15"/>
      <c r="AD813" s="15"/>
      <c r="AE813" s="15"/>
    </row>
    <row r="814" spans="1:31" x14ac:dyDescent="0.85">
      <c r="A814" s="15"/>
      <c r="B814" s="15"/>
      <c r="C814" s="15"/>
      <c r="D814" s="15"/>
      <c r="E814" s="15"/>
      <c r="F814" s="15"/>
      <c r="G814" s="15"/>
      <c r="H814" s="15"/>
      <c r="I814" s="15"/>
      <c r="J814" s="15"/>
      <c r="K814" s="15"/>
      <c r="L814" s="747"/>
      <c r="M814" s="15"/>
      <c r="N814" s="15"/>
      <c r="O814" s="15"/>
      <c r="P814" s="15"/>
      <c r="Q814" s="15"/>
      <c r="R814" s="15"/>
      <c r="S814" s="15"/>
      <c r="T814" s="15"/>
      <c r="U814" s="15"/>
      <c r="V814" s="15"/>
      <c r="W814" s="15"/>
      <c r="X814" s="15"/>
      <c r="Y814" s="15"/>
      <c r="Z814" s="15"/>
      <c r="AA814" s="15"/>
      <c r="AB814" s="15"/>
      <c r="AC814" s="15"/>
      <c r="AD814" s="15"/>
      <c r="AE814" s="15"/>
    </row>
    <row r="815" spans="1:31" x14ac:dyDescent="0.85">
      <c r="A815" s="15"/>
      <c r="B815" s="15"/>
      <c r="C815" s="15"/>
      <c r="D815" s="15"/>
      <c r="E815" s="15"/>
      <c r="F815" s="15"/>
      <c r="G815" s="15"/>
      <c r="H815" s="15"/>
      <c r="I815" s="15"/>
      <c r="J815" s="15"/>
      <c r="K815" s="15"/>
      <c r="L815" s="747"/>
      <c r="M815" s="15"/>
      <c r="N815" s="15"/>
      <c r="O815" s="15"/>
      <c r="P815" s="15"/>
      <c r="Q815" s="15"/>
      <c r="R815" s="15"/>
      <c r="S815" s="15"/>
      <c r="T815" s="15"/>
      <c r="U815" s="15"/>
      <c r="V815" s="15"/>
      <c r="W815" s="15"/>
      <c r="X815" s="15"/>
      <c r="Y815" s="15"/>
      <c r="Z815" s="15"/>
      <c r="AA815" s="15"/>
      <c r="AB815" s="15"/>
      <c r="AC815" s="15"/>
      <c r="AD815" s="15"/>
      <c r="AE815" s="15"/>
    </row>
    <row r="816" spans="1:31" x14ac:dyDescent="0.85">
      <c r="A816" s="15"/>
      <c r="B816" s="15"/>
      <c r="C816" s="15"/>
      <c r="D816" s="15"/>
      <c r="E816" s="15"/>
      <c r="F816" s="15"/>
      <c r="G816" s="15"/>
      <c r="H816" s="15"/>
      <c r="I816" s="15"/>
      <c r="J816" s="15"/>
      <c r="K816" s="15"/>
      <c r="L816" s="747"/>
      <c r="M816" s="15"/>
      <c r="N816" s="15"/>
      <c r="O816" s="15"/>
      <c r="P816" s="15"/>
      <c r="Q816" s="15"/>
      <c r="R816" s="15"/>
      <c r="S816" s="15"/>
      <c r="T816" s="15"/>
      <c r="U816" s="15"/>
      <c r="V816" s="15"/>
      <c r="W816" s="15"/>
      <c r="X816" s="15"/>
      <c r="Y816" s="15"/>
      <c r="Z816" s="15"/>
      <c r="AA816" s="15"/>
      <c r="AB816" s="15"/>
      <c r="AC816" s="15"/>
      <c r="AD816" s="15"/>
      <c r="AE816" s="15"/>
    </row>
    <row r="817" spans="1:31" x14ac:dyDescent="0.85">
      <c r="A817" s="15"/>
      <c r="B817" s="15"/>
      <c r="C817" s="15"/>
      <c r="D817" s="15"/>
      <c r="E817" s="15"/>
      <c r="F817" s="15"/>
      <c r="G817" s="15"/>
      <c r="H817" s="15"/>
      <c r="I817" s="15"/>
      <c r="J817" s="15"/>
      <c r="K817" s="15"/>
      <c r="L817" s="747"/>
      <c r="M817" s="15"/>
      <c r="N817" s="15"/>
      <c r="O817" s="15"/>
      <c r="P817" s="15"/>
      <c r="Q817" s="15"/>
      <c r="R817" s="15"/>
      <c r="S817" s="15"/>
      <c r="T817" s="15"/>
      <c r="U817" s="15"/>
      <c r="V817" s="15"/>
      <c r="W817" s="15"/>
      <c r="X817" s="15"/>
      <c r="Y817" s="15"/>
      <c r="Z817" s="15"/>
      <c r="AA817" s="15"/>
      <c r="AB817" s="15"/>
      <c r="AC817" s="15"/>
      <c r="AD817" s="15"/>
      <c r="AE817" s="15"/>
    </row>
    <row r="818" spans="1:31" x14ac:dyDescent="0.85">
      <c r="A818" s="15"/>
      <c r="B818" s="15"/>
      <c r="C818" s="15"/>
      <c r="D818" s="15"/>
      <c r="E818" s="15"/>
      <c r="F818" s="15"/>
      <c r="G818" s="15"/>
      <c r="H818" s="15"/>
      <c r="I818" s="15"/>
      <c r="J818" s="15"/>
      <c r="K818" s="15"/>
      <c r="L818" s="747"/>
      <c r="M818" s="15"/>
      <c r="N818" s="15"/>
      <c r="O818" s="15"/>
      <c r="P818" s="15"/>
      <c r="Q818" s="15"/>
      <c r="R818" s="15"/>
      <c r="S818" s="15"/>
      <c r="T818" s="15"/>
      <c r="U818" s="15"/>
      <c r="V818" s="15"/>
      <c r="W818" s="15"/>
      <c r="X818" s="15"/>
      <c r="Y818" s="15"/>
      <c r="Z818" s="15"/>
      <c r="AA818" s="15"/>
      <c r="AB818" s="15"/>
      <c r="AC818" s="15"/>
      <c r="AD818" s="15"/>
      <c r="AE818" s="15"/>
    </row>
    <row r="819" spans="1:31" x14ac:dyDescent="0.85">
      <c r="A819" s="15"/>
      <c r="B819" s="15"/>
      <c r="C819" s="15"/>
      <c r="D819" s="15"/>
      <c r="E819" s="15"/>
      <c r="F819" s="15"/>
      <c r="G819" s="15"/>
      <c r="H819" s="15"/>
      <c r="I819" s="15"/>
      <c r="J819" s="15"/>
      <c r="K819" s="15"/>
      <c r="L819" s="747"/>
      <c r="M819" s="15"/>
      <c r="N819" s="15"/>
      <c r="O819" s="15"/>
      <c r="P819" s="15"/>
      <c r="Q819" s="15"/>
      <c r="R819" s="15"/>
      <c r="S819" s="15"/>
      <c r="T819" s="15"/>
      <c r="U819" s="15"/>
      <c r="V819" s="15"/>
      <c r="W819" s="15"/>
      <c r="X819" s="15"/>
      <c r="Y819" s="15"/>
      <c r="Z819" s="15"/>
      <c r="AA819" s="15"/>
      <c r="AB819" s="15"/>
      <c r="AC819" s="15"/>
      <c r="AD819" s="15"/>
      <c r="AE819" s="15"/>
    </row>
    <row r="820" spans="1:31" x14ac:dyDescent="0.85">
      <c r="A820" s="15"/>
      <c r="B820" s="15"/>
      <c r="C820" s="15"/>
      <c r="D820" s="15"/>
      <c r="E820" s="15"/>
      <c r="F820" s="15"/>
      <c r="G820" s="15"/>
      <c r="H820" s="15"/>
      <c r="I820" s="15"/>
      <c r="J820" s="15"/>
      <c r="K820" s="15"/>
      <c r="L820" s="747"/>
      <c r="M820" s="15"/>
      <c r="N820" s="15"/>
      <c r="O820" s="15"/>
      <c r="P820" s="15"/>
      <c r="Q820" s="15"/>
      <c r="R820" s="15"/>
      <c r="S820" s="15"/>
      <c r="T820" s="15"/>
      <c r="U820" s="15"/>
      <c r="V820" s="15"/>
      <c r="W820" s="15"/>
      <c r="X820" s="15"/>
      <c r="Y820" s="15"/>
      <c r="Z820" s="15"/>
      <c r="AA820" s="15"/>
      <c r="AB820" s="15"/>
      <c r="AC820" s="15"/>
      <c r="AD820" s="15"/>
      <c r="AE820" s="15"/>
    </row>
    <row r="821" spans="1:31" x14ac:dyDescent="0.85">
      <c r="A821" s="15"/>
      <c r="B821" s="15"/>
      <c r="C821" s="15"/>
      <c r="D821" s="15"/>
      <c r="E821" s="15"/>
      <c r="F821" s="15"/>
      <c r="G821" s="15"/>
      <c r="H821" s="15"/>
      <c r="I821" s="15"/>
      <c r="J821" s="15"/>
      <c r="K821" s="15"/>
      <c r="L821" s="747"/>
      <c r="M821" s="15"/>
      <c r="N821" s="15"/>
      <c r="O821" s="15"/>
      <c r="P821" s="15"/>
      <c r="Q821" s="15"/>
      <c r="R821" s="15"/>
      <c r="S821" s="15"/>
      <c r="T821" s="15"/>
      <c r="U821" s="15"/>
      <c r="V821" s="15"/>
      <c r="W821" s="15"/>
      <c r="X821" s="15"/>
      <c r="Y821" s="15"/>
      <c r="Z821" s="15"/>
      <c r="AA821" s="15"/>
      <c r="AB821" s="15"/>
      <c r="AC821" s="15"/>
      <c r="AD821" s="15"/>
      <c r="AE821" s="15"/>
    </row>
    <row r="822" spans="1:31" x14ac:dyDescent="0.85">
      <c r="A822" s="15"/>
      <c r="B822" s="15"/>
      <c r="C822" s="15"/>
      <c r="D822" s="15"/>
      <c r="E822" s="15"/>
      <c r="F822" s="15"/>
      <c r="G822" s="15"/>
      <c r="H822" s="15"/>
      <c r="I822" s="15"/>
      <c r="J822" s="15"/>
      <c r="K822" s="15"/>
      <c r="L822" s="747"/>
      <c r="M822" s="15"/>
      <c r="N822" s="15"/>
      <c r="O822" s="15"/>
      <c r="P822" s="15"/>
      <c r="Q822" s="15"/>
      <c r="R822" s="15"/>
      <c r="S822" s="15"/>
      <c r="T822" s="15"/>
      <c r="U822" s="15"/>
      <c r="V822" s="15"/>
      <c r="W822" s="15"/>
      <c r="X822" s="15"/>
      <c r="Y822" s="15"/>
      <c r="Z822" s="15"/>
      <c r="AA822" s="15"/>
      <c r="AB822" s="15"/>
      <c r="AC822" s="15"/>
      <c r="AD822" s="15"/>
      <c r="AE822" s="15"/>
    </row>
    <row r="823" spans="1:31" x14ac:dyDescent="0.85">
      <c r="A823" s="15"/>
      <c r="B823" s="15"/>
      <c r="C823" s="15"/>
      <c r="D823" s="15"/>
      <c r="E823" s="15"/>
      <c r="F823" s="15"/>
      <c r="G823" s="15"/>
      <c r="H823" s="15"/>
      <c r="I823" s="15"/>
      <c r="J823" s="15"/>
      <c r="K823" s="15"/>
      <c r="L823" s="747"/>
      <c r="M823" s="15"/>
      <c r="N823" s="15"/>
      <c r="O823" s="15"/>
      <c r="P823" s="15"/>
      <c r="Q823" s="15"/>
      <c r="R823" s="15"/>
      <c r="S823" s="15"/>
      <c r="T823" s="15"/>
      <c r="U823" s="15"/>
      <c r="V823" s="15"/>
      <c r="W823" s="15"/>
      <c r="X823" s="15"/>
      <c r="Y823" s="15"/>
      <c r="Z823" s="15"/>
      <c r="AA823" s="15"/>
      <c r="AB823" s="15"/>
      <c r="AC823" s="15"/>
      <c r="AD823" s="15"/>
      <c r="AE823" s="15"/>
    </row>
    <row r="824" spans="1:31" x14ac:dyDescent="0.85">
      <c r="A824" s="15"/>
      <c r="B824" s="15"/>
      <c r="C824" s="15"/>
      <c r="D824" s="15"/>
      <c r="E824" s="15"/>
      <c r="F824" s="15"/>
      <c r="G824" s="15"/>
      <c r="H824" s="15"/>
      <c r="I824" s="15"/>
      <c r="J824" s="15"/>
      <c r="K824" s="15"/>
      <c r="L824" s="747"/>
      <c r="M824" s="15"/>
      <c r="N824" s="15"/>
      <c r="O824" s="15"/>
      <c r="P824" s="15"/>
      <c r="Q824" s="15"/>
      <c r="R824" s="15"/>
      <c r="S824" s="15"/>
      <c r="T824" s="15"/>
      <c r="U824" s="15"/>
      <c r="V824" s="15"/>
      <c r="W824" s="15"/>
      <c r="X824" s="15"/>
      <c r="Y824" s="15"/>
      <c r="Z824" s="15"/>
      <c r="AA824" s="15"/>
      <c r="AB824" s="15"/>
      <c r="AC824" s="15"/>
      <c r="AD824" s="15"/>
      <c r="AE824" s="15"/>
    </row>
    <row r="825" spans="1:31" x14ac:dyDescent="0.85">
      <c r="A825" s="15"/>
      <c r="B825" s="15"/>
      <c r="C825" s="15"/>
      <c r="D825" s="15"/>
      <c r="E825" s="15"/>
      <c r="F825" s="15"/>
      <c r="G825" s="15"/>
      <c r="H825" s="15"/>
      <c r="I825" s="15"/>
      <c r="J825" s="15"/>
      <c r="K825" s="15"/>
      <c r="L825" s="747"/>
      <c r="M825" s="15"/>
      <c r="N825" s="15"/>
      <c r="O825" s="15"/>
      <c r="P825" s="15"/>
      <c r="Q825" s="15"/>
      <c r="R825" s="15"/>
      <c r="S825" s="15"/>
      <c r="T825" s="15"/>
      <c r="U825" s="15"/>
      <c r="V825" s="15"/>
      <c r="W825" s="15"/>
      <c r="X825" s="15"/>
      <c r="Y825" s="15"/>
      <c r="Z825" s="15"/>
      <c r="AA825" s="15"/>
      <c r="AB825" s="15"/>
      <c r="AC825" s="15"/>
      <c r="AD825" s="15"/>
      <c r="AE825" s="15"/>
    </row>
    <row r="826" spans="1:31" x14ac:dyDescent="0.85">
      <c r="A826" s="15"/>
      <c r="B826" s="15"/>
      <c r="C826" s="15"/>
      <c r="D826" s="15"/>
      <c r="E826" s="15"/>
      <c r="F826" s="15"/>
      <c r="G826" s="15"/>
      <c r="H826" s="15"/>
      <c r="I826" s="15"/>
      <c r="J826" s="15"/>
      <c r="K826" s="15"/>
      <c r="L826" s="747"/>
      <c r="M826" s="15"/>
      <c r="N826" s="15"/>
      <c r="O826" s="15"/>
      <c r="P826" s="15"/>
      <c r="Q826" s="15"/>
      <c r="R826" s="15"/>
      <c r="S826" s="15"/>
      <c r="T826" s="15"/>
      <c r="U826" s="15"/>
      <c r="V826" s="15"/>
      <c r="W826" s="15"/>
      <c r="X826" s="15"/>
      <c r="Y826" s="15"/>
      <c r="Z826" s="15"/>
      <c r="AA826" s="15"/>
      <c r="AB826" s="15"/>
      <c r="AC826" s="15"/>
      <c r="AD826" s="15"/>
      <c r="AE826" s="15"/>
    </row>
    <row r="827" spans="1:31" x14ac:dyDescent="0.85">
      <c r="A827" s="15"/>
      <c r="B827" s="15"/>
      <c r="C827" s="15"/>
      <c r="D827" s="15"/>
      <c r="E827" s="15"/>
      <c r="F827" s="15"/>
      <c r="G827" s="15"/>
      <c r="H827" s="15"/>
      <c r="I827" s="15"/>
      <c r="J827" s="15"/>
      <c r="K827" s="15"/>
      <c r="L827" s="747"/>
      <c r="M827" s="15"/>
      <c r="N827" s="15"/>
      <c r="O827" s="15"/>
      <c r="P827" s="15"/>
      <c r="Q827" s="15"/>
      <c r="R827" s="15"/>
      <c r="S827" s="15"/>
      <c r="T827" s="15"/>
      <c r="U827" s="15"/>
      <c r="V827" s="15"/>
      <c r="W827" s="15"/>
      <c r="X827" s="15"/>
      <c r="Y827" s="15"/>
      <c r="Z827" s="15"/>
      <c r="AA827" s="15"/>
      <c r="AB827" s="15"/>
      <c r="AC827" s="15"/>
      <c r="AD827" s="15"/>
      <c r="AE827" s="15"/>
    </row>
    <row r="828" spans="1:31" x14ac:dyDescent="0.85">
      <c r="A828" s="15"/>
      <c r="B828" s="15"/>
      <c r="C828" s="15"/>
      <c r="D828" s="15"/>
      <c r="E828" s="15"/>
      <c r="F828" s="15"/>
      <c r="G828" s="15"/>
      <c r="H828" s="15"/>
      <c r="I828" s="15"/>
      <c r="J828" s="15"/>
      <c r="K828" s="15"/>
      <c r="L828" s="747"/>
      <c r="M828" s="15"/>
      <c r="N828" s="15"/>
      <c r="O828" s="15"/>
      <c r="P828" s="15"/>
      <c r="Q828" s="15"/>
      <c r="R828" s="15"/>
      <c r="S828" s="15"/>
      <c r="T828" s="15"/>
      <c r="U828" s="15"/>
      <c r="V828" s="15"/>
      <c r="W828" s="15"/>
      <c r="X828" s="15"/>
      <c r="Y828" s="15"/>
      <c r="Z828" s="15"/>
      <c r="AA828" s="15"/>
      <c r="AB828" s="15"/>
      <c r="AC828" s="15"/>
      <c r="AD828" s="15"/>
      <c r="AE828" s="15"/>
    </row>
    <row r="829" spans="1:31" x14ac:dyDescent="0.85">
      <c r="A829" s="15"/>
      <c r="B829" s="15"/>
      <c r="C829" s="15"/>
      <c r="D829" s="15"/>
      <c r="E829" s="15"/>
      <c r="F829" s="15"/>
      <c r="G829" s="15"/>
      <c r="H829" s="15"/>
      <c r="I829" s="15"/>
      <c r="J829" s="15"/>
      <c r="K829" s="15"/>
      <c r="L829" s="747"/>
      <c r="M829" s="15"/>
      <c r="N829" s="15"/>
      <c r="O829" s="15"/>
      <c r="P829" s="15"/>
      <c r="Q829" s="15"/>
      <c r="R829" s="15"/>
      <c r="S829" s="15"/>
      <c r="T829" s="15"/>
      <c r="U829" s="15"/>
      <c r="V829" s="15"/>
      <c r="W829" s="15"/>
      <c r="X829" s="15"/>
      <c r="Y829" s="15"/>
      <c r="Z829" s="15"/>
      <c r="AA829" s="15"/>
      <c r="AB829" s="15"/>
      <c r="AC829" s="15"/>
      <c r="AD829" s="15"/>
      <c r="AE829" s="15"/>
    </row>
    <row r="830" spans="1:31" x14ac:dyDescent="0.85">
      <c r="A830" s="15"/>
      <c r="B830" s="15"/>
      <c r="C830" s="15"/>
      <c r="D830" s="15"/>
      <c r="E830" s="15"/>
      <c r="F830" s="15"/>
      <c r="G830" s="15"/>
      <c r="H830" s="15"/>
      <c r="I830" s="15"/>
      <c r="J830" s="15"/>
      <c r="K830" s="15"/>
      <c r="L830" s="747"/>
      <c r="M830" s="15"/>
      <c r="N830" s="15"/>
      <c r="O830" s="15"/>
      <c r="P830" s="15"/>
      <c r="Q830" s="15"/>
      <c r="R830" s="15"/>
      <c r="S830" s="15"/>
      <c r="T830" s="15"/>
      <c r="U830" s="15"/>
      <c r="V830" s="15"/>
      <c r="W830" s="15"/>
      <c r="X830" s="15"/>
      <c r="Y830" s="15"/>
      <c r="Z830" s="15"/>
      <c r="AA830" s="15"/>
      <c r="AB830" s="15"/>
      <c r="AC830" s="15"/>
      <c r="AD830" s="15"/>
      <c r="AE830" s="15"/>
    </row>
    <row r="831" spans="1:31" x14ac:dyDescent="0.85">
      <c r="A831" s="15"/>
      <c r="B831" s="15"/>
      <c r="C831" s="15"/>
      <c r="D831" s="15"/>
      <c r="E831" s="15"/>
      <c r="F831" s="15"/>
      <c r="G831" s="15"/>
      <c r="H831" s="15"/>
      <c r="I831" s="15"/>
      <c r="J831" s="15"/>
      <c r="K831" s="15"/>
      <c r="L831" s="747"/>
      <c r="M831" s="15"/>
      <c r="N831" s="15"/>
      <c r="O831" s="15"/>
      <c r="P831" s="15"/>
      <c r="Q831" s="15"/>
      <c r="R831" s="15"/>
      <c r="S831" s="15"/>
      <c r="T831" s="15"/>
      <c r="U831" s="15"/>
      <c r="V831" s="15"/>
      <c r="W831" s="15"/>
      <c r="X831" s="15"/>
      <c r="Y831" s="15"/>
      <c r="Z831" s="15"/>
      <c r="AA831" s="15"/>
      <c r="AB831" s="15"/>
      <c r="AC831" s="15"/>
      <c r="AD831" s="15"/>
      <c r="AE831" s="15"/>
    </row>
    <row r="832" spans="1:31" x14ac:dyDescent="0.85">
      <c r="A832" s="15"/>
      <c r="B832" s="15"/>
      <c r="C832" s="15"/>
      <c r="D832" s="15"/>
      <c r="E832" s="15"/>
      <c r="F832" s="15"/>
      <c r="G832" s="15"/>
      <c r="H832" s="15"/>
      <c r="I832" s="15"/>
      <c r="J832" s="15"/>
      <c r="K832" s="15"/>
      <c r="L832" s="747"/>
      <c r="M832" s="15"/>
      <c r="N832" s="15"/>
      <c r="O832" s="15"/>
      <c r="P832" s="15"/>
      <c r="Q832" s="15"/>
      <c r="R832" s="15"/>
      <c r="S832" s="15"/>
      <c r="T832" s="15"/>
      <c r="U832" s="15"/>
      <c r="V832" s="15"/>
      <c r="W832" s="15"/>
      <c r="X832" s="15"/>
      <c r="Y832" s="15"/>
      <c r="Z832" s="15"/>
      <c r="AA832" s="15"/>
      <c r="AB832" s="15"/>
      <c r="AC832" s="15"/>
      <c r="AD832" s="15"/>
      <c r="AE832" s="15"/>
    </row>
    <row r="833" spans="1:31" x14ac:dyDescent="0.85">
      <c r="A833" s="15"/>
      <c r="B833" s="15"/>
      <c r="C833" s="15"/>
      <c r="D833" s="15"/>
      <c r="E833" s="15"/>
      <c r="F833" s="15"/>
      <c r="G833" s="15"/>
      <c r="H833" s="15"/>
      <c r="I833" s="15"/>
      <c r="J833" s="15"/>
      <c r="K833" s="15"/>
      <c r="L833" s="747"/>
      <c r="M833" s="15"/>
      <c r="N833" s="15"/>
      <c r="O833" s="15"/>
      <c r="P833" s="15"/>
      <c r="Q833" s="15"/>
      <c r="R833" s="15"/>
      <c r="S833" s="15"/>
      <c r="T833" s="15"/>
      <c r="U833" s="15"/>
      <c r="V833" s="15"/>
      <c r="W833" s="15"/>
      <c r="X833" s="15"/>
      <c r="Y833" s="15"/>
      <c r="Z833" s="15"/>
      <c r="AA833" s="15"/>
      <c r="AB833" s="15"/>
      <c r="AC833" s="15"/>
      <c r="AD833" s="15"/>
      <c r="AE833" s="15"/>
    </row>
    <row r="834" spans="1:31" x14ac:dyDescent="0.85">
      <c r="A834" s="15"/>
      <c r="B834" s="15"/>
      <c r="C834" s="15"/>
      <c r="D834" s="15"/>
      <c r="E834" s="15"/>
      <c r="F834" s="15"/>
      <c r="G834" s="15"/>
      <c r="H834" s="15"/>
      <c r="I834" s="15"/>
      <c r="J834" s="15"/>
      <c r="K834" s="15"/>
      <c r="L834" s="747"/>
      <c r="M834" s="15"/>
      <c r="N834" s="15"/>
      <c r="O834" s="15"/>
      <c r="P834" s="15"/>
      <c r="Q834" s="15"/>
      <c r="R834" s="15"/>
      <c r="S834" s="15"/>
      <c r="T834" s="15"/>
      <c r="U834" s="15"/>
      <c r="V834" s="15"/>
      <c r="W834" s="15"/>
      <c r="X834" s="15"/>
      <c r="Y834" s="15"/>
      <c r="Z834" s="15"/>
      <c r="AA834" s="15"/>
      <c r="AB834" s="15"/>
      <c r="AC834" s="15"/>
      <c r="AD834" s="15"/>
      <c r="AE834" s="15"/>
    </row>
    <row r="835" spans="1:31" x14ac:dyDescent="0.85">
      <c r="A835" s="15"/>
      <c r="B835" s="15"/>
      <c r="C835" s="15"/>
      <c r="D835" s="15"/>
      <c r="E835" s="15"/>
      <c r="F835" s="15"/>
      <c r="G835" s="15"/>
      <c r="H835" s="15"/>
      <c r="I835" s="15"/>
      <c r="J835" s="15"/>
      <c r="K835" s="15"/>
      <c r="L835" s="747"/>
      <c r="M835" s="15"/>
      <c r="N835" s="15"/>
      <c r="O835" s="15"/>
      <c r="P835" s="15"/>
      <c r="Q835" s="15"/>
      <c r="R835" s="15"/>
      <c r="S835" s="15"/>
      <c r="T835" s="15"/>
      <c r="U835" s="15"/>
      <c r="V835" s="15"/>
      <c r="W835" s="15"/>
      <c r="X835" s="15"/>
      <c r="Y835" s="15"/>
      <c r="Z835" s="15"/>
      <c r="AA835" s="15"/>
      <c r="AB835" s="15"/>
      <c r="AC835" s="15"/>
      <c r="AD835" s="15"/>
      <c r="AE835" s="15"/>
    </row>
    <row r="836" spans="1:31" x14ac:dyDescent="0.85">
      <c r="A836" s="15"/>
      <c r="B836" s="15"/>
      <c r="C836" s="15"/>
      <c r="D836" s="15"/>
      <c r="E836" s="15"/>
      <c r="F836" s="15"/>
      <c r="G836" s="15"/>
      <c r="H836" s="15"/>
      <c r="I836" s="15"/>
      <c r="J836" s="15"/>
      <c r="K836" s="15"/>
      <c r="L836" s="747"/>
      <c r="M836" s="15"/>
      <c r="N836" s="15"/>
      <c r="O836" s="15"/>
      <c r="P836" s="15"/>
      <c r="Q836" s="15"/>
      <c r="R836" s="15"/>
      <c r="S836" s="15"/>
      <c r="T836" s="15"/>
      <c r="U836" s="15"/>
      <c r="V836" s="15"/>
      <c r="W836" s="15"/>
      <c r="X836" s="15"/>
      <c r="Y836" s="15"/>
      <c r="Z836" s="15"/>
      <c r="AA836" s="15"/>
      <c r="AB836" s="15"/>
      <c r="AC836" s="15"/>
      <c r="AD836" s="15"/>
      <c r="AE836" s="15"/>
    </row>
    <row r="837" spans="1:31" x14ac:dyDescent="0.85">
      <c r="A837" s="15"/>
      <c r="B837" s="15"/>
      <c r="C837" s="15"/>
      <c r="D837" s="15"/>
      <c r="E837" s="15"/>
      <c r="F837" s="15"/>
      <c r="G837" s="15"/>
      <c r="H837" s="15"/>
      <c r="I837" s="15"/>
      <c r="J837" s="15"/>
      <c r="K837" s="15"/>
      <c r="L837" s="747"/>
      <c r="M837" s="15"/>
      <c r="N837" s="15"/>
      <c r="O837" s="15"/>
      <c r="P837" s="15"/>
      <c r="Q837" s="15"/>
      <c r="R837" s="15"/>
      <c r="S837" s="15"/>
      <c r="T837" s="15"/>
      <c r="U837" s="15"/>
      <c r="V837" s="15"/>
      <c r="W837" s="15"/>
      <c r="X837" s="15"/>
      <c r="Y837" s="15"/>
      <c r="Z837" s="15"/>
      <c r="AA837" s="15"/>
      <c r="AB837" s="15"/>
      <c r="AC837" s="15"/>
      <c r="AD837" s="15"/>
      <c r="AE837" s="15"/>
    </row>
    <row r="838" spans="1:31" x14ac:dyDescent="0.85">
      <c r="A838" s="15"/>
      <c r="B838" s="15"/>
      <c r="C838" s="15"/>
      <c r="D838" s="15"/>
      <c r="E838" s="15"/>
      <c r="F838" s="15"/>
      <c r="G838" s="15"/>
      <c r="H838" s="15"/>
      <c r="I838" s="15"/>
      <c r="J838" s="15"/>
      <c r="K838" s="15"/>
      <c r="L838" s="747"/>
      <c r="M838" s="15"/>
      <c r="N838" s="15"/>
      <c r="O838" s="15"/>
      <c r="P838" s="15"/>
      <c r="Q838" s="15"/>
      <c r="R838" s="15"/>
      <c r="S838" s="15"/>
      <c r="T838" s="15"/>
      <c r="U838" s="15"/>
      <c r="V838" s="15"/>
      <c r="W838" s="15"/>
      <c r="X838" s="15"/>
      <c r="Y838" s="15"/>
      <c r="Z838" s="15"/>
      <c r="AA838" s="15"/>
      <c r="AB838" s="15"/>
      <c r="AC838" s="15"/>
      <c r="AD838" s="15"/>
      <c r="AE838" s="15"/>
    </row>
    <row r="839" spans="1:31" x14ac:dyDescent="0.85">
      <c r="A839" s="15"/>
      <c r="B839" s="15"/>
      <c r="C839" s="15"/>
      <c r="D839" s="15"/>
      <c r="E839" s="15"/>
      <c r="F839" s="15"/>
      <c r="G839" s="15"/>
      <c r="H839" s="15"/>
      <c r="I839" s="15"/>
      <c r="J839" s="15"/>
      <c r="K839" s="15"/>
      <c r="L839" s="747"/>
      <c r="M839" s="15"/>
      <c r="N839" s="15"/>
      <c r="O839" s="15"/>
      <c r="P839" s="15"/>
      <c r="Q839" s="15"/>
      <c r="R839" s="15"/>
      <c r="S839" s="15"/>
      <c r="T839" s="15"/>
      <c r="U839" s="15"/>
      <c r="V839" s="15"/>
      <c r="W839" s="15"/>
      <c r="X839" s="15"/>
      <c r="Y839" s="15"/>
      <c r="Z839" s="15"/>
      <c r="AA839" s="15"/>
      <c r="AB839" s="15"/>
      <c r="AC839" s="15"/>
      <c r="AD839" s="15"/>
      <c r="AE839" s="15"/>
    </row>
    <row r="840" spans="1:31" x14ac:dyDescent="0.85">
      <c r="A840" s="15"/>
      <c r="B840" s="15"/>
      <c r="C840" s="15"/>
      <c r="D840" s="15"/>
      <c r="E840" s="15"/>
      <c r="F840" s="15"/>
      <c r="G840" s="15"/>
      <c r="H840" s="15"/>
      <c r="I840" s="15"/>
      <c r="J840" s="15"/>
      <c r="K840" s="15"/>
      <c r="L840" s="747"/>
      <c r="M840" s="15"/>
      <c r="N840" s="15"/>
      <c r="O840" s="15"/>
      <c r="P840" s="15"/>
      <c r="Q840" s="15"/>
      <c r="R840" s="15"/>
      <c r="S840" s="15"/>
      <c r="T840" s="15"/>
      <c r="U840" s="15"/>
      <c r="V840" s="15"/>
      <c r="W840" s="15"/>
      <c r="X840" s="15"/>
      <c r="Y840" s="15"/>
      <c r="Z840" s="15"/>
      <c r="AA840" s="15"/>
      <c r="AB840" s="15"/>
      <c r="AC840" s="15"/>
      <c r="AD840" s="15"/>
      <c r="AE840" s="15"/>
    </row>
    <row r="841" spans="1:31" x14ac:dyDescent="0.85">
      <c r="A841" s="15"/>
      <c r="B841" s="15"/>
      <c r="C841" s="15"/>
      <c r="D841" s="15"/>
      <c r="E841" s="15"/>
      <c r="F841" s="15"/>
      <c r="G841" s="15"/>
      <c r="H841" s="15"/>
      <c r="I841" s="15"/>
      <c r="J841" s="15"/>
      <c r="K841" s="15"/>
      <c r="L841" s="747"/>
      <c r="M841" s="15"/>
      <c r="N841" s="15"/>
      <c r="O841" s="15"/>
      <c r="P841" s="15"/>
      <c r="Q841" s="15"/>
      <c r="R841" s="15"/>
      <c r="S841" s="15"/>
      <c r="T841" s="15"/>
      <c r="U841" s="15"/>
      <c r="V841" s="15"/>
      <c r="W841" s="15"/>
      <c r="X841" s="15"/>
      <c r="Y841" s="15"/>
      <c r="Z841" s="15"/>
      <c r="AA841" s="15"/>
      <c r="AB841" s="15"/>
      <c r="AC841" s="15"/>
      <c r="AD841" s="15"/>
      <c r="AE841" s="15"/>
    </row>
    <row r="842" spans="1:31" x14ac:dyDescent="0.85">
      <c r="A842" s="15"/>
      <c r="B842" s="15"/>
      <c r="C842" s="15"/>
      <c r="D842" s="15"/>
      <c r="E842" s="15"/>
      <c r="F842" s="15"/>
      <c r="G842" s="15"/>
      <c r="H842" s="15"/>
      <c r="I842" s="15"/>
      <c r="J842" s="15"/>
      <c r="K842" s="15"/>
      <c r="L842" s="747"/>
      <c r="M842" s="15"/>
      <c r="N842" s="15"/>
      <c r="O842" s="15"/>
      <c r="P842" s="15"/>
      <c r="Q842" s="15"/>
      <c r="R842" s="15"/>
      <c r="S842" s="15"/>
      <c r="T842" s="15"/>
      <c r="U842" s="15"/>
      <c r="V842" s="15"/>
      <c r="W842" s="15"/>
      <c r="X842" s="15"/>
      <c r="Y842" s="15"/>
      <c r="Z842" s="15"/>
      <c r="AA842" s="15"/>
      <c r="AB842" s="15"/>
      <c r="AC842" s="15"/>
      <c r="AD842" s="15"/>
      <c r="AE842" s="15"/>
    </row>
    <row r="843" spans="1:31" x14ac:dyDescent="0.85">
      <c r="A843" s="15"/>
      <c r="B843" s="15"/>
      <c r="C843" s="15"/>
      <c r="D843" s="15"/>
      <c r="E843" s="15"/>
      <c r="F843" s="15"/>
      <c r="G843" s="15"/>
      <c r="H843" s="15"/>
      <c r="I843" s="15"/>
      <c r="J843" s="15"/>
      <c r="K843" s="15"/>
      <c r="L843" s="747"/>
      <c r="M843" s="15"/>
      <c r="N843" s="15"/>
      <c r="O843" s="15"/>
      <c r="P843" s="15"/>
      <c r="Q843" s="15"/>
      <c r="R843" s="15"/>
      <c r="S843" s="15"/>
      <c r="T843" s="15"/>
      <c r="U843" s="15"/>
      <c r="V843" s="15"/>
      <c r="W843" s="15"/>
      <c r="X843" s="15"/>
      <c r="Y843" s="15"/>
      <c r="Z843" s="15"/>
      <c r="AA843" s="15"/>
      <c r="AB843" s="15"/>
      <c r="AC843" s="15"/>
      <c r="AD843" s="15"/>
      <c r="AE843" s="15"/>
    </row>
    <row r="844" spans="1:31" x14ac:dyDescent="0.85">
      <c r="A844" s="15"/>
      <c r="B844" s="15"/>
      <c r="C844" s="15"/>
      <c r="D844" s="15"/>
      <c r="E844" s="15"/>
      <c r="F844" s="15"/>
      <c r="G844" s="15"/>
      <c r="H844" s="15"/>
      <c r="I844" s="15"/>
      <c r="J844" s="15"/>
      <c r="K844" s="15"/>
      <c r="L844" s="747"/>
      <c r="M844" s="15"/>
      <c r="N844" s="15"/>
      <c r="O844" s="15"/>
      <c r="P844" s="15"/>
      <c r="Q844" s="15"/>
      <c r="R844" s="15"/>
      <c r="S844" s="15"/>
      <c r="T844" s="15"/>
      <c r="U844" s="15"/>
      <c r="V844" s="15"/>
      <c r="W844" s="15"/>
      <c r="X844" s="15"/>
      <c r="Y844" s="15"/>
      <c r="Z844" s="15"/>
      <c r="AA844" s="15"/>
      <c r="AB844" s="15"/>
      <c r="AC844" s="15"/>
      <c r="AD844" s="15"/>
      <c r="AE844" s="15"/>
    </row>
    <row r="845" spans="1:31" x14ac:dyDescent="0.85">
      <c r="A845" s="15"/>
      <c r="B845" s="15"/>
      <c r="C845" s="15"/>
      <c r="D845" s="15"/>
      <c r="E845" s="15"/>
      <c r="F845" s="15"/>
      <c r="G845" s="15"/>
      <c r="H845" s="15"/>
      <c r="I845" s="15"/>
      <c r="J845" s="15"/>
      <c r="K845" s="15"/>
      <c r="L845" s="747"/>
      <c r="M845" s="15"/>
      <c r="N845" s="15"/>
      <c r="O845" s="15"/>
      <c r="P845" s="15"/>
      <c r="Q845" s="15"/>
      <c r="R845" s="15"/>
      <c r="S845" s="15"/>
      <c r="T845" s="15"/>
      <c r="U845" s="15"/>
      <c r="V845" s="15"/>
      <c r="W845" s="15"/>
      <c r="X845" s="15"/>
      <c r="Y845" s="15"/>
      <c r="Z845" s="15"/>
      <c r="AA845" s="15"/>
      <c r="AB845" s="15"/>
      <c r="AC845" s="15"/>
      <c r="AD845" s="15"/>
      <c r="AE845" s="15"/>
    </row>
    <row r="846" spans="1:31" x14ac:dyDescent="0.85">
      <c r="A846" s="15"/>
      <c r="B846" s="15"/>
      <c r="C846" s="15"/>
      <c r="D846" s="15"/>
      <c r="E846" s="15"/>
      <c r="F846" s="15"/>
      <c r="G846" s="15"/>
      <c r="H846" s="15"/>
      <c r="I846" s="15"/>
      <c r="J846" s="15"/>
      <c r="K846" s="15"/>
      <c r="L846" s="747"/>
      <c r="M846" s="15"/>
      <c r="N846" s="15"/>
      <c r="O846" s="15"/>
      <c r="P846" s="15"/>
      <c r="Q846" s="15"/>
      <c r="R846" s="15"/>
      <c r="S846" s="15"/>
      <c r="T846" s="15"/>
      <c r="U846" s="15"/>
      <c r="V846" s="15"/>
      <c r="W846" s="15"/>
      <c r="X846" s="15"/>
      <c r="Y846" s="15"/>
      <c r="Z846" s="15"/>
      <c r="AA846" s="15"/>
      <c r="AB846" s="15"/>
      <c r="AC846" s="15"/>
      <c r="AD846" s="15"/>
      <c r="AE846" s="15"/>
    </row>
    <row r="847" spans="1:31" x14ac:dyDescent="0.85">
      <c r="A847" s="15"/>
      <c r="B847" s="15"/>
      <c r="C847" s="15"/>
      <c r="D847" s="15"/>
      <c r="E847" s="15"/>
      <c r="F847" s="15"/>
      <c r="G847" s="15"/>
      <c r="H847" s="15"/>
      <c r="I847" s="15"/>
      <c r="J847" s="15"/>
      <c r="K847" s="15"/>
      <c r="L847" s="747"/>
      <c r="M847" s="15"/>
      <c r="N847" s="15"/>
      <c r="O847" s="15"/>
      <c r="P847" s="15"/>
      <c r="Q847" s="15"/>
      <c r="R847" s="15"/>
      <c r="S847" s="15"/>
      <c r="T847" s="15"/>
      <c r="U847" s="15"/>
      <c r="V847" s="15"/>
      <c r="W847" s="15"/>
      <c r="X847" s="15"/>
      <c r="Y847" s="15"/>
      <c r="Z847" s="15"/>
      <c r="AA847" s="15"/>
      <c r="AB847" s="15"/>
      <c r="AC847" s="15"/>
      <c r="AD847" s="15"/>
      <c r="AE847" s="15"/>
    </row>
    <row r="848" spans="1:31" x14ac:dyDescent="0.85">
      <c r="A848" s="15"/>
      <c r="B848" s="15"/>
      <c r="C848" s="15"/>
      <c r="D848" s="15"/>
      <c r="E848" s="15"/>
      <c r="F848" s="15"/>
      <c r="G848" s="15"/>
      <c r="H848" s="15"/>
      <c r="I848" s="15"/>
      <c r="J848" s="15"/>
      <c r="K848" s="15"/>
      <c r="L848" s="747"/>
      <c r="M848" s="15"/>
      <c r="N848" s="15"/>
      <c r="O848" s="15"/>
      <c r="P848" s="15"/>
      <c r="Q848" s="15"/>
      <c r="R848" s="15"/>
      <c r="S848" s="15"/>
      <c r="T848" s="15"/>
      <c r="U848" s="15"/>
      <c r="V848" s="15"/>
      <c r="W848" s="15"/>
      <c r="X848" s="15"/>
      <c r="Y848" s="15"/>
      <c r="Z848" s="15"/>
      <c r="AA848" s="15"/>
      <c r="AB848" s="15"/>
      <c r="AC848" s="15"/>
      <c r="AD848" s="15"/>
      <c r="AE848" s="15"/>
    </row>
    <row r="849" spans="1:31" x14ac:dyDescent="0.85">
      <c r="A849" s="15"/>
      <c r="B849" s="15"/>
      <c r="C849" s="15"/>
      <c r="D849" s="15"/>
      <c r="E849" s="15"/>
      <c r="F849" s="15"/>
      <c r="G849" s="15"/>
      <c r="H849" s="15"/>
      <c r="I849" s="15"/>
      <c r="J849" s="15"/>
      <c r="K849" s="15"/>
      <c r="L849" s="747"/>
      <c r="M849" s="15"/>
      <c r="N849" s="15"/>
      <c r="O849" s="15"/>
      <c r="P849" s="15"/>
      <c r="Q849" s="15"/>
      <c r="R849" s="15"/>
      <c r="S849" s="15"/>
      <c r="T849" s="15"/>
      <c r="U849" s="15"/>
      <c r="V849" s="15"/>
      <c r="W849" s="15"/>
      <c r="X849" s="15"/>
      <c r="Y849" s="15"/>
      <c r="Z849" s="15"/>
      <c r="AA849" s="15"/>
      <c r="AB849" s="15"/>
      <c r="AC849" s="15"/>
      <c r="AD849" s="15"/>
      <c r="AE849" s="15"/>
    </row>
    <row r="850" spans="1:31" x14ac:dyDescent="0.85">
      <c r="A850" s="15"/>
      <c r="B850" s="15"/>
      <c r="C850" s="15"/>
      <c r="D850" s="15"/>
      <c r="E850" s="15"/>
      <c r="F850" s="15"/>
      <c r="G850" s="15"/>
      <c r="H850" s="15"/>
      <c r="I850" s="15"/>
      <c r="J850" s="15"/>
      <c r="K850" s="15"/>
      <c r="L850" s="747"/>
      <c r="M850" s="15"/>
      <c r="N850" s="15"/>
      <c r="O850" s="15"/>
      <c r="P850" s="15"/>
      <c r="Q850" s="15"/>
      <c r="R850" s="15"/>
      <c r="S850" s="15"/>
      <c r="T850" s="15"/>
      <c r="U850" s="15"/>
      <c r="V850" s="15"/>
      <c r="W850" s="15"/>
      <c r="X850" s="15"/>
      <c r="Y850" s="15"/>
      <c r="Z850" s="15"/>
      <c r="AA850" s="15"/>
      <c r="AB850" s="15"/>
      <c r="AC850" s="15"/>
      <c r="AD850" s="15"/>
      <c r="AE850" s="15"/>
    </row>
    <row r="851" spans="1:31" x14ac:dyDescent="0.85">
      <c r="A851" s="15"/>
      <c r="B851" s="15"/>
      <c r="C851" s="15"/>
      <c r="D851" s="15"/>
      <c r="E851" s="15"/>
      <c r="F851" s="15"/>
      <c r="G851" s="15"/>
      <c r="H851" s="15"/>
      <c r="I851" s="15"/>
      <c r="J851" s="15"/>
      <c r="K851" s="15"/>
      <c r="L851" s="747"/>
      <c r="M851" s="15"/>
      <c r="N851" s="15"/>
      <c r="O851" s="15"/>
      <c r="P851" s="15"/>
      <c r="Q851" s="15"/>
      <c r="R851" s="15"/>
      <c r="S851" s="15"/>
      <c r="T851" s="15"/>
      <c r="U851" s="15"/>
      <c r="V851" s="15"/>
      <c r="W851" s="15"/>
      <c r="X851" s="15"/>
      <c r="Y851" s="15"/>
      <c r="Z851" s="15"/>
      <c r="AA851" s="15"/>
      <c r="AB851" s="15"/>
      <c r="AC851" s="15"/>
      <c r="AD851" s="15"/>
      <c r="AE851" s="15"/>
    </row>
    <row r="852" spans="1:31" x14ac:dyDescent="0.85">
      <c r="A852" s="15"/>
      <c r="B852" s="15"/>
      <c r="C852" s="15"/>
      <c r="D852" s="15"/>
      <c r="E852" s="15"/>
      <c r="F852" s="15"/>
      <c r="G852" s="15"/>
      <c r="H852" s="15"/>
      <c r="I852" s="15"/>
      <c r="J852" s="15"/>
      <c r="K852" s="15"/>
      <c r="L852" s="747"/>
      <c r="M852" s="15"/>
      <c r="N852" s="15"/>
      <c r="O852" s="15"/>
      <c r="P852" s="15"/>
      <c r="Q852" s="15"/>
      <c r="R852" s="15"/>
      <c r="S852" s="15"/>
      <c r="T852" s="15"/>
      <c r="U852" s="15"/>
      <c r="V852" s="15"/>
      <c r="W852" s="15"/>
      <c r="X852" s="15"/>
      <c r="Y852" s="15"/>
      <c r="Z852" s="15"/>
      <c r="AA852" s="15"/>
      <c r="AB852" s="15"/>
      <c r="AC852" s="15"/>
      <c r="AD852" s="15"/>
      <c r="AE852" s="15"/>
    </row>
    <row r="853" spans="1:31" x14ac:dyDescent="0.85">
      <c r="A853" s="15"/>
      <c r="B853" s="15"/>
      <c r="C853" s="15"/>
      <c r="D853" s="15"/>
      <c r="E853" s="15"/>
      <c r="F853" s="15"/>
      <c r="G853" s="15"/>
      <c r="H853" s="15"/>
      <c r="I853" s="15"/>
      <c r="J853" s="15"/>
      <c r="K853" s="15"/>
      <c r="L853" s="747"/>
      <c r="M853" s="15"/>
      <c r="N853" s="15"/>
      <c r="O853" s="15"/>
      <c r="P853" s="15"/>
      <c r="Q853" s="15"/>
      <c r="R853" s="15"/>
      <c r="S853" s="15"/>
      <c r="T853" s="15"/>
      <c r="U853" s="15"/>
      <c r="V853" s="15"/>
      <c r="W853" s="15"/>
      <c r="X853" s="15"/>
      <c r="Y853" s="15"/>
      <c r="Z853" s="15"/>
      <c r="AA853" s="15"/>
      <c r="AB853" s="15"/>
      <c r="AC853" s="15"/>
      <c r="AD853" s="15"/>
      <c r="AE853" s="15"/>
    </row>
    <row r="854" spans="1:31" x14ac:dyDescent="0.85">
      <c r="A854" s="15"/>
      <c r="B854" s="15"/>
      <c r="C854" s="15"/>
      <c r="D854" s="15"/>
      <c r="E854" s="15"/>
      <c r="F854" s="15"/>
      <c r="G854" s="15"/>
      <c r="H854" s="15"/>
      <c r="I854" s="15"/>
      <c r="J854" s="15"/>
      <c r="K854" s="15"/>
      <c r="L854" s="747"/>
      <c r="M854" s="15"/>
      <c r="N854" s="15"/>
      <c r="O854" s="15"/>
      <c r="P854" s="15"/>
      <c r="Q854" s="15"/>
      <c r="R854" s="15"/>
      <c r="S854" s="15"/>
      <c r="T854" s="15"/>
      <c r="U854" s="15"/>
      <c r="V854" s="15"/>
      <c r="W854" s="15"/>
      <c r="X854" s="15"/>
      <c r="Y854" s="15"/>
      <c r="Z854" s="15"/>
      <c r="AA854" s="15"/>
      <c r="AB854" s="15"/>
      <c r="AC854" s="15"/>
      <c r="AD854" s="15"/>
      <c r="AE854" s="15"/>
    </row>
    <row r="855" spans="1:31" x14ac:dyDescent="0.85">
      <c r="A855" s="15"/>
      <c r="B855" s="15"/>
      <c r="C855" s="15"/>
      <c r="D855" s="15"/>
      <c r="E855" s="15"/>
      <c r="F855" s="15"/>
      <c r="G855" s="15"/>
      <c r="H855" s="15"/>
      <c r="I855" s="15"/>
      <c r="J855" s="15"/>
      <c r="K855" s="15"/>
      <c r="L855" s="747"/>
      <c r="M855" s="15"/>
      <c r="N855" s="15"/>
      <c r="O855" s="15"/>
      <c r="P855" s="15"/>
      <c r="Q855" s="15"/>
      <c r="R855" s="15"/>
      <c r="S855" s="15"/>
      <c r="T855" s="15"/>
      <c r="U855" s="15"/>
      <c r="V855" s="15"/>
      <c r="W855" s="15"/>
      <c r="X855" s="15"/>
      <c r="Y855" s="15"/>
      <c r="Z855" s="15"/>
      <c r="AA855" s="15"/>
      <c r="AB855" s="15"/>
      <c r="AC855" s="15"/>
      <c r="AD855" s="15"/>
      <c r="AE855" s="15"/>
    </row>
    <row r="856" spans="1:31" x14ac:dyDescent="0.85">
      <c r="A856" s="15"/>
      <c r="B856" s="15"/>
      <c r="C856" s="15"/>
      <c r="D856" s="15"/>
      <c r="E856" s="15"/>
      <c r="F856" s="15"/>
      <c r="G856" s="15"/>
      <c r="H856" s="15"/>
      <c r="I856" s="15"/>
      <c r="J856" s="15"/>
      <c r="K856" s="15"/>
      <c r="L856" s="747"/>
      <c r="M856" s="15"/>
      <c r="N856" s="15"/>
      <c r="O856" s="15"/>
      <c r="P856" s="15"/>
      <c r="Q856" s="15"/>
      <c r="R856" s="15"/>
      <c r="S856" s="15"/>
      <c r="T856" s="15"/>
      <c r="U856" s="15"/>
      <c r="V856" s="15"/>
      <c r="W856" s="15"/>
      <c r="X856" s="15"/>
      <c r="Y856" s="15"/>
      <c r="Z856" s="15"/>
      <c r="AA856" s="15"/>
      <c r="AB856" s="15"/>
      <c r="AC856" s="15"/>
      <c r="AD856" s="15"/>
      <c r="AE856" s="15"/>
    </row>
    <row r="857" spans="1:31" x14ac:dyDescent="0.85">
      <c r="A857" s="15"/>
      <c r="B857" s="15"/>
      <c r="C857" s="15"/>
      <c r="D857" s="15"/>
      <c r="E857" s="15"/>
      <c r="F857" s="15"/>
      <c r="G857" s="15"/>
      <c r="H857" s="15"/>
      <c r="I857" s="15"/>
      <c r="J857" s="15"/>
      <c r="K857" s="15"/>
      <c r="L857" s="747"/>
      <c r="M857" s="15"/>
      <c r="N857" s="15"/>
      <c r="O857" s="15"/>
      <c r="P857" s="15"/>
      <c r="Q857" s="15"/>
      <c r="R857" s="15"/>
      <c r="S857" s="15"/>
      <c r="T857" s="15"/>
      <c r="U857" s="15"/>
      <c r="V857" s="15"/>
      <c r="W857" s="15"/>
      <c r="X857" s="15"/>
      <c r="Y857" s="15"/>
      <c r="Z857" s="15"/>
      <c r="AA857" s="15"/>
      <c r="AB857" s="15"/>
      <c r="AC857" s="15"/>
      <c r="AD857" s="15"/>
      <c r="AE857" s="15"/>
    </row>
    <row r="858" spans="1:31" x14ac:dyDescent="0.85">
      <c r="A858" s="15"/>
      <c r="B858" s="15"/>
      <c r="C858" s="15"/>
      <c r="D858" s="15"/>
      <c r="E858" s="15"/>
      <c r="F858" s="15"/>
      <c r="G858" s="15"/>
      <c r="H858" s="15"/>
      <c r="I858" s="15"/>
      <c r="J858" s="15"/>
      <c r="K858" s="15"/>
      <c r="L858" s="747"/>
      <c r="M858" s="15"/>
      <c r="N858" s="15"/>
      <c r="O858" s="15"/>
      <c r="P858" s="15"/>
      <c r="Q858" s="15"/>
      <c r="R858" s="15"/>
      <c r="S858" s="15"/>
      <c r="T858" s="15"/>
      <c r="U858" s="15"/>
      <c r="V858" s="15"/>
      <c r="W858" s="15"/>
      <c r="X858" s="15"/>
      <c r="Y858" s="15"/>
      <c r="Z858" s="15"/>
      <c r="AA858" s="15"/>
      <c r="AB858" s="15"/>
      <c r="AC858" s="15"/>
      <c r="AD858" s="15"/>
      <c r="AE858" s="15"/>
    </row>
    <row r="859" spans="1:31" x14ac:dyDescent="0.85">
      <c r="A859" s="15"/>
      <c r="B859" s="15"/>
      <c r="C859" s="15"/>
      <c r="D859" s="15"/>
      <c r="E859" s="15"/>
      <c r="F859" s="15"/>
      <c r="G859" s="15"/>
      <c r="H859" s="15"/>
      <c r="I859" s="15"/>
      <c r="J859" s="15"/>
      <c r="K859" s="15"/>
      <c r="L859" s="747"/>
      <c r="M859" s="15"/>
      <c r="N859" s="15"/>
      <c r="O859" s="15"/>
      <c r="P859" s="15"/>
      <c r="Q859" s="15"/>
      <c r="R859" s="15"/>
      <c r="S859" s="15"/>
      <c r="T859" s="15"/>
      <c r="U859" s="15"/>
      <c r="V859" s="15"/>
      <c r="W859" s="15"/>
      <c r="X859" s="15"/>
      <c r="Y859" s="15"/>
      <c r="Z859" s="15"/>
      <c r="AA859" s="15"/>
      <c r="AB859" s="15"/>
      <c r="AC859" s="15"/>
      <c r="AD859" s="15"/>
      <c r="AE859" s="15"/>
    </row>
    <row r="860" spans="1:31" x14ac:dyDescent="0.85">
      <c r="A860" s="15"/>
      <c r="B860" s="15"/>
      <c r="C860" s="15"/>
      <c r="D860" s="15"/>
      <c r="E860" s="15"/>
      <c r="F860" s="15"/>
      <c r="G860" s="15"/>
      <c r="H860" s="15"/>
      <c r="I860" s="15"/>
      <c r="J860" s="15"/>
      <c r="K860" s="15"/>
      <c r="L860" s="747"/>
      <c r="M860" s="15"/>
      <c r="N860" s="15"/>
      <c r="O860" s="15"/>
      <c r="P860" s="15"/>
      <c r="Q860" s="15"/>
      <c r="R860" s="15"/>
      <c r="S860" s="15"/>
      <c r="T860" s="15"/>
      <c r="U860" s="15"/>
      <c r="V860" s="15"/>
      <c r="W860" s="15"/>
      <c r="X860" s="15"/>
      <c r="Y860" s="15"/>
      <c r="Z860" s="15"/>
      <c r="AA860" s="15"/>
      <c r="AB860" s="15"/>
      <c r="AC860" s="15"/>
      <c r="AD860" s="15"/>
      <c r="AE860" s="15"/>
    </row>
    <row r="861" spans="1:31" x14ac:dyDescent="0.85">
      <c r="A861" s="15"/>
      <c r="B861" s="15"/>
      <c r="C861" s="15"/>
      <c r="D861" s="15"/>
      <c r="E861" s="15"/>
      <c r="F861" s="15"/>
      <c r="G861" s="15"/>
      <c r="H861" s="15"/>
      <c r="I861" s="15"/>
      <c r="J861" s="15"/>
      <c r="K861" s="15"/>
      <c r="L861" s="747"/>
      <c r="M861" s="15"/>
      <c r="N861" s="15"/>
      <c r="O861" s="15"/>
      <c r="P861" s="15"/>
      <c r="Q861" s="15"/>
      <c r="R861" s="15"/>
      <c r="S861" s="15"/>
      <c r="T861" s="15"/>
      <c r="U861" s="15"/>
      <c r="V861" s="15"/>
      <c r="W861" s="15"/>
      <c r="X861" s="15"/>
      <c r="Y861" s="15"/>
      <c r="Z861" s="15"/>
      <c r="AA861" s="15"/>
      <c r="AB861" s="15"/>
      <c r="AC861" s="15"/>
      <c r="AD861" s="15"/>
      <c r="AE861" s="15"/>
    </row>
    <row r="862" spans="1:31" x14ac:dyDescent="0.85">
      <c r="A862" s="15"/>
      <c r="B862" s="15"/>
      <c r="C862" s="15"/>
      <c r="D862" s="15"/>
      <c r="E862" s="15"/>
      <c r="F862" s="15"/>
      <c r="G862" s="15"/>
      <c r="H862" s="15"/>
      <c r="I862" s="15"/>
      <c r="J862" s="15"/>
      <c r="K862" s="15"/>
      <c r="L862" s="747"/>
      <c r="M862" s="15"/>
      <c r="N862" s="15"/>
      <c r="O862" s="15"/>
      <c r="P862" s="15"/>
      <c r="Q862" s="15"/>
      <c r="R862" s="15"/>
      <c r="S862" s="15"/>
      <c r="T862" s="15"/>
      <c r="U862" s="15"/>
      <c r="V862" s="15"/>
      <c r="W862" s="15"/>
      <c r="X862" s="15"/>
      <c r="Y862" s="15"/>
      <c r="Z862" s="15"/>
      <c r="AA862" s="15"/>
      <c r="AB862" s="15"/>
      <c r="AC862" s="15"/>
      <c r="AD862" s="15"/>
      <c r="AE862" s="15"/>
    </row>
    <row r="863" spans="1:31" x14ac:dyDescent="0.85">
      <c r="A863" s="15"/>
      <c r="B863" s="15"/>
      <c r="C863" s="15"/>
      <c r="D863" s="15"/>
      <c r="E863" s="15"/>
      <c r="F863" s="15"/>
      <c r="G863" s="15"/>
      <c r="H863" s="15"/>
      <c r="I863" s="15"/>
      <c r="J863" s="15"/>
      <c r="K863" s="15"/>
      <c r="L863" s="747"/>
      <c r="M863" s="15"/>
      <c r="N863" s="15"/>
      <c r="O863" s="15"/>
      <c r="P863" s="15"/>
      <c r="Q863" s="15"/>
      <c r="R863" s="15"/>
      <c r="S863" s="15"/>
      <c r="T863" s="15"/>
      <c r="U863" s="15"/>
      <c r="V863" s="15"/>
      <c r="W863" s="15"/>
      <c r="X863" s="15"/>
      <c r="Y863" s="15"/>
      <c r="Z863" s="15"/>
      <c r="AA863" s="15"/>
      <c r="AB863" s="15"/>
      <c r="AC863" s="15"/>
      <c r="AD863" s="15"/>
      <c r="AE863" s="15"/>
    </row>
    <row r="864" spans="1:31" x14ac:dyDescent="0.85">
      <c r="A864" s="15"/>
      <c r="B864" s="15"/>
      <c r="C864" s="15"/>
      <c r="D864" s="15"/>
      <c r="E864" s="15"/>
      <c r="F864" s="15"/>
      <c r="G864" s="15"/>
      <c r="H864" s="15"/>
      <c r="I864" s="15"/>
      <c r="J864" s="15"/>
      <c r="K864" s="15"/>
      <c r="L864" s="747"/>
      <c r="M864" s="15"/>
      <c r="N864" s="15"/>
      <c r="O864" s="15"/>
      <c r="P864" s="15"/>
      <c r="Q864" s="15"/>
      <c r="R864" s="15"/>
      <c r="S864" s="15"/>
      <c r="T864" s="15"/>
      <c r="U864" s="15"/>
      <c r="V864" s="15"/>
      <c r="W864" s="15"/>
      <c r="X864" s="15"/>
      <c r="Y864" s="15"/>
      <c r="Z864" s="15"/>
      <c r="AA864" s="15"/>
      <c r="AB864" s="15"/>
      <c r="AC864" s="15"/>
      <c r="AD864" s="15"/>
      <c r="AE864" s="15"/>
    </row>
    <row r="865" spans="1:31" x14ac:dyDescent="0.85">
      <c r="A865" s="15"/>
      <c r="B865" s="15"/>
      <c r="C865" s="15"/>
      <c r="D865" s="15"/>
      <c r="E865" s="15"/>
      <c r="F865" s="15"/>
      <c r="G865" s="15"/>
      <c r="H865" s="15"/>
      <c r="I865" s="15"/>
      <c r="J865" s="15"/>
      <c r="K865" s="15"/>
      <c r="L865" s="747"/>
      <c r="M865" s="15"/>
      <c r="N865" s="15"/>
      <c r="O865" s="15"/>
      <c r="P865" s="15"/>
      <c r="Q865" s="15"/>
      <c r="R865" s="15"/>
      <c r="S865" s="15"/>
      <c r="T865" s="15"/>
      <c r="U865" s="15"/>
      <c r="V865" s="15"/>
      <c r="W865" s="15"/>
      <c r="X865" s="15"/>
      <c r="Y865" s="15"/>
      <c r="Z865" s="15"/>
      <c r="AA865" s="15"/>
      <c r="AB865" s="15"/>
      <c r="AC865" s="15"/>
      <c r="AD865" s="15"/>
      <c r="AE865" s="15"/>
    </row>
    <row r="866" spans="1:31" x14ac:dyDescent="0.85">
      <c r="A866" s="15"/>
      <c r="B866" s="15"/>
      <c r="C866" s="15"/>
      <c r="D866" s="15"/>
      <c r="E866" s="15"/>
      <c r="F866" s="15"/>
      <c r="G866" s="15"/>
      <c r="H866" s="15"/>
      <c r="I866" s="15"/>
      <c r="J866" s="15"/>
      <c r="K866" s="15"/>
      <c r="L866" s="747"/>
      <c r="M866" s="15"/>
      <c r="N866" s="15"/>
      <c r="O866" s="15"/>
      <c r="P866" s="15"/>
      <c r="Q866" s="15"/>
      <c r="R866" s="15"/>
      <c r="S866" s="15"/>
      <c r="T866" s="15"/>
      <c r="U866" s="15"/>
      <c r="V866" s="15"/>
      <c r="W866" s="15"/>
      <c r="X866" s="15"/>
      <c r="Y866" s="15"/>
      <c r="Z866" s="15"/>
      <c r="AA866" s="15"/>
      <c r="AB866" s="15"/>
      <c r="AC866" s="15"/>
      <c r="AD866" s="15"/>
      <c r="AE866" s="15"/>
    </row>
    <row r="867" spans="1:31" x14ac:dyDescent="0.85">
      <c r="A867" s="15"/>
      <c r="B867" s="15"/>
      <c r="C867" s="15"/>
      <c r="D867" s="15"/>
      <c r="E867" s="15"/>
      <c r="F867" s="15"/>
      <c r="G867" s="15"/>
      <c r="H867" s="15"/>
      <c r="I867" s="15"/>
      <c r="J867" s="15"/>
      <c r="K867" s="15"/>
      <c r="L867" s="747"/>
      <c r="M867" s="15"/>
      <c r="N867" s="15"/>
      <c r="O867" s="15"/>
      <c r="P867" s="15"/>
      <c r="Q867" s="15"/>
      <c r="R867" s="15"/>
      <c r="S867" s="15"/>
      <c r="T867" s="15"/>
      <c r="U867" s="15"/>
      <c r="V867" s="15"/>
      <c r="W867" s="15"/>
      <c r="X867" s="15"/>
      <c r="Y867" s="15"/>
      <c r="Z867" s="15"/>
      <c r="AA867" s="15"/>
      <c r="AB867" s="15"/>
      <c r="AC867" s="15"/>
      <c r="AD867" s="15"/>
      <c r="AE867" s="15"/>
    </row>
    <row r="868" spans="1:31" x14ac:dyDescent="0.85">
      <c r="A868" s="15"/>
      <c r="B868" s="15"/>
      <c r="C868" s="15"/>
      <c r="D868" s="15"/>
      <c r="E868" s="15"/>
      <c r="F868" s="15"/>
      <c r="G868" s="15"/>
      <c r="H868" s="15"/>
      <c r="I868" s="15"/>
      <c r="J868" s="15"/>
      <c r="K868" s="15"/>
      <c r="L868" s="747"/>
      <c r="M868" s="15"/>
      <c r="N868" s="15"/>
      <c r="O868" s="15"/>
      <c r="P868" s="15"/>
      <c r="Q868" s="15"/>
      <c r="R868" s="15"/>
      <c r="S868" s="15"/>
      <c r="T868" s="15"/>
      <c r="U868" s="15"/>
      <c r="V868" s="15"/>
      <c r="W868" s="15"/>
      <c r="X868" s="15"/>
      <c r="Y868" s="15"/>
      <c r="Z868" s="15"/>
      <c r="AA868" s="15"/>
      <c r="AB868" s="15"/>
      <c r="AC868" s="15"/>
      <c r="AD868" s="15"/>
      <c r="AE868" s="15"/>
    </row>
    <row r="869" spans="1:31" x14ac:dyDescent="0.85">
      <c r="A869" s="15"/>
      <c r="B869" s="15"/>
      <c r="C869" s="15"/>
      <c r="D869" s="15"/>
      <c r="E869" s="15"/>
      <c r="F869" s="15"/>
      <c r="G869" s="15"/>
      <c r="H869" s="15"/>
      <c r="I869" s="15"/>
      <c r="J869" s="15"/>
      <c r="K869" s="15"/>
      <c r="L869" s="747"/>
      <c r="M869" s="15"/>
      <c r="N869" s="15"/>
      <c r="O869" s="15"/>
      <c r="P869" s="15"/>
      <c r="Q869" s="15"/>
      <c r="R869" s="15"/>
      <c r="S869" s="15"/>
      <c r="T869" s="15"/>
      <c r="U869" s="15"/>
      <c r="V869" s="15"/>
      <c r="W869" s="15"/>
      <c r="X869" s="15"/>
      <c r="Y869" s="15"/>
      <c r="Z869" s="15"/>
      <c r="AA869" s="15"/>
      <c r="AB869" s="15"/>
      <c r="AC869" s="15"/>
      <c r="AD869" s="15"/>
      <c r="AE869" s="15"/>
    </row>
    <row r="870" spans="1:31" x14ac:dyDescent="0.85">
      <c r="A870" s="15"/>
      <c r="B870" s="15"/>
      <c r="C870" s="15"/>
      <c r="D870" s="15"/>
      <c r="E870" s="15"/>
      <c r="F870" s="15"/>
      <c r="G870" s="15"/>
      <c r="H870" s="15"/>
      <c r="I870" s="15"/>
      <c r="J870" s="15"/>
      <c r="K870" s="15"/>
      <c r="L870" s="747"/>
      <c r="M870" s="15"/>
      <c r="N870" s="15"/>
      <c r="O870" s="15"/>
      <c r="P870" s="15"/>
      <c r="Q870" s="15"/>
      <c r="R870" s="15"/>
      <c r="S870" s="15"/>
      <c r="T870" s="15"/>
      <c r="U870" s="15"/>
      <c r="V870" s="15"/>
      <c r="W870" s="15"/>
      <c r="X870" s="15"/>
      <c r="Y870" s="15"/>
      <c r="Z870" s="15"/>
      <c r="AA870" s="15"/>
      <c r="AB870" s="15"/>
      <c r="AC870" s="15"/>
      <c r="AD870" s="15"/>
      <c r="AE870" s="15"/>
    </row>
    <row r="871" spans="1:31" x14ac:dyDescent="0.85">
      <c r="A871" s="15"/>
      <c r="B871" s="15"/>
      <c r="C871" s="15"/>
      <c r="D871" s="15"/>
      <c r="E871" s="15"/>
      <c r="F871" s="15"/>
      <c r="G871" s="15"/>
      <c r="H871" s="15"/>
      <c r="I871" s="15"/>
      <c r="J871" s="15"/>
      <c r="K871" s="15"/>
      <c r="L871" s="747"/>
      <c r="M871" s="15"/>
      <c r="N871" s="15"/>
      <c r="O871" s="15"/>
      <c r="P871" s="15"/>
      <c r="Q871" s="15"/>
      <c r="R871" s="15"/>
      <c r="S871" s="15"/>
      <c r="T871" s="15"/>
      <c r="U871" s="15"/>
      <c r="V871" s="15"/>
      <c r="W871" s="15"/>
      <c r="X871" s="15"/>
      <c r="Y871" s="15"/>
      <c r="Z871" s="15"/>
      <c r="AA871" s="15"/>
      <c r="AB871" s="15"/>
      <c r="AC871" s="15"/>
      <c r="AD871" s="15"/>
      <c r="AE871" s="15"/>
    </row>
    <row r="872" spans="1:31" x14ac:dyDescent="0.85">
      <c r="A872" s="15"/>
      <c r="B872" s="15"/>
      <c r="C872" s="15"/>
      <c r="D872" s="15"/>
      <c r="E872" s="15"/>
      <c r="F872" s="15"/>
      <c r="G872" s="15"/>
      <c r="H872" s="15"/>
      <c r="I872" s="15"/>
      <c r="J872" s="15"/>
      <c r="K872" s="15"/>
      <c r="L872" s="747"/>
      <c r="M872" s="15"/>
      <c r="N872" s="15"/>
      <c r="O872" s="15"/>
      <c r="P872" s="15"/>
      <c r="Q872" s="15"/>
      <c r="R872" s="15"/>
      <c r="S872" s="15"/>
      <c r="T872" s="15"/>
      <c r="U872" s="15"/>
      <c r="V872" s="15"/>
      <c r="W872" s="15"/>
      <c r="X872" s="15"/>
      <c r="Y872" s="15"/>
      <c r="Z872" s="15"/>
      <c r="AA872" s="15"/>
      <c r="AB872" s="15"/>
      <c r="AC872" s="15"/>
      <c r="AD872" s="15"/>
      <c r="AE872" s="15"/>
    </row>
    <row r="873" spans="1:31" x14ac:dyDescent="0.85">
      <c r="A873" s="15"/>
      <c r="B873" s="15"/>
      <c r="C873" s="15"/>
      <c r="D873" s="15"/>
      <c r="E873" s="15"/>
      <c r="F873" s="15"/>
      <c r="G873" s="15"/>
      <c r="H873" s="15"/>
      <c r="I873" s="15"/>
      <c r="J873" s="15"/>
      <c r="K873" s="15"/>
      <c r="L873" s="747"/>
      <c r="M873" s="15"/>
      <c r="N873" s="15"/>
      <c r="O873" s="15"/>
      <c r="P873" s="15"/>
      <c r="Q873" s="15"/>
      <c r="R873" s="15"/>
      <c r="S873" s="15"/>
      <c r="T873" s="15"/>
      <c r="U873" s="15"/>
      <c r="V873" s="15"/>
      <c r="W873" s="15"/>
      <c r="X873" s="15"/>
      <c r="Y873" s="15"/>
      <c r="Z873" s="15"/>
      <c r="AA873" s="15"/>
      <c r="AB873" s="15"/>
      <c r="AC873" s="15"/>
      <c r="AD873" s="15"/>
      <c r="AE873" s="15"/>
    </row>
    <row r="874" spans="1:31" x14ac:dyDescent="0.85">
      <c r="A874" s="15"/>
      <c r="B874" s="15"/>
      <c r="C874" s="15"/>
      <c r="D874" s="15"/>
      <c r="E874" s="15"/>
      <c r="F874" s="15"/>
      <c r="G874" s="15"/>
      <c r="H874" s="15"/>
      <c r="I874" s="15"/>
      <c r="J874" s="15"/>
      <c r="K874" s="15"/>
      <c r="L874" s="747"/>
      <c r="M874" s="15"/>
      <c r="N874" s="15"/>
      <c r="O874" s="15"/>
      <c r="P874" s="15"/>
      <c r="Q874" s="15"/>
      <c r="R874" s="15"/>
      <c r="S874" s="15"/>
      <c r="T874" s="15"/>
      <c r="U874" s="15"/>
      <c r="V874" s="15"/>
      <c r="W874" s="15"/>
      <c r="X874" s="15"/>
      <c r="Y874" s="15"/>
      <c r="Z874" s="15"/>
      <c r="AA874" s="15"/>
      <c r="AB874" s="15"/>
      <c r="AC874" s="15"/>
      <c r="AD874" s="15"/>
      <c r="AE874" s="15"/>
    </row>
    <row r="875" spans="1:31" x14ac:dyDescent="0.85">
      <c r="A875" s="15"/>
      <c r="B875" s="15"/>
      <c r="C875" s="15"/>
      <c r="D875" s="15"/>
      <c r="E875" s="15"/>
      <c r="F875" s="15"/>
      <c r="G875" s="15"/>
      <c r="H875" s="15"/>
      <c r="I875" s="15"/>
      <c r="J875" s="15"/>
      <c r="K875" s="15"/>
      <c r="L875" s="747"/>
      <c r="M875" s="15"/>
      <c r="N875" s="15"/>
      <c r="O875" s="15"/>
      <c r="P875" s="15"/>
      <c r="Q875" s="15"/>
      <c r="R875" s="15"/>
      <c r="S875" s="15"/>
      <c r="T875" s="15"/>
      <c r="U875" s="15"/>
      <c r="V875" s="15"/>
      <c r="W875" s="15"/>
      <c r="X875" s="15"/>
      <c r="Y875" s="15"/>
      <c r="Z875" s="15"/>
      <c r="AA875" s="15"/>
      <c r="AB875" s="15"/>
      <c r="AC875" s="15"/>
      <c r="AD875" s="15"/>
      <c r="AE875" s="15"/>
    </row>
    <row r="876" spans="1:31" x14ac:dyDescent="0.85">
      <c r="A876" s="15"/>
      <c r="B876" s="15"/>
      <c r="C876" s="15"/>
      <c r="D876" s="15"/>
      <c r="E876" s="15"/>
      <c r="F876" s="15"/>
      <c r="G876" s="15"/>
      <c r="H876" s="15"/>
      <c r="I876" s="15"/>
      <c r="J876" s="15"/>
      <c r="K876" s="15"/>
      <c r="L876" s="747"/>
      <c r="M876" s="15"/>
      <c r="N876" s="15"/>
      <c r="O876" s="15"/>
      <c r="P876" s="15"/>
      <c r="Q876" s="15"/>
      <c r="R876" s="15"/>
      <c r="S876" s="15"/>
      <c r="T876" s="15"/>
      <c r="U876" s="15"/>
      <c r="V876" s="15"/>
      <c r="W876" s="15"/>
      <c r="X876" s="15"/>
      <c r="Y876" s="15"/>
      <c r="Z876" s="15"/>
      <c r="AA876" s="15"/>
      <c r="AB876" s="15"/>
      <c r="AC876" s="15"/>
      <c r="AD876" s="15"/>
      <c r="AE876" s="15"/>
    </row>
    <row r="877" spans="1:31" x14ac:dyDescent="0.85">
      <c r="A877" s="15"/>
      <c r="B877" s="15"/>
      <c r="C877" s="15"/>
      <c r="D877" s="15"/>
      <c r="E877" s="15"/>
      <c r="F877" s="15"/>
      <c r="G877" s="15"/>
      <c r="H877" s="15"/>
      <c r="I877" s="15"/>
      <c r="J877" s="15"/>
      <c r="K877" s="15"/>
      <c r="L877" s="747"/>
      <c r="M877" s="15"/>
      <c r="N877" s="15"/>
      <c r="O877" s="15"/>
      <c r="P877" s="15"/>
      <c r="Q877" s="15"/>
      <c r="R877" s="15"/>
      <c r="S877" s="15"/>
      <c r="T877" s="15"/>
      <c r="U877" s="15"/>
      <c r="V877" s="15"/>
      <c r="W877" s="15"/>
      <c r="X877" s="15"/>
      <c r="Y877" s="15"/>
      <c r="Z877" s="15"/>
      <c r="AA877" s="15"/>
      <c r="AB877" s="15"/>
      <c r="AC877" s="15"/>
      <c r="AD877" s="15"/>
      <c r="AE877" s="15"/>
    </row>
    <row r="878" spans="1:31" x14ac:dyDescent="0.85">
      <c r="A878" s="15"/>
      <c r="B878" s="15"/>
      <c r="C878" s="15"/>
      <c r="D878" s="15"/>
      <c r="E878" s="15"/>
      <c r="F878" s="15"/>
      <c r="G878" s="15"/>
      <c r="H878" s="15"/>
      <c r="I878" s="15"/>
      <c r="J878" s="15"/>
      <c r="K878" s="15"/>
      <c r="L878" s="747"/>
      <c r="M878" s="15"/>
      <c r="N878" s="15"/>
      <c r="O878" s="15"/>
      <c r="P878" s="15"/>
      <c r="Q878" s="15"/>
      <c r="R878" s="15"/>
      <c r="S878" s="15"/>
      <c r="T878" s="15"/>
      <c r="U878" s="15"/>
      <c r="V878" s="15"/>
      <c r="W878" s="15"/>
      <c r="X878" s="15"/>
      <c r="Y878" s="15"/>
      <c r="Z878" s="15"/>
      <c r="AA878" s="15"/>
      <c r="AB878" s="15"/>
      <c r="AC878" s="15"/>
      <c r="AD878" s="15"/>
      <c r="AE878" s="15"/>
    </row>
    <row r="879" spans="1:31" x14ac:dyDescent="0.85">
      <c r="A879" s="15"/>
      <c r="B879" s="15"/>
      <c r="C879" s="15"/>
      <c r="D879" s="15"/>
      <c r="E879" s="15"/>
      <c r="F879" s="15"/>
      <c r="G879" s="15"/>
      <c r="H879" s="15"/>
      <c r="I879" s="15"/>
      <c r="J879" s="15"/>
      <c r="K879" s="15"/>
      <c r="L879" s="747"/>
      <c r="M879" s="15"/>
      <c r="N879" s="15"/>
      <c r="O879" s="15"/>
      <c r="P879" s="15"/>
      <c r="Q879" s="15"/>
      <c r="R879" s="15"/>
      <c r="S879" s="15"/>
      <c r="T879" s="15"/>
      <c r="U879" s="15"/>
      <c r="V879" s="15"/>
      <c r="W879" s="15"/>
      <c r="X879" s="15"/>
      <c r="Y879" s="15"/>
      <c r="Z879" s="15"/>
      <c r="AA879" s="15"/>
      <c r="AB879" s="15"/>
      <c r="AC879" s="15"/>
      <c r="AD879" s="15"/>
      <c r="AE879" s="15"/>
    </row>
    <row r="880" spans="1:31" x14ac:dyDescent="0.85">
      <c r="A880" s="15"/>
      <c r="B880" s="15"/>
      <c r="C880" s="15"/>
      <c r="D880" s="15"/>
      <c r="E880" s="15"/>
      <c r="F880" s="15"/>
      <c r="G880" s="15"/>
      <c r="H880" s="15"/>
      <c r="I880" s="15"/>
      <c r="J880" s="15"/>
      <c r="K880" s="15"/>
      <c r="L880" s="747"/>
      <c r="M880" s="15"/>
      <c r="N880" s="15"/>
      <c r="O880" s="15"/>
      <c r="P880" s="15"/>
      <c r="Q880" s="15"/>
      <c r="R880" s="15"/>
      <c r="S880" s="15"/>
      <c r="T880" s="15"/>
      <c r="U880" s="15"/>
      <c r="V880" s="15"/>
      <c r="W880" s="15"/>
      <c r="X880" s="15"/>
      <c r="Y880" s="15"/>
      <c r="Z880" s="15"/>
      <c r="AA880" s="15"/>
      <c r="AB880" s="15"/>
      <c r="AC880" s="15"/>
      <c r="AD880" s="15"/>
      <c r="AE880" s="15"/>
    </row>
    <row r="881" spans="1:31" x14ac:dyDescent="0.85">
      <c r="A881" s="15"/>
      <c r="B881" s="15"/>
      <c r="C881" s="15"/>
      <c r="D881" s="15"/>
      <c r="E881" s="15"/>
      <c r="F881" s="15"/>
      <c r="G881" s="15"/>
      <c r="H881" s="15"/>
      <c r="I881" s="15"/>
      <c r="J881" s="15"/>
      <c r="K881" s="15"/>
      <c r="L881" s="747"/>
      <c r="M881" s="15"/>
      <c r="N881" s="15"/>
      <c r="O881" s="15"/>
      <c r="P881" s="15"/>
      <c r="Q881" s="15"/>
      <c r="R881" s="15"/>
      <c r="S881" s="15"/>
      <c r="T881" s="15"/>
      <c r="U881" s="15"/>
      <c r="V881" s="15"/>
      <c r="W881" s="15"/>
      <c r="X881" s="15"/>
      <c r="Y881" s="15"/>
      <c r="Z881" s="15"/>
      <c r="AA881" s="15"/>
      <c r="AB881" s="15"/>
      <c r="AC881" s="15"/>
      <c r="AD881" s="15"/>
      <c r="AE881" s="15"/>
    </row>
    <row r="882" spans="1:31" x14ac:dyDescent="0.85">
      <c r="A882" s="15"/>
      <c r="B882" s="15"/>
      <c r="C882" s="15"/>
      <c r="D882" s="15"/>
      <c r="E882" s="15"/>
      <c r="F882" s="15"/>
      <c r="G882" s="15"/>
      <c r="H882" s="15"/>
      <c r="I882" s="15"/>
      <c r="J882" s="15"/>
      <c r="K882" s="15"/>
      <c r="L882" s="747"/>
      <c r="M882" s="15"/>
      <c r="N882" s="15"/>
      <c r="O882" s="15"/>
      <c r="P882" s="15"/>
      <c r="Q882" s="15"/>
      <c r="R882" s="15"/>
      <c r="S882" s="15"/>
      <c r="T882" s="15"/>
      <c r="U882" s="15"/>
      <c r="V882" s="15"/>
      <c r="W882" s="15"/>
      <c r="X882" s="15"/>
      <c r="Y882" s="15"/>
      <c r="Z882" s="15"/>
      <c r="AA882" s="15"/>
      <c r="AB882" s="15"/>
      <c r="AC882" s="15"/>
      <c r="AD882" s="15"/>
      <c r="AE882" s="15"/>
    </row>
    <row r="883" spans="1:31" x14ac:dyDescent="0.85">
      <c r="A883" s="15"/>
      <c r="B883" s="15"/>
      <c r="C883" s="15"/>
      <c r="D883" s="15"/>
      <c r="E883" s="15"/>
      <c r="F883" s="15"/>
      <c r="G883" s="15"/>
      <c r="H883" s="15"/>
      <c r="I883" s="15"/>
      <c r="J883" s="15"/>
      <c r="K883" s="15"/>
      <c r="L883" s="747"/>
      <c r="M883" s="15"/>
      <c r="N883" s="15"/>
      <c r="O883" s="15"/>
      <c r="P883" s="15"/>
      <c r="Q883" s="15"/>
      <c r="R883" s="15"/>
      <c r="S883" s="15"/>
      <c r="T883" s="15"/>
      <c r="U883" s="15"/>
      <c r="V883" s="15"/>
      <c r="W883" s="15"/>
      <c r="X883" s="15"/>
      <c r="Y883" s="15"/>
      <c r="Z883" s="15"/>
      <c r="AA883" s="15"/>
      <c r="AB883" s="15"/>
      <c r="AC883" s="15"/>
      <c r="AD883" s="15"/>
      <c r="AE883" s="15"/>
    </row>
    <row r="884" spans="1:31" x14ac:dyDescent="0.85">
      <c r="A884" s="15"/>
      <c r="B884" s="15"/>
      <c r="C884" s="15"/>
      <c r="D884" s="15"/>
      <c r="E884" s="15"/>
      <c r="F884" s="15"/>
      <c r="G884" s="15"/>
      <c r="H884" s="15"/>
      <c r="I884" s="15"/>
      <c r="J884" s="15"/>
      <c r="K884" s="15"/>
      <c r="L884" s="747"/>
      <c r="M884" s="15"/>
      <c r="N884" s="15"/>
      <c r="O884" s="15"/>
      <c r="P884" s="15"/>
      <c r="Q884" s="15"/>
      <c r="R884" s="15"/>
      <c r="S884" s="15"/>
      <c r="T884" s="15"/>
      <c r="U884" s="15"/>
      <c r="V884" s="15"/>
      <c r="W884" s="15"/>
      <c r="X884" s="15"/>
      <c r="Y884" s="15"/>
      <c r="Z884" s="15"/>
      <c r="AA884" s="15"/>
      <c r="AB884" s="15"/>
      <c r="AC884" s="15"/>
      <c r="AD884" s="15"/>
      <c r="AE884" s="15"/>
    </row>
    <row r="885" spans="1:31" x14ac:dyDescent="0.85">
      <c r="A885" s="15"/>
      <c r="B885" s="15"/>
      <c r="C885" s="15"/>
      <c r="D885" s="15"/>
      <c r="E885" s="15"/>
      <c r="F885" s="15"/>
      <c r="G885" s="15"/>
      <c r="H885" s="15"/>
      <c r="I885" s="15"/>
      <c r="J885" s="15"/>
      <c r="K885" s="15"/>
      <c r="L885" s="747"/>
      <c r="M885" s="15"/>
      <c r="N885" s="15"/>
      <c r="O885" s="15"/>
      <c r="P885" s="15"/>
      <c r="Q885" s="15"/>
      <c r="R885" s="15"/>
      <c r="S885" s="15"/>
      <c r="T885" s="15"/>
      <c r="U885" s="15"/>
      <c r="V885" s="15"/>
      <c r="W885" s="15"/>
      <c r="X885" s="15"/>
      <c r="Y885" s="15"/>
      <c r="Z885" s="15"/>
      <c r="AA885" s="15"/>
      <c r="AB885" s="15"/>
      <c r="AC885" s="15"/>
      <c r="AD885" s="15"/>
      <c r="AE885" s="15"/>
    </row>
    <row r="886" spans="1:31" x14ac:dyDescent="0.85">
      <c r="A886" s="15"/>
      <c r="B886" s="15"/>
      <c r="C886" s="15"/>
      <c r="D886" s="15"/>
      <c r="E886" s="15"/>
      <c r="F886" s="15"/>
      <c r="G886" s="15"/>
      <c r="H886" s="15"/>
      <c r="I886" s="15"/>
      <c r="J886" s="15"/>
      <c r="K886" s="15"/>
      <c r="L886" s="747"/>
      <c r="M886" s="15"/>
      <c r="N886" s="15"/>
      <c r="O886" s="15"/>
      <c r="P886" s="15"/>
      <c r="Q886" s="15"/>
      <c r="R886" s="15"/>
      <c r="S886" s="15"/>
      <c r="T886" s="15"/>
      <c r="U886" s="15"/>
      <c r="V886" s="15"/>
      <c r="W886" s="15"/>
      <c r="X886" s="15"/>
      <c r="Y886" s="15"/>
      <c r="Z886" s="15"/>
      <c r="AA886" s="15"/>
      <c r="AB886" s="15"/>
      <c r="AC886" s="15"/>
      <c r="AD886" s="15"/>
      <c r="AE886" s="15"/>
    </row>
    <row r="887" spans="1:31" x14ac:dyDescent="0.85">
      <c r="A887" s="15"/>
      <c r="B887" s="15"/>
      <c r="C887" s="15"/>
      <c r="D887" s="15"/>
      <c r="E887" s="15"/>
      <c r="F887" s="15"/>
      <c r="G887" s="15"/>
      <c r="H887" s="15"/>
      <c r="I887" s="15"/>
      <c r="J887" s="15"/>
      <c r="K887" s="15"/>
      <c r="L887" s="747"/>
      <c r="M887" s="15"/>
      <c r="N887" s="15"/>
      <c r="O887" s="15"/>
      <c r="P887" s="15"/>
      <c r="Q887" s="15"/>
      <c r="R887" s="15"/>
      <c r="S887" s="15"/>
      <c r="T887" s="15"/>
      <c r="U887" s="15"/>
      <c r="V887" s="15"/>
      <c r="W887" s="15"/>
      <c r="X887" s="15"/>
      <c r="Y887" s="15"/>
      <c r="Z887" s="15"/>
      <c r="AA887" s="15"/>
      <c r="AB887" s="15"/>
      <c r="AC887" s="15"/>
      <c r="AD887" s="15"/>
      <c r="AE887" s="15"/>
    </row>
    <row r="888" spans="1:31" x14ac:dyDescent="0.85">
      <c r="A888" s="15"/>
      <c r="B888" s="15"/>
      <c r="C888" s="15"/>
      <c r="D888" s="15"/>
      <c r="E888" s="15"/>
      <c r="F888" s="15"/>
      <c r="G888" s="15"/>
      <c r="H888" s="15"/>
      <c r="I888" s="15"/>
      <c r="J888" s="15"/>
      <c r="K888" s="15"/>
      <c r="L888" s="747"/>
      <c r="M888" s="15"/>
      <c r="N888" s="15"/>
      <c r="O888" s="15"/>
      <c r="P888" s="15"/>
      <c r="Q888" s="15"/>
      <c r="R888" s="15"/>
      <c r="S888" s="15"/>
      <c r="T888" s="15"/>
      <c r="U888" s="15"/>
      <c r="V888" s="15"/>
      <c r="W888" s="15"/>
      <c r="X888" s="15"/>
      <c r="Y888" s="15"/>
      <c r="Z888" s="15"/>
      <c r="AA888" s="15"/>
      <c r="AB888" s="15"/>
      <c r="AC888" s="15"/>
      <c r="AD888" s="15"/>
      <c r="AE888" s="15"/>
    </row>
    <row r="889" spans="1:31" x14ac:dyDescent="0.85">
      <c r="A889" s="15"/>
      <c r="B889" s="15"/>
      <c r="C889" s="15"/>
      <c r="D889" s="15"/>
      <c r="E889" s="15"/>
      <c r="F889" s="15"/>
      <c r="G889" s="15"/>
      <c r="H889" s="15"/>
      <c r="I889" s="15"/>
      <c r="J889" s="15"/>
      <c r="K889" s="15"/>
      <c r="L889" s="747"/>
      <c r="M889" s="15"/>
      <c r="N889" s="15"/>
      <c r="O889" s="15"/>
      <c r="P889" s="15"/>
      <c r="Q889" s="15"/>
      <c r="R889" s="15"/>
      <c r="S889" s="15"/>
      <c r="T889" s="15"/>
      <c r="U889" s="15"/>
      <c r="V889" s="15"/>
      <c r="W889" s="15"/>
      <c r="X889" s="15"/>
      <c r="Y889" s="15"/>
      <c r="Z889" s="15"/>
      <c r="AA889" s="15"/>
      <c r="AB889" s="15"/>
      <c r="AC889" s="15"/>
      <c r="AD889" s="15"/>
      <c r="AE889" s="15"/>
    </row>
    <row r="890" spans="1:31" x14ac:dyDescent="0.85">
      <c r="A890" s="15"/>
      <c r="B890" s="15"/>
      <c r="C890" s="15"/>
      <c r="D890" s="15"/>
      <c r="E890" s="15"/>
      <c r="F890" s="15"/>
      <c r="G890" s="15"/>
      <c r="H890" s="15"/>
      <c r="I890" s="15"/>
      <c r="J890" s="15"/>
      <c r="K890" s="15"/>
      <c r="L890" s="747"/>
      <c r="M890" s="15"/>
      <c r="N890" s="15"/>
      <c r="O890" s="15"/>
      <c r="P890" s="15"/>
      <c r="Q890" s="15"/>
      <c r="R890" s="15"/>
      <c r="S890" s="15"/>
      <c r="T890" s="15"/>
      <c r="U890" s="15"/>
      <c r="V890" s="15"/>
      <c r="W890" s="15"/>
      <c r="X890" s="15"/>
      <c r="Y890" s="15"/>
      <c r="Z890" s="15"/>
      <c r="AA890" s="15"/>
      <c r="AB890" s="15"/>
      <c r="AC890" s="15"/>
      <c r="AD890" s="15"/>
      <c r="AE890" s="15"/>
    </row>
    <row r="891" spans="1:31" x14ac:dyDescent="0.85">
      <c r="A891" s="15"/>
      <c r="B891" s="15"/>
      <c r="C891" s="15"/>
      <c r="D891" s="15"/>
      <c r="E891" s="15"/>
      <c r="F891" s="15"/>
      <c r="G891" s="15"/>
      <c r="H891" s="15"/>
      <c r="I891" s="15"/>
      <c r="J891" s="15"/>
      <c r="K891" s="15"/>
      <c r="L891" s="747"/>
      <c r="M891" s="15"/>
      <c r="N891" s="15"/>
      <c r="O891" s="15"/>
      <c r="P891" s="15"/>
      <c r="Q891" s="15"/>
      <c r="R891" s="15"/>
      <c r="S891" s="15"/>
      <c r="T891" s="15"/>
      <c r="U891" s="15"/>
      <c r="V891" s="15"/>
      <c r="W891" s="15"/>
      <c r="X891" s="15"/>
      <c r="Y891" s="15"/>
      <c r="Z891" s="15"/>
      <c r="AA891" s="15"/>
      <c r="AB891" s="15"/>
      <c r="AC891" s="15"/>
      <c r="AD891" s="15"/>
      <c r="AE891" s="15"/>
    </row>
    <row r="892" spans="1:31" x14ac:dyDescent="0.85">
      <c r="A892" s="15"/>
      <c r="B892" s="15"/>
      <c r="C892" s="15"/>
      <c r="D892" s="15"/>
      <c r="E892" s="15"/>
      <c r="F892" s="15"/>
      <c r="G892" s="15"/>
      <c r="H892" s="15"/>
      <c r="I892" s="15"/>
      <c r="J892" s="15"/>
      <c r="K892" s="15"/>
      <c r="L892" s="747"/>
      <c r="M892" s="15"/>
      <c r="N892" s="15"/>
      <c r="O892" s="15"/>
      <c r="P892" s="15"/>
      <c r="Q892" s="15"/>
      <c r="R892" s="15"/>
      <c r="S892" s="15"/>
      <c r="T892" s="15"/>
      <c r="U892" s="15"/>
      <c r="V892" s="15"/>
      <c r="W892" s="15"/>
      <c r="X892" s="15"/>
      <c r="Y892" s="15"/>
      <c r="Z892" s="15"/>
      <c r="AA892" s="15"/>
      <c r="AB892" s="15"/>
      <c r="AC892" s="15"/>
      <c r="AD892" s="15"/>
      <c r="AE892" s="15"/>
    </row>
    <row r="893" spans="1:31" x14ac:dyDescent="0.85">
      <c r="A893" s="15"/>
      <c r="B893" s="15"/>
      <c r="C893" s="15"/>
      <c r="D893" s="15"/>
      <c r="E893" s="15"/>
      <c r="F893" s="15"/>
      <c r="G893" s="15"/>
      <c r="H893" s="15"/>
      <c r="I893" s="15"/>
      <c r="J893" s="15"/>
      <c r="K893" s="15"/>
      <c r="L893" s="747"/>
      <c r="M893" s="15"/>
      <c r="N893" s="15"/>
      <c r="O893" s="15"/>
      <c r="P893" s="15"/>
      <c r="Q893" s="15"/>
      <c r="R893" s="15"/>
      <c r="S893" s="15"/>
      <c r="T893" s="15"/>
      <c r="U893" s="15"/>
      <c r="V893" s="15"/>
      <c r="W893" s="15"/>
      <c r="X893" s="15"/>
      <c r="Y893" s="15"/>
      <c r="Z893" s="15"/>
      <c r="AA893" s="15"/>
      <c r="AB893" s="15"/>
      <c r="AC893" s="15"/>
      <c r="AD893" s="15"/>
      <c r="AE893" s="15"/>
    </row>
    <row r="894" spans="1:31" x14ac:dyDescent="0.85">
      <c r="A894" s="15"/>
      <c r="B894" s="15"/>
      <c r="C894" s="15"/>
      <c r="D894" s="15"/>
      <c r="E894" s="15"/>
      <c r="F894" s="15"/>
      <c r="G894" s="15"/>
      <c r="H894" s="15"/>
      <c r="I894" s="15"/>
      <c r="J894" s="15"/>
      <c r="K894" s="15"/>
      <c r="L894" s="747"/>
      <c r="M894" s="15"/>
      <c r="N894" s="15"/>
      <c r="O894" s="15"/>
      <c r="P894" s="15"/>
      <c r="Q894" s="15"/>
      <c r="R894" s="15"/>
      <c r="S894" s="15"/>
      <c r="T894" s="15"/>
      <c r="U894" s="15"/>
      <c r="V894" s="15"/>
      <c r="W894" s="15"/>
      <c r="X894" s="15"/>
      <c r="Y894" s="15"/>
      <c r="Z894" s="15"/>
      <c r="AA894" s="15"/>
      <c r="AB894" s="15"/>
      <c r="AC894" s="15"/>
      <c r="AD894" s="15"/>
      <c r="AE894" s="15"/>
    </row>
    <row r="895" spans="1:31" x14ac:dyDescent="0.85">
      <c r="A895" s="15"/>
      <c r="B895" s="15"/>
      <c r="C895" s="15"/>
      <c r="D895" s="15"/>
      <c r="E895" s="15"/>
      <c r="F895" s="15"/>
      <c r="G895" s="15"/>
      <c r="H895" s="15"/>
      <c r="I895" s="15"/>
      <c r="J895" s="15"/>
      <c r="K895" s="15"/>
      <c r="L895" s="747"/>
      <c r="M895" s="15"/>
      <c r="N895" s="15"/>
      <c r="O895" s="15"/>
      <c r="P895" s="15"/>
      <c r="Q895" s="15"/>
      <c r="R895" s="15"/>
      <c r="S895" s="15"/>
      <c r="T895" s="15"/>
      <c r="U895" s="15"/>
      <c r="V895" s="15"/>
      <c r="W895" s="15"/>
      <c r="X895" s="15"/>
      <c r="Y895" s="15"/>
      <c r="Z895" s="15"/>
      <c r="AA895" s="15"/>
      <c r="AB895" s="15"/>
      <c r="AC895" s="15"/>
      <c r="AD895" s="15"/>
      <c r="AE895" s="15"/>
    </row>
    <row r="896" spans="1:31" x14ac:dyDescent="0.85">
      <c r="A896" s="15"/>
      <c r="B896" s="15"/>
      <c r="C896" s="15"/>
      <c r="D896" s="15"/>
      <c r="E896" s="15"/>
      <c r="F896" s="15"/>
      <c r="G896" s="15"/>
      <c r="H896" s="15"/>
      <c r="I896" s="15"/>
      <c r="J896" s="15"/>
      <c r="K896" s="15"/>
      <c r="L896" s="747"/>
      <c r="M896" s="15"/>
      <c r="N896" s="15"/>
      <c r="O896" s="15"/>
      <c r="P896" s="15"/>
      <c r="Q896" s="15"/>
      <c r="R896" s="15"/>
      <c r="S896" s="15"/>
      <c r="T896" s="15"/>
      <c r="U896" s="15"/>
      <c r="V896" s="15"/>
      <c r="W896" s="15"/>
      <c r="X896" s="15"/>
      <c r="Y896" s="15"/>
      <c r="Z896" s="15"/>
      <c r="AA896" s="15"/>
      <c r="AB896" s="15"/>
      <c r="AC896" s="15"/>
      <c r="AD896" s="15"/>
      <c r="AE896" s="15"/>
    </row>
    <row r="897" spans="1:31" x14ac:dyDescent="0.85">
      <c r="A897" s="15"/>
      <c r="B897" s="15"/>
      <c r="C897" s="15"/>
      <c r="D897" s="15"/>
      <c r="E897" s="15"/>
      <c r="F897" s="15"/>
      <c r="G897" s="15"/>
      <c r="H897" s="15"/>
      <c r="I897" s="15"/>
      <c r="J897" s="15"/>
      <c r="K897" s="15"/>
      <c r="L897" s="747"/>
      <c r="M897" s="15"/>
      <c r="N897" s="15"/>
      <c r="O897" s="15"/>
      <c r="P897" s="15"/>
      <c r="Q897" s="15"/>
      <c r="R897" s="15"/>
      <c r="S897" s="15"/>
      <c r="T897" s="15"/>
      <c r="U897" s="15"/>
      <c r="V897" s="15"/>
      <c r="W897" s="15"/>
      <c r="X897" s="15"/>
      <c r="Y897" s="15"/>
      <c r="Z897" s="15"/>
      <c r="AA897" s="15"/>
      <c r="AB897" s="15"/>
      <c r="AC897" s="15"/>
      <c r="AD897" s="15"/>
      <c r="AE897" s="15"/>
    </row>
    <row r="898" spans="1:31" x14ac:dyDescent="0.85">
      <c r="A898" s="15"/>
      <c r="B898" s="15"/>
      <c r="C898" s="15"/>
      <c r="D898" s="15"/>
      <c r="E898" s="15"/>
      <c r="F898" s="15"/>
      <c r="G898" s="15"/>
      <c r="H898" s="15"/>
      <c r="I898" s="15"/>
      <c r="J898" s="15"/>
      <c r="K898" s="15"/>
      <c r="L898" s="747"/>
      <c r="M898" s="15"/>
      <c r="N898" s="15"/>
      <c r="O898" s="15"/>
      <c r="P898" s="15"/>
      <c r="Q898" s="15"/>
      <c r="R898" s="15"/>
      <c r="S898" s="15"/>
      <c r="T898" s="15"/>
      <c r="U898" s="15"/>
      <c r="V898" s="15"/>
      <c r="W898" s="15"/>
      <c r="X898" s="15"/>
      <c r="Y898" s="15"/>
      <c r="Z898" s="15"/>
      <c r="AA898" s="15"/>
      <c r="AB898" s="15"/>
      <c r="AC898" s="15"/>
      <c r="AD898" s="15"/>
      <c r="AE898" s="15"/>
    </row>
    <row r="899" spans="1:31" x14ac:dyDescent="0.85">
      <c r="A899" s="15"/>
      <c r="B899" s="15"/>
      <c r="C899" s="15"/>
      <c r="D899" s="15"/>
      <c r="E899" s="15"/>
      <c r="F899" s="15"/>
      <c r="G899" s="15"/>
      <c r="H899" s="15"/>
      <c r="I899" s="15"/>
      <c r="J899" s="15"/>
      <c r="K899" s="15"/>
      <c r="L899" s="747"/>
      <c r="M899" s="15"/>
      <c r="N899" s="15"/>
      <c r="O899" s="15"/>
      <c r="P899" s="15"/>
      <c r="Q899" s="15"/>
      <c r="R899" s="15"/>
      <c r="S899" s="15"/>
      <c r="T899" s="15"/>
      <c r="U899" s="15"/>
      <c r="V899" s="15"/>
      <c r="W899" s="15"/>
      <c r="X899" s="15"/>
      <c r="Y899" s="15"/>
      <c r="Z899" s="15"/>
      <c r="AA899" s="15"/>
      <c r="AB899" s="15"/>
      <c r="AC899" s="15"/>
      <c r="AD899" s="15"/>
      <c r="AE899" s="15"/>
    </row>
    <row r="900" spans="1:31" x14ac:dyDescent="0.85">
      <c r="A900" s="15"/>
      <c r="B900" s="15"/>
      <c r="C900" s="15"/>
      <c r="D900" s="15"/>
      <c r="E900" s="15"/>
      <c r="F900" s="15"/>
      <c r="G900" s="15"/>
      <c r="H900" s="15"/>
      <c r="I900" s="15"/>
      <c r="J900" s="15"/>
      <c r="K900" s="15"/>
      <c r="L900" s="747"/>
      <c r="M900" s="15"/>
      <c r="N900" s="15"/>
      <c r="O900" s="15"/>
      <c r="P900" s="15"/>
      <c r="Q900" s="15"/>
      <c r="R900" s="15"/>
      <c r="S900" s="15"/>
      <c r="T900" s="15"/>
      <c r="U900" s="15"/>
      <c r="V900" s="15"/>
      <c r="W900" s="15"/>
      <c r="X900" s="15"/>
      <c r="Y900" s="15"/>
      <c r="Z900" s="15"/>
      <c r="AA900" s="15"/>
      <c r="AB900" s="15"/>
      <c r="AC900" s="15"/>
      <c r="AD900" s="15"/>
      <c r="AE900" s="15"/>
    </row>
    <row r="901" spans="1:31" x14ac:dyDescent="0.85">
      <c r="A901" s="15"/>
      <c r="B901" s="15"/>
      <c r="C901" s="15"/>
      <c r="D901" s="15"/>
      <c r="E901" s="15"/>
      <c r="F901" s="15"/>
      <c r="G901" s="15"/>
      <c r="H901" s="15"/>
      <c r="I901" s="15"/>
      <c r="J901" s="15"/>
      <c r="K901" s="15"/>
      <c r="L901" s="747"/>
      <c r="M901" s="15"/>
      <c r="N901" s="15"/>
      <c r="O901" s="15"/>
      <c r="P901" s="15"/>
      <c r="Q901" s="15"/>
      <c r="R901" s="15"/>
      <c r="S901" s="15"/>
      <c r="T901" s="15"/>
      <c r="U901" s="15"/>
      <c r="V901" s="15"/>
      <c r="W901" s="15"/>
      <c r="X901" s="15"/>
      <c r="Y901" s="15"/>
      <c r="Z901" s="15"/>
      <c r="AA901" s="15"/>
      <c r="AB901" s="15"/>
      <c r="AC901" s="15"/>
      <c r="AD901" s="15"/>
      <c r="AE901" s="15"/>
    </row>
    <row r="902" spans="1:31" x14ac:dyDescent="0.85">
      <c r="A902" s="15"/>
      <c r="B902" s="15"/>
      <c r="C902" s="15"/>
      <c r="D902" s="15"/>
      <c r="E902" s="15"/>
      <c r="F902" s="15"/>
      <c r="G902" s="15"/>
      <c r="H902" s="15"/>
      <c r="I902" s="15"/>
      <c r="J902" s="15"/>
      <c r="K902" s="15"/>
      <c r="L902" s="747"/>
      <c r="M902" s="15"/>
      <c r="N902" s="15"/>
      <c r="O902" s="15"/>
      <c r="P902" s="15"/>
      <c r="Q902" s="15"/>
      <c r="R902" s="15"/>
      <c r="S902" s="15"/>
      <c r="T902" s="15"/>
      <c r="U902" s="15"/>
      <c r="V902" s="15"/>
      <c r="W902" s="15"/>
      <c r="X902" s="15"/>
      <c r="Y902" s="15"/>
      <c r="Z902" s="15"/>
      <c r="AA902" s="15"/>
      <c r="AB902" s="15"/>
      <c r="AC902" s="15"/>
      <c r="AD902" s="15"/>
      <c r="AE902" s="15"/>
    </row>
    <row r="903" spans="1:31" x14ac:dyDescent="0.85">
      <c r="A903" s="15"/>
      <c r="B903" s="15"/>
      <c r="C903" s="15"/>
      <c r="D903" s="15"/>
      <c r="E903" s="15"/>
      <c r="F903" s="15"/>
      <c r="G903" s="15"/>
      <c r="H903" s="15"/>
      <c r="I903" s="15"/>
      <c r="J903" s="15"/>
      <c r="K903" s="15"/>
      <c r="L903" s="747"/>
      <c r="M903" s="15"/>
      <c r="N903" s="15"/>
      <c r="O903" s="15"/>
      <c r="P903" s="15"/>
      <c r="Q903" s="15"/>
      <c r="R903" s="15"/>
      <c r="S903" s="15"/>
      <c r="T903" s="15"/>
      <c r="U903" s="15"/>
      <c r="V903" s="15"/>
      <c r="W903" s="15"/>
      <c r="X903" s="15"/>
      <c r="Y903" s="15"/>
      <c r="Z903" s="15"/>
      <c r="AA903" s="15"/>
      <c r="AB903" s="15"/>
      <c r="AC903" s="15"/>
      <c r="AD903" s="15"/>
      <c r="AE903" s="15"/>
    </row>
    <row r="904" spans="1:31" x14ac:dyDescent="0.85">
      <c r="A904" s="15"/>
      <c r="B904" s="15"/>
      <c r="C904" s="15"/>
      <c r="D904" s="15"/>
      <c r="E904" s="15"/>
      <c r="F904" s="15"/>
      <c r="G904" s="15"/>
      <c r="H904" s="15"/>
      <c r="I904" s="15"/>
      <c r="J904" s="15"/>
      <c r="K904" s="15"/>
      <c r="L904" s="747"/>
      <c r="M904" s="15"/>
      <c r="N904" s="15"/>
      <c r="O904" s="15"/>
      <c r="P904" s="15"/>
      <c r="Q904" s="15"/>
      <c r="R904" s="15"/>
      <c r="S904" s="15"/>
      <c r="T904" s="15"/>
      <c r="U904" s="15"/>
      <c r="V904" s="15"/>
      <c r="W904" s="15"/>
      <c r="X904" s="15"/>
      <c r="Y904" s="15"/>
      <c r="Z904" s="15"/>
      <c r="AA904" s="15"/>
      <c r="AB904" s="15"/>
      <c r="AC904" s="15"/>
      <c r="AD904" s="15"/>
      <c r="AE904" s="15"/>
    </row>
    <row r="905" spans="1:31" x14ac:dyDescent="0.85">
      <c r="A905" s="15"/>
      <c r="B905" s="15"/>
      <c r="C905" s="15"/>
      <c r="D905" s="15"/>
      <c r="E905" s="15"/>
      <c r="F905" s="15"/>
      <c r="G905" s="15"/>
      <c r="H905" s="15"/>
      <c r="I905" s="15"/>
      <c r="J905" s="15"/>
      <c r="K905" s="15"/>
      <c r="L905" s="747"/>
      <c r="M905" s="15"/>
      <c r="N905" s="15"/>
      <c r="O905" s="15"/>
      <c r="P905" s="15"/>
      <c r="Q905" s="15"/>
      <c r="R905" s="15"/>
      <c r="S905" s="15"/>
      <c r="T905" s="15"/>
      <c r="U905" s="15"/>
      <c r="V905" s="15"/>
      <c r="W905" s="15"/>
      <c r="X905" s="15"/>
      <c r="Y905" s="15"/>
      <c r="Z905" s="15"/>
      <c r="AA905" s="15"/>
      <c r="AB905" s="15"/>
      <c r="AC905" s="15"/>
      <c r="AD905" s="15"/>
      <c r="AE905" s="15"/>
    </row>
    <row r="906" spans="1:31" x14ac:dyDescent="0.85">
      <c r="A906" s="15"/>
      <c r="B906" s="15"/>
      <c r="C906" s="15"/>
      <c r="D906" s="15"/>
      <c r="E906" s="15"/>
      <c r="F906" s="15"/>
      <c r="G906" s="15"/>
      <c r="H906" s="15"/>
      <c r="I906" s="15"/>
      <c r="J906" s="15"/>
      <c r="K906" s="15"/>
      <c r="L906" s="747"/>
      <c r="M906" s="15"/>
      <c r="N906" s="15"/>
      <c r="O906" s="15"/>
      <c r="P906" s="15"/>
      <c r="Q906" s="15"/>
      <c r="R906" s="15"/>
      <c r="S906" s="15"/>
      <c r="T906" s="15"/>
      <c r="U906" s="15"/>
      <c r="V906" s="15"/>
      <c r="W906" s="15"/>
      <c r="X906" s="15"/>
      <c r="Y906" s="15"/>
      <c r="Z906" s="15"/>
      <c r="AA906" s="15"/>
      <c r="AB906" s="15"/>
      <c r="AC906" s="15"/>
      <c r="AD906" s="15"/>
      <c r="AE906" s="15"/>
    </row>
    <row r="907" spans="1:31" x14ac:dyDescent="0.85">
      <c r="A907" s="15"/>
      <c r="B907" s="15"/>
      <c r="C907" s="15"/>
      <c r="D907" s="15"/>
      <c r="E907" s="15"/>
      <c r="F907" s="15"/>
      <c r="G907" s="15"/>
      <c r="H907" s="15"/>
      <c r="I907" s="15"/>
      <c r="J907" s="15"/>
      <c r="K907" s="15"/>
      <c r="L907" s="747"/>
      <c r="M907" s="15"/>
      <c r="N907" s="15"/>
      <c r="O907" s="15"/>
      <c r="P907" s="15"/>
      <c r="Q907" s="15"/>
      <c r="R907" s="15"/>
      <c r="S907" s="15"/>
      <c r="T907" s="15"/>
      <c r="U907" s="15"/>
      <c r="V907" s="15"/>
      <c r="W907" s="15"/>
      <c r="X907" s="15"/>
      <c r="Y907" s="15"/>
      <c r="Z907" s="15"/>
      <c r="AA907" s="15"/>
      <c r="AB907" s="15"/>
      <c r="AC907" s="15"/>
      <c r="AD907" s="15"/>
      <c r="AE907" s="15"/>
    </row>
    <row r="908" spans="1:31" x14ac:dyDescent="0.85">
      <c r="A908" s="15"/>
      <c r="B908" s="15"/>
      <c r="C908" s="15"/>
      <c r="D908" s="15"/>
      <c r="E908" s="15"/>
      <c r="F908" s="15"/>
      <c r="G908" s="15"/>
      <c r="H908" s="15"/>
      <c r="I908" s="15"/>
      <c r="J908" s="15"/>
      <c r="K908" s="15"/>
      <c r="L908" s="747"/>
      <c r="M908" s="15"/>
      <c r="N908" s="15"/>
      <c r="O908" s="15"/>
      <c r="P908" s="15"/>
      <c r="Q908" s="15"/>
      <c r="R908" s="15"/>
      <c r="S908" s="15"/>
      <c r="T908" s="15"/>
      <c r="U908" s="15"/>
      <c r="V908" s="15"/>
      <c r="W908" s="15"/>
      <c r="X908" s="15"/>
      <c r="Y908" s="15"/>
      <c r="Z908" s="15"/>
      <c r="AA908" s="15"/>
      <c r="AB908" s="15"/>
      <c r="AC908" s="15"/>
      <c r="AD908" s="15"/>
      <c r="AE908" s="15"/>
    </row>
    <row r="909" spans="1:31" x14ac:dyDescent="0.85">
      <c r="A909" s="15"/>
      <c r="B909" s="15"/>
      <c r="C909" s="15"/>
      <c r="D909" s="15"/>
      <c r="E909" s="15"/>
      <c r="F909" s="15"/>
      <c r="G909" s="15"/>
      <c r="H909" s="15"/>
      <c r="I909" s="15"/>
      <c r="J909" s="15"/>
      <c r="K909" s="15"/>
      <c r="L909" s="747"/>
      <c r="M909" s="15"/>
      <c r="N909" s="15"/>
      <c r="O909" s="15"/>
      <c r="P909" s="15"/>
      <c r="Q909" s="15"/>
      <c r="R909" s="15"/>
      <c r="S909" s="15"/>
      <c r="T909" s="15"/>
      <c r="U909" s="15"/>
      <c r="V909" s="15"/>
      <c r="W909" s="15"/>
      <c r="X909" s="15"/>
      <c r="Y909" s="15"/>
      <c r="Z909" s="15"/>
      <c r="AA909" s="15"/>
      <c r="AB909" s="15"/>
      <c r="AC909" s="15"/>
      <c r="AD909" s="15"/>
      <c r="AE909" s="15"/>
    </row>
    <row r="910" spans="1:31" x14ac:dyDescent="0.85">
      <c r="A910" s="15"/>
      <c r="B910" s="15"/>
      <c r="C910" s="15"/>
      <c r="D910" s="15"/>
      <c r="E910" s="15"/>
      <c r="F910" s="15"/>
      <c r="G910" s="15"/>
      <c r="H910" s="15"/>
      <c r="I910" s="15"/>
      <c r="J910" s="15"/>
      <c r="K910" s="15"/>
      <c r="L910" s="747"/>
      <c r="M910" s="15"/>
      <c r="N910" s="15"/>
      <c r="O910" s="15"/>
      <c r="P910" s="15"/>
      <c r="Q910" s="15"/>
      <c r="R910" s="15"/>
      <c r="S910" s="15"/>
      <c r="T910" s="15"/>
      <c r="U910" s="15"/>
      <c r="V910" s="15"/>
      <c r="W910" s="15"/>
      <c r="X910" s="15"/>
      <c r="Y910" s="15"/>
      <c r="Z910" s="15"/>
      <c r="AA910" s="15"/>
      <c r="AB910" s="15"/>
      <c r="AC910" s="15"/>
      <c r="AD910" s="15"/>
      <c r="AE910" s="15"/>
    </row>
    <row r="911" spans="1:31" x14ac:dyDescent="0.85">
      <c r="A911" s="15"/>
      <c r="B911" s="15"/>
      <c r="C911" s="15"/>
      <c r="D911" s="15"/>
      <c r="E911" s="15"/>
      <c r="F911" s="15"/>
      <c r="G911" s="15"/>
      <c r="H911" s="15"/>
      <c r="I911" s="15"/>
      <c r="J911" s="15"/>
      <c r="K911" s="15"/>
      <c r="L911" s="747"/>
      <c r="M911" s="15"/>
      <c r="N911" s="15"/>
      <c r="O911" s="15"/>
      <c r="P911" s="15"/>
      <c r="Q911" s="15"/>
      <c r="R911" s="15"/>
      <c r="S911" s="15"/>
      <c r="T911" s="15"/>
      <c r="U911" s="15"/>
      <c r="V911" s="15"/>
      <c r="W911" s="15"/>
      <c r="X911" s="15"/>
      <c r="Y911" s="15"/>
      <c r="Z911" s="15"/>
      <c r="AA911" s="15"/>
      <c r="AB911" s="15"/>
      <c r="AC911" s="15"/>
      <c r="AD911" s="15"/>
      <c r="AE911" s="15"/>
    </row>
    <row r="912" spans="1:31" x14ac:dyDescent="0.85">
      <c r="A912" s="15"/>
      <c r="B912" s="15"/>
      <c r="C912" s="15"/>
      <c r="D912" s="15"/>
      <c r="E912" s="15"/>
      <c r="F912" s="15"/>
      <c r="G912" s="15"/>
      <c r="H912" s="15"/>
      <c r="I912" s="15"/>
      <c r="J912" s="15"/>
      <c r="K912" s="15"/>
      <c r="L912" s="747"/>
      <c r="M912" s="15"/>
      <c r="N912" s="15"/>
      <c r="O912" s="15"/>
      <c r="P912" s="15"/>
      <c r="Q912" s="15"/>
      <c r="R912" s="15"/>
      <c r="S912" s="15"/>
      <c r="T912" s="15"/>
      <c r="U912" s="15"/>
      <c r="V912" s="15"/>
      <c r="W912" s="15"/>
      <c r="X912" s="15"/>
      <c r="Y912" s="15"/>
      <c r="Z912" s="15"/>
      <c r="AA912" s="15"/>
      <c r="AB912" s="15"/>
      <c r="AC912" s="15"/>
      <c r="AD912" s="15"/>
      <c r="AE912" s="15"/>
    </row>
    <row r="913" spans="1:31" x14ac:dyDescent="0.85">
      <c r="A913" s="15"/>
      <c r="B913" s="15"/>
      <c r="C913" s="15"/>
      <c r="D913" s="15"/>
      <c r="E913" s="15"/>
      <c r="F913" s="15"/>
      <c r="G913" s="15"/>
      <c r="H913" s="15"/>
      <c r="I913" s="15"/>
      <c r="J913" s="15"/>
      <c r="K913" s="15"/>
      <c r="L913" s="747"/>
      <c r="M913" s="15"/>
      <c r="N913" s="15"/>
      <c r="O913" s="15"/>
      <c r="P913" s="15"/>
      <c r="Q913" s="15"/>
      <c r="R913" s="15"/>
      <c r="S913" s="15"/>
      <c r="T913" s="15"/>
      <c r="U913" s="15"/>
      <c r="V913" s="15"/>
      <c r="W913" s="15"/>
      <c r="X913" s="15"/>
      <c r="Y913" s="15"/>
      <c r="Z913" s="15"/>
      <c r="AA913" s="15"/>
      <c r="AB913" s="15"/>
      <c r="AC913" s="15"/>
      <c r="AD913" s="15"/>
      <c r="AE913" s="15"/>
    </row>
    <row r="914" spans="1:31" x14ac:dyDescent="0.85">
      <c r="A914" s="15"/>
      <c r="B914" s="15"/>
      <c r="C914" s="15"/>
      <c r="D914" s="15"/>
      <c r="E914" s="15"/>
      <c r="F914" s="15"/>
      <c r="G914" s="15"/>
      <c r="H914" s="15"/>
      <c r="I914" s="15"/>
      <c r="J914" s="15"/>
      <c r="K914" s="15"/>
      <c r="L914" s="747"/>
      <c r="M914" s="15"/>
      <c r="N914" s="15"/>
      <c r="O914" s="15"/>
      <c r="P914" s="15"/>
      <c r="Q914" s="15"/>
      <c r="R914" s="15"/>
      <c r="S914" s="15"/>
      <c r="T914" s="15"/>
      <c r="U914" s="15"/>
      <c r="V914" s="15"/>
      <c r="W914" s="15"/>
      <c r="X914" s="15"/>
      <c r="Y914" s="15"/>
      <c r="Z914" s="15"/>
      <c r="AA914" s="15"/>
      <c r="AB914" s="15"/>
      <c r="AC914" s="15"/>
      <c r="AD914" s="15"/>
      <c r="AE914" s="15"/>
    </row>
    <row r="915" spans="1:31" x14ac:dyDescent="0.85">
      <c r="A915" s="15"/>
      <c r="B915" s="15"/>
      <c r="C915" s="15"/>
      <c r="D915" s="15"/>
      <c r="E915" s="15"/>
      <c r="F915" s="15"/>
      <c r="G915" s="15"/>
      <c r="H915" s="15"/>
      <c r="I915" s="15"/>
      <c r="J915" s="15"/>
      <c r="K915" s="15"/>
      <c r="L915" s="747"/>
      <c r="M915" s="15"/>
      <c r="N915" s="15"/>
      <c r="O915" s="15"/>
      <c r="P915" s="15"/>
      <c r="Q915" s="15"/>
      <c r="R915" s="15"/>
      <c r="S915" s="15"/>
      <c r="T915" s="15"/>
      <c r="U915" s="15"/>
      <c r="V915" s="15"/>
      <c r="W915" s="15"/>
      <c r="X915" s="15"/>
      <c r="Y915" s="15"/>
      <c r="Z915" s="15"/>
      <c r="AA915" s="15"/>
      <c r="AB915" s="15"/>
      <c r="AC915" s="15"/>
      <c r="AD915" s="15"/>
      <c r="AE915" s="15"/>
    </row>
    <row r="916" spans="1:31" x14ac:dyDescent="0.85">
      <c r="A916" s="15"/>
      <c r="B916" s="15"/>
      <c r="C916" s="15"/>
      <c r="D916" s="15"/>
      <c r="E916" s="15"/>
      <c r="F916" s="15"/>
      <c r="G916" s="15"/>
      <c r="H916" s="15"/>
      <c r="I916" s="15"/>
      <c r="J916" s="15"/>
      <c r="K916" s="15"/>
      <c r="L916" s="747"/>
      <c r="M916" s="15"/>
      <c r="N916" s="15"/>
      <c r="O916" s="15"/>
      <c r="P916" s="15"/>
      <c r="Q916" s="15"/>
      <c r="R916" s="15"/>
      <c r="S916" s="15"/>
      <c r="T916" s="15"/>
      <c r="U916" s="15"/>
      <c r="V916" s="15"/>
      <c r="W916" s="15"/>
      <c r="X916" s="15"/>
      <c r="Y916" s="15"/>
      <c r="Z916" s="15"/>
      <c r="AA916" s="15"/>
      <c r="AB916" s="15"/>
      <c r="AC916" s="15"/>
      <c r="AD916" s="15"/>
      <c r="AE916" s="15"/>
    </row>
    <row r="917" spans="1:31" x14ac:dyDescent="0.85">
      <c r="A917" s="15"/>
      <c r="B917" s="15"/>
      <c r="C917" s="15"/>
      <c r="D917" s="15"/>
      <c r="E917" s="15"/>
      <c r="F917" s="15"/>
      <c r="G917" s="15"/>
      <c r="H917" s="15"/>
      <c r="I917" s="15"/>
      <c r="J917" s="15"/>
      <c r="K917" s="15"/>
      <c r="L917" s="747"/>
      <c r="M917" s="15"/>
      <c r="N917" s="15"/>
      <c r="O917" s="15"/>
      <c r="P917" s="15"/>
      <c r="Q917" s="15"/>
      <c r="R917" s="15"/>
      <c r="S917" s="15"/>
      <c r="T917" s="15"/>
      <c r="U917" s="15"/>
      <c r="V917" s="15"/>
      <c r="W917" s="15"/>
      <c r="X917" s="15"/>
      <c r="Y917" s="15"/>
      <c r="Z917" s="15"/>
      <c r="AA917" s="15"/>
      <c r="AB917" s="15"/>
      <c r="AC917" s="15"/>
      <c r="AD917" s="15"/>
      <c r="AE917" s="15"/>
    </row>
    <row r="918" spans="1:31" x14ac:dyDescent="0.85">
      <c r="A918" s="15"/>
      <c r="B918" s="15"/>
      <c r="C918" s="15"/>
      <c r="D918" s="15"/>
      <c r="E918" s="15"/>
      <c r="F918" s="15"/>
      <c r="G918" s="15"/>
      <c r="H918" s="15"/>
      <c r="I918" s="15"/>
      <c r="J918" s="15"/>
      <c r="K918" s="15"/>
      <c r="L918" s="747"/>
      <c r="M918" s="15"/>
      <c r="N918" s="15"/>
      <c r="O918" s="15"/>
      <c r="P918" s="15"/>
      <c r="Q918" s="15"/>
      <c r="R918" s="15"/>
      <c r="S918" s="15"/>
      <c r="T918" s="15"/>
      <c r="U918" s="15"/>
      <c r="V918" s="15"/>
      <c r="W918" s="15"/>
      <c r="X918" s="15"/>
      <c r="Y918" s="15"/>
      <c r="Z918" s="15"/>
      <c r="AA918" s="15"/>
      <c r="AB918" s="15"/>
      <c r="AC918" s="15"/>
      <c r="AD918" s="15"/>
      <c r="AE918" s="15"/>
    </row>
    <row r="919" spans="1:31" x14ac:dyDescent="0.85">
      <c r="A919" s="15"/>
      <c r="B919" s="15"/>
      <c r="C919" s="15"/>
      <c r="D919" s="15"/>
      <c r="E919" s="15"/>
      <c r="F919" s="15"/>
      <c r="G919" s="15"/>
      <c r="H919" s="15"/>
      <c r="I919" s="15"/>
      <c r="J919" s="15"/>
      <c r="K919" s="15"/>
      <c r="L919" s="747"/>
      <c r="M919" s="15"/>
      <c r="N919" s="15"/>
      <c r="O919" s="15"/>
      <c r="P919" s="15"/>
      <c r="Q919" s="15"/>
      <c r="R919" s="15"/>
      <c r="S919" s="15"/>
      <c r="T919" s="15"/>
      <c r="U919" s="15"/>
      <c r="V919" s="15"/>
      <c r="W919" s="15"/>
      <c r="X919" s="15"/>
      <c r="Y919" s="15"/>
      <c r="Z919" s="15"/>
      <c r="AA919" s="15"/>
      <c r="AB919" s="15"/>
      <c r="AC919" s="15"/>
      <c r="AD919" s="15"/>
      <c r="AE919" s="15"/>
    </row>
    <row r="920" spans="1:31" x14ac:dyDescent="0.85">
      <c r="A920" s="15"/>
      <c r="B920" s="15"/>
      <c r="C920" s="15"/>
      <c r="D920" s="15"/>
      <c r="E920" s="15"/>
      <c r="F920" s="15"/>
      <c r="G920" s="15"/>
      <c r="H920" s="15"/>
      <c r="I920" s="15"/>
      <c r="J920" s="15"/>
      <c r="K920" s="15"/>
      <c r="L920" s="747"/>
      <c r="M920" s="15"/>
      <c r="N920" s="15"/>
      <c r="O920" s="15"/>
      <c r="P920" s="15"/>
      <c r="Q920" s="15"/>
      <c r="R920" s="15"/>
      <c r="S920" s="15"/>
      <c r="T920" s="15"/>
      <c r="U920" s="15"/>
      <c r="V920" s="15"/>
      <c r="W920" s="15"/>
      <c r="X920" s="15"/>
      <c r="Y920" s="15"/>
      <c r="Z920" s="15"/>
      <c r="AA920" s="15"/>
      <c r="AB920" s="15"/>
      <c r="AC920" s="15"/>
      <c r="AD920" s="15"/>
      <c r="AE920" s="15"/>
    </row>
    <row r="921" spans="1:31" x14ac:dyDescent="0.85">
      <c r="A921" s="15"/>
      <c r="B921" s="15"/>
      <c r="C921" s="15"/>
      <c r="D921" s="15"/>
      <c r="E921" s="15"/>
      <c r="F921" s="15"/>
      <c r="G921" s="15"/>
      <c r="H921" s="15"/>
      <c r="I921" s="15"/>
      <c r="J921" s="15"/>
      <c r="K921" s="15"/>
      <c r="L921" s="747"/>
      <c r="M921" s="15"/>
      <c r="N921" s="15"/>
      <c r="O921" s="15"/>
      <c r="P921" s="15"/>
      <c r="Q921" s="15"/>
      <c r="R921" s="15"/>
      <c r="S921" s="15"/>
      <c r="T921" s="15"/>
      <c r="U921" s="15"/>
      <c r="V921" s="15"/>
      <c r="W921" s="15"/>
      <c r="X921" s="15"/>
      <c r="Y921" s="15"/>
      <c r="Z921" s="15"/>
      <c r="AA921" s="15"/>
      <c r="AB921" s="15"/>
      <c r="AC921" s="15"/>
      <c r="AD921" s="15"/>
      <c r="AE921" s="15"/>
    </row>
    <row r="922" spans="1:31" x14ac:dyDescent="0.85">
      <c r="A922" s="15"/>
      <c r="B922" s="15"/>
      <c r="C922" s="15"/>
      <c r="D922" s="15"/>
      <c r="E922" s="15"/>
      <c r="F922" s="15"/>
      <c r="G922" s="15"/>
      <c r="H922" s="15"/>
      <c r="I922" s="15"/>
      <c r="J922" s="15"/>
      <c r="K922" s="15"/>
      <c r="L922" s="747"/>
      <c r="M922" s="15"/>
      <c r="N922" s="15"/>
      <c r="O922" s="15"/>
      <c r="P922" s="15"/>
      <c r="Q922" s="15"/>
      <c r="R922" s="15"/>
      <c r="S922" s="15"/>
      <c r="T922" s="15"/>
      <c r="U922" s="15"/>
      <c r="V922" s="15"/>
      <c r="W922" s="15"/>
      <c r="X922" s="15"/>
      <c r="Y922" s="15"/>
      <c r="Z922" s="15"/>
      <c r="AA922" s="15"/>
      <c r="AB922" s="15"/>
      <c r="AC922" s="15"/>
      <c r="AD922" s="15"/>
      <c r="AE922" s="15"/>
    </row>
    <row r="923" spans="1:31" x14ac:dyDescent="0.85">
      <c r="A923" s="15"/>
      <c r="B923" s="15"/>
      <c r="C923" s="15"/>
      <c r="D923" s="15"/>
      <c r="E923" s="15"/>
      <c r="F923" s="15"/>
      <c r="G923" s="15"/>
      <c r="H923" s="15"/>
      <c r="I923" s="15"/>
      <c r="J923" s="15"/>
      <c r="K923" s="15"/>
      <c r="L923" s="747"/>
      <c r="M923" s="15"/>
      <c r="N923" s="15"/>
      <c r="O923" s="15"/>
      <c r="P923" s="15"/>
      <c r="Q923" s="15"/>
      <c r="R923" s="15"/>
      <c r="S923" s="15"/>
      <c r="T923" s="15"/>
      <c r="U923" s="15"/>
      <c r="V923" s="15"/>
      <c r="W923" s="15"/>
      <c r="X923" s="15"/>
      <c r="Y923" s="15"/>
      <c r="Z923" s="15"/>
      <c r="AA923" s="15"/>
      <c r="AB923" s="15"/>
      <c r="AC923" s="15"/>
      <c r="AD923" s="15"/>
      <c r="AE923" s="15"/>
    </row>
    <row r="924" spans="1:31" x14ac:dyDescent="0.85">
      <c r="A924" s="15"/>
      <c r="B924" s="15"/>
      <c r="C924" s="15"/>
      <c r="D924" s="15"/>
      <c r="E924" s="15"/>
      <c r="F924" s="15"/>
      <c r="G924" s="15"/>
      <c r="H924" s="15"/>
      <c r="I924" s="15"/>
      <c r="J924" s="15"/>
      <c r="K924" s="15"/>
      <c r="L924" s="747"/>
      <c r="M924" s="15"/>
      <c r="N924" s="15"/>
      <c r="O924" s="15"/>
      <c r="P924" s="15"/>
      <c r="Q924" s="15"/>
      <c r="R924" s="15"/>
      <c r="S924" s="15"/>
      <c r="T924" s="15"/>
      <c r="U924" s="15"/>
      <c r="V924" s="15"/>
      <c r="W924" s="15"/>
      <c r="X924" s="15"/>
      <c r="Y924" s="15"/>
      <c r="Z924" s="15"/>
      <c r="AA924" s="15"/>
      <c r="AB924" s="15"/>
      <c r="AC924" s="15"/>
      <c r="AD924" s="15"/>
      <c r="AE924" s="15"/>
    </row>
    <row r="925" spans="1:31" x14ac:dyDescent="0.85">
      <c r="A925" s="15"/>
      <c r="B925" s="15"/>
      <c r="C925" s="15"/>
      <c r="D925" s="15"/>
      <c r="E925" s="15"/>
      <c r="F925" s="15"/>
      <c r="G925" s="15"/>
      <c r="H925" s="15"/>
      <c r="I925" s="15"/>
      <c r="J925" s="15"/>
      <c r="K925" s="15"/>
      <c r="L925" s="747"/>
      <c r="M925" s="15"/>
      <c r="N925" s="15"/>
      <c r="O925" s="15"/>
      <c r="P925" s="15"/>
      <c r="Q925" s="15"/>
      <c r="R925" s="15"/>
      <c r="S925" s="15"/>
      <c r="T925" s="15"/>
      <c r="U925" s="15"/>
      <c r="V925" s="15"/>
      <c r="W925" s="15"/>
      <c r="X925" s="15"/>
      <c r="Y925" s="15"/>
      <c r="Z925" s="15"/>
      <c r="AA925" s="15"/>
      <c r="AB925" s="15"/>
      <c r="AC925" s="15"/>
      <c r="AD925" s="15"/>
      <c r="AE925" s="15"/>
    </row>
    <row r="926" spans="1:31" x14ac:dyDescent="0.85">
      <c r="A926" s="15"/>
      <c r="B926" s="15"/>
      <c r="C926" s="15"/>
      <c r="D926" s="15"/>
      <c r="E926" s="15"/>
      <c r="F926" s="15"/>
      <c r="G926" s="15"/>
      <c r="H926" s="15"/>
      <c r="I926" s="15"/>
      <c r="J926" s="15"/>
      <c r="K926" s="15"/>
      <c r="L926" s="747"/>
      <c r="M926" s="15"/>
      <c r="N926" s="15"/>
      <c r="O926" s="15"/>
      <c r="P926" s="15"/>
      <c r="Q926" s="15"/>
      <c r="R926" s="15"/>
      <c r="S926" s="15"/>
      <c r="T926" s="15"/>
      <c r="U926" s="15"/>
      <c r="V926" s="15"/>
      <c r="W926" s="15"/>
      <c r="X926" s="15"/>
      <c r="Y926" s="15"/>
      <c r="Z926" s="15"/>
      <c r="AA926" s="15"/>
      <c r="AB926" s="15"/>
      <c r="AC926" s="15"/>
      <c r="AD926" s="15"/>
      <c r="AE926" s="15"/>
    </row>
    <row r="927" spans="1:31" x14ac:dyDescent="0.85">
      <c r="A927" s="15"/>
      <c r="B927" s="15"/>
      <c r="C927" s="15"/>
      <c r="D927" s="15"/>
      <c r="E927" s="15"/>
      <c r="F927" s="15"/>
      <c r="G927" s="15"/>
      <c r="H927" s="15"/>
      <c r="I927" s="15"/>
      <c r="J927" s="15"/>
      <c r="K927" s="15"/>
      <c r="L927" s="747"/>
      <c r="M927" s="15"/>
      <c r="N927" s="15"/>
      <c r="O927" s="15"/>
      <c r="P927" s="15"/>
      <c r="Q927" s="15"/>
      <c r="R927" s="15"/>
      <c r="S927" s="15"/>
      <c r="T927" s="15"/>
      <c r="U927" s="15"/>
      <c r="V927" s="15"/>
      <c r="W927" s="15"/>
      <c r="X927" s="15"/>
      <c r="Y927" s="15"/>
      <c r="Z927" s="15"/>
      <c r="AA927" s="15"/>
      <c r="AB927" s="15"/>
      <c r="AC927" s="15"/>
      <c r="AD927" s="15"/>
      <c r="AE927" s="15"/>
    </row>
    <row r="928" spans="1:31" x14ac:dyDescent="0.85">
      <c r="A928" s="15"/>
      <c r="B928" s="15"/>
      <c r="C928" s="15"/>
      <c r="D928" s="15"/>
      <c r="E928" s="15"/>
      <c r="F928" s="15"/>
      <c r="G928" s="15"/>
      <c r="H928" s="15"/>
      <c r="I928" s="15"/>
      <c r="J928" s="15"/>
      <c r="K928" s="15"/>
      <c r="L928" s="747"/>
      <c r="M928" s="15"/>
      <c r="N928" s="15"/>
      <c r="O928" s="15"/>
      <c r="P928" s="15"/>
      <c r="Q928" s="15"/>
      <c r="R928" s="15"/>
      <c r="S928" s="15"/>
      <c r="T928" s="15"/>
      <c r="U928" s="15"/>
      <c r="V928" s="15"/>
      <c r="W928" s="15"/>
      <c r="X928" s="15"/>
      <c r="Y928" s="15"/>
      <c r="Z928" s="15"/>
      <c r="AA928" s="15"/>
      <c r="AB928" s="15"/>
      <c r="AC928" s="15"/>
      <c r="AD928" s="15"/>
      <c r="AE928" s="15"/>
    </row>
    <row r="929" spans="1:31" x14ac:dyDescent="0.85">
      <c r="A929" s="15"/>
      <c r="B929" s="15"/>
      <c r="C929" s="15"/>
      <c r="D929" s="15"/>
      <c r="E929" s="15"/>
      <c r="F929" s="15"/>
      <c r="G929" s="15"/>
      <c r="H929" s="15"/>
      <c r="I929" s="15"/>
      <c r="J929" s="15"/>
      <c r="K929" s="15"/>
      <c r="L929" s="747"/>
      <c r="M929" s="15"/>
      <c r="N929" s="15"/>
      <c r="O929" s="15"/>
      <c r="P929" s="15"/>
      <c r="Q929" s="15"/>
      <c r="R929" s="15"/>
      <c r="S929" s="15"/>
      <c r="T929" s="15"/>
      <c r="U929" s="15"/>
      <c r="V929" s="15"/>
      <c r="W929" s="15"/>
      <c r="X929" s="15"/>
      <c r="Y929" s="15"/>
      <c r="Z929" s="15"/>
      <c r="AA929" s="15"/>
      <c r="AB929" s="15"/>
      <c r="AC929" s="15"/>
      <c r="AD929" s="15"/>
      <c r="AE929" s="15"/>
    </row>
    <row r="930" spans="1:31" x14ac:dyDescent="0.85">
      <c r="A930" s="15"/>
      <c r="B930" s="15"/>
      <c r="C930" s="15"/>
      <c r="D930" s="15"/>
      <c r="E930" s="15"/>
      <c r="F930" s="15"/>
      <c r="G930" s="15"/>
      <c r="H930" s="15"/>
      <c r="I930" s="15"/>
      <c r="J930" s="15"/>
      <c r="K930" s="15"/>
      <c r="L930" s="747"/>
      <c r="M930" s="15"/>
      <c r="N930" s="15"/>
      <c r="O930" s="15"/>
      <c r="P930" s="15"/>
      <c r="Q930" s="15"/>
      <c r="R930" s="15"/>
      <c r="S930" s="15"/>
      <c r="T930" s="15"/>
      <c r="U930" s="15"/>
      <c r="V930" s="15"/>
      <c r="W930" s="15"/>
      <c r="X930" s="15"/>
      <c r="Y930" s="15"/>
      <c r="Z930" s="15"/>
      <c r="AA930" s="15"/>
      <c r="AB930" s="15"/>
      <c r="AC930" s="15"/>
      <c r="AD930" s="15"/>
      <c r="AE930" s="15"/>
    </row>
    <row r="931" spans="1:31" x14ac:dyDescent="0.85">
      <c r="A931" s="15"/>
      <c r="B931" s="15"/>
      <c r="C931" s="15"/>
      <c r="D931" s="15"/>
      <c r="E931" s="15"/>
      <c r="F931" s="15"/>
      <c r="G931" s="15"/>
      <c r="H931" s="15"/>
      <c r="I931" s="15"/>
      <c r="J931" s="15"/>
      <c r="K931" s="15"/>
      <c r="L931" s="747"/>
      <c r="M931" s="15"/>
      <c r="N931" s="15"/>
      <c r="O931" s="15"/>
      <c r="P931" s="15"/>
      <c r="Q931" s="15"/>
      <c r="R931" s="15"/>
      <c r="S931" s="15"/>
      <c r="T931" s="15"/>
      <c r="U931" s="15"/>
      <c r="V931" s="15"/>
      <c r="W931" s="15"/>
      <c r="X931" s="15"/>
      <c r="Y931" s="15"/>
      <c r="Z931" s="15"/>
      <c r="AA931" s="15"/>
      <c r="AB931" s="15"/>
      <c r="AC931" s="15"/>
      <c r="AD931" s="15"/>
      <c r="AE931" s="15"/>
    </row>
    <row r="932" spans="1:31" x14ac:dyDescent="0.85">
      <c r="A932" s="15"/>
      <c r="B932" s="15"/>
      <c r="C932" s="15"/>
      <c r="D932" s="15"/>
      <c r="E932" s="15"/>
      <c r="F932" s="15"/>
      <c r="G932" s="15"/>
      <c r="H932" s="15"/>
      <c r="I932" s="15"/>
      <c r="J932" s="15"/>
      <c r="K932" s="15"/>
      <c r="L932" s="747"/>
      <c r="M932" s="15"/>
      <c r="N932" s="15"/>
      <c r="O932" s="15"/>
      <c r="P932" s="15"/>
      <c r="Q932" s="15"/>
      <c r="R932" s="15"/>
      <c r="S932" s="15"/>
      <c r="T932" s="15"/>
      <c r="U932" s="15"/>
      <c r="V932" s="15"/>
      <c r="W932" s="15"/>
      <c r="X932" s="15"/>
      <c r="Y932" s="15"/>
      <c r="Z932" s="15"/>
      <c r="AA932" s="15"/>
      <c r="AB932" s="15"/>
      <c r="AC932" s="15"/>
      <c r="AD932" s="15"/>
      <c r="AE932" s="15"/>
    </row>
    <row r="933" spans="1:31" x14ac:dyDescent="0.85">
      <c r="A933" s="15"/>
      <c r="B933" s="15"/>
      <c r="C933" s="15"/>
      <c r="D933" s="15"/>
      <c r="E933" s="15"/>
      <c r="F933" s="15"/>
      <c r="G933" s="15"/>
      <c r="H933" s="15"/>
      <c r="I933" s="15"/>
      <c r="J933" s="15"/>
      <c r="K933" s="15"/>
      <c r="L933" s="747"/>
      <c r="M933" s="15"/>
      <c r="N933" s="15"/>
      <c r="O933" s="15"/>
      <c r="P933" s="15"/>
      <c r="Q933" s="15"/>
      <c r="R933" s="15"/>
      <c r="S933" s="15"/>
      <c r="T933" s="15"/>
      <c r="U933" s="15"/>
      <c r="V933" s="15"/>
      <c r="W933" s="15"/>
      <c r="X933" s="15"/>
      <c r="Y933" s="15"/>
      <c r="Z933" s="15"/>
      <c r="AA933" s="15"/>
      <c r="AB933" s="15"/>
      <c r="AC933" s="15"/>
      <c r="AD933" s="15"/>
      <c r="AE933" s="15"/>
    </row>
    <row r="934" spans="1:31" x14ac:dyDescent="0.85">
      <c r="A934" s="15"/>
      <c r="B934" s="15"/>
      <c r="C934" s="15"/>
      <c r="D934" s="15"/>
      <c r="E934" s="15"/>
      <c r="F934" s="15"/>
      <c r="G934" s="15"/>
      <c r="H934" s="15"/>
      <c r="I934" s="15"/>
      <c r="J934" s="15"/>
      <c r="K934" s="15"/>
      <c r="L934" s="747"/>
      <c r="M934" s="15"/>
      <c r="N934" s="15"/>
      <c r="O934" s="15"/>
      <c r="P934" s="15"/>
      <c r="Q934" s="15"/>
      <c r="R934" s="15"/>
      <c r="S934" s="15"/>
      <c r="T934" s="15"/>
      <c r="U934" s="15"/>
      <c r="V934" s="15"/>
      <c r="W934" s="15"/>
      <c r="X934" s="15"/>
      <c r="Y934" s="15"/>
      <c r="Z934" s="15"/>
      <c r="AA934" s="15"/>
      <c r="AB934" s="15"/>
      <c r="AC934" s="15"/>
      <c r="AD934" s="15"/>
      <c r="AE934" s="15"/>
    </row>
    <row r="935" spans="1:31" x14ac:dyDescent="0.85">
      <c r="A935" s="15"/>
      <c r="B935" s="15"/>
      <c r="C935" s="15"/>
      <c r="D935" s="15"/>
      <c r="E935" s="15"/>
      <c r="F935" s="15"/>
      <c r="G935" s="15"/>
      <c r="H935" s="15"/>
      <c r="I935" s="15"/>
      <c r="J935" s="15"/>
      <c r="K935" s="15"/>
      <c r="L935" s="747"/>
      <c r="M935" s="15"/>
      <c r="N935" s="15"/>
      <c r="O935" s="15"/>
      <c r="P935" s="15"/>
      <c r="Q935" s="15"/>
      <c r="R935" s="15"/>
      <c r="S935" s="15"/>
      <c r="T935" s="15"/>
      <c r="U935" s="15"/>
      <c r="V935" s="15"/>
      <c r="W935" s="15"/>
      <c r="X935" s="15"/>
      <c r="Y935" s="15"/>
      <c r="Z935" s="15"/>
      <c r="AA935" s="15"/>
      <c r="AB935" s="15"/>
      <c r="AC935" s="15"/>
      <c r="AD935" s="15"/>
      <c r="AE935" s="15"/>
    </row>
    <row r="936" spans="1:31" x14ac:dyDescent="0.85">
      <c r="A936" s="15"/>
      <c r="B936" s="15"/>
      <c r="C936" s="15"/>
      <c r="D936" s="15"/>
      <c r="E936" s="15"/>
      <c r="F936" s="15"/>
      <c r="G936" s="15"/>
      <c r="H936" s="15"/>
      <c r="I936" s="15"/>
      <c r="J936" s="15"/>
      <c r="K936" s="15"/>
      <c r="L936" s="747"/>
      <c r="M936" s="15"/>
      <c r="N936" s="15"/>
      <c r="O936" s="15"/>
      <c r="P936" s="15"/>
      <c r="Q936" s="15"/>
      <c r="R936" s="15"/>
      <c r="S936" s="15"/>
      <c r="T936" s="15"/>
      <c r="U936" s="15"/>
      <c r="V936" s="15"/>
      <c r="W936" s="15"/>
      <c r="X936" s="15"/>
      <c r="Y936" s="15"/>
      <c r="Z936" s="15"/>
      <c r="AA936" s="15"/>
      <c r="AB936" s="15"/>
      <c r="AC936" s="15"/>
      <c r="AD936" s="15"/>
      <c r="AE936" s="15"/>
    </row>
    <row r="937" spans="1:31" x14ac:dyDescent="0.85">
      <c r="A937" s="15"/>
      <c r="B937" s="15"/>
      <c r="C937" s="15"/>
      <c r="D937" s="15"/>
      <c r="E937" s="15"/>
      <c r="F937" s="15"/>
      <c r="G937" s="15"/>
      <c r="H937" s="15"/>
      <c r="I937" s="15"/>
      <c r="J937" s="15"/>
      <c r="K937" s="15"/>
      <c r="L937" s="747"/>
      <c r="M937" s="15"/>
      <c r="N937" s="15"/>
      <c r="O937" s="15"/>
      <c r="P937" s="15"/>
      <c r="Q937" s="15"/>
      <c r="R937" s="15"/>
      <c r="S937" s="15"/>
      <c r="T937" s="15"/>
      <c r="U937" s="15"/>
      <c r="V937" s="15"/>
      <c r="W937" s="15"/>
      <c r="X937" s="15"/>
      <c r="Y937" s="15"/>
      <c r="Z937" s="15"/>
      <c r="AA937" s="15"/>
      <c r="AB937" s="15"/>
      <c r="AC937" s="15"/>
      <c r="AD937" s="15"/>
      <c r="AE937" s="15"/>
    </row>
    <row r="938" spans="1:31" x14ac:dyDescent="0.85">
      <c r="A938" s="15"/>
      <c r="B938" s="15"/>
      <c r="C938" s="15"/>
      <c r="D938" s="15"/>
      <c r="E938" s="15"/>
      <c r="F938" s="15"/>
      <c r="G938" s="15"/>
      <c r="H938" s="15"/>
      <c r="I938" s="15"/>
      <c r="J938" s="15"/>
      <c r="K938" s="15"/>
      <c r="L938" s="747"/>
      <c r="M938" s="15"/>
      <c r="N938" s="15"/>
      <c r="O938" s="15"/>
      <c r="P938" s="15"/>
      <c r="Q938" s="15"/>
      <c r="R938" s="15"/>
      <c r="S938" s="15"/>
      <c r="T938" s="15"/>
      <c r="U938" s="15"/>
      <c r="V938" s="15"/>
      <c r="W938" s="15"/>
      <c r="X938" s="15"/>
      <c r="Y938" s="15"/>
      <c r="Z938" s="15"/>
      <c r="AA938" s="15"/>
      <c r="AB938" s="15"/>
      <c r="AC938" s="15"/>
      <c r="AD938" s="15"/>
      <c r="AE938" s="15"/>
    </row>
    <row r="939" spans="1:31" x14ac:dyDescent="0.85">
      <c r="A939" s="15"/>
      <c r="B939" s="15"/>
      <c r="C939" s="15"/>
      <c r="D939" s="15"/>
      <c r="E939" s="15"/>
      <c r="F939" s="15"/>
      <c r="G939" s="15"/>
      <c r="H939" s="15"/>
      <c r="I939" s="15"/>
      <c r="J939" s="15"/>
      <c r="K939" s="15"/>
      <c r="L939" s="747"/>
      <c r="M939" s="15"/>
      <c r="N939" s="15"/>
      <c r="O939" s="15"/>
      <c r="P939" s="15"/>
      <c r="Q939" s="15"/>
      <c r="R939" s="15"/>
      <c r="S939" s="15"/>
      <c r="T939" s="15"/>
      <c r="U939" s="15"/>
      <c r="V939" s="15"/>
      <c r="W939" s="15"/>
      <c r="X939" s="15"/>
      <c r="Y939" s="15"/>
      <c r="Z939" s="15"/>
      <c r="AA939" s="15"/>
      <c r="AB939" s="15"/>
      <c r="AC939" s="15"/>
      <c r="AD939" s="15"/>
      <c r="AE939" s="15"/>
    </row>
    <row r="940" spans="1:31" x14ac:dyDescent="0.85">
      <c r="A940" s="15"/>
      <c r="B940" s="15"/>
      <c r="C940" s="15"/>
      <c r="D940" s="15"/>
      <c r="E940" s="15"/>
      <c r="F940" s="15"/>
      <c r="G940" s="15"/>
      <c r="H940" s="15"/>
      <c r="I940" s="15"/>
      <c r="J940" s="15"/>
      <c r="K940" s="15"/>
      <c r="L940" s="747"/>
      <c r="M940" s="15"/>
      <c r="N940" s="15"/>
      <c r="O940" s="15"/>
      <c r="P940" s="15"/>
      <c r="Q940" s="15"/>
      <c r="R940" s="15"/>
      <c r="S940" s="15"/>
      <c r="T940" s="15"/>
      <c r="U940" s="15"/>
      <c r="V940" s="15"/>
      <c r="W940" s="15"/>
      <c r="X940" s="15"/>
      <c r="Y940" s="15"/>
      <c r="Z940" s="15"/>
      <c r="AA940" s="15"/>
      <c r="AB940" s="15"/>
      <c r="AC940" s="15"/>
      <c r="AD940" s="15"/>
      <c r="AE940" s="15"/>
    </row>
    <row r="941" spans="1:31" x14ac:dyDescent="0.85">
      <c r="A941" s="15"/>
      <c r="B941" s="15"/>
      <c r="C941" s="15"/>
      <c r="D941" s="15"/>
      <c r="E941" s="15"/>
      <c r="F941" s="15"/>
      <c r="G941" s="15"/>
      <c r="H941" s="15"/>
      <c r="I941" s="15"/>
      <c r="J941" s="15"/>
      <c r="K941" s="15"/>
      <c r="L941" s="747"/>
      <c r="M941" s="15"/>
      <c r="N941" s="15"/>
      <c r="O941" s="15"/>
      <c r="P941" s="15"/>
      <c r="Q941" s="15"/>
      <c r="R941" s="15"/>
      <c r="S941" s="15"/>
      <c r="T941" s="15"/>
      <c r="U941" s="15"/>
      <c r="V941" s="15"/>
      <c r="W941" s="15"/>
      <c r="X941" s="15"/>
      <c r="Y941" s="15"/>
      <c r="Z941" s="15"/>
      <c r="AA941" s="15"/>
      <c r="AB941" s="15"/>
      <c r="AC941" s="15"/>
      <c r="AD941" s="15"/>
      <c r="AE941" s="15"/>
    </row>
    <row r="942" spans="1:31" x14ac:dyDescent="0.85">
      <c r="A942" s="15"/>
      <c r="B942" s="15"/>
      <c r="C942" s="15"/>
      <c r="D942" s="15"/>
      <c r="E942" s="15"/>
      <c r="F942" s="15"/>
      <c r="G942" s="15"/>
      <c r="H942" s="15"/>
      <c r="I942" s="15"/>
      <c r="J942" s="15"/>
      <c r="K942" s="15"/>
      <c r="L942" s="747"/>
      <c r="M942" s="15"/>
      <c r="N942" s="15"/>
      <c r="O942" s="15"/>
      <c r="P942" s="15"/>
      <c r="Q942" s="15"/>
      <c r="R942" s="15"/>
      <c r="S942" s="15"/>
      <c r="T942" s="15"/>
      <c r="U942" s="15"/>
      <c r="V942" s="15"/>
      <c r="W942" s="15"/>
      <c r="X942" s="15"/>
      <c r="Y942" s="15"/>
      <c r="Z942" s="15"/>
      <c r="AA942" s="15"/>
      <c r="AB942" s="15"/>
      <c r="AC942" s="15"/>
      <c r="AD942" s="15"/>
      <c r="AE942" s="15"/>
    </row>
    <row r="943" spans="1:31" x14ac:dyDescent="0.85">
      <c r="A943" s="15"/>
      <c r="B943" s="15"/>
      <c r="C943" s="15"/>
      <c r="D943" s="15"/>
      <c r="E943" s="15"/>
      <c r="F943" s="15"/>
      <c r="G943" s="15"/>
      <c r="H943" s="15"/>
      <c r="I943" s="15"/>
      <c r="J943" s="15"/>
      <c r="K943" s="15"/>
      <c r="L943" s="747"/>
      <c r="M943" s="15"/>
      <c r="N943" s="15"/>
      <c r="O943" s="15"/>
      <c r="P943" s="15"/>
      <c r="Q943" s="15"/>
      <c r="R943" s="15"/>
      <c r="S943" s="15"/>
      <c r="T943" s="15"/>
      <c r="U943" s="15"/>
      <c r="V943" s="15"/>
      <c r="W943" s="15"/>
      <c r="X943" s="15"/>
      <c r="Y943" s="15"/>
      <c r="Z943" s="15"/>
      <c r="AA943" s="15"/>
      <c r="AB943" s="15"/>
      <c r="AC943" s="15"/>
      <c r="AD943" s="15"/>
      <c r="AE943" s="15"/>
    </row>
    <row r="944" spans="1:31" x14ac:dyDescent="0.85">
      <c r="A944" s="15"/>
      <c r="B944" s="15"/>
      <c r="C944" s="15"/>
      <c r="D944" s="15"/>
      <c r="E944" s="15"/>
      <c r="F944" s="15"/>
      <c r="G944" s="15"/>
      <c r="H944" s="15"/>
      <c r="I944" s="15"/>
      <c r="J944" s="15"/>
      <c r="K944" s="15"/>
      <c r="L944" s="747"/>
      <c r="M944" s="15"/>
      <c r="N944" s="15"/>
      <c r="O944" s="15"/>
      <c r="P944" s="15"/>
      <c r="Q944" s="15"/>
      <c r="R944" s="15"/>
      <c r="S944" s="15"/>
      <c r="T944" s="15"/>
      <c r="U944" s="15"/>
      <c r="V944" s="15"/>
      <c r="W944" s="15"/>
      <c r="X944" s="15"/>
      <c r="Y944" s="15"/>
      <c r="Z944" s="15"/>
      <c r="AA944" s="15"/>
      <c r="AB944" s="15"/>
      <c r="AC944" s="15"/>
      <c r="AD944" s="15"/>
      <c r="AE944" s="15"/>
    </row>
    <row r="945" spans="1:31" x14ac:dyDescent="0.85">
      <c r="A945" s="15"/>
      <c r="B945" s="15"/>
      <c r="C945" s="15"/>
      <c r="D945" s="15"/>
      <c r="E945" s="15"/>
      <c r="F945" s="15"/>
      <c r="G945" s="15"/>
      <c r="H945" s="15"/>
      <c r="I945" s="15"/>
      <c r="J945" s="15"/>
      <c r="K945" s="15"/>
      <c r="L945" s="747"/>
      <c r="M945" s="15"/>
      <c r="N945" s="15"/>
      <c r="O945" s="15"/>
      <c r="P945" s="15"/>
      <c r="Q945" s="15"/>
      <c r="R945" s="15"/>
      <c r="S945" s="15"/>
      <c r="T945" s="15"/>
      <c r="U945" s="15"/>
      <c r="V945" s="15"/>
      <c r="W945" s="15"/>
      <c r="X945" s="15"/>
      <c r="Y945" s="15"/>
      <c r="Z945" s="15"/>
      <c r="AA945" s="15"/>
      <c r="AB945" s="15"/>
      <c r="AC945" s="15"/>
      <c r="AD945" s="15"/>
      <c r="AE945" s="15"/>
    </row>
    <row r="946" spans="1:31" x14ac:dyDescent="0.85">
      <c r="A946" s="15"/>
      <c r="B946" s="15"/>
      <c r="C946" s="15"/>
      <c r="D946" s="15"/>
      <c r="E946" s="15"/>
      <c r="F946" s="15"/>
      <c r="G946" s="15"/>
      <c r="H946" s="15"/>
      <c r="I946" s="15"/>
      <c r="J946" s="15"/>
      <c r="K946" s="15"/>
      <c r="L946" s="747"/>
      <c r="M946" s="15"/>
      <c r="N946" s="15"/>
      <c r="O946" s="15"/>
      <c r="P946" s="15"/>
      <c r="Q946" s="15"/>
      <c r="R946" s="15"/>
      <c r="S946" s="15"/>
      <c r="T946" s="15"/>
      <c r="U946" s="15"/>
      <c r="V946" s="15"/>
      <c r="W946" s="15"/>
      <c r="X946" s="15"/>
      <c r="Y946" s="15"/>
      <c r="Z946" s="15"/>
      <c r="AA946" s="15"/>
      <c r="AB946" s="15"/>
      <c r="AC946" s="15"/>
      <c r="AD946" s="15"/>
      <c r="AE946" s="15"/>
    </row>
    <row r="947" spans="1:31" x14ac:dyDescent="0.85">
      <c r="A947" s="15"/>
      <c r="B947" s="15"/>
      <c r="C947" s="15"/>
      <c r="D947" s="15"/>
      <c r="E947" s="15"/>
      <c r="F947" s="15"/>
      <c r="G947" s="15"/>
      <c r="H947" s="15"/>
      <c r="I947" s="15"/>
      <c r="J947" s="15"/>
      <c r="K947" s="15"/>
      <c r="L947" s="747"/>
      <c r="M947" s="15"/>
      <c r="N947" s="15"/>
      <c r="O947" s="15"/>
      <c r="P947" s="15"/>
      <c r="Q947" s="15"/>
      <c r="R947" s="15"/>
      <c r="S947" s="15"/>
      <c r="T947" s="15"/>
      <c r="U947" s="15"/>
      <c r="V947" s="15"/>
      <c r="W947" s="15"/>
      <c r="X947" s="15"/>
      <c r="Y947" s="15"/>
      <c r="Z947" s="15"/>
      <c r="AA947" s="15"/>
      <c r="AB947" s="15"/>
      <c r="AC947" s="15"/>
      <c r="AD947" s="15"/>
      <c r="AE947" s="15"/>
    </row>
    <row r="948" spans="1:31" x14ac:dyDescent="0.85">
      <c r="A948" s="15"/>
      <c r="B948" s="15"/>
      <c r="C948" s="15"/>
      <c r="D948" s="15"/>
      <c r="E948" s="15"/>
      <c r="F948" s="15"/>
      <c r="G948" s="15"/>
      <c r="H948" s="15"/>
      <c r="I948" s="15"/>
      <c r="J948" s="15"/>
      <c r="K948" s="15"/>
      <c r="L948" s="747"/>
      <c r="M948" s="15"/>
      <c r="N948" s="15"/>
      <c r="O948" s="15"/>
      <c r="P948" s="15"/>
      <c r="Q948" s="15"/>
      <c r="R948" s="15"/>
      <c r="S948" s="15"/>
      <c r="T948" s="15"/>
      <c r="U948" s="15"/>
      <c r="V948" s="15"/>
      <c r="W948" s="15"/>
      <c r="X948" s="15"/>
      <c r="Y948" s="15"/>
      <c r="Z948" s="15"/>
      <c r="AA948" s="15"/>
      <c r="AB948" s="15"/>
      <c r="AC948" s="15"/>
      <c r="AD948" s="15"/>
      <c r="AE948" s="15"/>
    </row>
    <row r="949" spans="1:31" x14ac:dyDescent="0.85">
      <c r="A949" s="15"/>
      <c r="B949" s="15"/>
      <c r="C949" s="15"/>
      <c r="D949" s="15"/>
      <c r="E949" s="15"/>
      <c r="F949" s="15"/>
      <c r="G949" s="15"/>
      <c r="H949" s="15"/>
      <c r="I949" s="15"/>
      <c r="J949" s="15"/>
      <c r="K949" s="15"/>
      <c r="L949" s="747"/>
      <c r="M949" s="15"/>
      <c r="N949" s="15"/>
      <c r="O949" s="15"/>
      <c r="P949" s="15"/>
      <c r="Q949" s="15"/>
      <c r="R949" s="15"/>
      <c r="S949" s="15"/>
      <c r="T949" s="15"/>
      <c r="U949" s="15"/>
      <c r="V949" s="15"/>
      <c r="W949" s="15"/>
      <c r="X949" s="15"/>
      <c r="Y949" s="15"/>
      <c r="Z949" s="15"/>
      <c r="AA949" s="15"/>
      <c r="AB949" s="15"/>
      <c r="AC949" s="15"/>
      <c r="AD949" s="15"/>
      <c r="AE949" s="15"/>
    </row>
    <row r="950" spans="1:31" x14ac:dyDescent="0.85">
      <c r="A950" s="15"/>
      <c r="B950" s="15"/>
      <c r="C950" s="15"/>
      <c r="D950" s="15"/>
      <c r="E950" s="15"/>
      <c r="F950" s="15"/>
      <c r="G950" s="15"/>
      <c r="H950" s="15"/>
      <c r="I950" s="15"/>
      <c r="J950" s="15"/>
      <c r="K950" s="15"/>
      <c r="L950" s="747"/>
      <c r="M950" s="15"/>
      <c r="N950" s="15"/>
      <c r="O950" s="15"/>
      <c r="P950" s="15"/>
      <c r="Q950" s="15"/>
      <c r="R950" s="15"/>
      <c r="S950" s="15"/>
      <c r="T950" s="15"/>
      <c r="U950" s="15"/>
      <c r="V950" s="15"/>
      <c r="W950" s="15"/>
      <c r="X950" s="15"/>
      <c r="Y950" s="15"/>
      <c r="Z950" s="15"/>
      <c r="AA950" s="15"/>
      <c r="AB950" s="15"/>
      <c r="AC950" s="15"/>
      <c r="AD950" s="15"/>
      <c r="AE950" s="15"/>
    </row>
    <row r="951" spans="1:31" x14ac:dyDescent="0.85">
      <c r="A951" s="15"/>
      <c r="B951" s="15"/>
      <c r="C951" s="15"/>
      <c r="D951" s="15"/>
      <c r="E951" s="15"/>
      <c r="F951" s="15"/>
      <c r="G951" s="15"/>
      <c r="H951" s="15"/>
      <c r="I951" s="15"/>
      <c r="J951" s="15"/>
      <c r="K951" s="15"/>
      <c r="L951" s="747"/>
      <c r="M951" s="15"/>
      <c r="N951" s="15"/>
      <c r="O951" s="15"/>
      <c r="P951" s="15"/>
      <c r="Q951" s="15"/>
      <c r="R951" s="15"/>
      <c r="S951" s="15"/>
      <c r="T951" s="15"/>
      <c r="U951" s="15"/>
      <c r="V951" s="15"/>
      <c r="W951" s="15"/>
      <c r="X951" s="15"/>
      <c r="Y951" s="15"/>
      <c r="Z951" s="15"/>
      <c r="AA951" s="15"/>
      <c r="AB951" s="15"/>
      <c r="AC951" s="15"/>
      <c r="AD951" s="15"/>
      <c r="AE951" s="15"/>
    </row>
    <row r="952" spans="1:31" x14ac:dyDescent="0.85">
      <c r="A952" s="15"/>
      <c r="B952" s="15"/>
      <c r="C952" s="15"/>
      <c r="D952" s="15"/>
      <c r="E952" s="15"/>
      <c r="F952" s="15"/>
      <c r="G952" s="15"/>
      <c r="H952" s="15"/>
      <c r="I952" s="15"/>
      <c r="J952" s="15"/>
      <c r="K952" s="15"/>
      <c r="L952" s="747"/>
      <c r="M952" s="15"/>
      <c r="N952" s="15"/>
      <c r="O952" s="15"/>
      <c r="P952" s="15"/>
      <c r="Q952" s="15"/>
      <c r="R952" s="15"/>
      <c r="S952" s="15"/>
      <c r="T952" s="15"/>
      <c r="U952" s="15"/>
      <c r="V952" s="15"/>
      <c r="W952" s="15"/>
      <c r="X952" s="15"/>
      <c r="Y952" s="15"/>
      <c r="Z952" s="15"/>
      <c r="AA952" s="15"/>
      <c r="AB952" s="15"/>
      <c r="AC952" s="15"/>
      <c r="AD952" s="15"/>
      <c r="AE952" s="15"/>
    </row>
    <row r="953" spans="1:31" x14ac:dyDescent="0.85">
      <c r="A953" s="15"/>
      <c r="B953" s="15"/>
      <c r="C953" s="15"/>
      <c r="D953" s="15"/>
      <c r="E953" s="15"/>
      <c r="F953" s="15"/>
      <c r="G953" s="15"/>
      <c r="H953" s="15"/>
      <c r="I953" s="15"/>
      <c r="J953" s="15"/>
      <c r="K953" s="15"/>
      <c r="L953" s="747"/>
      <c r="M953" s="15"/>
      <c r="N953" s="15"/>
      <c r="O953" s="15"/>
      <c r="P953" s="15"/>
      <c r="Q953" s="15"/>
      <c r="R953" s="15"/>
      <c r="S953" s="15"/>
      <c r="T953" s="15"/>
      <c r="U953" s="15"/>
      <c r="V953" s="15"/>
      <c r="W953" s="15"/>
      <c r="X953" s="15"/>
      <c r="Y953" s="15"/>
      <c r="Z953" s="15"/>
      <c r="AA953" s="15"/>
      <c r="AB953" s="15"/>
      <c r="AC953" s="15"/>
      <c r="AD953" s="15"/>
      <c r="AE953" s="15"/>
    </row>
    <row r="954" spans="1:31" x14ac:dyDescent="0.85">
      <c r="A954" s="15"/>
      <c r="B954" s="15"/>
      <c r="C954" s="15"/>
      <c r="D954" s="15"/>
      <c r="E954" s="15"/>
      <c r="F954" s="15"/>
      <c r="G954" s="15"/>
      <c r="H954" s="15"/>
      <c r="I954" s="15"/>
      <c r="J954" s="15"/>
      <c r="K954" s="15"/>
      <c r="L954" s="747"/>
      <c r="M954" s="15"/>
      <c r="N954" s="15"/>
      <c r="O954" s="15"/>
      <c r="P954" s="15"/>
      <c r="Q954" s="15"/>
      <c r="R954" s="15"/>
      <c r="S954" s="15"/>
      <c r="T954" s="15"/>
      <c r="U954" s="15"/>
      <c r="V954" s="15"/>
      <c r="W954" s="15"/>
      <c r="X954" s="15"/>
      <c r="Y954" s="15"/>
      <c r="Z954" s="15"/>
      <c r="AA954" s="15"/>
      <c r="AB954" s="15"/>
      <c r="AC954" s="15"/>
      <c r="AD954" s="15"/>
      <c r="AE954" s="15"/>
    </row>
    <row r="955" spans="1:31" x14ac:dyDescent="0.85">
      <c r="A955" s="15"/>
      <c r="B955" s="15"/>
      <c r="C955" s="15"/>
      <c r="D955" s="15"/>
      <c r="E955" s="15"/>
      <c r="F955" s="15"/>
      <c r="G955" s="15"/>
      <c r="H955" s="15"/>
      <c r="I955" s="15"/>
      <c r="J955" s="15"/>
      <c r="K955" s="15"/>
      <c r="L955" s="747"/>
      <c r="M955" s="15"/>
      <c r="N955" s="15"/>
      <c r="O955" s="15"/>
      <c r="P955" s="15"/>
      <c r="Q955" s="15"/>
      <c r="R955" s="15"/>
      <c r="S955" s="15"/>
      <c r="T955" s="15"/>
      <c r="U955" s="15"/>
      <c r="V955" s="15"/>
      <c r="W955" s="15"/>
      <c r="X955" s="15"/>
      <c r="Y955" s="15"/>
      <c r="Z955" s="15"/>
      <c r="AA955" s="15"/>
      <c r="AB955" s="15"/>
      <c r="AC955" s="15"/>
      <c r="AD955" s="15"/>
      <c r="AE955" s="15"/>
    </row>
    <row r="956" spans="1:31" x14ac:dyDescent="0.85">
      <c r="A956" s="15"/>
      <c r="B956" s="15"/>
      <c r="C956" s="15"/>
      <c r="D956" s="15"/>
      <c r="E956" s="15"/>
      <c r="F956" s="15"/>
      <c r="G956" s="15"/>
      <c r="H956" s="15"/>
      <c r="I956" s="15"/>
      <c r="J956" s="15"/>
      <c r="K956" s="15"/>
      <c r="L956" s="747"/>
      <c r="M956" s="15"/>
      <c r="N956" s="15"/>
      <c r="O956" s="15"/>
      <c r="P956" s="15"/>
      <c r="Q956" s="15"/>
      <c r="R956" s="15"/>
      <c r="S956" s="15"/>
      <c r="T956" s="15"/>
      <c r="U956" s="15"/>
      <c r="V956" s="15"/>
      <c r="W956" s="15"/>
      <c r="X956" s="15"/>
      <c r="Y956" s="15"/>
      <c r="Z956" s="15"/>
      <c r="AA956" s="15"/>
      <c r="AB956" s="15"/>
      <c r="AC956" s="15"/>
      <c r="AD956" s="15"/>
      <c r="AE956" s="15"/>
    </row>
    <row r="957" spans="1:31" x14ac:dyDescent="0.85">
      <c r="A957" s="15"/>
      <c r="B957" s="15"/>
      <c r="C957" s="15"/>
      <c r="D957" s="15"/>
      <c r="E957" s="15"/>
      <c r="F957" s="15"/>
      <c r="G957" s="15"/>
      <c r="H957" s="15"/>
      <c r="I957" s="15"/>
      <c r="J957" s="15"/>
      <c r="K957" s="15"/>
      <c r="L957" s="747"/>
      <c r="M957" s="15"/>
      <c r="N957" s="15"/>
      <c r="O957" s="15"/>
      <c r="P957" s="15"/>
      <c r="Q957" s="15"/>
      <c r="R957" s="15"/>
      <c r="S957" s="15"/>
      <c r="T957" s="15"/>
      <c r="U957" s="15"/>
      <c r="V957" s="15"/>
      <c r="W957" s="15"/>
      <c r="X957" s="15"/>
      <c r="Y957" s="15"/>
      <c r="Z957" s="15"/>
      <c r="AA957" s="15"/>
      <c r="AB957" s="15"/>
      <c r="AC957" s="15"/>
      <c r="AD957" s="15"/>
      <c r="AE957" s="15"/>
    </row>
    <row r="958" spans="1:31" x14ac:dyDescent="0.85">
      <c r="A958" s="15"/>
      <c r="B958" s="15"/>
      <c r="C958" s="15"/>
      <c r="D958" s="15"/>
      <c r="E958" s="15"/>
      <c r="F958" s="15"/>
      <c r="G958" s="15"/>
      <c r="H958" s="15"/>
      <c r="I958" s="15"/>
      <c r="J958" s="15"/>
      <c r="K958" s="15"/>
      <c r="L958" s="747"/>
      <c r="M958" s="15"/>
      <c r="N958" s="15"/>
      <c r="O958" s="15"/>
      <c r="P958" s="15"/>
      <c r="Q958" s="15"/>
      <c r="R958" s="15"/>
      <c r="S958" s="15"/>
      <c r="T958" s="15"/>
      <c r="U958" s="15"/>
      <c r="V958" s="15"/>
      <c r="W958" s="15"/>
      <c r="X958" s="15"/>
      <c r="Y958" s="15"/>
      <c r="Z958" s="15"/>
      <c r="AA958" s="15"/>
      <c r="AB958" s="15"/>
      <c r="AC958" s="15"/>
      <c r="AD958" s="15"/>
      <c r="AE958" s="15"/>
    </row>
    <row r="959" spans="1:31" x14ac:dyDescent="0.85">
      <c r="A959" s="15"/>
      <c r="B959" s="15"/>
      <c r="C959" s="15"/>
      <c r="D959" s="15"/>
      <c r="E959" s="15"/>
      <c r="F959" s="15"/>
      <c r="G959" s="15"/>
      <c r="H959" s="15"/>
      <c r="I959" s="15"/>
      <c r="J959" s="15"/>
      <c r="K959" s="15"/>
      <c r="L959" s="747"/>
      <c r="M959" s="15"/>
      <c r="N959" s="15"/>
      <c r="O959" s="15"/>
      <c r="P959" s="15"/>
      <c r="Q959" s="15"/>
      <c r="R959" s="15"/>
      <c r="S959" s="15"/>
      <c r="T959" s="15"/>
      <c r="U959" s="15"/>
      <c r="V959" s="15"/>
      <c r="W959" s="15"/>
      <c r="X959" s="15"/>
      <c r="Y959" s="15"/>
      <c r="Z959" s="15"/>
      <c r="AA959" s="15"/>
      <c r="AB959" s="15"/>
      <c r="AC959" s="15"/>
      <c r="AD959" s="15"/>
      <c r="AE959" s="15"/>
    </row>
    <row r="960" spans="1:31" x14ac:dyDescent="0.85">
      <c r="A960" s="15"/>
      <c r="B960" s="15"/>
      <c r="C960" s="15"/>
      <c r="D960" s="15"/>
      <c r="E960" s="15"/>
      <c r="F960" s="15"/>
      <c r="G960" s="15"/>
      <c r="H960" s="15"/>
      <c r="I960" s="15"/>
      <c r="J960" s="15"/>
      <c r="K960" s="15"/>
      <c r="L960" s="747"/>
      <c r="M960" s="15"/>
      <c r="N960" s="15"/>
      <c r="O960" s="15"/>
      <c r="P960" s="15"/>
      <c r="Q960" s="15"/>
      <c r="R960" s="15"/>
      <c r="S960" s="15"/>
      <c r="T960" s="15"/>
      <c r="U960" s="15"/>
      <c r="V960" s="15"/>
      <c r="W960" s="15"/>
      <c r="X960" s="15"/>
      <c r="Y960" s="15"/>
      <c r="Z960" s="15"/>
      <c r="AA960" s="15"/>
      <c r="AB960" s="15"/>
      <c r="AC960" s="15"/>
      <c r="AD960" s="15"/>
      <c r="AE960" s="15"/>
    </row>
    <row r="961" spans="1:31" x14ac:dyDescent="0.85">
      <c r="A961" s="15"/>
      <c r="B961" s="15"/>
      <c r="C961" s="15"/>
      <c r="D961" s="15"/>
      <c r="E961" s="15"/>
      <c r="F961" s="15"/>
      <c r="G961" s="15"/>
      <c r="H961" s="15"/>
      <c r="I961" s="15"/>
      <c r="J961" s="15"/>
      <c r="K961" s="15"/>
      <c r="L961" s="747"/>
      <c r="M961" s="15"/>
      <c r="N961" s="15"/>
      <c r="O961" s="15"/>
      <c r="P961" s="15"/>
      <c r="Q961" s="15"/>
      <c r="R961" s="15"/>
      <c r="S961" s="15"/>
      <c r="T961" s="15"/>
      <c r="U961" s="15"/>
      <c r="V961" s="15"/>
      <c r="W961" s="15"/>
      <c r="X961" s="15"/>
      <c r="Y961" s="15"/>
      <c r="Z961" s="15"/>
      <c r="AA961" s="15"/>
      <c r="AB961" s="15"/>
      <c r="AC961" s="15"/>
      <c r="AD961" s="15"/>
      <c r="AE961" s="15"/>
    </row>
    <row r="962" spans="1:31" x14ac:dyDescent="0.85">
      <c r="A962" s="15"/>
      <c r="B962" s="15"/>
      <c r="C962" s="15"/>
      <c r="D962" s="15"/>
      <c r="E962" s="15"/>
      <c r="F962" s="15"/>
      <c r="G962" s="15"/>
      <c r="H962" s="15"/>
      <c r="I962" s="15"/>
      <c r="J962" s="15"/>
      <c r="K962" s="15"/>
      <c r="L962" s="747"/>
      <c r="M962" s="15"/>
      <c r="N962" s="15"/>
      <c r="O962" s="15"/>
      <c r="P962" s="15"/>
      <c r="Q962" s="15"/>
      <c r="R962" s="15"/>
      <c r="S962" s="15"/>
      <c r="T962" s="15"/>
      <c r="U962" s="15"/>
      <c r="V962" s="15"/>
      <c r="W962" s="15"/>
      <c r="X962" s="15"/>
      <c r="Y962" s="15"/>
      <c r="Z962" s="15"/>
      <c r="AA962" s="15"/>
      <c r="AB962" s="15"/>
      <c r="AC962" s="15"/>
      <c r="AD962" s="15"/>
      <c r="AE962" s="15"/>
    </row>
    <row r="963" spans="1:31" x14ac:dyDescent="0.85">
      <c r="A963" s="15"/>
      <c r="B963" s="15"/>
      <c r="C963" s="15"/>
      <c r="D963" s="15"/>
      <c r="E963" s="15"/>
      <c r="F963" s="15"/>
      <c r="G963" s="15"/>
      <c r="H963" s="15"/>
      <c r="I963" s="15"/>
      <c r="J963" s="15"/>
      <c r="K963" s="15"/>
      <c r="L963" s="747"/>
      <c r="M963" s="15"/>
      <c r="N963" s="15"/>
      <c r="O963" s="15"/>
      <c r="P963" s="15"/>
      <c r="Q963" s="15"/>
      <c r="R963" s="15"/>
      <c r="S963" s="15"/>
      <c r="T963" s="15"/>
      <c r="U963" s="15"/>
      <c r="V963" s="15"/>
      <c r="W963" s="15"/>
      <c r="X963" s="15"/>
      <c r="Y963" s="15"/>
      <c r="Z963" s="15"/>
      <c r="AA963" s="15"/>
      <c r="AB963" s="15"/>
      <c r="AC963" s="15"/>
      <c r="AD963" s="15"/>
      <c r="AE963" s="15"/>
    </row>
    <row r="964" spans="1:31" x14ac:dyDescent="0.85">
      <c r="A964" s="15"/>
      <c r="B964" s="15"/>
      <c r="C964" s="15"/>
      <c r="D964" s="15"/>
      <c r="E964" s="15"/>
      <c r="F964" s="15"/>
      <c r="G964" s="15"/>
      <c r="H964" s="15"/>
      <c r="I964" s="15"/>
      <c r="J964" s="15"/>
      <c r="K964" s="15"/>
      <c r="L964" s="747"/>
      <c r="M964" s="15"/>
      <c r="N964" s="15"/>
      <c r="O964" s="15"/>
      <c r="P964" s="15"/>
      <c r="Q964" s="15"/>
      <c r="R964" s="15"/>
      <c r="S964" s="15"/>
      <c r="T964" s="15"/>
      <c r="U964" s="15"/>
      <c r="V964" s="15"/>
      <c r="W964" s="15"/>
      <c r="X964" s="15"/>
      <c r="Y964" s="15"/>
      <c r="Z964" s="15"/>
      <c r="AA964" s="15"/>
      <c r="AB964" s="15"/>
      <c r="AC964" s="15"/>
      <c r="AD964" s="15"/>
      <c r="AE964" s="15"/>
    </row>
    <row r="965" spans="1:31" x14ac:dyDescent="0.85">
      <c r="A965" s="15"/>
      <c r="B965" s="15"/>
      <c r="C965" s="15"/>
      <c r="D965" s="15"/>
      <c r="E965" s="15"/>
      <c r="F965" s="15"/>
      <c r="G965" s="15"/>
      <c r="H965" s="15"/>
      <c r="I965" s="15"/>
      <c r="J965" s="15"/>
      <c r="K965" s="15"/>
      <c r="L965" s="747"/>
      <c r="M965" s="15"/>
      <c r="N965" s="15"/>
      <c r="O965" s="15"/>
      <c r="P965" s="15"/>
      <c r="Q965" s="15"/>
      <c r="R965" s="15"/>
      <c r="S965" s="15"/>
      <c r="T965" s="15"/>
      <c r="U965" s="15"/>
      <c r="V965" s="15"/>
      <c r="W965" s="15"/>
      <c r="X965" s="15"/>
      <c r="Y965" s="15"/>
      <c r="Z965" s="15"/>
      <c r="AA965" s="15"/>
      <c r="AB965" s="15"/>
      <c r="AC965" s="15"/>
      <c r="AD965" s="15"/>
      <c r="AE965" s="15"/>
    </row>
    <row r="966" spans="1:31" x14ac:dyDescent="0.85">
      <c r="A966" s="15"/>
      <c r="B966" s="15"/>
      <c r="C966" s="15"/>
      <c r="D966" s="15"/>
      <c r="E966" s="15"/>
      <c r="F966" s="15"/>
      <c r="G966" s="15"/>
      <c r="H966" s="15"/>
      <c r="I966" s="15"/>
      <c r="J966" s="15"/>
      <c r="K966" s="15"/>
      <c r="L966" s="747"/>
      <c r="M966" s="15"/>
      <c r="N966" s="15"/>
      <c r="O966" s="15"/>
      <c r="P966" s="15"/>
      <c r="Q966" s="15"/>
      <c r="R966" s="15"/>
      <c r="S966" s="15"/>
      <c r="T966" s="15"/>
      <c r="U966" s="15"/>
      <c r="V966" s="15"/>
      <c r="W966" s="15"/>
      <c r="X966" s="15"/>
      <c r="Y966" s="15"/>
      <c r="Z966" s="15"/>
      <c r="AA966" s="15"/>
      <c r="AB966" s="15"/>
      <c r="AC966" s="15"/>
      <c r="AD966" s="15"/>
      <c r="AE966" s="15"/>
    </row>
    <row r="967" spans="1:31" x14ac:dyDescent="0.85">
      <c r="A967" s="15"/>
      <c r="B967" s="15"/>
      <c r="C967" s="15"/>
      <c r="D967" s="15"/>
      <c r="E967" s="15"/>
      <c r="F967" s="15"/>
      <c r="G967" s="15"/>
      <c r="H967" s="15"/>
      <c r="I967" s="15"/>
      <c r="J967" s="15"/>
      <c r="K967" s="15"/>
      <c r="L967" s="747"/>
      <c r="M967" s="15"/>
      <c r="N967" s="15"/>
      <c r="O967" s="15"/>
      <c r="P967" s="15"/>
      <c r="Q967" s="15"/>
      <c r="R967" s="15"/>
      <c r="S967" s="15"/>
      <c r="T967" s="15"/>
      <c r="U967" s="15"/>
      <c r="V967" s="15"/>
      <c r="W967" s="15"/>
      <c r="X967" s="15"/>
      <c r="Y967" s="15"/>
      <c r="Z967" s="15"/>
      <c r="AA967" s="15"/>
      <c r="AB967" s="15"/>
      <c r="AC967" s="15"/>
      <c r="AD967" s="15"/>
      <c r="AE967" s="15"/>
    </row>
    <row r="968" spans="1:31" x14ac:dyDescent="0.85">
      <c r="A968" s="15"/>
      <c r="B968" s="15"/>
      <c r="C968" s="15"/>
      <c r="D968" s="15"/>
      <c r="E968" s="15"/>
      <c r="F968" s="15"/>
      <c r="G968" s="15"/>
      <c r="H968" s="15"/>
      <c r="I968" s="15"/>
      <c r="J968" s="15"/>
      <c r="K968" s="15"/>
      <c r="L968" s="747"/>
      <c r="M968" s="15"/>
      <c r="N968" s="15"/>
      <c r="O968" s="15"/>
      <c r="P968" s="15"/>
      <c r="Q968" s="15"/>
      <c r="R968" s="15"/>
      <c r="S968" s="15"/>
      <c r="T968" s="15"/>
      <c r="U968" s="15"/>
      <c r="V968" s="15"/>
      <c r="W968" s="15"/>
      <c r="X968" s="15"/>
      <c r="Y968" s="15"/>
      <c r="Z968" s="15"/>
      <c r="AA968" s="15"/>
      <c r="AB968" s="15"/>
      <c r="AC968" s="15"/>
      <c r="AD968" s="15"/>
      <c r="AE968" s="15"/>
    </row>
    <row r="969" spans="1:31" x14ac:dyDescent="0.85">
      <c r="A969" s="15"/>
      <c r="B969" s="15"/>
      <c r="C969" s="15"/>
      <c r="D969" s="15"/>
      <c r="E969" s="15"/>
      <c r="F969" s="15"/>
      <c r="G969" s="15"/>
      <c r="H969" s="15"/>
      <c r="I969" s="15"/>
      <c r="J969" s="15"/>
      <c r="K969" s="15"/>
      <c r="L969" s="747"/>
      <c r="M969" s="15"/>
      <c r="N969" s="15"/>
      <c r="O969" s="15"/>
      <c r="P969" s="15"/>
      <c r="Q969" s="15"/>
      <c r="R969" s="15"/>
      <c r="S969" s="15"/>
      <c r="T969" s="15"/>
      <c r="U969" s="15"/>
      <c r="V969" s="15"/>
      <c r="W969" s="15"/>
      <c r="X969" s="15"/>
      <c r="Y969" s="15"/>
      <c r="Z969" s="15"/>
      <c r="AA969" s="15"/>
      <c r="AB969" s="15"/>
      <c r="AC969" s="15"/>
      <c r="AD969" s="15"/>
      <c r="AE969" s="15"/>
    </row>
    <row r="970" spans="1:31" x14ac:dyDescent="0.85">
      <c r="A970" s="15"/>
      <c r="B970" s="15"/>
      <c r="C970" s="15"/>
      <c r="D970" s="15"/>
      <c r="E970" s="15"/>
      <c r="F970" s="15"/>
      <c r="G970" s="15"/>
      <c r="H970" s="15"/>
      <c r="I970" s="15"/>
      <c r="J970" s="15"/>
      <c r="K970" s="15"/>
      <c r="L970" s="747"/>
      <c r="M970" s="15"/>
      <c r="N970" s="15"/>
      <c r="O970" s="15"/>
      <c r="P970" s="15"/>
      <c r="Q970" s="15"/>
      <c r="R970" s="15"/>
      <c r="S970" s="15"/>
      <c r="T970" s="15"/>
      <c r="U970" s="15"/>
      <c r="V970" s="15"/>
      <c r="W970" s="15"/>
      <c r="X970" s="15"/>
      <c r="Y970" s="15"/>
      <c r="Z970" s="15"/>
      <c r="AA970" s="15"/>
      <c r="AB970" s="15"/>
      <c r="AC970" s="15"/>
      <c r="AD970" s="15"/>
      <c r="AE970" s="15"/>
    </row>
    <row r="971" spans="1:31" x14ac:dyDescent="0.85">
      <c r="A971" s="15"/>
      <c r="B971" s="15"/>
      <c r="C971" s="15"/>
      <c r="D971" s="15"/>
      <c r="E971" s="15"/>
      <c r="F971" s="15"/>
      <c r="G971" s="15"/>
      <c r="H971" s="15"/>
      <c r="I971" s="15"/>
      <c r="J971" s="15"/>
      <c r="K971" s="15"/>
      <c r="L971" s="747"/>
      <c r="M971" s="15"/>
      <c r="N971" s="15"/>
      <c r="O971" s="15"/>
      <c r="P971" s="15"/>
      <c r="Q971" s="15"/>
      <c r="R971" s="15"/>
      <c r="S971" s="15"/>
      <c r="T971" s="15"/>
      <c r="U971" s="15"/>
      <c r="V971" s="15"/>
      <c r="W971" s="15"/>
      <c r="X971" s="15"/>
      <c r="Y971" s="15"/>
      <c r="Z971" s="15"/>
      <c r="AA971" s="15"/>
      <c r="AB971" s="15"/>
      <c r="AC971" s="15"/>
      <c r="AD971" s="15"/>
      <c r="AE971" s="15"/>
    </row>
    <row r="972" spans="1:31" x14ac:dyDescent="0.85">
      <c r="A972" s="15"/>
      <c r="B972" s="15"/>
      <c r="C972" s="15"/>
      <c r="D972" s="15"/>
      <c r="E972" s="15"/>
      <c r="F972" s="15"/>
      <c r="G972" s="15"/>
      <c r="H972" s="15"/>
      <c r="I972" s="15"/>
      <c r="J972" s="15"/>
      <c r="K972" s="15"/>
      <c r="L972" s="747"/>
      <c r="M972" s="15"/>
      <c r="N972" s="15"/>
      <c r="O972" s="15"/>
      <c r="P972" s="15"/>
      <c r="Q972" s="15"/>
      <c r="R972" s="15"/>
      <c r="S972" s="15"/>
      <c r="T972" s="15"/>
      <c r="U972" s="15"/>
      <c r="V972" s="15"/>
      <c r="W972" s="15"/>
      <c r="X972" s="15"/>
      <c r="Y972" s="15"/>
      <c r="Z972" s="15"/>
      <c r="AA972" s="15"/>
      <c r="AB972" s="15"/>
      <c r="AC972" s="15"/>
      <c r="AD972" s="15"/>
      <c r="AE972" s="15"/>
    </row>
    <row r="973" spans="1:31" x14ac:dyDescent="0.85">
      <c r="A973" s="15"/>
      <c r="B973" s="15"/>
      <c r="C973" s="15"/>
      <c r="D973" s="15"/>
      <c r="E973" s="15"/>
      <c r="F973" s="15"/>
      <c r="G973" s="15"/>
      <c r="H973" s="15"/>
      <c r="I973" s="15"/>
      <c r="J973" s="15"/>
      <c r="K973" s="15"/>
      <c r="L973" s="747"/>
      <c r="M973" s="15"/>
      <c r="N973" s="15"/>
      <c r="O973" s="15"/>
      <c r="P973" s="15"/>
      <c r="Q973" s="15"/>
      <c r="R973" s="15"/>
      <c r="S973" s="15"/>
      <c r="T973" s="15"/>
      <c r="U973" s="15"/>
      <c r="V973" s="15"/>
      <c r="W973" s="15"/>
      <c r="X973" s="15"/>
      <c r="Y973" s="15"/>
      <c r="Z973" s="15"/>
      <c r="AA973" s="15"/>
      <c r="AB973" s="15"/>
      <c r="AC973" s="15"/>
      <c r="AD973" s="15"/>
      <c r="AE973" s="15"/>
    </row>
    <row r="974" spans="1:31" x14ac:dyDescent="0.85">
      <c r="A974" s="15"/>
      <c r="B974" s="15"/>
      <c r="C974" s="15"/>
      <c r="D974" s="15"/>
      <c r="E974" s="15"/>
      <c r="F974" s="15"/>
      <c r="G974" s="15"/>
      <c r="H974" s="15"/>
      <c r="I974" s="15"/>
      <c r="J974" s="15"/>
      <c r="K974" s="15"/>
      <c r="L974" s="747"/>
      <c r="M974" s="15"/>
      <c r="N974" s="15"/>
      <c r="O974" s="15"/>
      <c r="P974" s="15"/>
      <c r="Q974" s="15"/>
      <c r="R974" s="15"/>
      <c r="S974" s="15"/>
      <c r="T974" s="15"/>
      <c r="U974" s="15"/>
      <c r="V974" s="15"/>
      <c r="W974" s="15"/>
      <c r="X974" s="15"/>
      <c r="Y974" s="15"/>
      <c r="Z974" s="15"/>
      <c r="AA974" s="15"/>
      <c r="AB974" s="15"/>
      <c r="AC974" s="15"/>
      <c r="AD974" s="15"/>
      <c r="AE974" s="15"/>
    </row>
    <row r="975" spans="1:31" x14ac:dyDescent="0.85">
      <c r="A975" s="15"/>
      <c r="B975" s="15"/>
      <c r="C975" s="15"/>
      <c r="D975" s="15"/>
      <c r="E975" s="15"/>
      <c r="F975" s="15"/>
      <c r="G975" s="15"/>
      <c r="H975" s="15"/>
      <c r="I975" s="15"/>
      <c r="J975" s="15"/>
      <c r="K975" s="15"/>
      <c r="L975" s="747"/>
      <c r="M975" s="15"/>
      <c r="N975" s="15"/>
      <c r="O975" s="15"/>
      <c r="P975" s="15"/>
      <c r="Q975" s="15"/>
      <c r="R975" s="15"/>
      <c r="S975" s="15"/>
      <c r="T975" s="15"/>
      <c r="U975" s="15"/>
      <c r="V975" s="15"/>
      <c r="W975" s="15"/>
      <c r="X975" s="15"/>
      <c r="Y975" s="15"/>
      <c r="Z975" s="15"/>
      <c r="AA975" s="15"/>
      <c r="AB975" s="15"/>
      <c r="AC975" s="15"/>
      <c r="AD975" s="15"/>
      <c r="AE975" s="15"/>
    </row>
    <row r="976" spans="1:31" x14ac:dyDescent="0.85">
      <c r="A976" s="15"/>
      <c r="B976" s="15"/>
      <c r="C976" s="15"/>
      <c r="D976" s="15"/>
      <c r="E976" s="15"/>
      <c r="F976" s="15"/>
      <c r="G976" s="15"/>
      <c r="H976" s="15"/>
      <c r="I976" s="15"/>
      <c r="J976" s="15"/>
      <c r="K976" s="15"/>
      <c r="L976" s="747"/>
      <c r="M976" s="15"/>
      <c r="N976" s="15"/>
      <c r="O976" s="15"/>
      <c r="P976" s="15"/>
      <c r="Q976" s="15"/>
      <c r="R976" s="15"/>
      <c r="S976" s="15"/>
      <c r="T976" s="15"/>
      <c r="U976" s="15"/>
      <c r="V976" s="15"/>
      <c r="W976" s="15"/>
      <c r="X976" s="15"/>
      <c r="Y976" s="15"/>
      <c r="Z976" s="15"/>
      <c r="AA976" s="15"/>
      <c r="AB976" s="15"/>
      <c r="AC976" s="15"/>
      <c r="AD976" s="15"/>
      <c r="AE976" s="15"/>
    </row>
    <row r="977" spans="1:31" x14ac:dyDescent="0.85">
      <c r="A977" s="15"/>
      <c r="B977" s="15"/>
      <c r="C977" s="15"/>
      <c r="D977" s="15"/>
      <c r="E977" s="15"/>
      <c r="F977" s="15"/>
      <c r="G977" s="15"/>
      <c r="H977" s="15"/>
      <c r="I977" s="15"/>
      <c r="J977" s="15"/>
      <c r="K977" s="15"/>
      <c r="L977" s="747"/>
      <c r="M977" s="15"/>
      <c r="N977" s="15"/>
      <c r="O977" s="15"/>
      <c r="P977" s="15"/>
      <c r="Q977" s="15"/>
      <c r="R977" s="15"/>
      <c r="S977" s="15"/>
      <c r="T977" s="15"/>
      <c r="U977" s="15"/>
      <c r="V977" s="15"/>
      <c r="W977" s="15"/>
      <c r="X977" s="15"/>
      <c r="Y977" s="15"/>
      <c r="Z977" s="15"/>
      <c r="AA977" s="15"/>
      <c r="AB977" s="15"/>
      <c r="AC977" s="15"/>
      <c r="AD977" s="15"/>
      <c r="AE977" s="15"/>
    </row>
    <row r="978" spans="1:31" x14ac:dyDescent="0.85">
      <c r="A978" s="15"/>
      <c r="B978" s="15"/>
      <c r="C978" s="15"/>
      <c r="D978" s="15"/>
      <c r="E978" s="15"/>
      <c r="F978" s="15"/>
      <c r="G978" s="15"/>
      <c r="H978" s="15"/>
      <c r="I978" s="15"/>
      <c r="J978" s="15"/>
      <c r="K978" s="15"/>
      <c r="L978" s="747"/>
      <c r="M978" s="15"/>
      <c r="N978" s="15"/>
      <c r="O978" s="15"/>
      <c r="P978" s="15"/>
      <c r="Q978" s="15"/>
      <c r="R978" s="15"/>
      <c r="S978" s="15"/>
      <c r="T978" s="15"/>
      <c r="U978" s="15"/>
      <c r="V978" s="15"/>
      <c r="W978" s="15"/>
      <c r="X978" s="15"/>
      <c r="Y978" s="15"/>
      <c r="Z978" s="15"/>
      <c r="AA978" s="15"/>
      <c r="AB978" s="15"/>
      <c r="AC978" s="15"/>
      <c r="AD978" s="15"/>
      <c r="AE978" s="15"/>
    </row>
    <row r="979" spans="1:31" x14ac:dyDescent="0.85">
      <c r="A979" s="15"/>
      <c r="B979" s="15"/>
      <c r="C979" s="15"/>
      <c r="D979" s="15"/>
      <c r="E979" s="15"/>
      <c r="F979" s="15"/>
      <c r="G979" s="15"/>
      <c r="H979" s="15"/>
      <c r="I979" s="15"/>
      <c r="J979" s="15"/>
      <c r="K979" s="15"/>
      <c r="L979" s="747"/>
      <c r="M979" s="15"/>
      <c r="N979" s="15"/>
      <c r="O979" s="15"/>
      <c r="P979" s="15"/>
      <c r="Q979" s="15"/>
      <c r="R979" s="15"/>
      <c r="S979" s="15"/>
      <c r="T979" s="15"/>
      <c r="U979" s="15"/>
      <c r="V979" s="15"/>
      <c r="W979" s="15"/>
      <c r="X979" s="15"/>
      <c r="Y979" s="15"/>
      <c r="Z979" s="15"/>
      <c r="AA979" s="15"/>
      <c r="AB979" s="15"/>
      <c r="AC979" s="15"/>
      <c r="AD979" s="15"/>
      <c r="AE979" s="15"/>
    </row>
    <row r="980" spans="1:31" x14ac:dyDescent="0.85">
      <c r="A980" s="15"/>
      <c r="B980" s="15"/>
      <c r="C980" s="15"/>
      <c r="D980" s="15"/>
      <c r="E980" s="15"/>
      <c r="F980" s="15"/>
      <c r="G980" s="15"/>
      <c r="H980" s="15"/>
      <c r="I980" s="15"/>
      <c r="J980" s="15"/>
      <c r="K980" s="15"/>
      <c r="L980" s="747"/>
      <c r="M980" s="15"/>
      <c r="N980" s="15"/>
      <c r="O980" s="15"/>
      <c r="P980" s="15"/>
      <c r="Q980" s="15"/>
      <c r="R980" s="15"/>
      <c r="S980" s="15"/>
      <c r="T980" s="15"/>
      <c r="U980" s="15"/>
      <c r="V980" s="15"/>
      <c r="W980" s="15"/>
      <c r="X980" s="15"/>
      <c r="Y980" s="15"/>
      <c r="Z980" s="15"/>
      <c r="AA980" s="15"/>
      <c r="AB980" s="15"/>
      <c r="AC980" s="15"/>
      <c r="AD980" s="15"/>
      <c r="AE980" s="15"/>
    </row>
    <row r="981" spans="1:31" x14ac:dyDescent="0.85">
      <c r="A981" s="15"/>
      <c r="B981" s="15"/>
      <c r="C981" s="15"/>
      <c r="D981" s="15"/>
      <c r="E981" s="15"/>
      <c r="F981" s="15"/>
      <c r="G981" s="15"/>
      <c r="H981" s="15"/>
      <c r="I981" s="15"/>
      <c r="J981" s="15"/>
      <c r="K981" s="15"/>
      <c r="L981" s="747"/>
      <c r="M981" s="15"/>
      <c r="N981" s="15"/>
      <c r="O981" s="15"/>
      <c r="P981" s="15"/>
      <c r="Q981" s="15"/>
      <c r="R981" s="15"/>
      <c r="S981" s="15"/>
      <c r="T981" s="15"/>
      <c r="U981" s="15"/>
      <c r="V981" s="15"/>
      <c r="W981" s="15"/>
      <c r="X981" s="15"/>
      <c r="Y981" s="15"/>
      <c r="Z981" s="15"/>
      <c r="AA981" s="15"/>
      <c r="AB981" s="15"/>
      <c r="AC981" s="15"/>
      <c r="AD981" s="15"/>
      <c r="AE981" s="15"/>
    </row>
    <row r="982" spans="1:31" x14ac:dyDescent="0.85">
      <c r="A982" s="15"/>
      <c r="B982" s="15"/>
      <c r="C982" s="15"/>
      <c r="D982" s="15"/>
      <c r="E982" s="15"/>
      <c r="F982" s="15"/>
      <c r="G982" s="15"/>
      <c r="H982" s="15"/>
      <c r="I982" s="15"/>
      <c r="J982" s="15"/>
      <c r="K982" s="15"/>
      <c r="L982" s="747"/>
      <c r="M982" s="15"/>
      <c r="N982" s="15"/>
      <c r="O982" s="15"/>
      <c r="P982" s="15"/>
      <c r="Q982" s="15"/>
      <c r="R982" s="15"/>
      <c r="S982" s="15"/>
      <c r="T982" s="15"/>
      <c r="U982" s="15"/>
      <c r="V982" s="15"/>
      <c r="W982" s="15"/>
      <c r="X982" s="15"/>
      <c r="Y982" s="15"/>
      <c r="Z982" s="15"/>
      <c r="AA982" s="15"/>
      <c r="AB982" s="15"/>
      <c r="AC982" s="15"/>
      <c r="AD982" s="15"/>
      <c r="AE982" s="15"/>
    </row>
    <row r="983" spans="1:31" x14ac:dyDescent="0.85">
      <c r="A983" s="15"/>
      <c r="B983" s="15"/>
      <c r="C983" s="15"/>
      <c r="D983" s="15"/>
      <c r="E983" s="15"/>
      <c r="F983" s="15"/>
      <c r="G983" s="15"/>
      <c r="H983" s="15"/>
      <c r="I983" s="15"/>
      <c r="J983" s="15"/>
      <c r="K983" s="15"/>
      <c r="L983" s="747"/>
      <c r="M983" s="15"/>
      <c r="N983" s="15"/>
      <c r="O983" s="15"/>
      <c r="P983" s="15"/>
      <c r="Q983" s="15"/>
      <c r="R983" s="15"/>
      <c r="S983" s="15"/>
      <c r="T983" s="15"/>
      <c r="U983" s="15"/>
      <c r="V983" s="15"/>
      <c r="W983" s="15"/>
      <c r="X983" s="15"/>
      <c r="Y983" s="15"/>
      <c r="Z983" s="15"/>
      <c r="AA983" s="15"/>
      <c r="AB983" s="15"/>
      <c r="AC983" s="15"/>
      <c r="AD983" s="15"/>
      <c r="AE983" s="15"/>
    </row>
    <row r="984" spans="1:31" x14ac:dyDescent="0.85">
      <c r="A984" s="15"/>
      <c r="B984" s="15"/>
      <c r="C984" s="15"/>
      <c r="D984" s="15"/>
      <c r="E984" s="15"/>
      <c r="F984" s="15"/>
      <c r="G984" s="15"/>
      <c r="H984" s="15"/>
      <c r="I984" s="15"/>
      <c r="J984" s="15"/>
      <c r="K984" s="15"/>
      <c r="L984" s="747"/>
      <c r="M984" s="15"/>
      <c r="N984" s="15"/>
      <c r="O984" s="15"/>
      <c r="P984" s="15"/>
      <c r="Q984" s="15"/>
      <c r="R984" s="15"/>
      <c r="S984" s="15"/>
      <c r="T984" s="15"/>
      <c r="U984" s="15"/>
      <c r="V984" s="15"/>
      <c r="W984" s="15"/>
      <c r="X984" s="15"/>
      <c r="Y984" s="15"/>
      <c r="Z984" s="15"/>
      <c r="AA984" s="15"/>
      <c r="AB984" s="15"/>
      <c r="AC984" s="15"/>
      <c r="AD984" s="15"/>
      <c r="AE984" s="15"/>
    </row>
    <row r="985" spans="1:31" x14ac:dyDescent="0.85">
      <c r="A985" s="15"/>
      <c r="B985" s="15"/>
      <c r="C985" s="15"/>
      <c r="D985" s="15"/>
      <c r="E985" s="15"/>
      <c r="F985" s="15"/>
      <c r="G985" s="15"/>
      <c r="H985" s="15"/>
      <c r="I985" s="15"/>
      <c r="J985" s="15"/>
      <c r="K985" s="15"/>
      <c r="L985" s="747"/>
      <c r="M985" s="15"/>
      <c r="N985" s="15"/>
      <c r="O985" s="15"/>
      <c r="P985" s="15"/>
      <c r="Q985" s="15"/>
      <c r="R985" s="15"/>
      <c r="S985" s="15"/>
      <c r="T985" s="15"/>
      <c r="U985" s="15"/>
      <c r="V985" s="15"/>
      <c r="W985" s="15"/>
      <c r="X985" s="15"/>
      <c r="Y985" s="15"/>
      <c r="Z985" s="15"/>
      <c r="AA985" s="15"/>
      <c r="AB985" s="15"/>
      <c r="AC985" s="15"/>
      <c r="AD985" s="15"/>
      <c r="AE985" s="15"/>
    </row>
    <row r="986" spans="1:31" x14ac:dyDescent="0.85">
      <c r="A986" s="15"/>
      <c r="B986" s="15"/>
      <c r="C986" s="15"/>
      <c r="D986" s="15"/>
      <c r="E986" s="15"/>
      <c r="F986" s="15"/>
      <c r="G986" s="15"/>
      <c r="H986" s="15"/>
      <c r="I986" s="15"/>
      <c r="J986" s="15"/>
      <c r="K986" s="15"/>
      <c r="L986" s="747"/>
      <c r="M986" s="15"/>
      <c r="N986" s="15"/>
      <c r="O986" s="15"/>
      <c r="P986" s="15"/>
      <c r="Q986" s="15"/>
      <c r="R986" s="15"/>
      <c r="S986" s="15"/>
      <c r="T986" s="15"/>
      <c r="U986" s="15"/>
      <c r="V986" s="15"/>
      <c r="W986" s="15"/>
      <c r="X986" s="15"/>
      <c r="Y986" s="15"/>
      <c r="Z986" s="15"/>
      <c r="AA986" s="15"/>
      <c r="AB986" s="15"/>
      <c r="AC986" s="15"/>
      <c r="AD986" s="15"/>
      <c r="AE986" s="15"/>
    </row>
    <row r="987" spans="1:31" x14ac:dyDescent="0.85">
      <c r="A987" s="15"/>
      <c r="B987" s="15"/>
      <c r="C987" s="15"/>
      <c r="D987" s="15"/>
      <c r="E987" s="15"/>
      <c r="F987" s="15"/>
      <c r="G987" s="15"/>
      <c r="H987" s="15"/>
      <c r="I987" s="15"/>
      <c r="J987" s="15"/>
      <c r="K987" s="15"/>
      <c r="L987" s="747"/>
      <c r="M987" s="15"/>
      <c r="N987" s="15"/>
      <c r="O987" s="15"/>
      <c r="P987" s="15"/>
      <c r="Q987" s="15"/>
      <c r="R987" s="15"/>
      <c r="S987" s="15"/>
      <c r="T987" s="15"/>
      <c r="U987" s="15"/>
      <c r="V987" s="15"/>
      <c r="W987" s="15"/>
      <c r="X987" s="15"/>
      <c r="Y987" s="15"/>
      <c r="Z987" s="15"/>
      <c r="AA987" s="15"/>
      <c r="AB987" s="15"/>
      <c r="AC987" s="15"/>
      <c r="AD987" s="15"/>
      <c r="AE987" s="15"/>
    </row>
    <row r="988" spans="1:31" x14ac:dyDescent="0.85">
      <c r="A988" s="15"/>
      <c r="B988" s="15"/>
      <c r="C988" s="15"/>
      <c r="D988" s="15"/>
      <c r="E988" s="15"/>
      <c r="F988" s="15"/>
      <c r="G988" s="15"/>
      <c r="H988" s="15"/>
      <c r="I988" s="15"/>
      <c r="J988" s="15"/>
      <c r="K988" s="15"/>
      <c r="L988" s="747"/>
      <c r="M988" s="15"/>
      <c r="N988" s="15"/>
      <c r="O988" s="15"/>
      <c r="P988" s="15"/>
      <c r="Q988" s="15"/>
      <c r="R988" s="15"/>
      <c r="S988" s="15"/>
      <c r="T988" s="15"/>
      <c r="U988" s="15"/>
      <c r="V988" s="15"/>
      <c r="W988" s="15"/>
      <c r="X988" s="15"/>
      <c r="Y988" s="15"/>
      <c r="Z988" s="15"/>
      <c r="AA988" s="15"/>
      <c r="AB988" s="15"/>
      <c r="AC988" s="15"/>
      <c r="AD988" s="15"/>
      <c r="AE988" s="15"/>
    </row>
    <row r="989" spans="1:31" x14ac:dyDescent="0.85">
      <c r="A989" s="15"/>
      <c r="B989" s="15"/>
      <c r="C989" s="15"/>
      <c r="D989" s="15"/>
      <c r="E989" s="15"/>
      <c r="F989" s="15"/>
      <c r="G989" s="15"/>
      <c r="H989" s="15"/>
      <c r="I989" s="15"/>
      <c r="J989" s="15"/>
      <c r="K989" s="15"/>
      <c r="L989" s="747"/>
      <c r="M989" s="15"/>
      <c r="N989" s="15"/>
      <c r="O989" s="15"/>
      <c r="P989" s="15"/>
      <c r="Q989" s="15"/>
      <c r="R989" s="15"/>
      <c r="S989" s="15"/>
      <c r="T989" s="15"/>
      <c r="U989" s="15"/>
      <c r="V989" s="15"/>
      <c r="W989" s="15"/>
      <c r="X989" s="15"/>
      <c r="Y989" s="15"/>
      <c r="Z989" s="15"/>
      <c r="AA989" s="15"/>
      <c r="AB989" s="15"/>
      <c r="AC989" s="15"/>
      <c r="AD989" s="15"/>
      <c r="AE989" s="15"/>
    </row>
    <row r="990" spans="1:31" x14ac:dyDescent="0.85">
      <c r="A990" s="15"/>
      <c r="B990" s="15"/>
      <c r="C990" s="15"/>
      <c r="D990" s="15"/>
      <c r="E990" s="15"/>
      <c r="F990" s="15"/>
      <c r="G990" s="15"/>
      <c r="H990" s="15"/>
      <c r="I990" s="15"/>
      <c r="J990" s="15"/>
      <c r="K990" s="15"/>
      <c r="L990" s="747"/>
      <c r="M990" s="15"/>
      <c r="N990" s="15"/>
      <c r="O990" s="15"/>
      <c r="P990" s="15"/>
      <c r="Q990" s="15"/>
      <c r="R990" s="15"/>
      <c r="S990" s="15"/>
      <c r="T990" s="15"/>
      <c r="U990" s="15"/>
      <c r="V990" s="15"/>
      <c r="W990" s="15"/>
      <c r="X990" s="15"/>
      <c r="Y990" s="15"/>
      <c r="Z990" s="15"/>
      <c r="AA990" s="15"/>
      <c r="AB990" s="15"/>
      <c r="AC990" s="15"/>
      <c r="AD990" s="15"/>
      <c r="AE990" s="15"/>
    </row>
    <row r="991" spans="1:31" x14ac:dyDescent="0.85">
      <c r="A991" s="15"/>
      <c r="B991" s="15"/>
      <c r="C991" s="15"/>
      <c r="D991" s="15"/>
      <c r="E991" s="15"/>
      <c r="F991" s="15"/>
      <c r="G991" s="15"/>
      <c r="H991" s="15"/>
      <c r="I991" s="15"/>
      <c r="J991" s="15"/>
      <c r="K991" s="15"/>
      <c r="L991" s="747"/>
      <c r="M991" s="15"/>
      <c r="N991" s="15"/>
      <c r="O991" s="15"/>
      <c r="P991" s="15"/>
      <c r="Q991" s="15"/>
      <c r="R991" s="15"/>
      <c r="S991" s="15"/>
      <c r="T991" s="15"/>
      <c r="U991" s="15"/>
      <c r="V991" s="15"/>
      <c r="W991" s="15"/>
      <c r="X991" s="15"/>
      <c r="Y991" s="15"/>
      <c r="Z991" s="15"/>
      <c r="AA991" s="15"/>
      <c r="AB991" s="15"/>
      <c r="AC991" s="15"/>
      <c r="AD991" s="15"/>
      <c r="AE991" s="15"/>
    </row>
    <row r="992" spans="1:31" x14ac:dyDescent="0.85">
      <c r="A992" s="15"/>
      <c r="B992" s="15"/>
      <c r="C992" s="15"/>
      <c r="D992" s="15"/>
      <c r="E992" s="15"/>
      <c r="F992" s="15"/>
      <c r="G992" s="15"/>
      <c r="H992" s="15"/>
      <c r="I992" s="15"/>
      <c r="J992" s="15"/>
      <c r="K992" s="15"/>
      <c r="L992" s="747"/>
      <c r="M992" s="15"/>
      <c r="N992" s="15"/>
      <c r="O992" s="15"/>
      <c r="P992" s="15"/>
      <c r="Q992" s="15"/>
      <c r="R992" s="15"/>
      <c r="S992" s="15"/>
      <c r="T992" s="15"/>
      <c r="U992" s="15"/>
      <c r="V992" s="15"/>
      <c r="W992" s="15"/>
      <c r="X992" s="15"/>
      <c r="Y992" s="15"/>
      <c r="Z992" s="15"/>
      <c r="AA992" s="15"/>
      <c r="AB992" s="15"/>
      <c r="AC992" s="15"/>
      <c r="AD992" s="15"/>
      <c r="AE992" s="15"/>
    </row>
    <row r="993" spans="1:31" x14ac:dyDescent="0.85">
      <c r="A993" s="15"/>
      <c r="B993" s="15"/>
      <c r="C993" s="15"/>
      <c r="D993" s="15"/>
      <c r="E993" s="15"/>
      <c r="F993" s="15"/>
      <c r="G993" s="15"/>
      <c r="H993" s="15"/>
      <c r="I993" s="15"/>
      <c r="J993" s="15"/>
      <c r="K993" s="15"/>
      <c r="L993" s="747"/>
      <c r="M993" s="15"/>
      <c r="N993" s="15"/>
      <c r="O993" s="15"/>
      <c r="P993" s="15"/>
      <c r="Q993" s="15"/>
      <c r="R993" s="15"/>
      <c r="S993" s="15"/>
      <c r="T993" s="15"/>
      <c r="U993" s="15"/>
      <c r="V993" s="15"/>
      <c r="W993" s="15"/>
      <c r="X993" s="15"/>
      <c r="Y993" s="15"/>
      <c r="Z993" s="15"/>
      <c r="AA993" s="15"/>
      <c r="AB993" s="15"/>
      <c r="AC993" s="15"/>
      <c r="AD993" s="15"/>
      <c r="AE993" s="15"/>
    </row>
    <row r="994" spans="1:31" x14ac:dyDescent="0.85">
      <c r="A994" s="15"/>
      <c r="B994" s="15"/>
      <c r="C994" s="15"/>
      <c r="D994" s="15"/>
      <c r="E994" s="15"/>
      <c r="F994" s="15"/>
      <c r="G994" s="15"/>
      <c r="H994" s="15"/>
      <c r="I994" s="15"/>
      <c r="J994" s="15"/>
      <c r="K994" s="15"/>
      <c r="L994" s="747"/>
      <c r="M994" s="15"/>
      <c r="N994" s="15"/>
      <c r="O994" s="15"/>
      <c r="P994" s="15"/>
      <c r="Q994" s="15"/>
      <c r="R994" s="15"/>
      <c r="S994" s="15"/>
      <c r="T994" s="15"/>
      <c r="U994" s="15"/>
      <c r="V994" s="15"/>
      <c r="W994" s="15"/>
      <c r="X994" s="15"/>
      <c r="Y994" s="15"/>
      <c r="Z994" s="15"/>
      <c r="AA994" s="15"/>
      <c r="AB994" s="15"/>
      <c r="AC994" s="15"/>
      <c r="AD994" s="15"/>
      <c r="AE994" s="15"/>
    </row>
    <row r="995" spans="1:31" x14ac:dyDescent="0.85">
      <c r="A995" s="15"/>
      <c r="B995" s="15"/>
      <c r="C995" s="15"/>
      <c r="D995" s="15"/>
      <c r="E995" s="15"/>
      <c r="F995" s="15"/>
      <c r="G995" s="15"/>
      <c r="H995" s="15"/>
      <c r="I995" s="15"/>
      <c r="J995" s="15"/>
      <c r="K995" s="15"/>
      <c r="L995" s="747"/>
      <c r="M995" s="15"/>
      <c r="N995" s="15"/>
      <c r="O995" s="15"/>
      <c r="P995" s="15"/>
      <c r="Q995" s="15"/>
      <c r="R995" s="15"/>
      <c r="S995" s="15"/>
      <c r="T995" s="15"/>
      <c r="U995" s="15"/>
      <c r="V995" s="15"/>
      <c r="W995" s="15"/>
      <c r="X995" s="15"/>
      <c r="Y995" s="15"/>
      <c r="Z995" s="15"/>
      <c r="AA995" s="15"/>
      <c r="AB995" s="15"/>
      <c r="AC995" s="15"/>
      <c r="AD995" s="15"/>
      <c r="AE995" s="15"/>
    </row>
    <row r="996" spans="1:31" x14ac:dyDescent="0.85">
      <c r="A996" s="15"/>
      <c r="B996" s="15"/>
      <c r="C996" s="15"/>
      <c r="D996" s="15"/>
      <c r="E996" s="15"/>
      <c r="F996" s="15"/>
      <c r="G996" s="15"/>
      <c r="H996" s="15"/>
      <c r="I996" s="15"/>
      <c r="J996" s="15"/>
      <c r="K996" s="15"/>
      <c r="L996" s="747"/>
      <c r="M996" s="15"/>
      <c r="N996" s="15"/>
      <c r="O996" s="15"/>
      <c r="P996" s="15"/>
      <c r="Q996" s="15"/>
      <c r="R996" s="15"/>
      <c r="S996" s="15"/>
      <c r="T996" s="15"/>
      <c r="U996" s="15"/>
      <c r="V996" s="15"/>
      <c r="W996" s="15"/>
      <c r="X996" s="15"/>
      <c r="Y996" s="15"/>
      <c r="Z996" s="15"/>
      <c r="AA996" s="15"/>
      <c r="AB996" s="15"/>
      <c r="AC996" s="15"/>
      <c r="AD996" s="15"/>
      <c r="AE996" s="15"/>
    </row>
    <row r="997" spans="1:31" x14ac:dyDescent="0.85">
      <c r="A997" s="15"/>
      <c r="B997" s="15"/>
      <c r="C997" s="15"/>
      <c r="D997" s="15"/>
      <c r="E997" s="15"/>
      <c r="F997" s="15"/>
      <c r="G997" s="15"/>
      <c r="H997" s="15"/>
      <c r="I997" s="15"/>
      <c r="J997" s="15"/>
      <c r="K997" s="15"/>
      <c r="L997" s="747"/>
      <c r="M997" s="15"/>
      <c r="N997" s="15"/>
      <c r="O997" s="15"/>
      <c r="P997" s="15"/>
      <c r="Q997" s="15"/>
      <c r="R997" s="15"/>
      <c r="S997" s="15"/>
      <c r="T997" s="15"/>
      <c r="U997" s="15"/>
      <c r="V997" s="15"/>
      <c r="W997" s="15"/>
      <c r="X997" s="15"/>
      <c r="Y997" s="15"/>
      <c r="Z997" s="15"/>
      <c r="AA997" s="15"/>
      <c r="AB997" s="15"/>
      <c r="AC997" s="15"/>
      <c r="AD997" s="15"/>
      <c r="AE997" s="15"/>
    </row>
    <row r="998" spans="1:31" x14ac:dyDescent="0.85">
      <c r="A998" s="15"/>
      <c r="B998" s="15"/>
      <c r="C998" s="15"/>
      <c r="D998" s="15"/>
      <c r="E998" s="15"/>
      <c r="F998" s="15"/>
      <c r="G998" s="15"/>
      <c r="H998" s="15"/>
      <c r="I998" s="15"/>
      <c r="J998" s="15"/>
      <c r="K998" s="15"/>
      <c r="L998" s="747"/>
      <c r="M998" s="15"/>
      <c r="N998" s="15"/>
      <c r="O998" s="15"/>
      <c r="P998" s="15"/>
      <c r="Q998" s="15"/>
      <c r="R998" s="15"/>
      <c r="S998" s="15"/>
      <c r="T998" s="15"/>
      <c r="U998" s="15"/>
      <c r="V998" s="15"/>
      <c r="W998" s="15"/>
      <c r="X998" s="15"/>
      <c r="Y998" s="15"/>
      <c r="Z998" s="15"/>
      <c r="AA998" s="15"/>
      <c r="AB998" s="15"/>
      <c r="AC998" s="15"/>
      <c r="AD998" s="15"/>
      <c r="AE998" s="15"/>
    </row>
    <row r="999" spans="1:31" x14ac:dyDescent="0.85">
      <c r="A999" s="15"/>
      <c r="B999" s="15"/>
      <c r="C999" s="15"/>
      <c r="D999" s="15"/>
      <c r="E999" s="15"/>
      <c r="F999" s="15"/>
      <c r="G999" s="15"/>
      <c r="H999" s="15"/>
      <c r="I999" s="15"/>
      <c r="J999" s="15"/>
      <c r="K999" s="15"/>
      <c r="L999" s="747"/>
      <c r="M999" s="15"/>
      <c r="N999" s="15"/>
      <c r="O999" s="15"/>
      <c r="P999" s="15"/>
      <c r="Q999" s="15"/>
      <c r="R999" s="15"/>
      <c r="S999" s="15"/>
      <c r="T999" s="15"/>
      <c r="U999" s="15"/>
      <c r="V999" s="15"/>
      <c r="W999" s="15"/>
      <c r="X999" s="15"/>
      <c r="Y999" s="15"/>
      <c r="Z999" s="15"/>
      <c r="AA999" s="15"/>
      <c r="AB999" s="15"/>
      <c r="AC999" s="15"/>
      <c r="AD999" s="15"/>
      <c r="AE999" s="15"/>
    </row>
    <row r="1000" spans="1:31" x14ac:dyDescent="0.85">
      <c r="A1000" s="15"/>
      <c r="B1000" s="15"/>
      <c r="C1000" s="15"/>
      <c r="D1000" s="15"/>
      <c r="E1000" s="15"/>
      <c r="F1000" s="15"/>
      <c r="G1000" s="15"/>
      <c r="H1000" s="15"/>
      <c r="I1000" s="15"/>
      <c r="J1000" s="15"/>
      <c r="K1000" s="15"/>
      <c r="L1000" s="747"/>
      <c r="M1000" s="15"/>
      <c r="N1000" s="15"/>
      <c r="O1000" s="15"/>
      <c r="P1000" s="15"/>
      <c r="Q1000" s="15"/>
      <c r="R1000" s="15"/>
      <c r="S1000" s="15"/>
      <c r="T1000" s="15"/>
      <c r="U1000" s="15"/>
      <c r="V1000" s="15"/>
      <c r="W1000" s="15"/>
      <c r="X1000" s="15"/>
      <c r="Y1000" s="15"/>
      <c r="Z1000" s="15"/>
      <c r="AA1000" s="15"/>
      <c r="AB1000" s="15"/>
      <c r="AC1000" s="15"/>
      <c r="AD1000" s="15"/>
      <c r="AE1000" s="15"/>
    </row>
    <row r="1001" spans="1:31" x14ac:dyDescent="0.85">
      <c r="A1001" s="15"/>
      <c r="B1001" s="15"/>
      <c r="C1001" s="15"/>
      <c r="D1001" s="15"/>
      <c r="E1001" s="15"/>
      <c r="F1001" s="15"/>
      <c r="G1001" s="15"/>
      <c r="H1001" s="15"/>
      <c r="I1001" s="15"/>
      <c r="J1001" s="15"/>
      <c r="K1001" s="15"/>
      <c r="L1001" s="747"/>
      <c r="M1001" s="15"/>
      <c r="N1001" s="15"/>
      <c r="O1001" s="15"/>
      <c r="P1001" s="15"/>
      <c r="Q1001" s="15"/>
      <c r="R1001" s="15"/>
      <c r="S1001" s="15"/>
      <c r="T1001" s="15"/>
      <c r="U1001" s="15"/>
      <c r="V1001" s="15"/>
      <c r="W1001" s="15"/>
      <c r="X1001" s="15"/>
      <c r="Y1001" s="15"/>
      <c r="Z1001" s="15"/>
      <c r="AA1001" s="15"/>
      <c r="AB1001" s="15"/>
      <c r="AC1001" s="15"/>
      <c r="AD1001" s="15"/>
      <c r="AE1001" s="15"/>
    </row>
  </sheetData>
  <mergeCells count="2">
    <mergeCell ref="A3:K3"/>
    <mergeCell ref="G10:H10"/>
  </mergeCells>
  <pageMargins left="0.7" right="0.7" top="0.75" bottom="0.75" header="0" footer="0"/>
  <pageSetup orientation="landscape" r:id="rId1"/>
  <drawing r:id="rId2"/>
  <legacyDrawing r:id="rId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00A5CC"/>
  </sheetPr>
  <dimension ref="A1:AB1009"/>
  <sheetViews>
    <sheetView topLeftCell="A71" workbookViewId="0">
      <selection activeCell="B82" sqref="B82"/>
    </sheetView>
  </sheetViews>
  <sheetFormatPr defaultColWidth="11.23046875" defaultRowHeight="15" customHeight="1" outlineLevelRow="1" x14ac:dyDescent="0.85"/>
  <cols>
    <col min="1" max="1" width="59.3046875" style="722" customWidth="1"/>
    <col min="2" max="2" width="22.3046875" style="722" customWidth="1"/>
    <col min="3" max="11" width="19.765625" style="722" customWidth="1"/>
    <col min="12" max="28" width="16" style="722" customWidth="1"/>
    <col min="29" max="16384" width="11.23046875" style="722"/>
  </cols>
  <sheetData>
    <row r="1" spans="1:28" ht="37.799999999999997" x14ac:dyDescent="0.85">
      <c r="A1" s="545" t="s">
        <v>1220</v>
      </c>
      <c r="B1" s="546"/>
      <c r="C1" s="546"/>
      <c r="D1" s="546"/>
      <c r="E1" s="546"/>
      <c r="F1" s="546"/>
      <c r="G1" s="546"/>
      <c r="H1" s="546"/>
      <c r="I1" s="546"/>
      <c r="J1" s="546"/>
      <c r="K1" s="547"/>
      <c r="L1" s="534"/>
      <c r="M1" s="534"/>
      <c r="N1" s="534"/>
      <c r="O1" s="534"/>
      <c r="P1" s="534"/>
      <c r="Q1" s="534"/>
      <c r="R1" s="534"/>
      <c r="S1" s="534"/>
      <c r="T1" s="534"/>
      <c r="U1" s="534"/>
      <c r="V1" s="534"/>
      <c r="W1" s="534"/>
      <c r="X1" s="534"/>
      <c r="Y1" s="534"/>
      <c r="Z1" s="534"/>
      <c r="AA1" s="534"/>
      <c r="AB1" s="534"/>
    </row>
    <row r="2" spans="1:28" ht="19.5" customHeight="1" x14ac:dyDescent="0.85">
      <c r="A2" s="263" t="s">
        <v>581</v>
      </c>
      <c r="B2" s="264"/>
      <c r="C2" s="264"/>
      <c r="D2" s="264"/>
      <c r="E2" s="264"/>
      <c r="F2" s="264"/>
      <c r="G2" s="264"/>
      <c r="H2" s="264"/>
      <c r="I2" s="264"/>
      <c r="J2" s="723"/>
      <c r="K2" s="724"/>
      <c r="L2" s="725"/>
      <c r="M2" s="725"/>
      <c r="N2" s="725"/>
      <c r="O2" s="725"/>
      <c r="P2" s="725"/>
      <c r="Q2" s="725"/>
      <c r="R2" s="725"/>
      <c r="S2" s="725"/>
      <c r="T2" s="725"/>
      <c r="U2" s="725"/>
      <c r="V2" s="725"/>
      <c r="W2" s="725"/>
      <c r="X2" s="725"/>
      <c r="Y2" s="725"/>
      <c r="Z2" s="725"/>
      <c r="AA2" s="725"/>
      <c r="AB2" s="725"/>
    </row>
    <row r="3" spans="1:28" ht="42.6" customHeight="1" outlineLevel="1" x14ac:dyDescent="0.85">
      <c r="A3" s="72" t="s">
        <v>582</v>
      </c>
      <c r="B3" s="72" t="s">
        <v>1221</v>
      </c>
      <c r="C3" s="72" t="s">
        <v>1121</v>
      </c>
      <c r="D3" s="72" t="s">
        <v>1222</v>
      </c>
      <c r="E3" s="72" t="s">
        <v>1223</v>
      </c>
      <c r="F3" s="72" t="s">
        <v>121</v>
      </c>
      <c r="G3" s="72" t="s">
        <v>122</v>
      </c>
      <c r="H3" s="548"/>
      <c r="I3" s="548"/>
      <c r="J3" s="548"/>
      <c r="K3" s="548"/>
      <c r="L3" s="548"/>
      <c r="M3" s="548"/>
      <c r="N3" s="548"/>
      <c r="O3" s="548"/>
      <c r="P3" s="548"/>
      <c r="Q3" s="548"/>
      <c r="R3" s="548"/>
      <c r="S3" s="548"/>
      <c r="T3" s="548"/>
      <c r="U3" s="548"/>
      <c r="V3" s="548"/>
      <c r="W3" s="548"/>
      <c r="X3" s="548"/>
      <c r="Y3" s="548"/>
      <c r="Z3" s="548"/>
      <c r="AA3" s="548"/>
      <c r="AB3" s="548"/>
    </row>
    <row r="4" spans="1:28" ht="21.75" customHeight="1" outlineLevel="1" x14ac:dyDescent="0.85">
      <c r="A4" s="86" t="s">
        <v>105</v>
      </c>
      <c r="B4" s="152">
        <f>SUM(B94:B98)/SUM(B99)</f>
        <v>0.10081542022510756</v>
      </c>
      <c r="C4" s="150">
        <f>B84</f>
        <v>135220.034251023</v>
      </c>
      <c r="D4" s="152" t="s">
        <v>106</v>
      </c>
      <c r="E4" s="259">
        <f>B80+B82</f>
        <v>416.3541744966443</v>
      </c>
      <c r="F4" s="259" t="s">
        <v>106</v>
      </c>
      <c r="G4" s="259">
        <f>B81+B83</f>
        <v>134803.68007652636</v>
      </c>
      <c r="H4" s="548"/>
      <c r="I4" s="548"/>
      <c r="J4" s="548"/>
      <c r="K4" s="548"/>
      <c r="L4" s="548"/>
      <c r="M4" s="548"/>
      <c r="N4" s="548"/>
      <c r="O4" s="548"/>
      <c r="P4" s="548"/>
      <c r="Q4" s="548"/>
      <c r="R4" s="548"/>
      <c r="S4" s="548"/>
      <c r="T4" s="548"/>
      <c r="U4" s="548"/>
      <c r="V4" s="548"/>
      <c r="W4" s="548"/>
      <c r="X4" s="548"/>
      <c r="Y4" s="548"/>
      <c r="Z4" s="548"/>
      <c r="AA4" s="548"/>
      <c r="AB4" s="548"/>
    </row>
    <row r="5" spans="1:28" ht="21.75" customHeight="1" outlineLevel="1" x14ac:dyDescent="0.85">
      <c r="A5" s="86" t="s">
        <v>126</v>
      </c>
      <c r="B5" s="152">
        <f>SUM(C94:C98)/SUM(C99)</f>
        <v>4.3097427706829741E-2</v>
      </c>
      <c r="C5" s="150">
        <f>C84</f>
        <v>335996.48172579118</v>
      </c>
      <c r="D5" s="152">
        <f t="shared" ref="D5:D8" si="0">C5/$C$10</f>
        <v>0.69696609763638784</v>
      </c>
      <c r="E5" s="259">
        <f>C80+C82</f>
        <v>335996.48172579118</v>
      </c>
      <c r="F5" s="259" t="s">
        <v>106</v>
      </c>
      <c r="G5" s="259">
        <f>C81+C83</f>
        <v>0</v>
      </c>
      <c r="H5" s="548"/>
      <c r="I5" s="548"/>
      <c r="J5" s="548"/>
      <c r="K5" s="548"/>
      <c r="L5" s="548"/>
      <c r="M5" s="548"/>
      <c r="N5" s="548"/>
      <c r="O5" s="548"/>
      <c r="P5" s="548"/>
      <c r="Q5" s="548"/>
      <c r="R5" s="548"/>
      <c r="S5" s="548"/>
      <c r="T5" s="548"/>
      <c r="U5" s="548"/>
      <c r="V5" s="548"/>
      <c r="W5" s="548"/>
      <c r="X5" s="548"/>
      <c r="Y5" s="548"/>
      <c r="Z5" s="548"/>
      <c r="AA5" s="548"/>
      <c r="AB5" s="548"/>
    </row>
    <row r="6" spans="1:28" ht="21.75" customHeight="1" outlineLevel="1" x14ac:dyDescent="0.85">
      <c r="A6" s="86" t="s">
        <v>127</v>
      </c>
      <c r="B6" s="152">
        <f>SUM(D94:D98,E94:E98)/SUM(D99,E99)</f>
        <v>0</v>
      </c>
      <c r="C6" s="150">
        <f>D84+E84</f>
        <v>132798.02499013249</v>
      </c>
      <c r="D6" s="152">
        <f t="shared" si="0"/>
        <v>0.27546634052771857</v>
      </c>
      <c r="E6" s="259">
        <f>D80+E80+D82+E82</f>
        <v>132798.02499013249</v>
      </c>
      <c r="F6" s="259" t="s">
        <v>106</v>
      </c>
      <c r="G6" s="259">
        <f>D81+D83+E81+E83</f>
        <v>0</v>
      </c>
      <c r="H6" s="548"/>
      <c r="I6" s="548"/>
      <c r="J6" s="548"/>
      <c r="K6" s="548"/>
      <c r="L6" s="548"/>
      <c r="M6" s="548"/>
      <c r="N6" s="548"/>
      <c r="O6" s="548"/>
      <c r="P6" s="548"/>
      <c r="Q6" s="548"/>
      <c r="R6" s="548"/>
      <c r="S6" s="548"/>
      <c r="T6" s="548"/>
      <c r="U6" s="548"/>
      <c r="V6" s="548"/>
      <c r="W6" s="548"/>
      <c r="X6" s="548"/>
      <c r="Y6" s="548"/>
      <c r="Z6" s="548"/>
      <c r="AA6" s="548"/>
      <c r="AB6" s="548"/>
    </row>
    <row r="7" spans="1:28" ht="21.75" customHeight="1" outlineLevel="1" x14ac:dyDescent="0.85">
      <c r="A7" s="86" t="s">
        <v>128</v>
      </c>
      <c r="B7" s="152">
        <f>SUM(F94:F98)/SUM(F99)</f>
        <v>0.28591434817332823</v>
      </c>
      <c r="C7" s="150">
        <f>F84</f>
        <v>13289.891456744601</v>
      </c>
      <c r="D7" s="152">
        <f t="shared" si="0"/>
        <v>2.7567561835893636E-2</v>
      </c>
      <c r="E7" s="259">
        <f>F80+F82</f>
        <v>13289.891456744601</v>
      </c>
      <c r="F7" s="259" t="s">
        <v>106</v>
      </c>
      <c r="G7" s="259">
        <f>F81+F83</f>
        <v>0</v>
      </c>
      <c r="H7" s="548"/>
      <c r="I7" s="548"/>
      <c r="J7" s="548"/>
      <c r="K7" s="548"/>
      <c r="L7" s="548"/>
      <c r="M7" s="548"/>
      <c r="N7" s="548"/>
      <c r="O7" s="548"/>
      <c r="P7" s="548"/>
      <c r="Q7" s="548"/>
      <c r="R7" s="548"/>
      <c r="S7" s="548"/>
      <c r="T7" s="548"/>
      <c r="U7" s="548"/>
      <c r="V7" s="548"/>
      <c r="W7" s="548"/>
      <c r="X7" s="548"/>
      <c r="Y7" s="548"/>
      <c r="Z7" s="548"/>
      <c r="AA7" s="548"/>
      <c r="AB7" s="548"/>
    </row>
    <row r="8" spans="1:28" ht="21.75" customHeight="1" outlineLevel="1" x14ac:dyDescent="0.85">
      <c r="A8" s="86" t="s">
        <v>129</v>
      </c>
      <c r="B8" s="152">
        <f>IFERROR(SUM(G94:G98)/SUM(G99),0)</f>
        <v>0</v>
      </c>
      <c r="C8" s="150">
        <f>G84</f>
        <v>0</v>
      </c>
      <c r="D8" s="152">
        <f t="shared" si="0"/>
        <v>0</v>
      </c>
      <c r="E8" s="259">
        <f>G80+G82</f>
        <v>0</v>
      </c>
      <c r="F8" s="259" t="s">
        <v>106</v>
      </c>
      <c r="G8" s="259">
        <f>G81+G83</f>
        <v>0</v>
      </c>
      <c r="H8" s="548"/>
      <c r="I8" s="548"/>
      <c r="J8" s="548"/>
      <c r="K8" s="548"/>
      <c r="L8" s="548"/>
      <c r="M8" s="548"/>
      <c r="N8" s="548"/>
      <c r="O8" s="548"/>
      <c r="P8" s="548"/>
      <c r="Q8" s="548"/>
      <c r="R8" s="548"/>
      <c r="S8" s="548"/>
      <c r="T8" s="548"/>
      <c r="U8" s="548"/>
      <c r="V8" s="548"/>
      <c r="W8" s="548"/>
      <c r="X8" s="548"/>
      <c r="Y8" s="548"/>
      <c r="Z8" s="548"/>
      <c r="AA8" s="548"/>
      <c r="AB8" s="548"/>
    </row>
    <row r="9" spans="1:28" ht="21.75" customHeight="1" outlineLevel="1" x14ac:dyDescent="0.85">
      <c r="A9" s="549" t="s">
        <v>590</v>
      </c>
      <c r="B9" s="367">
        <f t="shared" ref="B9:C9" si="1">B4</f>
        <v>0.10081542022510756</v>
      </c>
      <c r="C9" s="336">
        <f t="shared" si="1"/>
        <v>135220.034251023</v>
      </c>
      <c r="D9" s="367" t="s">
        <v>106</v>
      </c>
      <c r="E9" s="336">
        <f t="shared" ref="E9:G9" si="2">E4</f>
        <v>416.3541744966443</v>
      </c>
      <c r="F9" s="336" t="str">
        <f t="shared" si="2"/>
        <v>N/A</v>
      </c>
      <c r="G9" s="336">
        <f t="shared" si="2"/>
        <v>134803.68007652636</v>
      </c>
      <c r="H9" s="548"/>
      <c r="I9" s="548"/>
      <c r="J9" s="548"/>
      <c r="K9" s="548"/>
      <c r="L9" s="548"/>
      <c r="M9" s="548"/>
      <c r="N9" s="548"/>
      <c r="O9" s="548"/>
      <c r="P9" s="548"/>
      <c r="Q9" s="548"/>
      <c r="R9" s="548"/>
      <c r="S9" s="548"/>
      <c r="T9" s="548"/>
      <c r="U9" s="548"/>
      <c r="V9" s="548"/>
      <c r="W9" s="548"/>
      <c r="X9" s="548"/>
      <c r="Y9" s="548"/>
      <c r="Z9" s="548"/>
      <c r="AA9" s="548"/>
      <c r="AB9" s="548"/>
    </row>
    <row r="10" spans="1:28" ht="21.75" customHeight="1" outlineLevel="1" x14ac:dyDescent="0.85">
      <c r="A10" s="549" t="s">
        <v>111</v>
      </c>
      <c r="B10" s="367">
        <f>SUM(H94:H98)/SUM(H99)</f>
        <v>4.1595381695302615E-2</v>
      </c>
      <c r="C10" s="336">
        <f t="shared" ref="C10:E10" si="3">SUM(C5:C8)</f>
        <v>482084.39817266824</v>
      </c>
      <c r="D10" s="367">
        <f t="shared" si="3"/>
        <v>1</v>
      </c>
      <c r="E10" s="336">
        <f t="shared" si="3"/>
        <v>482084.39817266824</v>
      </c>
      <c r="F10" s="336" t="str">
        <f>F5</f>
        <v>N/A</v>
      </c>
      <c r="G10" s="336">
        <f>SUM(G5:G8)</f>
        <v>0</v>
      </c>
      <c r="H10" s="274"/>
      <c r="I10" s="2"/>
      <c r="J10" s="2"/>
      <c r="K10" s="2"/>
      <c r="L10" s="548"/>
      <c r="M10" s="548"/>
      <c r="N10" s="548"/>
      <c r="O10" s="548"/>
      <c r="P10" s="548"/>
      <c r="Q10" s="548"/>
      <c r="R10" s="548"/>
      <c r="S10" s="548"/>
      <c r="T10" s="548"/>
      <c r="U10" s="548"/>
      <c r="V10" s="548"/>
      <c r="W10" s="548"/>
      <c r="X10" s="548"/>
      <c r="Y10" s="548"/>
      <c r="Z10" s="548"/>
      <c r="AA10" s="548"/>
      <c r="AB10" s="548"/>
    </row>
    <row r="11" spans="1:28" ht="19.5" customHeight="1" x14ac:dyDescent="0.85">
      <c r="A11" s="550" t="s">
        <v>591</v>
      </c>
      <c r="B11" s="551"/>
      <c r="C11" s="551"/>
      <c r="D11" s="551"/>
      <c r="E11" s="551"/>
      <c r="F11" s="551"/>
      <c r="G11" s="551"/>
      <c r="H11" s="551"/>
      <c r="I11" s="551"/>
      <c r="J11" s="552"/>
      <c r="K11" s="553"/>
      <c r="L11" s="2"/>
      <c r="M11" s="2"/>
      <c r="N11" s="2"/>
      <c r="O11" s="2"/>
      <c r="P11" s="2"/>
      <c r="Q11" s="2"/>
      <c r="R11" s="2"/>
      <c r="S11" s="2"/>
      <c r="T11" s="2"/>
      <c r="U11" s="2"/>
      <c r="V11" s="2"/>
      <c r="W11" s="2"/>
      <c r="X11" s="2"/>
      <c r="Y11" s="2"/>
      <c r="Z11" s="2"/>
      <c r="AA11" s="2"/>
      <c r="AB11" s="2"/>
    </row>
    <row r="12" spans="1:28" ht="19.5" customHeight="1" outlineLevel="1" x14ac:dyDescent="0.85">
      <c r="A12" s="891" t="s">
        <v>1224</v>
      </c>
      <c r="B12" s="892"/>
      <c r="C12" s="892"/>
      <c r="D12" s="892"/>
      <c r="E12" s="892"/>
      <c r="F12" s="892"/>
      <c r="G12" s="892"/>
      <c r="H12" s="893"/>
      <c r="I12" s="869"/>
      <c r="J12" s="892"/>
      <c r="K12" s="892"/>
      <c r="L12" s="892"/>
      <c r="M12" s="892"/>
      <c r="N12" s="892"/>
      <c r="O12" s="893"/>
      <c r="P12" s="869"/>
      <c r="Q12" s="892"/>
      <c r="R12" s="892"/>
      <c r="S12" s="892"/>
      <c r="T12" s="892"/>
      <c r="U12" s="892"/>
      <c r="V12" s="892"/>
      <c r="W12" s="893"/>
      <c r="X12" s="891"/>
      <c r="Y12" s="892"/>
      <c r="Z12" s="892"/>
      <c r="AA12" s="892"/>
      <c r="AB12" s="893"/>
    </row>
    <row r="13" spans="1:28" ht="19.5" customHeight="1" outlineLevel="1" x14ac:dyDescent="0.85">
      <c r="A13" s="891" t="s">
        <v>1225</v>
      </c>
      <c r="B13" s="892"/>
      <c r="C13" s="892"/>
      <c r="D13" s="892"/>
      <c r="E13" s="892"/>
      <c r="F13" s="892"/>
      <c r="G13" s="892"/>
      <c r="H13" s="893"/>
      <c r="I13" s="375"/>
      <c r="J13" s="375"/>
      <c r="K13" s="375"/>
      <c r="L13" s="375"/>
      <c r="M13" s="375"/>
      <c r="N13" s="375"/>
      <c r="O13" s="375"/>
      <c r="P13" s="375"/>
      <c r="Q13" s="375"/>
      <c r="R13" s="375"/>
      <c r="S13" s="375"/>
      <c r="T13" s="375"/>
      <c r="U13" s="375"/>
      <c r="V13" s="375"/>
      <c r="W13" s="375"/>
      <c r="X13" s="375"/>
      <c r="Y13" s="375"/>
      <c r="Z13" s="375"/>
      <c r="AA13" s="375"/>
      <c r="AB13" s="375"/>
    </row>
    <row r="14" spans="1:28" ht="19.5" customHeight="1" outlineLevel="1" x14ac:dyDescent="0.85">
      <c r="A14" s="891" t="s">
        <v>1226</v>
      </c>
      <c r="B14" s="892"/>
      <c r="C14" s="892"/>
      <c r="D14" s="892"/>
      <c r="E14" s="892"/>
      <c r="F14" s="892"/>
      <c r="G14" s="892"/>
      <c r="H14" s="893"/>
      <c r="I14" s="375"/>
      <c r="J14" s="375"/>
      <c r="K14" s="375"/>
      <c r="L14" s="375"/>
      <c r="M14" s="375"/>
      <c r="N14" s="375"/>
      <c r="O14" s="375"/>
      <c r="P14" s="375"/>
      <c r="Q14" s="375"/>
      <c r="R14" s="375"/>
      <c r="S14" s="375"/>
      <c r="T14" s="375"/>
      <c r="U14" s="375"/>
      <c r="V14" s="375"/>
      <c r="W14" s="375"/>
      <c r="X14" s="375"/>
      <c r="Y14" s="375"/>
      <c r="Z14" s="375"/>
      <c r="AA14" s="375"/>
      <c r="AB14" s="375"/>
    </row>
    <row r="15" spans="1:28" ht="19.5" customHeight="1" outlineLevel="1" x14ac:dyDescent="0.85">
      <c r="A15" s="891" t="s">
        <v>1227</v>
      </c>
      <c r="B15" s="892"/>
      <c r="C15" s="892"/>
      <c r="D15" s="892"/>
      <c r="E15" s="892"/>
      <c r="F15" s="892"/>
      <c r="G15" s="892"/>
      <c r="H15" s="893"/>
      <c r="I15" s="375"/>
      <c r="J15" s="375"/>
      <c r="K15" s="375"/>
      <c r="L15" s="375"/>
      <c r="M15" s="375"/>
      <c r="N15" s="375"/>
      <c r="O15" s="375"/>
      <c r="P15" s="375"/>
      <c r="Q15" s="375"/>
      <c r="R15" s="375"/>
      <c r="S15" s="375"/>
      <c r="T15" s="375"/>
      <c r="U15" s="375"/>
      <c r="V15" s="375"/>
      <c r="W15" s="375"/>
      <c r="X15" s="375"/>
      <c r="Y15" s="375"/>
      <c r="Z15" s="375"/>
      <c r="AA15" s="375"/>
      <c r="AB15" s="375"/>
    </row>
    <row r="16" spans="1:28" ht="19.5" customHeight="1" outlineLevel="1" x14ac:dyDescent="0.85">
      <c r="A16" s="891" t="s">
        <v>1228</v>
      </c>
      <c r="B16" s="892"/>
      <c r="C16" s="892"/>
      <c r="D16" s="892"/>
      <c r="E16" s="892"/>
      <c r="F16" s="892"/>
      <c r="G16" s="892"/>
      <c r="H16" s="893"/>
      <c r="I16" s="554"/>
      <c r="J16" s="330"/>
      <c r="K16" s="330"/>
      <c r="L16" s="330"/>
      <c r="M16" s="14"/>
      <c r="N16" s="14"/>
      <c r="O16" s="14"/>
      <c r="P16" s="14"/>
      <c r="Q16" s="14"/>
      <c r="R16" s="14"/>
      <c r="S16" s="14"/>
      <c r="T16" s="14"/>
      <c r="U16" s="14"/>
      <c r="V16" s="14"/>
      <c r="W16" s="14"/>
      <c r="X16" s="14"/>
      <c r="Y16" s="14"/>
      <c r="Z16" s="14"/>
      <c r="AA16" s="14"/>
      <c r="AB16" s="14"/>
    </row>
    <row r="17" spans="1:28" ht="19.5" customHeight="1" outlineLevel="1" x14ac:dyDescent="0.85">
      <c r="A17" s="891" t="s">
        <v>1229</v>
      </c>
      <c r="B17" s="892"/>
      <c r="C17" s="892"/>
      <c r="D17" s="892"/>
      <c r="E17" s="892"/>
      <c r="F17" s="892"/>
      <c r="G17" s="892"/>
      <c r="H17" s="893"/>
      <c r="I17" s="554"/>
      <c r="J17" s="330"/>
      <c r="K17" s="330"/>
      <c r="L17" s="330"/>
      <c r="M17" s="14"/>
      <c r="N17" s="14"/>
      <c r="O17" s="14"/>
      <c r="P17" s="14"/>
      <c r="Q17" s="14"/>
      <c r="R17" s="14"/>
      <c r="S17" s="14"/>
      <c r="T17" s="14"/>
      <c r="U17" s="14"/>
      <c r="V17" s="14"/>
      <c r="W17" s="14"/>
      <c r="X17" s="14"/>
      <c r="Y17" s="14"/>
      <c r="Z17" s="14"/>
      <c r="AA17" s="14"/>
      <c r="AB17" s="14"/>
    </row>
    <row r="18" spans="1:28" ht="19.5" customHeight="1" outlineLevel="1" x14ac:dyDescent="0.85">
      <c r="A18" s="891" t="s">
        <v>1230</v>
      </c>
      <c r="B18" s="892"/>
      <c r="C18" s="892"/>
      <c r="D18" s="892"/>
      <c r="E18" s="892"/>
      <c r="F18" s="892"/>
      <c r="G18" s="892"/>
      <c r="H18" s="893"/>
      <c r="I18" s="554"/>
      <c r="J18" s="330"/>
      <c r="K18" s="330"/>
      <c r="L18" s="330"/>
      <c r="M18" s="14"/>
      <c r="N18" s="14"/>
      <c r="O18" s="14"/>
      <c r="P18" s="14"/>
      <c r="Q18" s="14"/>
      <c r="R18" s="14"/>
      <c r="S18" s="14"/>
      <c r="T18" s="14"/>
      <c r="U18" s="14"/>
      <c r="V18" s="14"/>
      <c r="W18" s="14"/>
      <c r="X18" s="14"/>
      <c r="Y18" s="14"/>
      <c r="Z18" s="14"/>
      <c r="AA18" s="14"/>
      <c r="AB18" s="14"/>
    </row>
    <row r="19" spans="1:28" ht="19.5" customHeight="1" outlineLevel="1" x14ac:dyDescent="0.85">
      <c r="A19" s="891" t="s">
        <v>1231</v>
      </c>
      <c r="B19" s="892"/>
      <c r="C19" s="892"/>
      <c r="D19" s="892"/>
      <c r="E19" s="892"/>
      <c r="F19" s="892"/>
      <c r="G19" s="892"/>
      <c r="H19" s="893"/>
      <c r="I19" s="554"/>
      <c r="J19" s="330"/>
      <c r="K19" s="330"/>
      <c r="L19" s="330"/>
      <c r="M19" s="14"/>
      <c r="N19" s="14"/>
      <c r="O19" s="14"/>
      <c r="P19" s="14"/>
      <c r="Q19" s="14"/>
      <c r="R19" s="14"/>
      <c r="S19" s="14"/>
      <c r="T19" s="14"/>
      <c r="U19" s="14"/>
      <c r="V19" s="14"/>
      <c r="W19" s="14"/>
      <c r="X19" s="14"/>
      <c r="Y19" s="14"/>
      <c r="Z19" s="14"/>
      <c r="AA19" s="14"/>
      <c r="AB19" s="14"/>
    </row>
    <row r="20" spans="1:28" ht="19.5" customHeight="1" outlineLevel="1" x14ac:dyDescent="0.85">
      <c r="A20" s="891" t="s">
        <v>1232</v>
      </c>
      <c r="B20" s="892"/>
      <c r="C20" s="892"/>
      <c r="D20" s="892"/>
      <c r="E20" s="892"/>
      <c r="F20" s="892"/>
      <c r="G20" s="892"/>
      <c r="H20" s="893"/>
      <c r="I20" s="554"/>
      <c r="J20" s="330"/>
      <c r="K20" s="330"/>
      <c r="L20" s="330"/>
      <c r="M20" s="14"/>
      <c r="N20" s="14"/>
      <c r="O20" s="14"/>
      <c r="P20" s="14"/>
      <c r="Q20" s="14"/>
      <c r="R20" s="14"/>
      <c r="S20" s="14"/>
      <c r="T20" s="14"/>
      <c r="U20" s="14"/>
      <c r="V20" s="14"/>
      <c r="W20" s="14"/>
      <c r="X20" s="14"/>
      <c r="Y20" s="14"/>
      <c r="Z20" s="14"/>
      <c r="AA20" s="14"/>
      <c r="AB20" s="14"/>
    </row>
    <row r="21" spans="1:28" ht="34.950000000000003" customHeight="1" outlineLevel="1" x14ac:dyDescent="0.85">
      <c r="A21" s="891" t="s">
        <v>1664</v>
      </c>
      <c r="B21" s="892"/>
      <c r="C21" s="892"/>
      <c r="D21" s="892"/>
      <c r="E21" s="892"/>
      <c r="F21" s="892"/>
      <c r="G21" s="892"/>
      <c r="H21" s="893"/>
      <c r="I21" s="736"/>
      <c r="J21" s="737"/>
      <c r="K21" s="737"/>
      <c r="L21" s="737"/>
      <c r="M21" s="709"/>
      <c r="N21" s="709"/>
      <c r="O21" s="709"/>
      <c r="P21" s="709"/>
      <c r="Q21" s="709"/>
      <c r="R21" s="709"/>
      <c r="S21" s="709"/>
      <c r="T21" s="709"/>
      <c r="U21" s="709"/>
      <c r="V21" s="709"/>
      <c r="W21" s="709"/>
      <c r="X21" s="709"/>
      <c r="Y21" s="709"/>
      <c r="Z21" s="709"/>
      <c r="AA21" s="709"/>
      <c r="AB21" s="709"/>
    </row>
    <row r="22" spans="1:28" ht="19.5" customHeight="1" x14ac:dyDescent="0.85">
      <c r="A22" s="550" t="s">
        <v>1233</v>
      </c>
      <c r="B22" s="551"/>
      <c r="C22" s="551"/>
      <c r="D22" s="551"/>
      <c r="E22" s="551"/>
      <c r="F22" s="551"/>
      <c r="G22" s="551"/>
      <c r="H22" s="551"/>
      <c r="I22" s="551"/>
      <c r="J22" s="552"/>
      <c r="K22" s="553"/>
      <c r="L22" s="330"/>
      <c r="M22" s="14"/>
      <c r="N22" s="14"/>
      <c r="O22" s="14"/>
      <c r="P22" s="14"/>
      <c r="Q22" s="14"/>
      <c r="R22" s="14"/>
      <c r="S22" s="14"/>
      <c r="T22" s="14"/>
      <c r="U22" s="14"/>
      <c r="V22" s="14"/>
      <c r="W22" s="14"/>
      <c r="X22" s="14"/>
      <c r="Y22" s="14"/>
      <c r="Z22" s="14"/>
      <c r="AA22" s="14"/>
      <c r="AB22" s="14"/>
    </row>
    <row r="23" spans="1:28" ht="19.5" customHeight="1" outlineLevel="1" x14ac:dyDescent="0.85">
      <c r="A23" s="914" t="s">
        <v>1234</v>
      </c>
      <c r="B23" s="915"/>
      <c r="C23" s="915"/>
      <c r="D23" s="915"/>
      <c r="E23" s="915"/>
      <c r="F23" s="915"/>
      <c r="G23" s="915"/>
      <c r="H23" s="915"/>
      <c r="I23" s="915"/>
      <c r="J23" s="915"/>
      <c r="K23" s="916"/>
      <c r="L23" s="330"/>
      <c r="M23" s="14"/>
      <c r="N23" s="14"/>
      <c r="O23" s="14"/>
      <c r="P23" s="14"/>
      <c r="Q23" s="14"/>
      <c r="R23" s="14"/>
      <c r="S23" s="14"/>
      <c r="T23" s="14"/>
      <c r="U23" s="14"/>
      <c r="V23" s="14"/>
      <c r="W23" s="14"/>
      <c r="X23" s="14"/>
      <c r="Y23" s="14"/>
      <c r="Z23" s="14"/>
      <c r="AA23" s="14"/>
      <c r="AB23" s="14"/>
    </row>
    <row r="24" spans="1:28" ht="19.5" customHeight="1" outlineLevel="1" x14ac:dyDescent="0.85">
      <c r="A24" s="130" t="s">
        <v>1235</v>
      </c>
      <c r="B24" s="400" t="s">
        <v>1236</v>
      </c>
      <c r="C24" s="130" t="s">
        <v>1237</v>
      </c>
      <c r="D24" s="555" t="s">
        <v>362</v>
      </c>
      <c r="E24" s="849" t="s">
        <v>138</v>
      </c>
      <c r="F24" s="908"/>
      <c r="G24" s="908"/>
      <c r="H24" s="908"/>
      <c r="I24" s="908"/>
      <c r="J24" s="908"/>
      <c r="K24" s="909"/>
      <c r="L24" s="14"/>
      <c r="M24" s="14"/>
      <c r="N24" s="14"/>
      <c r="O24" s="14"/>
      <c r="P24" s="14"/>
      <c r="Q24" s="14"/>
      <c r="R24" s="14"/>
      <c r="S24" s="14"/>
      <c r="T24" s="14"/>
      <c r="U24" s="14"/>
      <c r="V24" s="14"/>
      <c r="W24" s="14"/>
      <c r="X24" s="14"/>
      <c r="Y24" s="14"/>
      <c r="Z24" s="14"/>
      <c r="AA24" s="14"/>
      <c r="AB24" s="14"/>
    </row>
    <row r="25" spans="1:28" ht="21" customHeight="1" outlineLevel="1" x14ac:dyDescent="0.85">
      <c r="A25" s="448" t="s">
        <v>1238</v>
      </c>
      <c r="B25" s="350">
        <v>2.9499999999999998E-2</v>
      </c>
      <c r="C25" s="285">
        <v>1.5707897996514085E-2</v>
      </c>
      <c r="D25" s="917" t="s">
        <v>1655</v>
      </c>
      <c r="E25" s="859" t="s">
        <v>1653</v>
      </c>
      <c r="F25" s="895"/>
      <c r="G25" s="895"/>
      <c r="H25" s="895"/>
      <c r="I25" s="895"/>
      <c r="J25" s="895"/>
      <c r="K25" s="896"/>
      <c r="L25" s="14"/>
      <c r="M25" s="14"/>
      <c r="N25" s="14"/>
      <c r="O25" s="14"/>
      <c r="P25" s="14"/>
      <c r="Q25" s="14"/>
      <c r="R25" s="14"/>
      <c r="S25" s="14"/>
      <c r="T25" s="14"/>
      <c r="U25" s="14"/>
      <c r="V25" s="14"/>
      <c r="W25" s="14"/>
      <c r="X25" s="14"/>
      <c r="Y25" s="14"/>
      <c r="Z25" s="14"/>
      <c r="AA25" s="14"/>
      <c r="AB25" s="14"/>
    </row>
    <row r="26" spans="1:28" ht="19.5" customHeight="1" outlineLevel="1" x14ac:dyDescent="0.85">
      <c r="A26" s="448" t="s">
        <v>1239</v>
      </c>
      <c r="B26" s="350">
        <v>2.9499999999999998E-2</v>
      </c>
      <c r="C26" s="285">
        <v>6.6851175945048885E-2</v>
      </c>
      <c r="D26" s="918"/>
      <c r="E26" s="902"/>
      <c r="F26" s="903"/>
      <c r="G26" s="903"/>
      <c r="H26" s="903"/>
      <c r="I26" s="903"/>
      <c r="J26" s="903"/>
      <c r="K26" s="904"/>
      <c r="L26" s="14"/>
      <c r="M26" s="14"/>
      <c r="N26" s="14"/>
      <c r="O26" s="14"/>
      <c r="P26" s="14"/>
      <c r="Q26" s="14"/>
      <c r="R26" s="14"/>
      <c r="S26" s="14"/>
      <c r="T26" s="14"/>
      <c r="U26" s="14"/>
      <c r="V26" s="14"/>
      <c r="W26" s="14"/>
      <c r="X26" s="14"/>
      <c r="Y26" s="14"/>
      <c r="Z26" s="14"/>
      <c r="AA26" s="14"/>
      <c r="AB26" s="14"/>
    </row>
    <row r="27" spans="1:28" ht="19.5" customHeight="1" outlineLevel="1" x14ac:dyDescent="0.85">
      <c r="A27" s="448" t="s">
        <v>1240</v>
      </c>
      <c r="B27" s="350">
        <v>2.9499999999999998E-2</v>
      </c>
      <c r="C27" s="285">
        <v>3.9065930142871207E-2</v>
      </c>
      <c r="D27" s="918"/>
      <c r="E27" s="902"/>
      <c r="F27" s="903"/>
      <c r="G27" s="903"/>
      <c r="H27" s="903"/>
      <c r="I27" s="903"/>
      <c r="J27" s="903"/>
      <c r="K27" s="904"/>
      <c r="L27" s="14"/>
      <c r="M27" s="14"/>
      <c r="N27" s="14"/>
      <c r="O27" s="14"/>
      <c r="P27" s="14"/>
      <c r="Q27" s="14"/>
      <c r="R27" s="14"/>
      <c r="S27" s="14"/>
      <c r="T27" s="14"/>
      <c r="U27" s="14"/>
      <c r="V27" s="14"/>
      <c r="W27" s="14"/>
      <c r="X27" s="14"/>
      <c r="Y27" s="14"/>
      <c r="Z27" s="14"/>
      <c r="AA27" s="14"/>
      <c r="AB27" s="14"/>
    </row>
    <row r="28" spans="1:28" ht="19.5" customHeight="1" outlineLevel="1" x14ac:dyDescent="0.85">
      <c r="A28" s="448" t="s">
        <v>1241</v>
      </c>
      <c r="B28" s="350">
        <v>2.9499999999999998E-2</v>
      </c>
      <c r="C28" s="285">
        <v>2.1291461996502389E-2</v>
      </c>
      <c r="D28" s="918"/>
      <c r="E28" s="902"/>
      <c r="F28" s="903"/>
      <c r="G28" s="903"/>
      <c r="H28" s="903"/>
      <c r="I28" s="903"/>
      <c r="J28" s="903"/>
      <c r="K28" s="904"/>
      <c r="L28" s="14"/>
      <c r="M28" s="14"/>
      <c r="N28" s="14"/>
      <c r="O28" s="14"/>
      <c r="P28" s="14"/>
      <c r="Q28" s="14"/>
      <c r="R28" s="14"/>
      <c r="S28" s="14"/>
      <c r="T28" s="14"/>
      <c r="U28" s="14"/>
      <c r="V28" s="14"/>
      <c r="W28" s="14"/>
      <c r="X28" s="14"/>
      <c r="Y28" s="14"/>
      <c r="Z28" s="14"/>
      <c r="AA28" s="14"/>
      <c r="AB28" s="14"/>
    </row>
    <row r="29" spans="1:28" ht="19.5" customHeight="1" outlineLevel="1" x14ac:dyDescent="0.85">
      <c r="A29" s="448" t="s">
        <v>1242</v>
      </c>
      <c r="B29" s="350">
        <v>0.24099999999999999</v>
      </c>
      <c r="C29" s="285">
        <v>2.5595064735853646E-2</v>
      </c>
      <c r="D29" s="918"/>
      <c r="E29" s="902"/>
      <c r="F29" s="903"/>
      <c r="G29" s="903"/>
      <c r="H29" s="903"/>
      <c r="I29" s="903"/>
      <c r="J29" s="903"/>
      <c r="K29" s="904"/>
      <c r="L29" s="14"/>
      <c r="M29" s="14"/>
      <c r="N29" s="14"/>
      <c r="O29" s="14"/>
      <c r="P29" s="14"/>
      <c r="Q29" s="14"/>
      <c r="R29" s="14"/>
      <c r="S29" s="14"/>
      <c r="T29" s="14"/>
      <c r="U29" s="14"/>
      <c r="V29" s="14"/>
      <c r="W29" s="14"/>
      <c r="X29" s="14"/>
      <c r="Y29" s="14"/>
      <c r="Z29" s="14"/>
      <c r="AA29" s="14"/>
      <c r="AB29" s="14"/>
    </row>
    <row r="30" spans="1:28" ht="19.5" customHeight="1" outlineLevel="1" x14ac:dyDescent="0.85">
      <c r="A30" s="448" t="s">
        <v>1243</v>
      </c>
      <c r="B30" s="350">
        <v>2.3999999999999997E-2</v>
      </c>
      <c r="C30" s="285">
        <v>1.0280959243019146E-2</v>
      </c>
      <c r="D30" s="918"/>
      <c r="E30" s="902"/>
      <c r="F30" s="903"/>
      <c r="G30" s="903"/>
      <c r="H30" s="903"/>
      <c r="I30" s="903"/>
      <c r="J30" s="903"/>
      <c r="K30" s="904"/>
      <c r="L30" s="14"/>
      <c r="M30" s="14"/>
      <c r="N30" s="14"/>
      <c r="O30" s="14"/>
      <c r="P30" s="14"/>
      <c r="Q30" s="14"/>
      <c r="R30" s="14"/>
      <c r="S30" s="14"/>
      <c r="T30" s="14"/>
      <c r="U30" s="14"/>
      <c r="V30" s="14"/>
      <c r="W30" s="14"/>
      <c r="X30" s="14"/>
      <c r="Y30" s="14"/>
      <c r="Z30" s="14"/>
      <c r="AA30" s="14"/>
      <c r="AB30" s="14"/>
    </row>
    <row r="31" spans="1:28" ht="19.5" customHeight="1" outlineLevel="1" x14ac:dyDescent="0.85">
      <c r="A31" s="448" t="s">
        <v>1244</v>
      </c>
      <c r="B31" s="350">
        <v>2.3999999999999997E-2</v>
      </c>
      <c r="C31" s="285">
        <v>1.0214697492320266E-2</v>
      </c>
      <c r="D31" s="918"/>
      <c r="E31" s="902"/>
      <c r="F31" s="903"/>
      <c r="G31" s="903"/>
      <c r="H31" s="903"/>
      <c r="I31" s="903"/>
      <c r="J31" s="903"/>
      <c r="K31" s="904"/>
      <c r="L31" s="14"/>
      <c r="M31" s="14"/>
      <c r="N31" s="14"/>
      <c r="O31" s="14"/>
      <c r="P31" s="14"/>
      <c r="Q31" s="14"/>
      <c r="R31" s="14"/>
      <c r="S31" s="14"/>
      <c r="T31" s="14"/>
      <c r="U31" s="14"/>
      <c r="V31" s="14"/>
      <c r="W31" s="14"/>
      <c r="X31" s="14"/>
      <c r="Y31" s="14"/>
      <c r="Z31" s="14"/>
      <c r="AA31" s="14"/>
      <c r="AB31" s="14"/>
    </row>
    <row r="32" spans="1:28" ht="19.5" customHeight="1" outlineLevel="1" x14ac:dyDescent="0.85">
      <c r="A32" s="448" t="s">
        <v>1245</v>
      </c>
      <c r="B32" s="350">
        <v>2.3999999999999997E-2</v>
      </c>
      <c r="C32" s="285">
        <v>5.128481972082706E-2</v>
      </c>
      <c r="D32" s="918"/>
      <c r="E32" s="902"/>
      <c r="F32" s="903"/>
      <c r="G32" s="903"/>
      <c r="H32" s="903"/>
      <c r="I32" s="903"/>
      <c r="J32" s="903"/>
      <c r="K32" s="904"/>
      <c r="L32" s="14"/>
      <c r="M32" s="14"/>
      <c r="N32" s="14"/>
      <c r="O32" s="14"/>
      <c r="P32" s="14"/>
      <c r="Q32" s="14"/>
      <c r="R32" s="14"/>
      <c r="S32" s="14"/>
      <c r="T32" s="14"/>
      <c r="U32" s="14"/>
      <c r="V32" s="14"/>
      <c r="W32" s="14"/>
      <c r="X32" s="14"/>
      <c r="Y32" s="14"/>
      <c r="Z32" s="14"/>
      <c r="AA32" s="14"/>
      <c r="AB32" s="14"/>
    </row>
    <row r="33" spans="1:28" ht="19.5" customHeight="1" outlineLevel="1" x14ac:dyDescent="0.85">
      <c r="A33" s="448" t="s">
        <v>1246</v>
      </c>
      <c r="B33" s="350">
        <v>8.3000000000000004E-2</v>
      </c>
      <c r="C33" s="285">
        <v>3.4559298068861342E-3</v>
      </c>
      <c r="D33" s="918"/>
      <c r="E33" s="902"/>
      <c r="F33" s="903"/>
      <c r="G33" s="903"/>
      <c r="H33" s="903"/>
      <c r="I33" s="903"/>
      <c r="J33" s="903"/>
      <c r="K33" s="904"/>
      <c r="L33" s="14"/>
      <c r="M33" s="14"/>
      <c r="N33" s="14"/>
      <c r="O33" s="14"/>
      <c r="P33" s="14"/>
      <c r="Q33" s="14"/>
      <c r="R33" s="14"/>
      <c r="S33" s="14"/>
      <c r="T33" s="14"/>
      <c r="U33" s="14"/>
      <c r="V33" s="14"/>
      <c r="W33" s="14"/>
      <c r="X33" s="14"/>
      <c r="Y33" s="14"/>
      <c r="Z33" s="14"/>
      <c r="AA33" s="14"/>
      <c r="AB33" s="14"/>
    </row>
    <row r="34" spans="1:28" ht="19.2" customHeight="1" outlineLevel="1" x14ac:dyDescent="0.85">
      <c r="A34" s="448" t="s">
        <v>1652</v>
      </c>
      <c r="B34" s="350">
        <v>4.2999999999999997E-2</v>
      </c>
      <c r="C34" s="285">
        <v>2.7869055655859228E-2</v>
      </c>
      <c r="D34" s="918"/>
      <c r="E34" s="913"/>
      <c r="F34" s="903"/>
      <c r="G34" s="903"/>
      <c r="H34" s="903"/>
      <c r="I34" s="903"/>
      <c r="J34" s="903"/>
      <c r="K34" s="907"/>
      <c r="L34" s="709"/>
      <c r="M34" s="709"/>
      <c r="N34" s="709"/>
      <c r="O34" s="709"/>
      <c r="P34" s="709"/>
      <c r="Q34" s="709"/>
      <c r="R34" s="709"/>
      <c r="S34" s="709"/>
      <c r="T34" s="709"/>
      <c r="U34" s="709"/>
      <c r="V34" s="709"/>
      <c r="W34" s="709"/>
      <c r="X34" s="709"/>
      <c r="Y34" s="709"/>
      <c r="Z34" s="709"/>
      <c r="AA34" s="709"/>
      <c r="AB34" s="709"/>
    </row>
    <row r="35" spans="1:28" ht="24" outlineLevel="1" x14ac:dyDescent="0.85">
      <c r="A35" s="914" t="s">
        <v>1654</v>
      </c>
      <c r="B35" s="915"/>
      <c r="C35" s="915"/>
      <c r="D35" s="915"/>
      <c r="E35" s="915"/>
      <c r="F35" s="915"/>
      <c r="G35" s="915"/>
      <c r="H35" s="915"/>
      <c r="I35" s="915"/>
      <c r="J35" s="915"/>
      <c r="K35" s="916"/>
      <c r="L35" s="709"/>
      <c r="M35" s="709"/>
      <c r="N35" s="709"/>
      <c r="O35" s="709"/>
      <c r="P35" s="709"/>
      <c r="Q35" s="709"/>
      <c r="R35" s="709"/>
      <c r="S35" s="709"/>
      <c r="T35" s="709"/>
      <c r="U35" s="709"/>
      <c r="V35" s="709"/>
      <c r="W35" s="709"/>
      <c r="X35" s="709"/>
      <c r="Y35" s="709"/>
      <c r="Z35" s="709"/>
      <c r="AA35" s="709"/>
      <c r="AB35" s="709"/>
    </row>
    <row r="36" spans="1:28" ht="24" outlineLevel="1" x14ac:dyDescent="0.85">
      <c r="A36" s="130" t="s">
        <v>1235</v>
      </c>
      <c r="B36" s="400" t="s">
        <v>1236</v>
      </c>
      <c r="C36" s="130" t="s">
        <v>1237</v>
      </c>
      <c r="D36" s="714" t="s">
        <v>362</v>
      </c>
      <c r="E36" s="849" t="s">
        <v>138</v>
      </c>
      <c r="F36" s="908"/>
      <c r="G36" s="908"/>
      <c r="H36" s="908"/>
      <c r="I36" s="908"/>
      <c r="J36" s="908"/>
      <c r="K36" s="909"/>
      <c r="L36" s="709"/>
      <c r="M36" s="709"/>
      <c r="N36" s="709"/>
      <c r="O36" s="709"/>
      <c r="P36" s="709"/>
      <c r="Q36" s="709"/>
      <c r="R36" s="709"/>
      <c r="S36" s="709"/>
      <c r="T36" s="709"/>
      <c r="U36" s="709"/>
      <c r="V36" s="709"/>
      <c r="W36" s="709"/>
      <c r="X36" s="709"/>
      <c r="Y36" s="709"/>
      <c r="Z36" s="709"/>
      <c r="AA36" s="709"/>
      <c r="AB36" s="709"/>
    </row>
    <row r="37" spans="1:28" ht="19.5" customHeight="1" outlineLevel="1" x14ac:dyDescent="0.85">
      <c r="A37" s="710" t="s">
        <v>1657</v>
      </c>
      <c r="B37" s="711">
        <v>0.67500000000000004</v>
      </c>
      <c r="C37" s="712">
        <v>0</v>
      </c>
      <c r="D37" s="919" t="s">
        <v>1656</v>
      </c>
      <c r="E37" s="922" t="s">
        <v>1663</v>
      </c>
      <c r="F37" s="923"/>
      <c r="G37" s="923"/>
      <c r="H37" s="923"/>
      <c r="I37" s="923"/>
      <c r="J37" s="923"/>
      <c r="K37" s="924"/>
      <c r="L37" s="709"/>
      <c r="M37" s="709"/>
      <c r="N37" s="709"/>
      <c r="O37" s="709"/>
      <c r="P37" s="709"/>
      <c r="Q37" s="709"/>
      <c r="R37" s="709"/>
      <c r="S37" s="709"/>
      <c r="T37" s="709"/>
      <c r="U37" s="709"/>
      <c r="V37" s="709"/>
      <c r="W37" s="709"/>
      <c r="X37" s="709"/>
      <c r="Y37" s="709"/>
      <c r="Z37" s="709"/>
      <c r="AA37" s="709"/>
      <c r="AB37" s="709"/>
    </row>
    <row r="38" spans="1:28" ht="19.5" customHeight="1" outlineLevel="1" x14ac:dyDescent="0.85">
      <c r="A38" s="710" t="s">
        <v>1658</v>
      </c>
      <c r="B38" s="711">
        <v>0.17799999999999999</v>
      </c>
      <c r="C38" s="712">
        <v>0</v>
      </c>
      <c r="D38" s="920"/>
      <c r="E38" s="925"/>
      <c r="F38" s="926"/>
      <c r="G38" s="926"/>
      <c r="H38" s="926"/>
      <c r="I38" s="926"/>
      <c r="J38" s="926"/>
      <c r="K38" s="927"/>
      <c r="L38" s="709"/>
      <c r="M38" s="709"/>
      <c r="N38" s="709"/>
      <c r="O38" s="709"/>
      <c r="P38" s="709"/>
      <c r="Q38" s="709"/>
      <c r="R38" s="709"/>
      <c r="S38" s="709"/>
      <c r="T38" s="709"/>
      <c r="U38" s="709"/>
      <c r="V38" s="709"/>
      <c r="W38" s="709"/>
      <c r="X38" s="709"/>
      <c r="Y38" s="709"/>
      <c r="Z38" s="709"/>
      <c r="AA38" s="709"/>
      <c r="AB38" s="709"/>
    </row>
    <row r="39" spans="1:28" ht="19.5" customHeight="1" outlineLevel="1" x14ac:dyDescent="0.85">
      <c r="A39" s="140" t="s">
        <v>1246</v>
      </c>
      <c r="B39" s="350">
        <v>6.8000000000000005E-2</v>
      </c>
      <c r="C39" s="713">
        <v>3.4559298068861342E-3</v>
      </c>
      <c r="D39" s="920"/>
      <c r="E39" s="925"/>
      <c r="F39" s="926"/>
      <c r="G39" s="926"/>
      <c r="H39" s="926"/>
      <c r="I39" s="926"/>
      <c r="J39" s="926"/>
      <c r="K39" s="927"/>
      <c r="L39" s="709"/>
      <c r="M39" s="709"/>
      <c r="N39" s="709"/>
      <c r="O39" s="709"/>
      <c r="P39" s="709"/>
      <c r="Q39" s="709"/>
      <c r="R39" s="709"/>
      <c r="S39" s="709"/>
      <c r="T39" s="709"/>
      <c r="U39" s="709"/>
      <c r="V39" s="709"/>
      <c r="W39" s="709"/>
      <c r="X39" s="709"/>
      <c r="Y39" s="709"/>
      <c r="Z39" s="709"/>
      <c r="AA39" s="709"/>
      <c r="AB39" s="709"/>
    </row>
    <row r="40" spans="1:28" ht="19.5" customHeight="1" outlineLevel="1" x14ac:dyDescent="0.85">
      <c r="A40" s="710" t="s">
        <v>1659</v>
      </c>
      <c r="B40" s="711">
        <v>2.5000000000000001E-2</v>
      </c>
      <c r="C40" s="712">
        <v>0</v>
      </c>
      <c r="D40" s="920"/>
      <c r="E40" s="925"/>
      <c r="F40" s="926"/>
      <c r="G40" s="926"/>
      <c r="H40" s="926"/>
      <c r="I40" s="926"/>
      <c r="J40" s="926"/>
      <c r="K40" s="927"/>
      <c r="L40" s="709"/>
      <c r="M40" s="709"/>
      <c r="N40" s="709"/>
      <c r="O40" s="709"/>
      <c r="P40" s="709"/>
      <c r="Q40" s="709"/>
      <c r="R40" s="709"/>
      <c r="S40" s="709"/>
      <c r="T40" s="709"/>
      <c r="U40" s="709"/>
      <c r="V40" s="709"/>
      <c r="W40" s="709"/>
      <c r="X40" s="709"/>
      <c r="Y40" s="709"/>
      <c r="Z40" s="709"/>
      <c r="AA40" s="709"/>
      <c r="AB40" s="709"/>
    </row>
    <row r="41" spans="1:28" ht="19.5" customHeight="1" outlineLevel="1" x14ac:dyDescent="0.85">
      <c r="A41" s="710" t="s">
        <v>1660</v>
      </c>
      <c r="B41" s="711">
        <v>2.5000000000000001E-2</v>
      </c>
      <c r="C41" s="712">
        <v>0</v>
      </c>
      <c r="D41" s="920"/>
      <c r="E41" s="925"/>
      <c r="F41" s="926"/>
      <c r="G41" s="926"/>
      <c r="H41" s="926"/>
      <c r="I41" s="926"/>
      <c r="J41" s="926"/>
      <c r="K41" s="927"/>
      <c r="L41" s="709"/>
      <c r="M41" s="709"/>
      <c r="N41" s="709"/>
      <c r="O41" s="709"/>
      <c r="P41" s="709"/>
      <c r="Q41" s="709"/>
      <c r="R41" s="709"/>
      <c r="S41" s="709"/>
      <c r="T41" s="709"/>
      <c r="U41" s="709"/>
      <c r="V41" s="709"/>
      <c r="W41" s="709"/>
      <c r="X41" s="709"/>
      <c r="Y41" s="709"/>
      <c r="Z41" s="709"/>
      <c r="AA41" s="709"/>
      <c r="AB41" s="709"/>
    </row>
    <row r="42" spans="1:28" ht="19.5" customHeight="1" outlineLevel="1" x14ac:dyDescent="0.85">
      <c r="A42" s="710" t="s">
        <v>1661</v>
      </c>
      <c r="B42" s="711">
        <v>0.02</v>
      </c>
      <c r="C42" s="712">
        <v>0</v>
      </c>
      <c r="D42" s="920"/>
      <c r="E42" s="925"/>
      <c r="F42" s="926"/>
      <c r="G42" s="926"/>
      <c r="H42" s="926"/>
      <c r="I42" s="926"/>
      <c r="J42" s="926"/>
      <c r="K42" s="927"/>
      <c r="L42" s="709"/>
      <c r="M42" s="709"/>
      <c r="N42" s="709"/>
      <c r="O42" s="709"/>
      <c r="P42" s="709"/>
      <c r="Q42" s="709"/>
      <c r="R42" s="709"/>
      <c r="S42" s="709"/>
      <c r="T42" s="709"/>
      <c r="U42" s="709"/>
      <c r="V42" s="709"/>
      <c r="W42" s="709"/>
      <c r="X42" s="709"/>
      <c r="Y42" s="709"/>
      <c r="Z42" s="709"/>
      <c r="AA42" s="709"/>
      <c r="AB42" s="709"/>
    </row>
    <row r="43" spans="1:28" ht="19.5" customHeight="1" outlineLevel="1" x14ac:dyDescent="0.85">
      <c r="A43" s="710" t="s">
        <v>1662</v>
      </c>
      <c r="B43" s="711">
        <f>1-SUM(B37:B42)</f>
        <v>8.999999999999897E-3</v>
      </c>
      <c r="C43" s="712">
        <v>0</v>
      </c>
      <c r="D43" s="921"/>
      <c r="E43" s="928"/>
      <c r="F43" s="929"/>
      <c r="G43" s="929"/>
      <c r="H43" s="929"/>
      <c r="I43" s="929"/>
      <c r="J43" s="929"/>
      <c r="K43" s="930"/>
      <c r="L43" s="709"/>
      <c r="M43" s="709"/>
      <c r="N43" s="709"/>
      <c r="O43" s="709"/>
      <c r="P43" s="709"/>
      <c r="Q43" s="709"/>
      <c r="R43" s="709"/>
      <c r="S43" s="709"/>
      <c r="T43" s="709"/>
      <c r="U43" s="709"/>
      <c r="V43" s="709"/>
      <c r="W43" s="709"/>
      <c r="X43" s="709"/>
      <c r="Y43" s="709"/>
      <c r="Z43" s="709"/>
      <c r="AA43" s="709"/>
      <c r="AB43" s="709"/>
    </row>
    <row r="44" spans="1:28" ht="19.5" customHeight="1" outlineLevel="1" x14ac:dyDescent="0.85">
      <c r="A44" s="726" t="s">
        <v>1247</v>
      </c>
      <c r="B44" s="727"/>
      <c r="C44" s="727"/>
      <c r="D44" s="728"/>
      <c r="E44" s="729"/>
      <c r="F44" s="729"/>
      <c r="G44" s="729"/>
      <c r="H44" s="729"/>
      <c r="I44" s="729"/>
      <c r="J44" s="729"/>
      <c r="K44" s="730"/>
      <c r="L44" s="330"/>
      <c r="M44" s="14"/>
      <c r="N44" s="14"/>
      <c r="O44" s="14"/>
      <c r="P44" s="14"/>
      <c r="Q44" s="14"/>
      <c r="R44" s="14"/>
      <c r="S44" s="14"/>
      <c r="T44" s="14"/>
      <c r="U44" s="14"/>
      <c r="V44" s="14"/>
      <c r="W44" s="14"/>
      <c r="X44" s="14"/>
      <c r="Y44" s="14"/>
      <c r="Z44" s="14"/>
      <c r="AA44" s="14"/>
      <c r="AB44" s="14"/>
    </row>
    <row r="45" spans="1:28" ht="19.5" customHeight="1" outlineLevel="1" x14ac:dyDescent="0.85">
      <c r="A45" s="130" t="s">
        <v>1248</v>
      </c>
      <c r="B45" s="130" t="s">
        <v>251</v>
      </c>
      <c r="C45" s="130" t="s">
        <v>30</v>
      </c>
      <c r="D45" s="849" t="s">
        <v>138</v>
      </c>
      <c r="E45" s="908"/>
      <c r="F45" s="908"/>
      <c r="G45" s="908"/>
      <c r="H45" s="908"/>
      <c r="I45" s="908"/>
      <c r="J45" s="908"/>
      <c r="K45" s="908"/>
      <c r="L45" s="909"/>
      <c r="M45" s="14"/>
      <c r="N45" s="14"/>
      <c r="O45" s="14"/>
      <c r="P45" s="14"/>
      <c r="Q45" s="14"/>
      <c r="R45" s="14"/>
      <c r="S45" s="14"/>
      <c r="T45" s="14"/>
      <c r="U45" s="14"/>
      <c r="V45" s="14"/>
      <c r="W45" s="14"/>
      <c r="X45" s="14"/>
      <c r="Y45" s="14"/>
      <c r="Z45" s="14"/>
      <c r="AA45" s="14"/>
      <c r="AB45" s="14"/>
    </row>
    <row r="46" spans="1:28" ht="20.25" customHeight="1" outlineLevel="1" x14ac:dyDescent="0.85">
      <c r="A46" s="910" t="s">
        <v>1249</v>
      </c>
      <c r="B46" s="559">
        <v>4.0000000000000001E-3</v>
      </c>
      <c r="C46" s="333" t="s">
        <v>1250</v>
      </c>
      <c r="D46" s="894" t="s">
        <v>1251</v>
      </c>
      <c r="E46" s="895"/>
      <c r="F46" s="895"/>
      <c r="G46" s="895"/>
      <c r="H46" s="895"/>
      <c r="I46" s="895"/>
      <c r="J46" s="895"/>
      <c r="K46" s="895"/>
      <c r="L46" s="896"/>
      <c r="M46" s="14"/>
      <c r="N46" s="14"/>
      <c r="O46" s="14"/>
      <c r="P46" s="14"/>
      <c r="Q46" s="14"/>
      <c r="R46" s="14"/>
      <c r="S46" s="14"/>
      <c r="T46" s="14"/>
      <c r="U46" s="14"/>
      <c r="V46" s="14"/>
      <c r="W46" s="14"/>
      <c r="X46" s="14"/>
      <c r="Y46" s="14"/>
      <c r="Z46" s="14"/>
      <c r="AA46" s="14"/>
      <c r="AB46" s="14"/>
    </row>
    <row r="47" spans="1:28" ht="19.5" customHeight="1" outlineLevel="1" x14ac:dyDescent="0.85">
      <c r="A47" s="911"/>
      <c r="B47" s="560">
        <v>3.3557046979865775E-5</v>
      </c>
      <c r="C47" s="333" t="s">
        <v>1252</v>
      </c>
      <c r="D47" s="897"/>
      <c r="E47" s="898"/>
      <c r="F47" s="898"/>
      <c r="G47" s="898"/>
      <c r="H47" s="898"/>
      <c r="I47" s="898"/>
      <c r="J47" s="898"/>
      <c r="K47" s="898"/>
      <c r="L47" s="899"/>
      <c r="M47" s="14"/>
      <c r="N47" s="14"/>
      <c r="O47" s="14"/>
      <c r="P47" s="14"/>
      <c r="Q47" s="14"/>
      <c r="R47" s="14"/>
      <c r="S47" s="14"/>
      <c r="T47" s="14"/>
      <c r="U47" s="14"/>
      <c r="V47" s="14"/>
      <c r="W47" s="14"/>
      <c r="X47" s="14"/>
      <c r="Y47" s="14"/>
      <c r="Z47" s="14"/>
      <c r="AA47" s="14"/>
      <c r="AB47" s="14"/>
    </row>
    <row r="48" spans="1:28" ht="19.5" customHeight="1" outlineLevel="1" x14ac:dyDescent="0.85">
      <c r="A48" s="910" t="s">
        <v>1253</v>
      </c>
      <c r="B48" s="561">
        <f>0.0055/'Conversion Factors and GWP'!C31</f>
        <v>1.9642857142857141E-4</v>
      </c>
      <c r="C48" s="333" t="s">
        <v>1254</v>
      </c>
      <c r="D48" s="900" t="s">
        <v>1255</v>
      </c>
      <c r="E48" s="895"/>
      <c r="F48" s="895"/>
      <c r="G48" s="895"/>
      <c r="H48" s="895"/>
      <c r="I48" s="895"/>
      <c r="J48" s="895"/>
      <c r="K48" s="895"/>
      <c r="L48" s="896"/>
      <c r="M48" s="14"/>
      <c r="N48" s="14"/>
      <c r="O48" s="14"/>
      <c r="P48" s="14"/>
      <c r="Q48" s="14"/>
      <c r="R48" s="14"/>
      <c r="S48" s="14"/>
      <c r="T48" s="14"/>
      <c r="U48" s="14"/>
      <c r="V48" s="14"/>
      <c r="W48" s="14"/>
      <c r="X48" s="14"/>
      <c r="Y48" s="14"/>
      <c r="Z48" s="14"/>
      <c r="AA48" s="14"/>
      <c r="AB48" s="14"/>
    </row>
    <row r="49" spans="1:28" ht="19.5" customHeight="1" outlineLevel="1" x14ac:dyDescent="0.85">
      <c r="A49" s="911"/>
      <c r="B49" s="561">
        <f>0.0396/'Conversion Factors and GWP'!C32</f>
        <v>1.4943396226415096E-4</v>
      </c>
      <c r="C49" s="333" t="s">
        <v>1256</v>
      </c>
      <c r="D49" s="901"/>
      <c r="E49" s="898"/>
      <c r="F49" s="898"/>
      <c r="G49" s="898"/>
      <c r="H49" s="898"/>
      <c r="I49" s="898"/>
      <c r="J49" s="898"/>
      <c r="K49" s="898"/>
      <c r="L49" s="899"/>
      <c r="M49" s="14"/>
      <c r="N49" s="14"/>
      <c r="O49" s="14"/>
      <c r="P49" s="14"/>
      <c r="Q49" s="14"/>
      <c r="R49" s="14"/>
      <c r="S49" s="14"/>
      <c r="T49" s="14"/>
      <c r="U49" s="14"/>
      <c r="V49" s="14"/>
      <c r="W49" s="14"/>
      <c r="X49" s="14"/>
      <c r="Y49" s="14"/>
      <c r="Z49" s="14"/>
      <c r="AA49" s="14"/>
      <c r="AB49" s="14"/>
    </row>
    <row r="50" spans="1:28" ht="19.5" customHeight="1" outlineLevel="1" x14ac:dyDescent="0.85">
      <c r="A50" s="912" t="s">
        <v>1257</v>
      </c>
      <c r="B50" s="908"/>
      <c r="C50" s="908"/>
      <c r="D50" s="908"/>
      <c r="E50" s="908"/>
      <c r="F50" s="908"/>
      <c r="G50" s="908"/>
      <c r="H50" s="908"/>
      <c r="I50" s="908"/>
      <c r="J50" s="908"/>
      <c r="K50" s="909"/>
      <c r="L50" s="330"/>
      <c r="M50" s="14"/>
      <c r="N50" s="14"/>
      <c r="O50" s="14"/>
      <c r="P50" s="14"/>
      <c r="Q50" s="14"/>
      <c r="R50" s="14"/>
      <c r="S50" s="14"/>
      <c r="T50" s="14"/>
      <c r="U50" s="14"/>
      <c r="V50" s="14"/>
      <c r="W50" s="14"/>
      <c r="X50" s="14"/>
      <c r="Y50" s="14"/>
      <c r="Z50" s="14"/>
      <c r="AA50" s="14"/>
      <c r="AB50" s="14"/>
    </row>
    <row r="51" spans="1:28" ht="19.5" customHeight="1" outlineLevel="1" x14ac:dyDescent="0.85">
      <c r="A51" s="400" t="s">
        <v>1258</v>
      </c>
      <c r="B51" s="400" t="s">
        <v>1259</v>
      </c>
      <c r="C51" s="400" t="s">
        <v>1260</v>
      </c>
      <c r="D51" s="400" t="s">
        <v>1261</v>
      </c>
      <c r="E51" s="400" t="s">
        <v>1262</v>
      </c>
      <c r="F51" s="849" t="s">
        <v>138</v>
      </c>
      <c r="G51" s="908"/>
      <c r="H51" s="908"/>
      <c r="I51" s="908"/>
      <c r="J51" s="908"/>
      <c r="K51" s="909"/>
      <c r="L51" s="330"/>
      <c r="M51" s="14"/>
      <c r="N51" s="14"/>
      <c r="O51" s="14"/>
      <c r="P51" s="14"/>
      <c r="Q51" s="14"/>
      <c r="R51" s="14"/>
      <c r="S51" s="14"/>
      <c r="T51" s="14"/>
      <c r="U51" s="14"/>
      <c r="V51" s="14"/>
      <c r="W51" s="14"/>
      <c r="X51" s="14"/>
      <c r="Y51" s="14"/>
      <c r="Z51" s="14"/>
      <c r="AA51" s="14"/>
      <c r="AB51" s="14"/>
    </row>
    <row r="52" spans="1:28" ht="21" customHeight="1" outlineLevel="1" x14ac:dyDescent="0.85">
      <c r="A52" s="267" t="s">
        <v>1238</v>
      </c>
      <c r="B52" s="562">
        <v>-2.70827152821093</v>
      </c>
      <c r="C52" s="562">
        <v>0.69811427212356403</v>
      </c>
      <c r="D52" s="563">
        <f t="shared" ref="D52:D63" si="4">B52+C52</f>
        <v>-2.010157256087366</v>
      </c>
      <c r="E52" s="350">
        <f t="shared" ref="E52:E56" si="5">0.665/5</f>
        <v>0.13300000000000001</v>
      </c>
      <c r="F52" s="859" t="s">
        <v>1263</v>
      </c>
      <c r="G52" s="895"/>
      <c r="H52" s="895"/>
      <c r="I52" s="895"/>
      <c r="J52" s="895"/>
      <c r="K52" s="896"/>
      <c r="L52" s="330"/>
      <c r="M52" s="14"/>
      <c r="N52" s="14"/>
      <c r="O52" s="14"/>
      <c r="P52" s="14"/>
      <c r="Q52" s="14"/>
      <c r="R52" s="14"/>
      <c r="S52" s="14"/>
      <c r="T52" s="14"/>
      <c r="U52" s="14"/>
      <c r="V52" s="14"/>
      <c r="W52" s="14"/>
      <c r="X52" s="14"/>
      <c r="Y52" s="14"/>
      <c r="Z52" s="14"/>
      <c r="AA52" s="14"/>
      <c r="AB52" s="14"/>
    </row>
    <row r="53" spans="1:28" ht="19.5" customHeight="1" outlineLevel="1" x14ac:dyDescent="0.85">
      <c r="A53" s="267" t="s">
        <v>1264</v>
      </c>
      <c r="B53" s="562">
        <v>-2.8637458899895774</v>
      </c>
      <c r="C53" s="562">
        <v>-1.6837765106848599</v>
      </c>
      <c r="D53" s="563">
        <f t="shared" si="4"/>
        <v>-4.5475224006744375</v>
      </c>
      <c r="E53" s="350">
        <f t="shared" si="5"/>
        <v>0.13300000000000001</v>
      </c>
      <c r="F53" s="902"/>
      <c r="G53" s="903"/>
      <c r="H53" s="903"/>
      <c r="I53" s="903"/>
      <c r="J53" s="903"/>
      <c r="K53" s="904"/>
      <c r="L53" s="330"/>
      <c r="M53" s="14"/>
      <c r="N53" s="14"/>
      <c r="O53" s="14"/>
      <c r="P53" s="14"/>
      <c r="Q53" s="14"/>
      <c r="R53" s="14"/>
      <c r="S53" s="14"/>
      <c r="T53" s="14"/>
      <c r="U53" s="14"/>
      <c r="V53" s="14"/>
      <c r="W53" s="14"/>
      <c r="X53" s="14"/>
      <c r="Y53" s="14"/>
      <c r="Z53" s="14"/>
      <c r="AA53" s="14"/>
      <c r="AB53" s="14"/>
    </row>
    <row r="54" spans="1:28" ht="19.5" customHeight="1" outlineLevel="1" x14ac:dyDescent="0.85">
      <c r="A54" s="267" t="s">
        <v>1265</v>
      </c>
      <c r="B54" s="562">
        <v>-3.1353369086789917</v>
      </c>
      <c r="C54" s="562">
        <v>0.53847949133357298</v>
      </c>
      <c r="D54" s="563">
        <f t="shared" si="4"/>
        <v>-2.5968574173454186</v>
      </c>
      <c r="E54" s="350">
        <f t="shared" si="5"/>
        <v>0.13300000000000001</v>
      </c>
      <c r="F54" s="902"/>
      <c r="G54" s="903"/>
      <c r="H54" s="903"/>
      <c r="I54" s="903"/>
      <c r="J54" s="903"/>
      <c r="K54" s="904"/>
      <c r="L54" s="330"/>
      <c r="M54" s="14"/>
      <c r="N54" s="14"/>
      <c r="O54" s="14"/>
      <c r="P54" s="14"/>
      <c r="Q54" s="14"/>
      <c r="R54" s="14"/>
      <c r="S54" s="14"/>
      <c r="T54" s="14"/>
      <c r="U54" s="14"/>
      <c r="V54" s="14"/>
      <c r="W54" s="14"/>
      <c r="X54" s="14"/>
      <c r="Y54" s="14"/>
      <c r="Z54" s="14"/>
      <c r="AA54" s="14"/>
      <c r="AB54" s="14"/>
    </row>
    <row r="55" spans="1:28" ht="19.5" customHeight="1" outlineLevel="1" x14ac:dyDescent="0.85">
      <c r="A55" s="267" t="s">
        <v>1241</v>
      </c>
      <c r="B55" s="562">
        <v>-3.0696999395965698</v>
      </c>
      <c r="C55" s="562">
        <v>0.36952896780939198</v>
      </c>
      <c r="D55" s="563">
        <f t="shared" si="4"/>
        <v>-2.7001709717871778</v>
      </c>
      <c r="E55" s="350">
        <f t="shared" si="5"/>
        <v>0.13300000000000001</v>
      </c>
      <c r="F55" s="902"/>
      <c r="G55" s="903"/>
      <c r="H55" s="903"/>
      <c r="I55" s="903"/>
      <c r="J55" s="903"/>
      <c r="K55" s="904"/>
      <c r="L55" s="330"/>
      <c r="M55" s="14"/>
      <c r="N55" s="14"/>
      <c r="O55" s="14"/>
      <c r="P55" s="14"/>
      <c r="Q55" s="14"/>
      <c r="R55" s="14"/>
      <c r="S55" s="14"/>
      <c r="T55" s="14"/>
      <c r="U55" s="14"/>
      <c r="V55" s="14"/>
      <c r="W55" s="14"/>
      <c r="X55" s="14"/>
      <c r="Y55" s="14"/>
      <c r="Z55" s="14"/>
      <c r="AA55" s="14"/>
      <c r="AB55" s="14"/>
    </row>
    <row r="56" spans="1:28" ht="19.5" customHeight="1" outlineLevel="1" x14ac:dyDescent="0.85">
      <c r="A56" s="267" t="s">
        <v>1266</v>
      </c>
      <c r="B56" s="562">
        <v>-3.5455235990647034</v>
      </c>
      <c r="C56" s="562">
        <v>-0.38777005465200098</v>
      </c>
      <c r="D56" s="563">
        <f t="shared" si="4"/>
        <v>-3.9332936537167043</v>
      </c>
      <c r="E56" s="350">
        <f t="shared" si="5"/>
        <v>0.13300000000000001</v>
      </c>
      <c r="F56" s="902"/>
      <c r="G56" s="903"/>
      <c r="H56" s="903"/>
      <c r="I56" s="903"/>
      <c r="J56" s="903"/>
      <c r="K56" s="904"/>
      <c r="L56" s="330"/>
      <c r="M56" s="14"/>
      <c r="N56" s="14"/>
      <c r="O56" s="14"/>
      <c r="P56" s="14"/>
      <c r="Q56" s="14"/>
      <c r="R56" s="14"/>
      <c r="S56" s="14"/>
      <c r="T56" s="14"/>
      <c r="U56" s="14"/>
      <c r="V56" s="14"/>
      <c r="W56" s="14"/>
      <c r="X56" s="14"/>
      <c r="Y56" s="14"/>
      <c r="Z56" s="14"/>
      <c r="AA56" s="14"/>
      <c r="AB56" s="14"/>
    </row>
    <row r="57" spans="1:28" ht="19.5" customHeight="1" outlineLevel="1" x14ac:dyDescent="0.85">
      <c r="A57" s="267" t="s">
        <v>1267</v>
      </c>
      <c r="B57" s="562">
        <v>-1.0357206316437553</v>
      </c>
      <c r="C57" s="562">
        <v>2.0254519141196047E-2</v>
      </c>
      <c r="D57" s="563">
        <f t="shared" si="4"/>
        <v>-1.0154661125025592</v>
      </c>
      <c r="E57" s="350">
        <f t="shared" ref="E57:E59" si="6">0.045/3</f>
        <v>1.4999999999999999E-2</v>
      </c>
      <c r="F57" s="902"/>
      <c r="G57" s="903"/>
      <c r="H57" s="903"/>
      <c r="I57" s="903"/>
      <c r="J57" s="903"/>
      <c r="K57" s="904"/>
      <c r="L57" s="330"/>
      <c r="M57" s="14"/>
      <c r="N57" s="14"/>
      <c r="O57" s="14"/>
      <c r="P57" s="14"/>
      <c r="Q57" s="14"/>
      <c r="R57" s="14"/>
      <c r="S57" s="14"/>
      <c r="T57" s="14"/>
      <c r="U57" s="14"/>
      <c r="V57" s="14"/>
      <c r="W57" s="14"/>
      <c r="X57" s="14"/>
      <c r="Y57" s="14"/>
      <c r="Z57" s="14"/>
      <c r="AA57" s="14"/>
      <c r="AB57" s="14"/>
    </row>
    <row r="58" spans="1:28" ht="19.5" customHeight="1" outlineLevel="1" x14ac:dyDescent="0.85">
      <c r="A58" s="267" t="s">
        <v>1268</v>
      </c>
      <c r="B58" s="562">
        <v>-0.75845019481932519</v>
      </c>
      <c r="C58" s="562">
        <v>2.0254519141196047E-2</v>
      </c>
      <c r="D58" s="563">
        <f t="shared" si="4"/>
        <v>-0.73819567567812916</v>
      </c>
      <c r="E58" s="350">
        <f t="shared" si="6"/>
        <v>1.4999999999999999E-2</v>
      </c>
      <c r="F58" s="902"/>
      <c r="G58" s="903"/>
      <c r="H58" s="903"/>
      <c r="I58" s="903"/>
      <c r="J58" s="903"/>
      <c r="K58" s="904"/>
      <c r="L58" s="330"/>
      <c r="M58" s="14"/>
      <c r="N58" s="14"/>
      <c r="O58" s="14"/>
      <c r="P58" s="14"/>
      <c r="Q58" s="14"/>
      <c r="R58" s="14"/>
      <c r="S58" s="14"/>
      <c r="T58" s="14"/>
      <c r="U58" s="14"/>
      <c r="V58" s="14"/>
      <c r="W58" s="14"/>
      <c r="X58" s="14"/>
      <c r="Y58" s="14"/>
      <c r="Z58" s="14"/>
      <c r="AA58" s="14"/>
      <c r="AB58" s="14"/>
    </row>
    <row r="59" spans="1:28" ht="19.5" customHeight="1" outlineLevel="1" x14ac:dyDescent="0.85">
      <c r="A59" s="267" t="s">
        <v>1269</v>
      </c>
      <c r="B59" s="562">
        <v>-0.92552340675199463</v>
      </c>
      <c r="C59" s="562">
        <v>2.0254519141196047E-2</v>
      </c>
      <c r="D59" s="563">
        <f t="shared" si="4"/>
        <v>-0.9052688876107986</v>
      </c>
      <c r="E59" s="350">
        <f t="shared" si="6"/>
        <v>1.4999999999999999E-2</v>
      </c>
      <c r="F59" s="902"/>
      <c r="G59" s="903"/>
      <c r="H59" s="903"/>
      <c r="I59" s="903"/>
      <c r="J59" s="903"/>
      <c r="K59" s="904"/>
      <c r="L59" s="330"/>
      <c r="M59" s="14"/>
      <c r="N59" s="14"/>
      <c r="O59" s="14"/>
      <c r="P59" s="14"/>
      <c r="Q59" s="14"/>
      <c r="R59" s="14"/>
      <c r="S59" s="14"/>
      <c r="T59" s="14"/>
      <c r="U59" s="14"/>
      <c r="V59" s="14"/>
      <c r="W59" s="14"/>
      <c r="X59" s="14"/>
      <c r="Y59" s="14"/>
      <c r="Z59" s="14"/>
      <c r="AA59" s="14"/>
      <c r="AB59" s="14"/>
    </row>
    <row r="60" spans="1:28" ht="19.5" customHeight="1" outlineLevel="1" x14ac:dyDescent="0.85">
      <c r="A60" s="267" t="s">
        <v>1270</v>
      </c>
      <c r="B60" s="562">
        <v>-0.2760901764592596</v>
      </c>
      <c r="C60" s="562">
        <v>2.0254519141196047E-2</v>
      </c>
      <c r="D60" s="563">
        <f t="shared" si="4"/>
        <v>-0.25583565731806357</v>
      </c>
      <c r="E60" s="350">
        <v>4.3999999999999997E-2</v>
      </c>
      <c r="F60" s="902"/>
      <c r="G60" s="903"/>
      <c r="H60" s="903"/>
      <c r="I60" s="903"/>
      <c r="J60" s="903"/>
      <c r="K60" s="904"/>
      <c r="L60" s="330"/>
      <c r="M60" s="14"/>
      <c r="N60" s="14"/>
      <c r="O60" s="14"/>
      <c r="P60" s="14"/>
      <c r="Q60" s="14"/>
      <c r="R60" s="14"/>
      <c r="S60" s="14"/>
      <c r="T60" s="14"/>
      <c r="U60" s="14"/>
      <c r="V60" s="14"/>
      <c r="W60" s="14"/>
      <c r="X60" s="14"/>
      <c r="Y60" s="14"/>
      <c r="Z60" s="14"/>
      <c r="AA60" s="14"/>
      <c r="AB60" s="14"/>
    </row>
    <row r="61" spans="1:28" ht="19.5" customHeight="1" outlineLevel="1" x14ac:dyDescent="0.85">
      <c r="A61" s="267" t="s">
        <v>1271</v>
      </c>
      <c r="B61" s="562">
        <v>-9.1273781621056216</v>
      </c>
      <c r="C61" s="562">
        <v>2.0254519141196047E-2</v>
      </c>
      <c r="D61" s="563">
        <f t="shared" si="4"/>
        <v>-9.1071236429644262</v>
      </c>
      <c r="E61" s="350">
        <f t="shared" ref="E61:E63" si="7">0.126/3</f>
        <v>4.2000000000000003E-2</v>
      </c>
      <c r="F61" s="902"/>
      <c r="G61" s="903"/>
      <c r="H61" s="903"/>
      <c r="I61" s="903"/>
      <c r="J61" s="903"/>
      <c r="K61" s="904"/>
      <c r="L61" s="330"/>
      <c r="M61" s="14"/>
      <c r="N61" s="14"/>
      <c r="O61" s="14"/>
      <c r="P61" s="14"/>
      <c r="Q61" s="14"/>
      <c r="R61" s="14"/>
      <c r="S61" s="14"/>
      <c r="T61" s="14"/>
      <c r="U61" s="14"/>
      <c r="V61" s="14"/>
      <c r="W61" s="14"/>
      <c r="X61" s="14"/>
      <c r="Y61" s="14"/>
      <c r="Z61" s="14"/>
      <c r="AA61" s="14"/>
      <c r="AB61" s="14"/>
    </row>
    <row r="62" spans="1:28" ht="19.5" customHeight="1" outlineLevel="1" x14ac:dyDescent="0.85">
      <c r="A62" s="267" t="s">
        <v>1272</v>
      </c>
      <c r="B62" s="562">
        <v>-7.2036649178223389</v>
      </c>
      <c r="C62" s="562">
        <v>2.0254519141196047E-2</v>
      </c>
      <c r="D62" s="563">
        <f t="shared" si="4"/>
        <v>-7.1834103986811426</v>
      </c>
      <c r="E62" s="350">
        <f t="shared" si="7"/>
        <v>4.2000000000000003E-2</v>
      </c>
      <c r="F62" s="902"/>
      <c r="G62" s="903"/>
      <c r="H62" s="903"/>
      <c r="I62" s="903"/>
      <c r="J62" s="903"/>
      <c r="K62" s="904"/>
      <c r="L62" s="330"/>
      <c r="M62" s="14"/>
      <c r="N62" s="14"/>
      <c r="O62" s="14"/>
      <c r="P62" s="14"/>
      <c r="Q62" s="14"/>
      <c r="R62" s="14"/>
      <c r="S62" s="14"/>
      <c r="T62" s="14"/>
      <c r="U62" s="14"/>
      <c r="V62" s="14"/>
      <c r="W62" s="14"/>
      <c r="X62" s="14"/>
      <c r="Y62" s="14"/>
      <c r="Z62" s="14"/>
      <c r="AA62" s="14"/>
      <c r="AB62" s="14"/>
    </row>
    <row r="63" spans="1:28" ht="19.5" customHeight="1" outlineLevel="1" x14ac:dyDescent="0.85">
      <c r="A63" s="267" t="s">
        <v>1273</v>
      </c>
      <c r="B63" s="562">
        <v>-4.3911606737930704</v>
      </c>
      <c r="C63" s="562">
        <v>2.0254519141196047E-2</v>
      </c>
      <c r="D63" s="563">
        <f t="shared" si="4"/>
        <v>-4.3709061546518742</v>
      </c>
      <c r="E63" s="350">
        <f t="shared" si="7"/>
        <v>4.2000000000000003E-2</v>
      </c>
      <c r="F63" s="902"/>
      <c r="G63" s="903"/>
      <c r="H63" s="903"/>
      <c r="I63" s="903"/>
      <c r="J63" s="903"/>
      <c r="K63" s="904"/>
      <c r="L63" s="330"/>
      <c r="M63" s="14"/>
      <c r="N63" s="14"/>
      <c r="O63" s="14"/>
      <c r="P63" s="14"/>
      <c r="Q63" s="14"/>
      <c r="R63" s="14"/>
      <c r="S63" s="14"/>
      <c r="T63" s="14"/>
      <c r="U63" s="14"/>
      <c r="V63" s="14"/>
      <c r="W63" s="14"/>
      <c r="X63" s="14"/>
      <c r="Y63" s="14"/>
      <c r="Z63" s="14"/>
      <c r="AA63" s="14"/>
      <c r="AB63" s="14"/>
    </row>
    <row r="64" spans="1:28" ht="19.5" customHeight="1" outlineLevel="1" x14ac:dyDescent="0.85">
      <c r="A64" s="564" t="s">
        <v>119</v>
      </c>
      <c r="B64" s="565" t="s">
        <v>106</v>
      </c>
      <c r="C64" s="565" t="s">
        <v>106</v>
      </c>
      <c r="D64" s="565" t="s">
        <v>106</v>
      </c>
      <c r="E64" s="566">
        <f>SUM('Waste_Recycling Data'!E52:E63)</f>
        <v>0.88000000000000023</v>
      </c>
      <c r="F64" s="905"/>
      <c r="G64" s="906"/>
      <c r="H64" s="906"/>
      <c r="I64" s="906"/>
      <c r="J64" s="906"/>
      <c r="K64" s="907"/>
      <c r="L64" s="330"/>
      <c r="M64" s="14"/>
      <c r="N64" s="14"/>
      <c r="O64" s="14"/>
      <c r="P64" s="14"/>
      <c r="Q64" s="14"/>
      <c r="R64" s="14"/>
      <c r="S64" s="14"/>
      <c r="T64" s="14"/>
      <c r="U64" s="14"/>
      <c r="V64" s="14"/>
      <c r="W64" s="14"/>
      <c r="X64" s="14"/>
      <c r="Y64" s="14"/>
      <c r="Z64" s="14"/>
      <c r="AA64" s="14"/>
      <c r="AB64" s="14"/>
    </row>
    <row r="65" spans="1:28" ht="19.5" customHeight="1" x14ac:dyDescent="0.85">
      <c r="A65" s="838" t="s">
        <v>254</v>
      </c>
      <c r="B65" s="908"/>
      <c r="C65" s="908"/>
      <c r="D65" s="908"/>
      <c r="E65" s="908"/>
      <c r="F65" s="908"/>
      <c r="G65" s="908"/>
      <c r="H65" s="908"/>
      <c r="I65" s="908"/>
      <c r="J65" s="908"/>
      <c r="K65" s="909"/>
      <c r="L65" s="2"/>
      <c r="M65" s="2"/>
      <c r="N65" s="2"/>
      <c r="O65" s="2"/>
      <c r="P65" s="2"/>
      <c r="Q65" s="2"/>
      <c r="R65" s="2"/>
      <c r="S65" s="2"/>
      <c r="T65" s="2"/>
      <c r="U65" s="2"/>
      <c r="V65" s="2"/>
      <c r="W65" s="2"/>
      <c r="X65" s="2"/>
      <c r="Y65" s="2"/>
      <c r="Z65" s="2"/>
      <c r="AA65" s="2"/>
      <c r="AB65" s="2"/>
    </row>
    <row r="66" spans="1:28" ht="19.5" customHeight="1" outlineLevel="1" x14ac:dyDescent="0.85">
      <c r="A66" s="731" t="s">
        <v>1274</v>
      </c>
      <c r="B66" s="732"/>
      <c r="C66" s="732"/>
      <c r="D66" s="732"/>
      <c r="E66" s="732"/>
      <c r="F66" s="732"/>
      <c r="G66" s="732"/>
      <c r="H66" s="733"/>
      <c r="I66" s="2"/>
      <c r="J66" s="2"/>
      <c r="K66" s="2"/>
      <c r="L66" s="2"/>
      <c r="M66" s="2"/>
      <c r="N66" s="2"/>
      <c r="O66" s="2"/>
      <c r="P66" s="2"/>
      <c r="Q66" s="2"/>
      <c r="R66" s="2"/>
      <c r="S66" s="2"/>
      <c r="T66" s="2"/>
      <c r="U66" s="2"/>
      <c r="V66" s="2"/>
      <c r="W66" s="2"/>
      <c r="X66" s="2"/>
      <c r="Y66" s="2"/>
      <c r="Z66" s="2"/>
      <c r="AA66" s="2"/>
      <c r="AB66" s="2"/>
    </row>
    <row r="67" spans="1:28" ht="19.5" customHeight="1" outlineLevel="1" x14ac:dyDescent="0.85">
      <c r="A67" s="567" t="s">
        <v>1275</v>
      </c>
      <c r="B67" s="326" t="s">
        <v>105</v>
      </c>
      <c r="C67" s="326" t="s">
        <v>107</v>
      </c>
      <c r="D67" s="326" t="s">
        <v>108</v>
      </c>
      <c r="E67" s="326" t="s">
        <v>108</v>
      </c>
      <c r="F67" s="326" t="s">
        <v>109</v>
      </c>
      <c r="G67" s="326" t="s">
        <v>110</v>
      </c>
      <c r="H67" s="358" t="s">
        <v>826</v>
      </c>
      <c r="I67" s="2"/>
      <c r="J67" s="2"/>
      <c r="K67" s="2"/>
      <c r="L67" s="2"/>
      <c r="M67" s="2"/>
      <c r="N67" s="2"/>
      <c r="O67" s="2"/>
      <c r="P67" s="2"/>
      <c r="Q67" s="2"/>
      <c r="R67" s="2"/>
      <c r="S67" s="2"/>
      <c r="T67" s="2"/>
      <c r="U67" s="2"/>
      <c r="V67" s="2"/>
      <c r="W67" s="2"/>
      <c r="X67" s="2"/>
      <c r="Y67" s="2"/>
      <c r="Z67" s="2"/>
      <c r="AA67" s="2"/>
      <c r="AB67" s="2"/>
    </row>
    <row r="68" spans="1:28" ht="19.5" customHeight="1" outlineLevel="1" x14ac:dyDescent="0.85">
      <c r="A68" s="568" t="s">
        <v>1276</v>
      </c>
      <c r="B68" s="361">
        <f>(((B91+B102)*SUMPRODUCT($B$25:$B$34,$C$25:$C$34)))</f>
        <v>0</v>
      </c>
      <c r="C68" s="361">
        <f>(((C91)*SUMPRODUCT($B$25:$B$34,$C$25:$C$34)))</f>
        <v>11985.004555403375</v>
      </c>
      <c r="D68" s="361">
        <f>(((D91)*SUMPRODUCT($B$25:$B$34,$C$25:$C$34)))</f>
        <v>2302.4920571173957</v>
      </c>
      <c r="E68" s="361">
        <f>(((E91)*SUMPRODUCT($B$25:$B$34,$C$25:$C$34)))</f>
        <v>2440.2945496730504</v>
      </c>
      <c r="F68" s="361">
        <f>(((F91)*SUMPRODUCT($B$25:$B$34,$C$25:$C$34)))+(F92*$B$39*$C$39)</f>
        <v>409.99821615890346</v>
      </c>
      <c r="G68" s="361">
        <f>(((G91)*SUMPRODUCT($B$25:$B$34,$C$25:$C$34)))</f>
        <v>0</v>
      </c>
      <c r="H68" s="718">
        <f t="shared" ref="H68:H71" si="8">SUM(C68:G68)</f>
        <v>17137.789378352725</v>
      </c>
      <c r="I68" s="14"/>
      <c r="J68" s="14"/>
      <c r="K68" s="14"/>
      <c r="L68" s="14"/>
      <c r="M68" s="14"/>
      <c r="N68" s="14"/>
      <c r="O68" s="14"/>
      <c r="P68" s="14"/>
      <c r="Q68" s="14"/>
      <c r="R68" s="14"/>
      <c r="S68" s="14"/>
      <c r="T68" s="14"/>
      <c r="U68" s="14"/>
      <c r="V68" s="14"/>
      <c r="W68" s="14"/>
      <c r="X68" s="14"/>
      <c r="Y68" s="14"/>
      <c r="Z68" s="14"/>
      <c r="AA68" s="14"/>
      <c r="AB68" s="14"/>
    </row>
    <row r="69" spans="1:28" ht="19.5" customHeight="1" outlineLevel="1" x14ac:dyDescent="0.85">
      <c r="A69" s="568" t="s">
        <v>1277</v>
      </c>
      <c r="B69" s="361">
        <f t="shared" ref="B69:G69" si="9">(((B93)*SUMPRODUCT($B$25:$B$34,$C$25:$C$34)))</f>
        <v>4814.4171455902269</v>
      </c>
      <c r="C69" s="361">
        <f t="shared" si="9"/>
        <v>0</v>
      </c>
      <c r="D69" s="361">
        <f t="shared" si="9"/>
        <v>0</v>
      </c>
      <c r="E69" s="361">
        <f t="shared" si="9"/>
        <v>0</v>
      </c>
      <c r="F69" s="361">
        <f t="shared" si="9"/>
        <v>0</v>
      </c>
      <c r="G69" s="361">
        <f t="shared" si="9"/>
        <v>0</v>
      </c>
      <c r="H69" s="718">
        <f t="shared" si="8"/>
        <v>0</v>
      </c>
      <c r="I69" s="14"/>
      <c r="J69" s="14"/>
      <c r="K69" s="14"/>
      <c r="L69" s="14"/>
      <c r="M69" s="14"/>
      <c r="N69" s="14"/>
      <c r="O69" s="14"/>
      <c r="P69" s="14"/>
      <c r="Q69" s="14"/>
      <c r="R69" s="14"/>
      <c r="S69" s="14"/>
      <c r="T69" s="14"/>
      <c r="U69" s="14"/>
      <c r="V69" s="14"/>
      <c r="W69" s="14"/>
      <c r="X69" s="14"/>
      <c r="Y69" s="14"/>
      <c r="Z69" s="14"/>
      <c r="AA69" s="14"/>
      <c r="AB69" s="14"/>
    </row>
    <row r="70" spans="1:28" ht="19.5" customHeight="1" outlineLevel="1" x14ac:dyDescent="0.85">
      <c r="A70" s="568" t="s">
        <v>1278</v>
      </c>
      <c r="B70" s="361">
        <f t="shared" ref="B70:E70" si="10">(B94)*$B$46</f>
        <v>13.776</v>
      </c>
      <c r="C70" s="361">
        <f t="shared" si="10"/>
        <v>13.776</v>
      </c>
      <c r="D70" s="361">
        <f t="shared" si="10"/>
        <v>0</v>
      </c>
      <c r="E70" s="361">
        <f t="shared" si="10"/>
        <v>0</v>
      </c>
      <c r="F70" s="361">
        <f>(F94*$B$46)+(F95*$B$46)</f>
        <v>59.885920000000006</v>
      </c>
      <c r="G70" s="361">
        <f>(G94)*$B$46</f>
        <v>0</v>
      </c>
      <c r="H70" s="718">
        <f t="shared" si="8"/>
        <v>73.661920000000009</v>
      </c>
      <c r="I70" s="14"/>
      <c r="J70" s="14"/>
      <c r="K70" s="14"/>
      <c r="L70" s="14"/>
      <c r="M70" s="14"/>
      <c r="N70" s="14"/>
      <c r="O70" s="14"/>
      <c r="P70" s="14"/>
      <c r="Q70" s="14"/>
      <c r="R70" s="14"/>
      <c r="S70" s="14"/>
      <c r="T70" s="14"/>
      <c r="U70" s="14"/>
      <c r="V70" s="14"/>
      <c r="W70" s="14"/>
      <c r="X70" s="14"/>
      <c r="Y70" s="14"/>
      <c r="Z70" s="14"/>
      <c r="AA70" s="14"/>
      <c r="AB70" s="14"/>
    </row>
    <row r="71" spans="1:28" ht="19.5" customHeight="1" outlineLevel="1" x14ac:dyDescent="0.85">
      <c r="A71" s="568" t="s">
        <v>1279</v>
      </c>
      <c r="B71" s="361">
        <f t="shared" ref="B71:G71" si="11">(B96)*$B$46</f>
        <v>0</v>
      </c>
      <c r="C71" s="361">
        <f t="shared" si="11"/>
        <v>0</v>
      </c>
      <c r="D71" s="361">
        <f t="shared" si="11"/>
        <v>0</v>
      </c>
      <c r="E71" s="361">
        <f t="shared" si="11"/>
        <v>0</v>
      </c>
      <c r="F71" s="361">
        <f t="shared" si="11"/>
        <v>0</v>
      </c>
      <c r="G71" s="361">
        <f t="shared" si="11"/>
        <v>0</v>
      </c>
      <c r="H71" s="718">
        <f t="shared" si="8"/>
        <v>0</v>
      </c>
      <c r="I71" s="14"/>
      <c r="J71" s="14"/>
      <c r="K71" s="14"/>
      <c r="L71" s="14"/>
      <c r="M71" s="14"/>
      <c r="N71" s="14"/>
      <c r="O71" s="14"/>
      <c r="P71" s="14"/>
      <c r="Q71" s="14"/>
      <c r="R71" s="14"/>
      <c r="S71" s="14"/>
      <c r="T71" s="14"/>
      <c r="U71" s="14"/>
      <c r="V71" s="14"/>
      <c r="W71" s="14"/>
      <c r="X71" s="14"/>
      <c r="Y71" s="14"/>
      <c r="Z71" s="14"/>
      <c r="AA71" s="14"/>
      <c r="AB71" s="14"/>
    </row>
    <row r="72" spans="1:28" ht="19.5" customHeight="1" outlineLevel="1" x14ac:dyDescent="0.85">
      <c r="A72" s="293" t="s">
        <v>119</v>
      </c>
      <c r="B72" s="293">
        <f t="shared" ref="B72:H72" si="12">SUM(B68:B71)</f>
        <v>4828.1931455902268</v>
      </c>
      <c r="C72" s="293">
        <f t="shared" si="12"/>
        <v>11998.780555403375</v>
      </c>
      <c r="D72" s="293">
        <f t="shared" si="12"/>
        <v>2302.4920571173957</v>
      </c>
      <c r="E72" s="293">
        <f t="shared" si="12"/>
        <v>2440.2945496730504</v>
      </c>
      <c r="F72" s="293">
        <f t="shared" si="12"/>
        <v>469.88413615890346</v>
      </c>
      <c r="G72" s="293">
        <f t="shared" si="12"/>
        <v>0</v>
      </c>
      <c r="H72" s="293">
        <f t="shared" si="12"/>
        <v>17211.451298352724</v>
      </c>
      <c r="I72" s="14"/>
      <c r="J72" s="14"/>
      <c r="K72" s="14"/>
      <c r="L72" s="14"/>
      <c r="M72" s="14"/>
      <c r="N72" s="14"/>
      <c r="O72" s="14"/>
      <c r="P72" s="14"/>
      <c r="Q72" s="14"/>
      <c r="R72" s="14"/>
      <c r="S72" s="14"/>
      <c r="T72" s="14"/>
      <c r="U72" s="14"/>
      <c r="V72" s="14"/>
      <c r="W72" s="14"/>
      <c r="X72" s="14"/>
      <c r="Y72" s="14"/>
      <c r="Z72" s="14"/>
      <c r="AA72" s="14"/>
      <c r="AB72" s="14"/>
    </row>
    <row r="73" spans="1:28" ht="19.5" customHeight="1" outlineLevel="1" x14ac:dyDescent="0.85">
      <c r="A73" s="569" t="s">
        <v>1280</v>
      </c>
      <c r="B73" s="289" t="s">
        <v>105</v>
      </c>
      <c r="C73" s="289" t="s">
        <v>107</v>
      </c>
      <c r="D73" s="289" t="s">
        <v>108</v>
      </c>
      <c r="E73" s="289" t="s">
        <v>108</v>
      </c>
      <c r="F73" s="289" t="s">
        <v>109</v>
      </c>
      <c r="G73" s="289" t="s">
        <v>110</v>
      </c>
      <c r="H73" s="408" t="s">
        <v>826</v>
      </c>
      <c r="I73" s="2"/>
      <c r="J73" s="2"/>
      <c r="K73" s="2"/>
      <c r="L73" s="2"/>
      <c r="M73" s="2"/>
      <c r="N73" s="2"/>
      <c r="O73" s="2"/>
      <c r="P73" s="2"/>
      <c r="Q73" s="2"/>
      <c r="R73" s="2"/>
      <c r="S73" s="2"/>
      <c r="T73" s="2"/>
      <c r="U73" s="2"/>
      <c r="V73" s="2"/>
      <c r="W73" s="2"/>
      <c r="X73" s="2"/>
      <c r="Y73" s="2"/>
      <c r="Z73" s="2"/>
      <c r="AA73" s="2"/>
      <c r="AB73" s="2"/>
    </row>
    <row r="74" spans="1:28" ht="19.5" customHeight="1" outlineLevel="1" x14ac:dyDescent="0.85">
      <c r="A74" s="568" t="s">
        <v>1276</v>
      </c>
      <c r="B74" s="361">
        <v>0</v>
      </c>
      <c r="C74" s="361">
        <v>0</v>
      </c>
      <c r="D74" s="361">
        <v>0</v>
      </c>
      <c r="E74" s="361">
        <v>0</v>
      </c>
      <c r="F74" s="361">
        <v>0</v>
      </c>
      <c r="G74" s="361">
        <v>0</v>
      </c>
      <c r="H74" s="718">
        <f t="shared" ref="H74:H77" si="13">SUM(C74:G74)</f>
        <v>0</v>
      </c>
      <c r="I74" s="14"/>
      <c r="J74" s="14"/>
      <c r="K74" s="14"/>
      <c r="L74" s="14"/>
      <c r="M74" s="14"/>
      <c r="N74" s="14"/>
      <c r="O74" s="14"/>
      <c r="P74" s="14"/>
      <c r="Q74" s="14"/>
      <c r="R74" s="14"/>
      <c r="S74" s="14"/>
      <c r="T74" s="14"/>
      <c r="U74" s="14"/>
      <c r="V74" s="14"/>
      <c r="W74" s="14"/>
      <c r="X74" s="14"/>
      <c r="Y74" s="14"/>
      <c r="Z74" s="14"/>
      <c r="AA74" s="14"/>
      <c r="AB74" s="14"/>
    </row>
    <row r="75" spans="1:28" ht="19.5" customHeight="1" outlineLevel="1" x14ac:dyDescent="0.85">
      <c r="A75" s="568" t="s">
        <v>1277</v>
      </c>
      <c r="B75" s="361">
        <v>0</v>
      </c>
      <c r="C75" s="361">
        <v>0</v>
      </c>
      <c r="D75" s="361">
        <v>0</v>
      </c>
      <c r="E75" s="361">
        <v>0</v>
      </c>
      <c r="F75" s="361">
        <v>0</v>
      </c>
      <c r="G75" s="361">
        <v>0</v>
      </c>
      <c r="H75" s="718">
        <f t="shared" si="13"/>
        <v>0</v>
      </c>
      <c r="I75" s="14"/>
      <c r="J75" s="14"/>
      <c r="K75" s="14"/>
      <c r="L75" s="14"/>
      <c r="M75" s="14"/>
      <c r="N75" s="14"/>
      <c r="O75" s="14"/>
      <c r="P75" s="14"/>
      <c r="Q75" s="14"/>
      <c r="R75" s="14"/>
      <c r="S75" s="14"/>
      <c r="T75" s="14"/>
      <c r="U75" s="14"/>
      <c r="V75" s="14"/>
      <c r="W75" s="14"/>
      <c r="X75" s="14"/>
      <c r="Y75" s="14"/>
      <c r="Z75" s="14"/>
      <c r="AA75" s="14"/>
      <c r="AB75" s="14"/>
    </row>
    <row r="76" spans="1:28" ht="19.5" customHeight="1" outlineLevel="1" x14ac:dyDescent="0.85">
      <c r="A76" s="568" t="s">
        <v>1278</v>
      </c>
      <c r="B76" s="361">
        <f t="shared" ref="B76:E76" si="14">(B94)*$B$47</f>
        <v>0.11557046979865773</v>
      </c>
      <c r="C76" s="361">
        <f t="shared" si="14"/>
        <v>0.11557046979865773</v>
      </c>
      <c r="D76" s="361">
        <f t="shared" si="14"/>
        <v>0</v>
      </c>
      <c r="E76" s="361">
        <f t="shared" si="14"/>
        <v>0</v>
      </c>
      <c r="F76" s="361">
        <f>(F94*$B$47)+(F95*$B$47)</f>
        <v>0.50239865771812087</v>
      </c>
      <c r="G76" s="361">
        <f>(G94)*$B$47</f>
        <v>0</v>
      </c>
      <c r="H76" s="718">
        <f t="shared" si="13"/>
        <v>0.61796912751677857</v>
      </c>
      <c r="I76" s="14"/>
      <c r="J76" s="14"/>
      <c r="K76" s="14"/>
      <c r="L76" s="14"/>
      <c r="M76" s="14"/>
      <c r="N76" s="14"/>
      <c r="O76" s="14"/>
      <c r="P76" s="14"/>
      <c r="Q76" s="14"/>
      <c r="R76" s="14"/>
      <c r="S76" s="14"/>
      <c r="T76" s="14"/>
      <c r="U76" s="14"/>
      <c r="V76" s="14"/>
      <c r="W76" s="14"/>
      <c r="X76" s="14"/>
      <c r="Y76" s="14"/>
      <c r="Z76" s="14"/>
      <c r="AA76" s="14"/>
      <c r="AB76" s="14"/>
    </row>
    <row r="77" spans="1:28" ht="19.5" customHeight="1" outlineLevel="1" x14ac:dyDescent="0.85">
      <c r="A77" s="568" t="s">
        <v>1279</v>
      </c>
      <c r="B77" s="361">
        <f t="shared" ref="B77:G77" si="15">(B96)*$B$47</f>
        <v>0</v>
      </c>
      <c r="C77" s="361">
        <f t="shared" si="15"/>
        <v>0</v>
      </c>
      <c r="D77" s="361">
        <f t="shared" si="15"/>
        <v>0</v>
      </c>
      <c r="E77" s="361">
        <f t="shared" si="15"/>
        <v>0</v>
      </c>
      <c r="F77" s="361">
        <f t="shared" si="15"/>
        <v>0</v>
      </c>
      <c r="G77" s="361">
        <f t="shared" si="15"/>
        <v>0</v>
      </c>
      <c r="H77" s="718">
        <f t="shared" si="13"/>
        <v>0</v>
      </c>
      <c r="I77" s="14"/>
      <c r="J77" s="14"/>
      <c r="K77" s="14"/>
      <c r="L77" s="14"/>
      <c r="M77" s="14"/>
      <c r="N77" s="14"/>
      <c r="O77" s="14"/>
      <c r="P77" s="14"/>
      <c r="Q77" s="14"/>
      <c r="R77" s="14"/>
      <c r="S77" s="14"/>
      <c r="T77" s="14"/>
      <c r="U77" s="14"/>
      <c r="V77" s="14"/>
      <c r="W77" s="14"/>
      <c r="X77" s="14"/>
      <c r="Y77" s="14"/>
      <c r="Z77" s="14"/>
      <c r="AA77" s="14"/>
      <c r="AB77" s="14"/>
    </row>
    <row r="78" spans="1:28" ht="19.5" customHeight="1" outlineLevel="1" x14ac:dyDescent="0.85">
      <c r="A78" s="293" t="s">
        <v>119</v>
      </c>
      <c r="B78" s="293">
        <f t="shared" ref="B78:H78" si="16">SUM(B74:B77)</f>
        <v>0.11557046979865773</v>
      </c>
      <c r="C78" s="293">
        <f t="shared" si="16"/>
        <v>0.11557046979865773</v>
      </c>
      <c r="D78" s="293">
        <f t="shared" si="16"/>
        <v>0</v>
      </c>
      <c r="E78" s="293">
        <f t="shared" si="16"/>
        <v>0</v>
      </c>
      <c r="F78" s="293">
        <f t="shared" si="16"/>
        <v>0.50239865771812087</v>
      </c>
      <c r="G78" s="293">
        <f t="shared" si="16"/>
        <v>0</v>
      </c>
      <c r="H78" s="293">
        <f t="shared" si="16"/>
        <v>0.61796912751677857</v>
      </c>
      <c r="I78" s="14"/>
      <c r="J78" s="14"/>
      <c r="K78" s="14"/>
      <c r="L78" s="14"/>
      <c r="M78" s="14"/>
      <c r="N78" s="14"/>
      <c r="O78" s="14"/>
      <c r="P78" s="14"/>
      <c r="Q78" s="14"/>
      <c r="R78" s="14"/>
      <c r="S78" s="14"/>
      <c r="T78" s="14"/>
      <c r="U78" s="14"/>
      <c r="V78" s="14"/>
      <c r="W78" s="14"/>
      <c r="X78" s="14"/>
      <c r="Y78" s="14"/>
      <c r="Z78" s="14"/>
      <c r="AA78" s="14"/>
      <c r="AB78" s="14"/>
    </row>
    <row r="79" spans="1:28" ht="19.5" customHeight="1" outlineLevel="1" x14ac:dyDescent="0.85">
      <c r="A79" s="569" t="s">
        <v>1281</v>
      </c>
      <c r="B79" s="289" t="s">
        <v>105</v>
      </c>
      <c r="C79" s="289" t="s">
        <v>107</v>
      </c>
      <c r="D79" s="289" t="s">
        <v>108</v>
      </c>
      <c r="E79" s="289" t="s">
        <v>108</v>
      </c>
      <c r="F79" s="289" t="s">
        <v>109</v>
      </c>
      <c r="G79" s="289" t="s">
        <v>110</v>
      </c>
      <c r="H79" s="408" t="s">
        <v>826</v>
      </c>
      <c r="I79" s="2"/>
      <c r="J79" s="2"/>
      <c r="K79" s="2"/>
      <c r="L79" s="2"/>
      <c r="M79" s="2"/>
      <c r="N79" s="2"/>
      <c r="O79" s="2"/>
      <c r="P79" s="2"/>
      <c r="Q79" s="2"/>
      <c r="R79" s="2"/>
      <c r="S79" s="2"/>
      <c r="T79" s="2"/>
      <c r="U79" s="2"/>
      <c r="V79" s="2"/>
      <c r="W79" s="2"/>
      <c r="X79" s="2"/>
      <c r="Y79" s="2"/>
      <c r="Z79" s="2"/>
      <c r="AA79" s="2"/>
      <c r="AB79" s="2"/>
    </row>
    <row r="80" spans="1:28" ht="19.5" customHeight="1" outlineLevel="1" x14ac:dyDescent="0.85">
      <c r="A80" s="568" t="s">
        <v>1276</v>
      </c>
      <c r="B80" s="361">
        <f>B68*'Conversion Factors and GWP'!$C$31</f>
        <v>0</v>
      </c>
      <c r="C80" s="361">
        <f>C68*'Conversion Factors and GWP'!$C$31</f>
        <v>335580.12755129451</v>
      </c>
      <c r="D80" s="361">
        <f>D68*'Conversion Factors and GWP'!$C$31</f>
        <v>64469.777599287081</v>
      </c>
      <c r="E80" s="361">
        <f>E68*'Conversion Factors and GWP'!$C$31</f>
        <v>68328.247390845412</v>
      </c>
      <c r="F80" s="361">
        <f>F68*'Conversion Factors and GWP'!$C$31</f>
        <v>11479.950052449298</v>
      </c>
      <c r="G80" s="361">
        <f>G68*'Conversion Factors and GWP'!$C$31</f>
        <v>0</v>
      </c>
      <c r="H80" s="718">
        <f t="shared" ref="H80:H83" si="17">SUM(C80:G80)</f>
        <v>479858.10259387636</v>
      </c>
      <c r="I80" s="14"/>
      <c r="J80" s="571"/>
      <c r="K80" s="14"/>
      <c r="L80" s="14"/>
      <c r="M80" s="14"/>
      <c r="N80" s="14"/>
      <c r="O80" s="14"/>
      <c r="P80" s="14"/>
      <c r="Q80" s="14"/>
      <c r="R80" s="14"/>
      <c r="S80" s="14"/>
      <c r="T80" s="14"/>
      <c r="U80" s="14"/>
      <c r="V80" s="14"/>
      <c r="W80" s="14"/>
      <c r="X80" s="14"/>
      <c r="Y80" s="14"/>
      <c r="Z80" s="14"/>
      <c r="AA80" s="14"/>
      <c r="AB80" s="14"/>
    </row>
    <row r="81" spans="1:28" ht="19.5" customHeight="1" outlineLevel="1" x14ac:dyDescent="0.85">
      <c r="A81" s="568" t="s">
        <v>1277</v>
      </c>
      <c r="B81" s="361">
        <f>B69*'Conversion Factors and GWP'!$C$31</f>
        <v>134803.68007652636</v>
      </c>
      <c r="C81" s="361">
        <f>C69*'Conversion Factors and GWP'!$C$31</f>
        <v>0</v>
      </c>
      <c r="D81" s="361">
        <f>D69*'Conversion Factors and GWP'!$C$31</f>
        <v>0</v>
      </c>
      <c r="E81" s="361">
        <f>E69*'Conversion Factors and GWP'!$C$31</f>
        <v>0</v>
      </c>
      <c r="F81" s="361">
        <f>F69*'Conversion Factors and GWP'!$C$31</f>
        <v>0</v>
      </c>
      <c r="G81" s="361">
        <f>G69*'Conversion Factors and GWP'!$C$31</f>
        <v>0</v>
      </c>
      <c r="H81" s="718">
        <f t="shared" si="17"/>
        <v>0</v>
      </c>
      <c r="I81" s="14"/>
      <c r="J81" s="571"/>
      <c r="K81" s="14"/>
      <c r="L81" s="14"/>
      <c r="M81" s="14"/>
      <c r="N81" s="14"/>
      <c r="O81" s="14"/>
      <c r="P81" s="14"/>
      <c r="Q81" s="14"/>
      <c r="R81" s="14"/>
      <c r="S81" s="14"/>
      <c r="T81" s="14"/>
      <c r="U81" s="14"/>
      <c r="V81" s="14"/>
      <c r="W81" s="14"/>
      <c r="X81" s="14"/>
      <c r="Y81" s="14"/>
      <c r="Z81" s="14"/>
      <c r="AA81" s="14"/>
      <c r="AB81" s="14"/>
    </row>
    <row r="82" spans="1:28" ht="19.5" customHeight="1" outlineLevel="1" x14ac:dyDescent="0.85">
      <c r="A82" s="568" t="s">
        <v>1278</v>
      </c>
      <c r="B82" s="361">
        <f>B70*'Conversion Factors and GWP'!$C$31+B76*'Conversion Factors and GWP'!$C$32</f>
        <v>416.3541744966443</v>
      </c>
      <c r="C82" s="361">
        <f>C70*'Conversion Factors and GWP'!$C$31+C76*'Conversion Factors and GWP'!$C$32</f>
        <v>416.3541744966443</v>
      </c>
      <c r="D82" s="361">
        <f>D70*'Conversion Factors and GWP'!$C$31+D76*'Conversion Factors and GWP'!$C$32</f>
        <v>0</v>
      </c>
      <c r="E82" s="361">
        <f>E70*'Conversion Factors and GWP'!$C$31+E76*'Conversion Factors and GWP'!$C$32</f>
        <v>0</v>
      </c>
      <c r="F82" s="361">
        <f>F70*'Conversion Factors and GWP'!$C$31+F76*'Conversion Factors and GWP'!$C$32</f>
        <v>1809.9414042953022</v>
      </c>
      <c r="G82" s="361">
        <f>G70*'Conversion Factors and GWP'!$C$31+G76*'Conversion Factors and GWP'!$C$32</f>
        <v>0</v>
      </c>
      <c r="H82" s="718">
        <f t="shared" si="17"/>
        <v>2226.2955787919464</v>
      </c>
      <c r="I82" s="14"/>
      <c r="J82" s="14"/>
      <c r="K82" s="14"/>
      <c r="L82" s="14"/>
      <c r="M82" s="14"/>
      <c r="N82" s="14"/>
      <c r="O82" s="14"/>
      <c r="P82" s="14"/>
      <c r="Q82" s="14"/>
      <c r="R82" s="14"/>
      <c r="S82" s="14"/>
      <c r="T82" s="14"/>
      <c r="U82" s="14"/>
      <c r="V82" s="14"/>
      <c r="W82" s="14"/>
      <c r="X82" s="14"/>
      <c r="Y82" s="14"/>
      <c r="Z82" s="14"/>
      <c r="AA82" s="14"/>
      <c r="AB82" s="14"/>
    </row>
    <row r="83" spans="1:28" ht="19.5" customHeight="1" outlineLevel="1" x14ac:dyDescent="0.85">
      <c r="A83" s="568" t="s">
        <v>1279</v>
      </c>
      <c r="B83" s="361">
        <f>B71*'Conversion Factors and GWP'!$C$31+B77*'Conversion Factors and GWP'!$C$32</f>
        <v>0</v>
      </c>
      <c r="C83" s="361">
        <f>C71*'Conversion Factors and GWP'!$C$31+C77*'Conversion Factors and GWP'!$C$32</f>
        <v>0</v>
      </c>
      <c r="D83" s="361">
        <f>D71*'Conversion Factors and GWP'!$C$31+D77*'Conversion Factors and GWP'!$C$32</f>
        <v>0</v>
      </c>
      <c r="E83" s="361">
        <f>E71*'Conversion Factors and GWP'!$C$31+E77*'Conversion Factors and GWP'!$C$32</f>
        <v>0</v>
      </c>
      <c r="F83" s="361">
        <f>F71*'Conversion Factors and GWP'!$C$31+F77*'Conversion Factors and GWP'!$C$32</f>
        <v>0</v>
      </c>
      <c r="G83" s="361">
        <f>G71*'Conversion Factors and GWP'!$C$31+G77*'Conversion Factors and GWP'!$C$32</f>
        <v>0</v>
      </c>
      <c r="H83" s="718">
        <f t="shared" si="17"/>
        <v>0</v>
      </c>
      <c r="I83" s="14"/>
      <c r="J83" s="14"/>
      <c r="K83" s="14"/>
      <c r="L83" s="14"/>
      <c r="M83" s="14"/>
      <c r="N83" s="14"/>
      <c r="O83" s="14"/>
      <c r="P83" s="14"/>
      <c r="Q83" s="14"/>
      <c r="R83" s="14"/>
      <c r="S83" s="14"/>
      <c r="T83" s="14"/>
      <c r="U83" s="14"/>
      <c r="V83" s="14"/>
      <c r="W83" s="14"/>
      <c r="X83" s="14"/>
      <c r="Y83" s="14"/>
      <c r="Z83" s="14"/>
      <c r="AA83" s="14"/>
      <c r="AB83" s="14"/>
    </row>
    <row r="84" spans="1:28" ht="19.5" customHeight="1" outlineLevel="1" x14ac:dyDescent="0.85">
      <c r="A84" s="293" t="s">
        <v>119</v>
      </c>
      <c r="B84" s="293">
        <f t="shared" ref="B84:H84" si="18">SUM(B80:B83)</f>
        <v>135220.034251023</v>
      </c>
      <c r="C84" s="293">
        <f t="shared" si="18"/>
        <v>335996.48172579118</v>
      </c>
      <c r="D84" s="293">
        <f t="shared" si="18"/>
        <v>64469.777599287081</v>
      </c>
      <c r="E84" s="293">
        <f t="shared" si="18"/>
        <v>68328.247390845412</v>
      </c>
      <c r="F84" s="293">
        <f t="shared" si="18"/>
        <v>13289.891456744601</v>
      </c>
      <c r="G84" s="293">
        <f t="shared" si="18"/>
        <v>0</v>
      </c>
      <c r="H84" s="293">
        <f t="shared" si="18"/>
        <v>482084.3981726683</v>
      </c>
      <c r="I84" s="14"/>
      <c r="J84" s="14"/>
      <c r="K84" s="14"/>
      <c r="L84" s="14"/>
      <c r="M84" s="14"/>
      <c r="N84" s="14"/>
      <c r="O84" s="14"/>
      <c r="P84" s="14"/>
      <c r="Q84" s="14"/>
      <c r="R84" s="14"/>
      <c r="S84" s="14"/>
      <c r="T84" s="14"/>
      <c r="U84" s="14"/>
      <c r="V84" s="14"/>
      <c r="W84" s="14"/>
      <c r="X84" s="14"/>
      <c r="Y84" s="14"/>
      <c r="Z84" s="14"/>
      <c r="AA84" s="14"/>
      <c r="AB84" s="14"/>
    </row>
    <row r="85" spans="1:28" ht="19.5" customHeight="1" outlineLevel="1" x14ac:dyDescent="0.85">
      <c r="A85" s="569" t="s">
        <v>813</v>
      </c>
      <c r="B85" s="289" t="s">
        <v>105</v>
      </c>
      <c r="C85" s="289" t="s">
        <v>107</v>
      </c>
      <c r="D85" s="289" t="s">
        <v>108</v>
      </c>
      <c r="E85" s="289" t="s">
        <v>108</v>
      </c>
      <c r="F85" s="289" t="s">
        <v>109</v>
      </c>
      <c r="G85" s="289" t="s">
        <v>110</v>
      </c>
      <c r="H85" s="408" t="s">
        <v>826</v>
      </c>
      <c r="I85" s="2"/>
      <c r="J85" s="2"/>
      <c r="K85" s="2"/>
      <c r="L85" s="2"/>
      <c r="M85" s="2"/>
      <c r="N85" s="2"/>
      <c r="O85" s="2"/>
      <c r="P85" s="2"/>
      <c r="Q85" s="2"/>
      <c r="R85" s="2"/>
      <c r="S85" s="2"/>
      <c r="T85" s="2"/>
      <c r="U85" s="2"/>
      <c r="V85" s="2"/>
      <c r="W85" s="2"/>
      <c r="X85" s="2"/>
      <c r="Y85" s="2"/>
      <c r="Z85" s="2"/>
      <c r="AA85" s="2"/>
      <c r="AB85" s="2"/>
    </row>
    <row r="86" spans="1:28" ht="19.5" customHeight="1" outlineLevel="1" x14ac:dyDescent="0.85">
      <c r="A86" s="568" t="s">
        <v>1282</v>
      </c>
      <c r="B86" s="178">
        <f>SUMPRODUCT($D$52:$D$63,$E$52:$E$63)*B97</f>
        <v>-109484.31168240006</v>
      </c>
      <c r="C86" s="178">
        <f t="shared" ref="C86:G86" si="19">SUMPRODUCT($D$52:$D$63,$E$52:$E$63)*C97</f>
        <v>-109484.31168240006</v>
      </c>
      <c r="D86" s="178">
        <f t="shared" si="19"/>
        <v>0</v>
      </c>
      <c r="E86" s="178">
        <f t="shared" si="19"/>
        <v>0</v>
      </c>
      <c r="F86" s="178">
        <f t="shared" si="19"/>
        <v>-1188.3514580298054</v>
      </c>
      <c r="G86" s="178">
        <f t="shared" si="19"/>
        <v>0</v>
      </c>
      <c r="H86" s="178">
        <f t="shared" ref="H86:H87" si="20">SUM(C86:G86)</f>
        <v>-110672.66314042987</v>
      </c>
      <c r="I86" s="14"/>
      <c r="J86" s="14"/>
      <c r="K86" s="14"/>
      <c r="L86" s="14"/>
      <c r="M86" s="14"/>
      <c r="N86" s="14"/>
      <c r="O86" s="14"/>
      <c r="P86" s="14"/>
      <c r="Q86" s="14"/>
      <c r="R86" s="14"/>
      <c r="S86" s="14"/>
      <c r="T86" s="14"/>
      <c r="U86" s="14"/>
      <c r="V86" s="14"/>
      <c r="W86" s="14"/>
      <c r="X86" s="14"/>
      <c r="Y86" s="14"/>
      <c r="Z86" s="14"/>
      <c r="AA86" s="14"/>
      <c r="AB86" s="14"/>
    </row>
    <row r="87" spans="1:28" ht="19.5" customHeight="1" outlineLevel="1" x14ac:dyDescent="0.85">
      <c r="A87" s="568" t="s">
        <v>1283</v>
      </c>
      <c r="B87" s="178">
        <f t="shared" ref="B87:G87" si="21">SUMPRODUCT($D$52:$D$63,$E$52:$E$63)*B98</f>
        <v>0</v>
      </c>
      <c r="C87" s="178">
        <f t="shared" si="21"/>
        <v>0</v>
      </c>
      <c r="D87" s="178">
        <f t="shared" si="21"/>
        <v>0</v>
      </c>
      <c r="E87" s="178">
        <f t="shared" si="21"/>
        <v>0</v>
      </c>
      <c r="F87" s="178">
        <f t="shared" si="21"/>
        <v>0</v>
      </c>
      <c r="G87" s="178">
        <f t="shared" si="21"/>
        <v>0</v>
      </c>
      <c r="H87" s="718">
        <f t="shared" si="20"/>
        <v>0</v>
      </c>
      <c r="I87" s="14"/>
      <c r="J87" s="14"/>
      <c r="K87" s="14"/>
      <c r="L87" s="14"/>
      <c r="M87" s="14"/>
      <c r="N87" s="14"/>
      <c r="O87" s="14"/>
      <c r="P87" s="14"/>
      <c r="Q87" s="14"/>
      <c r="R87" s="14"/>
      <c r="S87" s="14"/>
      <c r="T87" s="14"/>
      <c r="U87" s="14"/>
      <c r="V87" s="14"/>
      <c r="W87" s="14"/>
      <c r="X87" s="14"/>
      <c r="Y87" s="14"/>
      <c r="Z87" s="14"/>
      <c r="AA87" s="14"/>
      <c r="AB87" s="14"/>
    </row>
    <row r="88" spans="1:28" ht="19.5" customHeight="1" outlineLevel="1" x14ac:dyDescent="0.85">
      <c r="A88" s="293" t="s">
        <v>119</v>
      </c>
      <c r="B88" s="734">
        <f t="shared" ref="B88:H88" si="22">SUM(B86:B87)</f>
        <v>-109484.31168240006</v>
      </c>
      <c r="C88" s="734">
        <f t="shared" si="22"/>
        <v>-109484.31168240006</v>
      </c>
      <c r="D88" s="293">
        <f t="shared" si="22"/>
        <v>0</v>
      </c>
      <c r="E88" s="293">
        <f t="shared" si="22"/>
        <v>0</v>
      </c>
      <c r="F88" s="734">
        <f t="shared" si="22"/>
        <v>-1188.3514580298054</v>
      </c>
      <c r="G88" s="293">
        <f t="shared" si="22"/>
        <v>0</v>
      </c>
      <c r="H88" s="734">
        <f t="shared" si="22"/>
        <v>-110672.66314042987</v>
      </c>
      <c r="I88" s="14"/>
      <c r="J88" s="14"/>
      <c r="K88" s="14"/>
      <c r="L88" s="14"/>
      <c r="M88" s="14"/>
      <c r="N88" s="14"/>
      <c r="O88" s="14"/>
      <c r="P88" s="14"/>
      <c r="Q88" s="14"/>
      <c r="R88" s="14"/>
      <c r="S88" s="14"/>
      <c r="T88" s="14"/>
      <c r="U88" s="14"/>
      <c r="V88" s="14"/>
      <c r="W88" s="14"/>
      <c r="X88" s="14"/>
      <c r="Y88" s="14"/>
      <c r="Z88" s="14"/>
      <c r="AA88" s="14"/>
      <c r="AB88" s="14"/>
    </row>
    <row r="89" spans="1:28" ht="19.5" customHeight="1" outlineLevel="1" x14ac:dyDescent="0.85">
      <c r="A89" s="726" t="s">
        <v>1284</v>
      </c>
      <c r="B89" s="727"/>
      <c r="C89" s="727"/>
      <c r="D89" s="727"/>
      <c r="E89" s="727"/>
      <c r="F89" s="727"/>
      <c r="G89" s="727"/>
      <c r="H89" s="735"/>
      <c r="I89" s="2"/>
      <c r="J89" s="2"/>
      <c r="K89" s="2"/>
      <c r="L89" s="2"/>
      <c r="M89" s="2"/>
      <c r="N89" s="2"/>
      <c r="O89" s="2"/>
      <c r="P89" s="2"/>
      <c r="Q89" s="2"/>
      <c r="R89" s="2"/>
      <c r="S89" s="2"/>
      <c r="T89" s="2"/>
      <c r="U89" s="2"/>
      <c r="V89" s="2"/>
      <c r="W89" s="2"/>
      <c r="X89" s="2"/>
      <c r="Y89" s="2"/>
      <c r="Z89" s="2"/>
      <c r="AA89" s="2"/>
      <c r="AB89" s="2"/>
    </row>
    <row r="90" spans="1:28" ht="19.5" customHeight="1" outlineLevel="1" x14ac:dyDescent="0.85">
      <c r="A90" s="289" t="s">
        <v>449</v>
      </c>
      <c r="B90" s="289" t="s">
        <v>105</v>
      </c>
      <c r="C90" s="400" t="s">
        <v>1285</v>
      </c>
      <c r="D90" s="399" t="s">
        <v>1286</v>
      </c>
      <c r="E90" s="399" t="s">
        <v>1287</v>
      </c>
      <c r="F90" s="399" t="s">
        <v>1288</v>
      </c>
      <c r="G90" s="408" t="s">
        <v>110</v>
      </c>
      <c r="H90" s="408" t="s">
        <v>826</v>
      </c>
      <c r="I90" s="570"/>
      <c r="J90" s="570"/>
      <c r="K90" s="570"/>
      <c r="L90" s="570"/>
      <c r="M90" s="570"/>
      <c r="N90" s="570"/>
      <c r="O90" s="570"/>
      <c r="P90" s="570"/>
      <c r="Q90" s="570"/>
      <c r="R90" s="570"/>
      <c r="S90" s="570"/>
      <c r="T90" s="570"/>
      <c r="U90" s="570"/>
      <c r="V90" s="570"/>
      <c r="W90" s="570"/>
      <c r="X90" s="570"/>
      <c r="Y90" s="570"/>
      <c r="Z90" s="570"/>
      <c r="AA90" s="570"/>
      <c r="AB90" s="570"/>
    </row>
    <row r="91" spans="1:28" ht="19.5" customHeight="1" outlineLevel="1" x14ac:dyDescent="0.85">
      <c r="A91" s="568" t="s">
        <v>1289</v>
      </c>
      <c r="B91" s="716"/>
      <c r="C91" s="717">
        <f>(C102*'Conversion Factors and GWP'!$A$3/'Conversion Factors and GWP'!$A$4)+B93</f>
        <v>881743.764417</v>
      </c>
      <c r="D91" s="717">
        <f>D102*'Conversion Factors and GWP'!$A$3/'Conversion Factors and GWP'!$A$4</f>
        <v>169395.68146159998</v>
      </c>
      <c r="E91" s="717">
        <f>E102*'Conversion Factors and GWP'!$A$3/'Conversion Factors and GWP'!$A$4</f>
        <v>179533.89108599999</v>
      </c>
      <c r="F91" s="715">
        <v>30019.34</v>
      </c>
      <c r="G91" s="716"/>
      <c r="H91" s="718">
        <f t="shared" ref="H91:H98" si="23">SUM(C91:G91)</f>
        <v>1260692.6769646001</v>
      </c>
      <c r="I91" s="571"/>
      <c r="J91" s="571"/>
      <c r="K91" s="571"/>
      <c r="L91" s="571"/>
      <c r="M91" s="571"/>
      <c r="N91" s="571"/>
      <c r="O91" s="571"/>
      <c r="P91" s="571"/>
      <c r="Q91" s="571"/>
      <c r="R91" s="571"/>
      <c r="S91" s="571"/>
      <c r="T91" s="571"/>
      <c r="U91" s="571"/>
      <c r="V91" s="571"/>
      <c r="W91" s="571"/>
      <c r="X91" s="571"/>
      <c r="Y91" s="571"/>
      <c r="Z91" s="571"/>
      <c r="AA91" s="571"/>
      <c r="AB91" s="571"/>
    </row>
    <row r="92" spans="1:28" ht="19.5" customHeight="1" outlineLevel="1" x14ac:dyDescent="0.85">
      <c r="A92" s="568" t="s">
        <v>1290</v>
      </c>
      <c r="B92" s="716"/>
      <c r="C92" s="717"/>
      <c r="D92" s="717"/>
      <c r="E92" s="717"/>
      <c r="F92" s="715">
        <v>8355.8799999999992</v>
      </c>
      <c r="G92" s="716"/>
      <c r="H92" s="718">
        <f t="shared" si="23"/>
        <v>8355.8799999999992</v>
      </c>
      <c r="I92" s="571"/>
      <c r="J92" s="571"/>
      <c r="K92" s="571"/>
      <c r="L92" s="571"/>
      <c r="M92" s="571"/>
      <c r="N92" s="571"/>
      <c r="O92" s="571"/>
      <c r="P92" s="571"/>
      <c r="Q92" s="571"/>
      <c r="R92" s="571"/>
      <c r="S92" s="571"/>
      <c r="T92" s="571"/>
      <c r="U92" s="571"/>
      <c r="V92" s="571"/>
      <c r="W92" s="571"/>
      <c r="X92" s="571"/>
      <c r="Y92" s="571"/>
      <c r="Z92" s="571"/>
      <c r="AA92" s="571"/>
      <c r="AB92" s="571"/>
    </row>
    <row r="93" spans="1:28" ht="19.5" customHeight="1" outlineLevel="1" x14ac:dyDescent="0.85">
      <c r="A93" s="568" t="s">
        <v>1291</v>
      </c>
      <c r="B93" s="715">
        <v>354199.473</v>
      </c>
      <c r="C93" s="717"/>
      <c r="D93" s="719"/>
      <c r="E93" s="719"/>
      <c r="F93" s="716"/>
      <c r="G93" s="716"/>
      <c r="H93" s="718">
        <f t="shared" si="23"/>
        <v>0</v>
      </c>
      <c r="I93" s="571"/>
      <c r="J93" s="571"/>
      <c r="K93" s="571"/>
      <c r="L93" s="571"/>
      <c r="M93" s="571"/>
      <c r="N93" s="571"/>
      <c r="O93" s="571"/>
      <c r="P93" s="571"/>
      <c r="Q93" s="571"/>
      <c r="R93" s="571"/>
      <c r="S93" s="571"/>
      <c r="T93" s="571"/>
      <c r="U93" s="571"/>
      <c r="V93" s="571"/>
      <c r="W93" s="571"/>
      <c r="X93" s="571"/>
      <c r="Y93" s="571"/>
      <c r="Z93" s="571"/>
      <c r="AA93" s="571"/>
      <c r="AB93" s="571"/>
    </row>
    <row r="94" spans="1:28" ht="19.2" customHeight="1" outlineLevel="1" x14ac:dyDescent="0.85">
      <c r="A94" s="568" t="s">
        <v>1292</v>
      </c>
      <c r="B94" s="715">
        <v>3444</v>
      </c>
      <c r="C94" s="717">
        <f>B94</f>
        <v>3444</v>
      </c>
      <c r="D94" s="719"/>
      <c r="E94" s="719"/>
      <c r="F94" s="715">
        <v>310.52</v>
      </c>
      <c r="G94" s="716"/>
      <c r="H94" s="718">
        <f t="shared" si="23"/>
        <v>3754.52</v>
      </c>
      <c r="I94" s="571"/>
      <c r="J94" s="571"/>
      <c r="K94" s="571"/>
      <c r="L94" s="571"/>
      <c r="M94" s="571"/>
      <c r="N94" s="571"/>
      <c r="O94" s="571"/>
      <c r="P94" s="571"/>
      <c r="Q94" s="571"/>
      <c r="R94" s="571"/>
      <c r="S94" s="571"/>
      <c r="T94" s="571"/>
      <c r="U94" s="571"/>
      <c r="V94" s="571"/>
      <c r="W94" s="571"/>
      <c r="X94" s="571"/>
      <c r="Y94" s="571"/>
      <c r="Z94" s="571"/>
      <c r="AA94" s="571"/>
      <c r="AB94" s="571"/>
    </row>
    <row r="95" spans="1:28" ht="19.5" customHeight="1" outlineLevel="1" x14ac:dyDescent="0.85">
      <c r="A95" s="568" t="s">
        <v>1293</v>
      </c>
      <c r="B95" s="715"/>
      <c r="C95" s="717"/>
      <c r="D95" s="719"/>
      <c r="E95" s="719"/>
      <c r="F95" s="715">
        <v>14660.960000000001</v>
      </c>
      <c r="G95" s="716"/>
      <c r="H95" s="718">
        <f t="shared" si="23"/>
        <v>14660.960000000001</v>
      </c>
      <c r="I95" s="571"/>
      <c r="J95" s="571"/>
      <c r="K95" s="571"/>
      <c r="L95" s="571"/>
      <c r="M95" s="571"/>
      <c r="N95" s="571"/>
      <c r="O95" s="571"/>
      <c r="P95" s="571"/>
      <c r="Q95" s="571"/>
      <c r="R95" s="571"/>
      <c r="S95" s="571"/>
      <c r="T95" s="571"/>
      <c r="U95" s="571"/>
      <c r="V95" s="571"/>
      <c r="W95" s="571"/>
      <c r="X95" s="571"/>
      <c r="Y95" s="571"/>
      <c r="Z95" s="571"/>
      <c r="AA95" s="571"/>
      <c r="AB95" s="571"/>
    </row>
    <row r="96" spans="1:28" ht="19.5" customHeight="1" outlineLevel="1" x14ac:dyDescent="0.85">
      <c r="A96" s="568" t="s">
        <v>1294</v>
      </c>
      <c r="B96" s="720"/>
      <c r="C96" s="721"/>
      <c r="D96" s="721"/>
      <c r="E96" s="721"/>
      <c r="F96" s="720"/>
      <c r="G96" s="720"/>
      <c r="H96" s="718">
        <f t="shared" si="23"/>
        <v>0</v>
      </c>
      <c r="I96" s="571"/>
      <c r="J96" s="571"/>
      <c r="K96" s="571"/>
      <c r="L96" s="571"/>
      <c r="M96" s="571"/>
      <c r="N96" s="571"/>
      <c r="O96" s="571"/>
      <c r="P96" s="571"/>
      <c r="Q96" s="571"/>
      <c r="R96" s="571"/>
      <c r="S96" s="571"/>
      <c r="T96" s="571"/>
      <c r="U96" s="571"/>
      <c r="V96" s="571"/>
      <c r="W96" s="571"/>
      <c r="X96" s="571"/>
      <c r="Y96" s="571"/>
      <c r="Z96" s="571"/>
      <c r="AA96" s="571"/>
      <c r="AB96" s="571"/>
    </row>
    <row r="97" spans="1:28" ht="19.5" customHeight="1" outlineLevel="1" x14ac:dyDescent="0.85">
      <c r="A97" s="568" t="s">
        <v>1295</v>
      </c>
      <c r="B97" s="715">
        <f>18003.55+18264.84</f>
        <v>36268.39</v>
      </c>
      <c r="C97" s="717">
        <f>B97</f>
        <v>36268.39</v>
      </c>
      <c r="D97" s="719"/>
      <c r="E97" s="719"/>
      <c r="F97" s="715">
        <v>393.66</v>
      </c>
      <c r="G97" s="716"/>
      <c r="H97" s="718">
        <f t="shared" si="23"/>
        <v>36662.050000000003</v>
      </c>
      <c r="I97" s="571"/>
      <c r="J97" s="571"/>
      <c r="K97" s="571"/>
      <c r="L97" s="571"/>
      <c r="M97" s="571"/>
      <c r="N97" s="571"/>
      <c r="O97" s="571"/>
      <c r="P97" s="571"/>
      <c r="Q97" s="571"/>
      <c r="R97" s="571"/>
      <c r="S97" s="571"/>
      <c r="T97" s="571"/>
      <c r="U97" s="571"/>
      <c r="V97" s="571"/>
      <c r="W97" s="571"/>
      <c r="X97" s="571"/>
      <c r="Y97" s="571"/>
      <c r="Z97" s="571"/>
      <c r="AA97" s="571"/>
      <c r="AB97" s="571"/>
    </row>
    <row r="98" spans="1:28" ht="19.5" customHeight="1" outlineLevel="1" x14ac:dyDescent="0.85">
      <c r="A98" s="568" t="s">
        <v>1296</v>
      </c>
      <c r="B98" s="716"/>
      <c r="C98" s="719"/>
      <c r="D98" s="719"/>
      <c r="E98" s="719"/>
      <c r="F98" s="716"/>
      <c r="G98" s="716"/>
      <c r="H98" s="718">
        <f t="shared" si="23"/>
        <v>0</v>
      </c>
      <c r="I98" s="571"/>
      <c r="J98" s="571"/>
      <c r="K98" s="571"/>
      <c r="L98" s="571"/>
      <c r="M98" s="571"/>
      <c r="N98" s="571"/>
      <c r="O98" s="571"/>
      <c r="P98" s="571"/>
      <c r="Q98" s="571"/>
      <c r="R98" s="571"/>
      <c r="S98" s="571"/>
      <c r="T98" s="571"/>
      <c r="U98" s="571"/>
      <c r="V98" s="571"/>
      <c r="W98" s="571"/>
      <c r="X98" s="571"/>
      <c r="Y98" s="571"/>
      <c r="Z98" s="571"/>
      <c r="AA98" s="571"/>
      <c r="AB98" s="571"/>
    </row>
    <row r="99" spans="1:28" ht="19.5" customHeight="1" outlineLevel="1" x14ac:dyDescent="0.85">
      <c r="A99" s="572" t="s">
        <v>119</v>
      </c>
      <c r="B99" s="293">
        <f t="shared" ref="B99:H99" si="24">SUM(B91:B98)</f>
        <v>393911.86300000001</v>
      </c>
      <c r="C99" s="293">
        <f t="shared" si="24"/>
        <v>921456.15441700001</v>
      </c>
      <c r="D99" s="293">
        <f t="shared" si="24"/>
        <v>169395.68146159998</v>
      </c>
      <c r="E99" s="293">
        <f t="shared" si="24"/>
        <v>179533.89108599999</v>
      </c>
      <c r="F99" s="293">
        <f t="shared" si="24"/>
        <v>53740.36</v>
      </c>
      <c r="G99" s="293">
        <f t="shared" si="24"/>
        <v>0</v>
      </c>
      <c r="H99" s="293">
        <f t="shared" si="24"/>
        <v>1324126.0869646</v>
      </c>
      <c r="I99" s="571"/>
      <c r="J99" s="571"/>
      <c r="K99" s="571"/>
      <c r="L99" s="571"/>
      <c r="M99" s="571"/>
      <c r="N99" s="571"/>
      <c r="O99" s="571"/>
      <c r="P99" s="571"/>
      <c r="Q99" s="571"/>
      <c r="R99" s="571"/>
      <c r="S99" s="571"/>
      <c r="T99" s="571"/>
      <c r="U99" s="571"/>
      <c r="V99" s="571"/>
      <c r="W99" s="571"/>
      <c r="X99" s="571"/>
      <c r="Y99" s="571"/>
      <c r="Z99" s="571"/>
      <c r="AA99" s="571"/>
      <c r="AB99" s="571"/>
    </row>
    <row r="100" spans="1:28" ht="19.5" customHeight="1" outlineLevel="1" x14ac:dyDescent="0.85">
      <c r="A100" s="726" t="s">
        <v>1297</v>
      </c>
      <c r="B100" s="727"/>
      <c r="C100" s="727"/>
      <c r="D100" s="727"/>
      <c r="E100" s="727"/>
      <c r="F100" s="727"/>
      <c r="G100" s="727"/>
      <c r="H100" s="735"/>
      <c r="I100" s="2"/>
      <c r="J100" s="2"/>
      <c r="K100" s="2"/>
      <c r="L100" s="2"/>
      <c r="M100" s="2"/>
      <c r="N100" s="2"/>
      <c r="O100" s="2"/>
      <c r="P100" s="2"/>
      <c r="Q100" s="2"/>
      <c r="R100" s="2"/>
      <c r="S100" s="2"/>
      <c r="T100" s="2"/>
      <c r="U100" s="2"/>
      <c r="V100" s="2"/>
      <c r="W100" s="2"/>
      <c r="X100" s="2"/>
      <c r="Y100" s="2"/>
      <c r="Z100" s="2"/>
      <c r="AA100" s="2"/>
      <c r="AB100" s="2"/>
    </row>
    <row r="101" spans="1:28" ht="19.5" customHeight="1" outlineLevel="1" x14ac:dyDescent="0.85">
      <c r="A101" s="289" t="s">
        <v>449</v>
      </c>
      <c r="B101" s="289" t="s">
        <v>105</v>
      </c>
      <c r="C101" s="400" t="s">
        <v>1285</v>
      </c>
      <c r="D101" s="399" t="s">
        <v>1286</v>
      </c>
      <c r="E101" s="399" t="s">
        <v>1287</v>
      </c>
      <c r="F101" s="399" t="s">
        <v>1288</v>
      </c>
      <c r="G101" s="408" t="s">
        <v>110</v>
      </c>
      <c r="H101" s="408" t="s">
        <v>826</v>
      </c>
      <c r="I101" s="2"/>
      <c r="J101" s="2"/>
      <c r="K101" s="2"/>
      <c r="L101" s="2"/>
      <c r="M101" s="2"/>
      <c r="N101" s="2"/>
      <c r="O101" s="2"/>
      <c r="P101" s="2"/>
      <c r="Q101" s="2"/>
      <c r="R101" s="2"/>
      <c r="S101" s="2"/>
      <c r="T101" s="2"/>
      <c r="U101" s="2"/>
      <c r="V101" s="2"/>
      <c r="W101" s="2"/>
      <c r="X101" s="2"/>
      <c r="Y101" s="2"/>
      <c r="Z101" s="2"/>
      <c r="AA101" s="2"/>
      <c r="AB101" s="2"/>
    </row>
    <row r="102" spans="1:28" ht="19.5" customHeight="1" outlineLevel="1" x14ac:dyDescent="0.85">
      <c r="A102" s="568" t="s">
        <v>1289</v>
      </c>
      <c r="B102" s="716"/>
      <c r="C102" s="715">
        <v>478580.7</v>
      </c>
      <c r="D102" s="715">
        <v>153673.35999999999</v>
      </c>
      <c r="E102" s="715">
        <v>162870.6</v>
      </c>
      <c r="F102" s="715"/>
      <c r="G102" s="716"/>
      <c r="H102" s="718">
        <f t="shared" ref="H102:H107" si="25">SUM(C102:G102)</f>
        <v>795124.66</v>
      </c>
      <c r="I102" s="2"/>
      <c r="J102" s="2"/>
      <c r="K102" s="2"/>
      <c r="L102" s="2"/>
      <c r="M102" s="2"/>
      <c r="N102" s="2"/>
      <c r="O102" s="2"/>
      <c r="P102" s="2"/>
      <c r="Q102" s="2"/>
      <c r="R102" s="2"/>
      <c r="S102" s="2"/>
      <c r="T102" s="2"/>
      <c r="U102" s="2"/>
      <c r="V102" s="2"/>
      <c r="W102" s="2"/>
      <c r="X102" s="2"/>
      <c r="Y102" s="2"/>
      <c r="Z102" s="2"/>
      <c r="AA102" s="2"/>
      <c r="AB102" s="2"/>
    </row>
    <row r="103" spans="1:28" ht="19.5" customHeight="1" outlineLevel="1" x14ac:dyDescent="0.85">
      <c r="A103" s="568" t="s">
        <v>1291</v>
      </c>
      <c r="B103" s="715"/>
      <c r="C103" s="716"/>
      <c r="D103" s="716"/>
      <c r="E103" s="716"/>
      <c r="F103" s="716"/>
      <c r="G103" s="716"/>
      <c r="H103" s="718">
        <f t="shared" si="25"/>
        <v>0</v>
      </c>
      <c r="I103" s="2"/>
      <c r="J103" s="2"/>
      <c r="K103" s="2"/>
      <c r="L103" s="2"/>
      <c r="M103" s="2"/>
      <c r="N103" s="2"/>
      <c r="O103" s="2"/>
      <c r="P103" s="2"/>
      <c r="Q103" s="2"/>
      <c r="R103" s="2"/>
      <c r="S103" s="2"/>
      <c r="T103" s="2"/>
      <c r="U103" s="2"/>
      <c r="V103" s="2"/>
      <c r="W103" s="2"/>
      <c r="X103" s="2"/>
      <c r="Y103" s="2"/>
      <c r="Z103" s="2"/>
      <c r="AA103" s="2"/>
      <c r="AB103" s="2"/>
    </row>
    <row r="104" spans="1:28" ht="19.5" customHeight="1" outlineLevel="1" x14ac:dyDescent="0.85">
      <c r="A104" s="568" t="s">
        <v>1298</v>
      </c>
      <c r="B104" s="715"/>
      <c r="C104" s="715"/>
      <c r="D104" s="716"/>
      <c r="E104" s="716"/>
      <c r="F104" s="716"/>
      <c r="G104" s="716"/>
      <c r="H104" s="718">
        <f t="shared" si="25"/>
        <v>0</v>
      </c>
      <c r="I104" s="2"/>
      <c r="J104" s="2"/>
      <c r="K104" s="2"/>
      <c r="L104" s="2"/>
      <c r="M104" s="2"/>
      <c r="N104" s="2"/>
      <c r="O104" s="2"/>
      <c r="P104" s="2"/>
      <c r="Q104" s="2"/>
      <c r="R104" s="2"/>
      <c r="S104" s="2"/>
      <c r="T104" s="2"/>
      <c r="U104" s="2"/>
      <c r="V104" s="2"/>
      <c r="W104" s="2"/>
      <c r="X104" s="2"/>
      <c r="Y104" s="2"/>
      <c r="Z104" s="2"/>
      <c r="AA104" s="2"/>
      <c r="AB104" s="2"/>
    </row>
    <row r="105" spans="1:28" ht="19.5" customHeight="1" outlineLevel="1" x14ac:dyDescent="0.85">
      <c r="A105" s="568" t="s">
        <v>1294</v>
      </c>
      <c r="B105" s="716"/>
      <c r="C105" s="716"/>
      <c r="D105" s="716"/>
      <c r="E105" s="716"/>
      <c r="F105" s="716"/>
      <c r="G105" s="716"/>
      <c r="H105" s="718">
        <f t="shared" si="25"/>
        <v>0</v>
      </c>
      <c r="I105" s="2"/>
      <c r="J105" s="2"/>
      <c r="K105" s="2"/>
      <c r="L105" s="2"/>
      <c r="M105" s="2"/>
      <c r="N105" s="2"/>
      <c r="O105" s="2"/>
      <c r="P105" s="2"/>
      <c r="Q105" s="2"/>
      <c r="R105" s="2"/>
      <c r="S105" s="2"/>
      <c r="T105" s="2"/>
      <c r="U105" s="2"/>
      <c r="V105" s="2"/>
      <c r="W105" s="2"/>
      <c r="X105" s="2"/>
      <c r="Y105" s="2"/>
      <c r="Z105" s="2"/>
      <c r="AA105" s="2"/>
      <c r="AB105" s="2"/>
    </row>
    <row r="106" spans="1:28" ht="19.5" customHeight="1" outlineLevel="1" x14ac:dyDescent="0.85">
      <c r="A106" s="568" t="s">
        <v>1295</v>
      </c>
      <c r="B106" s="715"/>
      <c r="C106" s="715"/>
      <c r="D106" s="716"/>
      <c r="E106" s="716"/>
      <c r="F106" s="716"/>
      <c r="G106" s="716"/>
      <c r="H106" s="718">
        <f t="shared" si="25"/>
        <v>0</v>
      </c>
      <c r="I106" s="2"/>
      <c r="J106" s="2"/>
      <c r="K106" s="2"/>
      <c r="L106" s="2"/>
      <c r="M106" s="2"/>
      <c r="N106" s="2"/>
      <c r="O106" s="2"/>
      <c r="P106" s="2"/>
      <c r="Q106" s="2"/>
      <c r="R106" s="2"/>
      <c r="S106" s="2"/>
      <c r="T106" s="2"/>
      <c r="U106" s="2"/>
      <c r="V106" s="2"/>
      <c r="W106" s="2"/>
      <c r="X106" s="2"/>
      <c r="Y106" s="2"/>
      <c r="Z106" s="2"/>
      <c r="AA106" s="2"/>
      <c r="AB106" s="2"/>
    </row>
    <row r="107" spans="1:28" ht="19.5" customHeight="1" outlineLevel="1" x14ac:dyDescent="0.85">
      <c r="A107" s="568" t="s">
        <v>1296</v>
      </c>
      <c r="B107" s="716"/>
      <c r="C107" s="716"/>
      <c r="D107" s="716"/>
      <c r="E107" s="716"/>
      <c r="F107" s="716"/>
      <c r="G107" s="716"/>
      <c r="H107" s="718">
        <f t="shared" si="25"/>
        <v>0</v>
      </c>
      <c r="I107" s="2"/>
      <c r="J107" s="2"/>
      <c r="K107" s="2"/>
      <c r="L107" s="2"/>
      <c r="M107" s="2"/>
      <c r="N107" s="2"/>
      <c r="O107" s="2"/>
      <c r="P107" s="2"/>
      <c r="Q107" s="2"/>
      <c r="R107" s="2"/>
      <c r="S107" s="2"/>
      <c r="T107" s="2"/>
      <c r="U107" s="2"/>
      <c r="V107" s="2"/>
      <c r="W107" s="2"/>
      <c r="X107" s="2"/>
      <c r="Y107" s="2"/>
      <c r="Z107" s="2"/>
      <c r="AA107" s="2"/>
      <c r="AB107" s="2"/>
    </row>
    <row r="108" spans="1:28" ht="19.5" customHeight="1" outlineLevel="1" x14ac:dyDescent="0.85">
      <c r="A108" s="572" t="s">
        <v>119</v>
      </c>
      <c r="B108" s="293">
        <f t="shared" ref="B108:H108" si="26">SUM(B102:B107)</f>
        <v>0</v>
      </c>
      <c r="C108" s="293">
        <f t="shared" si="26"/>
        <v>478580.7</v>
      </c>
      <c r="D108" s="293">
        <f t="shared" si="26"/>
        <v>153673.35999999999</v>
      </c>
      <c r="E108" s="293">
        <f t="shared" si="26"/>
        <v>162870.6</v>
      </c>
      <c r="F108" s="293">
        <f t="shared" si="26"/>
        <v>0</v>
      </c>
      <c r="G108" s="293">
        <f t="shared" si="26"/>
        <v>0</v>
      </c>
      <c r="H108" s="293">
        <f t="shared" si="26"/>
        <v>795124.66</v>
      </c>
      <c r="I108" s="2"/>
      <c r="J108" s="2"/>
      <c r="K108" s="2"/>
      <c r="L108" s="2"/>
      <c r="M108" s="2"/>
      <c r="N108" s="2"/>
      <c r="O108" s="2"/>
      <c r="P108" s="2"/>
      <c r="Q108" s="2"/>
      <c r="R108" s="2"/>
      <c r="S108" s="2"/>
      <c r="T108" s="2"/>
      <c r="U108" s="2"/>
      <c r="V108" s="2"/>
      <c r="W108" s="2"/>
      <c r="X108" s="2"/>
      <c r="Y108" s="2"/>
      <c r="Z108" s="2"/>
      <c r="AA108" s="2"/>
      <c r="AB108" s="2"/>
    </row>
    <row r="109" spans="1:28" ht="19.5" customHeight="1" x14ac:dyDescent="0.85">
      <c r="A109" s="2"/>
      <c r="B109" s="2"/>
      <c r="C109" s="2"/>
      <c r="D109" s="406"/>
      <c r="E109" s="2"/>
      <c r="F109" s="2"/>
      <c r="G109" s="2"/>
      <c r="H109" s="2"/>
      <c r="I109" s="2"/>
      <c r="J109" s="2"/>
      <c r="K109" s="2"/>
      <c r="L109" s="2"/>
      <c r="M109" s="2"/>
      <c r="N109" s="2"/>
      <c r="O109" s="2"/>
      <c r="P109" s="2"/>
      <c r="Q109" s="2"/>
      <c r="R109" s="2"/>
      <c r="S109" s="2"/>
      <c r="T109" s="2"/>
      <c r="U109" s="2"/>
      <c r="V109" s="2"/>
      <c r="W109" s="2"/>
      <c r="X109" s="2"/>
      <c r="Y109" s="2"/>
      <c r="Z109" s="2"/>
      <c r="AA109" s="2"/>
      <c r="AB109" s="2"/>
    </row>
    <row r="110" spans="1:28" ht="19.5" customHeight="1" x14ac:dyDescent="0.85">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row>
    <row r="111" spans="1:28" ht="19.5" customHeight="1" x14ac:dyDescent="0.85">
      <c r="A111" s="2"/>
      <c r="B111" s="2"/>
      <c r="C111" s="406"/>
      <c r="D111" s="2"/>
      <c r="E111" s="2"/>
      <c r="F111" s="2"/>
      <c r="G111" s="2"/>
      <c r="H111" s="2"/>
      <c r="I111" s="2"/>
      <c r="J111" s="2"/>
      <c r="K111" s="2"/>
      <c r="L111" s="2"/>
      <c r="M111" s="2"/>
      <c r="N111" s="2"/>
      <c r="O111" s="2"/>
      <c r="P111" s="2"/>
      <c r="Q111" s="2"/>
      <c r="R111" s="2"/>
      <c r="S111" s="2"/>
      <c r="T111" s="2"/>
      <c r="U111" s="2"/>
      <c r="V111" s="2"/>
      <c r="W111" s="2"/>
      <c r="X111" s="2"/>
      <c r="Y111" s="2"/>
      <c r="Z111" s="2"/>
      <c r="AA111" s="2"/>
      <c r="AB111" s="2"/>
    </row>
    <row r="112" spans="1:28" ht="19.5" customHeight="1" x14ac:dyDescent="0.85">
      <c r="A112" s="2"/>
      <c r="B112" s="2"/>
      <c r="C112" s="573"/>
      <c r="D112" s="2"/>
      <c r="E112" s="2"/>
      <c r="F112" s="2"/>
      <c r="G112" s="2"/>
      <c r="H112" s="2"/>
      <c r="I112" s="2"/>
      <c r="J112" s="2"/>
      <c r="K112" s="2"/>
      <c r="L112" s="2"/>
      <c r="M112" s="2"/>
      <c r="N112" s="2"/>
      <c r="O112" s="2"/>
      <c r="P112" s="2"/>
      <c r="Q112" s="2"/>
      <c r="R112" s="2"/>
      <c r="S112" s="2"/>
      <c r="T112" s="2"/>
      <c r="U112" s="2"/>
      <c r="V112" s="2"/>
      <c r="W112" s="2"/>
      <c r="X112" s="2"/>
      <c r="Y112" s="2"/>
      <c r="Z112" s="2"/>
      <c r="AA112" s="2"/>
      <c r="AB112" s="2"/>
    </row>
    <row r="113" spans="1:28" ht="19.5" customHeight="1" x14ac:dyDescent="0.85">
      <c r="A113" s="2"/>
      <c r="B113" s="2"/>
      <c r="C113" s="573"/>
      <c r="D113" s="2"/>
      <c r="E113" s="2"/>
      <c r="F113" s="2"/>
      <c r="G113" s="2"/>
      <c r="H113" s="2"/>
      <c r="I113" s="2"/>
      <c r="J113" s="2"/>
      <c r="K113" s="2"/>
      <c r="L113" s="2"/>
      <c r="M113" s="2"/>
      <c r="N113" s="2"/>
      <c r="O113" s="2"/>
      <c r="P113" s="2"/>
      <c r="Q113" s="2"/>
      <c r="R113" s="2"/>
      <c r="S113" s="2"/>
      <c r="T113" s="2"/>
      <c r="U113" s="2"/>
      <c r="V113" s="2"/>
      <c r="W113" s="2"/>
      <c r="X113" s="2"/>
      <c r="Y113" s="2"/>
      <c r="Z113" s="2"/>
      <c r="AA113" s="2"/>
      <c r="AB113" s="2"/>
    </row>
    <row r="114" spans="1:28" ht="19.5" customHeight="1" x14ac:dyDescent="0.85">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row>
    <row r="115" spans="1:28" ht="19.5" customHeight="1" x14ac:dyDescent="0.85">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row>
    <row r="116" spans="1:28" ht="19.5" customHeight="1" x14ac:dyDescent="0.85">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row>
    <row r="117" spans="1:28" ht="19.5" customHeight="1" x14ac:dyDescent="0.85">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row>
    <row r="118" spans="1:28" ht="19.5" customHeight="1" x14ac:dyDescent="0.85">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row>
    <row r="119" spans="1:28" ht="19.5" customHeight="1" x14ac:dyDescent="0.85">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row>
    <row r="120" spans="1:28" ht="19.5" customHeight="1" x14ac:dyDescent="0.85">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row>
    <row r="121" spans="1:28" ht="19.5" customHeight="1" x14ac:dyDescent="0.85">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row>
    <row r="122" spans="1:28" ht="19.5" customHeight="1" x14ac:dyDescent="0.85">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c r="AA122" s="2"/>
      <c r="AB122" s="2"/>
    </row>
    <row r="123" spans="1:28" ht="19.5" customHeight="1" x14ac:dyDescent="0.85">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row>
    <row r="124" spans="1:28" ht="19.5" customHeight="1" x14ac:dyDescent="0.85">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row>
    <row r="125" spans="1:28" ht="19.5" customHeight="1" x14ac:dyDescent="0.85">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row>
    <row r="126" spans="1:28" ht="19.5" customHeight="1" x14ac:dyDescent="0.85">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row>
    <row r="127" spans="1:28" ht="19.5" customHeight="1" x14ac:dyDescent="0.85">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row>
    <row r="128" spans="1:28" ht="19.5" customHeight="1" x14ac:dyDescent="0.85">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row>
    <row r="129" spans="1:28" ht="19.5" customHeight="1" x14ac:dyDescent="0.85">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row>
    <row r="130" spans="1:28" ht="19.5" customHeight="1" x14ac:dyDescent="0.85">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row>
    <row r="131" spans="1:28" ht="19.5" customHeight="1" x14ac:dyDescent="0.85">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row>
    <row r="132" spans="1:28" ht="19.5" customHeight="1" x14ac:dyDescent="0.85">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row>
    <row r="133" spans="1:28" ht="19.5" customHeight="1" x14ac:dyDescent="0.85">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row>
    <row r="134" spans="1:28" ht="19.5" customHeight="1" x14ac:dyDescent="0.85">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row>
    <row r="135" spans="1:28" ht="19.5" customHeight="1" x14ac:dyDescent="0.85">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row>
    <row r="136" spans="1:28" ht="19.5" customHeight="1" x14ac:dyDescent="0.85">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row>
    <row r="137" spans="1:28" ht="19.5" customHeight="1" x14ac:dyDescent="0.85">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row>
    <row r="138" spans="1:28" ht="19.5" customHeight="1" x14ac:dyDescent="0.85">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row>
    <row r="139" spans="1:28" ht="19.5" customHeight="1" x14ac:dyDescent="0.85">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row>
    <row r="140" spans="1:28" ht="19.5" customHeight="1" x14ac:dyDescent="0.85">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row>
    <row r="141" spans="1:28" ht="19.5" customHeight="1" x14ac:dyDescent="0.85">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row>
    <row r="142" spans="1:28" ht="19.5" customHeight="1" x14ac:dyDescent="0.85">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row>
    <row r="143" spans="1:28" ht="19.5" customHeight="1" x14ac:dyDescent="0.85">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row>
    <row r="144" spans="1:28" ht="19.5" customHeight="1" x14ac:dyDescent="0.85">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row>
    <row r="145" spans="1:28" ht="19.5" customHeight="1" x14ac:dyDescent="0.85">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row>
    <row r="146" spans="1:28" ht="19.5" customHeight="1" x14ac:dyDescent="0.85">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row>
    <row r="147" spans="1:28" ht="19.5" customHeight="1" x14ac:dyDescent="0.85">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row>
    <row r="148" spans="1:28" ht="19.5" customHeight="1" x14ac:dyDescent="0.85">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row>
    <row r="149" spans="1:28" ht="19.5" customHeight="1" x14ac:dyDescent="0.85">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row>
    <row r="150" spans="1:28" ht="19.5" customHeight="1" x14ac:dyDescent="0.85">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row>
    <row r="151" spans="1:28" ht="19.5" customHeight="1" x14ac:dyDescent="0.85">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row>
    <row r="152" spans="1:28" ht="19.5" customHeight="1" x14ac:dyDescent="0.85">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row>
    <row r="153" spans="1:28" ht="19.5" customHeight="1" x14ac:dyDescent="0.85">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row>
    <row r="154" spans="1:28" ht="19.5" customHeight="1" x14ac:dyDescent="0.85">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row>
    <row r="155" spans="1:28" ht="19.5" customHeight="1" x14ac:dyDescent="0.85">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row>
    <row r="156" spans="1:28" ht="19.5" customHeight="1" x14ac:dyDescent="0.85">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row>
    <row r="157" spans="1:28" ht="19.5" customHeight="1" x14ac:dyDescent="0.85">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row>
    <row r="158" spans="1:28" ht="19.5" customHeight="1" x14ac:dyDescent="0.85">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row>
    <row r="159" spans="1:28" ht="19.5" customHeight="1" x14ac:dyDescent="0.85">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row>
    <row r="160" spans="1:28" ht="19.5" customHeight="1" x14ac:dyDescent="0.85">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row>
    <row r="161" spans="1:28" ht="19.5" customHeight="1" x14ac:dyDescent="0.85">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row>
    <row r="162" spans="1:28" ht="19.5" customHeight="1" x14ac:dyDescent="0.85">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row>
    <row r="163" spans="1:28" ht="19.5" customHeight="1" x14ac:dyDescent="0.85">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row>
    <row r="164" spans="1:28" ht="19.5" customHeight="1" x14ac:dyDescent="0.85">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row>
    <row r="165" spans="1:28" ht="19.5" customHeight="1" x14ac:dyDescent="0.85">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row>
    <row r="166" spans="1:28" ht="19.5" customHeight="1" x14ac:dyDescent="0.85">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row>
    <row r="167" spans="1:28" ht="19.5" customHeight="1" x14ac:dyDescent="0.85">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row>
    <row r="168" spans="1:28" ht="19.5" customHeight="1" x14ac:dyDescent="0.85">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row>
    <row r="169" spans="1:28" ht="19.5" customHeight="1" x14ac:dyDescent="0.85">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row>
    <row r="170" spans="1:28" ht="19.5" customHeight="1" x14ac:dyDescent="0.85">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row>
    <row r="171" spans="1:28" ht="19.5" customHeight="1" x14ac:dyDescent="0.85">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row>
    <row r="172" spans="1:28" ht="19.5" customHeight="1" x14ac:dyDescent="0.85">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row>
    <row r="173" spans="1:28" ht="19.5" customHeight="1" x14ac:dyDescent="0.85">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row>
    <row r="174" spans="1:28" ht="19.5" customHeight="1" x14ac:dyDescent="0.85">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row>
    <row r="175" spans="1:28" ht="19.5" customHeight="1" x14ac:dyDescent="0.85">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row>
    <row r="176" spans="1:28" ht="19.5" customHeight="1" x14ac:dyDescent="0.85">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row>
    <row r="177" spans="1:28" ht="19.5" customHeight="1" x14ac:dyDescent="0.85">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row>
    <row r="178" spans="1:28" ht="19.5" customHeight="1" x14ac:dyDescent="0.85">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row>
    <row r="179" spans="1:28" ht="19.5" customHeight="1" x14ac:dyDescent="0.85">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row>
    <row r="180" spans="1:28" ht="19.5" customHeight="1" x14ac:dyDescent="0.85">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row>
    <row r="181" spans="1:28" ht="19.5" customHeight="1" x14ac:dyDescent="0.85">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row>
    <row r="182" spans="1:28" ht="19.5" customHeight="1" x14ac:dyDescent="0.85">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row>
    <row r="183" spans="1:28" ht="19.5" customHeight="1" x14ac:dyDescent="0.85">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row>
    <row r="184" spans="1:28" ht="19.5" customHeight="1" x14ac:dyDescent="0.85">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row>
    <row r="185" spans="1:28" ht="19.5" customHeight="1" x14ac:dyDescent="0.85">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row>
    <row r="186" spans="1:28" ht="19.5" customHeight="1" x14ac:dyDescent="0.85">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c r="AA186" s="2"/>
      <c r="AB186" s="2"/>
    </row>
    <row r="187" spans="1:28" ht="19.5" customHeight="1" x14ac:dyDescent="0.85">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row>
    <row r="188" spans="1:28" ht="19.5" customHeight="1" x14ac:dyDescent="0.85">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row>
    <row r="189" spans="1:28" ht="19.5" customHeight="1" x14ac:dyDescent="0.85">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row>
    <row r="190" spans="1:28" ht="19.5" customHeight="1" x14ac:dyDescent="0.85">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row>
    <row r="191" spans="1:28" ht="19.5" customHeight="1" x14ac:dyDescent="0.85">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row>
    <row r="192" spans="1:28" ht="19.5" customHeight="1" x14ac:dyDescent="0.85">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row>
    <row r="193" spans="1:28" ht="19.5" customHeight="1" x14ac:dyDescent="0.85">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row>
    <row r="194" spans="1:28" ht="19.5" customHeight="1" x14ac:dyDescent="0.85">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row>
    <row r="195" spans="1:28" ht="19.5" customHeight="1" x14ac:dyDescent="0.85">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row>
    <row r="196" spans="1:28" ht="19.5" customHeight="1" x14ac:dyDescent="0.85">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row>
    <row r="197" spans="1:28" ht="19.5" customHeight="1" x14ac:dyDescent="0.85">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row>
    <row r="198" spans="1:28" ht="19.5" customHeight="1" x14ac:dyDescent="0.85">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row>
    <row r="199" spans="1:28" ht="19.5" customHeight="1" x14ac:dyDescent="0.85">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row>
    <row r="200" spans="1:28" ht="19.5" customHeight="1" x14ac:dyDescent="0.85">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row>
    <row r="201" spans="1:28" ht="19.5" customHeight="1" x14ac:dyDescent="0.85">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row>
    <row r="202" spans="1:28" ht="19.5" customHeight="1" x14ac:dyDescent="0.85">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row>
    <row r="203" spans="1:28" ht="19.5" customHeight="1" x14ac:dyDescent="0.85">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row>
    <row r="204" spans="1:28" ht="19.5" customHeight="1" x14ac:dyDescent="0.85">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row>
    <row r="205" spans="1:28" ht="19.5" customHeight="1" x14ac:dyDescent="0.85">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row>
    <row r="206" spans="1:28" ht="19.5" customHeight="1" x14ac:dyDescent="0.85">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row>
    <row r="207" spans="1:28" ht="19.5" customHeight="1" x14ac:dyDescent="0.85">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row>
    <row r="208" spans="1:28" ht="19.5" customHeight="1" x14ac:dyDescent="0.85">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row>
    <row r="209" spans="1:28" ht="19.5" customHeight="1" x14ac:dyDescent="0.85">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row>
    <row r="210" spans="1:28" ht="19.5" customHeight="1" x14ac:dyDescent="0.85">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row>
    <row r="211" spans="1:28" ht="19.5" customHeight="1" x14ac:dyDescent="0.85">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row>
    <row r="212" spans="1:28" ht="19.5" customHeight="1" x14ac:dyDescent="0.85">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row>
    <row r="213" spans="1:28" ht="19.5" customHeight="1" x14ac:dyDescent="0.85">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row>
    <row r="214" spans="1:28" ht="19.5" customHeight="1" x14ac:dyDescent="0.85">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row>
    <row r="215" spans="1:28" ht="19.5" customHeight="1" x14ac:dyDescent="0.85">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row>
    <row r="216" spans="1:28" ht="19.5" customHeight="1" x14ac:dyDescent="0.85">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row>
    <row r="217" spans="1:28" ht="19.5" customHeight="1" x14ac:dyDescent="0.85">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row>
    <row r="218" spans="1:28" ht="19.5" customHeight="1" x14ac:dyDescent="0.85">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row>
    <row r="219" spans="1:28" ht="19.5" customHeight="1" x14ac:dyDescent="0.85">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row>
    <row r="220" spans="1:28" ht="19.5" customHeight="1" x14ac:dyDescent="0.85">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row>
    <row r="221" spans="1:28" ht="19.5" customHeight="1" x14ac:dyDescent="0.85">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row>
    <row r="222" spans="1:28" ht="19.5" customHeight="1" x14ac:dyDescent="0.85">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row>
    <row r="223" spans="1:28" ht="19.5" customHeight="1" x14ac:dyDescent="0.85">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row>
    <row r="224" spans="1:28" ht="19.5" customHeight="1" x14ac:dyDescent="0.85">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row>
    <row r="225" spans="1:28" ht="19.5" customHeight="1" x14ac:dyDescent="0.85">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row>
    <row r="226" spans="1:28" ht="19.5" customHeight="1" x14ac:dyDescent="0.85">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row>
    <row r="227" spans="1:28" ht="19.5" customHeight="1" x14ac:dyDescent="0.85">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row>
    <row r="228" spans="1:28" ht="19.5" customHeight="1" x14ac:dyDescent="0.85">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row>
    <row r="229" spans="1:28" ht="19.5" customHeight="1" x14ac:dyDescent="0.85">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row>
    <row r="230" spans="1:28" ht="19.5" customHeight="1" x14ac:dyDescent="0.85">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row>
    <row r="231" spans="1:28" ht="19.5" customHeight="1" x14ac:dyDescent="0.85">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row>
    <row r="232" spans="1:28" ht="19.5" customHeight="1" x14ac:dyDescent="0.85">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row>
    <row r="233" spans="1:28" ht="19.5" customHeight="1" x14ac:dyDescent="0.85">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row>
    <row r="234" spans="1:28" ht="19.5" customHeight="1" x14ac:dyDescent="0.85">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row>
    <row r="235" spans="1:28" ht="19.5" customHeight="1" x14ac:dyDescent="0.85">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row>
    <row r="236" spans="1:28" ht="19.5" customHeight="1" x14ac:dyDescent="0.85">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row>
    <row r="237" spans="1:28" ht="19.5" customHeight="1" x14ac:dyDescent="0.85">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row>
    <row r="238" spans="1:28" ht="19.5" customHeight="1" x14ac:dyDescent="0.85">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row>
    <row r="239" spans="1:28" ht="19.5" customHeight="1" x14ac:dyDescent="0.85">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row>
    <row r="240" spans="1:28" ht="19.5" customHeight="1" x14ac:dyDescent="0.85">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c r="AA240" s="2"/>
      <c r="AB240" s="2"/>
    </row>
    <row r="241" spans="1:28" ht="19.5" customHeight="1" x14ac:dyDescent="0.85">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c r="AA241" s="2"/>
      <c r="AB241" s="2"/>
    </row>
    <row r="242" spans="1:28" ht="19.5" customHeight="1" x14ac:dyDescent="0.85">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c r="AA242" s="2"/>
      <c r="AB242" s="2"/>
    </row>
    <row r="243" spans="1:28" ht="19.5" customHeight="1" x14ac:dyDescent="0.85">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c r="AA243" s="2"/>
      <c r="AB243" s="2"/>
    </row>
    <row r="244" spans="1:28" ht="19.5" customHeight="1" x14ac:dyDescent="0.85">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c r="AA244" s="2"/>
      <c r="AB244" s="2"/>
    </row>
    <row r="245" spans="1:28" ht="19.5" customHeight="1" x14ac:dyDescent="0.85">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c r="AA245" s="2"/>
      <c r="AB245" s="2"/>
    </row>
    <row r="246" spans="1:28" ht="19.5" customHeight="1" x14ac:dyDescent="0.85">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c r="AA246" s="2"/>
      <c r="AB246" s="2"/>
    </row>
    <row r="247" spans="1:28" ht="19.5" customHeight="1" x14ac:dyDescent="0.85">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c r="AA247" s="2"/>
      <c r="AB247" s="2"/>
    </row>
    <row r="248" spans="1:28" ht="19.5" customHeight="1" x14ac:dyDescent="0.85">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c r="AA248" s="2"/>
      <c r="AB248" s="2"/>
    </row>
    <row r="249" spans="1:28" ht="19.5" customHeight="1" x14ac:dyDescent="0.85">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c r="AA249" s="2"/>
      <c r="AB249" s="2"/>
    </row>
    <row r="250" spans="1:28" ht="19.5" customHeight="1" x14ac:dyDescent="0.85">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c r="AA250" s="2"/>
      <c r="AB250" s="2"/>
    </row>
    <row r="251" spans="1:28" ht="19.5" customHeight="1" x14ac:dyDescent="0.85">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c r="AA251" s="2"/>
      <c r="AB251" s="2"/>
    </row>
    <row r="252" spans="1:28" ht="19.5" customHeight="1" x14ac:dyDescent="0.85">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c r="AA252" s="2"/>
      <c r="AB252" s="2"/>
    </row>
    <row r="253" spans="1:28" ht="19.5" customHeight="1" x14ac:dyDescent="0.85">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c r="AA253" s="2"/>
      <c r="AB253" s="2"/>
    </row>
    <row r="254" spans="1:28" ht="19.5" customHeight="1" x14ac:dyDescent="0.85">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c r="AA254" s="2"/>
      <c r="AB254" s="2"/>
    </row>
    <row r="255" spans="1:28" ht="19.5" customHeight="1" x14ac:dyDescent="0.85">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c r="AA255" s="2"/>
      <c r="AB255" s="2"/>
    </row>
    <row r="256" spans="1:28" ht="19.5" customHeight="1" x14ac:dyDescent="0.85">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c r="AA256" s="2"/>
      <c r="AB256" s="2"/>
    </row>
    <row r="257" spans="1:28" ht="19.5" customHeight="1" x14ac:dyDescent="0.85">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c r="AA257" s="2"/>
      <c r="AB257" s="2"/>
    </row>
    <row r="258" spans="1:28" ht="19.5" customHeight="1" x14ac:dyDescent="0.85">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c r="AA258" s="2"/>
      <c r="AB258" s="2"/>
    </row>
    <row r="259" spans="1:28" ht="19.5" customHeight="1" x14ac:dyDescent="0.85">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c r="AA259" s="2"/>
      <c r="AB259" s="2"/>
    </row>
    <row r="260" spans="1:28" ht="19.5" customHeight="1" x14ac:dyDescent="0.85">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c r="AA260" s="2"/>
      <c r="AB260" s="2"/>
    </row>
    <row r="261" spans="1:28" ht="19.5" customHeight="1" x14ac:dyDescent="0.85">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c r="AA261" s="2"/>
      <c r="AB261" s="2"/>
    </row>
    <row r="262" spans="1:28" ht="19.5" customHeight="1" x14ac:dyDescent="0.85">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c r="AA262" s="2"/>
      <c r="AB262" s="2"/>
    </row>
    <row r="263" spans="1:28" ht="19.5" customHeight="1" x14ac:dyDescent="0.85">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c r="AA263" s="2"/>
      <c r="AB263" s="2"/>
    </row>
    <row r="264" spans="1:28" ht="19.5" customHeight="1" x14ac:dyDescent="0.85">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c r="AA264" s="2"/>
      <c r="AB264" s="2"/>
    </row>
    <row r="265" spans="1:28" ht="19.5" customHeight="1" x14ac:dyDescent="0.85">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c r="AA265" s="2"/>
      <c r="AB265" s="2"/>
    </row>
    <row r="266" spans="1:28" ht="19.5" customHeight="1" x14ac:dyDescent="0.85">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c r="AA266" s="2"/>
      <c r="AB266" s="2"/>
    </row>
    <row r="267" spans="1:28" ht="19.5" customHeight="1" x14ac:dyDescent="0.85">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c r="AA267" s="2"/>
      <c r="AB267" s="2"/>
    </row>
    <row r="268" spans="1:28" ht="19.5" customHeight="1" x14ac:dyDescent="0.85">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c r="AA268" s="2"/>
      <c r="AB268" s="2"/>
    </row>
    <row r="269" spans="1:28" ht="19.5" customHeight="1" x14ac:dyDescent="0.85">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c r="AA269" s="2"/>
      <c r="AB269" s="2"/>
    </row>
    <row r="270" spans="1:28" ht="19.5" customHeight="1" x14ac:dyDescent="0.85">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c r="AA270" s="2"/>
      <c r="AB270" s="2"/>
    </row>
    <row r="271" spans="1:28" ht="19.5" customHeight="1" x14ac:dyDescent="0.85">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c r="AA271" s="2"/>
      <c r="AB271" s="2"/>
    </row>
    <row r="272" spans="1:28" ht="19.5" customHeight="1" x14ac:dyDescent="0.85">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c r="AA272" s="2"/>
      <c r="AB272" s="2"/>
    </row>
    <row r="273" spans="1:28" ht="19.5" customHeight="1" x14ac:dyDescent="0.85">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c r="AA273" s="2"/>
      <c r="AB273" s="2"/>
    </row>
    <row r="274" spans="1:28" ht="19.5" customHeight="1" x14ac:dyDescent="0.85">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c r="AA274" s="2"/>
      <c r="AB274" s="2"/>
    </row>
    <row r="275" spans="1:28" ht="19.5" customHeight="1" x14ac:dyDescent="0.85">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c r="AA275" s="2"/>
      <c r="AB275" s="2"/>
    </row>
    <row r="276" spans="1:28" ht="19.5" customHeight="1" x14ac:dyDescent="0.85">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c r="AA276" s="2"/>
      <c r="AB276" s="2"/>
    </row>
    <row r="277" spans="1:28" ht="19.5" customHeight="1" x14ac:dyDescent="0.85">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c r="AA277" s="2"/>
      <c r="AB277" s="2"/>
    </row>
    <row r="278" spans="1:28" ht="19.5" customHeight="1" x14ac:dyDescent="0.85">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c r="AA278" s="2"/>
      <c r="AB278" s="2"/>
    </row>
    <row r="279" spans="1:28" ht="19.5" customHeight="1" x14ac:dyDescent="0.85">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c r="AA279" s="2"/>
      <c r="AB279" s="2"/>
    </row>
    <row r="280" spans="1:28" ht="19.5" customHeight="1" x14ac:dyDescent="0.85">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c r="AA280" s="2"/>
      <c r="AB280" s="2"/>
    </row>
    <row r="281" spans="1:28" ht="19.5" customHeight="1" x14ac:dyDescent="0.85">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c r="AA281" s="2"/>
      <c r="AB281" s="2"/>
    </row>
    <row r="282" spans="1:28" ht="19.5" customHeight="1" x14ac:dyDescent="0.85">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c r="AA282" s="2"/>
      <c r="AB282" s="2"/>
    </row>
    <row r="283" spans="1:28" ht="19.5" customHeight="1" x14ac:dyDescent="0.85">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c r="AA283" s="2"/>
      <c r="AB283" s="2"/>
    </row>
    <row r="284" spans="1:28" ht="19.5" customHeight="1" x14ac:dyDescent="0.85">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c r="AA284" s="2"/>
      <c r="AB284" s="2"/>
    </row>
    <row r="285" spans="1:28" ht="19.5" customHeight="1" x14ac:dyDescent="0.85">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c r="AA285" s="2"/>
      <c r="AB285" s="2"/>
    </row>
    <row r="286" spans="1:28" ht="19.5" customHeight="1" x14ac:dyDescent="0.85">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c r="AA286" s="2"/>
      <c r="AB286" s="2"/>
    </row>
    <row r="287" spans="1:28" ht="19.5" customHeight="1" x14ac:dyDescent="0.85">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c r="AA287" s="2"/>
      <c r="AB287" s="2"/>
    </row>
    <row r="288" spans="1:28" ht="19.5" customHeight="1" x14ac:dyDescent="0.85">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c r="AA288" s="2"/>
      <c r="AB288" s="2"/>
    </row>
    <row r="289" spans="1:28" ht="19.5" customHeight="1" x14ac:dyDescent="0.85">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c r="AA289" s="2"/>
      <c r="AB289" s="2"/>
    </row>
    <row r="290" spans="1:28" ht="19.5" customHeight="1" x14ac:dyDescent="0.85">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c r="AA290" s="2"/>
      <c r="AB290" s="2"/>
    </row>
    <row r="291" spans="1:28" ht="19.5" customHeight="1" x14ac:dyDescent="0.85">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row>
    <row r="292" spans="1:28" ht="19.5" customHeight="1" x14ac:dyDescent="0.85">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c r="AA292" s="2"/>
      <c r="AB292" s="2"/>
    </row>
    <row r="293" spans="1:28" ht="19.5" customHeight="1" x14ac:dyDescent="0.85">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c r="AA293" s="2"/>
      <c r="AB293" s="2"/>
    </row>
    <row r="294" spans="1:28" ht="19.5" customHeight="1" x14ac:dyDescent="0.85">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c r="AA294" s="2"/>
      <c r="AB294" s="2"/>
    </row>
    <row r="295" spans="1:28" ht="19.5" customHeight="1" x14ac:dyDescent="0.85">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c r="AA295" s="2"/>
      <c r="AB295" s="2"/>
    </row>
    <row r="296" spans="1:28" ht="19.5" customHeight="1" x14ac:dyDescent="0.85">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c r="AA296" s="2"/>
      <c r="AB296" s="2"/>
    </row>
    <row r="297" spans="1:28" ht="19.5" customHeight="1" x14ac:dyDescent="0.85">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c r="AA297" s="2"/>
      <c r="AB297" s="2"/>
    </row>
    <row r="298" spans="1:28" ht="19.5" customHeight="1" x14ac:dyDescent="0.85">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c r="AA298" s="2"/>
      <c r="AB298" s="2"/>
    </row>
    <row r="299" spans="1:28" ht="19.5" customHeight="1" x14ac:dyDescent="0.85">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c r="AA299" s="2"/>
      <c r="AB299" s="2"/>
    </row>
    <row r="300" spans="1:28" ht="19.5" customHeight="1" x14ac:dyDescent="0.85">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c r="AA300" s="2"/>
      <c r="AB300" s="2"/>
    </row>
    <row r="301" spans="1:28" ht="19.5" customHeight="1" x14ac:dyDescent="0.85">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c r="AA301" s="2"/>
      <c r="AB301" s="2"/>
    </row>
    <row r="302" spans="1:28" ht="19.5" customHeight="1" x14ac:dyDescent="0.85">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c r="AA302" s="2"/>
      <c r="AB302" s="2"/>
    </row>
    <row r="303" spans="1:28" ht="19.5" customHeight="1" x14ac:dyDescent="0.85">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c r="AA303" s="2"/>
      <c r="AB303" s="2"/>
    </row>
    <row r="304" spans="1:28" ht="19.5" customHeight="1" x14ac:dyDescent="0.85">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c r="AA304" s="2"/>
      <c r="AB304" s="2"/>
    </row>
    <row r="305" spans="1:28" ht="19.5" customHeight="1" x14ac:dyDescent="0.85">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c r="AA305" s="2"/>
      <c r="AB305" s="2"/>
    </row>
    <row r="306" spans="1:28" ht="19.5" customHeight="1" x14ac:dyDescent="0.85">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c r="AA306" s="2"/>
      <c r="AB306" s="2"/>
    </row>
    <row r="307" spans="1:28" ht="19.5" customHeight="1" x14ac:dyDescent="0.85">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c r="AA307" s="2"/>
      <c r="AB307" s="2"/>
    </row>
    <row r="308" spans="1:28" ht="19.5" customHeight="1" x14ac:dyDescent="0.85">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c r="AA308" s="2"/>
      <c r="AB308" s="2"/>
    </row>
    <row r="309" spans="1:28" ht="19.5" customHeight="1" x14ac:dyDescent="0.85">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c r="AA309" s="2"/>
      <c r="AB309" s="2"/>
    </row>
    <row r="310" spans="1:28" ht="19.5" customHeight="1" x14ac:dyDescent="0.85">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c r="AA310" s="2"/>
      <c r="AB310" s="2"/>
    </row>
    <row r="311" spans="1:28" ht="19.5" customHeight="1" x14ac:dyDescent="0.85">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c r="AA311" s="2"/>
      <c r="AB311" s="2"/>
    </row>
    <row r="312" spans="1:28" ht="19.5" customHeight="1" x14ac:dyDescent="0.85">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c r="AA312" s="2"/>
      <c r="AB312" s="2"/>
    </row>
    <row r="313" spans="1:28" ht="19.5" customHeight="1" x14ac:dyDescent="0.85">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c r="AA313" s="2"/>
      <c r="AB313" s="2"/>
    </row>
    <row r="314" spans="1:28" ht="19.5" customHeight="1" x14ac:dyDescent="0.85">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c r="AA314" s="2"/>
      <c r="AB314" s="2"/>
    </row>
    <row r="315" spans="1:28" ht="19.5" customHeight="1" x14ac:dyDescent="0.85">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c r="AA315" s="2"/>
      <c r="AB315" s="2"/>
    </row>
    <row r="316" spans="1:28" ht="19.5" customHeight="1" x14ac:dyDescent="0.85">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c r="AA316" s="2"/>
      <c r="AB316" s="2"/>
    </row>
    <row r="317" spans="1:28" ht="19.5" customHeight="1" x14ac:dyDescent="0.85">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c r="AA317" s="2"/>
      <c r="AB317" s="2"/>
    </row>
    <row r="318" spans="1:28" ht="19.5" customHeight="1" x14ac:dyDescent="0.85">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c r="AA318" s="2"/>
      <c r="AB318" s="2"/>
    </row>
    <row r="319" spans="1:28" ht="19.5" customHeight="1" x14ac:dyDescent="0.85">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c r="AA319" s="2"/>
      <c r="AB319" s="2"/>
    </row>
    <row r="320" spans="1:28" ht="19.5" customHeight="1" x14ac:dyDescent="0.85">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c r="AA320" s="2"/>
      <c r="AB320" s="2"/>
    </row>
    <row r="321" spans="1:28" ht="19.5" customHeight="1" x14ac:dyDescent="0.85">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c r="AA321" s="2"/>
      <c r="AB321" s="2"/>
    </row>
    <row r="322" spans="1:28" ht="19.5" customHeight="1" x14ac:dyDescent="0.85">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c r="AA322" s="2"/>
      <c r="AB322" s="2"/>
    </row>
    <row r="323" spans="1:28" ht="19.5" customHeight="1" x14ac:dyDescent="0.85">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c r="AA323" s="2"/>
      <c r="AB323" s="2"/>
    </row>
    <row r="324" spans="1:28" ht="19.5" customHeight="1" x14ac:dyDescent="0.85">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c r="AA324" s="2"/>
      <c r="AB324" s="2"/>
    </row>
    <row r="325" spans="1:28" ht="19.5" customHeight="1" x14ac:dyDescent="0.85">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c r="AA325" s="2"/>
      <c r="AB325" s="2"/>
    </row>
    <row r="326" spans="1:28" ht="19.5" customHeight="1" x14ac:dyDescent="0.85">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c r="AA326" s="2"/>
      <c r="AB326" s="2"/>
    </row>
    <row r="327" spans="1:28" ht="19.5" customHeight="1" x14ac:dyDescent="0.85">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c r="AA327" s="2"/>
      <c r="AB327" s="2"/>
    </row>
    <row r="328" spans="1:28" ht="19.5" customHeight="1" x14ac:dyDescent="0.85">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c r="AA328" s="2"/>
      <c r="AB328" s="2"/>
    </row>
    <row r="329" spans="1:28" ht="19.5" customHeight="1" x14ac:dyDescent="0.85">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c r="AA329" s="2"/>
      <c r="AB329" s="2"/>
    </row>
    <row r="330" spans="1:28" ht="19.5" customHeight="1" x14ac:dyDescent="0.85">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c r="AA330" s="2"/>
      <c r="AB330" s="2"/>
    </row>
    <row r="331" spans="1:28" ht="19.5" customHeight="1" x14ac:dyDescent="0.85">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c r="AA331" s="2"/>
      <c r="AB331" s="2"/>
    </row>
    <row r="332" spans="1:28" ht="19.5" customHeight="1" x14ac:dyDescent="0.85">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c r="AA332" s="2"/>
      <c r="AB332" s="2"/>
    </row>
    <row r="333" spans="1:28" ht="19.5" customHeight="1" x14ac:dyDescent="0.85">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c r="AA333" s="2"/>
      <c r="AB333" s="2"/>
    </row>
    <row r="334" spans="1:28" ht="19.5" customHeight="1" x14ac:dyDescent="0.85">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c r="AA334" s="2"/>
      <c r="AB334" s="2"/>
    </row>
    <row r="335" spans="1:28" ht="19.5" customHeight="1" x14ac:dyDescent="0.85">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c r="AA335" s="2"/>
      <c r="AB335" s="2"/>
    </row>
    <row r="336" spans="1:28" ht="19.5" customHeight="1" x14ac:dyDescent="0.85">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c r="AA336" s="2"/>
      <c r="AB336" s="2"/>
    </row>
    <row r="337" spans="1:28" ht="19.5" customHeight="1" x14ac:dyDescent="0.85">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c r="AA337" s="2"/>
      <c r="AB337" s="2"/>
    </row>
    <row r="338" spans="1:28" ht="19.5" customHeight="1" x14ac:dyDescent="0.85">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c r="AA338" s="2"/>
      <c r="AB338" s="2"/>
    </row>
    <row r="339" spans="1:28" ht="19.5" customHeight="1" x14ac:dyDescent="0.85">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c r="AA339" s="2"/>
      <c r="AB339" s="2"/>
    </row>
    <row r="340" spans="1:28" ht="19.5" customHeight="1" x14ac:dyDescent="0.85">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c r="AA340" s="2"/>
      <c r="AB340" s="2"/>
    </row>
    <row r="341" spans="1:28" ht="19.5" customHeight="1" x14ac:dyDescent="0.85">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c r="AA341" s="2"/>
      <c r="AB341" s="2"/>
    </row>
    <row r="342" spans="1:28" ht="19.5" customHeight="1" x14ac:dyDescent="0.85">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c r="AA342" s="2"/>
      <c r="AB342" s="2"/>
    </row>
    <row r="343" spans="1:28" ht="19.5" customHeight="1" x14ac:dyDescent="0.85">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c r="AA343" s="2"/>
      <c r="AB343" s="2"/>
    </row>
    <row r="344" spans="1:28" ht="19.5" customHeight="1" x14ac:dyDescent="0.85">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c r="AA344" s="2"/>
      <c r="AB344" s="2"/>
    </row>
    <row r="345" spans="1:28" ht="19.5" customHeight="1" x14ac:dyDescent="0.85">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c r="AA345" s="2"/>
      <c r="AB345" s="2"/>
    </row>
    <row r="346" spans="1:28" ht="19.5" customHeight="1" x14ac:dyDescent="0.85">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c r="AA346" s="2"/>
      <c r="AB346" s="2"/>
    </row>
    <row r="347" spans="1:28" ht="19.5" customHeight="1" x14ac:dyDescent="0.85">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c r="AA347" s="2"/>
      <c r="AB347" s="2"/>
    </row>
    <row r="348" spans="1:28" ht="19.5" customHeight="1" x14ac:dyDescent="0.85">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c r="AA348" s="2"/>
      <c r="AB348" s="2"/>
    </row>
    <row r="349" spans="1:28" ht="19.5" customHeight="1" x14ac:dyDescent="0.85">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c r="AA349" s="2"/>
      <c r="AB349" s="2"/>
    </row>
    <row r="350" spans="1:28" ht="19.5" customHeight="1" x14ac:dyDescent="0.85">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c r="AA350" s="2"/>
      <c r="AB350" s="2"/>
    </row>
    <row r="351" spans="1:28" ht="19.5" customHeight="1" x14ac:dyDescent="0.85">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c r="AA351" s="2"/>
      <c r="AB351" s="2"/>
    </row>
    <row r="352" spans="1:28" ht="19.5" customHeight="1" x14ac:dyDescent="0.85">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c r="AA352" s="2"/>
      <c r="AB352" s="2"/>
    </row>
    <row r="353" spans="1:28" ht="19.5" customHeight="1" x14ac:dyDescent="0.85">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c r="AA353" s="2"/>
      <c r="AB353" s="2"/>
    </row>
    <row r="354" spans="1:28" ht="19.5" customHeight="1" x14ac:dyDescent="0.85">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c r="AA354" s="2"/>
      <c r="AB354" s="2"/>
    </row>
    <row r="355" spans="1:28" ht="19.5" customHeight="1" x14ac:dyDescent="0.85">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c r="AA355" s="2"/>
      <c r="AB355" s="2"/>
    </row>
    <row r="356" spans="1:28" ht="19.5" customHeight="1" x14ac:dyDescent="0.85">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c r="AA356" s="2"/>
      <c r="AB356" s="2"/>
    </row>
    <row r="357" spans="1:28" ht="19.5" customHeight="1" x14ac:dyDescent="0.85">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c r="AA357" s="2"/>
      <c r="AB357" s="2"/>
    </row>
    <row r="358" spans="1:28" ht="19.5" customHeight="1" x14ac:dyDescent="0.85">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c r="AA358" s="2"/>
      <c r="AB358" s="2"/>
    </row>
    <row r="359" spans="1:28" ht="19.5" customHeight="1" x14ac:dyDescent="0.85">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c r="AA359" s="2"/>
      <c r="AB359" s="2"/>
    </row>
    <row r="360" spans="1:28" ht="19.5" customHeight="1" x14ac:dyDescent="0.85">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c r="AA360" s="2"/>
      <c r="AB360" s="2"/>
    </row>
    <row r="361" spans="1:28" ht="19.5" customHeight="1" x14ac:dyDescent="0.85">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c r="AA361" s="2"/>
      <c r="AB361" s="2"/>
    </row>
    <row r="362" spans="1:28" ht="19.5" customHeight="1" x14ac:dyDescent="0.85">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c r="AA362" s="2"/>
      <c r="AB362" s="2"/>
    </row>
    <row r="363" spans="1:28" ht="19.5" customHeight="1" x14ac:dyDescent="0.85">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c r="AA363" s="2"/>
      <c r="AB363" s="2"/>
    </row>
    <row r="364" spans="1:28" ht="19.5" customHeight="1" x14ac:dyDescent="0.85">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c r="AA364" s="2"/>
      <c r="AB364" s="2"/>
    </row>
    <row r="365" spans="1:28" ht="19.5" customHeight="1" x14ac:dyDescent="0.85">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c r="AA365" s="2"/>
      <c r="AB365" s="2"/>
    </row>
    <row r="366" spans="1:28" ht="19.5" customHeight="1" x14ac:dyDescent="0.85">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c r="AA366" s="2"/>
      <c r="AB366" s="2"/>
    </row>
    <row r="367" spans="1:28" ht="19.5" customHeight="1" x14ac:dyDescent="0.85">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c r="AA367" s="2"/>
      <c r="AB367" s="2"/>
    </row>
    <row r="368" spans="1:28" ht="19.5" customHeight="1" x14ac:dyDescent="0.85">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c r="AA368" s="2"/>
      <c r="AB368" s="2"/>
    </row>
    <row r="369" spans="1:28" ht="19.5" customHeight="1" x14ac:dyDescent="0.85">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c r="AA369" s="2"/>
      <c r="AB369" s="2"/>
    </row>
    <row r="370" spans="1:28" ht="19.5" customHeight="1" x14ac:dyDescent="0.85">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c r="AA370" s="2"/>
      <c r="AB370" s="2"/>
    </row>
    <row r="371" spans="1:28" ht="19.5" customHeight="1" x14ac:dyDescent="0.85">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c r="AA371" s="2"/>
      <c r="AB371" s="2"/>
    </row>
    <row r="372" spans="1:28" ht="19.5" customHeight="1" x14ac:dyDescent="0.85">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c r="AA372" s="2"/>
      <c r="AB372" s="2"/>
    </row>
    <row r="373" spans="1:28" ht="19.5" customHeight="1" x14ac:dyDescent="0.85">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c r="AA373" s="2"/>
      <c r="AB373" s="2"/>
    </row>
    <row r="374" spans="1:28" ht="19.5" customHeight="1" x14ac:dyDescent="0.85">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c r="AA374" s="2"/>
      <c r="AB374" s="2"/>
    </row>
    <row r="375" spans="1:28" ht="19.5" customHeight="1" x14ac:dyDescent="0.85">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c r="AA375" s="2"/>
      <c r="AB375" s="2"/>
    </row>
    <row r="376" spans="1:28" ht="19.5" customHeight="1" x14ac:dyDescent="0.85">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c r="AA376" s="2"/>
      <c r="AB376" s="2"/>
    </row>
    <row r="377" spans="1:28" ht="19.5" customHeight="1" x14ac:dyDescent="0.85">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c r="AA377" s="2"/>
      <c r="AB377" s="2"/>
    </row>
    <row r="378" spans="1:28" ht="19.5" customHeight="1" x14ac:dyDescent="0.85">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c r="AA378" s="2"/>
      <c r="AB378" s="2"/>
    </row>
    <row r="379" spans="1:28" ht="19.5" customHeight="1" x14ac:dyDescent="0.85">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c r="AA379" s="2"/>
      <c r="AB379" s="2"/>
    </row>
    <row r="380" spans="1:28" ht="19.5" customHeight="1" x14ac:dyDescent="0.85">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c r="AA380" s="2"/>
      <c r="AB380" s="2"/>
    </row>
    <row r="381" spans="1:28" ht="19.5" customHeight="1" x14ac:dyDescent="0.85">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c r="AA381" s="2"/>
      <c r="AB381" s="2"/>
    </row>
    <row r="382" spans="1:28" ht="19.5" customHeight="1" x14ac:dyDescent="0.85">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c r="AA382" s="2"/>
      <c r="AB382" s="2"/>
    </row>
    <row r="383" spans="1:28" ht="19.5" customHeight="1" x14ac:dyDescent="0.85">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c r="AA383" s="2"/>
      <c r="AB383" s="2"/>
    </row>
    <row r="384" spans="1:28" ht="19.5" customHeight="1" x14ac:dyDescent="0.85">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c r="AA384" s="2"/>
      <c r="AB384" s="2"/>
    </row>
    <row r="385" spans="1:28" ht="19.5" customHeight="1" x14ac:dyDescent="0.85">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c r="AA385" s="2"/>
      <c r="AB385" s="2"/>
    </row>
    <row r="386" spans="1:28" ht="19.5" customHeight="1" x14ac:dyDescent="0.85">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c r="AA386" s="2"/>
      <c r="AB386" s="2"/>
    </row>
    <row r="387" spans="1:28" ht="19.5" customHeight="1" x14ac:dyDescent="0.85">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c r="AA387" s="2"/>
      <c r="AB387" s="2"/>
    </row>
    <row r="388" spans="1:28" ht="19.5" customHeight="1" x14ac:dyDescent="0.85">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c r="AA388" s="2"/>
      <c r="AB388" s="2"/>
    </row>
    <row r="389" spans="1:28" ht="19.5" customHeight="1" x14ac:dyDescent="0.85">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c r="AA389" s="2"/>
      <c r="AB389" s="2"/>
    </row>
    <row r="390" spans="1:28" ht="19.5" customHeight="1" x14ac:dyDescent="0.85">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c r="AA390" s="2"/>
      <c r="AB390" s="2"/>
    </row>
    <row r="391" spans="1:28" ht="19.5" customHeight="1" x14ac:dyDescent="0.85">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c r="AA391" s="2"/>
      <c r="AB391" s="2"/>
    </row>
    <row r="392" spans="1:28" ht="19.5" customHeight="1" x14ac:dyDescent="0.85">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c r="AA392" s="2"/>
      <c r="AB392" s="2"/>
    </row>
    <row r="393" spans="1:28" ht="19.5" customHeight="1" x14ac:dyDescent="0.85">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c r="AA393" s="2"/>
      <c r="AB393" s="2"/>
    </row>
    <row r="394" spans="1:28" ht="19.5" customHeight="1" x14ac:dyDescent="0.85">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c r="AA394" s="2"/>
      <c r="AB394" s="2"/>
    </row>
    <row r="395" spans="1:28" ht="19.5" customHeight="1" x14ac:dyDescent="0.85">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c r="AA395" s="2"/>
      <c r="AB395" s="2"/>
    </row>
    <row r="396" spans="1:28" ht="19.5" customHeight="1" x14ac:dyDescent="0.85">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c r="AA396" s="2"/>
      <c r="AB396" s="2"/>
    </row>
    <row r="397" spans="1:28" ht="19.5" customHeight="1" x14ac:dyDescent="0.85">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c r="AA397" s="2"/>
      <c r="AB397" s="2"/>
    </row>
    <row r="398" spans="1:28" ht="19.5" customHeight="1" x14ac:dyDescent="0.85">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c r="AA398" s="2"/>
      <c r="AB398" s="2"/>
    </row>
    <row r="399" spans="1:28" ht="19.5" customHeight="1" x14ac:dyDescent="0.85">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c r="AA399" s="2"/>
      <c r="AB399" s="2"/>
    </row>
    <row r="400" spans="1:28" ht="19.5" customHeight="1" x14ac:dyDescent="0.85">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c r="AA400" s="2"/>
      <c r="AB400" s="2"/>
    </row>
    <row r="401" spans="1:28" ht="19.5" customHeight="1" x14ac:dyDescent="0.85">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c r="AA401" s="2"/>
      <c r="AB401" s="2"/>
    </row>
    <row r="402" spans="1:28" ht="19.5" customHeight="1" x14ac:dyDescent="0.85">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c r="AA402" s="2"/>
      <c r="AB402" s="2"/>
    </row>
    <row r="403" spans="1:28" ht="19.5" customHeight="1" x14ac:dyDescent="0.85">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c r="AA403" s="2"/>
      <c r="AB403" s="2"/>
    </row>
    <row r="404" spans="1:28" ht="19.5" customHeight="1" x14ac:dyDescent="0.85">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c r="AA404" s="2"/>
      <c r="AB404" s="2"/>
    </row>
    <row r="405" spans="1:28" ht="19.5" customHeight="1" x14ac:dyDescent="0.85">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c r="AA405" s="2"/>
      <c r="AB405" s="2"/>
    </row>
    <row r="406" spans="1:28" ht="19.5" customHeight="1" x14ac:dyDescent="0.85">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c r="AA406" s="2"/>
      <c r="AB406" s="2"/>
    </row>
    <row r="407" spans="1:28" ht="19.5" customHeight="1" x14ac:dyDescent="0.85">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c r="AA407" s="2"/>
      <c r="AB407" s="2"/>
    </row>
    <row r="408" spans="1:28" ht="19.5" customHeight="1" x14ac:dyDescent="0.85">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c r="AA408" s="2"/>
      <c r="AB408" s="2"/>
    </row>
    <row r="409" spans="1:28" ht="19.5" customHeight="1" x14ac:dyDescent="0.85">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c r="AA409" s="2"/>
      <c r="AB409" s="2"/>
    </row>
    <row r="410" spans="1:28" ht="19.5" customHeight="1" x14ac:dyDescent="0.85">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c r="AA410" s="2"/>
      <c r="AB410" s="2"/>
    </row>
    <row r="411" spans="1:28" ht="19.5" customHeight="1" x14ac:dyDescent="0.85">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c r="AA411" s="2"/>
      <c r="AB411" s="2"/>
    </row>
    <row r="412" spans="1:28" ht="19.5" customHeight="1" x14ac:dyDescent="0.85">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c r="AA412" s="2"/>
      <c r="AB412" s="2"/>
    </row>
    <row r="413" spans="1:28" ht="19.5" customHeight="1" x14ac:dyDescent="0.85">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c r="AA413" s="2"/>
      <c r="AB413" s="2"/>
    </row>
    <row r="414" spans="1:28" ht="19.5" customHeight="1" x14ac:dyDescent="0.85">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c r="AA414" s="2"/>
      <c r="AB414" s="2"/>
    </row>
    <row r="415" spans="1:28" ht="19.5" customHeight="1" x14ac:dyDescent="0.85">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c r="AA415" s="2"/>
      <c r="AB415" s="2"/>
    </row>
    <row r="416" spans="1:28" ht="19.5" customHeight="1" x14ac:dyDescent="0.85">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c r="AA416" s="2"/>
      <c r="AB416" s="2"/>
    </row>
    <row r="417" spans="1:28" ht="19.5" customHeight="1" x14ac:dyDescent="0.85">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c r="AA417" s="2"/>
      <c r="AB417" s="2"/>
    </row>
    <row r="418" spans="1:28" ht="19.5" customHeight="1" x14ac:dyDescent="0.85">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c r="AA418" s="2"/>
      <c r="AB418" s="2"/>
    </row>
    <row r="419" spans="1:28" ht="19.5" customHeight="1" x14ac:dyDescent="0.85">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c r="AA419" s="2"/>
      <c r="AB419" s="2"/>
    </row>
    <row r="420" spans="1:28" ht="19.5" customHeight="1" x14ac:dyDescent="0.85">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c r="AA420" s="2"/>
      <c r="AB420" s="2"/>
    </row>
    <row r="421" spans="1:28" ht="19.5" customHeight="1" x14ac:dyDescent="0.85">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c r="AA421" s="2"/>
      <c r="AB421" s="2"/>
    </row>
    <row r="422" spans="1:28" ht="19.5" customHeight="1" x14ac:dyDescent="0.85">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c r="AA422" s="2"/>
      <c r="AB422" s="2"/>
    </row>
    <row r="423" spans="1:28" ht="19.5" customHeight="1" x14ac:dyDescent="0.85">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c r="AA423" s="2"/>
      <c r="AB423" s="2"/>
    </row>
    <row r="424" spans="1:28" ht="19.5" customHeight="1" x14ac:dyDescent="0.85">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c r="AA424" s="2"/>
      <c r="AB424" s="2"/>
    </row>
    <row r="425" spans="1:28" ht="19.5" customHeight="1" x14ac:dyDescent="0.85">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c r="AA425" s="2"/>
      <c r="AB425" s="2"/>
    </row>
    <row r="426" spans="1:28" ht="19.5" customHeight="1" x14ac:dyDescent="0.85">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c r="AA426" s="2"/>
      <c r="AB426" s="2"/>
    </row>
    <row r="427" spans="1:28" ht="19.5" customHeight="1" x14ac:dyDescent="0.85">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c r="AA427" s="2"/>
      <c r="AB427" s="2"/>
    </row>
    <row r="428" spans="1:28" ht="19.5" customHeight="1" x14ac:dyDescent="0.85">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c r="AA428" s="2"/>
      <c r="AB428" s="2"/>
    </row>
    <row r="429" spans="1:28" ht="19.5" customHeight="1" x14ac:dyDescent="0.85">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c r="AA429" s="2"/>
      <c r="AB429" s="2"/>
    </row>
    <row r="430" spans="1:28" ht="19.5" customHeight="1" x14ac:dyDescent="0.85">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c r="AA430" s="2"/>
      <c r="AB430" s="2"/>
    </row>
    <row r="431" spans="1:28" ht="19.5" customHeight="1" x14ac:dyDescent="0.85">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c r="AA431" s="2"/>
      <c r="AB431" s="2"/>
    </row>
    <row r="432" spans="1:28" ht="19.5" customHeight="1" x14ac:dyDescent="0.85">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c r="AA432" s="2"/>
      <c r="AB432" s="2"/>
    </row>
    <row r="433" spans="1:28" ht="19.5" customHeight="1" x14ac:dyDescent="0.85">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c r="AA433" s="2"/>
      <c r="AB433" s="2"/>
    </row>
    <row r="434" spans="1:28" ht="19.5" customHeight="1" x14ac:dyDescent="0.85">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c r="AA434" s="2"/>
      <c r="AB434" s="2"/>
    </row>
    <row r="435" spans="1:28" ht="19.5" customHeight="1" x14ac:dyDescent="0.85">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c r="AA435" s="2"/>
      <c r="AB435" s="2"/>
    </row>
    <row r="436" spans="1:28" ht="19.5" customHeight="1" x14ac:dyDescent="0.85">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c r="AA436" s="2"/>
      <c r="AB436" s="2"/>
    </row>
    <row r="437" spans="1:28" ht="19.5" customHeight="1" x14ac:dyDescent="0.85">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c r="AA437" s="2"/>
      <c r="AB437" s="2"/>
    </row>
    <row r="438" spans="1:28" ht="19.5" customHeight="1" x14ac:dyDescent="0.85">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c r="AA438" s="2"/>
      <c r="AB438" s="2"/>
    </row>
    <row r="439" spans="1:28" ht="19.5" customHeight="1" x14ac:dyDescent="0.85">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c r="AA439" s="2"/>
      <c r="AB439" s="2"/>
    </row>
    <row r="440" spans="1:28" ht="19.5" customHeight="1" x14ac:dyDescent="0.85">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c r="AA440" s="2"/>
      <c r="AB440" s="2"/>
    </row>
    <row r="441" spans="1:28" ht="19.5" customHeight="1" x14ac:dyDescent="0.85">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c r="AA441" s="2"/>
      <c r="AB441" s="2"/>
    </row>
    <row r="442" spans="1:28" ht="19.5" customHeight="1" x14ac:dyDescent="0.85">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c r="AA442" s="2"/>
      <c r="AB442" s="2"/>
    </row>
    <row r="443" spans="1:28" ht="19.5" customHeight="1" x14ac:dyDescent="0.85">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c r="AA443" s="2"/>
      <c r="AB443" s="2"/>
    </row>
    <row r="444" spans="1:28" ht="19.5" customHeight="1" x14ac:dyDescent="0.85">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c r="AA444" s="2"/>
      <c r="AB444" s="2"/>
    </row>
    <row r="445" spans="1:28" ht="19.5" customHeight="1" x14ac:dyDescent="0.85">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c r="AA445" s="2"/>
      <c r="AB445" s="2"/>
    </row>
    <row r="446" spans="1:28" ht="19.5" customHeight="1" x14ac:dyDescent="0.85">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c r="AA446" s="2"/>
      <c r="AB446" s="2"/>
    </row>
    <row r="447" spans="1:28" ht="19.5" customHeight="1" x14ac:dyDescent="0.85">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c r="AA447" s="2"/>
      <c r="AB447" s="2"/>
    </row>
    <row r="448" spans="1:28" ht="19.5" customHeight="1" x14ac:dyDescent="0.85">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c r="AA448" s="2"/>
      <c r="AB448" s="2"/>
    </row>
    <row r="449" spans="1:28" ht="19.5" customHeight="1" x14ac:dyDescent="0.85">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c r="AA449" s="2"/>
      <c r="AB449" s="2"/>
    </row>
    <row r="450" spans="1:28" ht="19.5" customHeight="1" x14ac:dyDescent="0.85">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c r="AA450" s="2"/>
      <c r="AB450" s="2"/>
    </row>
    <row r="451" spans="1:28" ht="19.5" customHeight="1" x14ac:dyDescent="0.85">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c r="AA451" s="2"/>
      <c r="AB451" s="2"/>
    </row>
    <row r="452" spans="1:28" ht="19.5" customHeight="1" x14ac:dyDescent="0.85">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c r="AA452" s="2"/>
      <c r="AB452" s="2"/>
    </row>
    <row r="453" spans="1:28" ht="19.5" customHeight="1" x14ac:dyDescent="0.85">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c r="AA453" s="2"/>
      <c r="AB453" s="2"/>
    </row>
    <row r="454" spans="1:28" ht="19.5" customHeight="1" x14ac:dyDescent="0.85">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c r="AA454" s="2"/>
      <c r="AB454" s="2"/>
    </row>
    <row r="455" spans="1:28" ht="19.5" customHeight="1" x14ac:dyDescent="0.85">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c r="AA455" s="2"/>
      <c r="AB455" s="2"/>
    </row>
    <row r="456" spans="1:28" ht="19.5" customHeight="1" x14ac:dyDescent="0.85">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c r="AA456" s="2"/>
      <c r="AB456" s="2"/>
    </row>
    <row r="457" spans="1:28" ht="19.5" customHeight="1" x14ac:dyDescent="0.85">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c r="AA457" s="2"/>
      <c r="AB457" s="2"/>
    </row>
    <row r="458" spans="1:28" ht="19.5" customHeight="1" x14ac:dyDescent="0.85">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c r="AA458" s="2"/>
      <c r="AB458" s="2"/>
    </row>
    <row r="459" spans="1:28" ht="19.5" customHeight="1" x14ac:dyDescent="0.85">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c r="AA459" s="2"/>
      <c r="AB459" s="2"/>
    </row>
    <row r="460" spans="1:28" ht="19.5" customHeight="1" x14ac:dyDescent="0.85">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c r="AA460" s="2"/>
      <c r="AB460" s="2"/>
    </row>
    <row r="461" spans="1:28" ht="19.5" customHeight="1" x14ac:dyDescent="0.85">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c r="AA461" s="2"/>
      <c r="AB461" s="2"/>
    </row>
    <row r="462" spans="1:28" ht="19.5" customHeight="1" x14ac:dyDescent="0.85">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c r="AA462" s="2"/>
      <c r="AB462" s="2"/>
    </row>
    <row r="463" spans="1:28" ht="19.5" customHeight="1" x14ac:dyDescent="0.85">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c r="AA463" s="2"/>
      <c r="AB463" s="2"/>
    </row>
    <row r="464" spans="1:28" ht="19.5" customHeight="1" x14ac:dyDescent="0.85">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c r="AA464" s="2"/>
      <c r="AB464" s="2"/>
    </row>
    <row r="465" spans="1:28" ht="19.5" customHeight="1" x14ac:dyDescent="0.85">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c r="AA465" s="2"/>
      <c r="AB465" s="2"/>
    </row>
    <row r="466" spans="1:28" ht="19.5" customHeight="1" x14ac:dyDescent="0.85">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c r="AA466" s="2"/>
      <c r="AB466" s="2"/>
    </row>
    <row r="467" spans="1:28" ht="19.5" customHeight="1" x14ac:dyDescent="0.85">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c r="AA467" s="2"/>
      <c r="AB467" s="2"/>
    </row>
    <row r="468" spans="1:28" ht="19.5" customHeight="1" x14ac:dyDescent="0.85">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c r="AA468" s="2"/>
      <c r="AB468" s="2"/>
    </row>
    <row r="469" spans="1:28" ht="19.5" customHeight="1" x14ac:dyDescent="0.85">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c r="AA469" s="2"/>
      <c r="AB469" s="2"/>
    </row>
    <row r="470" spans="1:28" ht="19.5" customHeight="1" x14ac:dyDescent="0.85">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c r="AA470" s="2"/>
      <c r="AB470" s="2"/>
    </row>
    <row r="471" spans="1:28" ht="19.5" customHeight="1" x14ac:dyDescent="0.85">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c r="AA471" s="2"/>
      <c r="AB471" s="2"/>
    </row>
    <row r="472" spans="1:28" ht="19.5" customHeight="1" x14ac:dyDescent="0.85">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c r="AA472" s="2"/>
      <c r="AB472" s="2"/>
    </row>
    <row r="473" spans="1:28" ht="19.5" customHeight="1" x14ac:dyDescent="0.85">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c r="AA473" s="2"/>
      <c r="AB473" s="2"/>
    </row>
    <row r="474" spans="1:28" ht="19.5" customHeight="1" x14ac:dyDescent="0.85">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c r="AA474" s="2"/>
      <c r="AB474" s="2"/>
    </row>
    <row r="475" spans="1:28" ht="19.5" customHeight="1" x14ac:dyDescent="0.85">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c r="AA475" s="2"/>
      <c r="AB475" s="2"/>
    </row>
    <row r="476" spans="1:28" ht="19.5" customHeight="1" x14ac:dyDescent="0.85">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c r="AA476" s="2"/>
      <c r="AB476" s="2"/>
    </row>
    <row r="477" spans="1:28" ht="19.5" customHeight="1" x14ac:dyDescent="0.85">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c r="AA477" s="2"/>
      <c r="AB477" s="2"/>
    </row>
    <row r="478" spans="1:28" ht="19.5" customHeight="1" x14ac:dyDescent="0.85">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c r="AA478" s="2"/>
      <c r="AB478" s="2"/>
    </row>
    <row r="479" spans="1:28" ht="19.5" customHeight="1" x14ac:dyDescent="0.85">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c r="AA479" s="2"/>
      <c r="AB479" s="2"/>
    </row>
    <row r="480" spans="1:28" ht="19.5" customHeight="1" x14ac:dyDescent="0.85">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c r="AA480" s="2"/>
      <c r="AB480" s="2"/>
    </row>
    <row r="481" spans="1:28" ht="19.5" customHeight="1" x14ac:dyDescent="0.85">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c r="AA481" s="2"/>
      <c r="AB481" s="2"/>
    </row>
    <row r="482" spans="1:28" ht="19.5" customHeight="1" x14ac:dyDescent="0.85">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c r="AA482" s="2"/>
      <c r="AB482" s="2"/>
    </row>
    <row r="483" spans="1:28" ht="19.5" customHeight="1" x14ac:dyDescent="0.85">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c r="AA483" s="2"/>
      <c r="AB483" s="2"/>
    </row>
    <row r="484" spans="1:28" ht="19.5" customHeight="1" x14ac:dyDescent="0.85">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c r="AA484" s="2"/>
      <c r="AB484" s="2"/>
    </row>
    <row r="485" spans="1:28" ht="19.5" customHeight="1" x14ac:dyDescent="0.85">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c r="AA485" s="2"/>
      <c r="AB485" s="2"/>
    </row>
    <row r="486" spans="1:28" ht="19.5" customHeight="1" x14ac:dyDescent="0.85">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c r="AA486" s="2"/>
      <c r="AB486" s="2"/>
    </row>
    <row r="487" spans="1:28" ht="19.5" customHeight="1" x14ac:dyDescent="0.85">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c r="AA487" s="2"/>
      <c r="AB487" s="2"/>
    </row>
    <row r="488" spans="1:28" ht="19.5" customHeight="1" x14ac:dyDescent="0.85">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c r="AA488" s="2"/>
      <c r="AB488" s="2"/>
    </row>
    <row r="489" spans="1:28" ht="19.5" customHeight="1" x14ac:dyDescent="0.85">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c r="AA489" s="2"/>
      <c r="AB489" s="2"/>
    </row>
    <row r="490" spans="1:28" ht="19.5" customHeight="1" x14ac:dyDescent="0.85">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c r="AA490" s="2"/>
      <c r="AB490" s="2"/>
    </row>
    <row r="491" spans="1:28" ht="19.5" customHeight="1" x14ac:dyDescent="0.85">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c r="AA491" s="2"/>
      <c r="AB491" s="2"/>
    </row>
    <row r="492" spans="1:28" ht="19.5" customHeight="1" x14ac:dyDescent="0.85">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c r="AA492" s="2"/>
      <c r="AB492" s="2"/>
    </row>
    <row r="493" spans="1:28" ht="19.5" customHeight="1" x14ac:dyDescent="0.85">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c r="AA493" s="2"/>
      <c r="AB493" s="2"/>
    </row>
    <row r="494" spans="1:28" ht="19.5" customHeight="1" x14ac:dyDescent="0.85">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c r="AA494" s="2"/>
      <c r="AB494" s="2"/>
    </row>
    <row r="495" spans="1:28" ht="19.5" customHeight="1" x14ac:dyDescent="0.85">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c r="AA495" s="2"/>
      <c r="AB495" s="2"/>
    </row>
    <row r="496" spans="1:28" ht="19.5" customHeight="1" x14ac:dyDescent="0.85">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c r="AA496" s="2"/>
      <c r="AB496" s="2"/>
    </row>
    <row r="497" spans="1:28" ht="19.5" customHeight="1" x14ac:dyDescent="0.85">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c r="AA497" s="2"/>
      <c r="AB497" s="2"/>
    </row>
    <row r="498" spans="1:28" ht="19.5" customHeight="1" x14ac:dyDescent="0.85">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c r="AA498" s="2"/>
      <c r="AB498" s="2"/>
    </row>
    <row r="499" spans="1:28" ht="19.5" customHeight="1" x14ac:dyDescent="0.85">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c r="AA499" s="2"/>
      <c r="AB499" s="2"/>
    </row>
    <row r="500" spans="1:28" ht="19.5" customHeight="1" x14ac:dyDescent="0.85">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c r="AA500" s="2"/>
      <c r="AB500" s="2"/>
    </row>
    <row r="501" spans="1:28" ht="19.5" customHeight="1" x14ac:dyDescent="0.85">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c r="AA501" s="2"/>
      <c r="AB501" s="2"/>
    </row>
    <row r="502" spans="1:28" ht="19.5" customHeight="1" x14ac:dyDescent="0.85">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c r="AA502" s="2"/>
      <c r="AB502" s="2"/>
    </row>
    <row r="503" spans="1:28" ht="19.5" customHeight="1" x14ac:dyDescent="0.85">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c r="AA503" s="2"/>
      <c r="AB503" s="2"/>
    </row>
    <row r="504" spans="1:28" ht="19.5" customHeight="1" x14ac:dyDescent="0.85">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c r="AA504" s="2"/>
      <c r="AB504" s="2"/>
    </row>
    <row r="505" spans="1:28" ht="19.5" customHeight="1" x14ac:dyDescent="0.85">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c r="AA505" s="2"/>
      <c r="AB505" s="2"/>
    </row>
    <row r="506" spans="1:28" ht="19.5" customHeight="1" x14ac:dyDescent="0.85">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c r="AA506" s="2"/>
      <c r="AB506" s="2"/>
    </row>
    <row r="507" spans="1:28" ht="19.5" customHeight="1" x14ac:dyDescent="0.85">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c r="AA507" s="2"/>
      <c r="AB507" s="2"/>
    </row>
    <row r="508" spans="1:28" ht="19.5" customHeight="1" x14ac:dyDescent="0.85">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c r="AA508" s="2"/>
      <c r="AB508" s="2"/>
    </row>
    <row r="509" spans="1:28" ht="19.5" customHeight="1" x14ac:dyDescent="0.85">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c r="AA509" s="2"/>
      <c r="AB509" s="2"/>
    </row>
    <row r="510" spans="1:28" ht="19.5" customHeight="1" x14ac:dyDescent="0.85">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c r="AA510" s="2"/>
      <c r="AB510" s="2"/>
    </row>
    <row r="511" spans="1:28" ht="19.5" customHeight="1" x14ac:dyDescent="0.85">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c r="AA511" s="2"/>
      <c r="AB511" s="2"/>
    </row>
    <row r="512" spans="1:28" ht="19.5" customHeight="1" x14ac:dyDescent="0.85">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c r="AA512" s="2"/>
      <c r="AB512" s="2"/>
    </row>
    <row r="513" spans="1:28" ht="19.5" customHeight="1" x14ac:dyDescent="0.85">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c r="AA513" s="2"/>
      <c r="AB513" s="2"/>
    </row>
    <row r="514" spans="1:28" ht="19.5" customHeight="1" x14ac:dyDescent="0.85">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c r="AA514" s="2"/>
      <c r="AB514" s="2"/>
    </row>
    <row r="515" spans="1:28" ht="19.5" customHeight="1" x14ac:dyDescent="0.85">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c r="AA515" s="2"/>
      <c r="AB515" s="2"/>
    </row>
    <row r="516" spans="1:28" ht="19.5" customHeight="1" x14ac:dyDescent="0.85">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c r="AA516" s="2"/>
      <c r="AB516" s="2"/>
    </row>
    <row r="517" spans="1:28" ht="19.5" customHeight="1" x14ac:dyDescent="0.85">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c r="AA517" s="2"/>
      <c r="AB517" s="2"/>
    </row>
    <row r="518" spans="1:28" ht="19.5" customHeight="1" x14ac:dyDescent="0.85">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c r="AA518" s="2"/>
      <c r="AB518" s="2"/>
    </row>
    <row r="519" spans="1:28" ht="19.5" customHeight="1" x14ac:dyDescent="0.85">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c r="AA519" s="2"/>
      <c r="AB519" s="2"/>
    </row>
    <row r="520" spans="1:28" ht="19.5" customHeight="1" x14ac:dyDescent="0.85">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c r="AA520" s="2"/>
      <c r="AB520" s="2"/>
    </row>
    <row r="521" spans="1:28" ht="19.5" customHeight="1" x14ac:dyDescent="0.85">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c r="AA521" s="2"/>
      <c r="AB521" s="2"/>
    </row>
    <row r="522" spans="1:28" ht="19.5" customHeight="1" x14ac:dyDescent="0.85">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c r="AA522" s="2"/>
      <c r="AB522" s="2"/>
    </row>
    <row r="523" spans="1:28" ht="19.5" customHeight="1" x14ac:dyDescent="0.85">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c r="AA523" s="2"/>
      <c r="AB523" s="2"/>
    </row>
    <row r="524" spans="1:28" ht="19.5" customHeight="1" x14ac:dyDescent="0.85">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c r="AA524" s="2"/>
      <c r="AB524" s="2"/>
    </row>
    <row r="525" spans="1:28" ht="19.5" customHeight="1" x14ac:dyDescent="0.85">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c r="AA525" s="2"/>
      <c r="AB525" s="2"/>
    </row>
    <row r="526" spans="1:28" ht="19.5" customHeight="1" x14ac:dyDescent="0.85">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c r="AA526" s="2"/>
      <c r="AB526" s="2"/>
    </row>
    <row r="527" spans="1:28" ht="19.5" customHeight="1" x14ac:dyDescent="0.85">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c r="AA527" s="2"/>
      <c r="AB527" s="2"/>
    </row>
    <row r="528" spans="1:28" ht="19.5" customHeight="1" x14ac:dyDescent="0.85">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c r="AA528" s="2"/>
      <c r="AB528" s="2"/>
    </row>
    <row r="529" spans="1:28" ht="19.5" customHeight="1" x14ac:dyDescent="0.85">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c r="AA529" s="2"/>
      <c r="AB529" s="2"/>
    </row>
    <row r="530" spans="1:28" ht="19.5" customHeight="1" x14ac:dyDescent="0.85">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c r="AA530" s="2"/>
      <c r="AB530" s="2"/>
    </row>
    <row r="531" spans="1:28" ht="19.5" customHeight="1" x14ac:dyDescent="0.85">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c r="AA531" s="2"/>
      <c r="AB531" s="2"/>
    </row>
    <row r="532" spans="1:28" ht="19.5" customHeight="1" x14ac:dyDescent="0.85">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c r="AA532" s="2"/>
      <c r="AB532" s="2"/>
    </row>
    <row r="533" spans="1:28" ht="19.5" customHeight="1" x14ac:dyDescent="0.85">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c r="AA533" s="2"/>
      <c r="AB533" s="2"/>
    </row>
    <row r="534" spans="1:28" ht="19.5" customHeight="1" x14ac:dyDescent="0.85">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c r="AA534" s="2"/>
      <c r="AB534" s="2"/>
    </row>
    <row r="535" spans="1:28" ht="19.5" customHeight="1" x14ac:dyDescent="0.85">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c r="AA535" s="2"/>
      <c r="AB535" s="2"/>
    </row>
    <row r="536" spans="1:28" ht="19.5" customHeight="1" x14ac:dyDescent="0.85">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c r="AA536" s="2"/>
      <c r="AB536" s="2"/>
    </row>
    <row r="537" spans="1:28" ht="19.5" customHeight="1" x14ac:dyDescent="0.85">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c r="AA537" s="2"/>
      <c r="AB537" s="2"/>
    </row>
    <row r="538" spans="1:28" ht="19.5" customHeight="1" x14ac:dyDescent="0.85">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c r="AA538" s="2"/>
      <c r="AB538" s="2"/>
    </row>
    <row r="539" spans="1:28" ht="19.5" customHeight="1" x14ac:dyDescent="0.85">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c r="AA539" s="2"/>
      <c r="AB539" s="2"/>
    </row>
    <row r="540" spans="1:28" ht="19.5" customHeight="1" x14ac:dyDescent="0.85">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c r="AA540" s="2"/>
      <c r="AB540" s="2"/>
    </row>
    <row r="541" spans="1:28" ht="19.5" customHeight="1" x14ac:dyDescent="0.85">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c r="AA541" s="2"/>
      <c r="AB541" s="2"/>
    </row>
    <row r="542" spans="1:28" ht="19.5" customHeight="1" x14ac:dyDescent="0.85">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c r="AA542" s="2"/>
      <c r="AB542" s="2"/>
    </row>
    <row r="543" spans="1:28" ht="19.5" customHeight="1" x14ac:dyDescent="0.85">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c r="AA543" s="2"/>
      <c r="AB543" s="2"/>
    </row>
    <row r="544" spans="1:28" ht="19.5" customHeight="1" x14ac:dyDescent="0.85">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c r="AA544" s="2"/>
      <c r="AB544" s="2"/>
    </row>
    <row r="545" spans="1:28" ht="19.5" customHeight="1" x14ac:dyDescent="0.85">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c r="AA545" s="2"/>
      <c r="AB545" s="2"/>
    </row>
    <row r="546" spans="1:28" ht="19.5" customHeight="1" x14ac:dyDescent="0.85">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c r="AA546" s="2"/>
      <c r="AB546" s="2"/>
    </row>
    <row r="547" spans="1:28" ht="19.5" customHeight="1" x14ac:dyDescent="0.85">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c r="AA547" s="2"/>
      <c r="AB547" s="2"/>
    </row>
    <row r="548" spans="1:28" ht="19.5" customHeight="1" x14ac:dyDescent="0.85">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c r="AA548" s="2"/>
      <c r="AB548" s="2"/>
    </row>
    <row r="549" spans="1:28" ht="19.5" customHeight="1" x14ac:dyDescent="0.85">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c r="AA549" s="2"/>
      <c r="AB549" s="2"/>
    </row>
    <row r="550" spans="1:28" ht="19.5" customHeight="1" x14ac:dyDescent="0.85">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c r="AA550" s="2"/>
      <c r="AB550" s="2"/>
    </row>
    <row r="551" spans="1:28" ht="19.5" customHeight="1" x14ac:dyDescent="0.85">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c r="AA551" s="2"/>
      <c r="AB551" s="2"/>
    </row>
    <row r="552" spans="1:28" ht="19.5" customHeight="1" x14ac:dyDescent="0.85">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c r="AA552" s="2"/>
      <c r="AB552" s="2"/>
    </row>
    <row r="553" spans="1:28" ht="19.5" customHeight="1" x14ac:dyDescent="0.85">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c r="AA553" s="2"/>
      <c r="AB553" s="2"/>
    </row>
    <row r="554" spans="1:28" ht="19.5" customHeight="1" x14ac:dyDescent="0.85">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c r="AA554" s="2"/>
      <c r="AB554" s="2"/>
    </row>
    <row r="555" spans="1:28" ht="19.5" customHeight="1" x14ac:dyDescent="0.85">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c r="AA555" s="2"/>
      <c r="AB555" s="2"/>
    </row>
    <row r="556" spans="1:28" ht="19.5" customHeight="1" x14ac:dyDescent="0.85">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c r="AA556" s="2"/>
      <c r="AB556" s="2"/>
    </row>
    <row r="557" spans="1:28" ht="19.5" customHeight="1" x14ac:dyDescent="0.85">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c r="AA557" s="2"/>
      <c r="AB557" s="2"/>
    </row>
    <row r="558" spans="1:28" ht="19.5" customHeight="1" x14ac:dyDescent="0.85">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c r="AA558" s="2"/>
      <c r="AB558" s="2"/>
    </row>
    <row r="559" spans="1:28" ht="19.5" customHeight="1" x14ac:dyDescent="0.85">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c r="AA559" s="2"/>
      <c r="AB559" s="2"/>
    </row>
    <row r="560" spans="1:28" ht="19.5" customHeight="1" x14ac:dyDescent="0.85">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c r="AA560" s="2"/>
      <c r="AB560" s="2"/>
    </row>
    <row r="561" spans="1:28" ht="19.5" customHeight="1" x14ac:dyDescent="0.85">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c r="AA561" s="2"/>
      <c r="AB561" s="2"/>
    </row>
    <row r="562" spans="1:28" ht="19.5" customHeight="1" x14ac:dyDescent="0.85">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c r="AA562" s="2"/>
      <c r="AB562" s="2"/>
    </row>
    <row r="563" spans="1:28" ht="19.5" customHeight="1" x14ac:dyDescent="0.85">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c r="AA563" s="2"/>
      <c r="AB563" s="2"/>
    </row>
    <row r="564" spans="1:28" ht="19.5" customHeight="1" x14ac:dyDescent="0.85">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c r="AA564" s="2"/>
      <c r="AB564" s="2"/>
    </row>
    <row r="565" spans="1:28" ht="19.5" customHeight="1" x14ac:dyDescent="0.85">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c r="AA565" s="2"/>
      <c r="AB565" s="2"/>
    </row>
    <row r="566" spans="1:28" ht="19.5" customHeight="1" x14ac:dyDescent="0.85">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c r="AA566" s="2"/>
      <c r="AB566" s="2"/>
    </row>
    <row r="567" spans="1:28" ht="19.5" customHeight="1" x14ac:dyDescent="0.85">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c r="AA567" s="2"/>
      <c r="AB567" s="2"/>
    </row>
    <row r="568" spans="1:28" ht="19.5" customHeight="1" x14ac:dyDescent="0.85">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c r="AA568" s="2"/>
      <c r="AB568" s="2"/>
    </row>
    <row r="569" spans="1:28" ht="19.5" customHeight="1" x14ac:dyDescent="0.85">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c r="AA569" s="2"/>
      <c r="AB569" s="2"/>
    </row>
    <row r="570" spans="1:28" ht="19.5" customHeight="1" x14ac:dyDescent="0.85">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c r="AA570" s="2"/>
      <c r="AB570" s="2"/>
    </row>
    <row r="571" spans="1:28" ht="19.5" customHeight="1" x14ac:dyDescent="0.85">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c r="AA571" s="2"/>
      <c r="AB571" s="2"/>
    </row>
    <row r="572" spans="1:28" ht="19.5" customHeight="1" x14ac:dyDescent="0.85">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c r="AA572" s="2"/>
      <c r="AB572" s="2"/>
    </row>
    <row r="573" spans="1:28" ht="19.5" customHeight="1" x14ac:dyDescent="0.85">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c r="AA573" s="2"/>
      <c r="AB573" s="2"/>
    </row>
    <row r="574" spans="1:28" ht="19.5" customHeight="1" x14ac:dyDescent="0.85">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c r="AA574" s="2"/>
      <c r="AB574" s="2"/>
    </row>
    <row r="575" spans="1:28" ht="19.5" customHeight="1" x14ac:dyDescent="0.85">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c r="AA575" s="2"/>
      <c r="AB575" s="2"/>
    </row>
    <row r="576" spans="1:28" ht="19.5" customHeight="1" x14ac:dyDescent="0.85">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c r="AA576" s="2"/>
      <c r="AB576" s="2"/>
    </row>
    <row r="577" spans="1:28" ht="19.5" customHeight="1" x14ac:dyDescent="0.85">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c r="AA577" s="2"/>
      <c r="AB577" s="2"/>
    </row>
    <row r="578" spans="1:28" ht="19.5" customHeight="1" x14ac:dyDescent="0.85">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c r="AA578" s="2"/>
      <c r="AB578" s="2"/>
    </row>
    <row r="579" spans="1:28" ht="19.5" customHeight="1" x14ac:dyDescent="0.85">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c r="AA579" s="2"/>
      <c r="AB579" s="2"/>
    </row>
    <row r="580" spans="1:28" ht="19.5" customHeight="1" x14ac:dyDescent="0.85">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c r="AA580" s="2"/>
      <c r="AB580" s="2"/>
    </row>
    <row r="581" spans="1:28" ht="19.5" customHeight="1" x14ac:dyDescent="0.85">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c r="AA581" s="2"/>
      <c r="AB581" s="2"/>
    </row>
    <row r="582" spans="1:28" ht="19.5" customHeight="1" x14ac:dyDescent="0.85">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c r="AA582" s="2"/>
      <c r="AB582" s="2"/>
    </row>
    <row r="583" spans="1:28" ht="19.5" customHeight="1" x14ac:dyDescent="0.85">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c r="AA583" s="2"/>
      <c r="AB583" s="2"/>
    </row>
    <row r="584" spans="1:28" ht="19.5" customHeight="1" x14ac:dyDescent="0.85">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c r="AA584" s="2"/>
      <c r="AB584" s="2"/>
    </row>
    <row r="585" spans="1:28" ht="19.5" customHeight="1" x14ac:dyDescent="0.85">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c r="AA585" s="2"/>
      <c r="AB585" s="2"/>
    </row>
    <row r="586" spans="1:28" ht="19.5" customHeight="1" x14ac:dyDescent="0.85">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c r="AA586" s="2"/>
      <c r="AB586" s="2"/>
    </row>
    <row r="587" spans="1:28" ht="19.5" customHeight="1" x14ac:dyDescent="0.85">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c r="AA587" s="2"/>
      <c r="AB587" s="2"/>
    </row>
    <row r="588" spans="1:28" ht="19.5" customHeight="1" x14ac:dyDescent="0.85">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c r="AA588" s="2"/>
      <c r="AB588" s="2"/>
    </row>
    <row r="589" spans="1:28" ht="19.5" customHeight="1" x14ac:dyDescent="0.85">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c r="AA589" s="2"/>
      <c r="AB589" s="2"/>
    </row>
    <row r="590" spans="1:28" ht="19.5" customHeight="1" x14ac:dyDescent="0.85">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c r="AA590" s="2"/>
      <c r="AB590" s="2"/>
    </row>
    <row r="591" spans="1:28" ht="19.5" customHeight="1" x14ac:dyDescent="0.85">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c r="AA591" s="2"/>
      <c r="AB591" s="2"/>
    </row>
    <row r="592" spans="1:28" ht="19.5" customHeight="1" x14ac:dyDescent="0.85">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c r="AA592" s="2"/>
      <c r="AB592" s="2"/>
    </row>
    <row r="593" spans="1:28" ht="19.5" customHeight="1" x14ac:dyDescent="0.85">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c r="AA593" s="2"/>
      <c r="AB593" s="2"/>
    </row>
    <row r="594" spans="1:28" ht="19.5" customHeight="1" x14ac:dyDescent="0.85">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c r="AA594" s="2"/>
      <c r="AB594" s="2"/>
    </row>
    <row r="595" spans="1:28" ht="19.5" customHeight="1" x14ac:dyDescent="0.85">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c r="AA595" s="2"/>
      <c r="AB595" s="2"/>
    </row>
    <row r="596" spans="1:28" ht="19.5" customHeight="1" x14ac:dyDescent="0.85">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c r="AA596" s="2"/>
      <c r="AB596" s="2"/>
    </row>
    <row r="597" spans="1:28" ht="19.5" customHeight="1" x14ac:dyDescent="0.85">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c r="AA597" s="2"/>
      <c r="AB597" s="2"/>
    </row>
    <row r="598" spans="1:28" ht="19.5" customHeight="1" x14ac:dyDescent="0.85">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c r="AA598" s="2"/>
      <c r="AB598" s="2"/>
    </row>
    <row r="599" spans="1:28" ht="19.5" customHeight="1" x14ac:dyDescent="0.85">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c r="AA599" s="2"/>
      <c r="AB599" s="2"/>
    </row>
    <row r="600" spans="1:28" ht="19.5" customHeight="1" x14ac:dyDescent="0.85">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c r="AA600" s="2"/>
      <c r="AB600" s="2"/>
    </row>
    <row r="601" spans="1:28" ht="19.5" customHeight="1" x14ac:dyDescent="0.85">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c r="AA601" s="2"/>
      <c r="AB601" s="2"/>
    </row>
    <row r="602" spans="1:28" ht="19.5" customHeight="1" x14ac:dyDescent="0.85">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c r="AA602" s="2"/>
      <c r="AB602" s="2"/>
    </row>
    <row r="603" spans="1:28" ht="19.5" customHeight="1" x14ac:dyDescent="0.85">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c r="AA603" s="2"/>
      <c r="AB603" s="2"/>
    </row>
    <row r="604" spans="1:28" ht="19.5" customHeight="1" x14ac:dyDescent="0.85">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c r="AA604" s="2"/>
      <c r="AB604" s="2"/>
    </row>
    <row r="605" spans="1:28" ht="19.5" customHeight="1" x14ac:dyDescent="0.85">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c r="AA605" s="2"/>
      <c r="AB605" s="2"/>
    </row>
    <row r="606" spans="1:28" ht="19.5" customHeight="1" x14ac:dyDescent="0.85">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c r="AA606" s="2"/>
      <c r="AB606" s="2"/>
    </row>
    <row r="607" spans="1:28" ht="19.5" customHeight="1" x14ac:dyDescent="0.85">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c r="AA607" s="2"/>
      <c r="AB607" s="2"/>
    </row>
    <row r="608" spans="1:28" ht="19.5" customHeight="1" x14ac:dyDescent="0.85">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c r="AA608" s="2"/>
      <c r="AB608" s="2"/>
    </row>
    <row r="609" spans="1:28" ht="19.5" customHeight="1" x14ac:dyDescent="0.85">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c r="AA609" s="2"/>
      <c r="AB609" s="2"/>
    </row>
    <row r="610" spans="1:28" ht="19.5" customHeight="1" x14ac:dyDescent="0.85">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c r="AA610" s="2"/>
      <c r="AB610" s="2"/>
    </row>
    <row r="611" spans="1:28" ht="19.5" customHeight="1" x14ac:dyDescent="0.85">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c r="AA611" s="2"/>
      <c r="AB611" s="2"/>
    </row>
    <row r="612" spans="1:28" ht="19.5" customHeight="1" x14ac:dyDescent="0.85">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c r="AA612" s="2"/>
      <c r="AB612" s="2"/>
    </row>
    <row r="613" spans="1:28" ht="19.5" customHeight="1" x14ac:dyDescent="0.85">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c r="AA613" s="2"/>
      <c r="AB613" s="2"/>
    </row>
    <row r="614" spans="1:28" ht="19.5" customHeight="1" x14ac:dyDescent="0.85">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c r="AA614" s="2"/>
      <c r="AB614" s="2"/>
    </row>
    <row r="615" spans="1:28" ht="19.5" customHeight="1" x14ac:dyDescent="0.85">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c r="AA615" s="2"/>
      <c r="AB615" s="2"/>
    </row>
    <row r="616" spans="1:28" ht="19.5" customHeight="1" x14ac:dyDescent="0.85">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c r="AA616" s="2"/>
      <c r="AB616" s="2"/>
    </row>
    <row r="617" spans="1:28" ht="19.5" customHeight="1" x14ac:dyDescent="0.85">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c r="AA617" s="2"/>
      <c r="AB617" s="2"/>
    </row>
    <row r="618" spans="1:28" ht="19.5" customHeight="1" x14ac:dyDescent="0.85">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c r="AA618" s="2"/>
      <c r="AB618" s="2"/>
    </row>
    <row r="619" spans="1:28" ht="19.5" customHeight="1" x14ac:dyDescent="0.85">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c r="AA619" s="2"/>
      <c r="AB619" s="2"/>
    </row>
    <row r="620" spans="1:28" ht="19.5" customHeight="1" x14ac:dyDescent="0.85">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c r="AA620" s="2"/>
      <c r="AB620" s="2"/>
    </row>
    <row r="621" spans="1:28" ht="19.5" customHeight="1" x14ac:dyDescent="0.85">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c r="AA621" s="2"/>
      <c r="AB621" s="2"/>
    </row>
    <row r="622" spans="1:28" ht="19.5" customHeight="1" x14ac:dyDescent="0.85">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c r="AA622" s="2"/>
      <c r="AB622" s="2"/>
    </row>
    <row r="623" spans="1:28" ht="19.5" customHeight="1" x14ac:dyDescent="0.85">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c r="AA623" s="2"/>
      <c r="AB623" s="2"/>
    </row>
    <row r="624" spans="1:28" ht="19.5" customHeight="1" x14ac:dyDescent="0.85">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c r="AA624" s="2"/>
      <c r="AB624" s="2"/>
    </row>
    <row r="625" spans="1:28" ht="19.5" customHeight="1" x14ac:dyDescent="0.85">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c r="AA625" s="2"/>
      <c r="AB625" s="2"/>
    </row>
    <row r="626" spans="1:28" ht="19.5" customHeight="1" x14ac:dyDescent="0.85">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c r="AA626" s="2"/>
      <c r="AB626" s="2"/>
    </row>
    <row r="627" spans="1:28" ht="19.5" customHeight="1" x14ac:dyDescent="0.85">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c r="AA627" s="2"/>
      <c r="AB627" s="2"/>
    </row>
    <row r="628" spans="1:28" ht="19.5" customHeight="1" x14ac:dyDescent="0.85">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c r="AA628" s="2"/>
      <c r="AB628" s="2"/>
    </row>
    <row r="629" spans="1:28" ht="19.5" customHeight="1" x14ac:dyDescent="0.85">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c r="AA629" s="2"/>
      <c r="AB629" s="2"/>
    </row>
    <row r="630" spans="1:28" ht="19.5" customHeight="1" x14ac:dyDescent="0.85">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c r="AA630" s="2"/>
      <c r="AB630" s="2"/>
    </row>
    <row r="631" spans="1:28" ht="19.5" customHeight="1" x14ac:dyDescent="0.85">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c r="AA631" s="2"/>
      <c r="AB631" s="2"/>
    </row>
    <row r="632" spans="1:28" ht="19.5" customHeight="1" x14ac:dyDescent="0.85">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c r="AA632" s="2"/>
      <c r="AB632" s="2"/>
    </row>
    <row r="633" spans="1:28" ht="19.5" customHeight="1" x14ac:dyDescent="0.85">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c r="AA633" s="2"/>
      <c r="AB633" s="2"/>
    </row>
    <row r="634" spans="1:28" ht="19.5" customHeight="1" x14ac:dyDescent="0.85">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c r="AA634" s="2"/>
      <c r="AB634" s="2"/>
    </row>
    <row r="635" spans="1:28" ht="19.5" customHeight="1" x14ac:dyDescent="0.85">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c r="AA635" s="2"/>
      <c r="AB635" s="2"/>
    </row>
    <row r="636" spans="1:28" ht="19.5" customHeight="1" x14ac:dyDescent="0.85">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c r="AA636" s="2"/>
      <c r="AB636" s="2"/>
    </row>
    <row r="637" spans="1:28" ht="19.5" customHeight="1" x14ac:dyDescent="0.85">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c r="AA637" s="2"/>
      <c r="AB637" s="2"/>
    </row>
    <row r="638" spans="1:28" ht="19.5" customHeight="1" x14ac:dyDescent="0.85">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c r="AA638" s="2"/>
      <c r="AB638" s="2"/>
    </row>
    <row r="639" spans="1:28" ht="19.5" customHeight="1" x14ac:dyDescent="0.85">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c r="AA639" s="2"/>
      <c r="AB639" s="2"/>
    </row>
    <row r="640" spans="1:28" ht="19.5" customHeight="1" x14ac:dyDescent="0.85">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c r="AA640" s="2"/>
      <c r="AB640" s="2"/>
    </row>
    <row r="641" spans="1:28" ht="19.5" customHeight="1" x14ac:dyDescent="0.85">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c r="AA641" s="2"/>
      <c r="AB641" s="2"/>
    </row>
    <row r="642" spans="1:28" ht="19.5" customHeight="1" x14ac:dyDescent="0.85">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c r="AA642" s="2"/>
      <c r="AB642" s="2"/>
    </row>
    <row r="643" spans="1:28" ht="19.5" customHeight="1" x14ac:dyDescent="0.85">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c r="AA643" s="2"/>
      <c r="AB643" s="2"/>
    </row>
    <row r="644" spans="1:28" ht="19.5" customHeight="1" x14ac:dyDescent="0.85">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c r="AA644" s="2"/>
      <c r="AB644" s="2"/>
    </row>
    <row r="645" spans="1:28" ht="19.5" customHeight="1" x14ac:dyDescent="0.85">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c r="AA645" s="2"/>
      <c r="AB645" s="2"/>
    </row>
    <row r="646" spans="1:28" ht="19.5" customHeight="1" x14ac:dyDescent="0.85">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c r="AA646" s="2"/>
      <c r="AB646" s="2"/>
    </row>
    <row r="647" spans="1:28" ht="19.5" customHeight="1" x14ac:dyDescent="0.85">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c r="AA647" s="2"/>
      <c r="AB647" s="2"/>
    </row>
    <row r="648" spans="1:28" ht="19.5" customHeight="1" x14ac:dyDescent="0.85">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c r="AA648" s="2"/>
      <c r="AB648" s="2"/>
    </row>
    <row r="649" spans="1:28" ht="19.5" customHeight="1" x14ac:dyDescent="0.85">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c r="AA649" s="2"/>
      <c r="AB649" s="2"/>
    </row>
    <row r="650" spans="1:28" ht="19.5" customHeight="1" x14ac:dyDescent="0.85">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c r="AA650" s="2"/>
      <c r="AB650" s="2"/>
    </row>
    <row r="651" spans="1:28" ht="19.5" customHeight="1" x14ac:dyDescent="0.85">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c r="AA651" s="2"/>
      <c r="AB651" s="2"/>
    </row>
    <row r="652" spans="1:28" ht="19.5" customHeight="1" x14ac:dyDescent="0.85">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c r="AA652" s="2"/>
      <c r="AB652" s="2"/>
    </row>
    <row r="653" spans="1:28" ht="19.5" customHeight="1" x14ac:dyDescent="0.85">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c r="AA653" s="2"/>
      <c r="AB653" s="2"/>
    </row>
    <row r="654" spans="1:28" ht="19.5" customHeight="1" x14ac:dyDescent="0.85">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c r="AA654" s="2"/>
      <c r="AB654" s="2"/>
    </row>
    <row r="655" spans="1:28" ht="19.5" customHeight="1" x14ac:dyDescent="0.85">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c r="AA655" s="2"/>
      <c r="AB655" s="2"/>
    </row>
    <row r="656" spans="1:28" ht="19.5" customHeight="1" x14ac:dyDescent="0.85">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c r="AA656" s="2"/>
      <c r="AB656" s="2"/>
    </row>
    <row r="657" spans="1:28" ht="19.5" customHeight="1" x14ac:dyDescent="0.85">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c r="AA657" s="2"/>
      <c r="AB657" s="2"/>
    </row>
    <row r="658" spans="1:28" ht="19.5" customHeight="1" x14ac:dyDescent="0.85">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c r="AA658" s="2"/>
      <c r="AB658" s="2"/>
    </row>
    <row r="659" spans="1:28" ht="19.5" customHeight="1" x14ac:dyDescent="0.85">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c r="AA659" s="2"/>
      <c r="AB659" s="2"/>
    </row>
    <row r="660" spans="1:28" ht="19.5" customHeight="1" x14ac:dyDescent="0.85">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c r="AA660" s="2"/>
      <c r="AB660" s="2"/>
    </row>
    <row r="661" spans="1:28" ht="19.5" customHeight="1" x14ac:dyDescent="0.85">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c r="AA661" s="2"/>
      <c r="AB661" s="2"/>
    </row>
    <row r="662" spans="1:28" ht="19.5" customHeight="1" x14ac:dyDescent="0.85">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c r="AA662" s="2"/>
      <c r="AB662" s="2"/>
    </row>
    <row r="663" spans="1:28" ht="19.5" customHeight="1" x14ac:dyDescent="0.85">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c r="AA663" s="2"/>
      <c r="AB663" s="2"/>
    </row>
    <row r="664" spans="1:28" ht="19.5" customHeight="1" x14ac:dyDescent="0.85">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c r="AA664" s="2"/>
      <c r="AB664" s="2"/>
    </row>
    <row r="665" spans="1:28" ht="19.5" customHeight="1" x14ac:dyDescent="0.85">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c r="AA665" s="2"/>
      <c r="AB665" s="2"/>
    </row>
    <row r="666" spans="1:28" ht="19.5" customHeight="1" x14ac:dyDescent="0.85">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c r="AA666" s="2"/>
      <c r="AB666" s="2"/>
    </row>
    <row r="667" spans="1:28" ht="19.5" customHeight="1" x14ac:dyDescent="0.85">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c r="AA667" s="2"/>
      <c r="AB667" s="2"/>
    </row>
    <row r="668" spans="1:28" ht="19.5" customHeight="1" x14ac:dyDescent="0.85">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c r="AA668" s="2"/>
      <c r="AB668" s="2"/>
    </row>
    <row r="669" spans="1:28" ht="19.5" customHeight="1" x14ac:dyDescent="0.85">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c r="AA669" s="2"/>
      <c r="AB669" s="2"/>
    </row>
    <row r="670" spans="1:28" ht="19.5" customHeight="1" x14ac:dyDescent="0.85">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c r="AA670" s="2"/>
      <c r="AB670" s="2"/>
    </row>
    <row r="671" spans="1:28" ht="19.5" customHeight="1" x14ac:dyDescent="0.85">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c r="AA671" s="2"/>
      <c r="AB671" s="2"/>
    </row>
    <row r="672" spans="1:28" ht="19.5" customHeight="1" x14ac:dyDescent="0.85">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c r="AA672" s="2"/>
      <c r="AB672" s="2"/>
    </row>
    <row r="673" spans="1:28" ht="19.5" customHeight="1" x14ac:dyDescent="0.85">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c r="AA673" s="2"/>
      <c r="AB673" s="2"/>
    </row>
    <row r="674" spans="1:28" ht="19.5" customHeight="1" x14ac:dyDescent="0.85">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c r="AA674" s="2"/>
      <c r="AB674" s="2"/>
    </row>
    <row r="675" spans="1:28" ht="19.5" customHeight="1" x14ac:dyDescent="0.85">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c r="AA675" s="2"/>
      <c r="AB675" s="2"/>
    </row>
    <row r="676" spans="1:28" ht="19.5" customHeight="1" x14ac:dyDescent="0.85">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c r="AA676" s="2"/>
      <c r="AB676" s="2"/>
    </row>
    <row r="677" spans="1:28" ht="19.5" customHeight="1" x14ac:dyDescent="0.85">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c r="AA677" s="2"/>
      <c r="AB677" s="2"/>
    </row>
    <row r="678" spans="1:28" ht="19.5" customHeight="1" x14ac:dyDescent="0.85">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c r="AA678" s="2"/>
      <c r="AB678" s="2"/>
    </row>
    <row r="679" spans="1:28" ht="19.5" customHeight="1" x14ac:dyDescent="0.85">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c r="AA679" s="2"/>
      <c r="AB679" s="2"/>
    </row>
    <row r="680" spans="1:28" ht="19.5" customHeight="1" x14ac:dyDescent="0.85">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c r="AA680" s="2"/>
      <c r="AB680" s="2"/>
    </row>
    <row r="681" spans="1:28" ht="19.5" customHeight="1" x14ac:dyDescent="0.85">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c r="AA681" s="2"/>
      <c r="AB681" s="2"/>
    </row>
    <row r="682" spans="1:28" ht="19.5" customHeight="1" x14ac:dyDescent="0.85">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c r="AA682" s="2"/>
      <c r="AB682" s="2"/>
    </row>
    <row r="683" spans="1:28" ht="19.5" customHeight="1" x14ac:dyDescent="0.85">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c r="AA683" s="2"/>
      <c r="AB683" s="2"/>
    </row>
    <row r="684" spans="1:28" ht="19.5" customHeight="1" x14ac:dyDescent="0.85">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c r="AA684" s="2"/>
      <c r="AB684" s="2"/>
    </row>
    <row r="685" spans="1:28" ht="19.5" customHeight="1" x14ac:dyDescent="0.85">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c r="AA685" s="2"/>
      <c r="AB685" s="2"/>
    </row>
    <row r="686" spans="1:28" ht="19.5" customHeight="1" x14ac:dyDescent="0.85">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c r="AA686" s="2"/>
      <c r="AB686" s="2"/>
    </row>
    <row r="687" spans="1:28" ht="19.5" customHeight="1" x14ac:dyDescent="0.85">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c r="AA687" s="2"/>
      <c r="AB687" s="2"/>
    </row>
    <row r="688" spans="1:28" ht="19.5" customHeight="1" x14ac:dyDescent="0.85">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c r="AA688" s="2"/>
      <c r="AB688" s="2"/>
    </row>
    <row r="689" spans="1:28" ht="19.5" customHeight="1" x14ac:dyDescent="0.85">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c r="AA689" s="2"/>
      <c r="AB689" s="2"/>
    </row>
    <row r="690" spans="1:28" ht="19.5" customHeight="1" x14ac:dyDescent="0.85">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c r="AA690" s="2"/>
      <c r="AB690" s="2"/>
    </row>
    <row r="691" spans="1:28" ht="19.5" customHeight="1" x14ac:dyDescent="0.85">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c r="AA691" s="2"/>
      <c r="AB691" s="2"/>
    </row>
    <row r="692" spans="1:28" ht="19.5" customHeight="1" x14ac:dyDescent="0.85">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c r="AA692" s="2"/>
      <c r="AB692" s="2"/>
    </row>
    <row r="693" spans="1:28" ht="19.5" customHeight="1" x14ac:dyDescent="0.85">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c r="AA693" s="2"/>
      <c r="AB693" s="2"/>
    </row>
    <row r="694" spans="1:28" ht="19.5" customHeight="1" x14ac:dyDescent="0.85">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c r="AA694" s="2"/>
      <c r="AB694" s="2"/>
    </row>
    <row r="695" spans="1:28" ht="19.5" customHeight="1" x14ac:dyDescent="0.85">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c r="AA695" s="2"/>
      <c r="AB695" s="2"/>
    </row>
    <row r="696" spans="1:28" ht="19.5" customHeight="1" x14ac:dyDescent="0.85">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c r="AA696" s="2"/>
      <c r="AB696" s="2"/>
    </row>
    <row r="697" spans="1:28" ht="19.5" customHeight="1" x14ac:dyDescent="0.85">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c r="AA697" s="2"/>
      <c r="AB697" s="2"/>
    </row>
    <row r="698" spans="1:28" ht="19.5" customHeight="1" x14ac:dyDescent="0.85">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c r="AA698" s="2"/>
      <c r="AB698" s="2"/>
    </row>
    <row r="699" spans="1:28" ht="19.5" customHeight="1" x14ac:dyDescent="0.85">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c r="AA699" s="2"/>
      <c r="AB699" s="2"/>
    </row>
    <row r="700" spans="1:28" ht="19.5" customHeight="1" x14ac:dyDescent="0.85">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c r="AA700" s="2"/>
      <c r="AB700" s="2"/>
    </row>
    <row r="701" spans="1:28" ht="19.5" customHeight="1" x14ac:dyDescent="0.85">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c r="AA701" s="2"/>
      <c r="AB701" s="2"/>
    </row>
    <row r="702" spans="1:28" ht="19.5" customHeight="1" x14ac:dyDescent="0.85">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c r="AA702" s="2"/>
      <c r="AB702" s="2"/>
    </row>
    <row r="703" spans="1:28" ht="19.5" customHeight="1" x14ac:dyDescent="0.85">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c r="AA703" s="2"/>
      <c r="AB703" s="2"/>
    </row>
    <row r="704" spans="1:28" ht="19.5" customHeight="1" x14ac:dyDescent="0.85">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c r="AA704" s="2"/>
      <c r="AB704" s="2"/>
    </row>
    <row r="705" spans="1:28" ht="19.5" customHeight="1" x14ac:dyDescent="0.85">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c r="AA705" s="2"/>
      <c r="AB705" s="2"/>
    </row>
    <row r="706" spans="1:28" ht="19.5" customHeight="1" x14ac:dyDescent="0.85">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c r="AA706" s="2"/>
      <c r="AB706" s="2"/>
    </row>
    <row r="707" spans="1:28" ht="19.5" customHeight="1" x14ac:dyDescent="0.85">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c r="AA707" s="2"/>
      <c r="AB707" s="2"/>
    </row>
    <row r="708" spans="1:28" ht="19.5" customHeight="1" x14ac:dyDescent="0.85">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c r="AA708" s="2"/>
      <c r="AB708" s="2"/>
    </row>
    <row r="709" spans="1:28" ht="19.5" customHeight="1" x14ac:dyDescent="0.85">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c r="AA709" s="2"/>
      <c r="AB709" s="2"/>
    </row>
    <row r="710" spans="1:28" ht="19.5" customHeight="1" x14ac:dyDescent="0.85">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c r="AA710" s="2"/>
      <c r="AB710" s="2"/>
    </row>
    <row r="711" spans="1:28" ht="19.5" customHeight="1" x14ac:dyDescent="0.85">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c r="AA711" s="2"/>
      <c r="AB711" s="2"/>
    </row>
    <row r="712" spans="1:28" ht="19.5" customHeight="1" x14ac:dyDescent="0.85">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c r="AA712" s="2"/>
      <c r="AB712" s="2"/>
    </row>
    <row r="713" spans="1:28" ht="19.5" customHeight="1" x14ac:dyDescent="0.85">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c r="AA713" s="2"/>
      <c r="AB713" s="2"/>
    </row>
    <row r="714" spans="1:28" ht="19.5" customHeight="1" x14ac:dyDescent="0.85">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c r="AA714" s="2"/>
      <c r="AB714" s="2"/>
    </row>
    <row r="715" spans="1:28" ht="19.5" customHeight="1" x14ac:dyDescent="0.85">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c r="AA715" s="2"/>
      <c r="AB715" s="2"/>
    </row>
    <row r="716" spans="1:28" ht="19.5" customHeight="1" x14ac:dyDescent="0.85">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c r="AA716" s="2"/>
      <c r="AB716" s="2"/>
    </row>
    <row r="717" spans="1:28" ht="19.5" customHeight="1" x14ac:dyDescent="0.85">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c r="AA717" s="2"/>
      <c r="AB717" s="2"/>
    </row>
    <row r="718" spans="1:28" ht="19.5" customHeight="1" x14ac:dyDescent="0.85">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c r="AA718" s="2"/>
      <c r="AB718" s="2"/>
    </row>
    <row r="719" spans="1:28" ht="19.5" customHeight="1" x14ac:dyDescent="0.85">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c r="AA719" s="2"/>
      <c r="AB719" s="2"/>
    </row>
    <row r="720" spans="1:28" ht="19.5" customHeight="1" x14ac:dyDescent="0.85">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c r="AA720" s="2"/>
      <c r="AB720" s="2"/>
    </row>
    <row r="721" spans="1:28" ht="19.5" customHeight="1" x14ac:dyDescent="0.85">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c r="AA721" s="2"/>
      <c r="AB721" s="2"/>
    </row>
    <row r="722" spans="1:28" ht="19.5" customHeight="1" x14ac:dyDescent="0.85">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c r="AA722" s="2"/>
      <c r="AB722" s="2"/>
    </row>
    <row r="723" spans="1:28" ht="19.5" customHeight="1" x14ac:dyDescent="0.85">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c r="AA723" s="2"/>
      <c r="AB723" s="2"/>
    </row>
    <row r="724" spans="1:28" ht="19.5" customHeight="1" x14ac:dyDescent="0.85">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c r="AA724" s="2"/>
      <c r="AB724" s="2"/>
    </row>
    <row r="725" spans="1:28" ht="19.5" customHeight="1" x14ac:dyDescent="0.85">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c r="AA725" s="2"/>
      <c r="AB725" s="2"/>
    </row>
    <row r="726" spans="1:28" ht="19.5" customHeight="1" x14ac:dyDescent="0.85">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c r="AA726" s="2"/>
      <c r="AB726" s="2"/>
    </row>
    <row r="727" spans="1:28" ht="19.5" customHeight="1" x14ac:dyDescent="0.85">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c r="AA727" s="2"/>
      <c r="AB727" s="2"/>
    </row>
    <row r="728" spans="1:28" ht="19.5" customHeight="1" x14ac:dyDescent="0.85">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c r="AA728" s="2"/>
      <c r="AB728" s="2"/>
    </row>
    <row r="729" spans="1:28" ht="19.5" customHeight="1" x14ac:dyDescent="0.85">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c r="AA729" s="2"/>
      <c r="AB729" s="2"/>
    </row>
    <row r="730" spans="1:28" ht="19.5" customHeight="1" x14ac:dyDescent="0.85">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c r="AA730" s="2"/>
      <c r="AB730" s="2"/>
    </row>
    <row r="731" spans="1:28" ht="19.5" customHeight="1" x14ac:dyDescent="0.85">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c r="AA731" s="2"/>
      <c r="AB731" s="2"/>
    </row>
    <row r="732" spans="1:28" ht="19.5" customHeight="1" x14ac:dyDescent="0.85">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c r="AA732" s="2"/>
      <c r="AB732" s="2"/>
    </row>
    <row r="733" spans="1:28" ht="19.5" customHeight="1" x14ac:dyDescent="0.85">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c r="AA733" s="2"/>
      <c r="AB733" s="2"/>
    </row>
    <row r="734" spans="1:28" ht="19.5" customHeight="1" x14ac:dyDescent="0.85">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c r="AA734" s="2"/>
      <c r="AB734" s="2"/>
    </row>
    <row r="735" spans="1:28" ht="19.5" customHeight="1" x14ac:dyDescent="0.85">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c r="AA735" s="2"/>
      <c r="AB735" s="2"/>
    </row>
    <row r="736" spans="1:28" ht="19.5" customHeight="1" x14ac:dyDescent="0.85">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c r="AA736" s="2"/>
      <c r="AB736" s="2"/>
    </row>
    <row r="737" spans="1:28" ht="19.5" customHeight="1" x14ac:dyDescent="0.85">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c r="AA737" s="2"/>
      <c r="AB737" s="2"/>
    </row>
    <row r="738" spans="1:28" ht="19.5" customHeight="1" x14ac:dyDescent="0.85">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c r="AA738" s="2"/>
      <c r="AB738" s="2"/>
    </row>
    <row r="739" spans="1:28" ht="19.5" customHeight="1" x14ac:dyDescent="0.85">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c r="AA739" s="2"/>
      <c r="AB739" s="2"/>
    </row>
    <row r="740" spans="1:28" ht="19.5" customHeight="1" x14ac:dyDescent="0.85">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c r="AA740" s="2"/>
      <c r="AB740" s="2"/>
    </row>
    <row r="741" spans="1:28" ht="19.5" customHeight="1" x14ac:dyDescent="0.85">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c r="AA741" s="2"/>
      <c r="AB741" s="2"/>
    </row>
    <row r="742" spans="1:28" ht="19.5" customHeight="1" x14ac:dyDescent="0.85">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c r="AA742" s="2"/>
      <c r="AB742" s="2"/>
    </row>
    <row r="743" spans="1:28" ht="19.5" customHeight="1" x14ac:dyDescent="0.85">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c r="AA743" s="2"/>
      <c r="AB743" s="2"/>
    </row>
    <row r="744" spans="1:28" ht="19.5" customHeight="1" x14ac:dyDescent="0.85">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c r="AA744" s="2"/>
      <c r="AB744" s="2"/>
    </row>
    <row r="745" spans="1:28" ht="19.5" customHeight="1" x14ac:dyDescent="0.85">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c r="AA745" s="2"/>
      <c r="AB745" s="2"/>
    </row>
    <row r="746" spans="1:28" ht="19.5" customHeight="1" x14ac:dyDescent="0.85">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c r="AA746" s="2"/>
      <c r="AB746" s="2"/>
    </row>
    <row r="747" spans="1:28" ht="19.5" customHeight="1" x14ac:dyDescent="0.85">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c r="AA747" s="2"/>
      <c r="AB747" s="2"/>
    </row>
    <row r="748" spans="1:28" ht="19.5" customHeight="1" x14ac:dyDescent="0.85">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c r="AA748" s="2"/>
      <c r="AB748" s="2"/>
    </row>
    <row r="749" spans="1:28" ht="19.5" customHeight="1" x14ac:dyDescent="0.85">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c r="AA749" s="2"/>
      <c r="AB749" s="2"/>
    </row>
    <row r="750" spans="1:28" ht="19.5" customHeight="1" x14ac:dyDescent="0.85">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c r="AA750" s="2"/>
      <c r="AB750" s="2"/>
    </row>
    <row r="751" spans="1:28" ht="19.5" customHeight="1" x14ac:dyDescent="0.85">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c r="AA751" s="2"/>
      <c r="AB751" s="2"/>
    </row>
    <row r="752" spans="1:28" ht="19.5" customHeight="1" x14ac:dyDescent="0.85">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c r="AA752" s="2"/>
      <c r="AB752" s="2"/>
    </row>
    <row r="753" spans="1:28" ht="19.5" customHeight="1" x14ac:dyDescent="0.85">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c r="AA753" s="2"/>
      <c r="AB753" s="2"/>
    </row>
    <row r="754" spans="1:28" ht="19.5" customHeight="1" x14ac:dyDescent="0.85">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c r="AA754" s="2"/>
      <c r="AB754" s="2"/>
    </row>
    <row r="755" spans="1:28" ht="19.5" customHeight="1" x14ac:dyDescent="0.85">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c r="AA755" s="2"/>
      <c r="AB755" s="2"/>
    </row>
    <row r="756" spans="1:28" ht="19.5" customHeight="1" x14ac:dyDescent="0.85">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c r="AA756" s="2"/>
      <c r="AB756" s="2"/>
    </row>
    <row r="757" spans="1:28" ht="19.5" customHeight="1" x14ac:dyDescent="0.85">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c r="AA757" s="2"/>
      <c r="AB757" s="2"/>
    </row>
    <row r="758" spans="1:28" ht="19.5" customHeight="1" x14ac:dyDescent="0.85">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c r="AA758" s="2"/>
      <c r="AB758" s="2"/>
    </row>
    <row r="759" spans="1:28" ht="19.5" customHeight="1" x14ac:dyDescent="0.85">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c r="AA759" s="2"/>
      <c r="AB759" s="2"/>
    </row>
    <row r="760" spans="1:28" ht="19.5" customHeight="1" x14ac:dyDescent="0.85">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c r="AA760" s="2"/>
      <c r="AB760" s="2"/>
    </row>
    <row r="761" spans="1:28" ht="19.5" customHeight="1" x14ac:dyDescent="0.85">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c r="AA761" s="2"/>
      <c r="AB761" s="2"/>
    </row>
    <row r="762" spans="1:28" ht="19.5" customHeight="1" x14ac:dyDescent="0.85">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c r="AA762" s="2"/>
      <c r="AB762" s="2"/>
    </row>
    <row r="763" spans="1:28" ht="19.5" customHeight="1" x14ac:dyDescent="0.85">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c r="AA763" s="2"/>
      <c r="AB763" s="2"/>
    </row>
    <row r="764" spans="1:28" ht="19.5" customHeight="1" x14ac:dyDescent="0.85">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c r="AA764" s="2"/>
      <c r="AB764" s="2"/>
    </row>
    <row r="765" spans="1:28" ht="19.5" customHeight="1" x14ac:dyDescent="0.85">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c r="AA765" s="2"/>
      <c r="AB765" s="2"/>
    </row>
    <row r="766" spans="1:28" ht="19.5" customHeight="1" x14ac:dyDescent="0.85">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c r="AA766" s="2"/>
      <c r="AB766" s="2"/>
    </row>
    <row r="767" spans="1:28" ht="19.5" customHeight="1" x14ac:dyDescent="0.85">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c r="AA767" s="2"/>
      <c r="AB767" s="2"/>
    </row>
    <row r="768" spans="1:28" ht="19.5" customHeight="1" x14ac:dyDescent="0.85">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c r="AA768" s="2"/>
      <c r="AB768" s="2"/>
    </row>
    <row r="769" spans="1:28" ht="19.5" customHeight="1" x14ac:dyDescent="0.85">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c r="AA769" s="2"/>
      <c r="AB769" s="2"/>
    </row>
    <row r="770" spans="1:28" ht="19.5" customHeight="1" x14ac:dyDescent="0.85">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c r="AA770" s="2"/>
      <c r="AB770" s="2"/>
    </row>
    <row r="771" spans="1:28" ht="19.5" customHeight="1" x14ac:dyDescent="0.85">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c r="AA771" s="2"/>
      <c r="AB771" s="2"/>
    </row>
    <row r="772" spans="1:28" ht="19.5" customHeight="1" x14ac:dyDescent="0.85">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c r="AA772" s="2"/>
      <c r="AB772" s="2"/>
    </row>
    <row r="773" spans="1:28" ht="19.5" customHeight="1" x14ac:dyDescent="0.85">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c r="AA773" s="2"/>
      <c r="AB773" s="2"/>
    </row>
    <row r="774" spans="1:28" ht="19.5" customHeight="1" x14ac:dyDescent="0.85">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c r="AA774" s="2"/>
      <c r="AB774" s="2"/>
    </row>
    <row r="775" spans="1:28" ht="19.5" customHeight="1" x14ac:dyDescent="0.85">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c r="AA775" s="2"/>
      <c r="AB775" s="2"/>
    </row>
    <row r="776" spans="1:28" ht="19.5" customHeight="1" x14ac:dyDescent="0.85">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c r="AA776" s="2"/>
      <c r="AB776" s="2"/>
    </row>
    <row r="777" spans="1:28" ht="19.5" customHeight="1" x14ac:dyDescent="0.85">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c r="AA777" s="2"/>
      <c r="AB777" s="2"/>
    </row>
    <row r="778" spans="1:28" ht="19.5" customHeight="1" x14ac:dyDescent="0.85">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c r="AA778" s="2"/>
      <c r="AB778" s="2"/>
    </row>
    <row r="779" spans="1:28" ht="19.5" customHeight="1" x14ac:dyDescent="0.85">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c r="AA779" s="2"/>
      <c r="AB779" s="2"/>
    </row>
    <row r="780" spans="1:28" ht="19.5" customHeight="1" x14ac:dyDescent="0.85">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c r="AA780" s="2"/>
      <c r="AB780" s="2"/>
    </row>
    <row r="781" spans="1:28" ht="19.5" customHeight="1" x14ac:dyDescent="0.85">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c r="AA781" s="2"/>
      <c r="AB781" s="2"/>
    </row>
    <row r="782" spans="1:28" ht="19.5" customHeight="1" x14ac:dyDescent="0.85">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c r="AA782" s="2"/>
      <c r="AB782" s="2"/>
    </row>
    <row r="783" spans="1:28" ht="19.5" customHeight="1" x14ac:dyDescent="0.85">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c r="AA783" s="2"/>
      <c r="AB783" s="2"/>
    </row>
    <row r="784" spans="1:28" ht="19.5" customHeight="1" x14ac:dyDescent="0.85">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c r="AA784" s="2"/>
      <c r="AB784" s="2"/>
    </row>
    <row r="785" spans="1:28" ht="19.5" customHeight="1" x14ac:dyDescent="0.85">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c r="AA785" s="2"/>
      <c r="AB785" s="2"/>
    </row>
    <row r="786" spans="1:28" ht="19.5" customHeight="1" x14ac:dyDescent="0.85">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c r="AA786" s="2"/>
      <c r="AB786" s="2"/>
    </row>
    <row r="787" spans="1:28" ht="19.5" customHeight="1" x14ac:dyDescent="0.85">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c r="AA787" s="2"/>
      <c r="AB787" s="2"/>
    </row>
    <row r="788" spans="1:28" ht="19.5" customHeight="1" x14ac:dyDescent="0.85">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c r="AA788" s="2"/>
      <c r="AB788" s="2"/>
    </row>
    <row r="789" spans="1:28" ht="19.5" customHeight="1" x14ac:dyDescent="0.85">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c r="AA789" s="2"/>
      <c r="AB789" s="2"/>
    </row>
    <row r="790" spans="1:28" ht="19.5" customHeight="1" x14ac:dyDescent="0.85">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c r="AA790" s="2"/>
      <c r="AB790" s="2"/>
    </row>
    <row r="791" spans="1:28" ht="19.5" customHeight="1" x14ac:dyDescent="0.85">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c r="AA791" s="2"/>
      <c r="AB791" s="2"/>
    </row>
    <row r="792" spans="1:28" ht="19.5" customHeight="1" x14ac:dyDescent="0.85">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c r="AA792" s="2"/>
      <c r="AB792" s="2"/>
    </row>
    <row r="793" spans="1:28" ht="19.5" customHeight="1" x14ac:dyDescent="0.85">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c r="AA793" s="2"/>
      <c r="AB793" s="2"/>
    </row>
    <row r="794" spans="1:28" ht="19.5" customHeight="1" x14ac:dyDescent="0.85">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c r="AA794" s="2"/>
      <c r="AB794" s="2"/>
    </row>
    <row r="795" spans="1:28" ht="19.5" customHeight="1" x14ac:dyDescent="0.85">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c r="AA795" s="2"/>
      <c r="AB795" s="2"/>
    </row>
    <row r="796" spans="1:28" ht="19.5" customHeight="1" x14ac:dyDescent="0.85">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c r="AA796" s="2"/>
      <c r="AB796" s="2"/>
    </row>
    <row r="797" spans="1:28" ht="19.5" customHeight="1" x14ac:dyDescent="0.85">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c r="AA797" s="2"/>
      <c r="AB797" s="2"/>
    </row>
    <row r="798" spans="1:28" ht="19.5" customHeight="1" x14ac:dyDescent="0.85">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c r="AA798" s="2"/>
      <c r="AB798" s="2"/>
    </row>
    <row r="799" spans="1:28" ht="19.5" customHeight="1" x14ac:dyDescent="0.85">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c r="AA799" s="2"/>
      <c r="AB799" s="2"/>
    </row>
    <row r="800" spans="1:28" ht="19.5" customHeight="1" x14ac:dyDescent="0.85">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c r="AA800" s="2"/>
      <c r="AB800" s="2"/>
    </row>
    <row r="801" spans="1:28" ht="19.5" customHeight="1" x14ac:dyDescent="0.85">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c r="AA801" s="2"/>
      <c r="AB801" s="2"/>
    </row>
    <row r="802" spans="1:28" ht="19.5" customHeight="1" x14ac:dyDescent="0.85">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c r="AA802" s="2"/>
      <c r="AB802" s="2"/>
    </row>
    <row r="803" spans="1:28" ht="19.5" customHeight="1" x14ac:dyDescent="0.85">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c r="AA803" s="2"/>
      <c r="AB803" s="2"/>
    </row>
    <row r="804" spans="1:28" ht="19.5" customHeight="1" x14ac:dyDescent="0.85">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c r="AA804" s="2"/>
      <c r="AB804" s="2"/>
    </row>
    <row r="805" spans="1:28" ht="19.5" customHeight="1" x14ac:dyDescent="0.85">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c r="AA805" s="2"/>
      <c r="AB805" s="2"/>
    </row>
    <row r="806" spans="1:28" ht="19.5" customHeight="1" x14ac:dyDescent="0.85">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c r="AA806" s="2"/>
      <c r="AB806" s="2"/>
    </row>
    <row r="807" spans="1:28" ht="19.5" customHeight="1" x14ac:dyDescent="0.85">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c r="AA807" s="2"/>
      <c r="AB807" s="2"/>
    </row>
    <row r="808" spans="1:28" ht="19.5" customHeight="1" x14ac:dyDescent="0.85">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c r="AA808" s="2"/>
      <c r="AB808" s="2"/>
    </row>
    <row r="809" spans="1:28" ht="19.5" customHeight="1" x14ac:dyDescent="0.85">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c r="AA809" s="2"/>
      <c r="AB809" s="2"/>
    </row>
    <row r="810" spans="1:28" ht="19.5" customHeight="1" x14ac:dyDescent="0.85">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c r="AA810" s="2"/>
      <c r="AB810" s="2"/>
    </row>
    <row r="811" spans="1:28" ht="19.5" customHeight="1" x14ac:dyDescent="0.85">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c r="AA811" s="2"/>
      <c r="AB811" s="2"/>
    </row>
    <row r="812" spans="1:28" ht="19.5" customHeight="1" x14ac:dyDescent="0.85">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c r="AA812" s="2"/>
      <c r="AB812" s="2"/>
    </row>
    <row r="813" spans="1:28" ht="19.5" customHeight="1" x14ac:dyDescent="0.85">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c r="AA813" s="2"/>
      <c r="AB813" s="2"/>
    </row>
    <row r="814" spans="1:28" ht="19.5" customHeight="1" x14ac:dyDescent="0.85">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c r="AA814" s="2"/>
      <c r="AB814" s="2"/>
    </row>
    <row r="815" spans="1:28" ht="19.5" customHeight="1" x14ac:dyDescent="0.85">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c r="AA815" s="2"/>
      <c r="AB815" s="2"/>
    </row>
    <row r="816" spans="1:28" ht="19.5" customHeight="1" x14ac:dyDescent="0.85">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c r="AA816" s="2"/>
      <c r="AB816" s="2"/>
    </row>
    <row r="817" spans="1:28" ht="19.5" customHeight="1" x14ac:dyDescent="0.85">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c r="AA817" s="2"/>
      <c r="AB817" s="2"/>
    </row>
    <row r="818" spans="1:28" ht="19.5" customHeight="1" x14ac:dyDescent="0.85">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c r="AA818" s="2"/>
      <c r="AB818" s="2"/>
    </row>
    <row r="819" spans="1:28" ht="19.5" customHeight="1" x14ac:dyDescent="0.85">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c r="AA819" s="2"/>
      <c r="AB819" s="2"/>
    </row>
    <row r="820" spans="1:28" ht="19.5" customHeight="1" x14ac:dyDescent="0.85">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c r="AA820" s="2"/>
      <c r="AB820" s="2"/>
    </row>
    <row r="821" spans="1:28" ht="19.5" customHeight="1" x14ac:dyDescent="0.85">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c r="AA821" s="2"/>
      <c r="AB821" s="2"/>
    </row>
    <row r="822" spans="1:28" ht="19.5" customHeight="1" x14ac:dyDescent="0.85">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c r="AA822" s="2"/>
      <c r="AB822" s="2"/>
    </row>
    <row r="823" spans="1:28" ht="19.5" customHeight="1" x14ac:dyDescent="0.85">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c r="AA823" s="2"/>
      <c r="AB823" s="2"/>
    </row>
    <row r="824" spans="1:28" ht="19.5" customHeight="1" x14ac:dyDescent="0.85">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c r="AA824" s="2"/>
      <c r="AB824" s="2"/>
    </row>
    <row r="825" spans="1:28" ht="19.5" customHeight="1" x14ac:dyDescent="0.85">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c r="AA825" s="2"/>
      <c r="AB825" s="2"/>
    </row>
    <row r="826" spans="1:28" ht="19.5" customHeight="1" x14ac:dyDescent="0.85">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c r="AA826" s="2"/>
      <c r="AB826" s="2"/>
    </row>
    <row r="827" spans="1:28" ht="19.5" customHeight="1" x14ac:dyDescent="0.85">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c r="AA827" s="2"/>
      <c r="AB827" s="2"/>
    </row>
    <row r="828" spans="1:28" ht="19.5" customHeight="1" x14ac:dyDescent="0.85">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c r="AA828" s="2"/>
      <c r="AB828" s="2"/>
    </row>
    <row r="829" spans="1:28" ht="19.5" customHeight="1" x14ac:dyDescent="0.85">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c r="AA829" s="2"/>
      <c r="AB829" s="2"/>
    </row>
    <row r="830" spans="1:28" ht="19.5" customHeight="1" x14ac:dyDescent="0.85">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c r="AA830" s="2"/>
      <c r="AB830" s="2"/>
    </row>
    <row r="831" spans="1:28" ht="19.5" customHeight="1" x14ac:dyDescent="0.85">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c r="AA831" s="2"/>
      <c r="AB831" s="2"/>
    </row>
    <row r="832" spans="1:28" ht="19.5" customHeight="1" x14ac:dyDescent="0.85">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c r="AA832" s="2"/>
      <c r="AB832" s="2"/>
    </row>
    <row r="833" spans="1:28" ht="19.5" customHeight="1" x14ac:dyDescent="0.85">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c r="AA833" s="2"/>
      <c r="AB833" s="2"/>
    </row>
    <row r="834" spans="1:28" ht="19.5" customHeight="1" x14ac:dyDescent="0.85">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c r="AA834" s="2"/>
      <c r="AB834" s="2"/>
    </row>
    <row r="835" spans="1:28" ht="19.5" customHeight="1" x14ac:dyDescent="0.85">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c r="AA835" s="2"/>
      <c r="AB835" s="2"/>
    </row>
    <row r="836" spans="1:28" ht="19.5" customHeight="1" x14ac:dyDescent="0.85">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c r="AA836" s="2"/>
      <c r="AB836" s="2"/>
    </row>
    <row r="837" spans="1:28" ht="19.5" customHeight="1" x14ac:dyDescent="0.85">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c r="AA837" s="2"/>
      <c r="AB837" s="2"/>
    </row>
    <row r="838" spans="1:28" ht="19.5" customHeight="1" x14ac:dyDescent="0.85">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c r="AA838" s="2"/>
      <c r="AB838" s="2"/>
    </row>
    <row r="839" spans="1:28" ht="19.5" customHeight="1" x14ac:dyDescent="0.85">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c r="AA839" s="2"/>
      <c r="AB839" s="2"/>
    </row>
    <row r="840" spans="1:28" ht="19.5" customHeight="1" x14ac:dyDescent="0.85">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c r="AA840" s="2"/>
      <c r="AB840" s="2"/>
    </row>
    <row r="841" spans="1:28" ht="19.5" customHeight="1" x14ac:dyDescent="0.85">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c r="AA841" s="2"/>
      <c r="AB841" s="2"/>
    </row>
    <row r="842" spans="1:28" ht="19.5" customHeight="1" x14ac:dyDescent="0.85">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c r="AA842" s="2"/>
      <c r="AB842" s="2"/>
    </row>
    <row r="843" spans="1:28" ht="19.5" customHeight="1" x14ac:dyDescent="0.85">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c r="AA843" s="2"/>
      <c r="AB843" s="2"/>
    </row>
    <row r="844" spans="1:28" ht="19.5" customHeight="1" x14ac:dyDescent="0.85">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c r="AA844" s="2"/>
      <c r="AB844" s="2"/>
    </row>
    <row r="845" spans="1:28" ht="19.5" customHeight="1" x14ac:dyDescent="0.85">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c r="AA845" s="2"/>
      <c r="AB845" s="2"/>
    </row>
    <row r="846" spans="1:28" ht="19.5" customHeight="1" x14ac:dyDescent="0.85">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c r="AA846" s="2"/>
      <c r="AB846" s="2"/>
    </row>
    <row r="847" spans="1:28" ht="19.5" customHeight="1" x14ac:dyDescent="0.85">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c r="AA847" s="2"/>
      <c r="AB847" s="2"/>
    </row>
    <row r="848" spans="1:28" ht="19.5" customHeight="1" x14ac:dyDescent="0.85">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c r="AA848" s="2"/>
      <c r="AB848" s="2"/>
    </row>
    <row r="849" spans="1:28" ht="19.5" customHeight="1" x14ac:dyDescent="0.85">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c r="AA849" s="2"/>
      <c r="AB849" s="2"/>
    </row>
    <row r="850" spans="1:28" ht="19.5" customHeight="1" x14ac:dyDescent="0.85">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c r="AA850" s="2"/>
      <c r="AB850" s="2"/>
    </row>
    <row r="851" spans="1:28" ht="19.5" customHeight="1" x14ac:dyDescent="0.85">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c r="AA851" s="2"/>
      <c r="AB851" s="2"/>
    </row>
    <row r="852" spans="1:28" ht="19.5" customHeight="1" x14ac:dyDescent="0.85">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c r="AA852" s="2"/>
      <c r="AB852" s="2"/>
    </row>
    <row r="853" spans="1:28" ht="19.5" customHeight="1" x14ac:dyDescent="0.85">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c r="AA853" s="2"/>
      <c r="AB853" s="2"/>
    </row>
    <row r="854" spans="1:28" ht="19.5" customHeight="1" x14ac:dyDescent="0.85">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c r="AA854" s="2"/>
      <c r="AB854" s="2"/>
    </row>
    <row r="855" spans="1:28" ht="19.5" customHeight="1" x14ac:dyDescent="0.85">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c r="AA855" s="2"/>
      <c r="AB855" s="2"/>
    </row>
    <row r="856" spans="1:28" ht="19.5" customHeight="1" x14ac:dyDescent="0.85">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c r="AA856" s="2"/>
      <c r="AB856" s="2"/>
    </row>
    <row r="857" spans="1:28" ht="19.5" customHeight="1" x14ac:dyDescent="0.85">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c r="AA857" s="2"/>
      <c r="AB857" s="2"/>
    </row>
    <row r="858" spans="1:28" ht="19.5" customHeight="1" x14ac:dyDescent="0.85">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c r="AA858" s="2"/>
      <c r="AB858" s="2"/>
    </row>
    <row r="859" spans="1:28" ht="19.5" customHeight="1" x14ac:dyDescent="0.85">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c r="AA859" s="2"/>
      <c r="AB859" s="2"/>
    </row>
    <row r="860" spans="1:28" ht="19.5" customHeight="1" x14ac:dyDescent="0.85">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c r="AA860" s="2"/>
      <c r="AB860" s="2"/>
    </row>
    <row r="861" spans="1:28" ht="19.5" customHeight="1" x14ac:dyDescent="0.85">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c r="AA861" s="2"/>
      <c r="AB861" s="2"/>
    </row>
    <row r="862" spans="1:28" ht="19.5" customHeight="1" x14ac:dyDescent="0.85">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c r="AA862" s="2"/>
      <c r="AB862" s="2"/>
    </row>
    <row r="863" spans="1:28" ht="19.5" customHeight="1" x14ac:dyDescent="0.85">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c r="AA863" s="2"/>
      <c r="AB863" s="2"/>
    </row>
    <row r="864" spans="1:28" ht="19.5" customHeight="1" x14ac:dyDescent="0.85">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c r="AA864" s="2"/>
      <c r="AB864" s="2"/>
    </row>
    <row r="865" spans="1:28" ht="19.5" customHeight="1" x14ac:dyDescent="0.85">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c r="AA865" s="2"/>
      <c r="AB865" s="2"/>
    </row>
    <row r="866" spans="1:28" ht="19.5" customHeight="1" x14ac:dyDescent="0.85">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c r="AA866" s="2"/>
      <c r="AB866" s="2"/>
    </row>
    <row r="867" spans="1:28" ht="19.5" customHeight="1" x14ac:dyDescent="0.85">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c r="AA867" s="2"/>
      <c r="AB867" s="2"/>
    </row>
    <row r="868" spans="1:28" ht="19.5" customHeight="1" x14ac:dyDescent="0.85">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c r="AA868" s="2"/>
      <c r="AB868" s="2"/>
    </row>
    <row r="869" spans="1:28" ht="19.5" customHeight="1" x14ac:dyDescent="0.85">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c r="AA869" s="2"/>
      <c r="AB869" s="2"/>
    </row>
    <row r="870" spans="1:28" ht="19.5" customHeight="1" x14ac:dyDescent="0.85">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c r="AA870" s="2"/>
      <c r="AB870" s="2"/>
    </row>
    <row r="871" spans="1:28" ht="19.5" customHeight="1" x14ac:dyDescent="0.85">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c r="AA871" s="2"/>
      <c r="AB871" s="2"/>
    </row>
    <row r="872" spans="1:28" ht="19.5" customHeight="1" x14ac:dyDescent="0.85">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c r="AA872" s="2"/>
      <c r="AB872" s="2"/>
    </row>
    <row r="873" spans="1:28" ht="19.5" customHeight="1" x14ac:dyDescent="0.85">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c r="AA873" s="2"/>
      <c r="AB873" s="2"/>
    </row>
    <row r="874" spans="1:28" ht="19.5" customHeight="1" x14ac:dyDescent="0.85">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c r="AA874" s="2"/>
      <c r="AB874" s="2"/>
    </row>
    <row r="875" spans="1:28" ht="19.5" customHeight="1" x14ac:dyDescent="0.85">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c r="AA875" s="2"/>
      <c r="AB875" s="2"/>
    </row>
    <row r="876" spans="1:28" ht="19.5" customHeight="1" x14ac:dyDescent="0.85">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c r="AA876" s="2"/>
      <c r="AB876" s="2"/>
    </row>
    <row r="877" spans="1:28" ht="19.5" customHeight="1" x14ac:dyDescent="0.85">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c r="AA877" s="2"/>
      <c r="AB877" s="2"/>
    </row>
    <row r="878" spans="1:28" ht="19.5" customHeight="1" x14ac:dyDescent="0.85">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c r="AA878" s="2"/>
      <c r="AB878" s="2"/>
    </row>
    <row r="879" spans="1:28" ht="19.5" customHeight="1" x14ac:dyDescent="0.85">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c r="AA879" s="2"/>
      <c r="AB879" s="2"/>
    </row>
    <row r="880" spans="1:28" ht="19.5" customHeight="1" x14ac:dyDescent="0.85">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c r="AA880" s="2"/>
      <c r="AB880" s="2"/>
    </row>
    <row r="881" spans="1:28" ht="19.5" customHeight="1" x14ac:dyDescent="0.85">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c r="AA881" s="2"/>
      <c r="AB881" s="2"/>
    </row>
    <row r="882" spans="1:28" ht="19.5" customHeight="1" x14ac:dyDescent="0.85">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c r="AA882" s="2"/>
      <c r="AB882" s="2"/>
    </row>
    <row r="883" spans="1:28" ht="19.5" customHeight="1" x14ac:dyDescent="0.85">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c r="AA883" s="2"/>
      <c r="AB883" s="2"/>
    </row>
    <row r="884" spans="1:28" ht="19.5" customHeight="1" x14ac:dyDescent="0.85">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c r="AA884" s="2"/>
      <c r="AB884" s="2"/>
    </row>
    <row r="885" spans="1:28" ht="19.5" customHeight="1" x14ac:dyDescent="0.85">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c r="AA885" s="2"/>
      <c r="AB885" s="2"/>
    </row>
    <row r="886" spans="1:28" ht="19.5" customHeight="1" x14ac:dyDescent="0.85">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c r="AA886" s="2"/>
      <c r="AB886" s="2"/>
    </row>
    <row r="887" spans="1:28" ht="19.5" customHeight="1" x14ac:dyDescent="0.85">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c r="AA887" s="2"/>
      <c r="AB887" s="2"/>
    </row>
    <row r="888" spans="1:28" ht="19.5" customHeight="1" x14ac:dyDescent="0.85">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c r="AA888" s="2"/>
      <c r="AB888" s="2"/>
    </row>
    <row r="889" spans="1:28" ht="19.5" customHeight="1" x14ac:dyDescent="0.85">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c r="AA889" s="2"/>
      <c r="AB889" s="2"/>
    </row>
    <row r="890" spans="1:28" ht="19.5" customHeight="1" x14ac:dyDescent="0.85">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c r="AA890" s="2"/>
      <c r="AB890" s="2"/>
    </row>
    <row r="891" spans="1:28" ht="19.5" customHeight="1" x14ac:dyDescent="0.85">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c r="AA891" s="2"/>
      <c r="AB891" s="2"/>
    </row>
    <row r="892" spans="1:28" ht="19.5" customHeight="1" x14ac:dyDescent="0.85">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c r="AA892" s="2"/>
      <c r="AB892" s="2"/>
    </row>
    <row r="893" spans="1:28" ht="19.5" customHeight="1" x14ac:dyDescent="0.85">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c r="AA893" s="2"/>
      <c r="AB893" s="2"/>
    </row>
    <row r="894" spans="1:28" ht="19.5" customHeight="1" x14ac:dyDescent="0.85">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c r="AA894" s="2"/>
      <c r="AB894" s="2"/>
    </row>
    <row r="895" spans="1:28" ht="19.5" customHeight="1" x14ac:dyDescent="0.85">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c r="AA895" s="2"/>
      <c r="AB895" s="2"/>
    </row>
    <row r="896" spans="1:28" ht="19.5" customHeight="1" x14ac:dyDescent="0.85">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c r="AA896" s="2"/>
      <c r="AB896" s="2"/>
    </row>
    <row r="897" spans="1:28" ht="19.5" customHeight="1" x14ac:dyDescent="0.85">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c r="AA897" s="2"/>
      <c r="AB897" s="2"/>
    </row>
    <row r="898" spans="1:28" ht="19.5" customHeight="1" x14ac:dyDescent="0.85">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c r="AA898" s="2"/>
      <c r="AB898" s="2"/>
    </row>
    <row r="899" spans="1:28" ht="19.5" customHeight="1" x14ac:dyDescent="0.85">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c r="AA899" s="2"/>
      <c r="AB899" s="2"/>
    </row>
    <row r="900" spans="1:28" ht="19.5" customHeight="1" x14ac:dyDescent="0.85">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c r="AA900" s="2"/>
      <c r="AB900" s="2"/>
    </row>
    <row r="901" spans="1:28" ht="19.5" customHeight="1" x14ac:dyDescent="0.85">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c r="AA901" s="2"/>
      <c r="AB901" s="2"/>
    </row>
    <row r="902" spans="1:28" ht="19.5" customHeight="1" x14ac:dyDescent="0.85">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c r="AA902" s="2"/>
      <c r="AB902" s="2"/>
    </row>
    <row r="903" spans="1:28" ht="19.5" customHeight="1" x14ac:dyDescent="0.85">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c r="AA903" s="2"/>
      <c r="AB903" s="2"/>
    </row>
    <row r="904" spans="1:28" ht="19.5" customHeight="1" x14ac:dyDescent="0.85">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c r="AA904" s="2"/>
      <c r="AB904" s="2"/>
    </row>
    <row r="905" spans="1:28" ht="19.5" customHeight="1" x14ac:dyDescent="0.85">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c r="AA905" s="2"/>
      <c r="AB905" s="2"/>
    </row>
    <row r="906" spans="1:28" ht="19.5" customHeight="1" x14ac:dyDescent="0.85">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c r="AA906" s="2"/>
      <c r="AB906" s="2"/>
    </row>
    <row r="907" spans="1:28" ht="19.5" customHeight="1" x14ac:dyDescent="0.85">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c r="AA907" s="2"/>
      <c r="AB907" s="2"/>
    </row>
    <row r="908" spans="1:28" ht="19.5" customHeight="1" x14ac:dyDescent="0.85">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c r="AA908" s="2"/>
      <c r="AB908" s="2"/>
    </row>
    <row r="909" spans="1:28" ht="19.5" customHeight="1" x14ac:dyDescent="0.85">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c r="AA909" s="2"/>
      <c r="AB909" s="2"/>
    </row>
    <row r="910" spans="1:28" ht="19.5" customHeight="1" x14ac:dyDescent="0.85">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c r="AA910" s="2"/>
      <c r="AB910" s="2"/>
    </row>
    <row r="911" spans="1:28" ht="19.5" customHeight="1" x14ac:dyDescent="0.85">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c r="AA911" s="2"/>
      <c r="AB911" s="2"/>
    </row>
    <row r="912" spans="1:28" ht="19.5" customHeight="1" x14ac:dyDescent="0.85">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c r="AA912" s="2"/>
      <c r="AB912" s="2"/>
    </row>
    <row r="913" spans="1:28" ht="19.5" customHeight="1" x14ac:dyDescent="0.85">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c r="AA913" s="2"/>
      <c r="AB913" s="2"/>
    </row>
    <row r="914" spans="1:28" ht="19.5" customHeight="1" x14ac:dyDescent="0.85">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c r="AA914" s="2"/>
      <c r="AB914" s="2"/>
    </row>
    <row r="915" spans="1:28" ht="19.5" customHeight="1" x14ac:dyDescent="0.85">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c r="AA915" s="2"/>
      <c r="AB915" s="2"/>
    </row>
    <row r="916" spans="1:28" ht="19.5" customHeight="1" x14ac:dyDescent="0.85">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c r="AA916" s="2"/>
      <c r="AB916" s="2"/>
    </row>
    <row r="917" spans="1:28" ht="19.5" customHeight="1" x14ac:dyDescent="0.85">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c r="AA917" s="2"/>
      <c r="AB917" s="2"/>
    </row>
    <row r="918" spans="1:28" ht="19.5" customHeight="1" x14ac:dyDescent="0.85">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c r="AA918" s="2"/>
      <c r="AB918" s="2"/>
    </row>
    <row r="919" spans="1:28" ht="19.5" customHeight="1" x14ac:dyDescent="0.85">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c r="AA919" s="2"/>
      <c r="AB919" s="2"/>
    </row>
    <row r="920" spans="1:28" ht="19.5" customHeight="1" x14ac:dyDescent="0.85">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c r="AA920" s="2"/>
      <c r="AB920" s="2"/>
    </row>
    <row r="921" spans="1:28" ht="19.5" customHeight="1" x14ac:dyDescent="0.85">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c r="AA921" s="2"/>
      <c r="AB921" s="2"/>
    </row>
    <row r="922" spans="1:28" ht="19.5" customHeight="1" x14ac:dyDescent="0.85">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c r="AA922" s="2"/>
      <c r="AB922" s="2"/>
    </row>
    <row r="923" spans="1:28" ht="19.5" customHeight="1" x14ac:dyDescent="0.85">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c r="AA923" s="2"/>
      <c r="AB923" s="2"/>
    </row>
    <row r="924" spans="1:28" ht="19.5" customHeight="1" x14ac:dyDescent="0.85">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c r="AA924" s="2"/>
      <c r="AB924" s="2"/>
    </row>
    <row r="925" spans="1:28" ht="19.5" customHeight="1" x14ac:dyDescent="0.85">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c r="AA925" s="2"/>
      <c r="AB925" s="2"/>
    </row>
    <row r="926" spans="1:28" ht="19.5" customHeight="1" x14ac:dyDescent="0.85">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c r="AA926" s="2"/>
      <c r="AB926" s="2"/>
    </row>
    <row r="927" spans="1:28" ht="19.5" customHeight="1" x14ac:dyDescent="0.85">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c r="AA927" s="2"/>
      <c r="AB927" s="2"/>
    </row>
    <row r="928" spans="1:28" ht="19.5" customHeight="1" x14ac:dyDescent="0.85">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c r="AA928" s="2"/>
      <c r="AB928" s="2"/>
    </row>
    <row r="929" spans="1:28" ht="19.5" customHeight="1" x14ac:dyDescent="0.85">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c r="AA929" s="2"/>
      <c r="AB929" s="2"/>
    </row>
    <row r="930" spans="1:28" ht="19.5" customHeight="1" x14ac:dyDescent="0.85">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c r="AA930" s="2"/>
      <c r="AB930" s="2"/>
    </row>
    <row r="931" spans="1:28" ht="19.5" customHeight="1" x14ac:dyDescent="0.85">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c r="AA931" s="2"/>
      <c r="AB931" s="2"/>
    </row>
    <row r="932" spans="1:28" ht="19.5" customHeight="1" x14ac:dyDescent="0.85">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c r="AA932" s="2"/>
      <c r="AB932" s="2"/>
    </row>
    <row r="933" spans="1:28" ht="19.5" customHeight="1" x14ac:dyDescent="0.85">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c r="AA933" s="2"/>
      <c r="AB933" s="2"/>
    </row>
    <row r="934" spans="1:28" ht="19.5" customHeight="1" x14ac:dyDescent="0.85">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c r="AA934" s="2"/>
      <c r="AB934" s="2"/>
    </row>
    <row r="935" spans="1:28" ht="19.5" customHeight="1" x14ac:dyDescent="0.85">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c r="AA935" s="2"/>
      <c r="AB935" s="2"/>
    </row>
    <row r="936" spans="1:28" ht="19.5" customHeight="1" x14ac:dyDescent="0.85">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c r="AA936" s="2"/>
      <c r="AB936" s="2"/>
    </row>
    <row r="937" spans="1:28" ht="19.5" customHeight="1" x14ac:dyDescent="0.85">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c r="AA937" s="2"/>
      <c r="AB937" s="2"/>
    </row>
    <row r="938" spans="1:28" ht="19.5" customHeight="1" x14ac:dyDescent="0.85">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c r="AA938" s="2"/>
      <c r="AB938" s="2"/>
    </row>
    <row r="939" spans="1:28" ht="19.5" customHeight="1" x14ac:dyDescent="0.85">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c r="AA939" s="2"/>
      <c r="AB939" s="2"/>
    </row>
    <row r="940" spans="1:28" ht="19.5" customHeight="1" x14ac:dyDescent="0.85">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c r="AA940" s="2"/>
      <c r="AB940" s="2"/>
    </row>
    <row r="941" spans="1:28" ht="19.5" customHeight="1" x14ac:dyDescent="0.85">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c r="AA941" s="2"/>
      <c r="AB941" s="2"/>
    </row>
    <row r="942" spans="1:28" ht="19.5" customHeight="1" x14ac:dyDescent="0.85">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c r="AA942" s="2"/>
      <c r="AB942" s="2"/>
    </row>
    <row r="943" spans="1:28" ht="19.5" customHeight="1" x14ac:dyDescent="0.85">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c r="AA943" s="2"/>
      <c r="AB943" s="2"/>
    </row>
    <row r="944" spans="1:28" ht="19.5" customHeight="1" x14ac:dyDescent="0.85">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c r="AA944" s="2"/>
      <c r="AB944" s="2"/>
    </row>
    <row r="945" spans="1:28" ht="19.5" customHeight="1" x14ac:dyDescent="0.85">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c r="AA945" s="2"/>
      <c r="AB945" s="2"/>
    </row>
    <row r="946" spans="1:28" ht="19.5" customHeight="1" x14ac:dyDescent="0.85">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c r="AA946" s="2"/>
      <c r="AB946" s="2"/>
    </row>
    <row r="947" spans="1:28" ht="19.5" customHeight="1" x14ac:dyDescent="0.85">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c r="AA947" s="2"/>
      <c r="AB947" s="2"/>
    </row>
    <row r="948" spans="1:28" ht="19.5" customHeight="1" x14ac:dyDescent="0.85">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c r="AA948" s="2"/>
      <c r="AB948" s="2"/>
    </row>
    <row r="949" spans="1:28" ht="19.5" customHeight="1" x14ac:dyDescent="0.85">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c r="AA949" s="2"/>
      <c r="AB949" s="2"/>
    </row>
    <row r="950" spans="1:28" ht="19.5" customHeight="1" x14ac:dyDescent="0.85">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c r="AA950" s="2"/>
      <c r="AB950" s="2"/>
    </row>
    <row r="951" spans="1:28" ht="19.5" customHeight="1" x14ac:dyDescent="0.85">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c r="AA951" s="2"/>
      <c r="AB951" s="2"/>
    </row>
    <row r="952" spans="1:28" ht="19.5" customHeight="1" x14ac:dyDescent="0.85">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c r="AA952" s="2"/>
      <c r="AB952" s="2"/>
    </row>
    <row r="953" spans="1:28" ht="19.5" customHeight="1" x14ac:dyDescent="0.85">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c r="AA953" s="2"/>
      <c r="AB953" s="2"/>
    </row>
    <row r="954" spans="1:28" ht="19.5" customHeight="1" x14ac:dyDescent="0.85">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c r="AA954" s="2"/>
      <c r="AB954" s="2"/>
    </row>
    <row r="955" spans="1:28" ht="19.5" customHeight="1" x14ac:dyDescent="0.85">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c r="AA955" s="2"/>
      <c r="AB955" s="2"/>
    </row>
    <row r="956" spans="1:28" ht="19.5" customHeight="1" x14ac:dyDescent="0.85">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c r="AA956" s="2"/>
      <c r="AB956" s="2"/>
    </row>
    <row r="957" spans="1:28" ht="19.5" customHeight="1" x14ac:dyDescent="0.85">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c r="AA957" s="2"/>
      <c r="AB957" s="2"/>
    </row>
    <row r="958" spans="1:28" ht="19.5" customHeight="1" x14ac:dyDescent="0.85">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c r="AA958" s="2"/>
      <c r="AB958" s="2"/>
    </row>
    <row r="959" spans="1:28" ht="19.5" customHeight="1" x14ac:dyDescent="0.85">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c r="AA959" s="2"/>
      <c r="AB959" s="2"/>
    </row>
    <row r="960" spans="1:28" ht="19.5" customHeight="1" x14ac:dyDescent="0.85">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c r="AA960" s="2"/>
      <c r="AB960" s="2"/>
    </row>
    <row r="961" spans="1:28" ht="19.5" customHeight="1" x14ac:dyDescent="0.85">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c r="AA961" s="2"/>
      <c r="AB961" s="2"/>
    </row>
    <row r="962" spans="1:28" ht="19.5" customHeight="1" x14ac:dyDescent="0.85">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c r="AA962" s="2"/>
      <c r="AB962" s="2"/>
    </row>
    <row r="963" spans="1:28" ht="19.5" customHeight="1" x14ac:dyDescent="0.85">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c r="AA963" s="2"/>
      <c r="AB963" s="2"/>
    </row>
    <row r="964" spans="1:28" ht="19.5" customHeight="1" x14ac:dyDescent="0.85">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c r="AA964" s="2"/>
      <c r="AB964" s="2"/>
    </row>
    <row r="965" spans="1:28" ht="19.5" customHeight="1" x14ac:dyDescent="0.85">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c r="AA965" s="2"/>
      <c r="AB965" s="2"/>
    </row>
    <row r="966" spans="1:28" ht="19.5" customHeight="1" x14ac:dyDescent="0.85">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c r="AA966" s="2"/>
      <c r="AB966" s="2"/>
    </row>
    <row r="967" spans="1:28" ht="19.5" customHeight="1" x14ac:dyDescent="0.85">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c r="AA967" s="2"/>
      <c r="AB967" s="2"/>
    </row>
    <row r="968" spans="1:28" ht="19.5" customHeight="1" x14ac:dyDescent="0.85">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c r="AA968" s="2"/>
      <c r="AB968" s="2"/>
    </row>
    <row r="969" spans="1:28" ht="19.5" customHeight="1" x14ac:dyDescent="0.85">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c r="AA969" s="2"/>
      <c r="AB969" s="2"/>
    </row>
    <row r="970" spans="1:28" ht="19.5" customHeight="1" x14ac:dyDescent="0.85">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c r="AA970" s="2"/>
      <c r="AB970" s="2"/>
    </row>
    <row r="971" spans="1:28" ht="19.5" customHeight="1" x14ac:dyDescent="0.85">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c r="AA971" s="2"/>
      <c r="AB971" s="2"/>
    </row>
    <row r="972" spans="1:28" ht="19.5" customHeight="1" x14ac:dyDescent="0.85">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c r="AA972" s="2"/>
      <c r="AB972" s="2"/>
    </row>
    <row r="973" spans="1:28" ht="19.5" customHeight="1" x14ac:dyDescent="0.85">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c r="AA973" s="2"/>
      <c r="AB973" s="2"/>
    </row>
    <row r="974" spans="1:28" ht="19.5" customHeight="1" x14ac:dyDescent="0.85">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c r="AA974" s="2"/>
      <c r="AB974" s="2"/>
    </row>
    <row r="975" spans="1:28" ht="19.5" customHeight="1" x14ac:dyDescent="0.85">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c r="AA975" s="2"/>
      <c r="AB975" s="2"/>
    </row>
    <row r="976" spans="1:28" ht="19.5" customHeight="1" x14ac:dyDescent="0.85">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c r="AA976" s="2"/>
      <c r="AB976" s="2"/>
    </row>
    <row r="977" spans="1:28" ht="19.5" customHeight="1" x14ac:dyDescent="0.85">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c r="AA977" s="2"/>
      <c r="AB977" s="2"/>
    </row>
    <row r="978" spans="1:28" ht="19.5" customHeight="1" x14ac:dyDescent="0.85">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c r="AA978" s="2"/>
      <c r="AB978" s="2"/>
    </row>
    <row r="979" spans="1:28" ht="19.5" customHeight="1" x14ac:dyDescent="0.85">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c r="AA979" s="2"/>
      <c r="AB979" s="2"/>
    </row>
    <row r="980" spans="1:28" ht="19.5" customHeight="1" x14ac:dyDescent="0.85">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c r="AA980" s="2"/>
      <c r="AB980" s="2"/>
    </row>
    <row r="981" spans="1:28" ht="19.5" customHeight="1" x14ac:dyDescent="0.85">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c r="AA981" s="2"/>
      <c r="AB981" s="2"/>
    </row>
    <row r="982" spans="1:28" ht="19.5" customHeight="1" x14ac:dyDescent="0.85">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c r="AA982" s="2"/>
      <c r="AB982" s="2"/>
    </row>
    <row r="983" spans="1:28" ht="19.5" customHeight="1" x14ac:dyDescent="0.85">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c r="AA983" s="2"/>
      <c r="AB983" s="2"/>
    </row>
    <row r="984" spans="1:28" ht="19.5" customHeight="1" x14ac:dyDescent="0.85">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c r="AA984" s="2"/>
      <c r="AB984" s="2"/>
    </row>
    <row r="985" spans="1:28" ht="19.5" customHeight="1" x14ac:dyDescent="0.85">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c r="AA985" s="2"/>
      <c r="AB985" s="2"/>
    </row>
    <row r="986" spans="1:28" ht="19.5" customHeight="1" x14ac:dyDescent="0.85">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c r="AA986" s="2"/>
      <c r="AB986" s="2"/>
    </row>
    <row r="987" spans="1:28" ht="19.5" customHeight="1" x14ac:dyDescent="0.85">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c r="AA987" s="2"/>
      <c r="AB987" s="2"/>
    </row>
    <row r="988" spans="1:28" ht="19.5" customHeight="1" x14ac:dyDescent="0.85">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c r="AA988" s="2"/>
      <c r="AB988" s="2"/>
    </row>
    <row r="989" spans="1:28" ht="19.5" customHeight="1" x14ac:dyDescent="0.85">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c r="AA989" s="2"/>
      <c r="AB989" s="2"/>
    </row>
    <row r="990" spans="1:28" ht="19.5" customHeight="1" x14ac:dyDescent="0.85">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c r="AA990" s="2"/>
      <c r="AB990" s="2"/>
    </row>
    <row r="991" spans="1:28" ht="19.5" customHeight="1" x14ac:dyDescent="0.85">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c r="AA991" s="2"/>
      <c r="AB991" s="2"/>
    </row>
    <row r="992" spans="1:28" ht="19.5" customHeight="1" x14ac:dyDescent="0.85">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c r="AA992" s="2"/>
      <c r="AB992" s="2"/>
    </row>
    <row r="993" spans="1:28" ht="19.5" customHeight="1" x14ac:dyDescent="0.85">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c r="AA993" s="2"/>
      <c r="AB993" s="2"/>
    </row>
    <row r="994" spans="1:28" ht="19.5" customHeight="1" x14ac:dyDescent="0.85">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c r="AA994" s="2"/>
      <c r="AB994" s="2"/>
    </row>
    <row r="995" spans="1:28" ht="19.5" customHeight="1" x14ac:dyDescent="0.85">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c r="AA995" s="2"/>
      <c r="AB995" s="2"/>
    </row>
    <row r="996" spans="1:28" ht="19.5" customHeight="1" x14ac:dyDescent="0.85">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c r="AA996" s="2"/>
      <c r="AB996" s="2"/>
    </row>
    <row r="997" spans="1:28" ht="19.5" customHeight="1" x14ac:dyDescent="0.85">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c r="AA997" s="2"/>
      <c r="AB997" s="2"/>
    </row>
    <row r="998" spans="1:28" ht="19.5" customHeight="1" x14ac:dyDescent="0.85">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c r="AA998" s="2"/>
      <c r="AB998" s="2"/>
    </row>
    <row r="999" spans="1:28" ht="19.5" customHeight="1" x14ac:dyDescent="0.85">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c r="AA999" s="2"/>
      <c r="AB999" s="2"/>
    </row>
    <row r="1000" spans="1:28" ht="19.5" customHeight="1" x14ac:dyDescent="0.85">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c r="AA1000" s="2"/>
      <c r="AB1000" s="2"/>
    </row>
    <row r="1001" spans="1:28" ht="19.5" customHeight="1" x14ac:dyDescent="0.85">
      <c r="A1001" s="2"/>
      <c r="B1001" s="2"/>
      <c r="C1001" s="2"/>
      <c r="D1001" s="2"/>
      <c r="E1001" s="2"/>
      <c r="F1001" s="2"/>
      <c r="G1001" s="2"/>
      <c r="H1001" s="2"/>
      <c r="I1001" s="2"/>
      <c r="J1001" s="2"/>
      <c r="K1001" s="2"/>
      <c r="L1001" s="2"/>
      <c r="M1001" s="2"/>
      <c r="N1001" s="2"/>
      <c r="O1001" s="2"/>
      <c r="P1001" s="2"/>
      <c r="Q1001" s="2"/>
      <c r="R1001" s="2"/>
      <c r="S1001" s="2"/>
      <c r="T1001" s="2"/>
      <c r="U1001" s="2"/>
      <c r="V1001" s="2"/>
      <c r="W1001" s="2"/>
      <c r="X1001" s="2"/>
      <c r="Y1001" s="2"/>
      <c r="Z1001" s="2"/>
      <c r="AA1001" s="2"/>
      <c r="AB1001" s="2"/>
    </row>
    <row r="1002" spans="1:28" ht="19.5" customHeight="1" x14ac:dyDescent="0.85">
      <c r="A1002" s="2"/>
      <c r="B1002" s="2"/>
      <c r="C1002" s="2"/>
      <c r="D1002" s="2"/>
      <c r="E1002" s="2"/>
      <c r="F1002" s="2"/>
      <c r="G1002" s="2"/>
      <c r="H1002" s="2"/>
      <c r="I1002" s="2"/>
      <c r="J1002" s="2"/>
      <c r="K1002" s="2"/>
      <c r="L1002" s="2"/>
      <c r="M1002" s="2"/>
      <c r="N1002" s="2"/>
      <c r="O1002" s="2"/>
      <c r="P1002" s="2"/>
      <c r="Q1002" s="2"/>
      <c r="R1002" s="2"/>
      <c r="S1002" s="2"/>
      <c r="T1002" s="2"/>
      <c r="U1002" s="2"/>
      <c r="V1002" s="2"/>
      <c r="W1002" s="2"/>
      <c r="X1002" s="2"/>
      <c r="Y1002" s="2"/>
      <c r="Z1002" s="2"/>
      <c r="AA1002" s="2"/>
      <c r="AB1002" s="2"/>
    </row>
    <row r="1003" spans="1:28" ht="19.5" customHeight="1" x14ac:dyDescent="0.85">
      <c r="A1003" s="2"/>
      <c r="B1003" s="2"/>
      <c r="C1003" s="2"/>
      <c r="D1003" s="2"/>
      <c r="E1003" s="2"/>
      <c r="F1003" s="2"/>
      <c r="G1003" s="2"/>
      <c r="H1003" s="2"/>
      <c r="I1003" s="2"/>
      <c r="J1003" s="2"/>
      <c r="K1003" s="2"/>
      <c r="L1003" s="2"/>
      <c r="M1003" s="2"/>
      <c r="N1003" s="2"/>
      <c r="O1003" s="2"/>
      <c r="P1003" s="2"/>
      <c r="Q1003" s="2"/>
      <c r="R1003" s="2"/>
      <c r="S1003" s="2"/>
      <c r="T1003" s="2"/>
      <c r="U1003" s="2"/>
      <c r="V1003" s="2"/>
      <c r="W1003" s="2"/>
      <c r="X1003" s="2"/>
      <c r="Y1003" s="2"/>
      <c r="Z1003" s="2"/>
      <c r="AA1003" s="2"/>
      <c r="AB1003" s="2"/>
    </row>
    <row r="1004" spans="1:28" ht="19.5" customHeight="1" x14ac:dyDescent="0.85">
      <c r="A1004" s="2"/>
      <c r="B1004" s="2"/>
      <c r="C1004" s="2"/>
      <c r="D1004" s="2"/>
      <c r="E1004" s="2"/>
      <c r="F1004" s="2"/>
      <c r="G1004" s="2"/>
      <c r="H1004" s="2"/>
      <c r="I1004" s="2"/>
      <c r="J1004" s="2"/>
      <c r="K1004" s="2"/>
      <c r="L1004" s="2"/>
      <c r="M1004" s="2"/>
      <c r="N1004" s="2"/>
      <c r="O1004" s="2"/>
      <c r="P1004" s="2"/>
      <c r="Q1004" s="2"/>
      <c r="R1004" s="2"/>
      <c r="S1004" s="2"/>
      <c r="T1004" s="2"/>
      <c r="U1004" s="2"/>
      <c r="V1004" s="2"/>
      <c r="W1004" s="2"/>
      <c r="X1004" s="2"/>
      <c r="Y1004" s="2"/>
      <c r="Z1004" s="2"/>
      <c r="AA1004" s="2"/>
      <c r="AB1004" s="2"/>
    </row>
    <row r="1005" spans="1:28" ht="19.5" customHeight="1" x14ac:dyDescent="0.85">
      <c r="A1005" s="2"/>
      <c r="B1005" s="2"/>
      <c r="C1005" s="2"/>
      <c r="D1005" s="2"/>
      <c r="E1005" s="2"/>
      <c r="F1005" s="2"/>
      <c r="G1005" s="2"/>
      <c r="H1005" s="2"/>
      <c r="I1005" s="2"/>
      <c r="J1005" s="2"/>
      <c r="K1005" s="2"/>
      <c r="L1005" s="2"/>
      <c r="M1005" s="2"/>
      <c r="N1005" s="2"/>
      <c r="O1005" s="2"/>
      <c r="P1005" s="2"/>
      <c r="Q1005" s="2"/>
      <c r="R1005" s="2"/>
      <c r="S1005" s="2"/>
      <c r="T1005" s="2"/>
      <c r="U1005" s="2"/>
      <c r="V1005" s="2"/>
      <c r="W1005" s="2"/>
      <c r="X1005" s="2"/>
      <c r="Y1005" s="2"/>
      <c r="Z1005" s="2"/>
      <c r="AA1005" s="2"/>
      <c r="AB1005" s="2"/>
    </row>
    <row r="1006" spans="1:28" ht="19.5" customHeight="1" x14ac:dyDescent="0.85">
      <c r="A1006" s="2"/>
      <c r="B1006" s="2"/>
      <c r="C1006" s="2"/>
      <c r="D1006" s="2"/>
      <c r="E1006" s="2"/>
      <c r="F1006" s="2"/>
      <c r="G1006" s="2"/>
      <c r="H1006" s="2"/>
      <c r="I1006" s="2"/>
      <c r="J1006" s="2"/>
      <c r="K1006" s="2"/>
      <c r="L1006" s="2"/>
      <c r="M1006" s="2"/>
      <c r="N1006" s="2"/>
      <c r="O1006" s="2"/>
      <c r="P1006" s="2"/>
      <c r="Q1006" s="2"/>
      <c r="R1006" s="2"/>
      <c r="S1006" s="2"/>
      <c r="T1006" s="2"/>
      <c r="U1006" s="2"/>
      <c r="V1006" s="2"/>
      <c r="W1006" s="2"/>
      <c r="X1006" s="2"/>
      <c r="Y1006" s="2"/>
      <c r="Z1006" s="2"/>
      <c r="AA1006" s="2"/>
      <c r="AB1006" s="2"/>
    </row>
    <row r="1007" spans="1:28" ht="19.5" customHeight="1" x14ac:dyDescent="0.85">
      <c r="A1007" s="2"/>
      <c r="B1007" s="2"/>
      <c r="C1007" s="2"/>
      <c r="D1007" s="2"/>
      <c r="E1007" s="2"/>
      <c r="F1007" s="2"/>
      <c r="G1007" s="2"/>
      <c r="H1007" s="2"/>
      <c r="I1007" s="2"/>
      <c r="J1007" s="2"/>
      <c r="K1007" s="2"/>
      <c r="L1007" s="2"/>
      <c r="M1007" s="2"/>
      <c r="N1007" s="2"/>
      <c r="O1007" s="2"/>
      <c r="P1007" s="2"/>
      <c r="Q1007" s="2"/>
      <c r="R1007" s="2"/>
      <c r="S1007" s="2"/>
      <c r="T1007" s="2"/>
      <c r="U1007" s="2"/>
      <c r="V1007" s="2"/>
      <c r="W1007" s="2"/>
      <c r="X1007" s="2"/>
      <c r="Y1007" s="2"/>
      <c r="Z1007" s="2"/>
      <c r="AA1007" s="2"/>
      <c r="AB1007" s="2"/>
    </row>
    <row r="1008" spans="1:28" ht="19.5" customHeight="1" x14ac:dyDescent="0.85">
      <c r="A1008" s="2"/>
      <c r="B1008" s="2"/>
      <c r="C1008" s="2"/>
      <c r="D1008" s="2"/>
      <c r="E1008" s="2"/>
      <c r="F1008" s="2"/>
      <c r="G1008" s="2"/>
      <c r="H1008" s="2"/>
      <c r="I1008" s="2"/>
      <c r="J1008" s="2"/>
      <c r="K1008" s="2"/>
      <c r="L1008" s="2"/>
      <c r="M1008" s="2"/>
      <c r="N1008" s="2"/>
      <c r="O1008" s="2"/>
      <c r="P1008" s="2"/>
      <c r="Q1008" s="2"/>
      <c r="R1008" s="2"/>
      <c r="S1008" s="2"/>
      <c r="T1008" s="2"/>
      <c r="U1008" s="2"/>
      <c r="V1008" s="2"/>
      <c r="W1008" s="2"/>
      <c r="X1008" s="2"/>
      <c r="Y1008" s="2"/>
      <c r="Z1008" s="2"/>
      <c r="AA1008" s="2"/>
      <c r="AB1008" s="2"/>
    </row>
    <row r="1009" spans="1:28" ht="19.5" customHeight="1" x14ac:dyDescent="0.85">
      <c r="A1009" s="2"/>
      <c r="B1009" s="2"/>
      <c r="C1009" s="2"/>
      <c r="D1009" s="2"/>
      <c r="E1009" s="2"/>
      <c r="F1009" s="2"/>
      <c r="G1009" s="2"/>
      <c r="H1009" s="2"/>
      <c r="I1009" s="2"/>
      <c r="J1009" s="2"/>
      <c r="K1009" s="2"/>
      <c r="L1009" s="2"/>
      <c r="M1009" s="2"/>
      <c r="N1009" s="2"/>
      <c r="O1009" s="2"/>
      <c r="P1009" s="2"/>
      <c r="Q1009" s="2"/>
      <c r="R1009" s="2"/>
      <c r="S1009" s="2"/>
      <c r="T1009" s="2"/>
      <c r="U1009" s="2"/>
      <c r="V1009" s="2"/>
      <c r="W1009" s="2"/>
      <c r="X1009" s="2"/>
      <c r="Y1009" s="2"/>
      <c r="Z1009" s="2"/>
      <c r="AA1009" s="2"/>
      <c r="AB1009" s="2"/>
    </row>
  </sheetData>
  <mergeCells count="30">
    <mergeCell ref="A12:H12"/>
    <mergeCell ref="I12:O12"/>
    <mergeCell ref="P12:W12"/>
    <mergeCell ref="X12:AB12"/>
    <mergeCell ref="A13:H13"/>
    <mergeCell ref="A14:H14"/>
    <mergeCell ref="A15:H15"/>
    <mergeCell ref="E24:K24"/>
    <mergeCell ref="E25:K34"/>
    <mergeCell ref="D45:L45"/>
    <mergeCell ref="A16:H16"/>
    <mergeCell ref="A17:H17"/>
    <mergeCell ref="A18:H18"/>
    <mergeCell ref="A19:H19"/>
    <mergeCell ref="A20:H20"/>
    <mergeCell ref="A23:K23"/>
    <mergeCell ref="D25:D34"/>
    <mergeCell ref="A35:K35"/>
    <mergeCell ref="E36:K36"/>
    <mergeCell ref="D37:D43"/>
    <mergeCell ref="E37:K43"/>
    <mergeCell ref="A21:H21"/>
    <mergeCell ref="D46:L47"/>
    <mergeCell ref="D48:L49"/>
    <mergeCell ref="F52:K64"/>
    <mergeCell ref="A65:K65"/>
    <mergeCell ref="A46:A47"/>
    <mergeCell ref="A48:A49"/>
    <mergeCell ref="A50:K50"/>
    <mergeCell ref="F51:K51"/>
  </mergeCells>
  <pageMargins left="0.7" right="0.7" top="0.75" bottom="0.75" header="0" footer="0"/>
  <pageSetup orientation="portrait"/>
  <legacy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00A5CC"/>
  </sheetPr>
  <dimension ref="A1:AE1000"/>
  <sheetViews>
    <sheetView workbookViewId="0"/>
  </sheetViews>
  <sheetFormatPr defaultColWidth="11.23046875" defaultRowHeight="15" customHeight="1" outlineLevelRow="1" x14ac:dyDescent="0.85"/>
  <cols>
    <col min="1" max="1" width="53.3046875" customWidth="1"/>
    <col min="2" max="11" width="26.765625" customWidth="1"/>
    <col min="12" max="16" width="20.3046875" customWidth="1"/>
    <col min="17" max="31" width="8.61328125" customWidth="1"/>
  </cols>
  <sheetData>
    <row r="1" spans="1:31" ht="16.5" customHeight="1" x14ac:dyDescent="0.85">
      <c r="A1" s="786" t="s">
        <v>77</v>
      </c>
      <c r="B1" s="765"/>
      <c r="C1" s="765"/>
      <c r="D1" s="765"/>
      <c r="E1" s="765"/>
      <c r="F1" s="765"/>
      <c r="G1" s="765"/>
      <c r="H1" s="765"/>
      <c r="I1" s="765"/>
      <c r="J1" s="765"/>
      <c r="K1" s="762"/>
      <c r="L1" s="574"/>
      <c r="M1" s="574"/>
      <c r="N1" s="574"/>
      <c r="O1" s="574"/>
      <c r="P1" s="574"/>
      <c r="Q1" s="574"/>
      <c r="R1" s="574"/>
      <c r="S1" s="574"/>
      <c r="T1" s="574"/>
      <c r="U1" s="574"/>
      <c r="V1" s="574"/>
      <c r="W1" s="574"/>
      <c r="X1" s="574"/>
      <c r="Y1" s="574"/>
      <c r="Z1" s="574"/>
      <c r="AA1" s="574"/>
      <c r="AB1" s="574"/>
      <c r="AC1" s="574"/>
      <c r="AD1" s="574"/>
      <c r="AE1" s="574"/>
    </row>
    <row r="2" spans="1:31" ht="16.5" customHeight="1" x14ac:dyDescent="0.85">
      <c r="A2" s="838" t="s">
        <v>393</v>
      </c>
      <c r="B2" s="765"/>
      <c r="C2" s="765"/>
      <c r="D2" s="765"/>
      <c r="E2" s="765"/>
      <c r="F2" s="765"/>
      <c r="G2" s="765"/>
      <c r="H2" s="765"/>
      <c r="I2" s="765"/>
      <c r="J2" s="765"/>
      <c r="K2" s="762"/>
      <c r="L2" s="574"/>
      <c r="M2" s="574"/>
      <c r="N2" s="574"/>
      <c r="O2" s="574"/>
      <c r="P2" s="574"/>
      <c r="Q2" s="574"/>
      <c r="R2" s="574"/>
      <c r="S2" s="574"/>
      <c r="T2" s="574"/>
      <c r="U2" s="574"/>
      <c r="V2" s="574"/>
      <c r="W2" s="574"/>
      <c r="X2" s="574"/>
      <c r="Y2" s="574"/>
      <c r="Z2" s="574"/>
      <c r="AA2" s="574"/>
      <c r="AB2" s="574"/>
      <c r="AC2" s="574"/>
      <c r="AD2" s="574"/>
      <c r="AE2" s="574"/>
    </row>
    <row r="3" spans="1:31" ht="16.5" hidden="1" customHeight="1" outlineLevel="1" x14ac:dyDescent="0.85">
      <c r="A3" s="72" t="s">
        <v>582</v>
      </c>
      <c r="B3" s="72" t="s">
        <v>1299</v>
      </c>
      <c r="C3" s="72" t="s">
        <v>1300</v>
      </c>
      <c r="D3" s="72" t="s">
        <v>1121</v>
      </c>
      <c r="E3" s="72" t="s">
        <v>1301</v>
      </c>
      <c r="F3" s="72" t="s">
        <v>120</v>
      </c>
      <c r="G3" s="72" t="s">
        <v>121</v>
      </c>
      <c r="H3" s="72" t="s">
        <v>122</v>
      </c>
      <c r="I3" s="575"/>
      <c r="J3" s="72" t="s">
        <v>1302</v>
      </c>
      <c r="K3" s="72" t="s">
        <v>827</v>
      </c>
      <c r="L3" s="574"/>
      <c r="M3" s="574"/>
      <c r="N3" s="574"/>
      <c r="O3" s="574"/>
      <c r="P3" s="574"/>
      <c r="Q3" s="574"/>
      <c r="R3" s="574"/>
      <c r="S3" s="574"/>
      <c r="T3" s="574"/>
      <c r="U3" s="574"/>
      <c r="V3" s="574"/>
      <c r="W3" s="574"/>
      <c r="X3" s="574"/>
      <c r="Y3" s="574"/>
      <c r="Z3" s="574"/>
      <c r="AA3" s="574"/>
      <c r="AB3" s="574"/>
      <c r="AC3" s="574"/>
      <c r="AD3" s="574"/>
      <c r="AE3" s="574"/>
    </row>
    <row r="4" spans="1:31" ht="16.5" hidden="1" customHeight="1" outlineLevel="1" x14ac:dyDescent="0.85">
      <c r="A4" s="86" t="s">
        <v>105</v>
      </c>
      <c r="B4" s="576">
        <f>B61</f>
        <v>1692.1514559397194</v>
      </c>
      <c r="C4" s="576">
        <f>B76</f>
        <v>0</v>
      </c>
      <c r="D4" s="103">
        <f t="shared" ref="D4:D8" si="0">SUM(B4:C4)</f>
        <v>1692.1514559397194</v>
      </c>
      <c r="E4" s="577" t="s">
        <v>106</v>
      </c>
      <c r="F4" s="259">
        <f t="shared" ref="F4:F8" si="1">C4+B4</f>
        <v>1692.1514559397194</v>
      </c>
      <c r="G4" s="268" t="s">
        <v>106</v>
      </c>
      <c r="H4" s="578">
        <f>B4</f>
        <v>1692.1514559397194</v>
      </c>
      <c r="I4" s="579"/>
      <c r="J4" s="557" t="s">
        <v>1303</v>
      </c>
      <c r="K4" s="259">
        <f>C10</f>
        <v>18224.87849028</v>
      </c>
      <c r="L4" s="574"/>
      <c r="M4" s="574"/>
      <c r="N4" s="574"/>
      <c r="O4" s="574"/>
      <c r="P4" s="574"/>
      <c r="Q4" s="574"/>
      <c r="R4" s="574"/>
      <c r="S4" s="574"/>
      <c r="T4" s="574"/>
      <c r="U4" s="574"/>
      <c r="V4" s="574"/>
      <c r="W4" s="574"/>
      <c r="X4" s="574"/>
      <c r="Y4" s="574"/>
      <c r="Z4" s="574"/>
      <c r="AA4" s="574"/>
      <c r="AB4" s="574"/>
      <c r="AC4" s="574"/>
      <c r="AD4" s="574"/>
      <c r="AE4" s="574"/>
    </row>
    <row r="5" spans="1:31" ht="16.5" hidden="1" customHeight="1" outlineLevel="1" x14ac:dyDescent="0.85">
      <c r="A5" s="86" t="s">
        <v>126</v>
      </c>
      <c r="B5" s="103">
        <f>C61</f>
        <v>2290.8458014876096</v>
      </c>
      <c r="C5" s="103">
        <f>C76</f>
        <v>1551.7566187199998</v>
      </c>
      <c r="D5" s="103">
        <f t="shared" si="0"/>
        <v>3842.6024202076096</v>
      </c>
      <c r="E5" s="258">
        <f t="shared" ref="E5:E8" si="2">D5/$D$10</f>
        <v>0.18477424735281894</v>
      </c>
      <c r="F5" s="259">
        <f t="shared" si="1"/>
        <v>3842.6024202076096</v>
      </c>
      <c r="G5" s="268" t="s">
        <v>106</v>
      </c>
      <c r="H5" s="268" t="s">
        <v>106</v>
      </c>
      <c r="I5" s="579"/>
      <c r="J5" s="557" t="s">
        <v>156</v>
      </c>
      <c r="K5" s="259">
        <f>B10</f>
        <v>2571.3226863391401</v>
      </c>
      <c r="L5" s="574"/>
      <c r="M5" s="574"/>
      <c r="N5" s="574"/>
      <c r="O5" s="574"/>
      <c r="P5" s="574"/>
      <c r="Q5" s="574"/>
      <c r="R5" s="574"/>
      <c r="S5" s="574"/>
      <c r="T5" s="574"/>
      <c r="U5" s="574"/>
      <c r="V5" s="574"/>
      <c r="W5" s="574"/>
      <c r="X5" s="574"/>
      <c r="Y5" s="574"/>
      <c r="Z5" s="574"/>
      <c r="AA5" s="574"/>
      <c r="AB5" s="574"/>
      <c r="AC5" s="574"/>
      <c r="AD5" s="574"/>
      <c r="AE5" s="574"/>
    </row>
    <row r="6" spans="1:31" ht="16.5" hidden="1" customHeight="1" outlineLevel="1" x14ac:dyDescent="0.85">
      <c r="A6" s="86" t="s">
        <v>127</v>
      </c>
      <c r="B6" s="103">
        <f>D61</f>
        <v>280.47688485153066</v>
      </c>
      <c r="C6" s="103">
        <f>D76</f>
        <v>5339.5396084799986</v>
      </c>
      <c r="D6" s="103">
        <f t="shared" si="0"/>
        <v>5620.0164933315291</v>
      </c>
      <c r="E6" s="258">
        <f t="shared" si="2"/>
        <v>0.27024245657182955</v>
      </c>
      <c r="F6" s="259">
        <f t="shared" si="1"/>
        <v>5620.0164933315291</v>
      </c>
      <c r="G6" s="268" t="s">
        <v>106</v>
      </c>
      <c r="H6" s="268" t="s">
        <v>106</v>
      </c>
      <c r="I6" s="579"/>
      <c r="J6" s="580" t="s">
        <v>119</v>
      </c>
      <c r="K6" s="581">
        <f>SUM(K4:K5)</f>
        <v>20796.201176619139</v>
      </c>
      <c r="L6" s="574"/>
      <c r="M6" s="574"/>
      <c r="N6" s="574"/>
      <c r="O6" s="574"/>
      <c r="P6" s="574"/>
      <c r="Q6" s="574"/>
      <c r="R6" s="574"/>
      <c r="S6" s="574"/>
      <c r="T6" s="574"/>
      <c r="U6" s="574"/>
      <c r="V6" s="574"/>
      <c r="W6" s="574"/>
      <c r="X6" s="574"/>
      <c r="Y6" s="574"/>
      <c r="Z6" s="574"/>
      <c r="AA6" s="574"/>
      <c r="AB6" s="574"/>
      <c r="AC6" s="574"/>
      <c r="AD6" s="574"/>
      <c r="AE6" s="574"/>
    </row>
    <row r="7" spans="1:31" ht="16.5" hidden="1" customHeight="1" outlineLevel="1" x14ac:dyDescent="0.85">
      <c r="A7" s="86" t="s">
        <v>128</v>
      </c>
      <c r="B7" s="103">
        <f>E61</f>
        <v>0</v>
      </c>
      <c r="C7" s="103">
        <f>E76</f>
        <v>1847.1152422799998</v>
      </c>
      <c r="D7" s="103">
        <f t="shared" si="0"/>
        <v>1847.1152422799998</v>
      </c>
      <c r="E7" s="258">
        <f t="shared" si="2"/>
        <v>8.8819839094299774E-2</v>
      </c>
      <c r="F7" s="259">
        <f t="shared" si="1"/>
        <v>1847.1152422799998</v>
      </c>
      <c r="G7" s="268" t="s">
        <v>106</v>
      </c>
      <c r="H7" s="268" t="s">
        <v>106</v>
      </c>
      <c r="I7" s="579"/>
      <c r="J7" s="574"/>
      <c r="K7" s="574"/>
      <c r="L7" s="574"/>
      <c r="M7" s="574"/>
      <c r="N7" s="574"/>
      <c r="O7" s="574"/>
      <c r="P7" s="574"/>
      <c r="Q7" s="574"/>
      <c r="R7" s="574"/>
      <c r="S7" s="574"/>
      <c r="T7" s="574"/>
      <c r="U7" s="574"/>
      <c r="V7" s="574"/>
      <c r="W7" s="574"/>
      <c r="X7" s="574"/>
      <c r="Y7" s="574"/>
      <c r="Z7" s="574"/>
      <c r="AA7" s="574"/>
      <c r="AB7" s="574"/>
      <c r="AC7" s="574"/>
      <c r="AD7" s="574"/>
      <c r="AE7" s="574"/>
    </row>
    <row r="8" spans="1:31" ht="16.5" hidden="1" customHeight="1" outlineLevel="1" x14ac:dyDescent="0.85">
      <c r="A8" s="86" t="s">
        <v>129</v>
      </c>
      <c r="B8" s="103">
        <f>F61</f>
        <v>0</v>
      </c>
      <c r="C8" s="103">
        <f>F76</f>
        <v>9486.4670208000007</v>
      </c>
      <c r="D8" s="103">
        <f t="shared" si="0"/>
        <v>9486.4670208000007</v>
      </c>
      <c r="E8" s="258">
        <f t="shared" si="2"/>
        <v>0.4561634569810516</v>
      </c>
      <c r="F8" s="259">
        <f t="shared" si="1"/>
        <v>9486.4670208000007</v>
      </c>
      <c r="G8" s="268" t="s">
        <v>106</v>
      </c>
      <c r="H8" s="268" t="s">
        <v>106</v>
      </c>
      <c r="I8" s="579"/>
      <c r="J8" s="574"/>
      <c r="K8" s="574"/>
      <c r="L8" s="574"/>
      <c r="M8" s="574"/>
      <c r="N8" s="574"/>
      <c r="O8" s="574"/>
      <c r="P8" s="574"/>
      <c r="Q8" s="574"/>
      <c r="R8" s="574"/>
      <c r="S8" s="574"/>
      <c r="T8" s="574"/>
      <c r="U8" s="574"/>
      <c r="V8" s="574"/>
      <c r="W8" s="574"/>
      <c r="X8" s="574"/>
      <c r="Y8" s="574"/>
      <c r="Z8" s="574"/>
      <c r="AA8" s="574"/>
      <c r="AB8" s="574"/>
      <c r="AC8" s="574"/>
      <c r="AD8" s="574"/>
      <c r="AE8" s="574"/>
    </row>
    <row r="9" spans="1:31" ht="16.5" hidden="1" customHeight="1" outlineLevel="1" x14ac:dyDescent="0.85">
      <c r="A9" s="549" t="s">
        <v>590</v>
      </c>
      <c r="B9" s="336">
        <f t="shared" ref="B9:H9" si="3">B4</f>
        <v>1692.1514559397194</v>
      </c>
      <c r="C9" s="336">
        <f t="shared" si="3"/>
        <v>0</v>
      </c>
      <c r="D9" s="336">
        <f t="shared" si="3"/>
        <v>1692.1514559397194</v>
      </c>
      <c r="E9" s="336" t="str">
        <f t="shared" si="3"/>
        <v>N/A</v>
      </c>
      <c r="F9" s="336">
        <f t="shared" si="3"/>
        <v>1692.1514559397194</v>
      </c>
      <c r="G9" s="336" t="str">
        <f t="shared" si="3"/>
        <v>N/A</v>
      </c>
      <c r="H9" s="336">
        <f t="shared" si="3"/>
        <v>1692.1514559397194</v>
      </c>
      <c r="I9" s="579"/>
      <c r="J9" s="574"/>
      <c r="K9" s="574"/>
      <c r="L9" s="574"/>
      <c r="M9" s="574"/>
      <c r="N9" s="574"/>
      <c r="O9" s="574"/>
      <c r="P9" s="574"/>
      <c r="Q9" s="574"/>
      <c r="R9" s="574"/>
      <c r="S9" s="574"/>
      <c r="T9" s="574"/>
      <c r="U9" s="574"/>
      <c r="V9" s="574"/>
      <c r="W9" s="574"/>
      <c r="X9" s="574"/>
      <c r="Y9" s="574"/>
      <c r="Z9" s="574"/>
      <c r="AA9" s="574"/>
      <c r="AB9" s="574"/>
      <c r="AC9" s="574"/>
      <c r="AD9" s="574"/>
      <c r="AE9" s="574"/>
    </row>
    <row r="10" spans="1:31" ht="16.5" hidden="1" customHeight="1" outlineLevel="1" x14ac:dyDescent="0.85">
      <c r="A10" s="549" t="s">
        <v>111</v>
      </c>
      <c r="B10" s="336">
        <f t="shared" ref="B10:H10" si="4">SUM(B5:B8)</f>
        <v>2571.3226863391401</v>
      </c>
      <c r="C10" s="336">
        <f t="shared" si="4"/>
        <v>18224.87849028</v>
      </c>
      <c r="D10" s="336">
        <f t="shared" si="4"/>
        <v>20796.201176619143</v>
      </c>
      <c r="E10" s="367">
        <f t="shared" si="4"/>
        <v>0.99999999999999978</v>
      </c>
      <c r="F10" s="336">
        <f t="shared" si="4"/>
        <v>20796.201176619143</v>
      </c>
      <c r="G10" s="336">
        <f t="shared" si="4"/>
        <v>0</v>
      </c>
      <c r="H10" s="336">
        <f t="shared" si="4"/>
        <v>0</v>
      </c>
      <c r="I10" s="575"/>
      <c r="J10" s="575"/>
      <c r="K10" s="575"/>
      <c r="L10" s="574"/>
      <c r="M10" s="574"/>
      <c r="N10" s="574"/>
      <c r="O10" s="574"/>
      <c r="P10" s="574"/>
      <c r="Q10" s="574"/>
      <c r="R10" s="574"/>
      <c r="S10" s="574"/>
      <c r="T10" s="574"/>
      <c r="U10" s="574"/>
      <c r="V10" s="574"/>
      <c r="W10" s="574"/>
      <c r="X10" s="574"/>
      <c r="Y10" s="574"/>
      <c r="Z10" s="574"/>
      <c r="AA10" s="574"/>
      <c r="AB10" s="574"/>
      <c r="AC10" s="574"/>
      <c r="AD10" s="574"/>
      <c r="AE10" s="574"/>
    </row>
    <row r="11" spans="1:31" ht="16.5" customHeight="1" collapsed="1" x14ac:dyDescent="0.85">
      <c r="A11" s="838" t="s">
        <v>591</v>
      </c>
      <c r="B11" s="765"/>
      <c r="C11" s="765"/>
      <c r="D11" s="765"/>
      <c r="E11" s="765"/>
      <c r="F11" s="765"/>
      <c r="G11" s="765"/>
      <c r="H11" s="765"/>
      <c r="I11" s="765"/>
      <c r="J11" s="765"/>
      <c r="K11" s="762"/>
      <c r="L11" s="575"/>
      <c r="M11" s="574"/>
      <c r="N11" s="574"/>
      <c r="O11" s="574"/>
      <c r="P11" s="574"/>
      <c r="Q11" s="574"/>
      <c r="R11" s="574"/>
      <c r="S11" s="574"/>
      <c r="T11" s="574"/>
      <c r="U11" s="574"/>
      <c r="V11" s="574"/>
      <c r="W11" s="574"/>
      <c r="X11" s="574"/>
      <c r="Y11" s="574"/>
      <c r="Z11" s="574"/>
      <c r="AA11" s="574"/>
      <c r="AB11" s="574"/>
      <c r="AC11" s="574"/>
      <c r="AD11" s="574"/>
      <c r="AE11" s="574"/>
    </row>
    <row r="12" spans="1:31" ht="16.5" hidden="1" customHeight="1" outlineLevel="1" x14ac:dyDescent="0.85">
      <c r="A12" s="939" t="s">
        <v>1304</v>
      </c>
      <c r="B12" s="790"/>
      <c r="C12" s="790"/>
      <c r="D12" s="790"/>
      <c r="E12" s="790"/>
      <c r="F12" s="790"/>
      <c r="G12" s="790"/>
      <c r="H12" s="791"/>
      <c r="I12" s="575"/>
      <c r="J12" s="15"/>
      <c r="K12" s="15"/>
      <c r="L12" s="15"/>
      <c r="M12" s="15"/>
      <c r="N12" s="15"/>
      <c r="O12" s="15"/>
      <c r="P12" s="15"/>
      <c r="Q12" s="15"/>
      <c r="R12" s="15"/>
      <c r="S12" s="15"/>
      <c r="T12" s="15"/>
      <c r="U12" s="15"/>
      <c r="V12" s="15"/>
      <c r="W12" s="15"/>
      <c r="X12" s="15"/>
      <c r="Y12" s="15"/>
      <c r="Z12" s="15"/>
      <c r="AA12" s="15"/>
      <c r="AB12" s="15"/>
      <c r="AC12" s="15"/>
      <c r="AD12" s="15"/>
      <c r="AE12" s="15"/>
    </row>
    <row r="13" spans="1:31" ht="16.5" hidden="1" customHeight="1" outlineLevel="1" x14ac:dyDescent="0.85">
      <c r="A13" s="9" t="s">
        <v>1305</v>
      </c>
      <c r="B13" s="9"/>
      <c r="C13" s="9"/>
      <c r="D13" s="9"/>
      <c r="E13" s="9"/>
      <c r="F13" s="9"/>
      <c r="G13" s="9"/>
      <c r="H13" s="9"/>
      <c r="I13" s="575"/>
      <c r="J13" s="15"/>
      <c r="K13" s="15"/>
      <c r="L13" s="15"/>
      <c r="M13" s="15"/>
      <c r="N13" s="15"/>
      <c r="O13" s="15"/>
      <c r="P13" s="15"/>
      <c r="Q13" s="15"/>
      <c r="R13" s="15"/>
      <c r="S13" s="15"/>
      <c r="T13" s="15"/>
      <c r="U13" s="15"/>
      <c r="V13" s="15"/>
      <c r="W13" s="15"/>
      <c r="X13" s="15"/>
      <c r="Y13" s="15"/>
      <c r="Z13" s="15"/>
      <c r="AA13" s="15"/>
      <c r="AB13" s="15"/>
      <c r="AC13" s="15"/>
      <c r="AD13" s="15"/>
      <c r="AE13" s="15"/>
    </row>
    <row r="14" spans="1:31" ht="16.5" hidden="1" customHeight="1" outlineLevel="1" x14ac:dyDescent="0.85">
      <c r="A14" s="9" t="s">
        <v>1306</v>
      </c>
      <c r="B14" s="9"/>
      <c r="C14" s="9"/>
      <c r="D14" s="9"/>
      <c r="E14" s="9"/>
      <c r="F14" s="9"/>
      <c r="G14" s="9"/>
      <c r="H14" s="9"/>
      <c r="I14" s="575"/>
      <c r="J14" s="15"/>
      <c r="K14" s="15"/>
      <c r="L14" s="15"/>
      <c r="M14" s="15"/>
      <c r="N14" s="15"/>
      <c r="O14" s="15"/>
      <c r="P14" s="15"/>
      <c r="Q14" s="15"/>
      <c r="R14" s="15"/>
      <c r="S14" s="15"/>
      <c r="T14" s="15"/>
      <c r="U14" s="15"/>
      <c r="V14" s="15"/>
      <c r="W14" s="15"/>
      <c r="X14" s="15"/>
      <c r="Y14" s="15"/>
      <c r="Z14" s="15"/>
      <c r="AA14" s="15"/>
      <c r="AB14" s="15"/>
      <c r="AC14" s="15"/>
      <c r="AD14" s="15"/>
      <c r="AE14" s="15"/>
    </row>
    <row r="15" spans="1:31" ht="16.5" hidden="1" customHeight="1" outlineLevel="1" x14ac:dyDescent="0.85">
      <c r="A15" s="9" t="s">
        <v>1307</v>
      </c>
      <c r="B15" s="9"/>
      <c r="C15" s="9"/>
      <c r="D15" s="9"/>
      <c r="E15" s="9"/>
      <c r="F15" s="9"/>
      <c r="G15" s="9"/>
      <c r="H15" s="9"/>
      <c r="I15" s="575"/>
      <c r="J15" s="15"/>
      <c r="K15" s="15"/>
      <c r="L15" s="15"/>
      <c r="M15" s="15"/>
      <c r="N15" s="15"/>
      <c r="O15" s="15"/>
      <c r="P15" s="15"/>
      <c r="Q15" s="15"/>
      <c r="R15" s="15"/>
      <c r="S15" s="15"/>
      <c r="T15" s="15"/>
      <c r="U15" s="15"/>
      <c r="V15" s="15"/>
      <c r="W15" s="15"/>
      <c r="X15" s="15"/>
      <c r="Y15" s="15"/>
      <c r="Z15" s="15"/>
      <c r="AA15" s="15"/>
      <c r="AB15" s="15"/>
      <c r="AC15" s="15"/>
      <c r="AD15" s="15"/>
      <c r="AE15" s="15"/>
    </row>
    <row r="16" spans="1:31" ht="16.5" hidden="1" customHeight="1" outlineLevel="1" x14ac:dyDescent="0.85">
      <c r="A16" s="9" t="s">
        <v>1308</v>
      </c>
      <c r="B16" s="9"/>
      <c r="C16" s="9"/>
      <c r="D16" s="9"/>
      <c r="E16" s="9"/>
      <c r="F16" s="9"/>
      <c r="G16" s="9"/>
      <c r="H16" s="9"/>
      <c r="I16" s="575"/>
      <c r="J16" s="15"/>
      <c r="K16" s="15"/>
      <c r="L16" s="15"/>
      <c r="M16" s="15"/>
      <c r="N16" s="15"/>
      <c r="O16" s="15"/>
      <c r="P16" s="15"/>
      <c r="Q16" s="15"/>
      <c r="R16" s="15"/>
      <c r="S16" s="15"/>
      <c r="T16" s="15"/>
      <c r="U16" s="15"/>
      <c r="V16" s="15"/>
      <c r="W16" s="15"/>
      <c r="X16" s="15"/>
      <c r="Y16" s="15"/>
      <c r="Z16" s="15"/>
      <c r="AA16" s="15"/>
      <c r="AB16" s="15"/>
      <c r="AC16" s="15"/>
      <c r="AD16" s="15"/>
      <c r="AE16" s="15"/>
    </row>
    <row r="17" spans="1:31" ht="16.5" customHeight="1" collapsed="1" x14ac:dyDescent="1.1000000000000001">
      <c r="A17" s="938" t="s">
        <v>183</v>
      </c>
      <c r="B17" s="765"/>
      <c r="C17" s="765"/>
      <c r="D17" s="765"/>
      <c r="E17" s="765"/>
      <c r="F17" s="765"/>
      <c r="G17" s="765"/>
      <c r="H17" s="765"/>
      <c r="I17" s="765"/>
      <c r="J17" s="765"/>
      <c r="K17" s="762"/>
      <c r="L17" s="15"/>
      <c r="M17" s="15"/>
      <c r="N17" s="15"/>
      <c r="O17" s="15"/>
      <c r="P17" s="15"/>
      <c r="Q17" s="15"/>
      <c r="R17" s="15"/>
      <c r="S17" s="15"/>
      <c r="T17" s="15"/>
      <c r="U17" s="15"/>
      <c r="V17" s="15"/>
      <c r="W17" s="15"/>
      <c r="X17" s="15"/>
      <c r="Y17" s="15"/>
      <c r="Z17" s="15"/>
      <c r="AA17" s="15"/>
      <c r="AB17" s="15"/>
      <c r="AC17" s="15"/>
      <c r="AD17" s="15"/>
      <c r="AE17" s="15"/>
    </row>
    <row r="18" spans="1:31" ht="16.5" hidden="1" customHeight="1" outlineLevel="1" x14ac:dyDescent="0.85">
      <c r="A18" s="931" t="s">
        <v>1309</v>
      </c>
      <c r="B18" s="813"/>
      <c r="C18" s="813"/>
      <c r="D18" s="813"/>
      <c r="E18" s="813"/>
      <c r="F18" s="814"/>
      <c r="G18" s="276"/>
      <c r="H18" s="276"/>
      <c r="I18" s="582"/>
      <c r="J18" s="15"/>
      <c r="K18" s="15"/>
      <c r="L18" s="15"/>
      <c r="M18" s="15"/>
      <c r="N18" s="15"/>
      <c r="O18" s="15"/>
      <c r="P18" s="15"/>
      <c r="Q18" s="15"/>
      <c r="R18" s="15"/>
      <c r="S18" s="15"/>
      <c r="T18" s="15"/>
      <c r="U18" s="15"/>
      <c r="V18" s="15"/>
      <c r="W18" s="15"/>
      <c r="X18" s="15"/>
      <c r="Y18" s="15"/>
      <c r="Z18" s="15"/>
      <c r="AA18" s="15"/>
      <c r="AB18" s="15"/>
      <c r="AC18" s="15"/>
      <c r="AD18" s="15"/>
      <c r="AE18" s="15"/>
    </row>
    <row r="19" spans="1:31" ht="16.5" hidden="1" customHeight="1" outlineLevel="1" x14ac:dyDescent="0.85">
      <c r="A19" s="243" t="s">
        <v>606</v>
      </c>
      <c r="B19" s="243" t="s">
        <v>251</v>
      </c>
      <c r="C19" s="20" t="s">
        <v>608</v>
      </c>
      <c r="D19" s="849" t="s">
        <v>609</v>
      </c>
      <c r="E19" s="765"/>
      <c r="F19" s="762"/>
      <c r="G19" s="276"/>
      <c r="H19" s="276"/>
      <c r="I19" s="582"/>
      <c r="J19" s="15"/>
      <c r="K19" s="15"/>
      <c r="L19" s="15"/>
      <c r="M19" s="15"/>
      <c r="N19" s="15"/>
      <c r="O19" s="15"/>
      <c r="P19" s="15"/>
      <c r="Q19" s="15"/>
      <c r="R19" s="15"/>
      <c r="S19" s="15"/>
      <c r="T19" s="15"/>
      <c r="U19" s="15"/>
      <c r="V19" s="15"/>
      <c r="W19" s="15"/>
      <c r="X19" s="15"/>
      <c r="Y19" s="15"/>
      <c r="Z19" s="15"/>
      <c r="AA19" s="15"/>
      <c r="AB19" s="15"/>
      <c r="AC19" s="15"/>
      <c r="AD19" s="15"/>
      <c r="AE19" s="15"/>
    </row>
    <row r="20" spans="1:31" ht="16.5" hidden="1" customHeight="1" outlineLevel="1" x14ac:dyDescent="0.85">
      <c r="A20" s="328" t="s">
        <v>1310</v>
      </c>
      <c r="B20" s="176" t="s">
        <v>1311</v>
      </c>
      <c r="C20" s="583">
        <v>3.2000000000000002E-3</v>
      </c>
      <c r="D20" s="176" t="s">
        <v>1312</v>
      </c>
      <c r="E20" s="935" t="s">
        <v>1313</v>
      </c>
      <c r="F20" s="825"/>
      <c r="G20" s="276"/>
      <c r="H20" s="276"/>
      <c r="I20" s="582"/>
      <c r="J20" s="15"/>
      <c r="K20" s="15"/>
      <c r="L20" s="15"/>
      <c r="M20" s="15"/>
      <c r="N20" s="15"/>
      <c r="O20" s="15"/>
      <c r="P20" s="15"/>
      <c r="Q20" s="15"/>
      <c r="R20" s="15"/>
      <c r="S20" s="15"/>
      <c r="T20" s="15"/>
      <c r="U20" s="15"/>
      <c r="V20" s="15"/>
      <c r="W20" s="15"/>
      <c r="X20" s="15"/>
      <c r="Y20" s="15"/>
      <c r="Z20" s="15"/>
      <c r="AA20" s="15"/>
      <c r="AB20" s="15"/>
      <c r="AC20" s="15"/>
      <c r="AD20" s="15"/>
      <c r="AE20" s="15"/>
    </row>
    <row r="21" spans="1:31" ht="16.5" hidden="1" customHeight="1" outlineLevel="1" x14ac:dyDescent="0.85">
      <c r="A21" s="328" t="s">
        <v>1310</v>
      </c>
      <c r="B21" s="176" t="s">
        <v>1314</v>
      </c>
      <c r="C21" s="583">
        <v>6.3000000000000003E-4</v>
      </c>
      <c r="D21" s="176" t="s">
        <v>1315</v>
      </c>
      <c r="E21" s="809"/>
      <c r="F21" s="826"/>
      <c r="G21" s="276"/>
      <c r="H21" s="276"/>
      <c r="I21" s="582"/>
      <c r="J21" s="15"/>
      <c r="K21" s="15"/>
      <c r="L21" s="15"/>
      <c r="M21" s="15"/>
      <c r="N21" s="15"/>
      <c r="O21" s="15"/>
      <c r="P21" s="15"/>
      <c r="Q21" s="15"/>
      <c r="R21" s="15"/>
      <c r="S21" s="15"/>
      <c r="T21" s="15"/>
      <c r="U21" s="15"/>
      <c r="V21" s="15"/>
      <c r="W21" s="15"/>
      <c r="X21" s="15"/>
      <c r="Y21" s="15"/>
      <c r="Z21" s="15"/>
      <c r="AA21" s="15"/>
      <c r="AB21" s="15"/>
      <c r="AC21" s="15"/>
      <c r="AD21" s="15"/>
      <c r="AE21" s="15"/>
    </row>
    <row r="22" spans="1:31" ht="16.5" hidden="1" customHeight="1" outlineLevel="1" x14ac:dyDescent="0.85">
      <c r="A22" s="328" t="s">
        <v>1316</v>
      </c>
      <c r="B22" s="176" t="s">
        <v>1317</v>
      </c>
      <c r="C22" s="583">
        <v>7</v>
      </c>
      <c r="D22" s="176" t="s">
        <v>1318</v>
      </c>
      <c r="E22" s="810"/>
      <c r="F22" s="767"/>
      <c r="G22" s="276"/>
      <c r="H22" s="276"/>
      <c r="I22" s="582"/>
      <c r="J22" s="15"/>
      <c r="K22" s="15"/>
      <c r="L22" s="15"/>
      <c r="M22" s="15"/>
      <c r="N22" s="15"/>
      <c r="O22" s="15"/>
      <c r="P22" s="15"/>
      <c r="Q22" s="15"/>
      <c r="R22" s="15"/>
      <c r="S22" s="15"/>
      <c r="T22" s="15"/>
      <c r="U22" s="15"/>
      <c r="V22" s="15"/>
      <c r="W22" s="15"/>
      <c r="X22" s="15"/>
      <c r="Y22" s="15"/>
      <c r="Z22" s="15"/>
      <c r="AA22" s="15"/>
      <c r="AB22" s="15"/>
      <c r="AC22" s="15"/>
      <c r="AD22" s="15"/>
      <c r="AE22" s="15"/>
    </row>
    <row r="23" spans="1:31" ht="16.5" hidden="1" customHeight="1" outlineLevel="1" x14ac:dyDescent="0.85">
      <c r="A23" s="328" t="s">
        <v>1319</v>
      </c>
      <c r="B23" s="176" t="s">
        <v>1320</v>
      </c>
      <c r="C23" s="583">
        <v>3.2</v>
      </c>
      <c r="D23" s="176" t="s">
        <v>1321</v>
      </c>
      <c r="E23" s="856"/>
      <c r="F23" s="825"/>
      <c r="G23" s="276"/>
      <c r="H23" s="276"/>
      <c r="I23" s="582"/>
      <c r="J23" s="15"/>
      <c r="K23" s="15"/>
      <c r="L23" s="15"/>
      <c r="M23" s="15"/>
      <c r="N23" s="15"/>
      <c r="O23" s="15"/>
      <c r="P23" s="15"/>
      <c r="Q23" s="15"/>
      <c r="R23" s="15"/>
      <c r="S23" s="15"/>
      <c r="T23" s="15"/>
      <c r="U23" s="15"/>
      <c r="V23" s="15"/>
      <c r="W23" s="15"/>
      <c r="X23" s="15"/>
      <c r="Y23" s="15"/>
      <c r="Z23" s="15"/>
      <c r="AA23" s="15"/>
      <c r="AB23" s="15"/>
      <c r="AC23" s="15"/>
      <c r="AD23" s="15"/>
      <c r="AE23" s="15"/>
    </row>
    <row r="24" spans="1:31" ht="16.5" hidden="1" customHeight="1" outlineLevel="1" x14ac:dyDescent="0.85">
      <c r="A24" s="328" t="s">
        <v>1322</v>
      </c>
      <c r="B24" s="176" t="s">
        <v>1323</v>
      </c>
      <c r="C24" s="583">
        <v>5.0000000000000001E-3</v>
      </c>
      <c r="D24" s="176" t="s">
        <v>1324</v>
      </c>
      <c r="E24" s="809"/>
      <c r="F24" s="826"/>
      <c r="G24" s="276"/>
      <c r="H24" s="276"/>
      <c r="I24" s="582"/>
      <c r="J24" s="15"/>
      <c r="K24" s="15"/>
      <c r="L24" s="15"/>
      <c r="M24" s="15"/>
      <c r="N24" s="15"/>
      <c r="O24" s="15"/>
      <c r="P24" s="15"/>
      <c r="Q24" s="15"/>
      <c r="R24" s="15"/>
      <c r="S24" s="15"/>
      <c r="T24" s="15"/>
      <c r="U24" s="15"/>
      <c r="V24" s="15"/>
      <c r="W24" s="15"/>
      <c r="X24" s="15"/>
      <c r="Y24" s="15"/>
      <c r="Z24" s="15"/>
      <c r="AA24" s="15"/>
      <c r="AB24" s="15"/>
      <c r="AC24" s="15"/>
      <c r="AD24" s="15"/>
      <c r="AE24" s="15"/>
    </row>
    <row r="25" spans="1:31" ht="16.5" hidden="1" customHeight="1" outlineLevel="1" x14ac:dyDescent="0.85">
      <c r="A25" s="328" t="s">
        <v>1325</v>
      </c>
      <c r="B25" s="176" t="s">
        <v>106</v>
      </c>
      <c r="C25" s="176">
        <v>365.25</v>
      </c>
      <c r="D25" s="176" t="s">
        <v>1326</v>
      </c>
      <c r="E25" s="809"/>
      <c r="F25" s="826"/>
      <c r="G25" s="276"/>
      <c r="H25" s="276"/>
      <c r="I25" s="582"/>
      <c r="J25" s="15"/>
      <c r="K25" s="15"/>
      <c r="L25" s="15"/>
      <c r="M25" s="15"/>
      <c r="N25" s="15"/>
      <c r="O25" s="15"/>
      <c r="P25" s="15"/>
      <c r="Q25" s="15"/>
      <c r="R25" s="15"/>
      <c r="S25" s="15"/>
      <c r="T25" s="15"/>
      <c r="U25" s="15"/>
      <c r="V25" s="15"/>
      <c r="W25" s="15"/>
      <c r="X25" s="15"/>
      <c r="Y25" s="15"/>
      <c r="Z25" s="15"/>
      <c r="AA25" s="15"/>
      <c r="AB25" s="15"/>
      <c r="AC25" s="15"/>
      <c r="AD25" s="15"/>
      <c r="AE25" s="15"/>
    </row>
    <row r="26" spans="1:31" ht="16.5" hidden="1" customHeight="1" outlineLevel="1" x14ac:dyDescent="0.85">
      <c r="A26" s="328" t="s">
        <v>1327</v>
      </c>
      <c r="B26" s="176" t="s">
        <v>106</v>
      </c>
      <c r="C26" s="176">
        <v>1.57</v>
      </c>
      <c r="D26" s="176" t="s">
        <v>1328</v>
      </c>
      <c r="E26" s="810"/>
      <c r="F26" s="767"/>
      <c r="G26" s="276"/>
      <c r="H26" s="276"/>
      <c r="I26" s="582"/>
      <c r="J26" s="15"/>
      <c r="K26" s="15"/>
      <c r="L26" s="15"/>
      <c r="M26" s="15"/>
      <c r="N26" s="15"/>
      <c r="O26" s="15"/>
      <c r="P26" s="15"/>
      <c r="Q26" s="15"/>
      <c r="R26" s="15"/>
      <c r="S26" s="15"/>
      <c r="T26" s="15"/>
      <c r="U26" s="15"/>
      <c r="V26" s="15"/>
      <c r="W26" s="15"/>
      <c r="X26" s="15"/>
      <c r="Y26" s="15"/>
      <c r="Z26" s="15"/>
      <c r="AA26" s="15"/>
      <c r="AB26" s="15"/>
      <c r="AC26" s="15"/>
      <c r="AD26" s="15"/>
      <c r="AE26" s="15"/>
    </row>
    <row r="27" spans="1:31" ht="43.5" hidden="1" customHeight="1" outlineLevel="1" x14ac:dyDescent="0.85">
      <c r="A27" s="328" t="s">
        <v>1329</v>
      </c>
      <c r="B27" s="176" t="s">
        <v>106</v>
      </c>
      <c r="C27" s="583">
        <v>1.25</v>
      </c>
      <c r="D27" s="270"/>
      <c r="E27" s="936" t="s">
        <v>1330</v>
      </c>
      <c r="F27" s="762"/>
      <c r="G27" s="276"/>
      <c r="H27" s="276"/>
      <c r="I27" s="582"/>
      <c r="J27" s="15"/>
      <c r="K27" s="15"/>
      <c r="L27" s="15"/>
      <c r="M27" s="15"/>
      <c r="N27" s="15"/>
      <c r="O27" s="15"/>
      <c r="P27" s="15"/>
      <c r="Q27" s="15"/>
      <c r="R27" s="15"/>
      <c r="S27" s="15"/>
      <c r="T27" s="15"/>
      <c r="U27" s="15"/>
      <c r="V27" s="15"/>
      <c r="W27" s="15"/>
      <c r="X27" s="15"/>
      <c r="Y27" s="15"/>
      <c r="Z27" s="15"/>
      <c r="AA27" s="15"/>
      <c r="AB27" s="15"/>
      <c r="AC27" s="15"/>
      <c r="AD27" s="15"/>
      <c r="AE27" s="15"/>
    </row>
    <row r="28" spans="1:31" ht="20.25" hidden="1" customHeight="1" outlineLevel="1" x14ac:dyDescent="0.85">
      <c r="A28" s="328" t="s">
        <v>1331</v>
      </c>
      <c r="B28" s="176" t="s">
        <v>1332</v>
      </c>
      <c r="C28" s="176">
        <v>662</v>
      </c>
      <c r="D28" s="270" t="s">
        <v>1333</v>
      </c>
      <c r="E28" s="932" t="s">
        <v>1334</v>
      </c>
      <c r="F28" s="825"/>
      <c r="G28" s="276"/>
      <c r="H28" s="276"/>
      <c r="I28" s="582"/>
      <c r="J28" s="15"/>
      <c r="K28" s="15"/>
      <c r="L28" s="15"/>
      <c r="M28" s="15"/>
      <c r="N28" s="15"/>
      <c r="O28" s="15"/>
      <c r="P28" s="15"/>
      <c r="Q28" s="15"/>
      <c r="R28" s="15"/>
      <c r="S28" s="15"/>
      <c r="T28" s="15"/>
      <c r="U28" s="15"/>
      <c r="V28" s="15"/>
      <c r="W28" s="15"/>
      <c r="X28" s="15"/>
      <c r="Y28" s="15"/>
      <c r="Z28" s="15"/>
      <c r="AA28" s="15"/>
      <c r="AB28" s="15"/>
      <c r="AC28" s="15"/>
      <c r="AD28" s="15"/>
      <c r="AE28" s="15"/>
    </row>
    <row r="29" spans="1:31" ht="16.5" hidden="1" customHeight="1" outlineLevel="1" x14ac:dyDescent="0.85">
      <c r="A29" s="328" t="s">
        <v>1335</v>
      </c>
      <c r="B29" s="176" t="s">
        <v>106</v>
      </c>
      <c r="C29" s="176">
        <v>2.8299999999999999E-2</v>
      </c>
      <c r="D29" s="270" t="s">
        <v>1336</v>
      </c>
      <c r="E29" s="809"/>
      <c r="F29" s="826"/>
      <c r="G29" s="276"/>
      <c r="H29" s="276"/>
      <c r="I29" s="582"/>
      <c r="J29" s="15"/>
      <c r="K29" s="15"/>
      <c r="L29" s="15"/>
      <c r="M29" s="15"/>
      <c r="N29" s="15"/>
      <c r="O29" s="15"/>
      <c r="P29" s="15"/>
      <c r="Q29" s="15"/>
      <c r="R29" s="15"/>
      <c r="S29" s="15"/>
      <c r="T29" s="15"/>
      <c r="U29" s="15"/>
      <c r="V29" s="15"/>
      <c r="W29" s="15"/>
      <c r="X29" s="15"/>
      <c r="Y29" s="15"/>
      <c r="Z29" s="15"/>
      <c r="AA29" s="15"/>
      <c r="AB29" s="15"/>
      <c r="AC29" s="15"/>
      <c r="AD29" s="15"/>
      <c r="AE29" s="15"/>
    </row>
    <row r="30" spans="1:31" ht="16.5" hidden="1" customHeight="1" outlineLevel="1" x14ac:dyDescent="0.85">
      <c r="A30" s="328" t="s">
        <v>1337</v>
      </c>
      <c r="B30" s="176" t="s">
        <v>106</v>
      </c>
      <c r="C30" s="176">
        <v>0.99</v>
      </c>
      <c r="D30" s="270"/>
      <c r="E30" s="810"/>
      <c r="F30" s="767"/>
      <c r="G30" s="276"/>
      <c r="H30" s="276"/>
      <c r="I30" s="582"/>
      <c r="J30" s="15"/>
      <c r="K30" s="15"/>
      <c r="L30" s="15"/>
      <c r="M30" s="15"/>
      <c r="N30" s="15"/>
      <c r="O30" s="15"/>
      <c r="P30" s="15"/>
      <c r="Q30" s="15"/>
      <c r="R30" s="15"/>
      <c r="S30" s="15"/>
      <c r="T30" s="15"/>
      <c r="U30" s="15"/>
      <c r="V30" s="15"/>
      <c r="W30" s="15"/>
      <c r="X30" s="15"/>
      <c r="Y30" s="15"/>
      <c r="Z30" s="15"/>
      <c r="AA30" s="15"/>
      <c r="AB30" s="15"/>
      <c r="AC30" s="15"/>
      <c r="AD30" s="15"/>
      <c r="AE30" s="15"/>
    </row>
    <row r="31" spans="1:31" ht="16.5" hidden="1" customHeight="1" outlineLevel="1" x14ac:dyDescent="0.85">
      <c r="A31" s="937" t="s">
        <v>1338</v>
      </c>
      <c r="B31" s="765"/>
      <c r="C31" s="765"/>
      <c r="D31" s="765"/>
      <c r="E31" s="765"/>
      <c r="F31" s="762"/>
      <c r="G31" s="276"/>
      <c r="H31" s="276"/>
      <c r="I31" s="582"/>
      <c r="J31" s="15"/>
      <c r="K31" s="15"/>
      <c r="L31" s="15"/>
      <c r="M31" s="15"/>
      <c r="N31" s="15"/>
      <c r="O31" s="15"/>
      <c r="P31" s="15"/>
      <c r="Q31" s="15"/>
      <c r="R31" s="15"/>
      <c r="S31" s="15"/>
      <c r="T31" s="15"/>
      <c r="U31" s="15"/>
      <c r="V31" s="15"/>
      <c r="W31" s="15"/>
      <c r="X31" s="15"/>
      <c r="Y31" s="15"/>
      <c r="Z31" s="15"/>
      <c r="AA31" s="15"/>
      <c r="AB31" s="15"/>
      <c r="AC31" s="15"/>
      <c r="AD31" s="15"/>
      <c r="AE31" s="15"/>
    </row>
    <row r="32" spans="1:31" ht="16.5" hidden="1" customHeight="1" outlineLevel="1" x14ac:dyDescent="0.85">
      <c r="A32" s="243" t="s">
        <v>606</v>
      </c>
      <c r="B32" s="243" t="s">
        <v>251</v>
      </c>
      <c r="C32" s="20" t="s">
        <v>608</v>
      </c>
      <c r="D32" s="849" t="s">
        <v>609</v>
      </c>
      <c r="E32" s="765"/>
      <c r="F32" s="762"/>
      <c r="G32" s="276"/>
      <c r="H32" s="276"/>
      <c r="I32" s="582"/>
      <c r="J32" s="15"/>
      <c r="K32" s="15"/>
      <c r="L32" s="15"/>
      <c r="M32" s="15"/>
      <c r="N32" s="15"/>
      <c r="O32" s="15"/>
      <c r="P32" s="15"/>
      <c r="Q32" s="15"/>
      <c r="R32" s="15"/>
      <c r="S32" s="15"/>
      <c r="T32" s="15"/>
      <c r="U32" s="15"/>
      <c r="V32" s="15"/>
      <c r="W32" s="15"/>
      <c r="X32" s="15"/>
      <c r="Y32" s="15"/>
      <c r="Z32" s="15"/>
      <c r="AA32" s="15"/>
      <c r="AB32" s="15"/>
      <c r="AC32" s="15"/>
      <c r="AD32" s="15"/>
      <c r="AE32" s="15"/>
    </row>
    <row r="33" spans="1:31" ht="16.5" hidden="1" customHeight="1" outlineLevel="1" x14ac:dyDescent="0.85">
      <c r="A33" s="328" t="s">
        <v>1339</v>
      </c>
      <c r="B33" s="583">
        <v>0.6</v>
      </c>
      <c r="C33" s="176" t="s">
        <v>1340</v>
      </c>
      <c r="D33" s="859"/>
      <c r="E33" s="828"/>
      <c r="F33" s="825"/>
      <c r="G33" s="276"/>
      <c r="H33" s="276"/>
      <c r="I33" s="582"/>
      <c r="J33" s="15"/>
      <c r="K33" s="15"/>
      <c r="L33" s="15"/>
      <c r="M33" s="15"/>
      <c r="N33" s="15"/>
      <c r="O33" s="15"/>
      <c r="P33" s="15"/>
      <c r="Q33" s="15"/>
      <c r="R33" s="15"/>
      <c r="S33" s="15"/>
      <c r="T33" s="15"/>
      <c r="U33" s="15"/>
      <c r="V33" s="15"/>
      <c r="W33" s="15"/>
      <c r="X33" s="15"/>
      <c r="Y33" s="15"/>
      <c r="Z33" s="15"/>
      <c r="AA33" s="15"/>
      <c r="AB33" s="15"/>
      <c r="AC33" s="15"/>
      <c r="AD33" s="15"/>
      <c r="AE33" s="15"/>
    </row>
    <row r="34" spans="1:31" ht="16.5" hidden="1" customHeight="1" outlineLevel="1" x14ac:dyDescent="0.85">
      <c r="A34" s="328" t="s">
        <v>1341</v>
      </c>
      <c r="B34" s="583">
        <v>0.22</v>
      </c>
      <c r="C34" s="176"/>
      <c r="D34" s="809"/>
      <c r="E34" s="785"/>
      <c r="F34" s="826"/>
      <c r="G34" s="276"/>
      <c r="H34" s="276"/>
      <c r="I34" s="582"/>
      <c r="J34" s="15"/>
      <c r="K34" s="15"/>
      <c r="L34" s="15"/>
      <c r="M34" s="15"/>
      <c r="N34" s="15"/>
      <c r="O34" s="15"/>
      <c r="P34" s="15"/>
      <c r="Q34" s="15"/>
      <c r="R34" s="15"/>
      <c r="S34" s="15"/>
      <c r="T34" s="15"/>
      <c r="U34" s="15"/>
      <c r="V34" s="15"/>
      <c r="W34" s="15"/>
      <c r="X34" s="15"/>
      <c r="Y34" s="15"/>
      <c r="Z34" s="15"/>
      <c r="AA34" s="15"/>
      <c r="AB34" s="15"/>
      <c r="AC34" s="15"/>
      <c r="AD34" s="15"/>
      <c r="AE34" s="15"/>
    </row>
    <row r="35" spans="1:31" ht="16.5" hidden="1" customHeight="1" outlineLevel="1" x14ac:dyDescent="0.85">
      <c r="A35" s="328" t="s">
        <v>1325</v>
      </c>
      <c r="B35" s="583">
        <v>365.25</v>
      </c>
      <c r="C35" s="176" t="s">
        <v>1326</v>
      </c>
      <c r="D35" s="809"/>
      <c r="E35" s="785"/>
      <c r="F35" s="826"/>
      <c r="G35" s="276"/>
      <c r="H35" s="276"/>
      <c r="I35" s="582"/>
      <c r="J35" s="15"/>
      <c r="K35" s="15"/>
      <c r="L35" s="15"/>
      <c r="M35" s="15"/>
      <c r="N35" s="15"/>
      <c r="O35" s="15"/>
      <c r="P35" s="15"/>
      <c r="Q35" s="15"/>
      <c r="R35" s="15"/>
      <c r="S35" s="15"/>
      <c r="T35" s="15"/>
      <c r="U35" s="15"/>
      <c r="V35" s="15"/>
      <c r="W35" s="15"/>
      <c r="X35" s="15"/>
      <c r="Y35" s="15"/>
      <c r="Z35" s="15"/>
      <c r="AA35" s="15"/>
      <c r="AB35" s="15"/>
      <c r="AC35" s="15"/>
      <c r="AD35" s="15"/>
      <c r="AE35" s="15"/>
    </row>
    <row r="36" spans="1:31" ht="16.5" hidden="1" customHeight="1" outlineLevel="1" x14ac:dyDescent="0.85">
      <c r="A36" s="584" t="s">
        <v>1342</v>
      </c>
      <c r="B36" s="585">
        <v>0.09</v>
      </c>
      <c r="C36" s="179" t="s">
        <v>1343</v>
      </c>
      <c r="D36" s="821"/>
      <c r="E36" s="822"/>
      <c r="F36" s="886"/>
      <c r="G36" s="276"/>
      <c r="H36" s="276"/>
      <c r="I36" s="582"/>
      <c r="J36" s="15"/>
      <c r="K36" s="15"/>
      <c r="L36" s="15"/>
      <c r="M36" s="15"/>
      <c r="N36" s="15"/>
      <c r="O36" s="15"/>
      <c r="P36" s="15"/>
      <c r="Q36" s="15"/>
      <c r="R36" s="15"/>
      <c r="S36" s="15"/>
      <c r="T36" s="15"/>
      <c r="U36" s="15"/>
      <c r="V36" s="15"/>
      <c r="W36" s="15"/>
      <c r="X36" s="15"/>
      <c r="Y36" s="15"/>
      <c r="Z36" s="15"/>
      <c r="AA36" s="15"/>
      <c r="AB36" s="15"/>
      <c r="AC36" s="15"/>
      <c r="AD36" s="15"/>
      <c r="AE36" s="15"/>
    </row>
    <row r="37" spans="1:31" ht="16.5" customHeight="1" collapsed="1" x14ac:dyDescent="1.1000000000000001">
      <c r="A37" s="938" t="s">
        <v>254</v>
      </c>
      <c r="B37" s="765"/>
      <c r="C37" s="765"/>
      <c r="D37" s="765"/>
      <c r="E37" s="765"/>
      <c r="F37" s="765"/>
      <c r="G37" s="765"/>
      <c r="H37" s="765"/>
      <c r="I37" s="765"/>
      <c r="J37" s="765"/>
      <c r="K37" s="762"/>
      <c r="L37" s="586"/>
      <c r="M37" s="586"/>
      <c r="N37" s="586"/>
      <c r="O37" s="586"/>
      <c r="P37" s="586"/>
      <c r="Q37" s="586"/>
      <c r="R37" s="586"/>
      <c r="S37" s="586"/>
      <c r="T37" s="586"/>
      <c r="U37" s="586"/>
      <c r="V37" s="586"/>
      <c r="W37" s="586"/>
      <c r="X37" s="586"/>
      <c r="Y37" s="586"/>
      <c r="Z37" s="586"/>
      <c r="AA37" s="586"/>
      <c r="AB37" s="586"/>
      <c r="AC37" s="586"/>
      <c r="AD37" s="586"/>
      <c r="AE37" s="586"/>
    </row>
    <row r="38" spans="1:31" ht="16.5" hidden="1" customHeight="1" outlineLevel="1" x14ac:dyDescent="0.85">
      <c r="A38" s="358" t="s">
        <v>1344</v>
      </c>
      <c r="B38" s="408" t="s">
        <v>105</v>
      </c>
      <c r="C38" s="358" t="s">
        <v>107</v>
      </c>
      <c r="D38" s="358" t="s">
        <v>108</v>
      </c>
      <c r="E38" s="358" t="s">
        <v>109</v>
      </c>
      <c r="F38" s="358" t="s">
        <v>110</v>
      </c>
      <c r="G38" s="358" t="s">
        <v>119</v>
      </c>
      <c r="H38" s="587"/>
      <c r="I38" s="582"/>
      <c r="J38" s="587"/>
      <c r="K38" s="587"/>
      <c r="L38" s="587"/>
      <c r="M38" s="587"/>
      <c r="N38" s="587"/>
      <c r="O38" s="587"/>
      <c r="P38" s="587"/>
      <c r="Q38" s="587"/>
      <c r="R38" s="587"/>
      <c r="S38" s="587"/>
      <c r="T38" s="587"/>
      <c r="U38" s="587"/>
      <c r="V38" s="587"/>
      <c r="W38" s="587"/>
      <c r="X38" s="587"/>
      <c r="Y38" s="587"/>
      <c r="Z38" s="587"/>
      <c r="AA38" s="587"/>
      <c r="AB38" s="587"/>
      <c r="AC38" s="587"/>
      <c r="AD38" s="587"/>
      <c r="AE38" s="587"/>
    </row>
    <row r="39" spans="1:31" ht="16.5" hidden="1" customHeight="1" outlineLevel="1" x14ac:dyDescent="0.85">
      <c r="A39" s="37" t="s">
        <v>1345</v>
      </c>
      <c r="B39" s="588">
        <f t="shared" ref="B39:G39" si="5">B46+B50+B75</f>
        <v>1.3831275469259188</v>
      </c>
      <c r="C39" s="588">
        <f t="shared" si="5"/>
        <v>58.672960438057473</v>
      </c>
      <c r="D39" s="588">
        <f t="shared" si="5"/>
        <v>190.69784315999996</v>
      </c>
      <c r="E39" s="588">
        <f t="shared" si="5"/>
        <v>65.968401509999993</v>
      </c>
      <c r="F39" s="588">
        <f t="shared" si="5"/>
        <v>338.80239360000002</v>
      </c>
      <c r="G39" s="588">
        <f t="shared" si="5"/>
        <v>654.14159870805736</v>
      </c>
      <c r="H39" s="574"/>
      <c r="I39" s="574"/>
      <c r="J39" s="574"/>
      <c r="K39" s="574"/>
      <c r="L39" s="574"/>
      <c r="M39" s="574"/>
      <c r="N39" s="574"/>
      <c r="O39" s="574"/>
      <c r="P39" s="574"/>
      <c r="Q39" s="574"/>
      <c r="R39" s="574"/>
      <c r="S39" s="574"/>
      <c r="T39" s="574"/>
      <c r="U39" s="574"/>
      <c r="V39" s="574"/>
      <c r="W39" s="574"/>
      <c r="X39" s="574"/>
      <c r="Y39" s="574"/>
      <c r="Z39" s="574"/>
      <c r="AA39" s="574"/>
      <c r="AB39" s="574"/>
      <c r="AC39" s="574"/>
      <c r="AD39" s="574"/>
      <c r="AE39" s="574"/>
    </row>
    <row r="40" spans="1:31" ht="16.5" hidden="1" customHeight="1" outlineLevel="1" x14ac:dyDescent="0.85">
      <c r="A40" s="37" t="s">
        <v>1346</v>
      </c>
      <c r="B40" s="588">
        <f t="shared" ref="B40:G40" si="6">B47+B53+B56+B59</f>
        <v>6.2393354136822401</v>
      </c>
      <c r="C40" s="588">
        <f t="shared" si="6"/>
        <v>8.3009793507245284</v>
      </c>
      <c r="D40" s="588">
        <f t="shared" si="6"/>
        <v>1.0584033390623799</v>
      </c>
      <c r="E40" s="588">
        <f t="shared" si="6"/>
        <v>0</v>
      </c>
      <c r="F40" s="588">
        <f t="shared" si="6"/>
        <v>0</v>
      </c>
      <c r="G40" s="588">
        <f t="shared" si="6"/>
        <v>9.3593826897869086</v>
      </c>
      <c r="H40" s="574"/>
      <c r="I40" s="574"/>
      <c r="J40" s="574"/>
      <c r="K40" s="574"/>
      <c r="L40" s="574"/>
      <c r="M40" s="574"/>
      <c r="N40" s="574"/>
      <c r="O40" s="574"/>
      <c r="P40" s="574"/>
      <c r="Q40" s="574"/>
      <c r="R40" s="574"/>
      <c r="S40" s="574"/>
      <c r="T40" s="574"/>
      <c r="U40" s="574"/>
      <c r="V40" s="574"/>
      <c r="W40" s="574"/>
      <c r="X40" s="574"/>
      <c r="Y40" s="574"/>
      <c r="Z40" s="574"/>
      <c r="AA40" s="574"/>
      <c r="AB40" s="574"/>
      <c r="AC40" s="574"/>
      <c r="AD40" s="574"/>
      <c r="AE40" s="574"/>
    </row>
    <row r="41" spans="1:31" ht="16.5" hidden="1" customHeight="1" outlineLevel="1" x14ac:dyDescent="0.85">
      <c r="A41" s="292" t="s">
        <v>1121</v>
      </c>
      <c r="B41" s="293">
        <f t="shared" ref="B41:G41" si="7">B48+B51+B54+B57+B60+B76</f>
        <v>1692.1514559397194</v>
      </c>
      <c r="C41" s="293">
        <f t="shared" si="7"/>
        <v>3842.6024202076096</v>
      </c>
      <c r="D41" s="293">
        <f t="shared" si="7"/>
        <v>5620.0164933315291</v>
      </c>
      <c r="E41" s="293">
        <f t="shared" si="7"/>
        <v>1847.1152422799998</v>
      </c>
      <c r="F41" s="293">
        <f t="shared" si="7"/>
        <v>9486.4670208000007</v>
      </c>
      <c r="G41" s="293">
        <f t="shared" si="7"/>
        <v>20796.201176619135</v>
      </c>
      <c r="H41" s="586"/>
      <c r="I41" s="586"/>
      <c r="J41" s="586"/>
      <c r="K41" s="586"/>
      <c r="L41" s="586"/>
      <c r="M41" s="586"/>
      <c r="N41" s="586"/>
      <c r="O41" s="586"/>
      <c r="P41" s="586"/>
      <c r="Q41" s="586"/>
      <c r="R41" s="586"/>
      <c r="S41" s="586"/>
      <c r="T41" s="586"/>
      <c r="U41" s="586"/>
      <c r="V41" s="586"/>
      <c r="W41" s="586"/>
      <c r="X41" s="586"/>
      <c r="Y41" s="586"/>
      <c r="Z41" s="586"/>
      <c r="AA41" s="586"/>
      <c r="AB41" s="586"/>
      <c r="AC41" s="586"/>
      <c r="AD41" s="586"/>
      <c r="AE41" s="586"/>
    </row>
    <row r="42" spans="1:31" ht="21" hidden="1" customHeight="1" outlineLevel="1" x14ac:dyDescent="0.85">
      <c r="A42" s="586"/>
      <c r="B42" s="586"/>
      <c r="C42" s="586"/>
      <c r="D42" s="586"/>
      <c r="E42" s="586"/>
      <c r="F42" s="586"/>
      <c r="G42" s="586"/>
      <c r="H42" s="586"/>
      <c r="I42" s="586"/>
      <c r="J42" s="586"/>
      <c r="K42" s="586"/>
      <c r="L42" s="586"/>
      <c r="M42" s="586"/>
      <c r="N42" s="586"/>
      <c r="O42" s="586"/>
      <c r="P42" s="586"/>
      <c r="Q42" s="586"/>
      <c r="R42" s="586"/>
      <c r="S42" s="586"/>
      <c r="T42" s="586"/>
      <c r="U42" s="586"/>
      <c r="V42" s="586"/>
      <c r="W42" s="586"/>
      <c r="X42" s="586"/>
      <c r="Y42" s="586"/>
      <c r="Z42" s="586"/>
      <c r="AA42" s="586"/>
      <c r="AB42" s="586"/>
      <c r="AC42" s="586"/>
      <c r="AD42" s="586"/>
      <c r="AE42" s="586"/>
    </row>
    <row r="43" spans="1:31" ht="16.5" hidden="1" customHeight="1" outlineLevel="1" x14ac:dyDescent="0.85">
      <c r="A43" s="334" t="s">
        <v>1347</v>
      </c>
      <c r="B43" s="341"/>
      <c r="C43" s="341"/>
      <c r="D43" s="341"/>
      <c r="E43" s="341"/>
      <c r="F43" s="341"/>
      <c r="G43" s="342"/>
      <c r="H43" s="586"/>
      <c r="I43" s="587"/>
      <c r="J43" s="587"/>
      <c r="K43" s="587"/>
      <c r="L43" s="587"/>
      <c r="M43" s="587"/>
      <c r="N43" s="587"/>
      <c r="O43" s="587"/>
      <c r="P43" s="587"/>
      <c r="Q43" s="587"/>
      <c r="R43" s="587"/>
      <c r="S43" s="587"/>
      <c r="T43" s="587"/>
      <c r="U43" s="587"/>
      <c r="V43" s="587"/>
      <c r="W43" s="587"/>
      <c r="X43" s="587"/>
      <c r="Y43" s="587"/>
      <c r="Z43" s="587"/>
      <c r="AA43" s="587"/>
      <c r="AB43" s="587"/>
      <c r="AC43" s="587"/>
      <c r="AD43" s="587"/>
      <c r="AE43" s="587"/>
    </row>
    <row r="44" spans="1:31" ht="16.5" hidden="1" customHeight="1" outlineLevel="1" x14ac:dyDescent="0.85">
      <c r="A44" s="408" t="s">
        <v>1348</v>
      </c>
      <c r="B44" s="408" t="s">
        <v>105</v>
      </c>
      <c r="C44" s="408" t="s">
        <v>107</v>
      </c>
      <c r="D44" s="408" t="s">
        <v>108</v>
      </c>
      <c r="E44" s="408" t="s">
        <v>109</v>
      </c>
      <c r="F44" s="408" t="s">
        <v>110</v>
      </c>
      <c r="G44" s="408" t="s">
        <v>119</v>
      </c>
      <c r="H44" s="586"/>
      <c r="I44" s="586"/>
      <c r="J44" s="586"/>
      <c r="K44" s="586"/>
      <c r="L44" s="586"/>
      <c r="M44" s="586"/>
      <c r="N44" s="586"/>
      <c r="O44" s="586"/>
      <c r="P44" s="586"/>
      <c r="Q44" s="586"/>
      <c r="R44" s="586"/>
      <c r="S44" s="586"/>
      <c r="T44" s="586"/>
      <c r="U44" s="586"/>
      <c r="V44" s="586"/>
      <c r="W44" s="586"/>
      <c r="X44" s="586"/>
      <c r="Y44" s="586"/>
      <c r="Z44" s="586"/>
      <c r="AA44" s="586"/>
      <c r="AB44" s="586"/>
      <c r="AC44" s="586"/>
      <c r="AD44" s="586"/>
      <c r="AE44" s="586"/>
    </row>
    <row r="45" spans="1:31" ht="16.5" hidden="1" customHeight="1" outlineLevel="1" x14ac:dyDescent="0.85">
      <c r="A45" s="589" t="s">
        <v>1349</v>
      </c>
      <c r="B45" s="590"/>
      <c r="C45" s="590"/>
      <c r="D45" s="590"/>
      <c r="E45" s="590"/>
      <c r="F45" s="590"/>
      <c r="G45" s="591"/>
      <c r="H45" s="586"/>
      <c r="I45" s="586"/>
      <c r="J45" s="586"/>
      <c r="K45" s="586"/>
      <c r="L45" s="586"/>
      <c r="M45" s="586"/>
      <c r="N45" s="586"/>
      <c r="O45" s="586"/>
      <c r="P45" s="586"/>
      <c r="Q45" s="586"/>
      <c r="R45" s="586"/>
      <c r="S45" s="586"/>
      <c r="T45" s="586"/>
      <c r="U45" s="586"/>
      <c r="V45" s="586"/>
      <c r="W45" s="586"/>
      <c r="X45" s="586"/>
      <c r="Y45" s="586"/>
      <c r="Z45" s="586"/>
      <c r="AA45" s="586"/>
      <c r="AB45" s="586"/>
      <c r="AC45" s="586"/>
      <c r="AD45" s="586"/>
      <c r="AE45" s="586"/>
    </row>
    <row r="46" spans="1:31" ht="16.5" hidden="1" customHeight="1" outlineLevel="1" x14ac:dyDescent="0.85">
      <c r="A46" s="86" t="s">
        <v>1350</v>
      </c>
      <c r="B46" s="114">
        <f>'City of Albuquerque Data'!$B$5*H64/$C$66*C46+'City of Albuquerque Data'!$B$5*H65/$D$66*D46</f>
        <v>0.21091865947150215</v>
      </c>
      <c r="C46" s="592">
        <f>C68*C70*1028*'Wastewater Data'!$C$25*'Wastewater Data'!$C$20/'Conversion Factors and GWP'!$A$7/'Conversion Factors and GWP'!$A$8</f>
        <v>0.49607538145792002</v>
      </c>
      <c r="D46" s="109">
        <v>0</v>
      </c>
      <c r="E46" s="109">
        <f>E68*E70*1028*'Wastewater Data'!$C$25*'Wastewater Data'!$C$20/'Conversion Factors and GWP'!$A$7/'Conversion Factors and GWP'!$A$8</f>
        <v>0</v>
      </c>
      <c r="F46" s="109">
        <f>F68*F70*1028*'Wastewater Data'!$C$25*'Wastewater Data'!$C$20/'Conversion Factors and GWP'!$A$7/'Conversion Factors and GWP'!$A$8</f>
        <v>0</v>
      </c>
      <c r="G46" s="592">
        <f t="shared" ref="G46:G48" si="8">SUM(C46:F46)</f>
        <v>0.49607538145792002</v>
      </c>
      <c r="H46" s="574"/>
      <c r="I46" s="574"/>
      <c r="J46" s="574"/>
      <c r="K46" s="574"/>
      <c r="L46" s="574"/>
      <c r="M46" s="574"/>
      <c r="N46" s="574"/>
      <c r="O46" s="574"/>
      <c r="P46" s="574"/>
      <c r="Q46" s="574"/>
      <c r="R46" s="574"/>
      <c r="S46" s="574"/>
      <c r="T46" s="574"/>
      <c r="U46" s="574"/>
      <c r="V46" s="574"/>
      <c r="W46" s="574"/>
      <c r="X46" s="574"/>
      <c r="Y46" s="574"/>
      <c r="Z46" s="574"/>
      <c r="AA46" s="574"/>
      <c r="AB46" s="574"/>
      <c r="AC46" s="574"/>
      <c r="AD46" s="574"/>
      <c r="AE46" s="574"/>
    </row>
    <row r="47" spans="1:31" ht="16.5" hidden="1" customHeight="1" outlineLevel="1" x14ac:dyDescent="0.85">
      <c r="A47" s="86" t="s">
        <v>1351</v>
      </c>
      <c r="B47" s="114">
        <f>'City of Albuquerque Data'!$B$5*H64/$C$66*C47+'City of Albuquerque Data'!$B$5*H65/$D$66*D47</f>
        <v>4.1524611083451991E-2</v>
      </c>
      <c r="C47" s="592">
        <f>C68*C70*1028*'Wastewater Data'!$C$25*'Wastewater Data'!$C$21/'Conversion Factors and GWP'!$A$7/'Conversion Factors and GWP'!$A$8</f>
        <v>9.766484072452801E-2</v>
      </c>
      <c r="D47" s="109">
        <v>0</v>
      </c>
      <c r="E47" s="109">
        <f>E68*E70*1028*'Wastewater Data'!$C$25*'Wastewater Data'!$C$21/'Conversion Factors and GWP'!$A$7/'Conversion Factors and GWP'!$A$8</f>
        <v>0</v>
      </c>
      <c r="F47" s="109">
        <f>F68*F70*1028*'Wastewater Data'!$C$25*'Wastewater Data'!$C$21/'Conversion Factors and GWP'!$A$7/'Conversion Factors and GWP'!$A$8</f>
        <v>0</v>
      </c>
      <c r="G47" s="592">
        <f t="shared" si="8"/>
        <v>9.766484072452801E-2</v>
      </c>
      <c r="H47" s="574"/>
      <c r="I47" s="574"/>
      <c r="J47" s="574"/>
      <c r="K47" s="574"/>
      <c r="L47" s="574"/>
      <c r="M47" s="574"/>
      <c r="N47" s="574"/>
      <c r="O47" s="574"/>
      <c r="P47" s="574"/>
      <c r="Q47" s="574"/>
      <c r="R47" s="574"/>
      <c r="S47" s="574"/>
      <c r="T47" s="574"/>
      <c r="U47" s="574"/>
      <c r="V47" s="574"/>
      <c r="W47" s="574"/>
      <c r="X47" s="574"/>
      <c r="Y47" s="574"/>
      <c r="Z47" s="574"/>
      <c r="AA47" s="574"/>
      <c r="AB47" s="574"/>
      <c r="AC47" s="574"/>
      <c r="AD47" s="574"/>
      <c r="AE47" s="574"/>
    </row>
    <row r="48" spans="1:31" ht="16.5" hidden="1" customHeight="1" outlineLevel="1" x14ac:dyDescent="0.85">
      <c r="A48" s="292" t="s">
        <v>1352</v>
      </c>
      <c r="B48" s="293">
        <f>(B46*'Conversion Factors and GWP'!$C$31)+(B47*'Conversion Factors and GWP'!$C$32)</f>
        <v>16.909744402316839</v>
      </c>
      <c r="C48" s="293">
        <f>(C46*'Conversion Factors and GWP'!$C$31)+(C47*'Conversion Factors and GWP'!$C$32)</f>
        <v>39.771293472821682</v>
      </c>
      <c r="D48" s="293">
        <f>(D46*'Conversion Factors and GWP'!$C$31)+(D47*'Conversion Factors and GWP'!$C$32)</f>
        <v>0</v>
      </c>
      <c r="E48" s="293">
        <f>(E46*'Conversion Factors and GWP'!$C$31)+(E47*'Conversion Factors and GWP'!$C$32)</f>
        <v>0</v>
      </c>
      <c r="F48" s="293">
        <f>(F46*'Conversion Factors and GWP'!$C$31)+(F47*'Conversion Factors and GWP'!$C$32)</f>
        <v>0</v>
      </c>
      <c r="G48" s="293">
        <f t="shared" si="8"/>
        <v>39.771293472821682</v>
      </c>
      <c r="H48" s="586"/>
      <c r="I48" s="586"/>
      <c r="J48" s="586"/>
      <c r="K48" s="586"/>
      <c r="L48" s="586"/>
      <c r="M48" s="586"/>
      <c r="N48" s="586"/>
      <c r="O48" s="586"/>
      <c r="P48" s="586"/>
      <c r="Q48" s="586"/>
      <c r="R48" s="586"/>
      <c r="S48" s="586"/>
      <c r="T48" s="586"/>
      <c r="U48" s="586"/>
      <c r="V48" s="586"/>
      <c r="W48" s="586"/>
      <c r="X48" s="586"/>
      <c r="Y48" s="586"/>
      <c r="Z48" s="586"/>
      <c r="AA48" s="586"/>
      <c r="AB48" s="586"/>
      <c r="AC48" s="586"/>
      <c r="AD48" s="586"/>
      <c r="AE48" s="586"/>
    </row>
    <row r="49" spans="1:31" ht="16.5" hidden="1" customHeight="1" outlineLevel="1" x14ac:dyDescent="0.85">
      <c r="A49" s="589" t="s">
        <v>1353</v>
      </c>
      <c r="B49" s="590"/>
      <c r="C49" s="590"/>
      <c r="D49" s="590"/>
      <c r="E49" s="590"/>
      <c r="F49" s="590"/>
      <c r="G49" s="591"/>
      <c r="H49" s="586"/>
      <c r="I49" s="586"/>
      <c r="J49" s="586"/>
      <c r="K49" s="586"/>
      <c r="L49" s="586"/>
      <c r="M49" s="586"/>
      <c r="N49" s="586"/>
      <c r="O49" s="586"/>
      <c r="P49" s="586"/>
      <c r="Q49" s="586"/>
      <c r="R49" s="586"/>
      <c r="S49" s="586"/>
      <c r="T49" s="586"/>
      <c r="U49" s="586"/>
      <c r="V49" s="586"/>
      <c r="W49" s="586"/>
      <c r="X49" s="586"/>
      <c r="Y49" s="586"/>
      <c r="Z49" s="586"/>
      <c r="AA49" s="586"/>
      <c r="AB49" s="586"/>
      <c r="AC49" s="586"/>
      <c r="AD49" s="586"/>
      <c r="AE49" s="586"/>
    </row>
    <row r="50" spans="1:31" ht="16.5" hidden="1" customHeight="1" outlineLevel="1" x14ac:dyDescent="0.85">
      <c r="A50" s="86" t="s">
        <v>1354</v>
      </c>
      <c r="B50" s="109">
        <f>'City of Albuquerque Data'!$B$5*H64/$C$66*C50+'City of Albuquerque Data'!$B$5*H65/$D$66*D50</f>
        <v>1.1722088874544165</v>
      </c>
      <c r="C50" s="109">
        <f>C69*C70*'Wastewater Data'!$C$28*'Wastewater Data'!$C$29*'Wastewater Data'!$C$25/'Conversion Factors and GWP'!$A$8*(1-'Wastewater Data'!$C$30)</f>
        <v>2.7570058165995617</v>
      </c>
      <c r="D50" s="109">
        <v>0</v>
      </c>
      <c r="E50" s="109">
        <f>E69*E70*'Wastewater Data'!$C$28*'Wastewater Data'!$C$29*'Wastewater Data'!$C$25/'Conversion Factors and GWP'!$A$8*(1-'Wastewater Data'!$C$30)</f>
        <v>0</v>
      </c>
      <c r="F50" s="109">
        <f>F69*F70*'Wastewater Data'!$C$28*'Wastewater Data'!$C$29*'Wastewater Data'!$C$25/'Conversion Factors and GWP'!$A$8*(1-'Wastewater Data'!$C$30)</f>
        <v>0</v>
      </c>
      <c r="G50" s="109">
        <f t="shared" ref="G50:G51" si="9">SUM(C50:F50)</f>
        <v>2.7570058165995617</v>
      </c>
      <c r="H50" s="574"/>
      <c r="I50" s="574"/>
      <c r="J50" s="574"/>
      <c r="K50" s="574"/>
      <c r="L50" s="574"/>
      <c r="M50" s="574"/>
      <c r="N50" s="574"/>
      <c r="O50" s="574"/>
      <c r="P50" s="574"/>
      <c r="Q50" s="574"/>
      <c r="R50" s="574"/>
      <c r="S50" s="574"/>
      <c r="T50" s="574"/>
      <c r="U50" s="574"/>
      <c r="V50" s="574"/>
      <c r="W50" s="574"/>
      <c r="X50" s="574"/>
      <c r="Y50" s="574"/>
      <c r="Z50" s="574"/>
      <c r="AA50" s="574"/>
      <c r="AB50" s="574"/>
      <c r="AC50" s="574"/>
      <c r="AD50" s="574"/>
      <c r="AE50" s="574"/>
    </row>
    <row r="51" spans="1:31" ht="16.5" hidden="1" customHeight="1" outlineLevel="1" x14ac:dyDescent="0.85">
      <c r="A51" s="292" t="s">
        <v>1355</v>
      </c>
      <c r="B51" s="293">
        <f>B50*'Conversion Factors and GWP'!$C$31</f>
        <v>32.821848848723661</v>
      </c>
      <c r="C51" s="293">
        <f>C50*'Conversion Factors and GWP'!$C$31</f>
        <v>77.196162864787723</v>
      </c>
      <c r="D51" s="293">
        <f>D50*'Conversion Factors and GWP'!$C$31</f>
        <v>0</v>
      </c>
      <c r="E51" s="293">
        <f>E50*'Conversion Factors and GWP'!$C$31</f>
        <v>0</v>
      </c>
      <c r="F51" s="293">
        <f>F50*'Conversion Factors and GWP'!$C$31</f>
        <v>0</v>
      </c>
      <c r="G51" s="293">
        <f t="shared" si="9"/>
        <v>77.196162864787723</v>
      </c>
      <c r="H51" s="586"/>
      <c r="I51" s="586"/>
      <c r="J51" s="586"/>
      <c r="K51" s="586"/>
      <c r="L51" s="586"/>
      <c r="M51" s="586"/>
      <c r="N51" s="586"/>
      <c r="O51" s="586"/>
      <c r="P51" s="586"/>
      <c r="Q51" s="586"/>
      <c r="R51" s="586"/>
      <c r="S51" s="586"/>
      <c r="T51" s="586"/>
      <c r="U51" s="586"/>
      <c r="V51" s="586"/>
      <c r="W51" s="586"/>
      <c r="X51" s="586"/>
      <c r="Y51" s="586"/>
      <c r="Z51" s="586"/>
      <c r="AA51" s="586"/>
      <c r="AB51" s="586"/>
      <c r="AC51" s="586"/>
      <c r="AD51" s="586"/>
      <c r="AE51" s="586"/>
    </row>
    <row r="52" spans="1:31" ht="16.5" hidden="1" customHeight="1" outlineLevel="1" x14ac:dyDescent="0.85">
      <c r="A52" s="589" t="s">
        <v>1356</v>
      </c>
      <c r="B52" s="590"/>
      <c r="C52" s="590"/>
      <c r="D52" s="590"/>
      <c r="E52" s="590"/>
      <c r="F52" s="590"/>
      <c r="G52" s="591"/>
      <c r="H52" s="586"/>
      <c r="I52" s="586"/>
      <c r="J52" s="586"/>
      <c r="K52" s="586"/>
      <c r="L52" s="586"/>
      <c r="M52" s="586"/>
      <c r="N52" s="586"/>
      <c r="O52" s="586"/>
      <c r="P52" s="586"/>
      <c r="Q52" s="586"/>
      <c r="R52" s="586"/>
      <c r="S52" s="586"/>
      <c r="T52" s="586"/>
      <c r="U52" s="586"/>
      <c r="V52" s="586"/>
      <c r="W52" s="586"/>
      <c r="X52" s="586"/>
      <c r="Y52" s="586"/>
      <c r="Z52" s="586"/>
      <c r="AA52" s="586"/>
      <c r="AB52" s="586"/>
      <c r="AC52" s="586"/>
      <c r="AD52" s="586"/>
      <c r="AE52" s="586"/>
    </row>
    <row r="53" spans="1:31" ht="16.5" hidden="1" customHeight="1" outlineLevel="1" x14ac:dyDescent="0.85">
      <c r="A53" s="86" t="s">
        <v>1357</v>
      </c>
      <c r="B53" s="109">
        <f>'City of Albuquerque Data'!$B$5*H64/$C$66*C53+'City of Albuquerque Data'!$B$5*H65/$D$66*D53</f>
        <v>4.4179222500000002</v>
      </c>
      <c r="C53" s="109">
        <f>IF(C64="yes",C66*'Wastewater Data'!$C$22/'Conversion Factors and GWP'!$A$8,0)</f>
        <v>4.6181520000000003</v>
      </c>
      <c r="D53" s="109">
        <f>IF(D64="yes",D66*'Wastewater Data'!$C$27*'Wastewater Data'!$C$22/'Conversion Factors and GWP'!$A$8,0)</f>
        <v>0.95858874999999999</v>
      </c>
      <c r="E53" s="109">
        <f>IF(E64="yes",E66*'Wastewater Data'!$C$27*'Wastewater Data'!$C$22/'Conversion Factors and GWP'!$A$8,0)</f>
        <v>0</v>
      </c>
      <c r="F53" s="109">
        <f>IF(F64="yes",F66*'Wastewater Data'!$C$27*'Wastewater Data'!$C$22/'Conversion Factors and GWP'!$A$8,0)</f>
        <v>0</v>
      </c>
      <c r="G53" s="109">
        <f t="shared" ref="G53:G54" si="10">SUM(C53:F53)</f>
        <v>5.5767407499999999</v>
      </c>
      <c r="H53" s="574"/>
      <c r="I53" s="574"/>
      <c r="J53" s="574"/>
      <c r="K53" s="574"/>
      <c r="L53" s="574"/>
      <c r="M53" s="574"/>
      <c r="N53" s="574"/>
      <c r="O53" s="574"/>
      <c r="P53" s="574"/>
      <c r="Q53" s="574"/>
      <c r="R53" s="574"/>
      <c r="S53" s="574"/>
      <c r="T53" s="574"/>
      <c r="U53" s="574"/>
      <c r="V53" s="574"/>
      <c r="W53" s="574"/>
      <c r="X53" s="574"/>
      <c r="Y53" s="574"/>
      <c r="Z53" s="574"/>
      <c r="AA53" s="574"/>
      <c r="AB53" s="574"/>
      <c r="AC53" s="574"/>
      <c r="AD53" s="574"/>
      <c r="AE53" s="574"/>
    </row>
    <row r="54" spans="1:31" ht="16.5" hidden="1" customHeight="1" outlineLevel="1" x14ac:dyDescent="0.85">
      <c r="A54" s="593" t="s">
        <v>1358</v>
      </c>
      <c r="B54" s="293">
        <f>B53*'Conversion Factors and GWP'!$C$32</f>
        <v>1170.74939625</v>
      </c>
      <c r="C54" s="293">
        <f>C53*'Conversion Factors and GWP'!$C$32</f>
        <v>1223.8102800000001</v>
      </c>
      <c r="D54" s="293">
        <f>D53*'Conversion Factors and GWP'!$C$32</f>
        <v>254.02601874999999</v>
      </c>
      <c r="E54" s="293">
        <f>E53*'Conversion Factors and GWP'!$C$32</f>
        <v>0</v>
      </c>
      <c r="F54" s="293">
        <f>F53*'Conversion Factors and GWP'!$C$32</f>
        <v>0</v>
      </c>
      <c r="G54" s="293">
        <f t="shared" si="10"/>
        <v>1477.8362987500002</v>
      </c>
      <c r="H54" s="586"/>
      <c r="I54" s="586"/>
      <c r="J54" s="586"/>
      <c r="K54" s="586"/>
      <c r="L54" s="586"/>
      <c r="M54" s="586"/>
      <c r="N54" s="586"/>
      <c r="O54" s="586"/>
      <c r="P54" s="586"/>
      <c r="Q54" s="586"/>
      <c r="R54" s="586"/>
      <c r="S54" s="586"/>
      <c r="T54" s="586"/>
      <c r="U54" s="586"/>
      <c r="V54" s="586"/>
      <c r="W54" s="586"/>
      <c r="X54" s="586"/>
      <c r="Y54" s="586"/>
      <c r="Z54" s="586"/>
      <c r="AA54" s="586"/>
      <c r="AB54" s="586"/>
      <c r="AC54" s="586"/>
      <c r="AD54" s="586"/>
      <c r="AE54" s="586"/>
    </row>
    <row r="55" spans="1:31" ht="16.5" hidden="1" customHeight="1" outlineLevel="1" x14ac:dyDescent="0.85">
      <c r="A55" s="589" t="s">
        <v>1359</v>
      </c>
      <c r="B55" s="590"/>
      <c r="C55" s="590"/>
      <c r="D55" s="590"/>
      <c r="E55" s="590"/>
      <c r="F55" s="590"/>
      <c r="G55" s="591"/>
      <c r="H55" s="586"/>
      <c r="I55" s="586"/>
      <c r="J55" s="586"/>
      <c r="K55" s="586"/>
      <c r="L55" s="586"/>
      <c r="M55" s="586"/>
      <c r="N55" s="586"/>
      <c r="O55" s="586"/>
      <c r="P55" s="586"/>
      <c r="Q55" s="586"/>
      <c r="R55" s="586"/>
      <c r="S55" s="586"/>
      <c r="T55" s="586"/>
      <c r="U55" s="586"/>
      <c r="V55" s="586"/>
      <c r="W55" s="586"/>
      <c r="X55" s="586"/>
      <c r="Y55" s="586"/>
      <c r="Z55" s="586"/>
      <c r="AA55" s="586"/>
      <c r="AB55" s="586"/>
      <c r="AC55" s="586"/>
      <c r="AD55" s="586"/>
      <c r="AE55" s="586"/>
    </row>
    <row r="56" spans="1:31" ht="16.5" hidden="1" customHeight="1" outlineLevel="1" x14ac:dyDescent="0.85">
      <c r="A56" s="86" t="s">
        <v>1360</v>
      </c>
      <c r="B56" s="109">
        <f>'City of Albuquerque Data'!$B$5*H64/$C$66*C56+'City of Albuquerque Data'!$B$5*H65/$D$66*D56</f>
        <v>0</v>
      </c>
      <c r="C56" s="109">
        <f>IF(C64="no",C66*'Wastewater Data'!$C$27*'Wastewater Data'!$C$23/'Conversion Factors and GWP'!$A$8,0)</f>
        <v>0</v>
      </c>
      <c r="D56" s="109">
        <f>IF(D64="no",D66*'Wastewater Data'!$C$27*'Wastewater Data'!$C$23/'Conversion Factors and GWP'!$A$8,0)</f>
        <v>0</v>
      </c>
      <c r="E56" s="109">
        <f>IF(E64="no",E66*'Wastewater Data'!$C$27*'Wastewater Data'!$C$23/'Conversion Factors and GWP'!$A$8,0)</f>
        <v>0</v>
      </c>
      <c r="F56" s="109">
        <f>IF(F64="no",F66*'Wastewater Data'!$C$27*'Wastewater Data'!$C$23/'Conversion Factors and GWP'!$A$8,0)</f>
        <v>0</v>
      </c>
      <c r="G56" s="109">
        <f t="shared" ref="G56:G57" si="11">SUM(C56:F56)</f>
        <v>0</v>
      </c>
      <c r="H56" s="574"/>
      <c r="I56" s="574"/>
      <c r="J56" s="574"/>
      <c r="K56" s="574"/>
      <c r="L56" s="574"/>
      <c r="M56" s="574"/>
      <c r="N56" s="574"/>
      <c r="O56" s="574"/>
      <c r="P56" s="574"/>
      <c r="Q56" s="574"/>
      <c r="R56" s="574"/>
      <c r="S56" s="574"/>
      <c r="T56" s="574"/>
      <c r="U56" s="574"/>
      <c r="V56" s="574"/>
      <c r="W56" s="574"/>
      <c r="X56" s="574"/>
      <c r="Y56" s="574"/>
      <c r="Z56" s="574"/>
      <c r="AA56" s="574"/>
      <c r="AB56" s="574"/>
      <c r="AC56" s="574"/>
      <c r="AD56" s="574"/>
      <c r="AE56" s="574"/>
    </row>
    <row r="57" spans="1:31" ht="16.5" hidden="1" customHeight="1" outlineLevel="1" x14ac:dyDescent="0.85">
      <c r="A57" s="593" t="s">
        <v>1361</v>
      </c>
      <c r="B57" s="293">
        <f>B56*'Conversion Factors and GWP'!$C$32</f>
        <v>0</v>
      </c>
      <c r="C57" s="293">
        <f>C56*'Conversion Factors and GWP'!$C$32</f>
        <v>0</v>
      </c>
      <c r="D57" s="293">
        <f>D56*'Conversion Factors and GWP'!$C$32</f>
        <v>0</v>
      </c>
      <c r="E57" s="293">
        <f>E56*'Conversion Factors and GWP'!$C$32</f>
        <v>0</v>
      </c>
      <c r="F57" s="293">
        <f>F56*'Conversion Factors and GWP'!$C$32</f>
        <v>0</v>
      </c>
      <c r="G57" s="293">
        <f t="shared" si="11"/>
        <v>0</v>
      </c>
      <c r="H57" s="586"/>
      <c r="I57" s="586"/>
      <c r="J57" s="586"/>
      <c r="K57" s="586"/>
      <c r="L57" s="586"/>
      <c r="M57" s="586"/>
      <c r="N57" s="586"/>
      <c r="O57" s="586"/>
      <c r="P57" s="586"/>
      <c r="Q57" s="586"/>
      <c r="R57" s="586"/>
      <c r="S57" s="586"/>
      <c r="T57" s="586"/>
      <c r="U57" s="586"/>
      <c r="V57" s="586"/>
      <c r="W57" s="586"/>
      <c r="X57" s="586"/>
      <c r="Y57" s="586"/>
      <c r="Z57" s="586"/>
      <c r="AA57" s="586"/>
      <c r="AB57" s="586"/>
      <c r="AC57" s="586"/>
      <c r="AD57" s="586"/>
      <c r="AE57" s="586"/>
    </row>
    <row r="58" spans="1:31" ht="16.5" hidden="1" customHeight="1" outlineLevel="1" x14ac:dyDescent="0.85">
      <c r="A58" s="589" t="s">
        <v>1322</v>
      </c>
      <c r="B58" s="590"/>
      <c r="C58" s="590"/>
      <c r="D58" s="590"/>
      <c r="E58" s="590"/>
      <c r="F58" s="590"/>
      <c r="G58" s="591"/>
      <c r="H58" s="586"/>
      <c r="I58" s="586"/>
      <c r="J58" s="586"/>
      <c r="K58" s="586"/>
      <c r="L58" s="586"/>
      <c r="M58" s="586"/>
      <c r="N58" s="586"/>
      <c r="O58" s="586"/>
      <c r="P58" s="586"/>
      <c r="Q58" s="586"/>
      <c r="R58" s="586"/>
      <c r="S58" s="586"/>
      <c r="T58" s="586"/>
      <c r="U58" s="586"/>
      <c r="V58" s="586"/>
      <c r="W58" s="586"/>
      <c r="X58" s="586"/>
      <c r="Y58" s="586"/>
      <c r="Z58" s="586"/>
      <c r="AA58" s="586"/>
      <c r="AB58" s="586"/>
      <c r="AC58" s="586"/>
      <c r="AD58" s="586"/>
      <c r="AE58" s="586"/>
    </row>
    <row r="59" spans="1:31" ht="16.5" hidden="1" customHeight="1" outlineLevel="1" x14ac:dyDescent="0.85">
      <c r="A59" s="86" t="s">
        <v>1362</v>
      </c>
      <c r="B59" s="109">
        <f>'City of Albuquerque Data'!$B$5*H64/$C$66*C59+'City of Albuquerque Data'!$B$5*H65/$D$66*D59</f>
        <v>1.779888552598788</v>
      </c>
      <c r="C59" s="109">
        <f>C67*'Wastewater Data'!$C$24*'Wastewater Data'!$B$35/'Conversion Factors and GWP'!$A$7*'Wastewater Data'!$C$26</f>
        <v>3.5851625100000009</v>
      </c>
      <c r="D59" s="592">
        <f>D67*'Wastewater Data'!$C$24*'Wastewater Data'!$B$35/'Conversion Factors and GWP'!$A$7*'Wastewater Data'!$C$26</f>
        <v>9.9814589062379958E-2</v>
      </c>
      <c r="E59" s="109">
        <f>E67*'Wastewater Data'!$C$24*'Wastewater Data'!$B$35/'Conversion Factors and GWP'!$A$7*'Wastewater Data'!$C$26</f>
        <v>0</v>
      </c>
      <c r="F59" s="109">
        <f>F67*'Wastewater Data'!$C$24*'Wastewater Data'!$B$35/'Conversion Factors and GWP'!$A$7*'Wastewater Data'!$C$26</f>
        <v>0</v>
      </c>
      <c r="G59" s="109">
        <f t="shared" ref="G59:G61" si="12">SUM(C59:F59)</f>
        <v>3.6849770990623809</v>
      </c>
      <c r="H59" s="574"/>
      <c r="I59" s="574"/>
      <c r="J59" s="574"/>
      <c r="K59" s="574"/>
      <c r="L59" s="574"/>
      <c r="M59" s="574"/>
      <c r="N59" s="574"/>
      <c r="O59" s="574"/>
      <c r="P59" s="574"/>
      <c r="Q59" s="574"/>
      <c r="R59" s="574"/>
      <c r="S59" s="574"/>
      <c r="T59" s="574"/>
      <c r="U59" s="574"/>
      <c r="V59" s="574"/>
      <c r="W59" s="574"/>
      <c r="X59" s="574"/>
      <c r="Y59" s="574"/>
      <c r="Z59" s="574"/>
      <c r="AA59" s="574"/>
      <c r="AB59" s="574"/>
      <c r="AC59" s="574"/>
      <c r="AD59" s="574"/>
      <c r="AE59" s="574"/>
    </row>
    <row r="60" spans="1:31" ht="16.5" hidden="1" customHeight="1" outlineLevel="1" x14ac:dyDescent="0.85">
      <c r="A60" s="292" t="s">
        <v>1363</v>
      </c>
      <c r="B60" s="293">
        <f>B59*'Conversion Factors and GWP'!$C$32</f>
        <v>471.67046643867883</v>
      </c>
      <c r="C60" s="293">
        <f>C59*'Conversion Factors and GWP'!$C$32</f>
        <v>950.06806515000028</v>
      </c>
      <c r="D60" s="293">
        <f>D59*'Conversion Factors and GWP'!$C$32</f>
        <v>26.450866101530689</v>
      </c>
      <c r="E60" s="293">
        <f>E59*'Conversion Factors and GWP'!$C$32</f>
        <v>0</v>
      </c>
      <c r="F60" s="293">
        <f>F59*'Conversion Factors and GWP'!$C$32</f>
        <v>0</v>
      </c>
      <c r="G60" s="293">
        <f t="shared" si="12"/>
        <v>976.51893125153094</v>
      </c>
      <c r="H60" s="586"/>
      <c r="I60" s="586"/>
      <c r="J60" s="586"/>
      <c r="K60" s="586"/>
      <c r="L60" s="586"/>
      <c r="M60" s="586"/>
      <c r="N60" s="586"/>
      <c r="O60" s="586"/>
      <c r="P60" s="586"/>
      <c r="Q60" s="586"/>
      <c r="R60" s="586"/>
      <c r="S60" s="586"/>
      <c r="T60" s="586"/>
      <c r="U60" s="586"/>
      <c r="V60" s="586"/>
      <c r="W60" s="586"/>
      <c r="X60" s="586"/>
      <c r="Y60" s="586"/>
      <c r="Z60" s="586"/>
      <c r="AA60" s="586"/>
      <c r="AB60" s="586"/>
      <c r="AC60" s="586"/>
      <c r="AD60" s="586"/>
      <c r="AE60" s="586"/>
    </row>
    <row r="61" spans="1:31" ht="16.5" hidden="1" customHeight="1" outlineLevel="1" x14ac:dyDescent="0.85">
      <c r="A61" s="594" t="s">
        <v>1364</v>
      </c>
      <c r="B61" s="595">
        <f t="shared" ref="B61:F61" si="13">SUM(B60,B57,B54,B51,B48,)</f>
        <v>1692.1514559397194</v>
      </c>
      <c r="C61" s="595">
        <f t="shared" si="13"/>
        <v>2290.8458014876096</v>
      </c>
      <c r="D61" s="595">
        <f t="shared" si="13"/>
        <v>280.47688485153066</v>
      </c>
      <c r="E61" s="595">
        <f t="shared" si="13"/>
        <v>0</v>
      </c>
      <c r="F61" s="595">
        <f t="shared" si="13"/>
        <v>0</v>
      </c>
      <c r="G61" s="596">
        <f t="shared" si="12"/>
        <v>2571.3226863391401</v>
      </c>
      <c r="H61" s="586"/>
      <c r="I61" s="586"/>
      <c r="J61" s="586"/>
      <c r="K61" s="586"/>
      <c r="L61" s="586"/>
      <c r="M61" s="586"/>
      <c r="N61" s="586"/>
      <c r="O61" s="586"/>
      <c r="P61" s="586"/>
      <c r="Q61" s="586"/>
      <c r="R61" s="586"/>
      <c r="S61" s="586"/>
      <c r="T61" s="586"/>
      <c r="U61" s="586"/>
      <c r="V61" s="586"/>
      <c r="W61" s="586"/>
      <c r="X61" s="586"/>
      <c r="Y61" s="586"/>
      <c r="Z61" s="586"/>
      <c r="AA61" s="586"/>
      <c r="AB61" s="586"/>
      <c r="AC61" s="586"/>
      <c r="AD61" s="586"/>
      <c r="AE61" s="586"/>
    </row>
    <row r="62" spans="1:31" ht="16.5" hidden="1" customHeight="1" outlineLevel="1" x14ac:dyDescent="0.85">
      <c r="A62" s="334" t="s">
        <v>828</v>
      </c>
      <c r="B62" s="341"/>
      <c r="C62" s="341"/>
      <c r="D62" s="341"/>
      <c r="E62" s="341"/>
      <c r="F62" s="341"/>
      <c r="G62" s="341"/>
      <c r="H62" s="342"/>
      <c r="I62" s="586"/>
      <c r="J62" s="586"/>
      <c r="K62" s="586"/>
      <c r="L62" s="586"/>
      <c r="M62" s="586"/>
      <c r="N62" s="586"/>
      <c r="O62" s="586"/>
      <c r="P62" s="586"/>
      <c r="Q62" s="586"/>
      <c r="R62" s="586"/>
      <c r="S62" s="586"/>
      <c r="T62" s="586"/>
      <c r="U62" s="586"/>
      <c r="V62" s="586"/>
      <c r="W62" s="586"/>
      <c r="X62" s="586"/>
      <c r="Y62" s="586"/>
      <c r="Z62" s="586"/>
      <c r="AA62" s="586"/>
      <c r="AB62" s="586"/>
      <c r="AC62" s="586"/>
      <c r="AD62" s="586"/>
      <c r="AE62" s="586"/>
    </row>
    <row r="63" spans="1:31" ht="24" hidden="1" customHeight="1" outlineLevel="1" x14ac:dyDescent="0.85">
      <c r="A63" s="408"/>
      <c r="B63" s="408" t="s">
        <v>105</v>
      </c>
      <c r="C63" s="358" t="s">
        <v>1365</v>
      </c>
      <c r="D63" s="358" t="s">
        <v>1366</v>
      </c>
      <c r="E63" s="358" t="s">
        <v>109</v>
      </c>
      <c r="F63" s="358" t="s">
        <v>110</v>
      </c>
      <c r="G63" s="864" t="s">
        <v>1367</v>
      </c>
      <c r="H63" s="762"/>
      <c r="I63" s="574"/>
      <c r="J63" s="574"/>
      <c r="K63" s="574"/>
      <c r="L63" s="574"/>
      <c r="M63" s="574"/>
      <c r="N63" s="574"/>
      <c r="O63" s="574"/>
      <c r="P63" s="574"/>
      <c r="Q63" s="574"/>
      <c r="R63" s="574"/>
      <c r="S63" s="574"/>
      <c r="T63" s="574"/>
      <c r="U63" s="574"/>
      <c r="V63" s="574"/>
      <c r="W63" s="574"/>
      <c r="X63" s="574"/>
      <c r="Y63" s="574"/>
      <c r="Z63" s="574"/>
      <c r="AA63" s="574"/>
      <c r="AB63" s="574"/>
      <c r="AC63" s="574"/>
      <c r="AD63" s="574"/>
      <c r="AE63" s="574"/>
    </row>
    <row r="64" spans="1:31" ht="21" hidden="1" customHeight="1" outlineLevel="1" x14ac:dyDescent="0.85">
      <c r="A64" s="86" t="s">
        <v>1368</v>
      </c>
      <c r="B64" s="933" t="s">
        <v>1369</v>
      </c>
      <c r="C64" s="597" t="s">
        <v>1370</v>
      </c>
      <c r="D64" s="597" t="s">
        <v>1370</v>
      </c>
      <c r="E64" s="934" t="s">
        <v>1371</v>
      </c>
      <c r="F64" s="825"/>
      <c r="G64" s="38" t="s">
        <v>126</v>
      </c>
      <c r="H64" s="524">
        <v>0.5</v>
      </c>
      <c r="I64" s="574"/>
      <c r="J64" s="574"/>
      <c r="K64" s="574"/>
      <c r="L64" s="574"/>
      <c r="M64" s="574"/>
      <c r="N64" s="574"/>
      <c r="O64" s="574"/>
      <c r="P64" s="574"/>
      <c r="Q64" s="574"/>
      <c r="R64" s="574"/>
      <c r="S64" s="574"/>
      <c r="T64" s="574"/>
      <c r="U64" s="574"/>
      <c r="V64" s="574"/>
      <c r="W64" s="574"/>
      <c r="X64" s="574"/>
      <c r="Y64" s="574"/>
      <c r="Z64" s="574"/>
      <c r="AA64" s="574"/>
      <c r="AB64" s="574"/>
      <c r="AC64" s="574"/>
      <c r="AD64" s="574"/>
      <c r="AE64" s="574"/>
    </row>
    <row r="65" spans="1:31" ht="16.5" hidden="1" customHeight="1" outlineLevel="1" x14ac:dyDescent="0.85">
      <c r="A65" s="86" t="s">
        <v>1372</v>
      </c>
      <c r="B65" s="855"/>
      <c r="C65" s="597" t="s">
        <v>1370</v>
      </c>
      <c r="D65" s="597" t="s">
        <v>1373</v>
      </c>
      <c r="E65" s="809"/>
      <c r="F65" s="826"/>
      <c r="G65" s="38" t="s">
        <v>127</v>
      </c>
      <c r="H65" s="524">
        <v>0.5</v>
      </c>
      <c r="I65" s="574"/>
      <c r="J65" s="574"/>
      <c r="K65" s="574"/>
      <c r="L65" s="574"/>
      <c r="M65" s="574"/>
      <c r="N65" s="574"/>
      <c r="O65" s="574"/>
      <c r="P65" s="574"/>
      <c r="Q65" s="574"/>
      <c r="R65" s="574"/>
      <c r="S65" s="574"/>
      <c r="T65" s="574"/>
      <c r="U65" s="574"/>
      <c r="V65" s="574"/>
      <c r="W65" s="574"/>
      <c r="X65" s="574"/>
      <c r="Y65" s="574"/>
      <c r="Z65" s="574"/>
      <c r="AA65" s="574"/>
      <c r="AB65" s="574"/>
      <c r="AC65" s="574"/>
      <c r="AD65" s="574"/>
      <c r="AE65" s="574"/>
    </row>
    <row r="66" spans="1:31" ht="16.5" hidden="1" customHeight="1" outlineLevel="1" x14ac:dyDescent="0.85">
      <c r="A66" s="86" t="s">
        <v>1374</v>
      </c>
      <c r="B66" s="855"/>
      <c r="C66" s="598">
        <v>659736</v>
      </c>
      <c r="D66" s="598">
        <v>109553</v>
      </c>
      <c r="E66" s="809"/>
      <c r="F66" s="826"/>
      <c r="G66" s="574"/>
      <c r="H66" s="574"/>
      <c r="I66" s="574"/>
      <c r="J66" s="574"/>
      <c r="K66" s="574"/>
      <c r="L66" s="574"/>
      <c r="M66" s="574"/>
      <c r="N66" s="574"/>
      <c r="O66" s="574"/>
      <c r="P66" s="574"/>
      <c r="Q66" s="574"/>
      <c r="R66" s="574"/>
      <c r="S66" s="574"/>
      <c r="T66" s="574"/>
      <c r="U66" s="574"/>
      <c r="V66" s="574"/>
      <c r="W66" s="574"/>
      <c r="X66" s="574"/>
      <c r="Y66" s="574"/>
      <c r="Z66" s="574"/>
      <c r="AA66" s="574"/>
      <c r="AB66" s="574"/>
      <c r="AC66" s="574"/>
      <c r="AD66" s="574"/>
      <c r="AE66" s="574"/>
    </row>
    <row r="67" spans="1:31" ht="16.5" hidden="1" customHeight="1" outlineLevel="1" x14ac:dyDescent="0.85">
      <c r="A67" s="86" t="s">
        <v>1375</v>
      </c>
      <c r="B67" s="855"/>
      <c r="C67" s="599">
        <v>1250.4000000000001</v>
      </c>
      <c r="D67" s="599">
        <v>34.812414169643837</v>
      </c>
      <c r="E67" s="809"/>
      <c r="F67" s="826"/>
      <c r="G67" s="574"/>
      <c r="H67" s="574"/>
      <c r="I67" s="574"/>
      <c r="J67" s="574"/>
      <c r="K67" s="574"/>
      <c r="L67" s="574"/>
      <c r="M67" s="574"/>
      <c r="N67" s="574"/>
      <c r="O67" s="574"/>
      <c r="P67" s="574"/>
      <c r="Q67" s="574"/>
      <c r="R67" s="574"/>
      <c r="S67" s="574"/>
      <c r="T67" s="574"/>
      <c r="U67" s="574"/>
      <c r="V67" s="574"/>
      <c r="W67" s="574"/>
      <c r="X67" s="574"/>
      <c r="Y67" s="574"/>
      <c r="Z67" s="574"/>
      <c r="AA67" s="574"/>
      <c r="AB67" s="574"/>
      <c r="AC67" s="574"/>
      <c r="AD67" s="574"/>
      <c r="AE67" s="574"/>
    </row>
    <row r="68" spans="1:31" ht="16.5" hidden="1" customHeight="1" outlineLevel="1" x14ac:dyDescent="0.85">
      <c r="A68" s="86" t="s">
        <v>1376</v>
      </c>
      <c r="B68" s="855"/>
      <c r="C68" s="598">
        <f>260001940/C25</f>
        <v>711846.51608487335</v>
      </c>
      <c r="D68" s="598" t="s">
        <v>106</v>
      </c>
      <c r="E68" s="809"/>
      <c r="F68" s="826"/>
      <c r="G68" s="574"/>
      <c r="H68" s="574"/>
      <c r="I68" s="574"/>
      <c r="J68" s="574"/>
      <c r="K68" s="574"/>
      <c r="L68" s="574"/>
      <c r="M68" s="574"/>
      <c r="N68" s="574"/>
      <c r="O68" s="574"/>
      <c r="P68" s="574"/>
      <c r="Q68" s="574"/>
      <c r="R68" s="574"/>
      <c r="S68" s="574"/>
      <c r="T68" s="574"/>
      <c r="U68" s="574"/>
      <c r="V68" s="574"/>
      <c r="W68" s="574"/>
      <c r="X68" s="574"/>
      <c r="Y68" s="574"/>
      <c r="Z68" s="574"/>
      <c r="AA68" s="574"/>
      <c r="AB68" s="574"/>
      <c r="AC68" s="574"/>
      <c r="AD68" s="574"/>
      <c r="AE68" s="574"/>
    </row>
    <row r="69" spans="1:31" ht="16.5" hidden="1" customHeight="1" outlineLevel="1" x14ac:dyDescent="0.85">
      <c r="A69" s="86" t="s">
        <v>1377</v>
      </c>
      <c r="B69" s="855"/>
      <c r="C69" s="598">
        <f>25372617/C25</f>
        <v>69466.439425051329</v>
      </c>
      <c r="D69" s="598" t="s">
        <v>106</v>
      </c>
      <c r="E69" s="809"/>
      <c r="F69" s="826"/>
      <c r="G69" s="574"/>
      <c r="H69" s="574"/>
      <c r="I69" s="574"/>
      <c r="J69" s="574"/>
      <c r="K69" s="574"/>
      <c r="L69" s="574"/>
      <c r="M69" s="574"/>
      <c r="N69" s="574"/>
      <c r="O69" s="574"/>
      <c r="P69" s="574"/>
      <c r="Q69" s="574"/>
      <c r="R69" s="574"/>
      <c r="S69" s="574"/>
      <c r="T69" s="574"/>
      <c r="U69" s="574"/>
      <c r="V69" s="574"/>
      <c r="W69" s="574"/>
      <c r="X69" s="574"/>
      <c r="Y69" s="574"/>
      <c r="Z69" s="574"/>
      <c r="AA69" s="574"/>
      <c r="AB69" s="574"/>
      <c r="AC69" s="574"/>
      <c r="AD69" s="574"/>
      <c r="AE69" s="574"/>
    </row>
    <row r="70" spans="1:31" ht="16.5" hidden="1" customHeight="1" outlineLevel="1" x14ac:dyDescent="0.85">
      <c r="A70" s="86" t="s">
        <v>1378</v>
      </c>
      <c r="B70" s="797"/>
      <c r="C70" s="600">
        <v>0.57999999999999996</v>
      </c>
      <c r="D70" s="598" t="s">
        <v>106</v>
      </c>
      <c r="E70" s="810"/>
      <c r="F70" s="767"/>
      <c r="G70" s="574"/>
      <c r="H70" s="574"/>
      <c r="I70" s="574"/>
      <c r="J70" s="574"/>
      <c r="K70" s="574"/>
      <c r="L70" s="574"/>
      <c r="M70" s="574"/>
      <c r="N70" s="574"/>
      <c r="O70" s="574"/>
      <c r="P70" s="574"/>
      <c r="Q70" s="574"/>
      <c r="R70" s="574"/>
      <c r="S70" s="574"/>
      <c r="T70" s="574"/>
      <c r="U70" s="574"/>
      <c r="V70" s="574"/>
      <c r="W70" s="574"/>
      <c r="X70" s="574"/>
      <c r="Y70" s="574"/>
      <c r="Z70" s="574"/>
      <c r="AA70" s="574"/>
      <c r="AB70" s="574"/>
      <c r="AC70" s="574"/>
      <c r="AD70" s="574"/>
      <c r="AE70" s="574"/>
    </row>
    <row r="71" spans="1:31" ht="16.5" hidden="1" customHeight="1" outlineLevel="1" x14ac:dyDescent="0.85">
      <c r="A71" s="1"/>
      <c r="B71" s="574"/>
      <c r="C71" s="1"/>
      <c r="D71" s="1"/>
      <c r="E71" s="1"/>
      <c r="F71" s="1"/>
      <c r="G71" s="1"/>
      <c r="H71" s="1"/>
      <c r="I71" s="1"/>
      <c r="J71" s="1"/>
      <c r="K71" s="574"/>
      <c r="L71" s="574"/>
      <c r="M71" s="574"/>
      <c r="N71" s="574"/>
      <c r="O71" s="574"/>
      <c r="P71" s="574"/>
      <c r="Q71" s="574"/>
      <c r="R71" s="574"/>
      <c r="S71" s="574"/>
      <c r="T71" s="574"/>
      <c r="U71" s="574"/>
      <c r="V71" s="574"/>
      <c r="W71" s="574"/>
      <c r="X71" s="574"/>
      <c r="Y71" s="574"/>
      <c r="Z71" s="574"/>
      <c r="AA71" s="574"/>
      <c r="AB71" s="574"/>
      <c r="AC71" s="574"/>
      <c r="AD71" s="574"/>
      <c r="AE71" s="574"/>
    </row>
    <row r="72" spans="1:31" ht="16.5" hidden="1" customHeight="1" outlineLevel="1" x14ac:dyDescent="0.85">
      <c r="A72" s="334" t="s">
        <v>1300</v>
      </c>
      <c r="B72" s="341"/>
      <c r="C72" s="341"/>
      <c r="D72" s="341"/>
      <c r="E72" s="341"/>
      <c r="F72" s="341"/>
      <c r="G72" s="342"/>
      <c r="H72" s="574"/>
      <c r="I72" s="574"/>
      <c r="J72" s="574"/>
      <c r="K72" s="574"/>
      <c r="L72" s="574"/>
      <c r="M72" s="574"/>
      <c r="N72" s="574"/>
      <c r="O72" s="574"/>
      <c r="P72" s="574"/>
      <c r="Q72" s="574"/>
      <c r="R72" s="574"/>
      <c r="S72" s="574"/>
      <c r="T72" s="574"/>
      <c r="U72" s="574"/>
      <c r="V72" s="574"/>
      <c r="W72" s="574"/>
      <c r="X72" s="574"/>
      <c r="Y72" s="574"/>
      <c r="Z72" s="574"/>
      <c r="AA72" s="574"/>
      <c r="AB72" s="574"/>
      <c r="AC72" s="574"/>
      <c r="AD72" s="574"/>
      <c r="AE72" s="574"/>
    </row>
    <row r="73" spans="1:31" ht="16.5" hidden="1" customHeight="1" outlineLevel="1" x14ac:dyDescent="0.85">
      <c r="A73" s="408"/>
      <c r="B73" s="408" t="s">
        <v>105</v>
      </c>
      <c r="C73" s="408" t="s">
        <v>107</v>
      </c>
      <c r="D73" s="408" t="s">
        <v>108</v>
      </c>
      <c r="E73" s="408" t="s">
        <v>109</v>
      </c>
      <c r="F73" s="408" t="s">
        <v>110</v>
      </c>
      <c r="G73" s="408" t="s">
        <v>119</v>
      </c>
      <c r="H73" s="574"/>
      <c r="I73" s="574"/>
      <c r="J73" s="574"/>
      <c r="K73" s="574"/>
      <c r="L73" s="574"/>
      <c r="M73" s="574"/>
      <c r="N73" s="574"/>
      <c r="O73" s="574"/>
      <c r="P73" s="574"/>
      <c r="Q73" s="574"/>
      <c r="R73" s="574"/>
      <c r="S73" s="574"/>
      <c r="T73" s="574"/>
      <c r="U73" s="574"/>
      <c r="V73" s="574"/>
      <c r="W73" s="574"/>
      <c r="X73" s="574"/>
      <c r="Y73" s="574"/>
      <c r="Z73" s="574"/>
      <c r="AA73" s="574"/>
      <c r="AB73" s="574"/>
      <c r="AC73" s="574"/>
      <c r="AD73" s="574"/>
      <c r="AE73" s="574"/>
    </row>
    <row r="74" spans="1:31" ht="16.5" hidden="1" customHeight="1" outlineLevel="1" x14ac:dyDescent="0.85">
      <c r="A74" s="86" t="s">
        <v>1379</v>
      </c>
      <c r="B74" s="598">
        <v>0</v>
      </c>
      <c r="C74" s="601">
        <f>'Bernalillo County Data'!B5-C66</f>
        <v>12772</v>
      </c>
      <c r="D74" s="601">
        <f>'Sandoval County Data'!B5-D66</f>
        <v>43948</v>
      </c>
      <c r="E74" s="601">
        <f>'Torrance County Data'!B5</f>
        <v>15203</v>
      </c>
      <c r="F74" s="601">
        <f>'Valencia County Data'!B5</f>
        <v>78080</v>
      </c>
      <c r="G74" s="109">
        <f t="shared" ref="G74:G75" si="14">SUM(C74:F74)</f>
        <v>150003</v>
      </c>
      <c r="H74" s="574"/>
      <c r="I74" s="574"/>
      <c r="J74" s="574"/>
      <c r="K74" s="574"/>
      <c r="L74" s="574"/>
      <c r="M74" s="574"/>
      <c r="N74" s="574"/>
      <c r="O74" s="574"/>
      <c r="P74" s="574"/>
      <c r="Q74" s="574"/>
      <c r="R74" s="574"/>
      <c r="S74" s="574"/>
      <c r="T74" s="574"/>
      <c r="U74" s="574"/>
      <c r="V74" s="574"/>
      <c r="W74" s="574"/>
      <c r="X74" s="574"/>
      <c r="Y74" s="574"/>
      <c r="Z74" s="574"/>
      <c r="AA74" s="574"/>
      <c r="AB74" s="574"/>
      <c r="AC74" s="574"/>
      <c r="AD74" s="574"/>
      <c r="AE74" s="574"/>
    </row>
    <row r="75" spans="1:31" ht="16.5" hidden="1" customHeight="1" outlineLevel="1" x14ac:dyDescent="0.85">
      <c r="A75" s="86" t="s">
        <v>1380</v>
      </c>
      <c r="B75" s="109">
        <f>B74*'Wastewater Data'!$B$33*'Wastewater Data'!$B$34*'Wastewater Data'!$B$35*'Wastewater Data'!$B$36/'Conversion Factors and GWP'!$A$7</f>
        <v>0</v>
      </c>
      <c r="C75" s="109">
        <f>C74*'Wastewater Data'!$B$33*'Wastewater Data'!$B$34*'Wastewater Data'!$B$35*'Wastewater Data'!$B$36/'Conversion Factors and GWP'!$A$7</f>
        <v>55.419879239999993</v>
      </c>
      <c r="D75" s="109">
        <f>D74*'Wastewater Data'!$B$33*'Wastewater Data'!$B$34*'Wastewater Data'!$B$35*'Wastewater Data'!$B$36/'Conversion Factors and GWP'!$A$7</f>
        <v>190.69784315999996</v>
      </c>
      <c r="E75" s="109">
        <f>E74*'Wastewater Data'!$B$33*'Wastewater Data'!$B$34*'Wastewater Data'!$B$35*'Wastewater Data'!$B$36/'Conversion Factors and GWP'!$A$7</f>
        <v>65.968401509999993</v>
      </c>
      <c r="F75" s="109">
        <f>F74*'Wastewater Data'!$B$33*'Wastewater Data'!$B$34*'Wastewater Data'!$B$35*'Wastewater Data'!$B$36/'Conversion Factors and GWP'!$A$7</f>
        <v>338.80239360000002</v>
      </c>
      <c r="G75" s="109">
        <f t="shared" si="14"/>
        <v>650.88851750999993</v>
      </c>
      <c r="H75" s="574"/>
      <c r="I75" s="574"/>
      <c r="J75" s="574"/>
      <c r="K75" s="574"/>
      <c r="L75" s="574"/>
      <c r="M75" s="574"/>
      <c r="N75" s="574"/>
      <c r="O75" s="574"/>
      <c r="P75" s="574"/>
      <c r="Q75" s="574"/>
      <c r="R75" s="574"/>
      <c r="S75" s="574"/>
      <c r="T75" s="574"/>
      <c r="U75" s="574"/>
      <c r="V75" s="574"/>
      <c r="W75" s="574"/>
      <c r="X75" s="574"/>
      <c r="Y75" s="574"/>
      <c r="Z75" s="574"/>
      <c r="AA75" s="574"/>
      <c r="AB75" s="574"/>
      <c r="AC75" s="574"/>
      <c r="AD75" s="574"/>
      <c r="AE75" s="574"/>
    </row>
    <row r="76" spans="1:31" ht="16.5" hidden="1" customHeight="1" outlineLevel="1" x14ac:dyDescent="0.85">
      <c r="A76" s="292" t="s">
        <v>1381</v>
      </c>
      <c r="B76" s="293">
        <f>B75*'Conversion Factors and GWP'!$C$31</f>
        <v>0</v>
      </c>
      <c r="C76" s="293">
        <f>C75*'Conversion Factors and GWP'!$C$31</f>
        <v>1551.7566187199998</v>
      </c>
      <c r="D76" s="293">
        <f>D75*'Conversion Factors and GWP'!$C$31</f>
        <v>5339.5396084799986</v>
      </c>
      <c r="E76" s="293">
        <f>E75*'Conversion Factors and GWP'!$C$31</f>
        <v>1847.1152422799998</v>
      </c>
      <c r="F76" s="293">
        <f>F75*'Conversion Factors and GWP'!$C$31</f>
        <v>9486.4670208000007</v>
      </c>
      <c r="G76" s="293">
        <f>G75*'Conversion Factors and GWP'!$C$31</f>
        <v>18224.878490279996</v>
      </c>
      <c r="H76" s="574"/>
      <c r="I76" s="574"/>
      <c r="J76" s="574"/>
      <c r="K76" s="574"/>
      <c r="L76" s="574"/>
      <c r="M76" s="574"/>
      <c r="N76" s="574"/>
      <c r="O76" s="574"/>
      <c r="P76" s="574"/>
      <c r="Q76" s="574"/>
      <c r="R76" s="574"/>
      <c r="S76" s="574"/>
      <c r="T76" s="574"/>
      <c r="U76" s="574"/>
      <c r="V76" s="574"/>
      <c r="W76" s="574"/>
      <c r="X76" s="574"/>
      <c r="Y76" s="574"/>
      <c r="Z76" s="574"/>
      <c r="AA76" s="574"/>
      <c r="AB76" s="574"/>
      <c r="AC76" s="574"/>
      <c r="AD76" s="574"/>
      <c r="AE76" s="574"/>
    </row>
    <row r="77" spans="1:31" ht="16.5" customHeight="1" collapsed="1" x14ac:dyDescent="0.85">
      <c r="A77" s="574"/>
      <c r="B77" s="574"/>
      <c r="C77" s="574"/>
      <c r="D77" s="574"/>
      <c r="E77" s="574"/>
      <c r="F77" s="574"/>
      <c r="G77" s="574"/>
      <c r="H77" s="574"/>
      <c r="I77" s="574"/>
      <c r="J77" s="574"/>
      <c r="K77" s="574"/>
      <c r="L77" s="574"/>
      <c r="M77" s="574"/>
      <c r="N77" s="574"/>
      <c r="O77" s="574"/>
      <c r="P77" s="574"/>
      <c r="Q77" s="574"/>
      <c r="R77" s="574"/>
      <c r="S77" s="574"/>
      <c r="T77" s="574"/>
      <c r="U77" s="574"/>
      <c r="V77" s="574"/>
      <c r="W77" s="574"/>
      <c r="X77" s="574"/>
      <c r="Y77" s="574"/>
      <c r="Z77" s="574"/>
      <c r="AA77" s="574"/>
      <c r="AB77" s="574"/>
      <c r="AC77" s="574"/>
      <c r="AD77" s="574"/>
      <c r="AE77" s="574"/>
    </row>
    <row r="78" spans="1:31" ht="16.5" customHeight="1" x14ac:dyDescent="0.85">
      <c r="A78" s="574"/>
      <c r="B78" s="574"/>
      <c r="C78" s="602"/>
      <c r="D78" s="602"/>
      <c r="E78" s="574"/>
      <c r="F78" s="574"/>
      <c r="G78" s="574"/>
      <c r="H78" s="574"/>
      <c r="I78" s="574"/>
      <c r="J78" s="574"/>
      <c r="K78" s="574"/>
      <c r="L78" s="574"/>
      <c r="M78" s="574"/>
      <c r="N78" s="574"/>
      <c r="O78" s="574"/>
      <c r="P78" s="574"/>
      <c r="Q78" s="574"/>
      <c r="R78" s="574"/>
      <c r="S78" s="574"/>
      <c r="T78" s="574"/>
      <c r="U78" s="574"/>
      <c r="V78" s="574"/>
      <c r="W78" s="574"/>
      <c r="X78" s="574"/>
      <c r="Y78" s="574"/>
      <c r="Z78" s="574"/>
      <c r="AA78" s="574"/>
      <c r="AB78" s="574"/>
      <c r="AC78" s="574"/>
      <c r="AD78" s="574"/>
      <c r="AE78" s="574"/>
    </row>
    <row r="79" spans="1:31" ht="16.5" customHeight="1" x14ac:dyDescent="0.85">
      <c r="A79" s="574"/>
      <c r="B79" s="574"/>
      <c r="C79" s="574"/>
      <c r="D79" s="574"/>
      <c r="E79" s="574"/>
      <c r="F79" s="574"/>
      <c r="G79" s="574"/>
      <c r="H79" s="574"/>
      <c r="I79" s="574"/>
      <c r="J79" s="574"/>
      <c r="K79" s="574"/>
      <c r="L79" s="574"/>
      <c r="M79" s="574"/>
      <c r="N79" s="574"/>
      <c r="O79" s="574"/>
      <c r="P79" s="574"/>
      <c r="Q79" s="574"/>
      <c r="R79" s="574"/>
      <c r="S79" s="574"/>
      <c r="T79" s="574"/>
      <c r="U79" s="574"/>
      <c r="V79" s="574"/>
      <c r="W79" s="574"/>
      <c r="X79" s="574"/>
      <c r="Y79" s="574"/>
      <c r="Z79" s="574"/>
      <c r="AA79" s="574"/>
      <c r="AB79" s="574"/>
      <c r="AC79" s="574"/>
      <c r="AD79" s="574"/>
      <c r="AE79" s="574"/>
    </row>
    <row r="80" spans="1:31" ht="16.5" customHeight="1" x14ac:dyDescent="0.85">
      <c r="A80" s="574"/>
      <c r="B80" s="574"/>
      <c r="C80" s="574"/>
      <c r="D80" s="574"/>
      <c r="E80" s="574"/>
      <c r="F80" s="574"/>
      <c r="G80" s="574"/>
      <c r="H80" s="574"/>
      <c r="I80" s="574"/>
      <c r="J80" s="574"/>
      <c r="K80" s="574"/>
      <c r="L80" s="574"/>
      <c r="M80" s="574"/>
      <c r="N80" s="574"/>
      <c r="O80" s="574"/>
      <c r="P80" s="574"/>
      <c r="Q80" s="574"/>
      <c r="R80" s="574"/>
      <c r="S80" s="574"/>
      <c r="T80" s="574"/>
      <c r="U80" s="574"/>
      <c r="V80" s="574"/>
      <c r="W80" s="574"/>
      <c r="X80" s="574"/>
      <c r="Y80" s="574"/>
      <c r="Z80" s="574"/>
      <c r="AA80" s="574"/>
      <c r="AB80" s="574"/>
      <c r="AC80" s="574"/>
      <c r="AD80" s="574"/>
      <c r="AE80" s="574"/>
    </row>
    <row r="81" spans="1:31" ht="16.5" customHeight="1" x14ac:dyDescent="0.85">
      <c r="A81" s="574"/>
      <c r="B81" s="574"/>
      <c r="C81" s="574"/>
      <c r="D81" s="574"/>
      <c r="E81" s="574"/>
      <c r="F81" s="574"/>
      <c r="G81" s="574"/>
      <c r="H81" s="574"/>
      <c r="I81" s="574"/>
      <c r="J81" s="574"/>
      <c r="K81" s="574"/>
      <c r="L81" s="574"/>
      <c r="M81" s="574"/>
      <c r="N81" s="574"/>
      <c r="O81" s="574"/>
      <c r="P81" s="574"/>
      <c r="Q81" s="574"/>
      <c r="R81" s="574"/>
      <c r="S81" s="574"/>
      <c r="T81" s="574"/>
      <c r="U81" s="574"/>
      <c r="V81" s="574"/>
      <c r="W81" s="574"/>
      <c r="X81" s="574"/>
      <c r="Y81" s="574"/>
      <c r="Z81" s="574"/>
      <c r="AA81" s="574"/>
      <c r="AB81" s="574"/>
      <c r="AC81" s="574"/>
      <c r="AD81" s="574"/>
      <c r="AE81" s="574"/>
    </row>
    <row r="82" spans="1:31" ht="16.5" customHeight="1" x14ac:dyDescent="0.85">
      <c r="A82" s="574"/>
      <c r="B82" s="574"/>
      <c r="C82" s="574"/>
      <c r="D82" s="574"/>
      <c r="E82" s="574"/>
      <c r="F82" s="574"/>
      <c r="G82" s="574"/>
      <c r="H82" s="574"/>
      <c r="I82" s="574"/>
      <c r="J82" s="574"/>
      <c r="K82" s="574"/>
      <c r="L82" s="574"/>
      <c r="M82" s="574"/>
      <c r="N82" s="574"/>
      <c r="O82" s="574"/>
      <c r="P82" s="574"/>
      <c r="Q82" s="574"/>
      <c r="R82" s="574"/>
      <c r="S82" s="574"/>
      <c r="T82" s="574"/>
      <c r="U82" s="574"/>
      <c r="V82" s="574"/>
      <c r="W82" s="574"/>
      <c r="X82" s="574"/>
      <c r="Y82" s="574"/>
      <c r="Z82" s="574"/>
      <c r="AA82" s="574"/>
      <c r="AB82" s="574"/>
      <c r="AC82" s="574"/>
      <c r="AD82" s="574"/>
      <c r="AE82" s="574"/>
    </row>
    <row r="83" spans="1:31" ht="16.5" customHeight="1" x14ac:dyDescent="0.85">
      <c r="A83" s="574"/>
      <c r="B83" s="574"/>
      <c r="C83" s="574"/>
      <c r="D83" s="574"/>
      <c r="E83" s="574"/>
      <c r="F83" s="574"/>
      <c r="G83" s="574"/>
      <c r="H83" s="574"/>
      <c r="I83" s="574"/>
      <c r="J83" s="574"/>
      <c r="K83" s="574"/>
      <c r="L83" s="574"/>
      <c r="M83" s="574"/>
      <c r="N83" s="574"/>
      <c r="O83" s="574"/>
      <c r="P83" s="574"/>
      <c r="Q83" s="574"/>
      <c r="R83" s="574"/>
      <c r="S83" s="574"/>
      <c r="T83" s="574"/>
      <c r="U83" s="574"/>
      <c r="V83" s="574"/>
      <c r="W83" s="574"/>
      <c r="X83" s="574"/>
      <c r="Y83" s="574"/>
      <c r="Z83" s="574"/>
      <c r="AA83" s="574"/>
      <c r="AB83" s="574"/>
      <c r="AC83" s="574"/>
      <c r="AD83" s="574"/>
      <c r="AE83" s="574"/>
    </row>
    <row r="84" spans="1:31" ht="16.5" customHeight="1" x14ac:dyDescent="0.85">
      <c r="A84" s="574"/>
      <c r="B84" s="574"/>
      <c r="C84" s="574"/>
      <c r="D84" s="574"/>
      <c r="E84" s="574"/>
      <c r="F84" s="574"/>
      <c r="G84" s="574"/>
      <c r="H84" s="574"/>
      <c r="I84" s="574"/>
      <c r="J84" s="574"/>
      <c r="K84" s="574"/>
      <c r="L84" s="574"/>
      <c r="M84" s="574"/>
      <c r="N84" s="574"/>
      <c r="O84" s="574"/>
      <c r="P84" s="574"/>
      <c r="Q84" s="574"/>
      <c r="R84" s="574"/>
      <c r="S84" s="574"/>
      <c r="T84" s="574"/>
      <c r="U84" s="574"/>
      <c r="V84" s="574"/>
      <c r="W84" s="574"/>
      <c r="X84" s="574"/>
      <c r="Y84" s="574"/>
      <c r="Z84" s="574"/>
      <c r="AA84" s="574"/>
      <c r="AB84" s="574"/>
      <c r="AC84" s="574"/>
      <c r="AD84" s="574"/>
      <c r="AE84" s="574"/>
    </row>
    <row r="85" spans="1:31" ht="16.5" customHeight="1" x14ac:dyDescent="0.85">
      <c r="A85" s="574"/>
      <c r="B85" s="574"/>
      <c r="C85" s="574"/>
      <c r="D85" s="574"/>
      <c r="E85" s="574"/>
      <c r="F85" s="574"/>
      <c r="G85" s="574"/>
      <c r="H85" s="574"/>
      <c r="I85" s="574"/>
      <c r="J85" s="574"/>
      <c r="K85" s="574"/>
      <c r="L85" s="574"/>
      <c r="M85" s="574"/>
      <c r="N85" s="574"/>
      <c r="O85" s="574"/>
      <c r="P85" s="574"/>
      <c r="Q85" s="574"/>
      <c r="R85" s="574"/>
      <c r="S85" s="574"/>
      <c r="T85" s="574"/>
      <c r="U85" s="574"/>
      <c r="V85" s="574"/>
      <c r="W85" s="574"/>
      <c r="X85" s="574"/>
      <c r="Y85" s="574"/>
      <c r="Z85" s="574"/>
      <c r="AA85" s="574"/>
      <c r="AB85" s="574"/>
      <c r="AC85" s="574"/>
      <c r="AD85" s="574"/>
      <c r="AE85" s="574"/>
    </row>
    <row r="86" spans="1:31" ht="16.5" customHeight="1" x14ac:dyDescent="0.85">
      <c r="A86" s="574"/>
      <c r="B86" s="574"/>
      <c r="C86" s="574"/>
      <c r="D86" s="574"/>
      <c r="E86" s="574"/>
      <c r="F86" s="574"/>
      <c r="G86" s="574"/>
      <c r="H86" s="574"/>
      <c r="I86" s="574"/>
      <c r="J86" s="574"/>
      <c r="K86" s="574"/>
      <c r="L86" s="574"/>
      <c r="M86" s="574"/>
      <c r="N86" s="574"/>
      <c r="O86" s="574"/>
      <c r="P86" s="574"/>
      <c r="Q86" s="574"/>
      <c r="R86" s="574"/>
      <c r="S86" s="574"/>
      <c r="T86" s="574"/>
      <c r="U86" s="574"/>
      <c r="V86" s="574"/>
      <c r="W86" s="574"/>
      <c r="X86" s="574"/>
      <c r="Y86" s="574"/>
      <c r="Z86" s="574"/>
      <c r="AA86" s="574"/>
      <c r="AB86" s="574"/>
      <c r="AC86" s="574"/>
      <c r="AD86" s="574"/>
      <c r="AE86" s="574"/>
    </row>
    <row r="87" spans="1:31" ht="16.5" customHeight="1" x14ac:dyDescent="0.85">
      <c r="A87" s="574"/>
      <c r="B87" s="574"/>
      <c r="C87" s="574"/>
      <c r="D87" s="574"/>
      <c r="E87" s="574"/>
      <c r="F87" s="574"/>
      <c r="G87" s="574"/>
      <c r="H87" s="574"/>
      <c r="I87" s="574"/>
      <c r="J87" s="574"/>
      <c r="K87" s="574"/>
      <c r="L87" s="574"/>
      <c r="M87" s="574"/>
      <c r="N87" s="574"/>
      <c r="O87" s="574"/>
      <c r="P87" s="574"/>
      <c r="Q87" s="574"/>
      <c r="R87" s="574"/>
      <c r="S87" s="574"/>
      <c r="T87" s="574"/>
      <c r="U87" s="574"/>
      <c r="V87" s="574"/>
      <c r="W87" s="574"/>
      <c r="X87" s="574"/>
      <c r="Y87" s="574"/>
      <c r="Z87" s="574"/>
      <c r="AA87" s="574"/>
      <c r="AB87" s="574"/>
      <c r="AC87" s="574"/>
      <c r="AD87" s="574"/>
      <c r="AE87" s="574"/>
    </row>
    <row r="88" spans="1:31" ht="16.5" customHeight="1" x14ac:dyDescent="0.85">
      <c r="A88" s="574"/>
      <c r="B88" s="574"/>
      <c r="C88" s="574"/>
      <c r="D88" s="574"/>
      <c r="E88" s="574"/>
      <c r="F88" s="574"/>
      <c r="G88" s="574"/>
      <c r="H88" s="574"/>
      <c r="I88" s="574"/>
      <c r="J88" s="574"/>
      <c r="K88" s="574"/>
      <c r="L88" s="574"/>
      <c r="M88" s="574"/>
      <c r="N88" s="574"/>
      <c r="O88" s="574"/>
      <c r="P88" s="574"/>
      <c r="Q88" s="574"/>
      <c r="R88" s="574"/>
      <c r="S88" s="574"/>
      <c r="T88" s="574"/>
      <c r="U88" s="574"/>
      <c r="V88" s="574"/>
      <c r="W88" s="574"/>
      <c r="X88" s="574"/>
      <c r="Y88" s="574"/>
      <c r="Z88" s="574"/>
      <c r="AA88" s="574"/>
      <c r="AB88" s="574"/>
      <c r="AC88" s="574"/>
      <c r="AD88" s="574"/>
      <c r="AE88" s="574"/>
    </row>
    <row r="89" spans="1:31" ht="16.5" customHeight="1" x14ac:dyDescent="0.85">
      <c r="A89" s="574"/>
      <c r="B89" s="574"/>
      <c r="C89" s="574"/>
      <c r="D89" s="574"/>
      <c r="E89" s="574"/>
      <c r="F89" s="574"/>
      <c r="G89" s="574"/>
      <c r="H89" s="574"/>
      <c r="I89" s="574"/>
      <c r="J89" s="574"/>
      <c r="K89" s="574"/>
      <c r="L89" s="574"/>
      <c r="M89" s="574"/>
      <c r="N89" s="574"/>
      <c r="O89" s="574"/>
      <c r="P89" s="574"/>
      <c r="Q89" s="574"/>
      <c r="R89" s="574"/>
      <c r="S89" s="574"/>
      <c r="T89" s="574"/>
      <c r="U89" s="574"/>
      <c r="V89" s="574"/>
      <c r="W89" s="574"/>
      <c r="X89" s="574"/>
      <c r="Y89" s="574"/>
      <c r="Z89" s="574"/>
      <c r="AA89" s="574"/>
      <c r="AB89" s="574"/>
      <c r="AC89" s="574"/>
      <c r="AD89" s="574"/>
      <c r="AE89" s="574"/>
    </row>
    <row r="90" spans="1:31" ht="16.5" customHeight="1" x14ac:dyDescent="0.85">
      <c r="A90" s="574"/>
      <c r="B90" s="574"/>
      <c r="C90" s="574"/>
      <c r="D90" s="574"/>
      <c r="E90" s="574"/>
      <c r="F90" s="574"/>
      <c r="G90" s="574"/>
      <c r="H90" s="574"/>
      <c r="I90" s="574"/>
      <c r="J90" s="574"/>
      <c r="K90" s="574"/>
      <c r="L90" s="574"/>
      <c r="M90" s="574"/>
      <c r="N90" s="574"/>
      <c r="O90" s="574"/>
      <c r="P90" s="574"/>
      <c r="Q90" s="574"/>
      <c r="R90" s="574"/>
      <c r="S90" s="574"/>
      <c r="T90" s="574"/>
      <c r="U90" s="574"/>
      <c r="V90" s="574"/>
      <c r="W90" s="574"/>
      <c r="X90" s="574"/>
      <c r="Y90" s="574"/>
      <c r="Z90" s="574"/>
      <c r="AA90" s="574"/>
      <c r="AB90" s="574"/>
      <c r="AC90" s="574"/>
      <c r="AD90" s="574"/>
      <c r="AE90" s="574"/>
    </row>
    <row r="91" spans="1:31" ht="16.5" customHeight="1" x14ac:dyDescent="0.85">
      <c r="A91" s="574"/>
      <c r="B91" s="574"/>
      <c r="C91" s="574"/>
      <c r="D91" s="574"/>
      <c r="E91" s="574"/>
      <c r="F91" s="574"/>
      <c r="G91" s="574"/>
      <c r="H91" s="574"/>
      <c r="I91" s="574"/>
      <c r="J91" s="574"/>
      <c r="K91" s="574"/>
      <c r="L91" s="574"/>
      <c r="M91" s="574"/>
      <c r="N91" s="574"/>
      <c r="O91" s="574"/>
      <c r="P91" s="574"/>
      <c r="Q91" s="574"/>
      <c r="R91" s="574"/>
      <c r="S91" s="574"/>
      <c r="T91" s="574"/>
      <c r="U91" s="574"/>
      <c r="V91" s="574"/>
      <c r="W91" s="574"/>
      <c r="X91" s="574"/>
      <c r="Y91" s="574"/>
      <c r="Z91" s="574"/>
      <c r="AA91" s="574"/>
      <c r="AB91" s="574"/>
      <c r="AC91" s="574"/>
      <c r="AD91" s="574"/>
      <c r="AE91" s="574"/>
    </row>
    <row r="92" spans="1:31" ht="16.5" customHeight="1" x14ac:dyDescent="0.85">
      <c r="A92" s="574"/>
      <c r="B92" s="574"/>
      <c r="C92" s="574"/>
      <c r="D92" s="574"/>
      <c r="E92" s="574"/>
      <c r="F92" s="574"/>
      <c r="G92" s="574"/>
      <c r="H92" s="574"/>
      <c r="I92" s="574"/>
      <c r="J92" s="574"/>
      <c r="K92" s="574"/>
      <c r="L92" s="574"/>
      <c r="M92" s="574"/>
      <c r="N92" s="574"/>
      <c r="O92" s="574"/>
      <c r="P92" s="574"/>
      <c r="Q92" s="574"/>
      <c r="R92" s="574"/>
      <c r="S92" s="574"/>
      <c r="T92" s="574"/>
      <c r="U92" s="574"/>
      <c r="V92" s="574"/>
      <c r="W92" s="574"/>
      <c r="X92" s="574"/>
      <c r="Y92" s="574"/>
      <c r="Z92" s="574"/>
      <c r="AA92" s="574"/>
      <c r="AB92" s="574"/>
      <c r="AC92" s="574"/>
      <c r="AD92" s="574"/>
      <c r="AE92" s="574"/>
    </row>
    <row r="93" spans="1:31" ht="16.5" customHeight="1" x14ac:dyDescent="0.85">
      <c r="A93" s="574"/>
      <c r="B93" s="574"/>
      <c r="C93" s="574"/>
      <c r="D93" s="574"/>
      <c r="E93" s="574"/>
      <c r="F93" s="574"/>
      <c r="G93" s="574"/>
      <c r="H93" s="574"/>
      <c r="I93" s="574"/>
      <c r="J93" s="574"/>
      <c r="K93" s="574"/>
      <c r="L93" s="574"/>
      <c r="M93" s="574"/>
      <c r="N93" s="574"/>
      <c r="O93" s="574"/>
      <c r="P93" s="574"/>
      <c r="Q93" s="574"/>
      <c r="R93" s="574"/>
      <c r="S93" s="574"/>
      <c r="T93" s="574"/>
      <c r="U93" s="574"/>
      <c r="V93" s="574"/>
      <c r="W93" s="574"/>
      <c r="X93" s="574"/>
      <c r="Y93" s="574"/>
      <c r="Z93" s="574"/>
      <c r="AA93" s="574"/>
      <c r="AB93" s="574"/>
      <c r="AC93" s="574"/>
      <c r="AD93" s="574"/>
      <c r="AE93" s="574"/>
    </row>
    <row r="94" spans="1:31" ht="16.5" customHeight="1" x14ac:dyDescent="0.85">
      <c r="A94" s="574"/>
      <c r="B94" s="574"/>
      <c r="C94" s="574"/>
      <c r="D94" s="574"/>
      <c r="E94" s="574"/>
      <c r="F94" s="574"/>
      <c r="G94" s="574"/>
      <c r="H94" s="574"/>
      <c r="I94" s="574"/>
      <c r="J94" s="574"/>
      <c r="K94" s="574"/>
      <c r="L94" s="574"/>
      <c r="M94" s="574"/>
      <c r="N94" s="574"/>
      <c r="O94" s="574"/>
      <c r="P94" s="574"/>
      <c r="Q94" s="574"/>
      <c r="R94" s="574"/>
      <c r="S94" s="574"/>
      <c r="T94" s="574"/>
      <c r="U94" s="574"/>
      <c r="V94" s="574"/>
      <c r="W94" s="574"/>
      <c r="X94" s="574"/>
      <c r="Y94" s="574"/>
      <c r="Z94" s="574"/>
      <c r="AA94" s="574"/>
      <c r="AB94" s="574"/>
      <c r="AC94" s="574"/>
      <c r="AD94" s="574"/>
      <c r="AE94" s="574"/>
    </row>
    <row r="95" spans="1:31" ht="16.5" customHeight="1" x14ac:dyDescent="0.85">
      <c r="A95" s="574"/>
      <c r="B95" s="574"/>
      <c r="C95" s="574"/>
      <c r="D95" s="574"/>
      <c r="E95" s="574"/>
      <c r="F95" s="574"/>
      <c r="G95" s="574"/>
      <c r="H95" s="574"/>
      <c r="I95" s="574"/>
      <c r="J95" s="574"/>
      <c r="K95" s="574"/>
      <c r="L95" s="574"/>
      <c r="M95" s="574"/>
      <c r="N95" s="574"/>
      <c r="O95" s="574"/>
      <c r="P95" s="574"/>
      <c r="Q95" s="574"/>
      <c r="R95" s="574"/>
      <c r="S95" s="574"/>
      <c r="T95" s="574"/>
      <c r="U95" s="574"/>
      <c r="V95" s="574"/>
      <c r="W95" s="574"/>
      <c r="X95" s="574"/>
      <c r="Y95" s="574"/>
      <c r="Z95" s="574"/>
      <c r="AA95" s="574"/>
      <c r="AB95" s="574"/>
      <c r="AC95" s="574"/>
      <c r="AD95" s="574"/>
      <c r="AE95" s="574"/>
    </row>
    <row r="96" spans="1:31" ht="16.5" customHeight="1" x14ac:dyDescent="0.85">
      <c r="A96" s="574"/>
      <c r="B96" s="574"/>
      <c r="C96" s="574"/>
      <c r="D96" s="574"/>
      <c r="E96" s="574"/>
      <c r="F96" s="574"/>
      <c r="G96" s="574"/>
      <c r="H96" s="574"/>
      <c r="I96" s="574"/>
      <c r="J96" s="574"/>
      <c r="K96" s="574"/>
      <c r="L96" s="574"/>
      <c r="M96" s="574"/>
      <c r="N96" s="574"/>
      <c r="O96" s="574"/>
      <c r="P96" s="574"/>
      <c r="Q96" s="574"/>
      <c r="R96" s="574"/>
      <c r="S96" s="574"/>
      <c r="T96" s="574"/>
      <c r="U96" s="574"/>
      <c r="V96" s="574"/>
      <c r="W96" s="574"/>
      <c r="X96" s="574"/>
      <c r="Y96" s="574"/>
      <c r="Z96" s="574"/>
      <c r="AA96" s="574"/>
      <c r="AB96" s="574"/>
      <c r="AC96" s="574"/>
      <c r="AD96" s="574"/>
      <c r="AE96" s="574"/>
    </row>
    <row r="97" spans="1:31" ht="16.5" customHeight="1" x14ac:dyDescent="0.85">
      <c r="A97" s="574"/>
      <c r="B97" s="574"/>
      <c r="C97" s="574"/>
      <c r="D97" s="574"/>
      <c r="E97" s="574"/>
      <c r="F97" s="574"/>
      <c r="G97" s="574"/>
      <c r="H97" s="574"/>
      <c r="I97" s="574"/>
      <c r="J97" s="574"/>
      <c r="K97" s="574"/>
      <c r="L97" s="574"/>
      <c r="M97" s="574"/>
      <c r="N97" s="574"/>
      <c r="O97" s="574"/>
      <c r="P97" s="574"/>
      <c r="Q97" s="574"/>
      <c r="R97" s="574"/>
      <c r="S97" s="574"/>
      <c r="T97" s="574"/>
      <c r="U97" s="574"/>
      <c r="V97" s="574"/>
      <c r="W97" s="574"/>
      <c r="X97" s="574"/>
      <c r="Y97" s="574"/>
      <c r="Z97" s="574"/>
      <c r="AA97" s="574"/>
      <c r="AB97" s="574"/>
      <c r="AC97" s="574"/>
      <c r="AD97" s="574"/>
      <c r="AE97" s="574"/>
    </row>
    <row r="98" spans="1:31" ht="16.5" customHeight="1" x14ac:dyDescent="0.85">
      <c r="A98" s="574"/>
      <c r="B98" s="574"/>
      <c r="C98" s="574"/>
      <c r="D98" s="574"/>
      <c r="E98" s="574"/>
      <c r="F98" s="574"/>
      <c r="G98" s="574"/>
      <c r="H98" s="574"/>
      <c r="I98" s="574"/>
      <c r="J98" s="574"/>
      <c r="K98" s="574"/>
      <c r="L98" s="574"/>
      <c r="M98" s="574"/>
      <c r="N98" s="574"/>
      <c r="O98" s="574"/>
      <c r="P98" s="574"/>
      <c r="Q98" s="574"/>
      <c r="R98" s="574"/>
      <c r="S98" s="574"/>
      <c r="T98" s="574"/>
      <c r="U98" s="574"/>
      <c r="V98" s="574"/>
      <c r="W98" s="574"/>
      <c r="X98" s="574"/>
      <c r="Y98" s="574"/>
      <c r="Z98" s="574"/>
      <c r="AA98" s="574"/>
      <c r="AB98" s="574"/>
      <c r="AC98" s="574"/>
      <c r="AD98" s="574"/>
      <c r="AE98" s="574"/>
    </row>
    <row r="99" spans="1:31" ht="16.5" customHeight="1" x14ac:dyDescent="0.85">
      <c r="A99" s="574"/>
      <c r="B99" s="574"/>
      <c r="C99" s="574"/>
      <c r="D99" s="574"/>
      <c r="E99" s="574"/>
      <c r="F99" s="574"/>
      <c r="G99" s="574"/>
      <c r="H99" s="574"/>
      <c r="I99" s="574"/>
      <c r="J99" s="574"/>
      <c r="K99" s="574"/>
      <c r="L99" s="574"/>
      <c r="M99" s="574"/>
      <c r="N99" s="574"/>
      <c r="O99" s="574"/>
      <c r="P99" s="574"/>
      <c r="Q99" s="574"/>
      <c r="R99" s="574"/>
      <c r="S99" s="574"/>
      <c r="T99" s="574"/>
      <c r="U99" s="574"/>
      <c r="V99" s="574"/>
      <c r="W99" s="574"/>
      <c r="X99" s="574"/>
      <c r="Y99" s="574"/>
      <c r="Z99" s="574"/>
      <c r="AA99" s="574"/>
      <c r="AB99" s="574"/>
      <c r="AC99" s="574"/>
      <c r="AD99" s="574"/>
      <c r="AE99" s="574"/>
    </row>
    <row r="100" spans="1:31" ht="16.5" customHeight="1" x14ac:dyDescent="0.85">
      <c r="A100" s="574"/>
      <c r="B100" s="574"/>
      <c r="C100" s="574"/>
      <c r="D100" s="574"/>
      <c r="E100" s="574"/>
      <c r="F100" s="574"/>
      <c r="G100" s="574"/>
      <c r="H100" s="574"/>
      <c r="I100" s="574"/>
      <c r="J100" s="574"/>
      <c r="K100" s="574"/>
      <c r="L100" s="574"/>
      <c r="M100" s="574"/>
      <c r="N100" s="574"/>
      <c r="O100" s="574"/>
      <c r="P100" s="574"/>
      <c r="Q100" s="574"/>
      <c r="R100" s="574"/>
      <c r="S100" s="574"/>
      <c r="T100" s="574"/>
      <c r="U100" s="574"/>
      <c r="V100" s="574"/>
      <c r="W100" s="574"/>
      <c r="X100" s="574"/>
      <c r="Y100" s="574"/>
      <c r="Z100" s="574"/>
      <c r="AA100" s="574"/>
      <c r="AB100" s="574"/>
      <c r="AC100" s="574"/>
      <c r="AD100" s="574"/>
      <c r="AE100" s="574"/>
    </row>
    <row r="101" spans="1:31" ht="16.5" customHeight="1" x14ac:dyDescent="0.85">
      <c r="A101" s="574"/>
      <c r="B101" s="574"/>
      <c r="C101" s="574"/>
      <c r="D101" s="574"/>
      <c r="E101" s="574"/>
      <c r="F101" s="574"/>
      <c r="G101" s="574"/>
      <c r="H101" s="574"/>
      <c r="I101" s="574"/>
      <c r="J101" s="574"/>
      <c r="K101" s="574"/>
      <c r="L101" s="574"/>
      <c r="M101" s="574"/>
      <c r="N101" s="574"/>
      <c r="O101" s="574"/>
      <c r="P101" s="574"/>
      <c r="Q101" s="574"/>
      <c r="R101" s="574"/>
      <c r="S101" s="574"/>
      <c r="T101" s="574"/>
      <c r="U101" s="574"/>
      <c r="V101" s="574"/>
      <c r="W101" s="574"/>
      <c r="X101" s="574"/>
      <c r="Y101" s="574"/>
      <c r="Z101" s="574"/>
      <c r="AA101" s="574"/>
      <c r="AB101" s="574"/>
      <c r="AC101" s="574"/>
      <c r="AD101" s="574"/>
      <c r="AE101" s="574"/>
    </row>
    <row r="102" spans="1:31" ht="16.5" customHeight="1" x14ac:dyDescent="0.85">
      <c r="A102" s="574"/>
      <c r="B102" s="574"/>
      <c r="C102" s="574"/>
      <c r="D102" s="574"/>
      <c r="E102" s="574"/>
      <c r="F102" s="574"/>
      <c r="G102" s="574"/>
      <c r="H102" s="574"/>
      <c r="I102" s="574"/>
      <c r="J102" s="574"/>
      <c r="K102" s="574"/>
      <c r="L102" s="574"/>
      <c r="M102" s="574"/>
      <c r="N102" s="574"/>
      <c r="O102" s="574"/>
      <c r="P102" s="574"/>
      <c r="Q102" s="574"/>
      <c r="R102" s="574"/>
      <c r="S102" s="574"/>
      <c r="T102" s="574"/>
      <c r="U102" s="574"/>
      <c r="V102" s="574"/>
      <c r="W102" s="574"/>
      <c r="X102" s="574"/>
      <c r="Y102" s="574"/>
      <c r="Z102" s="574"/>
      <c r="AA102" s="574"/>
      <c r="AB102" s="574"/>
      <c r="AC102" s="574"/>
      <c r="AD102" s="574"/>
      <c r="AE102" s="574"/>
    </row>
    <row r="103" spans="1:31" ht="16.5" customHeight="1" x14ac:dyDescent="0.85">
      <c r="A103" s="574"/>
      <c r="B103" s="574"/>
      <c r="C103" s="574"/>
      <c r="D103" s="574"/>
      <c r="E103" s="574"/>
      <c r="F103" s="574"/>
      <c r="G103" s="574"/>
      <c r="H103" s="574"/>
      <c r="I103" s="574"/>
      <c r="J103" s="574"/>
      <c r="K103" s="574"/>
      <c r="L103" s="574"/>
      <c r="M103" s="574"/>
      <c r="N103" s="574"/>
      <c r="O103" s="574"/>
      <c r="P103" s="574"/>
      <c r="Q103" s="574"/>
      <c r="R103" s="574"/>
      <c r="S103" s="574"/>
      <c r="T103" s="574"/>
      <c r="U103" s="574"/>
      <c r="V103" s="574"/>
      <c r="W103" s="574"/>
      <c r="X103" s="574"/>
      <c r="Y103" s="574"/>
      <c r="Z103" s="574"/>
      <c r="AA103" s="574"/>
      <c r="AB103" s="574"/>
      <c r="AC103" s="574"/>
      <c r="AD103" s="574"/>
      <c r="AE103" s="574"/>
    </row>
    <row r="104" spans="1:31" ht="16.5" customHeight="1" x14ac:dyDescent="0.85">
      <c r="A104" s="574"/>
      <c r="B104" s="574"/>
      <c r="C104" s="574"/>
      <c r="D104" s="574"/>
      <c r="E104" s="574"/>
      <c r="F104" s="574"/>
      <c r="G104" s="574"/>
      <c r="H104" s="574"/>
      <c r="I104" s="574"/>
      <c r="J104" s="574"/>
      <c r="K104" s="574"/>
      <c r="L104" s="574"/>
      <c r="M104" s="574"/>
      <c r="N104" s="574"/>
      <c r="O104" s="574"/>
      <c r="P104" s="574"/>
      <c r="Q104" s="574"/>
      <c r="R104" s="574"/>
      <c r="S104" s="574"/>
      <c r="T104" s="574"/>
      <c r="U104" s="574"/>
      <c r="V104" s="574"/>
      <c r="W104" s="574"/>
      <c r="X104" s="574"/>
      <c r="Y104" s="574"/>
      <c r="Z104" s="574"/>
      <c r="AA104" s="574"/>
      <c r="AB104" s="574"/>
      <c r="AC104" s="574"/>
      <c r="AD104" s="574"/>
      <c r="AE104" s="574"/>
    </row>
    <row r="105" spans="1:31" ht="16.5" customHeight="1" x14ac:dyDescent="0.85">
      <c r="A105" s="574"/>
      <c r="B105" s="574"/>
      <c r="C105" s="574"/>
      <c r="D105" s="574"/>
      <c r="E105" s="574"/>
      <c r="F105" s="574"/>
      <c r="G105" s="574"/>
      <c r="H105" s="574"/>
      <c r="I105" s="574"/>
      <c r="J105" s="574"/>
      <c r="K105" s="574"/>
      <c r="L105" s="574"/>
      <c r="M105" s="574"/>
      <c r="N105" s="574"/>
      <c r="O105" s="574"/>
      <c r="P105" s="574"/>
      <c r="Q105" s="574"/>
      <c r="R105" s="574"/>
      <c r="S105" s="574"/>
      <c r="T105" s="574"/>
      <c r="U105" s="574"/>
      <c r="V105" s="574"/>
      <c r="W105" s="574"/>
      <c r="X105" s="574"/>
      <c r="Y105" s="574"/>
      <c r="Z105" s="574"/>
      <c r="AA105" s="574"/>
      <c r="AB105" s="574"/>
      <c r="AC105" s="574"/>
      <c r="AD105" s="574"/>
      <c r="AE105" s="574"/>
    </row>
    <row r="106" spans="1:31" ht="16.5" customHeight="1" x14ac:dyDescent="0.85">
      <c r="A106" s="574"/>
      <c r="B106" s="574"/>
      <c r="C106" s="574"/>
      <c r="D106" s="574"/>
      <c r="E106" s="574"/>
      <c r="F106" s="574"/>
      <c r="G106" s="574"/>
      <c r="H106" s="574"/>
      <c r="I106" s="574"/>
      <c r="J106" s="574"/>
      <c r="K106" s="574"/>
      <c r="L106" s="574"/>
      <c r="M106" s="574"/>
      <c r="N106" s="574"/>
      <c r="O106" s="574"/>
      <c r="P106" s="574"/>
      <c r="Q106" s="574"/>
      <c r="R106" s="574"/>
      <c r="S106" s="574"/>
      <c r="T106" s="574"/>
      <c r="U106" s="574"/>
      <c r="V106" s="574"/>
      <c r="W106" s="574"/>
      <c r="X106" s="574"/>
      <c r="Y106" s="574"/>
      <c r="Z106" s="574"/>
      <c r="AA106" s="574"/>
      <c r="AB106" s="574"/>
      <c r="AC106" s="574"/>
      <c r="AD106" s="574"/>
      <c r="AE106" s="574"/>
    </row>
    <row r="107" spans="1:31" ht="16.5" customHeight="1" x14ac:dyDescent="0.85">
      <c r="A107" s="574"/>
      <c r="B107" s="574"/>
      <c r="C107" s="574"/>
      <c r="D107" s="574"/>
      <c r="E107" s="574"/>
      <c r="F107" s="574"/>
      <c r="G107" s="574"/>
      <c r="H107" s="574"/>
      <c r="I107" s="574"/>
      <c r="J107" s="574"/>
      <c r="K107" s="574"/>
      <c r="L107" s="574"/>
      <c r="M107" s="574"/>
      <c r="N107" s="574"/>
      <c r="O107" s="574"/>
      <c r="P107" s="574"/>
      <c r="Q107" s="574"/>
      <c r="R107" s="574"/>
      <c r="S107" s="574"/>
      <c r="T107" s="574"/>
      <c r="U107" s="574"/>
      <c r="V107" s="574"/>
      <c r="W107" s="574"/>
      <c r="X107" s="574"/>
      <c r="Y107" s="574"/>
      <c r="Z107" s="574"/>
      <c r="AA107" s="574"/>
      <c r="AB107" s="574"/>
      <c r="AC107" s="574"/>
      <c r="AD107" s="574"/>
      <c r="AE107" s="574"/>
    </row>
    <row r="108" spans="1:31" ht="16.5" customHeight="1" x14ac:dyDescent="0.85">
      <c r="A108" s="574"/>
      <c r="B108" s="574"/>
      <c r="C108" s="574"/>
      <c r="D108" s="574"/>
      <c r="E108" s="574"/>
      <c r="F108" s="574"/>
      <c r="G108" s="574"/>
      <c r="H108" s="574"/>
      <c r="I108" s="574"/>
      <c r="J108" s="574"/>
      <c r="K108" s="574"/>
      <c r="L108" s="574"/>
      <c r="M108" s="574"/>
      <c r="N108" s="574"/>
      <c r="O108" s="574"/>
      <c r="P108" s="574"/>
      <c r="Q108" s="574"/>
      <c r="R108" s="574"/>
      <c r="S108" s="574"/>
      <c r="T108" s="574"/>
      <c r="U108" s="574"/>
      <c r="V108" s="574"/>
      <c r="W108" s="574"/>
      <c r="X108" s="574"/>
      <c r="Y108" s="574"/>
      <c r="Z108" s="574"/>
      <c r="AA108" s="574"/>
      <c r="AB108" s="574"/>
      <c r="AC108" s="574"/>
      <c r="AD108" s="574"/>
      <c r="AE108" s="574"/>
    </row>
    <row r="109" spans="1:31" ht="16.5" customHeight="1" x14ac:dyDescent="0.85">
      <c r="A109" s="574"/>
      <c r="B109" s="574"/>
      <c r="C109" s="574"/>
      <c r="D109" s="574"/>
      <c r="E109" s="574"/>
      <c r="F109" s="574"/>
      <c r="G109" s="574"/>
      <c r="H109" s="574"/>
      <c r="I109" s="574"/>
      <c r="J109" s="574"/>
      <c r="K109" s="574"/>
      <c r="L109" s="574"/>
      <c r="M109" s="574"/>
      <c r="N109" s="574"/>
      <c r="O109" s="574"/>
      <c r="P109" s="574"/>
      <c r="Q109" s="574"/>
      <c r="R109" s="574"/>
      <c r="S109" s="574"/>
      <c r="T109" s="574"/>
      <c r="U109" s="574"/>
      <c r="V109" s="574"/>
      <c r="W109" s="574"/>
      <c r="X109" s="574"/>
      <c r="Y109" s="574"/>
      <c r="Z109" s="574"/>
      <c r="AA109" s="574"/>
      <c r="AB109" s="574"/>
      <c r="AC109" s="574"/>
      <c r="AD109" s="574"/>
      <c r="AE109" s="574"/>
    </row>
    <row r="110" spans="1:31" ht="16.5" customHeight="1" x14ac:dyDescent="0.85">
      <c r="A110" s="574"/>
      <c r="B110" s="574"/>
      <c r="C110" s="574"/>
      <c r="D110" s="574"/>
      <c r="E110" s="574"/>
      <c r="F110" s="574"/>
      <c r="G110" s="574"/>
      <c r="H110" s="574"/>
      <c r="I110" s="574"/>
      <c r="J110" s="574"/>
      <c r="K110" s="574"/>
      <c r="L110" s="574"/>
      <c r="M110" s="574"/>
      <c r="N110" s="574"/>
      <c r="O110" s="574"/>
      <c r="P110" s="574"/>
      <c r="Q110" s="574"/>
      <c r="R110" s="574"/>
      <c r="S110" s="574"/>
      <c r="T110" s="574"/>
      <c r="U110" s="574"/>
      <c r="V110" s="574"/>
      <c r="W110" s="574"/>
      <c r="X110" s="574"/>
      <c r="Y110" s="574"/>
      <c r="Z110" s="574"/>
      <c r="AA110" s="574"/>
      <c r="AB110" s="574"/>
      <c r="AC110" s="574"/>
      <c r="AD110" s="574"/>
      <c r="AE110" s="574"/>
    </row>
    <row r="111" spans="1:31" ht="16.5" customHeight="1" x14ac:dyDescent="0.85">
      <c r="A111" s="574"/>
      <c r="B111" s="574"/>
      <c r="C111" s="574"/>
      <c r="D111" s="574"/>
      <c r="E111" s="574"/>
      <c r="F111" s="574"/>
      <c r="G111" s="574"/>
      <c r="H111" s="574"/>
      <c r="I111" s="574"/>
      <c r="J111" s="574"/>
      <c r="K111" s="574"/>
      <c r="L111" s="574"/>
      <c r="M111" s="574"/>
      <c r="N111" s="574"/>
      <c r="O111" s="574"/>
      <c r="P111" s="574"/>
      <c r="Q111" s="574"/>
      <c r="R111" s="574"/>
      <c r="S111" s="574"/>
      <c r="T111" s="574"/>
      <c r="U111" s="574"/>
      <c r="V111" s="574"/>
      <c r="W111" s="574"/>
      <c r="X111" s="574"/>
      <c r="Y111" s="574"/>
      <c r="Z111" s="574"/>
      <c r="AA111" s="574"/>
      <c r="AB111" s="574"/>
      <c r="AC111" s="574"/>
      <c r="AD111" s="574"/>
      <c r="AE111" s="574"/>
    </row>
    <row r="112" spans="1:31" ht="16.5" customHeight="1" x14ac:dyDescent="0.85">
      <c r="A112" s="574"/>
      <c r="B112" s="574"/>
      <c r="C112" s="574"/>
      <c r="D112" s="574"/>
      <c r="E112" s="574"/>
      <c r="F112" s="574"/>
      <c r="G112" s="574"/>
      <c r="H112" s="574"/>
      <c r="I112" s="574"/>
      <c r="J112" s="574"/>
      <c r="K112" s="574"/>
      <c r="L112" s="574"/>
      <c r="M112" s="574"/>
      <c r="N112" s="574"/>
      <c r="O112" s="574"/>
      <c r="P112" s="574"/>
      <c r="Q112" s="574"/>
      <c r="R112" s="574"/>
      <c r="S112" s="574"/>
      <c r="T112" s="574"/>
      <c r="U112" s="574"/>
      <c r="V112" s="574"/>
      <c r="W112" s="574"/>
      <c r="X112" s="574"/>
      <c r="Y112" s="574"/>
      <c r="Z112" s="574"/>
      <c r="AA112" s="574"/>
      <c r="AB112" s="574"/>
      <c r="AC112" s="574"/>
      <c r="AD112" s="574"/>
      <c r="AE112" s="574"/>
    </row>
    <row r="113" spans="1:31" ht="16.5" customHeight="1" x14ac:dyDescent="0.85">
      <c r="A113" s="574"/>
      <c r="B113" s="574"/>
      <c r="C113" s="574"/>
      <c r="D113" s="574"/>
      <c r="E113" s="574"/>
      <c r="F113" s="574"/>
      <c r="G113" s="574"/>
      <c r="H113" s="574"/>
      <c r="I113" s="574"/>
      <c r="J113" s="574"/>
      <c r="K113" s="574"/>
      <c r="L113" s="574"/>
      <c r="M113" s="574"/>
      <c r="N113" s="574"/>
      <c r="O113" s="574"/>
      <c r="P113" s="574"/>
      <c r="Q113" s="574"/>
      <c r="R113" s="574"/>
      <c r="S113" s="574"/>
      <c r="T113" s="574"/>
      <c r="U113" s="574"/>
      <c r="V113" s="574"/>
      <c r="W113" s="574"/>
      <c r="X113" s="574"/>
      <c r="Y113" s="574"/>
      <c r="Z113" s="574"/>
      <c r="AA113" s="574"/>
      <c r="AB113" s="574"/>
      <c r="AC113" s="574"/>
      <c r="AD113" s="574"/>
      <c r="AE113" s="574"/>
    </row>
    <row r="114" spans="1:31" ht="16.5" customHeight="1" x14ac:dyDescent="0.85">
      <c r="A114" s="574"/>
      <c r="B114" s="574"/>
      <c r="C114" s="574"/>
      <c r="D114" s="574"/>
      <c r="E114" s="574"/>
      <c r="F114" s="574"/>
      <c r="G114" s="574"/>
      <c r="H114" s="574"/>
      <c r="I114" s="574"/>
      <c r="J114" s="574"/>
      <c r="K114" s="574"/>
      <c r="L114" s="574"/>
      <c r="M114" s="574"/>
      <c r="N114" s="574"/>
      <c r="O114" s="574"/>
      <c r="P114" s="574"/>
      <c r="Q114" s="574"/>
      <c r="R114" s="574"/>
      <c r="S114" s="574"/>
      <c r="T114" s="574"/>
      <c r="U114" s="574"/>
      <c r="V114" s="574"/>
      <c r="W114" s="574"/>
      <c r="X114" s="574"/>
      <c r="Y114" s="574"/>
      <c r="Z114" s="574"/>
      <c r="AA114" s="574"/>
      <c r="AB114" s="574"/>
      <c r="AC114" s="574"/>
      <c r="AD114" s="574"/>
      <c r="AE114" s="574"/>
    </row>
    <row r="115" spans="1:31" ht="16.5" customHeight="1" x14ac:dyDescent="0.85">
      <c r="A115" s="574"/>
      <c r="B115" s="574"/>
      <c r="C115" s="574"/>
      <c r="D115" s="574"/>
      <c r="E115" s="574"/>
      <c r="F115" s="574"/>
      <c r="G115" s="574"/>
      <c r="H115" s="574"/>
      <c r="I115" s="574"/>
      <c r="J115" s="574"/>
      <c r="K115" s="574"/>
      <c r="L115" s="574"/>
      <c r="M115" s="574"/>
      <c r="N115" s="574"/>
      <c r="O115" s="574"/>
      <c r="P115" s="574"/>
      <c r="Q115" s="574"/>
      <c r="R115" s="574"/>
      <c r="S115" s="574"/>
      <c r="T115" s="574"/>
      <c r="U115" s="574"/>
      <c r="V115" s="574"/>
      <c r="W115" s="574"/>
      <c r="X115" s="574"/>
      <c r="Y115" s="574"/>
      <c r="Z115" s="574"/>
      <c r="AA115" s="574"/>
      <c r="AB115" s="574"/>
      <c r="AC115" s="574"/>
      <c r="AD115" s="574"/>
      <c r="AE115" s="574"/>
    </row>
    <row r="116" spans="1:31" ht="16.5" customHeight="1" x14ac:dyDescent="0.85">
      <c r="A116" s="574"/>
      <c r="B116" s="574"/>
      <c r="C116" s="574"/>
      <c r="D116" s="574"/>
      <c r="E116" s="574"/>
      <c r="F116" s="574"/>
      <c r="G116" s="574"/>
      <c r="H116" s="574"/>
      <c r="I116" s="574"/>
      <c r="J116" s="574"/>
      <c r="K116" s="574"/>
      <c r="L116" s="574"/>
      <c r="M116" s="574"/>
      <c r="N116" s="574"/>
      <c r="O116" s="574"/>
      <c r="P116" s="574"/>
      <c r="Q116" s="574"/>
      <c r="R116" s="574"/>
      <c r="S116" s="574"/>
      <c r="T116" s="574"/>
      <c r="U116" s="574"/>
      <c r="V116" s="574"/>
      <c r="W116" s="574"/>
      <c r="X116" s="574"/>
      <c r="Y116" s="574"/>
      <c r="Z116" s="574"/>
      <c r="AA116" s="574"/>
      <c r="AB116" s="574"/>
      <c r="AC116" s="574"/>
      <c r="AD116" s="574"/>
      <c r="AE116" s="574"/>
    </row>
    <row r="117" spans="1:31" ht="16.5" customHeight="1" x14ac:dyDescent="0.85">
      <c r="A117" s="574"/>
      <c r="B117" s="574"/>
      <c r="C117" s="574"/>
      <c r="D117" s="574"/>
      <c r="E117" s="574"/>
      <c r="F117" s="574"/>
      <c r="G117" s="574"/>
      <c r="H117" s="574"/>
      <c r="I117" s="574"/>
      <c r="J117" s="574"/>
      <c r="K117" s="574"/>
      <c r="L117" s="574"/>
      <c r="M117" s="574"/>
      <c r="N117" s="574"/>
      <c r="O117" s="574"/>
      <c r="P117" s="574"/>
      <c r="Q117" s="574"/>
      <c r="R117" s="574"/>
      <c r="S117" s="574"/>
      <c r="T117" s="574"/>
      <c r="U117" s="574"/>
      <c r="V117" s="574"/>
      <c r="W117" s="574"/>
      <c r="X117" s="574"/>
      <c r="Y117" s="574"/>
      <c r="Z117" s="574"/>
      <c r="AA117" s="574"/>
      <c r="AB117" s="574"/>
      <c r="AC117" s="574"/>
      <c r="AD117" s="574"/>
      <c r="AE117" s="574"/>
    </row>
    <row r="118" spans="1:31" ht="16.5" customHeight="1" x14ac:dyDescent="0.85">
      <c r="A118" s="574"/>
      <c r="B118" s="574"/>
      <c r="C118" s="574"/>
      <c r="D118" s="574"/>
      <c r="E118" s="574"/>
      <c r="F118" s="574"/>
      <c r="G118" s="574"/>
      <c r="H118" s="574"/>
      <c r="I118" s="574"/>
      <c r="J118" s="574"/>
      <c r="K118" s="574"/>
      <c r="L118" s="574"/>
      <c r="M118" s="574"/>
      <c r="N118" s="574"/>
      <c r="O118" s="574"/>
      <c r="P118" s="574"/>
      <c r="Q118" s="574"/>
      <c r="R118" s="574"/>
      <c r="S118" s="574"/>
      <c r="T118" s="574"/>
      <c r="U118" s="574"/>
      <c r="V118" s="574"/>
      <c r="W118" s="574"/>
      <c r="X118" s="574"/>
      <c r="Y118" s="574"/>
      <c r="Z118" s="574"/>
      <c r="AA118" s="574"/>
      <c r="AB118" s="574"/>
      <c r="AC118" s="574"/>
      <c r="AD118" s="574"/>
      <c r="AE118" s="574"/>
    </row>
    <row r="119" spans="1:31" ht="16.5" customHeight="1" x14ac:dyDescent="0.85">
      <c r="A119" s="574"/>
      <c r="B119" s="574"/>
      <c r="C119" s="574"/>
      <c r="D119" s="574"/>
      <c r="E119" s="574"/>
      <c r="F119" s="574"/>
      <c r="G119" s="574"/>
      <c r="H119" s="574"/>
      <c r="I119" s="574"/>
      <c r="J119" s="574"/>
      <c r="K119" s="574"/>
      <c r="L119" s="574"/>
      <c r="M119" s="574"/>
      <c r="N119" s="574"/>
      <c r="O119" s="574"/>
      <c r="P119" s="574"/>
      <c r="Q119" s="574"/>
      <c r="R119" s="574"/>
      <c r="S119" s="574"/>
      <c r="T119" s="574"/>
      <c r="U119" s="574"/>
      <c r="V119" s="574"/>
      <c r="W119" s="574"/>
      <c r="X119" s="574"/>
      <c r="Y119" s="574"/>
      <c r="Z119" s="574"/>
      <c r="AA119" s="574"/>
      <c r="AB119" s="574"/>
      <c r="AC119" s="574"/>
      <c r="AD119" s="574"/>
      <c r="AE119" s="574"/>
    </row>
    <row r="120" spans="1:31" ht="16.5" customHeight="1" x14ac:dyDescent="0.85">
      <c r="A120" s="574"/>
      <c r="B120" s="574"/>
      <c r="C120" s="574"/>
      <c r="D120" s="574"/>
      <c r="E120" s="574"/>
      <c r="F120" s="574"/>
      <c r="G120" s="574"/>
      <c r="H120" s="574"/>
      <c r="I120" s="574"/>
      <c r="J120" s="574"/>
      <c r="K120" s="574"/>
      <c r="L120" s="574"/>
      <c r="M120" s="574"/>
      <c r="N120" s="574"/>
      <c r="O120" s="574"/>
      <c r="P120" s="574"/>
      <c r="Q120" s="574"/>
      <c r="R120" s="574"/>
      <c r="S120" s="574"/>
      <c r="T120" s="574"/>
      <c r="U120" s="574"/>
      <c r="V120" s="574"/>
      <c r="W120" s="574"/>
      <c r="X120" s="574"/>
      <c r="Y120" s="574"/>
      <c r="Z120" s="574"/>
      <c r="AA120" s="574"/>
      <c r="AB120" s="574"/>
      <c r="AC120" s="574"/>
      <c r="AD120" s="574"/>
      <c r="AE120" s="574"/>
    </row>
    <row r="121" spans="1:31" ht="16.5" customHeight="1" x14ac:dyDescent="0.85">
      <c r="A121" s="574"/>
      <c r="B121" s="574"/>
      <c r="C121" s="574"/>
      <c r="D121" s="574"/>
      <c r="E121" s="574"/>
      <c r="F121" s="574"/>
      <c r="G121" s="574"/>
      <c r="H121" s="574"/>
      <c r="I121" s="574"/>
      <c r="J121" s="574"/>
      <c r="K121" s="574"/>
      <c r="L121" s="574"/>
      <c r="M121" s="574"/>
      <c r="N121" s="574"/>
      <c r="O121" s="574"/>
      <c r="P121" s="574"/>
      <c r="Q121" s="574"/>
      <c r="R121" s="574"/>
      <c r="S121" s="574"/>
      <c r="T121" s="574"/>
      <c r="U121" s="574"/>
      <c r="V121" s="574"/>
      <c r="W121" s="574"/>
      <c r="X121" s="574"/>
      <c r="Y121" s="574"/>
      <c r="Z121" s="574"/>
      <c r="AA121" s="574"/>
      <c r="AB121" s="574"/>
      <c r="AC121" s="574"/>
      <c r="AD121" s="574"/>
      <c r="AE121" s="574"/>
    </row>
    <row r="122" spans="1:31" ht="16.5" customHeight="1" x14ac:dyDescent="0.85">
      <c r="A122" s="574"/>
      <c r="B122" s="574"/>
      <c r="C122" s="574"/>
      <c r="D122" s="574"/>
      <c r="E122" s="574"/>
      <c r="F122" s="574"/>
      <c r="G122" s="574"/>
      <c r="H122" s="574"/>
      <c r="I122" s="574"/>
      <c r="J122" s="574"/>
      <c r="K122" s="574"/>
      <c r="L122" s="574"/>
      <c r="M122" s="574"/>
      <c r="N122" s="574"/>
      <c r="O122" s="574"/>
      <c r="P122" s="574"/>
      <c r="Q122" s="574"/>
      <c r="R122" s="574"/>
      <c r="S122" s="574"/>
      <c r="T122" s="574"/>
      <c r="U122" s="574"/>
      <c r="V122" s="574"/>
      <c r="W122" s="574"/>
      <c r="X122" s="574"/>
      <c r="Y122" s="574"/>
      <c r="Z122" s="574"/>
      <c r="AA122" s="574"/>
      <c r="AB122" s="574"/>
      <c r="AC122" s="574"/>
      <c r="AD122" s="574"/>
      <c r="AE122" s="574"/>
    </row>
    <row r="123" spans="1:31" ht="16.5" customHeight="1" x14ac:dyDescent="0.85">
      <c r="A123" s="574"/>
      <c r="B123" s="574"/>
      <c r="C123" s="574"/>
      <c r="D123" s="574"/>
      <c r="E123" s="574"/>
      <c r="F123" s="574"/>
      <c r="G123" s="574"/>
      <c r="H123" s="574"/>
      <c r="I123" s="574"/>
      <c r="J123" s="574"/>
      <c r="K123" s="574"/>
      <c r="L123" s="574"/>
      <c r="M123" s="574"/>
      <c r="N123" s="574"/>
      <c r="O123" s="574"/>
      <c r="P123" s="574"/>
      <c r="Q123" s="574"/>
      <c r="R123" s="574"/>
      <c r="S123" s="574"/>
      <c r="T123" s="574"/>
      <c r="U123" s="574"/>
      <c r="V123" s="574"/>
      <c r="W123" s="574"/>
      <c r="X123" s="574"/>
      <c r="Y123" s="574"/>
      <c r="Z123" s="574"/>
      <c r="AA123" s="574"/>
      <c r="AB123" s="574"/>
      <c r="AC123" s="574"/>
      <c r="AD123" s="574"/>
      <c r="AE123" s="574"/>
    </row>
    <row r="124" spans="1:31" ht="16.5" customHeight="1" x14ac:dyDescent="0.85">
      <c r="A124" s="574"/>
      <c r="B124" s="574"/>
      <c r="C124" s="574"/>
      <c r="D124" s="574"/>
      <c r="E124" s="574"/>
      <c r="F124" s="574"/>
      <c r="G124" s="574"/>
      <c r="H124" s="574"/>
      <c r="I124" s="574"/>
      <c r="J124" s="574"/>
      <c r="K124" s="574"/>
      <c r="L124" s="574"/>
      <c r="M124" s="574"/>
      <c r="N124" s="574"/>
      <c r="O124" s="574"/>
      <c r="P124" s="574"/>
      <c r="Q124" s="574"/>
      <c r="R124" s="574"/>
      <c r="S124" s="574"/>
      <c r="T124" s="574"/>
      <c r="U124" s="574"/>
      <c r="V124" s="574"/>
      <c r="W124" s="574"/>
      <c r="X124" s="574"/>
      <c r="Y124" s="574"/>
      <c r="Z124" s="574"/>
      <c r="AA124" s="574"/>
      <c r="AB124" s="574"/>
      <c r="AC124" s="574"/>
      <c r="AD124" s="574"/>
      <c r="AE124" s="574"/>
    </row>
    <row r="125" spans="1:31" ht="16.5" customHeight="1" x14ac:dyDescent="0.85">
      <c r="A125" s="574"/>
      <c r="B125" s="574"/>
      <c r="C125" s="574"/>
      <c r="D125" s="574"/>
      <c r="E125" s="574"/>
      <c r="F125" s="574"/>
      <c r="G125" s="574"/>
      <c r="H125" s="574"/>
      <c r="I125" s="574"/>
      <c r="J125" s="574"/>
      <c r="K125" s="574"/>
      <c r="L125" s="574"/>
      <c r="M125" s="574"/>
      <c r="N125" s="574"/>
      <c r="O125" s="574"/>
      <c r="P125" s="574"/>
      <c r="Q125" s="574"/>
      <c r="R125" s="574"/>
      <c r="S125" s="574"/>
      <c r="T125" s="574"/>
      <c r="U125" s="574"/>
      <c r="V125" s="574"/>
      <c r="W125" s="574"/>
      <c r="X125" s="574"/>
      <c r="Y125" s="574"/>
      <c r="Z125" s="574"/>
      <c r="AA125" s="574"/>
      <c r="AB125" s="574"/>
      <c r="AC125" s="574"/>
      <c r="AD125" s="574"/>
      <c r="AE125" s="574"/>
    </row>
    <row r="126" spans="1:31" ht="16.5" customHeight="1" x14ac:dyDescent="0.85">
      <c r="A126" s="574"/>
      <c r="B126" s="574"/>
      <c r="C126" s="574"/>
      <c r="D126" s="574"/>
      <c r="E126" s="574"/>
      <c r="F126" s="574"/>
      <c r="G126" s="574"/>
      <c r="H126" s="574"/>
      <c r="I126" s="574"/>
      <c r="J126" s="574"/>
      <c r="K126" s="574"/>
      <c r="L126" s="574"/>
      <c r="M126" s="574"/>
      <c r="N126" s="574"/>
      <c r="O126" s="574"/>
      <c r="P126" s="574"/>
      <c r="Q126" s="574"/>
      <c r="R126" s="574"/>
      <c r="S126" s="574"/>
      <c r="T126" s="574"/>
      <c r="U126" s="574"/>
      <c r="V126" s="574"/>
      <c r="W126" s="574"/>
      <c r="X126" s="574"/>
      <c r="Y126" s="574"/>
      <c r="Z126" s="574"/>
      <c r="AA126" s="574"/>
      <c r="AB126" s="574"/>
      <c r="AC126" s="574"/>
      <c r="AD126" s="574"/>
      <c r="AE126" s="574"/>
    </row>
    <row r="127" spans="1:31" ht="16.5" customHeight="1" x14ac:dyDescent="0.85">
      <c r="A127" s="574"/>
      <c r="B127" s="574"/>
      <c r="C127" s="574"/>
      <c r="D127" s="574"/>
      <c r="E127" s="574"/>
      <c r="F127" s="574"/>
      <c r="G127" s="574"/>
      <c r="H127" s="574"/>
      <c r="I127" s="574"/>
      <c r="J127" s="574"/>
      <c r="K127" s="574"/>
      <c r="L127" s="574"/>
      <c r="M127" s="574"/>
      <c r="N127" s="574"/>
      <c r="O127" s="574"/>
      <c r="P127" s="574"/>
      <c r="Q127" s="574"/>
      <c r="R127" s="574"/>
      <c r="S127" s="574"/>
      <c r="T127" s="574"/>
      <c r="U127" s="574"/>
      <c r="V127" s="574"/>
      <c r="W127" s="574"/>
      <c r="X127" s="574"/>
      <c r="Y127" s="574"/>
      <c r="Z127" s="574"/>
      <c r="AA127" s="574"/>
      <c r="AB127" s="574"/>
      <c r="AC127" s="574"/>
      <c r="AD127" s="574"/>
      <c r="AE127" s="574"/>
    </row>
    <row r="128" spans="1:31" ht="16.5" customHeight="1" x14ac:dyDescent="0.85">
      <c r="A128" s="574"/>
      <c r="B128" s="574"/>
      <c r="C128" s="574"/>
      <c r="D128" s="574"/>
      <c r="E128" s="574"/>
      <c r="F128" s="574"/>
      <c r="G128" s="574"/>
      <c r="H128" s="574"/>
      <c r="I128" s="574"/>
      <c r="J128" s="574"/>
      <c r="K128" s="574"/>
      <c r="L128" s="574"/>
      <c r="M128" s="574"/>
      <c r="N128" s="574"/>
      <c r="O128" s="574"/>
      <c r="P128" s="574"/>
      <c r="Q128" s="574"/>
      <c r="R128" s="574"/>
      <c r="S128" s="574"/>
      <c r="T128" s="574"/>
      <c r="U128" s="574"/>
      <c r="V128" s="574"/>
      <c r="W128" s="574"/>
      <c r="X128" s="574"/>
      <c r="Y128" s="574"/>
      <c r="Z128" s="574"/>
      <c r="AA128" s="574"/>
      <c r="AB128" s="574"/>
      <c r="AC128" s="574"/>
      <c r="AD128" s="574"/>
      <c r="AE128" s="574"/>
    </row>
    <row r="129" spans="1:31" ht="16.5" customHeight="1" x14ac:dyDescent="0.85">
      <c r="A129" s="574"/>
      <c r="B129" s="574"/>
      <c r="C129" s="574"/>
      <c r="D129" s="574"/>
      <c r="E129" s="574"/>
      <c r="F129" s="574"/>
      <c r="G129" s="574"/>
      <c r="H129" s="574"/>
      <c r="I129" s="574"/>
      <c r="J129" s="574"/>
      <c r="K129" s="574"/>
      <c r="L129" s="574"/>
      <c r="M129" s="574"/>
      <c r="N129" s="574"/>
      <c r="O129" s="574"/>
      <c r="P129" s="574"/>
      <c r="Q129" s="574"/>
      <c r="R129" s="574"/>
      <c r="S129" s="574"/>
      <c r="T129" s="574"/>
      <c r="U129" s="574"/>
      <c r="V129" s="574"/>
      <c r="W129" s="574"/>
      <c r="X129" s="574"/>
      <c r="Y129" s="574"/>
      <c r="Z129" s="574"/>
      <c r="AA129" s="574"/>
      <c r="AB129" s="574"/>
      <c r="AC129" s="574"/>
      <c r="AD129" s="574"/>
      <c r="AE129" s="574"/>
    </row>
    <row r="130" spans="1:31" ht="16.5" customHeight="1" x14ac:dyDescent="0.85">
      <c r="A130" s="574"/>
      <c r="B130" s="574"/>
      <c r="C130" s="574"/>
      <c r="D130" s="574"/>
      <c r="E130" s="574"/>
      <c r="F130" s="574"/>
      <c r="G130" s="574"/>
      <c r="H130" s="574"/>
      <c r="I130" s="574"/>
      <c r="J130" s="574"/>
      <c r="K130" s="574"/>
      <c r="L130" s="574"/>
      <c r="M130" s="574"/>
      <c r="N130" s="574"/>
      <c r="O130" s="574"/>
      <c r="P130" s="574"/>
      <c r="Q130" s="574"/>
      <c r="R130" s="574"/>
      <c r="S130" s="574"/>
      <c r="T130" s="574"/>
      <c r="U130" s="574"/>
      <c r="V130" s="574"/>
      <c r="W130" s="574"/>
      <c r="X130" s="574"/>
      <c r="Y130" s="574"/>
      <c r="Z130" s="574"/>
      <c r="AA130" s="574"/>
      <c r="AB130" s="574"/>
      <c r="AC130" s="574"/>
      <c r="AD130" s="574"/>
      <c r="AE130" s="574"/>
    </row>
    <row r="131" spans="1:31" ht="16.5" customHeight="1" x14ac:dyDescent="0.85">
      <c r="A131" s="574"/>
      <c r="B131" s="574"/>
      <c r="C131" s="574"/>
      <c r="D131" s="574"/>
      <c r="E131" s="574"/>
      <c r="F131" s="574"/>
      <c r="G131" s="574"/>
      <c r="H131" s="574"/>
      <c r="I131" s="574"/>
      <c r="J131" s="574"/>
      <c r="K131" s="574"/>
      <c r="L131" s="574"/>
      <c r="M131" s="574"/>
      <c r="N131" s="574"/>
      <c r="O131" s="574"/>
      <c r="P131" s="574"/>
      <c r="Q131" s="574"/>
      <c r="R131" s="574"/>
      <c r="S131" s="574"/>
      <c r="T131" s="574"/>
      <c r="U131" s="574"/>
      <c r="V131" s="574"/>
      <c r="W131" s="574"/>
      <c r="X131" s="574"/>
      <c r="Y131" s="574"/>
      <c r="Z131" s="574"/>
      <c r="AA131" s="574"/>
      <c r="AB131" s="574"/>
      <c r="AC131" s="574"/>
      <c r="AD131" s="574"/>
      <c r="AE131" s="574"/>
    </row>
    <row r="132" spans="1:31" ht="16.5" customHeight="1" x14ac:dyDescent="0.85">
      <c r="A132" s="574"/>
      <c r="B132" s="574"/>
      <c r="C132" s="574"/>
      <c r="D132" s="574"/>
      <c r="E132" s="574"/>
      <c r="F132" s="574"/>
      <c r="G132" s="574"/>
      <c r="H132" s="574"/>
      <c r="I132" s="574"/>
      <c r="J132" s="574"/>
      <c r="K132" s="574"/>
      <c r="L132" s="574"/>
      <c r="M132" s="574"/>
      <c r="N132" s="574"/>
      <c r="O132" s="574"/>
      <c r="P132" s="574"/>
      <c r="Q132" s="574"/>
      <c r="R132" s="574"/>
      <c r="S132" s="574"/>
      <c r="T132" s="574"/>
      <c r="U132" s="574"/>
      <c r="V132" s="574"/>
      <c r="W132" s="574"/>
      <c r="X132" s="574"/>
      <c r="Y132" s="574"/>
      <c r="Z132" s="574"/>
      <c r="AA132" s="574"/>
      <c r="AB132" s="574"/>
      <c r="AC132" s="574"/>
      <c r="AD132" s="574"/>
      <c r="AE132" s="574"/>
    </row>
    <row r="133" spans="1:31" ht="16.5" customHeight="1" x14ac:dyDescent="0.85">
      <c r="A133" s="574"/>
      <c r="B133" s="574"/>
      <c r="C133" s="574"/>
      <c r="D133" s="574"/>
      <c r="E133" s="574"/>
      <c r="F133" s="574"/>
      <c r="G133" s="574"/>
      <c r="H133" s="574"/>
      <c r="I133" s="574"/>
      <c r="J133" s="574"/>
      <c r="K133" s="574"/>
      <c r="L133" s="574"/>
      <c r="M133" s="574"/>
      <c r="N133" s="574"/>
      <c r="O133" s="574"/>
      <c r="P133" s="574"/>
      <c r="Q133" s="574"/>
      <c r="R133" s="574"/>
      <c r="S133" s="574"/>
      <c r="T133" s="574"/>
      <c r="U133" s="574"/>
      <c r="V133" s="574"/>
      <c r="W133" s="574"/>
      <c r="X133" s="574"/>
      <c r="Y133" s="574"/>
      <c r="Z133" s="574"/>
      <c r="AA133" s="574"/>
      <c r="AB133" s="574"/>
      <c r="AC133" s="574"/>
      <c r="AD133" s="574"/>
      <c r="AE133" s="574"/>
    </row>
    <row r="134" spans="1:31" ht="16.5" customHeight="1" x14ac:dyDescent="0.85">
      <c r="A134" s="574"/>
      <c r="B134" s="574"/>
      <c r="C134" s="574"/>
      <c r="D134" s="574"/>
      <c r="E134" s="574"/>
      <c r="F134" s="574"/>
      <c r="G134" s="574"/>
      <c r="H134" s="574"/>
      <c r="I134" s="574"/>
      <c r="J134" s="574"/>
      <c r="K134" s="574"/>
      <c r="L134" s="574"/>
      <c r="M134" s="574"/>
      <c r="N134" s="574"/>
      <c r="O134" s="574"/>
      <c r="P134" s="574"/>
      <c r="Q134" s="574"/>
      <c r="R134" s="574"/>
      <c r="S134" s="574"/>
      <c r="T134" s="574"/>
      <c r="U134" s="574"/>
      <c r="V134" s="574"/>
      <c r="W134" s="574"/>
      <c r="X134" s="574"/>
      <c r="Y134" s="574"/>
      <c r="Z134" s="574"/>
      <c r="AA134" s="574"/>
      <c r="AB134" s="574"/>
      <c r="AC134" s="574"/>
      <c r="AD134" s="574"/>
      <c r="AE134" s="574"/>
    </row>
    <row r="135" spans="1:31" ht="16.5" customHeight="1" x14ac:dyDescent="0.85">
      <c r="A135" s="574"/>
      <c r="B135" s="574"/>
      <c r="C135" s="574"/>
      <c r="D135" s="574"/>
      <c r="E135" s="574"/>
      <c r="F135" s="574"/>
      <c r="G135" s="574"/>
      <c r="H135" s="574"/>
      <c r="I135" s="574"/>
      <c r="J135" s="574"/>
      <c r="K135" s="574"/>
      <c r="L135" s="574"/>
      <c r="M135" s="574"/>
      <c r="N135" s="574"/>
      <c r="O135" s="574"/>
      <c r="P135" s="574"/>
      <c r="Q135" s="574"/>
      <c r="R135" s="574"/>
      <c r="S135" s="574"/>
      <c r="T135" s="574"/>
      <c r="U135" s="574"/>
      <c r="V135" s="574"/>
      <c r="W135" s="574"/>
      <c r="X135" s="574"/>
      <c r="Y135" s="574"/>
      <c r="Z135" s="574"/>
      <c r="AA135" s="574"/>
      <c r="AB135" s="574"/>
      <c r="AC135" s="574"/>
      <c r="AD135" s="574"/>
      <c r="AE135" s="574"/>
    </row>
    <row r="136" spans="1:31" ht="16.5" customHeight="1" x14ac:dyDescent="0.85">
      <c r="A136" s="574"/>
      <c r="B136" s="574"/>
      <c r="C136" s="574"/>
      <c r="D136" s="574"/>
      <c r="E136" s="574"/>
      <c r="F136" s="574"/>
      <c r="G136" s="574"/>
      <c r="H136" s="574"/>
      <c r="I136" s="574"/>
      <c r="J136" s="574"/>
      <c r="K136" s="574"/>
      <c r="L136" s="574"/>
      <c r="M136" s="574"/>
      <c r="N136" s="574"/>
      <c r="O136" s="574"/>
      <c r="P136" s="574"/>
      <c r="Q136" s="574"/>
      <c r="R136" s="574"/>
      <c r="S136" s="574"/>
      <c r="T136" s="574"/>
      <c r="U136" s="574"/>
      <c r="V136" s="574"/>
      <c r="W136" s="574"/>
      <c r="X136" s="574"/>
      <c r="Y136" s="574"/>
      <c r="Z136" s="574"/>
      <c r="AA136" s="574"/>
      <c r="AB136" s="574"/>
      <c r="AC136" s="574"/>
      <c r="AD136" s="574"/>
      <c r="AE136" s="574"/>
    </row>
    <row r="137" spans="1:31" ht="16.5" customHeight="1" x14ac:dyDescent="0.85">
      <c r="A137" s="574"/>
      <c r="B137" s="574"/>
      <c r="C137" s="574"/>
      <c r="D137" s="574"/>
      <c r="E137" s="574"/>
      <c r="F137" s="574"/>
      <c r="G137" s="574"/>
      <c r="H137" s="574"/>
      <c r="I137" s="574"/>
      <c r="J137" s="574"/>
      <c r="K137" s="574"/>
      <c r="L137" s="574"/>
      <c r="M137" s="574"/>
      <c r="N137" s="574"/>
      <c r="O137" s="574"/>
      <c r="P137" s="574"/>
      <c r="Q137" s="574"/>
      <c r="R137" s="574"/>
      <c r="S137" s="574"/>
      <c r="T137" s="574"/>
      <c r="U137" s="574"/>
      <c r="V137" s="574"/>
      <c r="W137" s="574"/>
      <c r="X137" s="574"/>
      <c r="Y137" s="574"/>
      <c r="Z137" s="574"/>
      <c r="AA137" s="574"/>
      <c r="AB137" s="574"/>
      <c r="AC137" s="574"/>
      <c r="AD137" s="574"/>
      <c r="AE137" s="574"/>
    </row>
    <row r="138" spans="1:31" ht="16.5" customHeight="1" x14ac:dyDescent="0.85">
      <c r="A138" s="574"/>
      <c r="B138" s="574"/>
      <c r="C138" s="574"/>
      <c r="D138" s="574"/>
      <c r="E138" s="574"/>
      <c r="F138" s="574"/>
      <c r="G138" s="574"/>
      <c r="H138" s="574"/>
      <c r="I138" s="574"/>
      <c r="J138" s="574"/>
      <c r="K138" s="574"/>
      <c r="L138" s="574"/>
      <c r="M138" s="574"/>
      <c r="N138" s="574"/>
      <c r="O138" s="574"/>
      <c r="P138" s="574"/>
      <c r="Q138" s="574"/>
      <c r="R138" s="574"/>
      <c r="S138" s="574"/>
      <c r="T138" s="574"/>
      <c r="U138" s="574"/>
      <c r="V138" s="574"/>
      <c r="W138" s="574"/>
      <c r="X138" s="574"/>
      <c r="Y138" s="574"/>
      <c r="Z138" s="574"/>
      <c r="AA138" s="574"/>
      <c r="AB138" s="574"/>
      <c r="AC138" s="574"/>
      <c r="AD138" s="574"/>
      <c r="AE138" s="574"/>
    </row>
    <row r="139" spans="1:31" ht="16.5" customHeight="1" x14ac:dyDescent="0.85">
      <c r="A139" s="574"/>
      <c r="B139" s="574"/>
      <c r="C139" s="574"/>
      <c r="D139" s="574"/>
      <c r="E139" s="574"/>
      <c r="F139" s="574"/>
      <c r="G139" s="574"/>
      <c r="H139" s="574"/>
      <c r="I139" s="574"/>
      <c r="J139" s="574"/>
      <c r="K139" s="574"/>
      <c r="L139" s="574"/>
      <c r="M139" s="574"/>
      <c r="N139" s="574"/>
      <c r="O139" s="574"/>
      <c r="P139" s="574"/>
      <c r="Q139" s="574"/>
      <c r="R139" s="574"/>
      <c r="S139" s="574"/>
      <c r="T139" s="574"/>
      <c r="U139" s="574"/>
      <c r="V139" s="574"/>
      <c r="W139" s="574"/>
      <c r="X139" s="574"/>
      <c r="Y139" s="574"/>
      <c r="Z139" s="574"/>
      <c r="AA139" s="574"/>
      <c r="AB139" s="574"/>
      <c r="AC139" s="574"/>
      <c r="AD139" s="574"/>
      <c r="AE139" s="574"/>
    </row>
    <row r="140" spans="1:31" ht="16.5" customHeight="1" x14ac:dyDescent="0.85">
      <c r="A140" s="574"/>
      <c r="B140" s="574"/>
      <c r="C140" s="574"/>
      <c r="D140" s="574"/>
      <c r="E140" s="574"/>
      <c r="F140" s="574"/>
      <c r="G140" s="574"/>
      <c r="H140" s="574"/>
      <c r="I140" s="574"/>
      <c r="J140" s="574"/>
      <c r="K140" s="574"/>
      <c r="L140" s="574"/>
      <c r="M140" s="574"/>
      <c r="N140" s="574"/>
      <c r="O140" s="574"/>
      <c r="P140" s="574"/>
      <c r="Q140" s="574"/>
      <c r="R140" s="574"/>
      <c r="S140" s="574"/>
      <c r="T140" s="574"/>
      <c r="U140" s="574"/>
      <c r="V140" s="574"/>
      <c r="W140" s="574"/>
      <c r="X140" s="574"/>
      <c r="Y140" s="574"/>
      <c r="Z140" s="574"/>
      <c r="AA140" s="574"/>
      <c r="AB140" s="574"/>
      <c r="AC140" s="574"/>
      <c r="AD140" s="574"/>
      <c r="AE140" s="574"/>
    </row>
    <row r="141" spans="1:31" ht="16.5" customHeight="1" x14ac:dyDescent="0.85">
      <c r="A141" s="574"/>
      <c r="B141" s="574"/>
      <c r="C141" s="574"/>
      <c r="D141" s="574"/>
      <c r="E141" s="574"/>
      <c r="F141" s="574"/>
      <c r="G141" s="574"/>
      <c r="H141" s="574"/>
      <c r="I141" s="574"/>
      <c r="J141" s="574"/>
      <c r="K141" s="574"/>
      <c r="L141" s="574"/>
      <c r="M141" s="574"/>
      <c r="N141" s="574"/>
      <c r="O141" s="574"/>
      <c r="P141" s="574"/>
      <c r="Q141" s="574"/>
      <c r="R141" s="574"/>
      <c r="S141" s="574"/>
      <c r="T141" s="574"/>
      <c r="U141" s="574"/>
      <c r="V141" s="574"/>
      <c r="W141" s="574"/>
      <c r="X141" s="574"/>
      <c r="Y141" s="574"/>
      <c r="Z141" s="574"/>
      <c r="AA141" s="574"/>
      <c r="AB141" s="574"/>
      <c r="AC141" s="574"/>
      <c r="AD141" s="574"/>
      <c r="AE141" s="574"/>
    </row>
    <row r="142" spans="1:31" ht="16.5" customHeight="1" x14ac:dyDescent="0.85">
      <c r="A142" s="574"/>
      <c r="B142" s="574"/>
      <c r="C142" s="574"/>
      <c r="D142" s="574"/>
      <c r="E142" s="574"/>
      <c r="F142" s="574"/>
      <c r="G142" s="574"/>
      <c r="H142" s="574"/>
      <c r="I142" s="574"/>
      <c r="J142" s="574"/>
      <c r="K142" s="574"/>
      <c r="L142" s="574"/>
      <c r="M142" s="574"/>
      <c r="N142" s="574"/>
      <c r="O142" s="574"/>
      <c r="P142" s="574"/>
      <c r="Q142" s="574"/>
      <c r="R142" s="574"/>
      <c r="S142" s="574"/>
      <c r="T142" s="574"/>
      <c r="U142" s="574"/>
      <c r="V142" s="574"/>
      <c r="W142" s="574"/>
      <c r="X142" s="574"/>
      <c r="Y142" s="574"/>
      <c r="Z142" s="574"/>
      <c r="AA142" s="574"/>
      <c r="AB142" s="574"/>
      <c r="AC142" s="574"/>
      <c r="AD142" s="574"/>
      <c r="AE142" s="574"/>
    </row>
    <row r="143" spans="1:31" ht="16.5" customHeight="1" x14ac:dyDescent="0.85">
      <c r="A143" s="574"/>
      <c r="B143" s="574"/>
      <c r="C143" s="574"/>
      <c r="D143" s="574"/>
      <c r="E143" s="574"/>
      <c r="F143" s="574"/>
      <c r="G143" s="574"/>
      <c r="H143" s="574"/>
      <c r="I143" s="574"/>
      <c r="J143" s="574"/>
      <c r="K143" s="574"/>
      <c r="L143" s="574"/>
      <c r="M143" s="574"/>
      <c r="N143" s="574"/>
      <c r="O143" s="574"/>
      <c r="P143" s="574"/>
      <c r="Q143" s="574"/>
      <c r="R143" s="574"/>
      <c r="S143" s="574"/>
      <c r="T143" s="574"/>
      <c r="U143" s="574"/>
      <c r="V143" s="574"/>
      <c r="W143" s="574"/>
      <c r="X143" s="574"/>
      <c r="Y143" s="574"/>
      <c r="Z143" s="574"/>
      <c r="AA143" s="574"/>
      <c r="AB143" s="574"/>
      <c r="AC143" s="574"/>
      <c r="AD143" s="574"/>
      <c r="AE143" s="574"/>
    </row>
    <row r="144" spans="1:31" ht="16.5" customHeight="1" x14ac:dyDescent="0.85">
      <c r="A144" s="574"/>
      <c r="B144" s="574"/>
      <c r="C144" s="574"/>
      <c r="D144" s="574"/>
      <c r="E144" s="574"/>
      <c r="F144" s="574"/>
      <c r="G144" s="574"/>
      <c r="H144" s="574"/>
      <c r="I144" s="574"/>
      <c r="J144" s="574"/>
      <c r="K144" s="574"/>
      <c r="L144" s="574"/>
      <c r="M144" s="574"/>
      <c r="N144" s="574"/>
      <c r="O144" s="574"/>
      <c r="P144" s="574"/>
      <c r="Q144" s="574"/>
      <c r="R144" s="574"/>
      <c r="S144" s="574"/>
      <c r="T144" s="574"/>
      <c r="U144" s="574"/>
      <c r="V144" s="574"/>
      <c r="W144" s="574"/>
      <c r="X144" s="574"/>
      <c r="Y144" s="574"/>
      <c r="Z144" s="574"/>
      <c r="AA144" s="574"/>
      <c r="AB144" s="574"/>
      <c r="AC144" s="574"/>
      <c r="AD144" s="574"/>
      <c r="AE144" s="574"/>
    </row>
    <row r="145" spans="1:31" ht="16.5" customHeight="1" x14ac:dyDescent="0.85">
      <c r="A145" s="574"/>
      <c r="B145" s="574"/>
      <c r="C145" s="574"/>
      <c r="D145" s="574"/>
      <c r="E145" s="574"/>
      <c r="F145" s="574"/>
      <c r="G145" s="574"/>
      <c r="H145" s="574"/>
      <c r="I145" s="574"/>
      <c r="J145" s="574"/>
      <c r="K145" s="574"/>
      <c r="L145" s="574"/>
      <c r="M145" s="574"/>
      <c r="N145" s="574"/>
      <c r="O145" s="574"/>
      <c r="P145" s="574"/>
      <c r="Q145" s="574"/>
      <c r="R145" s="574"/>
      <c r="S145" s="574"/>
      <c r="T145" s="574"/>
      <c r="U145" s="574"/>
      <c r="V145" s="574"/>
      <c r="W145" s="574"/>
      <c r="X145" s="574"/>
      <c r="Y145" s="574"/>
      <c r="Z145" s="574"/>
      <c r="AA145" s="574"/>
      <c r="AB145" s="574"/>
      <c r="AC145" s="574"/>
      <c r="AD145" s="574"/>
      <c r="AE145" s="574"/>
    </row>
    <row r="146" spans="1:31" ht="16.5" customHeight="1" x14ac:dyDescent="0.85">
      <c r="A146" s="574"/>
      <c r="B146" s="574"/>
      <c r="C146" s="574"/>
      <c r="D146" s="574"/>
      <c r="E146" s="574"/>
      <c r="F146" s="574"/>
      <c r="G146" s="574"/>
      <c r="H146" s="574"/>
      <c r="I146" s="574"/>
      <c r="J146" s="574"/>
      <c r="K146" s="574"/>
      <c r="L146" s="574"/>
      <c r="M146" s="574"/>
      <c r="N146" s="574"/>
      <c r="O146" s="574"/>
      <c r="P146" s="574"/>
      <c r="Q146" s="574"/>
      <c r="R146" s="574"/>
      <c r="S146" s="574"/>
      <c r="T146" s="574"/>
      <c r="U146" s="574"/>
      <c r="V146" s="574"/>
      <c r="W146" s="574"/>
      <c r="X146" s="574"/>
      <c r="Y146" s="574"/>
      <c r="Z146" s="574"/>
      <c r="AA146" s="574"/>
      <c r="AB146" s="574"/>
      <c r="AC146" s="574"/>
      <c r="AD146" s="574"/>
      <c r="AE146" s="574"/>
    </row>
    <row r="147" spans="1:31" ht="16.5" customHeight="1" x14ac:dyDescent="0.85">
      <c r="A147" s="574"/>
      <c r="B147" s="574"/>
      <c r="C147" s="574"/>
      <c r="D147" s="574"/>
      <c r="E147" s="574"/>
      <c r="F147" s="574"/>
      <c r="G147" s="574"/>
      <c r="H147" s="574"/>
      <c r="I147" s="574"/>
      <c r="J147" s="574"/>
      <c r="K147" s="574"/>
      <c r="L147" s="574"/>
      <c r="M147" s="574"/>
      <c r="N147" s="574"/>
      <c r="O147" s="574"/>
      <c r="P147" s="574"/>
      <c r="Q147" s="574"/>
      <c r="R147" s="574"/>
      <c r="S147" s="574"/>
      <c r="T147" s="574"/>
      <c r="U147" s="574"/>
      <c r="V147" s="574"/>
      <c r="W147" s="574"/>
      <c r="X147" s="574"/>
      <c r="Y147" s="574"/>
      <c r="Z147" s="574"/>
      <c r="AA147" s="574"/>
      <c r="AB147" s="574"/>
      <c r="AC147" s="574"/>
      <c r="AD147" s="574"/>
      <c r="AE147" s="574"/>
    </row>
    <row r="148" spans="1:31" ht="16.5" customHeight="1" x14ac:dyDescent="0.85">
      <c r="A148" s="574"/>
      <c r="B148" s="574"/>
      <c r="C148" s="574"/>
      <c r="D148" s="574"/>
      <c r="E148" s="574"/>
      <c r="F148" s="574"/>
      <c r="G148" s="574"/>
      <c r="H148" s="574"/>
      <c r="I148" s="574"/>
      <c r="J148" s="574"/>
      <c r="K148" s="574"/>
      <c r="L148" s="574"/>
      <c r="M148" s="574"/>
      <c r="N148" s="574"/>
      <c r="O148" s="574"/>
      <c r="P148" s="574"/>
      <c r="Q148" s="574"/>
      <c r="R148" s="574"/>
      <c r="S148" s="574"/>
      <c r="T148" s="574"/>
      <c r="U148" s="574"/>
      <c r="V148" s="574"/>
      <c r="W148" s="574"/>
      <c r="X148" s="574"/>
      <c r="Y148" s="574"/>
      <c r="Z148" s="574"/>
      <c r="AA148" s="574"/>
      <c r="AB148" s="574"/>
      <c r="AC148" s="574"/>
      <c r="AD148" s="574"/>
      <c r="AE148" s="574"/>
    </row>
    <row r="149" spans="1:31" ht="16.5" customHeight="1" x14ac:dyDescent="0.85">
      <c r="A149" s="574"/>
      <c r="B149" s="574"/>
      <c r="C149" s="574"/>
      <c r="D149" s="574"/>
      <c r="E149" s="574"/>
      <c r="F149" s="574"/>
      <c r="G149" s="574"/>
      <c r="H149" s="574"/>
      <c r="I149" s="574"/>
      <c r="J149" s="574"/>
      <c r="K149" s="574"/>
      <c r="L149" s="574"/>
      <c r="M149" s="574"/>
      <c r="N149" s="574"/>
      <c r="O149" s="574"/>
      <c r="P149" s="574"/>
      <c r="Q149" s="574"/>
      <c r="R149" s="574"/>
      <c r="S149" s="574"/>
      <c r="T149" s="574"/>
      <c r="U149" s="574"/>
      <c r="V149" s="574"/>
      <c r="W149" s="574"/>
      <c r="X149" s="574"/>
      <c r="Y149" s="574"/>
      <c r="Z149" s="574"/>
      <c r="AA149" s="574"/>
      <c r="AB149" s="574"/>
      <c r="AC149" s="574"/>
      <c r="AD149" s="574"/>
      <c r="AE149" s="574"/>
    </row>
    <row r="150" spans="1:31" ht="16.5" customHeight="1" x14ac:dyDescent="0.85">
      <c r="A150" s="574"/>
      <c r="B150" s="574"/>
      <c r="C150" s="574"/>
      <c r="D150" s="574"/>
      <c r="E150" s="574"/>
      <c r="F150" s="574"/>
      <c r="G150" s="574"/>
      <c r="H150" s="574"/>
      <c r="I150" s="574"/>
      <c r="J150" s="574"/>
      <c r="K150" s="574"/>
      <c r="L150" s="574"/>
      <c r="M150" s="574"/>
      <c r="N150" s="574"/>
      <c r="O150" s="574"/>
      <c r="P150" s="574"/>
      <c r="Q150" s="574"/>
      <c r="R150" s="574"/>
      <c r="S150" s="574"/>
      <c r="T150" s="574"/>
      <c r="U150" s="574"/>
      <c r="V150" s="574"/>
      <c r="W150" s="574"/>
      <c r="X150" s="574"/>
      <c r="Y150" s="574"/>
      <c r="Z150" s="574"/>
      <c r="AA150" s="574"/>
      <c r="AB150" s="574"/>
      <c r="AC150" s="574"/>
      <c r="AD150" s="574"/>
      <c r="AE150" s="574"/>
    </row>
    <row r="151" spans="1:31" ht="16.5" customHeight="1" x14ac:dyDescent="0.85">
      <c r="A151" s="574"/>
      <c r="B151" s="574"/>
      <c r="C151" s="574"/>
      <c r="D151" s="574"/>
      <c r="E151" s="574"/>
      <c r="F151" s="574"/>
      <c r="G151" s="574"/>
      <c r="H151" s="574"/>
      <c r="I151" s="574"/>
      <c r="J151" s="574"/>
      <c r="K151" s="574"/>
      <c r="L151" s="574"/>
      <c r="M151" s="574"/>
      <c r="N151" s="574"/>
      <c r="O151" s="574"/>
      <c r="P151" s="574"/>
      <c r="Q151" s="574"/>
      <c r="R151" s="574"/>
      <c r="S151" s="574"/>
      <c r="T151" s="574"/>
      <c r="U151" s="574"/>
      <c r="V151" s="574"/>
      <c r="W151" s="574"/>
      <c r="X151" s="574"/>
      <c r="Y151" s="574"/>
      <c r="Z151" s="574"/>
      <c r="AA151" s="574"/>
      <c r="AB151" s="574"/>
      <c r="AC151" s="574"/>
      <c r="AD151" s="574"/>
      <c r="AE151" s="574"/>
    </row>
    <row r="152" spans="1:31" ht="16.5" customHeight="1" x14ac:dyDescent="0.85">
      <c r="A152" s="574"/>
      <c r="B152" s="574"/>
      <c r="C152" s="574"/>
      <c r="D152" s="574"/>
      <c r="E152" s="574"/>
      <c r="F152" s="574"/>
      <c r="G152" s="574"/>
      <c r="H152" s="574"/>
      <c r="I152" s="574"/>
      <c r="J152" s="574"/>
      <c r="K152" s="574"/>
      <c r="L152" s="574"/>
      <c r="M152" s="574"/>
      <c r="N152" s="574"/>
      <c r="O152" s="574"/>
      <c r="P152" s="574"/>
      <c r="Q152" s="574"/>
      <c r="R152" s="574"/>
      <c r="S152" s="574"/>
      <c r="T152" s="574"/>
      <c r="U152" s="574"/>
      <c r="V152" s="574"/>
      <c r="W152" s="574"/>
      <c r="X152" s="574"/>
      <c r="Y152" s="574"/>
      <c r="Z152" s="574"/>
      <c r="AA152" s="574"/>
      <c r="AB152" s="574"/>
      <c r="AC152" s="574"/>
      <c r="AD152" s="574"/>
      <c r="AE152" s="574"/>
    </row>
    <row r="153" spans="1:31" ht="16.5" customHeight="1" x14ac:dyDescent="0.85">
      <c r="A153" s="574"/>
      <c r="B153" s="574"/>
      <c r="C153" s="574"/>
      <c r="D153" s="574"/>
      <c r="E153" s="574"/>
      <c r="F153" s="574"/>
      <c r="G153" s="574"/>
      <c r="H153" s="574"/>
      <c r="I153" s="574"/>
      <c r="J153" s="574"/>
      <c r="K153" s="574"/>
      <c r="L153" s="574"/>
      <c r="M153" s="574"/>
      <c r="N153" s="574"/>
      <c r="O153" s="574"/>
      <c r="P153" s="574"/>
      <c r="Q153" s="574"/>
      <c r="R153" s="574"/>
      <c r="S153" s="574"/>
      <c r="T153" s="574"/>
      <c r="U153" s="574"/>
      <c r="V153" s="574"/>
      <c r="W153" s="574"/>
      <c r="X153" s="574"/>
      <c r="Y153" s="574"/>
      <c r="Z153" s="574"/>
      <c r="AA153" s="574"/>
      <c r="AB153" s="574"/>
      <c r="AC153" s="574"/>
      <c r="AD153" s="574"/>
      <c r="AE153" s="574"/>
    </row>
    <row r="154" spans="1:31" ht="16.5" customHeight="1" x14ac:dyDescent="0.85">
      <c r="A154" s="574"/>
      <c r="B154" s="574"/>
      <c r="C154" s="574"/>
      <c r="D154" s="574"/>
      <c r="E154" s="574"/>
      <c r="F154" s="574"/>
      <c r="G154" s="574"/>
      <c r="H154" s="574"/>
      <c r="I154" s="574"/>
      <c r="J154" s="574"/>
      <c r="K154" s="574"/>
      <c r="L154" s="574"/>
      <c r="M154" s="574"/>
      <c r="N154" s="574"/>
      <c r="O154" s="574"/>
      <c r="P154" s="574"/>
      <c r="Q154" s="574"/>
      <c r="R154" s="574"/>
      <c r="S154" s="574"/>
      <c r="T154" s="574"/>
      <c r="U154" s="574"/>
      <c r="V154" s="574"/>
      <c r="W154" s="574"/>
      <c r="X154" s="574"/>
      <c r="Y154" s="574"/>
      <c r="Z154" s="574"/>
      <c r="AA154" s="574"/>
      <c r="AB154" s="574"/>
      <c r="AC154" s="574"/>
      <c r="AD154" s="574"/>
      <c r="AE154" s="574"/>
    </row>
    <row r="155" spans="1:31" ht="16.5" customHeight="1" x14ac:dyDescent="0.85">
      <c r="A155" s="574"/>
      <c r="B155" s="574"/>
      <c r="C155" s="574"/>
      <c r="D155" s="574"/>
      <c r="E155" s="574"/>
      <c r="F155" s="574"/>
      <c r="G155" s="574"/>
      <c r="H155" s="574"/>
      <c r="I155" s="574"/>
      <c r="J155" s="574"/>
      <c r="K155" s="574"/>
      <c r="L155" s="574"/>
      <c r="M155" s="574"/>
      <c r="N155" s="574"/>
      <c r="O155" s="574"/>
      <c r="P155" s="574"/>
      <c r="Q155" s="574"/>
      <c r="R155" s="574"/>
      <c r="S155" s="574"/>
      <c r="T155" s="574"/>
      <c r="U155" s="574"/>
      <c r="V155" s="574"/>
      <c r="W155" s="574"/>
      <c r="X155" s="574"/>
      <c r="Y155" s="574"/>
      <c r="Z155" s="574"/>
      <c r="AA155" s="574"/>
      <c r="AB155" s="574"/>
      <c r="AC155" s="574"/>
      <c r="AD155" s="574"/>
      <c r="AE155" s="574"/>
    </row>
    <row r="156" spans="1:31" ht="16.5" customHeight="1" x14ac:dyDescent="0.85">
      <c r="A156" s="574"/>
      <c r="B156" s="574"/>
      <c r="C156" s="574"/>
      <c r="D156" s="574"/>
      <c r="E156" s="574"/>
      <c r="F156" s="574"/>
      <c r="G156" s="574"/>
      <c r="H156" s="574"/>
      <c r="I156" s="574"/>
      <c r="J156" s="574"/>
      <c r="K156" s="574"/>
      <c r="L156" s="574"/>
      <c r="M156" s="574"/>
      <c r="N156" s="574"/>
      <c r="O156" s="574"/>
      <c r="P156" s="574"/>
      <c r="Q156" s="574"/>
      <c r="R156" s="574"/>
      <c r="S156" s="574"/>
      <c r="T156" s="574"/>
      <c r="U156" s="574"/>
      <c r="V156" s="574"/>
      <c r="W156" s="574"/>
      <c r="X156" s="574"/>
      <c r="Y156" s="574"/>
      <c r="Z156" s="574"/>
      <c r="AA156" s="574"/>
      <c r="AB156" s="574"/>
      <c r="AC156" s="574"/>
      <c r="AD156" s="574"/>
      <c r="AE156" s="574"/>
    </row>
    <row r="157" spans="1:31" ht="16.5" customHeight="1" x14ac:dyDescent="0.85">
      <c r="A157" s="574"/>
      <c r="B157" s="574"/>
      <c r="C157" s="574"/>
      <c r="D157" s="574"/>
      <c r="E157" s="574"/>
      <c r="F157" s="574"/>
      <c r="G157" s="574"/>
      <c r="H157" s="574"/>
      <c r="I157" s="574"/>
      <c r="J157" s="574"/>
      <c r="K157" s="574"/>
      <c r="L157" s="574"/>
      <c r="M157" s="574"/>
      <c r="N157" s="574"/>
      <c r="O157" s="574"/>
      <c r="P157" s="574"/>
      <c r="Q157" s="574"/>
      <c r="R157" s="574"/>
      <c r="S157" s="574"/>
      <c r="T157" s="574"/>
      <c r="U157" s="574"/>
      <c r="V157" s="574"/>
      <c r="W157" s="574"/>
      <c r="X157" s="574"/>
      <c r="Y157" s="574"/>
      <c r="Z157" s="574"/>
      <c r="AA157" s="574"/>
      <c r="AB157" s="574"/>
      <c r="AC157" s="574"/>
      <c r="AD157" s="574"/>
      <c r="AE157" s="574"/>
    </row>
    <row r="158" spans="1:31" ht="16.5" customHeight="1" x14ac:dyDescent="0.85">
      <c r="A158" s="574"/>
      <c r="B158" s="574"/>
      <c r="C158" s="574"/>
      <c r="D158" s="574"/>
      <c r="E158" s="574"/>
      <c r="F158" s="574"/>
      <c r="G158" s="574"/>
      <c r="H158" s="574"/>
      <c r="I158" s="574"/>
      <c r="J158" s="574"/>
      <c r="K158" s="574"/>
      <c r="L158" s="574"/>
      <c r="M158" s="574"/>
      <c r="N158" s="574"/>
      <c r="O158" s="574"/>
      <c r="P158" s="574"/>
      <c r="Q158" s="574"/>
      <c r="R158" s="574"/>
      <c r="S158" s="574"/>
      <c r="T158" s="574"/>
      <c r="U158" s="574"/>
      <c r="V158" s="574"/>
      <c r="W158" s="574"/>
      <c r="X158" s="574"/>
      <c r="Y158" s="574"/>
      <c r="Z158" s="574"/>
      <c r="AA158" s="574"/>
      <c r="AB158" s="574"/>
      <c r="AC158" s="574"/>
      <c r="AD158" s="574"/>
      <c r="AE158" s="574"/>
    </row>
    <row r="159" spans="1:31" ht="16.5" customHeight="1" x14ac:dyDescent="0.85">
      <c r="A159" s="574"/>
      <c r="B159" s="574"/>
      <c r="C159" s="574"/>
      <c r="D159" s="574"/>
      <c r="E159" s="574"/>
      <c r="F159" s="574"/>
      <c r="G159" s="574"/>
      <c r="H159" s="574"/>
      <c r="I159" s="574"/>
      <c r="J159" s="574"/>
      <c r="K159" s="574"/>
      <c r="L159" s="574"/>
      <c r="M159" s="574"/>
      <c r="N159" s="574"/>
      <c r="O159" s="574"/>
      <c r="P159" s="574"/>
      <c r="Q159" s="574"/>
      <c r="R159" s="574"/>
      <c r="S159" s="574"/>
      <c r="T159" s="574"/>
      <c r="U159" s="574"/>
      <c r="V159" s="574"/>
      <c r="W159" s="574"/>
      <c r="X159" s="574"/>
      <c r="Y159" s="574"/>
      <c r="Z159" s="574"/>
      <c r="AA159" s="574"/>
      <c r="AB159" s="574"/>
      <c r="AC159" s="574"/>
      <c r="AD159" s="574"/>
      <c r="AE159" s="574"/>
    </row>
    <row r="160" spans="1:31" ht="16.5" customHeight="1" x14ac:dyDescent="0.85">
      <c r="A160" s="574"/>
      <c r="B160" s="574"/>
      <c r="C160" s="574"/>
      <c r="D160" s="574"/>
      <c r="E160" s="574"/>
      <c r="F160" s="574"/>
      <c r="G160" s="574"/>
      <c r="H160" s="574"/>
      <c r="I160" s="574"/>
      <c r="J160" s="574"/>
      <c r="K160" s="574"/>
      <c r="L160" s="574"/>
      <c r="M160" s="574"/>
      <c r="N160" s="574"/>
      <c r="O160" s="574"/>
      <c r="P160" s="574"/>
      <c r="Q160" s="574"/>
      <c r="R160" s="574"/>
      <c r="S160" s="574"/>
      <c r="T160" s="574"/>
      <c r="U160" s="574"/>
      <c r="V160" s="574"/>
      <c r="W160" s="574"/>
      <c r="X160" s="574"/>
      <c r="Y160" s="574"/>
      <c r="Z160" s="574"/>
      <c r="AA160" s="574"/>
      <c r="AB160" s="574"/>
      <c r="AC160" s="574"/>
      <c r="AD160" s="574"/>
      <c r="AE160" s="574"/>
    </row>
    <row r="161" spans="1:31" ht="16.5" customHeight="1" x14ac:dyDescent="0.85">
      <c r="A161" s="574"/>
      <c r="B161" s="574"/>
      <c r="C161" s="574"/>
      <c r="D161" s="574"/>
      <c r="E161" s="574"/>
      <c r="F161" s="574"/>
      <c r="G161" s="574"/>
      <c r="H161" s="574"/>
      <c r="I161" s="574"/>
      <c r="J161" s="574"/>
      <c r="K161" s="574"/>
      <c r="L161" s="574"/>
      <c r="M161" s="574"/>
      <c r="N161" s="574"/>
      <c r="O161" s="574"/>
      <c r="P161" s="574"/>
      <c r="Q161" s="574"/>
      <c r="R161" s="574"/>
      <c r="S161" s="574"/>
      <c r="T161" s="574"/>
      <c r="U161" s="574"/>
      <c r="V161" s="574"/>
      <c r="W161" s="574"/>
      <c r="X161" s="574"/>
      <c r="Y161" s="574"/>
      <c r="Z161" s="574"/>
      <c r="AA161" s="574"/>
      <c r="AB161" s="574"/>
      <c r="AC161" s="574"/>
      <c r="AD161" s="574"/>
      <c r="AE161" s="574"/>
    </row>
    <row r="162" spans="1:31" ht="16.5" customHeight="1" x14ac:dyDescent="0.85">
      <c r="A162" s="574"/>
      <c r="B162" s="574"/>
      <c r="C162" s="574"/>
      <c r="D162" s="574"/>
      <c r="E162" s="574"/>
      <c r="F162" s="574"/>
      <c r="G162" s="574"/>
      <c r="H162" s="574"/>
      <c r="I162" s="574"/>
      <c r="J162" s="574"/>
      <c r="K162" s="574"/>
      <c r="L162" s="574"/>
      <c r="M162" s="574"/>
      <c r="N162" s="574"/>
      <c r="O162" s="574"/>
      <c r="P162" s="574"/>
      <c r="Q162" s="574"/>
      <c r="R162" s="574"/>
      <c r="S162" s="574"/>
      <c r="T162" s="574"/>
      <c r="U162" s="574"/>
      <c r="V162" s="574"/>
      <c r="W162" s="574"/>
      <c r="X162" s="574"/>
      <c r="Y162" s="574"/>
      <c r="Z162" s="574"/>
      <c r="AA162" s="574"/>
      <c r="AB162" s="574"/>
      <c r="AC162" s="574"/>
      <c r="AD162" s="574"/>
      <c r="AE162" s="574"/>
    </row>
    <row r="163" spans="1:31" ht="16.5" customHeight="1" x14ac:dyDescent="0.85">
      <c r="A163" s="574"/>
      <c r="B163" s="574"/>
      <c r="C163" s="574"/>
      <c r="D163" s="574"/>
      <c r="E163" s="574"/>
      <c r="F163" s="574"/>
      <c r="G163" s="574"/>
      <c r="H163" s="574"/>
      <c r="I163" s="574"/>
      <c r="J163" s="574"/>
      <c r="K163" s="574"/>
      <c r="L163" s="574"/>
      <c r="M163" s="574"/>
      <c r="N163" s="574"/>
      <c r="O163" s="574"/>
      <c r="P163" s="574"/>
      <c r="Q163" s="574"/>
      <c r="R163" s="574"/>
      <c r="S163" s="574"/>
      <c r="T163" s="574"/>
      <c r="U163" s="574"/>
      <c r="V163" s="574"/>
      <c r="W163" s="574"/>
      <c r="X163" s="574"/>
      <c r="Y163" s="574"/>
      <c r="Z163" s="574"/>
      <c r="AA163" s="574"/>
      <c r="AB163" s="574"/>
      <c r="AC163" s="574"/>
      <c r="AD163" s="574"/>
      <c r="AE163" s="574"/>
    </row>
    <row r="164" spans="1:31" ht="16.5" customHeight="1" x14ac:dyDescent="0.85">
      <c r="A164" s="574"/>
      <c r="B164" s="574"/>
      <c r="C164" s="574"/>
      <c r="D164" s="574"/>
      <c r="E164" s="574"/>
      <c r="F164" s="574"/>
      <c r="G164" s="574"/>
      <c r="H164" s="574"/>
      <c r="I164" s="574"/>
      <c r="J164" s="574"/>
      <c r="K164" s="574"/>
      <c r="L164" s="574"/>
      <c r="M164" s="574"/>
      <c r="N164" s="574"/>
      <c r="O164" s="574"/>
      <c r="P164" s="574"/>
      <c r="Q164" s="574"/>
      <c r="R164" s="574"/>
      <c r="S164" s="574"/>
      <c r="T164" s="574"/>
      <c r="U164" s="574"/>
      <c r="V164" s="574"/>
      <c r="W164" s="574"/>
      <c r="X164" s="574"/>
      <c r="Y164" s="574"/>
      <c r="Z164" s="574"/>
      <c r="AA164" s="574"/>
      <c r="AB164" s="574"/>
      <c r="AC164" s="574"/>
      <c r="AD164" s="574"/>
      <c r="AE164" s="574"/>
    </row>
    <row r="165" spans="1:31" ht="16.5" customHeight="1" x14ac:dyDescent="0.85">
      <c r="A165" s="574"/>
      <c r="B165" s="574"/>
      <c r="C165" s="574"/>
      <c r="D165" s="574"/>
      <c r="E165" s="574"/>
      <c r="F165" s="574"/>
      <c r="G165" s="574"/>
      <c r="H165" s="574"/>
      <c r="I165" s="574"/>
      <c r="J165" s="574"/>
      <c r="K165" s="574"/>
      <c r="L165" s="574"/>
      <c r="M165" s="574"/>
      <c r="N165" s="574"/>
      <c r="O165" s="574"/>
      <c r="P165" s="574"/>
      <c r="Q165" s="574"/>
      <c r="R165" s="574"/>
      <c r="S165" s="574"/>
      <c r="T165" s="574"/>
      <c r="U165" s="574"/>
      <c r="V165" s="574"/>
      <c r="W165" s="574"/>
      <c r="X165" s="574"/>
      <c r="Y165" s="574"/>
      <c r="Z165" s="574"/>
      <c r="AA165" s="574"/>
      <c r="AB165" s="574"/>
      <c r="AC165" s="574"/>
      <c r="AD165" s="574"/>
      <c r="AE165" s="574"/>
    </row>
    <row r="166" spans="1:31" ht="16.5" customHeight="1" x14ac:dyDescent="0.85">
      <c r="A166" s="574"/>
      <c r="B166" s="574"/>
      <c r="C166" s="574"/>
      <c r="D166" s="574"/>
      <c r="E166" s="574"/>
      <c r="F166" s="574"/>
      <c r="G166" s="574"/>
      <c r="H166" s="574"/>
      <c r="I166" s="574"/>
      <c r="J166" s="574"/>
      <c r="K166" s="574"/>
      <c r="L166" s="574"/>
      <c r="M166" s="574"/>
      <c r="N166" s="574"/>
      <c r="O166" s="574"/>
      <c r="P166" s="574"/>
      <c r="Q166" s="574"/>
      <c r="R166" s="574"/>
      <c r="S166" s="574"/>
      <c r="T166" s="574"/>
      <c r="U166" s="574"/>
      <c r="V166" s="574"/>
      <c r="W166" s="574"/>
      <c r="X166" s="574"/>
      <c r="Y166" s="574"/>
      <c r="Z166" s="574"/>
      <c r="AA166" s="574"/>
      <c r="AB166" s="574"/>
      <c r="AC166" s="574"/>
      <c r="AD166" s="574"/>
      <c r="AE166" s="574"/>
    </row>
    <row r="167" spans="1:31" ht="16.5" customHeight="1" x14ac:dyDescent="0.85">
      <c r="A167" s="574"/>
      <c r="B167" s="574"/>
      <c r="C167" s="574"/>
      <c r="D167" s="574"/>
      <c r="E167" s="574"/>
      <c r="F167" s="574"/>
      <c r="G167" s="574"/>
      <c r="H167" s="574"/>
      <c r="I167" s="574"/>
      <c r="J167" s="574"/>
      <c r="K167" s="574"/>
      <c r="L167" s="574"/>
      <c r="M167" s="574"/>
      <c r="N167" s="574"/>
      <c r="O167" s="574"/>
      <c r="P167" s="574"/>
      <c r="Q167" s="574"/>
      <c r="R167" s="574"/>
      <c r="S167" s="574"/>
      <c r="T167" s="574"/>
      <c r="U167" s="574"/>
      <c r="V167" s="574"/>
      <c r="W167" s="574"/>
      <c r="X167" s="574"/>
      <c r="Y167" s="574"/>
      <c r="Z167" s="574"/>
      <c r="AA167" s="574"/>
      <c r="AB167" s="574"/>
      <c r="AC167" s="574"/>
      <c r="AD167" s="574"/>
      <c r="AE167" s="574"/>
    </row>
    <row r="168" spans="1:31" ht="16.5" customHeight="1" x14ac:dyDescent="0.85">
      <c r="A168" s="574"/>
      <c r="B168" s="574"/>
      <c r="C168" s="574"/>
      <c r="D168" s="574"/>
      <c r="E168" s="574"/>
      <c r="F168" s="574"/>
      <c r="G168" s="574"/>
      <c r="H168" s="574"/>
      <c r="I168" s="574"/>
      <c r="J168" s="574"/>
      <c r="K168" s="574"/>
      <c r="L168" s="574"/>
      <c r="M168" s="574"/>
      <c r="N168" s="574"/>
      <c r="O168" s="574"/>
      <c r="P168" s="574"/>
      <c r="Q168" s="574"/>
      <c r="R168" s="574"/>
      <c r="S168" s="574"/>
      <c r="T168" s="574"/>
      <c r="U168" s="574"/>
      <c r="V168" s="574"/>
      <c r="W168" s="574"/>
      <c r="X168" s="574"/>
      <c r="Y168" s="574"/>
      <c r="Z168" s="574"/>
      <c r="AA168" s="574"/>
      <c r="AB168" s="574"/>
      <c r="AC168" s="574"/>
      <c r="AD168" s="574"/>
      <c r="AE168" s="574"/>
    </row>
    <row r="169" spans="1:31" ht="16.5" customHeight="1" x14ac:dyDescent="0.85">
      <c r="A169" s="574"/>
      <c r="B169" s="574"/>
      <c r="C169" s="574"/>
      <c r="D169" s="574"/>
      <c r="E169" s="574"/>
      <c r="F169" s="574"/>
      <c r="G169" s="574"/>
      <c r="H169" s="574"/>
      <c r="I169" s="574"/>
      <c r="J169" s="574"/>
      <c r="K169" s="574"/>
      <c r="L169" s="574"/>
      <c r="M169" s="574"/>
      <c r="N169" s="574"/>
      <c r="O169" s="574"/>
      <c r="P169" s="574"/>
      <c r="Q169" s="574"/>
      <c r="R169" s="574"/>
      <c r="S169" s="574"/>
      <c r="T169" s="574"/>
      <c r="U169" s="574"/>
      <c r="V169" s="574"/>
      <c r="W169" s="574"/>
      <c r="X169" s="574"/>
      <c r="Y169" s="574"/>
      <c r="Z169" s="574"/>
      <c r="AA169" s="574"/>
      <c r="AB169" s="574"/>
      <c r="AC169" s="574"/>
      <c r="AD169" s="574"/>
      <c r="AE169" s="574"/>
    </row>
    <row r="170" spans="1:31" ht="16.5" customHeight="1" x14ac:dyDescent="0.85">
      <c r="A170" s="574"/>
      <c r="B170" s="574"/>
      <c r="C170" s="574"/>
      <c r="D170" s="574"/>
      <c r="E170" s="574"/>
      <c r="F170" s="574"/>
      <c r="G170" s="574"/>
      <c r="H170" s="574"/>
      <c r="I170" s="574"/>
      <c r="J170" s="574"/>
      <c r="K170" s="574"/>
      <c r="L170" s="574"/>
      <c r="M170" s="574"/>
      <c r="N170" s="574"/>
      <c r="O170" s="574"/>
      <c r="P170" s="574"/>
      <c r="Q170" s="574"/>
      <c r="R170" s="574"/>
      <c r="S170" s="574"/>
      <c r="T170" s="574"/>
      <c r="U170" s="574"/>
      <c r="V170" s="574"/>
      <c r="W170" s="574"/>
      <c r="X170" s="574"/>
      <c r="Y170" s="574"/>
      <c r="Z170" s="574"/>
      <c r="AA170" s="574"/>
      <c r="AB170" s="574"/>
      <c r="AC170" s="574"/>
      <c r="AD170" s="574"/>
      <c r="AE170" s="574"/>
    </row>
    <row r="171" spans="1:31" ht="16.5" customHeight="1" x14ac:dyDescent="0.85">
      <c r="A171" s="574"/>
      <c r="B171" s="574"/>
      <c r="C171" s="574"/>
      <c r="D171" s="574"/>
      <c r="E171" s="574"/>
      <c r="F171" s="574"/>
      <c r="G171" s="574"/>
      <c r="H171" s="574"/>
      <c r="I171" s="574"/>
      <c r="J171" s="574"/>
      <c r="K171" s="574"/>
      <c r="L171" s="574"/>
      <c r="M171" s="574"/>
      <c r="N171" s="574"/>
      <c r="O171" s="574"/>
      <c r="P171" s="574"/>
      <c r="Q171" s="574"/>
      <c r="R171" s="574"/>
      <c r="S171" s="574"/>
      <c r="T171" s="574"/>
      <c r="U171" s="574"/>
      <c r="V171" s="574"/>
      <c r="W171" s="574"/>
      <c r="X171" s="574"/>
      <c r="Y171" s="574"/>
      <c r="Z171" s="574"/>
      <c r="AA171" s="574"/>
      <c r="AB171" s="574"/>
      <c r="AC171" s="574"/>
      <c r="AD171" s="574"/>
      <c r="AE171" s="574"/>
    </row>
    <row r="172" spans="1:31" ht="16.5" customHeight="1" x14ac:dyDescent="0.85">
      <c r="A172" s="574"/>
      <c r="B172" s="574"/>
      <c r="C172" s="574"/>
      <c r="D172" s="574"/>
      <c r="E172" s="574"/>
      <c r="F172" s="574"/>
      <c r="G172" s="574"/>
      <c r="H172" s="574"/>
      <c r="I172" s="574"/>
      <c r="J172" s="574"/>
      <c r="K172" s="574"/>
      <c r="L172" s="574"/>
      <c r="M172" s="574"/>
      <c r="N172" s="574"/>
      <c r="O172" s="574"/>
      <c r="P172" s="574"/>
      <c r="Q172" s="574"/>
      <c r="R172" s="574"/>
      <c r="S172" s="574"/>
      <c r="T172" s="574"/>
      <c r="U172" s="574"/>
      <c r="V172" s="574"/>
      <c r="W172" s="574"/>
      <c r="X172" s="574"/>
      <c r="Y172" s="574"/>
      <c r="Z172" s="574"/>
      <c r="AA172" s="574"/>
      <c r="AB172" s="574"/>
      <c r="AC172" s="574"/>
      <c r="AD172" s="574"/>
      <c r="AE172" s="574"/>
    </row>
    <row r="173" spans="1:31" ht="16.5" customHeight="1" x14ac:dyDescent="0.85">
      <c r="A173" s="574"/>
      <c r="B173" s="574"/>
      <c r="C173" s="574"/>
      <c r="D173" s="574"/>
      <c r="E173" s="574"/>
      <c r="F173" s="574"/>
      <c r="G173" s="574"/>
      <c r="H173" s="574"/>
      <c r="I173" s="574"/>
      <c r="J173" s="574"/>
      <c r="K173" s="574"/>
      <c r="L173" s="574"/>
      <c r="M173" s="574"/>
      <c r="N173" s="574"/>
      <c r="O173" s="574"/>
      <c r="P173" s="574"/>
      <c r="Q173" s="574"/>
      <c r="R173" s="574"/>
      <c r="S173" s="574"/>
      <c r="T173" s="574"/>
      <c r="U173" s="574"/>
      <c r="V173" s="574"/>
      <c r="W173" s="574"/>
      <c r="X173" s="574"/>
      <c r="Y173" s="574"/>
      <c r="Z173" s="574"/>
      <c r="AA173" s="574"/>
      <c r="AB173" s="574"/>
      <c r="AC173" s="574"/>
      <c r="AD173" s="574"/>
      <c r="AE173" s="574"/>
    </row>
    <row r="174" spans="1:31" ht="16.5" customHeight="1" x14ac:dyDescent="0.85">
      <c r="A174" s="574"/>
      <c r="B174" s="574"/>
      <c r="C174" s="574"/>
      <c r="D174" s="574"/>
      <c r="E174" s="574"/>
      <c r="F174" s="574"/>
      <c r="G174" s="574"/>
      <c r="H174" s="574"/>
      <c r="I174" s="574"/>
      <c r="J174" s="574"/>
      <c r="K174" s="574"/>
      <c r="L174" s="574"/>
      <c r="M174" s="574"/>
      <c r="N174" s="574"/>
      <c r="O174" s="574"/>
      <c r="P174" s="574"/>
      <c r="Q174" s="574"/>
      <c r="R174" s="574"/>
      <c r="S174" s="574"/>
      <c r="T174" s="574"/>
      <c r="U174" s="574"/>
      <c r="V174" s="574"/>
      <c r="W174" s="574"/>
      <c r="X174" s="574"/>
      <c r="Y174" s="574"/>
      <c r="Z174" s="574"/>
      <c r="AA174" s="574"/>
      <c r="AB174" s="574"/>
      <c r="AC174" s="574"/>
      <c r="AD174" s="574"/>
      <c r="AE174" s="574"/>
    </row>
    <row r="175" spans="1:31" ht="16.5" customHeight="1" x14ac:dyDescent="0.85">
      <c r="A175" s="574"/>
      <c r="B175" s="574"/>
      <c r="C175" s="574"/>
      <c r="D175" s="574"/>
      <c r="E175" s="574"/>
      <c r="F175" s="574"/>
      <c r="G175" s="574"/>
      <c r="H175" s="574"/>
      <c r="I175" s="574"/>
      <c r="J175" s="574"/>
      <c r="K175" s="574"/>
      <c r="L175" s="574"/>
      <c r="M175" s="574"/>
      <c r="N175" s="574"/>
      <c r="O175" s="574"/>
      <c r="P175" s="574"/>
      <c r="Q175" s="574"/>
      <c r="R175" s="574"/>
      <c r="S175" s="574"/>
      <c r="T175" s="574"/>
      <c r="U175" s="574"/>
      <c r="V175" s="574"/>
      <c r="W175" s="574"/>
      <c r="X175" s="574"/>
      <c r="Y175" s="574"/>
      <c r="Z175" s="574"/>
      <c r="AA175" s="574"/>
      <c r="AB175" s="574"/>
      <c r="AC175" s="574"/>
      <c r="AD175" s="574"/>
      <c r="AE175" s="574"/>
    </row>
    <row r="176" spans="1:31" ht="16.5" customHeight="1" x14ac:dyDescent="0.85">
      <c r="A176" s="574"/>
      <c r="B176" s="574"/>
      <c r="C176" s="574"/>
      <c r="D176" s="574"/>
      <c r="E176" s="574"/>
      <c r="F176" s="574"/>
      <c r="G176" s="574"/>
      <c r="H176" s="574"/>
      <c r="I176" s="574"/>
      <c r="J176" s="574"/>
      <c r="K176" s="574"/>
      <c r="L176" s="574"/>
      <c r="M176" s="574"/>
      <c r="N176" s="574"/>
      <c r="O176" s="574"/>
      <c r="P176" s="574"/>
      <c r="Q176" s="574"/>
      <c r="R176" s="574"/>
      <c r="S176" s="574"/>
      <c r="T176" s="574"/>
      <c r="U176" s="574"/>
      <c r="V176" s="574"/>
      <c r="W176" s="574"/>
      <c r="X176" s="574"/>
      <c r="Y176" s="574"/>
      <c r="Z176" s="574"/>
      <c r="AA176" s="574"/>
      <c r="AB176" s="574"/>
      <c r="AC176" s="574"/>
      <c r="AD176" s="574"/>
      <c r="AE176" s="574"/>
    </row>
    <row r="177" spans="1:31" ht="16.5" customHeight="1" x14ac:dyDescent="0.85">
      <c r="A177" s="574"/>
      <c r="B177" s="574"/>
      <c r="C177" s="574"/>
      <c r="D177" s="574"/>
      <c r="E177" s="574"/>
      <c r="F177" s="574"/>
      <c r="G177" s="574"/>
      <c r="H177" s="574"/>
      <c r="I177" s="574"/>
      <c r="J177" s="574"/>
      <c r="K177" s="574"/>
      <c r="L177" s="574"/>
      <c r="M177" s="574"/>
      <c r="N177" s="574"/>
      <c r="O177" s="574"/>
      <c r="P177" s="574"/>
      <c r="Q177" s="574"/>
      <c r="R177" s="574"/>
      <c r="S177" s="574"/>
      <c r="T177" s="574"/>
      <c r="U177" s="574"/>
      <c r="V177" s="574"/>
      <c r="W177" s="574"/>
      <c r="X177" s="574"/>
      <c r="Y177" s="574"/>
      <c r="Z177" s="574"/>
      <c r="AA177" s="574"/>
      <c r="AB177" s="574"/>
      <c r="AC177" s="574"/>
      <c r="AD177" s="574"/>
      <c r="AE177" s="574"/>
    </row>
    <row r="178" spans="1:31" ht="16.5" customHeight="1" x14ac:dyDescent="0.85">
      <c r="A178" s="574"/>
      <c r="B178" s="574"/>
      <c r="C178" s="574"/>
      <c r="D178" s="574"/>
      <c r="E178" s="574"/>
      <c r="F178" s="574"/>
      <c r="G178" s="574"/>
      <c r="H178" s="574"/>
      <c r="I178" s="574"/>
      <c r="J178" s="574"/>
      <c r="K178" s="574"/>
      <c r="L178" s="574"/>
      <c r="M178" s="574"/>
      <c r="N178" s="574"/>
      <c r="O178" s="574"/>
      <c r="P178" s="574"/>
      <c r="Q178" s="574"/>
      <c r="R178" s="574"/>
      <c r="S178" s="574"/>
      <c r="T178" s="574"/>
      <c r="U178" s="574"/>
      <c r="V178" s="574"/>
      <c r="W178" s="574"/>
      <c r="X178" s="574"/>
      <c r="Y178" s="574"/>
      <c r="Z178" s="574"/>
      <c r="AA178" s="574"/>
      <c r="AB178" s="574"/>
      <c r="AC178" s="574"/>
      <c r="AD178" s="574"/>
      <c r="AE178" s="574"/>
    </row>
    <row r="179" spans="1:31" ht="16.5" customHeight="1" x14ac:dyDescent="0.85">
      <c r="A179" s="574"/>
      <c r="B179" s="574"/>
      <c r="C179" s="574"/>
      <c r="D179" s="574"/>
      <c r="E179" s="574"/>
      <c r="F179" s="574"/>
      <c r="G179" s="574"/>
      <c r="H179" s="574"/>
      <c r="I179" s="574"/>
      <c r="J179" s="574"/>
      <c r="K179" s="574"/>
      <c r="L179" s="574"/>
      <c r="M179" s="574"/>
      <c r="N179" s="574"/>
      <c r="O179" s="574"/>
      <c r="P179" s="574"/>
      <c r="Q179" s="574"/>
      <c r="R179" s="574"/>
      <c r="S179" s="574"/>
      <c r="T179" s="574"/>
      <c r="U179" s="574"/>
      <c r="V179" s="574"/>
      <c r="W179" s="574"/>
      <c r="X179" s="574"/>
      <c r="Y179" s="574"/>
      <c r="Z179" s="574"/>
      <c r="AA179" s="574"/>
      <c r="AB179" s="574"/>
      <c r="AC179" s="574"/>
      <c r="AD179" s="574"/>
      <c r="AE179" s="574"/>
    </row>
    <row r="180" spans="1:31" ht="16.5" customHeight="1" x14ac:dyDescent="0.85">
      <c r="A180" s="574"/>
      <c r="B180" s="574"/>
      <c r="C180" s="574"/>
      <c r="D180" s="574"/>
      <c r="E180" s="574"/>
      <c r="F180" s="574"/>
      <c r="G180" s="574"/>
      <c r="H180" s="574"/>
      <c r="I180" s="574"/>
      <c r="J180" s="574"/>
      <c r="K180" s="574"/>
      <c r="L180" s="574"/>
      <c r="M180" s="574"/>
      <c r="N180" s="574"/>
      <c r="O180" s="574"/>
      <c r="P180" s="574"/>
      <c r="Q180" s="574"/>
      <c r="R180" s="574"/>
      <c r="S180" s="574"/>
      <c r="T180" s="574"/>
      <c r="U180" s="574"/>
      <c r="V180" s="574"/>
      <c r="W180" s="574"/>
      <c r="X180" s="574"/>
      <c r="Y180" s="574"/>
      <c r="Z180" s="574"/>
      <c r="AA180" s="574"/>
      <c r="AB180" s="574"/>
      <c r="AC180" s="574"/>
      <c r="AD180" s="574"/>
      <c r="AE180" s="574"/>
    </row>
    <row r="181" spans="1:31" ht="16.5" customHeight="1" x14ac:dyDescent="0.85">
      <c r="A181" s="574"/>
      <c r="B181" s="574"/>
      <c r="C181" s="574"/>
      <c r="D181" s="574"/>
      <c r="E181" s="574"/>
      <c r="F181" s="574"/>
      <c r="G181" s="574"/>
      <c r="H181" s="574"/>
      <c r="I181" s="574"/>
      <c r="J181" s="574"/>
      <c r="K181" s="574"/>
      <c r="L181" s="574"/>
      <c r="M181" s="574"/>
      <c r="N181" s="574"/>
      <c r="O181" s="574"/>
      <c r="P181" s="574"/>
      <c r="Q181" s="574"/>
      <c r="R181" s="574"/>
      <c r="S181" s="574"/>
      <c r="T181" s="574"/>
      <c r="U181" s="574"/>
      <c r="V181" s="574"/>
      <c r="W181" s="574"/>
      <c r="X181" s="574"/>
      <c r="Y181" s="574"/>
      <c r="Z181" s="574"/>
      <c r="AA181" s="574"/>
      <c r="AB181" s="574"/>
      <c r="AC181" s="574"/>
      <c r="AD181" s="574"/>
      <c r="AE181" s="574"/>
    </row>
    <row r="182" spans="1:31" ht="16.5" customHeight="1" x14ac:dyDescent="0.85">
      <c r="A182" s="574"/>
      <c r="B182" s="574"/>
      <c r="C182" s="574"/>
      <c r="D182" s="574"/>
      <c r="E182" s="574"/>
      <c r="F182" s="574"/>
      <c r="G182" s="574"/>
      <c r="H182" s="574"/>
      <c r="I182" s="574"/>
      <c r="J182" s="574"/>
      <c r="K182" s="574"/>
      <c r="L182" s="574"/>
      <c r="M182" s="574"/>
      <c r="N182" s="574"/>
      <c r="O182" s="574"/>
      <c r="P182" s="574"/>
      <c r="Q182" s="574"/>
      <c r="R182" s="574"/>
      <c r="S182" s="574"/>
      <c r="T182" s="574"/>
      <c r="U182" s="574"/>
      <c r="V182" s="574"/>
      <c r="W182" s="574"/>
      <c r="X182" s="574"/>
      <c r="Y182" s="574"/>
      <c r="Z182" s="574"/>
      <c r="AA182" s="574"/>
      <c r="AB182" s="574"/>
      <c r="AC182" s="574"/>
      <c r="AD182" s="574"/>
      <c r="AE182" s="574"/>
    </row>
    <row r="183" spans="1:31" ht="16.5" customHeight="1" x14ac:dyDescent="0.85">
      <c r="A183" s="574"/>
      <c r="B183" s="574"/>
      <c r="C183" s="574"/>
      <c r="D183" s="574"/>
      <c r="E183" s="574"/>
      <c r="F183" s="574"/>
      <c r="G183" s="574"/>
      <c r="H183" s="574"/>
      <c r="I183" s="574"/>
      <c r="J183" s="574"/>
      <c r="K183" s="574"/>
      <c r="L183" s="574"/>
      <c r="M183" s="574"/>
      <c r="N183" s="574"/>
      <c r="O183" s="574"/>
      <c r="P183" s="574"/>
      <c r="Q183" s="574"/>
      <c r="R183" s="574"/>
      <c r="S183" s="574"/>
      <c r="T183" s="574"/>
      <c r="U183" s="574"/>
      <c r="V183" s="574"/>
      <c r="W183" s="574"/>
      <c r="X183" s="574"/>
      <c r="Y183" s="574"/>
      <c r="Z183" s="574"/>
      <c r="AA183" s="574"/>
      <c r="AB183" s="574"/>
      <c r="AC183" s="574"/>
      <c r="AD183" s="574"/>
      <c r="AE183" s="574"/>
    </row>
    <row r="184" spans="1:31" ht="16.5" customHeight="1" x14ac:dyDescent="0.85">
      <c r="A184" s="574"/>
      <c r="B184" s="574"/>
      <c r="C184" s="574"/>
      <c r="D184" s="574"/>
      <c r="E184" s="574"/>
      <c r="F184" s="574"/>
      <c r="G184" s="574"/>
      <c r="H184" s="574"/>
      <c r="I184" s="574"/>
      <c r="J184" s="574"/>
      <c r="K184" s="574"/>
      <c r="L184" s="574"/>
      <c r="M184" s="574"/>
      <c r="N184" s="574"/>
      <c r="O184" s="574"/>
      <c r="P184" s="574"/>
      <c r="Q184" s="574"/>
      <c r="R184" s="574"/>
      <c r="S184" s="574"/>
      <c r="T184" s="574"/>
      <c r="U184" s="574"/>
      <c r="V184" s="574"/>
      <c r="W184" s="574"/>
      <c r="X184" s="574"/>
      <c r="Y184" s="574"/>
      <c r="Z184" s="574"/>
      <c r="AA184" s="574"/>
      <c r="AB184" s="574"/>
      <c r="AC184" s="574"/>
      <c r="AD184" s="574"/>
      <c r="AE184" s="574"/>
    </row>
    <row r="185" spans="1:31" ht="16.5" customHeight="1" x14ac:dyDescent="0.85">
      <c r="A185" s="574"/>
      <c r="B185" s="574"/>
      <c r="C185" s="574"/>
      <c r="D185" s="574"/>
      <c r="E185" s="574"/>
      <c r="F185" s="574"/>
      <c r="G185" s="574"/>
      <c r="H185" s="574"/>
      <c r="I185" s="574"/>
      <c r="J185" s="574"/>
      <c r="K185" s="574"/>
      <c r="L185" s="574"/>
      <c r="M185" s="574"/>
      <c r="N185" s="574"/>
      <c r="O185" s="574"/>
      <c r="P185" s="574"/>
      <c r="Q185" s="574"/>
      <c r="R185" s="574"/>
      <c r="S185" s="574"/>
      <c r="T185" s="574"/>
      <c r="U185" s="574"/>
      <c r="V185" s="574"/>
      <c r="W185" s="574"/>
      <c r="X185" s="574"/>
      <c r="Y185" s="574"/>
      <c r="Z185" s="574"/>
      <c r="AA185" s="574"/>
      <c r="AB185" s="574"/>
      <c r="AC185" s="574"/>
      <c r="AD185" s="574"/>
      <c r="AE185" s="574"/>
    </row>
    <row r="186" spans="1:31" ht="16.5" customHeight="1" x14ac:dyDescent="0.85">
      <c r="A186" s="574"/>
      <c r="B186" s="574"/>
      <c r="C186" s="574"/>
      <c r="D186" s="574"/>
      <c r="E186" s="574"/>
      <c r="F186" s="574"/>
      <c r="G186" s="574"/>
      <c r="H186" s="574"/>
      <c r="I186" s="574"/>
      <c r="J186" s="574"/>
      <c r="K186" s="574"/>
      <c r="L186" s="574"/>
      <c r="M186" s="574"/>
      <c r="N186" s="574"/>
      <c r="O186" s="574"/>
      <c r="P186" s="574"/>
      <c r="Q186" s="574"/>
      <c r="R186" s="574"/>
      <c r="S186" s="574"/>
      <c r="T186" s="574"/>
      <c r="U186" s="574"/>
      <c r="V186" s="574"/>
      <c r="W186" s="574"/>
      <c r="X186" s="574"/>
      <c r="Y186" s="574"/>
      <c r="Z186" s="574"/>
      <c r="AA186" s="574"/>
      <c r="AB186" s="574"/>
      <c r="AC186" s="574"/>
      <c r="AD186" s="574"/>
      <c r="AE186" s="574"/>
    </row>
    <row r="187" spans="1:31" ht="16.5" customHeight="1" x14ac:dyDescent="0.85">
      <c r="A187" s="574"/>
      <c r="B187" s="574"/>
      <c r="C187" s="574"/>
      <c r="D187" s="574"/>
      <c r="E187" s="574"/>
      <c r="F187" s="574"/>
      <c r="G187" s="574"/>
      <c r="H187" s="574"/>
      <c r="I187" s="574"/>
      <c r="J187" s="574"/>
      <c r="K187" s="574"/>
      <c r="L187" s="574"/>
      <c r="M187" s="574"/>
      <c r="N187" s="574"/>
      <c r="O187" s="574"/>
      <c r="P187" s="574"/>
      <c r="Q187" s="574"/>
      <c r="R187" s="574"/>
      <c r="S187" s="574"/>
      <c r="T187" s="574"/>
      <c r="U187" s="574"/>
      <c r="V187" s="574"/>
      <c r="W187" s="574"/>
      <c r="X187" s="574"/>
      <c r="Y187" s="574"/>
      <c r="Z187" s="574"/>
      <c r="AA187" s="574"/>
      <c r="AB187" s="574"/>
      <c r="AC187" s="574"/>
      <c r="AD187" s="574"/>
      <c r="AE187" s="574"/>
    </row>
    <row r="188" spans="1:31" ht="16.5" customHeight="1" x14ac:dyDescent="0.85">
      <c r="A188" s="574"/>
      <c r="B188" s="574"/>
      <c r="C188" s="574"/>
      <c r="D188" s="574"/>
      <c r="E188" s="574"/>
      <c r="F188" s="574"/>
      <c r="G188" s="574"/>
      <c r="H188" s="574"/>
      <c r="I188" s="574"/>
      <c r="J188" s="574"/>
      <c r="K188" s="574"/>
      <c r="L188" s="574"/>
      <c r="M188" s="574"/>
      <c r="N188" s="574"/>
      <c r="O188" s="574"/>
      <c r="P188" s="574"/>
      <c r="Q188" s="574"/>
      <c r="R188" s="574"/>
      <c r="S188" s="574"/>
      <c r="T188" s="574"/>
      <c r="U188" s="574"/>
      <c r="V188" s="574"/>
      <c r="W188" s="574"/>
      <c r="X188" s="574"/>
      <c r="Y188" s="574"/>
      <c r="Z188" s="574"/>
      <c r="AA188" s="574"/>
      <c r="AB188" s="574"/>
      <c r="AC188" s="574"/>
      <c r="AD188" s="574"/>
      <c r="AE188" s="574"/>
    </row>
    <row r="189" spans="1:31" ht="16.5" customHeight="1" x14ac:dyDescent="0.85">
      <c r="A189" s="574"/>
      <c r="B189" s="574"/>
      <c r="C189" s="574"/>
      <c r="D189" s="574"/>
      <c r="E189" s="574"/>
      <c r="F189" s="574"/>
      <c r="G189" s="574"/>
      <c r="H189" s="574"/>
      <c r="I189" s="574"/>
      <c r="J189" s="574"/>
      <c r="K189" s="574"/>
      <c r="L189" s="574"/>
      <c r="M189" s="574"/>
      <c r="N189" s="574"/>
      <c r="O189" s="574"/>
      <c r="P189" s="574"/>
      <c r="Q189" s="574"/>
      <c r="R189" s="574"/>
      <c r="S189" s="574"/>
      <c r="T189" s="574"/>
      <c r="U189" s="574"/>
      <c r="V189" s="574"/>
      <c r="W189" s="574"/>
      <c r="X189" s="574"/>
      <c r="Y189" s="574"/>
      <c r="Z189" s="574"/>
      <c r="AA189" s="574"/>
      <c r="AB189" s="574"/>
      <c r="AC189" s="574"/>
      <c r="AD189" s="574"/>
      <c r="AE189" s="574"/>
    </row>
    <row r="190" spans="1:31" ht="16.5" customHeight="1" x14ac:dyDescent="0.85">
      <c r="A190" s="574"/>
      <c r="B190" s="574"/>
      <c r="C190" s="574"/>
      <c r="D190" s="574"/>
      <c r="E190" s="574"/>
      <c r="F190" s="574"/>
      <c r="G190" s="574"/>
      <c r="H190" s="574"/>
      <c r="I190" s="574"/>
      <c r="J190" s="574"/>
      <c r="K190" s="574"/>
      <c r="L190" s="574"/>
      <c r="M190" s="574"/>
      <c r="N190" s="574"/>
      <c r="O190" s="574"/>
      <c r="P190" s="574"/>
      <c r="Q190" s="574"/>
      <c r="R190" s="574"/>
      <c r="S190" s="574"/>
      <c r="T190" s="574"/>
      <c r="U190" s="574"/>
      <c r="V190" s="574"/>
      <c r="W190" s="574"/>
      <c r="X190" s="574"/>
      <c r="Y190" s="574"/>
      <c r="Z190" s="574"/>
      <c r="AA190" s="574"/>
      <c r="AB190" s="574"/>
      <c r="AC190" s="574"/>
      <c r="AD190" s="574"/>
      <c r="AE190" s="574"/>
    </row>
    <row r="191" spans="1:31" ht="16.5" customHeight="1" x14ac:dyDescent="0.85">
      <c r="A191" s="574"/>
      <c r="B191" s="574"/>
      <c r="C191" s="574"/>
      <c r="D191" s="574"/>
      <c r="E191" s="574"/>
      <c r="F191" s="574"/>
      <c r="G191" s="574"/>
      <c r="H191" s="574"/>
      <c r="I191" s="574"/>
      <c r="J191" s="574"/>
      <c r="K191" s="574"/>
      <c r="L191" s="574"/>
      <c r="M191" s="574"/>
      <c r="N191" s="574"/>
      <c r="O191" s="574"/>
      <c r="P191" s="574"/>
      <c r="Q191" s="574"/>
      <c r="R191" s="574"/>
      <c r="S191" s="574"/>
      <c r="T191" s="574"/>
      <c r="U191" s="574"/>
      <c r="V191" s="574"/>
      <c r="W191" s="574"/>
      <c r="X191" s="574"/>
      <c r="Y191" s="574"/>
      <c r="Z191" s="574"/>
      <c r="AA191" s="574"/>
      <c r="AB191" s="574"/>
      <c r="AC191" s="574"/>
      <c r="AD191" s="574"/>
      <c r="AE191" s="574"/>
    </row>
    <row r="192" spans="1:31" ht="16.5" customHeight="1" x14ac:dyDescent="0.85">
      <c r="A192" s="574"/>
      <c r="B192" s="574"/>
      <c r="C192" s="574"/>
      <c r="D192" s="574"/>
      <c r="E192" s="574"/>
      <c r="F192" s="574"/>
      <c r="G192" s="574"/>
      <c r="H192" s="574"/>
      <c r="I192" s="574"/>
      <c r="J192" s="574"/>
      <c r="K192" s="574"/>
      <c r="L192" s="574"/>
      <c r="M192" s="574"/>
      <c r="N192" s="574"/>
      <c r="O192" s="574"/>
      <c r="P192" s="574"/>
      <c r="Q192" s="574"/>
      <c r="R192" s="574"/>
      <c r="S192" s="574"/>
      <c r="T192" s="574"/>
      <c r="U192" s="574"/>
      <c r="V192" s="574"/>
      <c r="W192" s="574"/>
      <c r="X192" s="574"/>
      <c r="Y192" s="574"/>
      <c r="Z192" s="574"/>
      <c r="AA192" s="574"/>
      <c r="AB192" s="574"/>
      <c r="AC192" s="574"/>
      <c r="AD192" s="574"/>
      <c r="AE192" s="574"/>
    </row>
    <row r="193" spans="1:31" ht="16.5" customHeight="1" x14ac:dyDescent="0.85">
      <c r="A193" s="574"/>
      <c r="B193" s="574"/>
      <c r="C193" s="574"/>
      <c r="D193" s="574"/>
      <c r="E193" s="574"/>
      <c r="F193" s="574"/>
      <c r="G193" s="574"/>
      <c r="H193" s="574"/>
      <c r="I193" s="574"/>
      <c r="J193" s="574"/>
      <c r="K193" s="574"/>
      <c r="L193" s="574"/>
      <c r="M193" s="574"/>
      <c r="N193" s="574"/>
      <c r="O193" s="574"/>
      <c r="P193" s="574"/>
      <c r="Q193" s="574"/>
      <c r="R193" s="574"/>
      <c r="S193" s="574"/>
      <c r="T193" s="574"/>
      <c r="U193" s="574"/>
      <c r="V193" s="574"/>
      <c r="W193" s="574"/>
      <c r="X193" s="574"/>
      <c r="Y193" s="574"/>
      <c r="Z193" s="574"/>
      <c r="AA193" s="574"/>
      <c r="AB193" s="574"/>
      <c r="AC193" s="574"/>
      <c r="AD193" s="574"/>
      <c r="AE193" s="574"/>
    </row>
    <row r="194" spans="1:31" ht="16.5" customHeight="1" x14ac:dyDescent="0.85">
      <c r="A194" s="574"/>
      <c r="B194" s="574"/>
      <c r="C194" s="574"/>
      <c r="D194" s="574"/>
      <c r="E194" s="574"/>
      <c r="F194" s="574"/>
      <c r="G194" s="574"/>
      <c r="H194" s="574"/>
      <c r="I194" s="574"/>
      <c r="J194" s="574"/>
      <c r="K194" s="574"/>
      <c r="L194" s="574"/>
      <c r="M194" s="574"/>
      <c r="N194" s="574"/>
      <c r="O194" s="574"/>
      <c r="P194" s="574"/>
      <c r="Q194" s="574"/>
      <c r="R194" s="574"/>
      <c r="S194" s="574"/>
      <c r="T194" s="574"/>
      <c r="U194" s="574"/>
      <c r="V194" s="574"/>
      <c r="W194" s="574"/>
      <c r="X194" s="574"/>
      <c r="Y194" s="574"/>
      <c r="Z194" s="574"/>
      <c r="AA194" s="574"/>
      <c r="AB194" s="574"/>
      <c r="AC194" s="574"/>
      <c r="AD194" s="574"/>
      <c r="AE194" s="574"/>
    </row>
    <row r="195" spans="1:31" ht="16.5" customHeight="1" x14ac:dyDescent="0.85">
      <c r="A195" s="574"/>
      <c r="B195" s="574"/>
      <c r="C195" s="574"/>
      <c r="D195" s="574"/>
      <c r="E195" s="574"/>
      <c r="F195" s="574"/>
      <c r="G195" s="574"/>
      <c r="H195" s="574"/>
      <c r="I195" s="574"/>
      <c r="J195" s="574"/>
      <c r="K195" s="574"/>
      <c r="L195" s="574"/>
      <c r="M195" s="574"/>
      <c r="N195" s="574"/>
      <c r="O195" s="574"/>
      <c r="P195" s="574"/>
      <c r="Q195" s="574"/>
      <c r="R195" s="574"/>
      <c r="S195" s="574"/>
      <c r="T195" s="574"/>
      <c r="U195" s="574"/>
      <c r="V195" s="574"/>
      <c r="W195" s="574"/>
      <c r="X195" s="574"/>
      <c r="Y195" s="574"/>
      <c r="Z195" s="574"/>
      <c r="AA195" s="574"/>
      <c r="AB195" s="574"/>
      <c r="AC195" s="574"/>
      <c r="AD195" s="574"/>
      <c r="AE195" s="574"/>
    </row>
    <row r="196" spans="1:31" ht="16.5" customHeight="1" x14ac:dyDescent="0.85">
      <c r="A196" s="574"/>
      <c r="B196" s="574"/>
      <c r="C196" s="574"/>
      <c r="D196" s="574"/>
      <c r="E196" s="574"/>
      <c r="F196" s="574"/>
      <c r="G196" s="574"/>
      <c r="H196" s="574"/>
      <c r="I196" s="574"/>
      <c r="J196" s="574"/>
      <c r="K196" s="574"/>
      <c r="L196" s="574"/>
      <c r="M196" s="574"/>
      <c r="N196" s="574"/>
      <c r="O196" s="574"/>
      <c r="P196" s="574"/>
      <c r="Q196" s="574"/>
      <c r="R196" s="574"/>
      <c r="S196" s="574"/>
      <c r="T196" s="574"/>
      <c r="U196" s="574"/>
      <c r="V196" s="574"/>
      <c r="W196" s="574"/>
      <c r="X196" s="574"/>
      <c r="Y196" s="574"/>
      <c r="Z196" s="574"/>
      <c r="AA196" s="574"/>
      <c r="AB196" s="574"/>
      <c r="AC196" s="574"/>
      <c r="AD196" s="574"/>
      <c r="AE196" s="574"/>
    </row>
    <row r="197" spans="1:31" ht="16.5" customHeight="1" x14ac:dyDescent="0.85">
      <c r="A197" s="574"/>
      <c r="B197" s="574"/>
      <c r="C197" s="574"/>
      <c r="D197" s="574"/>
      <c r="E197" s="574"/>
      <c r="F197" s="574"/>
      <c r="G197" s="574"/>
      <c r="H197" s="574"/>
      <c r="I197" s="574"/>
      <c r="J197" s="574"/>
      <c r="K197" s="574"/>
      <c r="L197" s="574"/>
      <c r="M197" s="574"/>
      <c r="N197" s="574"/>
      <c r="O197" s="574"/>
      <c r="P197" s="574"/>
      <c r="Q197" s="574"/>
      <c r="R197" s="574"/>
      <c r="S197" s="574"/>
      <c r="T197" s="574"/>
      <c r="U197" s="574"/>
      <c r="V197" s="574"/>
      <c r="W197" s="574"/>
      <c r="X197" s="574"/>
      <c r="Y197" s="574"/>
      <c r="Z197" s="574"/>
      <c r="AA197" s="574"/>
      <c r="AB197" s="574"/>
      <c r="AC197" s="574"/>
      <c r="AD197" s="574"/>
      <c r="AE197" s="574"/>
    </row>
    <row r="198" spans="1:31" ht="16.5" customHeight="1" x14ac:dyDescent="0.85">
      <c r="A198" s="574"/>
      <c r="B198" s="574"/>
      <c r="C198" s="574"/>
      <c r="D198" s="574"/>
      <c r="E198" s="574"/>
      <c r="F198" s="574"/>
      <c r="G198" s="574"/>
      <c r="H198" s="574"/>
      <c r="I198" s="574"/>
      <c r="J198" s="574"/>
      <c r="K198" s="574"/>
      <c r="L198" s="574"/>
      <c r="M198" s="574"/>
      <c r="N198" s="574"/>
      <c r="O198" s="574"/>
      <c r="P198" s="574"/>
      <c r="Q198" s="574"/>
      <c r="R198" s="574"/>
      <c r="S198" s="574"/>
      <c r="T198" s="574"/>
      <c r="U198" s="574"/>
      <c r="V198" s="574"/>
      <c r="W198" s="574"/>
      <c r="X198" s="574"/>
      <c r="Y198" s="574"/>
      <c r="Z198" s="574"/>
      <c r="AA198" s="574"/>
      <c r="AB198" s="574"/>
      <c r="AC198" s="574"/>
      <c r="AD198" s="574"/>
      <c r="AE198" s="574"/>
    </row>
    <row r="199" spans="1:31" ht="16.5" customHeight="1" x14ac:dyDescent="0.85">
      <c r="A199" s="574"/>
      <c r="B199" s="574"/>
      <c r="C199" s="574"/>
      <c r="D199" s="574"/>
      <c r="E199" s="574"/>
      <c r="F199" s="574"/>
      <c r="G199" s="574"/>
      <c r="H199" s="574"/>
      <c r="I199" s="574"/>
      <c r="J199" s="574"/>
      <c r="K199" s="574"/>
      <c r="L199" s="574"/>
      <c r="M199" s="574"/>
      <c r="N199" s="574"/>
      <c r="O199" s="574"/>
      <c r="P199" s="574"/>
      <c r="Q199" s="574"/>
      <c r="R199" s="574"/>
      <c r="S199" s="574"/>
      <c r="T199" s="574"/>
      <c r="U199" s="574"/>
      <c r="V199" s="574"/>
      <c r="W199" s="574"/>
      <c r="X199" s="574"/>
      <c r="Y199" s="574"/>
      <c r="Z199" s="574"/>
      <c r="AA199" s="574"/>
      <c r="AB199" s="574"/>
      <c r="AC199" s="574"/>
      <c r="AD199" s="574"/>
      <c r="AE199" s="574"/>
    </row>
    <row r="200" spans="1:31" ht="16.5" customHeight="1" x14ac:dyDescent="0.85">
      <c r="A200" s="574"/>
      <c r="B200" s="574"/>
      <c r="C200" s="574"/>
      <c r="D200" s="574"/>
      <c r="E200" s="574"/>
      <c r="F200" s="574"/>
      <c r="G200" s="574"/>
      <c r="H200" s="574"/>
      <c r="I200" s="574"/>
      <c r="J200" s="574"/>
      <c r="K200" s="574"/>
      <c r="L200" s="574"/>
      <c r="M200" s="574"/>
      <c r="N200" s="574"/>
      <c r="O200" s="574"/>
      <c r="P200" s="574"/>
      <c r="Q200" s="574"/>
      <c r="R200" s="574"/>
      <c r="S200" s="574"/>
      <c r="T200" s="574"/>
      <c r="U200" s="574"/>
      <c r="V200" s="574"/>
      <c r="W200" s="574"/>
      <c r="X200" s="574"/>
      <c r="Y200" s="574"/>
      <c r="Z200" s="574"/>
      <c r="AA200" s="574"/>
      <c r="AB200" s="574"/>
      <c r="AC200" s="574"/>
      <c r="AD200" s="574"/>
      <c r="AE200" s="574"/>
    </row>
    <row r="201" spans="1:31" ht="16.5" customHeight="1" x14ac:dyDescent="0.85">
      <c r="A201" s="574"/>
      <c r="B201" s="574"/>
      <c r="C201" s="574"/>
      <c r="D201" s="574"/>
      <c r="E201" s="574"/>
      <c r="F201" s="574"/>
      <c r="G201" s="574"/>
      <c r="H201" s="574"/>
      <c r="I201" s="574"/>
      <c r="J201" s="574"/>
      <c r="K201" s="574"/>
      <c r="L201" s="574"/>
      <c r="M201" s="574"/>
      <c r="N201" s="574"/>
      <c r="O201" s="574"/>
      <c r="P201" s="574"/>
      <c r="Q201" s="574"/>
      <c r="R201" s="574"/>
      <c r="S201" s="574"/>
      <c r="T201" s="574"/>
      <c r="U201" s="574"/>
      <c r="V201" s="574"/>
      <c r="W201" s="574"/>
      <c r="X201" s="574"/>
      <c r="Y201" s="574"/>
      <c r="Z201" s="574"/>
      <c r="AA201" s="574"/>
      <c r="AB201" s="574"/>
      <c r="AC201" s="574"/>
      <c r="AD201" s="574"/>
      <c r="AE201" s="574"/>
    </row>
    <row r="202" spans="1:31" ht="16.5" customHeight="1" x14ac:dyDescent="0.85">
      <c r="A202" s="574"/>
      <c r="B202" s="574"/>
      <c r="C202" s="574"/>
      <c r="D202" s="574"/>
      <c r="E202" s="574"/>
      <c r="F202" s="574"/>
      <c r="G202" s="574"/>
      <c r="H202" s="574"/>
      <c r="I202" s="574"/>
      <c r="J202" s="574"/>
      <c r="K202" s="574"/>
      <c r="L202" s="574"/>
      <c r="M202" s="574"/>
      <c r="N202" s="574"/>
      <c r="O202" s="574"/>
      <c r="P202" s="574"/>
      <c r="Q202" s="574"/>
      <c r="R202" s="574"/>
      <c r="S202" s="574"/>
      <c r="T202" s="574"/>
      <c r="U202" s="574"/>
      <c r="V202" s="574"/>
      <c r="W202" s="574"/>
      <c r="X202" s="574"/>
      <c r="Y202" s="574"/>
      <c r="Z202" s="574"/>
      <c r="AA202" s="574"/>
      <c r="AB202" s="574"/>
      <c r="AC202" s="574"/>
      <c r="AD202" s="574"/>
      <c r="AE202" s="574"/>
    </row>
    <row r="203" spans="1:31" ht="16.5" customHeight="1" x14ac:dyDescent="0.85">
      <c r="A203" s="574"/>
      <c r="B203" s="574"/>
      <c r="C203" s="574"/>
      <c r="D203" s="574"/>
      <c r="E203" s="574"/>
      <c r="F203" s="574"/>
      <c r="G203" s="574"/>
      <c r="H203" s="574"/>
      <c r="I203" s="574"/>
      <c r="J203" s="574"/>
      <c r="K203" s="574"/>
      <c r="L203" s="574"/>
      <c r="M203" s="574"/>
      <c r="N203" s="574"/>
      <c r="O203" s="574"/>
      <c r="P203" s="574"/>
      <c r="Q203" s="574"/>
      <c r="R203" s="574"/>
      <c r="S203" s="574"/>
      <c r="T203" s="574"/>
      <c r="U203" s="574"/>
      <c r="V203" s="574"/>
      <c r="W203" s="574"/>
      <c r="X203" s="574"/>
      <c r="Y203" s="574"/>
      <c r="Z203" s="574"/>
      <c r="AA203" s="574"/>
      <c r="AB203" s="574"/>
      <c r="AC203" s="574"/>
      <c r="AD203" s="574"/>
      <c r="AE203" s="574"/>
    </row>
    <row r="204" spans="1:31" ht="16.5" customHeight="1" x14ac:dyDescent="0.85">
      <c r="A204" s="574"/>
      <c r="B204" s="574"/>
      <c r="C204" s="574"/>
      <c r="D204" s="574"/>
      <c r="E204" s="574"/>
      <c r="F204" s="574"/>
      <c r="G204" s="574"/>
      <c r="H204" s="574"/>
      <c r="I204" s="574"/>
      <c r="J204" s="574"/>
      <c r="K204" s="574"/>
      <c r="L204" s="574"/>
      <c r="M204" s="574"/>
      <c r="N204" s="574"/>
      <c r="O204" s="574"/>
      <c r="P204" s="574"/>
      <c r="Q204" s="574"/>
      <c r="R204" s="574"/>
      <c r="S204" s="574"/>
      <c r="T204" s="574"/>
      <c r="U204" s="574"/>
      <c r="V204" s="574"/>
      <c r="W204" s="574"/>
      <c r="X204" s="574"/>
      <c r="Y204" s="574"/>
      <c r="Z204" s="574"/>
      <c r="AA204" s="574"/>
      <c r="AB204" s="574"/>
      <c r="AC204" s="574"/>
      <c r="AD204" s="574"/>
      <c r="AE204" s="574"/>
    </row>
    <row r="205" spans="1:31" ht="16.5" customHeight="1" x14ac:dyDescent="0.85">
      <c r="A205" s="574"/>
      <c r="B205" s="574"/>
      <c r="C205" s="574"/>
      <c r="D205" s="574"/>
      <c r="E205" s="574"/>
      <c r="F205" s="574"/>
      <c r="G205" s="574"/>
      <c r="H205" s="574"/>
      <c r="I205" s="574"/>
      <c r="J205" s="574"/>
      <c r="K205" s="574"/>
      <c r="L205" s="574"/>
      <c r="M205" s="574"/>
      <c r="N205" s="574"/>
      <c r="O205" s="574"/>
      <c r="P205" s="574"/>
      <c r="Q205" s="574"/>
      <c r="R205" s="574"/>
      <c r="S205" s="574"/>
      <c r="T205" s="574"/>
      <c r="U205" s="574"/>
      <c r="V205" s="574"/>
      <c r="W205" s="574"/>
      <c r="X205" s="574"/>
      <c r="Y205" s="574"/>
      <c r="Z205" s="574"/>
      <c r="AA205" s="574"/>
      <c r="AB205" s="574"/>
      <c r="AC205" s="574"/>
      <c r="AD205" s="574"/>
      <c r="AE205" s="574"/>
    </row>
    <row r="206" spans="1:31" ht="16.5" customHeight="1" x14ac:dyDescent="0.85">
      <c r="A206" s="574"/>
      <c r="B206" s="574"/>
      <c r="C206" s="574"/>
      <c r="D206" s="574"/>
      <c r="E206" s="574"/>
      <c r="F206" s="574"/>
      <c r="G206" s="574"/>
      <c r="H206" s="574"/>
      <c r="I206" s="574"/>
      <c r="J206" s="574"/>
      <c r="K206" s="574"/>
      <c r="L206" s="574"/>
      <c r="M206" s="574"/>
      <c r="N206" s="574"/>
      <c r="O206" s="574"/>
      <c r="P206" s="574"/>
      <c r="Q206" s="574"/>
      <c r="R206" s="574"/>
      <c r="S206" s="574"/>
      <c r="T206" s="574"/>
      <c r="U206" s="574"/>
      <c r="V206" s="574"/>
      <c r="W206" s="574"/>
      <c r="X206" s="574"/>
      <c r="Y206" s="574"/>
      <c r="Z206" s="574"/>
      <c r="AA206" s="574"/>
      <c r="AB206" s="574"/>
      <c r="AC206" s="574"/>
      <c r="AD206" s="574"/>
      <c r="AE206" s="574"/>
    </row>
    <row r="207" spans="1:31" ht="16.5" customHeight="1" x14ac:dyDescent="0.85">
      <c r="A207" s="574"/>
      <c r="B207" s="574"/>
      <c r="C207" s="574"/>
      <c r="D207" s="574"/>
      <c r="E207" s="574"/>
      <c r="F207" s="574"/>
      <c r="G207" s="574"/>
      <c r="H207" s="574"/>
      <c r="I207" s="574"/>
      <c r="J207" s="574"/>
      <c r="K207" s="574"/>
      <c r="L207" s="574"/>
      <c r="M207" s="574"/>
      <c r="N207" s="574"/>
      <c r="O207" s="574"/>
      <c r="P207" s="574"/>
      <c r="Q207" s="574"/>
      <c r="R207" s="574"/>
      <c r="S207" s="574"/>
      <c r="T207" s="574"/>
      <c r="U207" s="574"/>
      <c r="V207" s="574"/>
      <c r="W207" s="574"/>
      <c r="X207" s="574"/>
      <c r="Y207" s="574"/>
      <c r="Z207" s="574"/>
      <c r="AA207" s="574"/>
      <c r="AB207" s="574"/>
      <c r="AC207" s="574"/>
      <c r="AD207" s="574"/>
      <c r="AE207" s="574"/>
    </row>
    <row r="208" spans="1:31" ht="16.5" customHeight="1" x14ac:dyDescent="0.85">
      <c r="A208" s="574"/>
      <c r="B208" s="574"/>
      <c r="C208" s="574"/>
      <c r="D208" s="574"/>
      <c r="E208" s="574"/>
      <c r="F208" s="574"/>
      <c r="G208" s="574"/>
      <c r="H208" s="574"/>
      <c r="I208" s="574"/>
      <c r="J208" s="574"/>
      <c r="K208" s="574"/>
      <c r="L208" s="574"/>
      <c r="M208" s="574"/>
      <c r="N208" s="574"/>
      <c r="O208" s="574"/>
      <c r="P208" s="574"/>
      <c r="Q208" s="574"/>
      <c r="R208" s="574"/>
      <c r="S208" s="574"/>
      <c r="T208" s="574"/>
      <c r="U208" s="574"/>
      <c r="V208" s="574"/>
      <c r="W208" s="574"/>
      <c r="X208" s="574"/>
      <c r="Y208" s="574"/>
      <c r="Z208" s="574"/>
      <c r="AA208" s="574"/>
      <c r="AB208" s="574"/>
      <c r="AC208" s="574"/>
      <c r="AD208" s="574"/>
      <c r="AE208" s="574"/>
    </row>
    <row r="209" spans="1:31" ht="16.5" customHeight="1" x14ac:dyDescent="0.85">
      <c r="A209" s="574"/>
      <c r="B209" s="574"/>
      <c r="C209" s="574"/>
      <c r="D209" s="574"/>
      <c r="E209" s="574"/>
      <c r="F209" s="574"/>
      <c r="G209" s="574"/>
      <c r="H209" s="574"/>
      <c r="I209" s="574"/>
      <c r="J209" s="574"/>
      <c r="K209" s="574"/>
      <c r="L209" s="574"/>
      <c r="M209" s="574"/>
      <c r="N209" s="574"/>
      <c r="O209" s="574"/>
      <c r="P209" s="574"/>
      <c r="Q209" s="574"/>
      <c r="R209" s="574"/>
      <c r="S209" s="574"/>
      <c r="T209" s="574"/>
      <c r="U209" s="574"/>
      <c r="V209" s="574"/>
      <c r="W209" s="574"/>
      <c r="X209" s="574"/>
      <c r="Y209" s="574"/>
      <c r="Z209" s="574"/>
      <c r="AA209" s="574"/>
      <c r="AB209" s="574"/>
      <c r="AC209" s="574"/>
      <c r="AD209" s="574"/>
      <c r="AE209" s="574"/>
    </row>
    <row r="210" spans="1:31" ht="16.5" customHeight="1" x14ac:dyDescent="0.85">
      <c r="A210" s="574"/>
      <c r="B210" s="574"/>
      <c r="C210" s="574"/>
      <c r="D210" s="574"/>
      <c r="E210" s="574"/>
      <c r="F210" s="574"/>
      <c r="G210" s="574"/>
      <c r="H210" s="574"/>
      <c r="I210" s="574"/>
      <c r="J210" s="574"/>
      <c r="K210" s="574"/>
      <c r="L210" s="574"/>
      <c r="M210" s="574"/>
      <c r="N210" s="574"/>
      <c r="O210" s="574"/>
      <c r="P210" s="574"/>
      <c r="Q210" s="574"/>
      <c r="R210" s="574"/>
      <c r="S210" s="574"/>
      <c r="T210" s="574"/>
      <c r="U210" s="574"/>
      <c r="V210" s="574"/>
      <c r="W210" s="574"/>
      <c r="X210" s="574"/>
      <c r="Y210" s="574"/>
      <c r="Z210" s="574"/>
      <c r="AA210" s="574"/>
      <c r="AB210" s="574"/>
      <c r="AC210" s="574"/>
      <c r="AD210" s="574"/>
      <c r="AE210" s="574"/>
    </row>
    <row r="211" spans="1:31" ht="16.5" customHeight="1" x14ac:dyDescent="0.85">
      <c r="A211" s="574"/>
      <c r="B211" s="574"/>
      <c r="C211" s="574"/>
      <c r="D211" s="574"/>
      <c r="E211" s="574"/>
      <c r="F211" s="574"/>
      <c r="G211" s="574"/>
      <c r="H211" s="574"/>
      <c r="I211" s="574"/>
      <c r="J211" s="574"/>
      <c r="K211" s="574"/>
      <c r="L211" s="574"/>
      <c r="M211" s="574"/>
      <c r="N211" s="574"/>
      <c r="O211" s="574"/>
      <c r="P211" s="574"/>
      <c r="Q211" s="574"/>
      <c r="R211" s="574"/>
      <c r="S211" s="574"/>
      <c r="T211" s="574"/>
      <c r="U211" s="574"/>
      <c r="V211" s="574"/>
      <c r="W211" s="574"/>
      <c r="X211" s="574"/>
      <c r="Y211" s="574"/>
      <c r="Z211" s="574"/>
      <c r="AA211" s="574"/>
      <c r="AB211" s="574"/>
      <c r="AC211" s="574"/>
      <c r="AD211" s="574"/>
      <c r="AE211" s="574"/>
    </row>
    <row r="212" spans="1:31" ht="16.5" customHeight="1" x14ac:dyDescent="0.85">
      <c r="A212" s="574"/>
      <c r="B212" s="574"/>
      <c r="C212" s="574"/>
      <c r="D212" s="574"/>
      <c r="E212" s="574"/>
      <c r="F212" s="574"/>
      <c r="G212" s="574"/>
      <c r="H212" s="574"/>
      <c r="I212" s="574"/>
      <c r="J212" s="574"/>
      <c r="K212" s="574"/>
      <c r="L212" s="574"/>
      <c r="M212" s="574"/>
      <c r="N212" s="574"/>
      <c r="O212" s="574"/>
      <c r="P212" s="574"/>
      <c r="Q212" s="574"/>
      <c r="R212" s="574"/>
      <c r="S212" s="574"/>
      <c r="T212" s="574"/>
      <c r="U212" s="574"/>
      <c r="V212" s="574"/>
      <c r="W212" s="574"/>
      <c r="X212" s="574"/>
      <c r="Y212" s="574"/>
      <c r="Z212" s="574"/>
      <c r="AA212" s="574"/>
      <c r="AB212" s="574"/>
      <c r="AC212" s="574"/>
      <c r="AD212" s="574"/>
      <c r="AE212" s="574"/>
    </row>
    <row r="213" spans="1:31" ht="16.5" customHeight="1" x14ac:dyDescent="0.85">
      <c r="A213" s="574"/>
      <c r="B213" s="574"/>
      <c r="C213" s="574"/>
      <c r="D213" s="574"/>
      <c r="E213" s="574"/>
      <c r="F213" s="574"/>
      <c r="G213" s="574"/>
      <c r="H213" s="574"/>
      <c r="I213" s="574"/>
      <c r="J213" s="574"/>
      <c r="K213" s="574"/>
      <c r="L213" s="574"/>
      <c r="M213" s="574"/>
      <c r="N213" s="574"/>
      <c r="O213" s="574"/>
      <c r="P213" s="574"/>
      <c r="Q213" s="574"/>
      <c r="R213" s="574"/>
      <c r="S213" s="574"/>
      <c r="T213" s="574"/>
      <c r="U213" s="574"/>
      <c r="V213" s="574"/>
      <c r="W213" s="574"/>
      <c r="X213" s="574"/>
      <c r="Y213" s="574"/>
      <c r="Z213" s="574"/>
      <c r="AA213" s="574"/>
      <c r="AB213" s="574"/>
      <c r="AC213" s="574"/>
      <c r="AD213" s="574"/>
      <c r="AE213" s="574"/>
    </row>
    <row r="214" spans="1:31" ht="16.5" customHeight="1" x14ac:dyDescent="0.85">
      <c r="A214" s="574"/>
      <c r="B214" s="574"/>
      <c r="C214" s="574"/>
      <c r="D214" s="574"/>
      <c r="E214" s="574"/>
      <c r="F214" s="574"/>
      <c r="G214" s="574"/>
      <c r="H214" s="574"/>
      <c r="I214" s="574"/>
      <c r="J214" s="574"/>
      <c r="K214" s="574"/>
      <c r="L214" s="574"/>
      <c r="M214" s="574"/>
      <c r="N214" s="574"/>
      <c r="O214" s="574"/>
      <c r="P214" s="574"/>
      <c r="Q214" s="574"/>
      <c r="R214" s="574"/>
      <c r="S214" s="574"/>
      <c r="T214" s="574"/>
      <c r="U214" s="574"/>
      <c r="V214" s="574"/>
      <c r="W214" s="574"/>
      <c r="X214" s="574"/>
      <c r="Y214" s="574"/>
      <c r="Z214" s="574"/>
      <c r="AA214" s="574"/>
      <c r="AB214" s="574"/>
      <c r="AC214" s="574"/>
      <c r="AD214" s="574"/>
      <c r="AE214" s="574"/>
    </row>
    <row r="215" spans="1:31" ht="16.5" customHeight="1" x14ac:dyDescent="0.85">
      <c r="A215" s="574"/>
      <c r="B215" s="574"/>
      <c r="C215" s="574"/>
      <c r="D215" s="574"/>
      <c r="E215" s="574"/>
      <c r="F215" s="574"/>
      <c r="G215" s="574"/>
      <c r="H215" s="574"/>
      <c r="I215" s="574"/>
      <c r="J215" s="574"/>
      <c r="K215" s="574"/>
      <c r="L215" s="574"/>
      <c r="M215" s="574"/>
      <c r="N215" s="574"/>
      <c r="O215" s="574"/>
      <c r="P215" s="574"/>
      <c r="Q215" s="574"/>
      <c r="R215" s="574"/>
      <c r="S215" s="574"/>
      <c r="T215" s="574"/>
      <c r="U215" s="574"/>
      <c r="V215" s="574"/>
      <c r="W215" s="574"/>
      <c r="X215" s="574"/>
      <c r="Y215" s="574"/>
      <c r="Z215" s="574"/>
      <c r="AA215" s="574"/>
      <c r="AB215" s="574"/>
      <c r="AC215" s="574"/>
      <c r="AD215" s="574"/>
      <c r="AE215" s="574"/>
    </row>
    <row r="216" spans="1:31" ht="16.5" customHeight="1" x14ac:dyDescent="0.85">
      <c r="A216" s="574"/>
      <c r="B216" s="574"/>
      <c r="C216" s="574"/>
      <c r="D216" s="574"/>
      <c r="E216" s="574"/>
      <c r="F216" s="574"/>
      <c r="G216" s="574"/>
      <c r="H216" s="574"/>
      <c r="I216" s="574"/>
      <c r="J216" s="574"/>
      <c r="K216" s="574"/>
      <c r="L216" s="574"/>
      <c r="M216" s="574"/>
      <c r="N216" s="574"/>
      <c r="O216" s="574"/>
      <c r="P216" s="574"/>
      <c r="Q216" s="574"/>
      <c r="R216" s="574"/>
      <c r="S216" s="574"/>
      <c r="T216" s="574"/>
      <c r="U216" s="574"/>
      <c r="V216" s="574"/>
      <c r="W216" s="574"/>
      <c r="X216" s="574"/>
      <c r="Y216" s="574"/>
      <c r="Z216" s="574"/>
      <c r="AA216" s="574"/>
      <c r="AB216" s="574"/>
      <c r="AC216" s="574"/>
      <c r="AD216" s="574"/>
      <c r="AE216" s="574"/>
    </row>
    <row r="217" spans="1:31" ht="16.5" customHeight="1" x14ac:dyDescent="0.85">
      <c r="A217" s="574"/>
      <c r="B217" s="574"/>
      <c r="C217" s="574"/>
      <c r="D217" s="574"/>
      <c r="E217" s="574"/>
      <c r="F217" s="574"/>
      <c r="G217" s="574"/>
      <c r="H217" s="574"/>
      <c r="I217" s="574"/>
      <c r="J217" s="574"/>
      <c r="K217" s="574"/>
      <c r="L217" s="574"/>
      <c r="M217" s="574"/>
      <c r="N217" s="574"/>
      <c r="O217" s="574"/>
      <c r="P217" s="574"/>
      <c r="Q217" s="574"/>
      <c r="R217" s="574"/>
      <c r="S217" s="574"/>
      <c r="T217" s="574"/>
      <c r="U217" s="574"/>
      <c r="V217" s="574"/>
      <c r="W217" s="574"/>
      <c r="X217" s="574"/>
      <c r="Y217" s="574"/>
      <c r="Z217" s="574"/>
      <c r="AA217" s="574"/>
      <c r="AB217" s="574"/>
      <c r="AC217" s="574"/>
      <c r="AD217" s="574"/>
      <c r="AE217" s="574"/>
    </row>
    <row r="218" spans="1:31" ht="16.5" customHeight="1" x14ac:dyDescent="0.85">
      <c r="A218" s="574"/>
      <c r="B218" s="574"/>
      <c r="C218" s="574"/>
      <c r="D218" s="574"/>
      <c r="E218" s="574"/>
      <c r="F218" s="574"/>
      <c r="G218" s="574"/>
      <c r="H218" s="574"/>
      <c r="I218" s="574"/>
      <c r="J218" s="574"/>
      <c r="K218" s="574"/>
      <c r="L218" s="574"/>
      <c r="M218" s="574"/>
      <c r="N218" s="574"/>
      <c r="O218" s="574"/>
      <c r="P218" s="574"/>
      <c r="Q218" s="574"/>
      <c r="R218" s="574"/>
      <c r="S218" s="574"/>
      <c r="T218" s="574"/>
      <c r="U218" s="574"/>
      <c r="V218" s="574"/>
      <c r="W218" s="574"/>
      <c r="X218" s="574"/>
      <c r="Y218" s="574"/>
      <c r="Z218" s="574"/>
      <c r="AA218" s="574"/>
      <c r="AB218" s="574"/>
      <c r="AC218" s="574"/>
      <c r="AD218" s="574"/>
      <c r="AE218" s="574"/>
    </row>
    <row r="219" spans="1:31" ht="16.5" customHeight="1" x14ac:dyDescent="0.85">
      <c r="A219" s="574"/>
      <c r="B219" s="574"/>
      <c r="C219" s="574"/>
      <c r="D219" s="574"/>
      <c r="E219" s="574"/>
      <c r="F219" s="574"/>
      <c r="G219" s="574"/>
      <c r="H219" s="574"/>
      <c r="I219" s="574"/>
      <c r="J219" s="574"/>
      <c r="K219" s="574"/>
      <c r="L219" s="574"/>
      <c r="M219" s="574"/>
      <c r="N219" s="574"/>
      <c r="O219" s="574"/>
      <c r="P219" s="574"/>
      <c r="Q219" s="574"/>
      <c r="R219" s="574"/>
      <c r="S219" s="574"/>
      <c r="T219" s="574"/>
      <c r="U219" s="574"/>
      <c r="V219" s="574"/>
      <c r="W219" s="574"/>
      <c r="X219" s="574"/>
      <c r="Y219" s="574"/>
      <c r="Z219" s="574"/>
      <c r="AA219" s="574"/>
      <c r="AB219" s="574"/>
      <c r="AC219" s="574"/>
      <c r="AD219" s="574"/>
      <c r="AE219" s="574"/>
    </row>
    <row r="220" spans="1:31" ht="16.5" customHeight="1" x14ac:dyDescent="0.85">
      <c r="A220" s="574"/>
      <c r="B220" s="574"/>
      <c r="C220" s="574"/>
      <c r="D220" s="574"/>
      <c r="E220" s="574"/>
      <c r="F220" s="574"/>
      <c r="G220" s="574"/>
      <c r="H220" s="574"/>
      <c r="I220" s="574"/>
      <c r="J220" s="574"/>
      <c r="K220" s="574"/>
      <c r="L220" s="574"/>
      <c r="M220" s="574"/>
      <c r="N220" s="574"/>
      <c r="O220" s="574"/>
      <c r="P220" s="574"/>
      <c r="Q220" s="574"/>
      <c r="R220" s="574"/>
      <c r="S220" s="574"/>
      <c r="T220" s="574"/>
      <c r="U220" s="574"/>
      <c r="V220" s="574"/>
      <c r="W220" s="574"/>
      <c r="X220" s="574"/>
      <c r="Y220" s="574"/>
      <c r="Z220" s="574"/>
      <c r="AA220" s="574"/>
      <c r="AB220" s="574"/>
      <c r="AC220" s="574"/>
      <c r="AD220" s="574"/>
      <c r="AE220" s="574"/>
    </row>
    <row r="221" spans="1:31" ht="16.5" customHeight="1" x14ac:dyDescent="0.85">
      <c r="A221" s="574"/>
      <c r="B221" s="574"/>
      <c r="C221" s="574"/>
      <c r="D221" s="574"/>
      <c r="E221" s="574"/>
      <c r="F221" s="574"/>
      <c r="G221" s="574"/>
      <c r="H221" s="574"/>
      <c r="I221" s="574"/>
      <c r="J221" s="574"/>
      <c r="K221" s="574"/>
      <c r="L221" s="574"/>
      <c r="M221" s="574"/>
      <c r="N221" s="574"/>
      <c r="O221" s="574"/>
      <c r="P221" s="574"/>
      <c r="Q221" s="574"/>
      <c r="R221" s="574"/>
      <c r="S221" s="574"/>
      <c r="T221" s="574"/>
      <c r="U221" s="574"/>
      <c r="V221" s="574"/>
      <c r="W221" s="574"/>
      <c r="X221" s="574"/>
      <c r="Y221" s="574"/>
      <c r="Z221" s="574"/>
      <c r="AA221" s="574"/>
      <c r="AB221" s="574"/>
      <c r="AC221" s="574"/>
      <c r="AD221" s="574"/>
      <c r="AE221" s="574"/>
    </row>
    <row r="222" spans="1:31" ht="16.5" customHeight="1" x14ac:dyDescent="0.85">
      <c r="A222" s="574"/>
      <c r="B222" s="574"/>
      <c r="C222" s="574"/>
      <c r="D222" s="574"/>
      <c r="E222" s="574"/>
      <c r="F222" s="574"/>
      <c r="G222" s="574"/>
      <c r="H222" s="574"/>
      <c r="I222" s="574"/>
      <c r="J222" s="574"/>
      <c r="K222" s="574"/>
      <c r="L222" s="574"/>
      <c r="M222" s="574"/>
      <c r="N222" s="574"/>
      <c r="O222" s="574"/>
      <c r="P222" s="574"/>
      <c r="Q222" s="574"/>
      <c r="R222" s="574"/>
      <c r="S222" s="574"/>
      <c r="T222" s="574"/>
      <c r="U222" s="574"/>
      <c r="V222" s="574"/>
      <c r="W222" s="574"/>
      <c r="X222" s="574"/>
      <c r="Y222" s="574"/>
      <c r="Z222" s="574"/>
      <c r="AA222" s="574"/>
      <c r="AB222" s="574"/>
      <c r="AC222" s="574"/>
      <c r="AD222" s="574"/>
      <c r="AE222" s="574"/>
    </row>
    <row r="223" spans="1:31" ht="16.5" customHeight="1" x14ac:dyDescent="0.85">
      <c r="A223" s="574"/>
      <c r="B223" s="574"/>
      <c r="C223" s="574"/>
      <c r="D223" s="574"/>
      <c r="E223" s="574"/>
      <c r="F223" s="574"/>
      <c r="G223" s="574"/>
      <c r="H223" s="574"/>
      <c r="I223" s="574"/>
      <c r="J223" s="574"/>
      <c r="K223" s="574"/>
      <c r="L223" s="574"/>
      <c r="M223" s="574"/>
      <c r="N223" s="574"/>
      <c r="O223" s="574"/>
      <c r="P223" s="574"/>
      <c r="Q223" s="574"/>
      <c r="R223" s="574"/>
      <c r="S223" s="574"/>
      <c r="T223" s="574"/>
      <c r="U223" s="574"/>
      <c r="V223" s="574"/>
      <c r="W223" s="574"/>
      <c r="X223" s="574"/>
      <c r="Y223" s="574"/>
      <c r="Z223" s="574"/>
      <c r="AA223" s="574"/>
      <c r="AB223" s="574"/>
      <c r="AC223" s="574"/>
      <c r="AD223" s="574"/>
      <c r="AE223" s="574"/>
    </row>
    <row r="224" spans="1:31" ht="16.5" customHeight="1" x14ac:dyDescent="0.85">
      <c r="A224" s="574"/>
      <c r="B224" s="574"/>
      <c r="C224" s="574"/>
      <c r="D224" s="574"/>
      <c r="E224" s="574"/>
      <c r="F224" s="574"/>
      <c r="G224" s="574"/>
      <c r="H224" s="574"/>
      <c r="I224" s="574"/>
      <c r="J224" s="574"/>
      <c r="K224" s="574"/>
      <c r="L224" s="574"/>
      <c r="M224" s="574"/>
      <c r="N224" s="574"/>
      <c r="O224" s="574"/>
      <c r="P224" s="574"/>
      <c r="Q224" s="574"/>
      <c r="R224" s="574"/>
      <c r="S224" s="574"/>
      <c r="T224" s="574"/>
      <c r="U224" s="574"/>
      <c r="V224" s="574"/>
      <c r="W224" s="574"/>
      <c r="X224" s="574"/>
      <c r="Y224" s="574"/>
      <c r="Z224" s="574"/>
      <c r="AA224" s="574"/>
      <c r="AB224" s="574"/>
      <c r="AC224" s="574"/>
      <c r="AD224" s="574"/>
      <c r="AE224" s="574"/>
    </row>
    <row r="225" spans="1:31" ht="16.5" customHeight="1" x14ac:dyDescent="0.85">
      <c r="A225" s="574"/>
      <c r="B225" s="574"/>
      <c r="C225" s="574"/>
      <c r="D225" s="574"/>
      <c r="E225" s="574"/>
      <c r="F225" s="574"/>
      <c r="G225" s="574"/>
      <c r="H225" s="574"/>
      <c r="I225" s="574"/>
      <c r="J225" s="574"/>
      <c r="K225" s="574"/>
      <c r="L225" s="574"/>
      <c r="M225" s="574"/>
      <c r="N225" s="574"/>
      <c r="O225" s="574"/>
      <c r="P225" s="574"/>
      <c r="Q225" s="574"/>
      <c r="R225" s="574"/>
      <c r="S225" s="574"/>
      <c r="T225" s="574"/>
      <c r="U225" s="574"/>
      <c r="V225" s="574"/>
      <c r="W225" s="574"/>
      <c r="X225" s="574"/>
      <c r="Y225" s="574"/>
      <c r="Z225" s="574"/>
      <c r="AA225" s="574"/>
      <c r="AB225" s="574"/>
      <c r="AC225" s="574"/>
      <c r="AD225" s="574"/>
      <c r="AE225" s="574"/>
    </row>
    <row r="226" spans="1:31" ht="16.5" customHeight="1" x14ac:dyDescent="0.85">
      <c r="A226" s="574"/>
      <c r="B226" s="574"/>
      <c r="C226" s="574"/>
      <c r="D226" s="574"/>
      <c r="E226" s="574"/>
      <c r="F226" s="574"/>
      <c r="G226" s="574"/>
      <c r="H226" s="574"/>
      <c r="I226" s="574"/>
      <c r="J226" s="574"/>
      <c r="K226" s="574"/>
      <c r="L226" s="574"/>
      <c r="M226" s="574"/>
      <c r="N226" s="574"/>
      <c r="O226" s="574"/>
      <c r="P226" s="574"/>
      <c r="Q226" s="574"/>
      <c r="R226" s="574"/>
      <c r="S226" s="574"/>
      <c r="T226" s="574"/>
      <c r="U226" s="574"/>
      <c r="V226" s="574"/>
      <c r="W226" s="574"/>
      <c r="X226" s="574"/>
      <c r="Y226" s="574"/>
      <c r="Z226" s="574"/>
      <c r="AA226" s="574"/>
      <c r="AB226" s="574"/>
      <c r="AC226" s="574"/>
      <c r="AD226" s="574"/>
      <c r="AE226" s="574"/>
    </row>
    <row r="227" spans="1:31" ht="16.5" customHeight="1" x14ac:dyDescent="0.85">
      <c r="A227" s="574"/>
      <c r="B227" s="574"/>
      <c r="C227" s="574"/>
      <c r="D227" s="574"/>
      <c r="E227" s="574"/>
      <c r="F227" s="574"/>
      <c r="G227" s="574"/>
      <c r="H227" s="574"/>
      <c r="I227" s="574"/>
      <c r="J227" s="574"/>
      <c r="K227" s="574"/>
      <c r="L227" s="574"/>
      <c r="M227" s="574"/>
      <c r="N227" s="574"/>
      <c r="O227" s="574"/>
      <c r="P227" s="574"/>
      <c r="Q227" s="574"/>
      <c r="R227" s="574"/>
      <c r="S227" s="574"/>
      <c r="T227" s="574"/>
      <c r="U227" s="574"/>
      <c r="V227" s="574"/>
      <c r="W227" s="574"/>
      <c r="X227" s="574"/>
      <c r="Y227" s="574"/>
      <c r="Z227" s="574"/>
      <c r="AA227" s="574"/>
      <c r="AB227" s="574"/>
      <c r="AC227" s="574"/>
      <c r="AD227" s="574"/>
      <c r="AE227" s="574"/>
    </row>
    <row r="228" spans="1:31" ht="16.5" customHeight="1" x14ac:dyDescent="0.85">
      <c r="A228" s="574"/>
      <c r="B228" s="574"/>
      <c r="C228" s="574"/>
      <c r="D228" s="574"/>
      <c r="E228" s="574"/>
      <c r="F228" s="574"/>
      <c r="G228" s="574"/>
      <c r="H228" s="574"/>
      <c r="I228" s="574"/>
      <c r="J228" s="574"/>
      <c r="K228" s="574"/>
      <c r="L228" s="574"/>
      <c r="M228" s="574"/>
      <c r="N228" s="574"/>
      <c r="O228" s="574"/>
      <c r="P228" s="574"/>
      <c r="Q228" s="574"/>
      <c r="R228" s="574"/>
      <c r="S228" s="574"/>
      <c r="T228" s="574"/>
      <c r="U228" s="574"/>
      <c r="V228" s="574"/>
      <c r="W228" s="574"/>
      <c r="X228" s="574"/>
      <c r="Y228" s="574"/>
      <c r="Z228" s="574"/>
      <c r="AA228" s="574"/>
      <c r="AB228" s="574"/>
      <c r="AC228" s="574"/>
      <c r="AD228" s="574"/>
      <c r="AE228" s="574"/>
    </row>
    <row r="229" spans="1:31" ht="16.5" customHeight="1" x14ac:dyDescent="0.85">
      <c r="A229" s="574"/>
      <c r="B229" s="574"/>
      <c r="C229" s="574"/>
      <c r="D229" s="574"/>
      <c r="E229" s="574"/>
      <c r="F229" s="574"/>
      <c r="G229" s="574"/>
      <c r="H229" s="574"/>
      <c r="I229" s="574"/>
      <c r="J229" s="574"/>
      <c r="K229" s="574"/>
      <c r="L229" s="574"/>
      <c r="M229" s="574"/>
      <c r="N229" s="574"/>
      <c r="O229" s="574"/>
      <c r="P229" s="574"/>
      <c r="Q229" s="574"/>
      <c r="R229" s="574"/>
      <c r="S229" s="574"/>
      <c r="T229" s="574"/>
      <c r="U229" s="574"/>
      <c r="V229" s="574"/>
      <c r="W229" s="574"/>
      <c r="X229" s="574"/>
      <c r="Y229" s="574"/>
      <c r="Z229" s="574"/>
      <c r="AA229" s="574"/>
      <c r="AB229" s="574"/>
      <c r="AC229" s="574"/>
      <c r="AD229" s="574"/>
      <c r="AE229" s="574"/>
    </row>
    <row r="230" spans="1:31" ht="16.5" customHeight="1" x14ac:dyDescent="0.85">
      <c r="A230" s="574"/>
      <c r="B230" s="574"/>
      <c r="C230" s="574"/>
      <c r="D230" s="574"/>
      <c r="E230" s="574"/>
      <c r="F230" s="574"/>
      <c r="G230" s="574"/>
      <c r="H230" s="574"/>
      <c r="I230" s="574"/>
      <c r="J230" s="574"/>
      <c r="K230" s="574"/>
      <c r="L230" s="574"/>
      <c r="M230" s="574"/>
      <c r="N230" s="574"/>
      <c r="O230" s="574"/>
      <c r="P230" s="574"/>
      <c r="Q230" s="574"/>
      <c r="R230" s="574"/>
      <c r="S230" s="574"/>
      <c r="T230" s="574"/>
      <c r="U230" s="574"/>
      <c r="V230" s="574"/>
      <c r="W230" s="574"/>
      <c r="X230" s="574"/>
      <c r="Y230" s="574"/>
      <c r="Z230" s="574"/>
      <c r="AA230" s="574"/>
      <c r="AB230" s="574"/>
      <c r="AC230" s="574"/>
      <c r="AD230" s="574"/>
      <c r="AE230" s="574"/>
    </row>
    <row r="231" spans="1:31" ht="16.5" customHeight="1" x14ac:dyDescent="0.85">
      <c r="A231" s="574"/>
      <c r="B231" s="574"/>
      <c r="C231" s="574"/>
      <c r="D231" s="574"/>
      <c r="E231" s="574"/>
      <c r="F231" s="574"/>
      <c r="G231" s="574"/>
      <c r="H231" s="574"/>
      <c r="I231" s="574"/>
      <c r="J231" s="574"/>
      <c r="K231" s="574"/>
      <c r="L231" s="574"/>
      <c r="M231" s="574"/>
      <c r="N231" s="574"/>
      <c r="O231" s="574"/>
      <c r="P231" s="574"/>
      <c r="Q231" s="574"/>
      <c r="R231" s="574"/>
      <c r="S231" s="574"/>
      <c r="T231" s="574"/>
      <c r="U231" s="574"/>
      <c r="V231" s="574"/>
      <c r="W231" s="574"/>
      <c r="X231" s="574"/>
      <c r="Y231" s="574"/>
      <c r="Z231" s="574"/>
      <c r="AA231" s="574"/>
      <c r="AB231" s="574"/>
      <c r="AC231" s="574"/>
      <c r="AD231" s="574"/>
      <c r="AE231" s="574"/>
    </row>
    <row r="232" spans="1:31" ht="16.5" customHeight="1" x14ac:dyDescent="0.85">
      <c r="A232" s="574"/>
      <c r="B232" s="574"/>
      <c r="C232" s="574"/>
      <c r="D232" s="574"/>
      <c r="E232" s="574"/>
      <c r="F232" s="574"/>
      <c r="G232" s="574"/>
      <c r="H232" s="574"/>
      <c r="I232" s="574"/>
      <c r="J232" s="574"/>
      <c r="K232" s="574"/>
      <c r="L232" s="574"/>
      <c r="M232" s="574"/>
      <c r="N232" s="574"/>
      <c r="O232" s="574"/>
      <c r="P232" s="574"/>
      <c r="Q232" s="574"/>
      <c r="R232" s="574"/>
      <c r="S232" s="574"/>
      <c r="T232" s="574"/>
      <c r="U232" s="574"/>
      <c r="V232" s="574"/>
      <c r="W232" s="574"/>
      <c r="X232" s="574"/>
      <c r="Y232" s="574"/>
      <c r="Z232" s="574"/>
      <c r="AA232" s="574"/>
      <c r="AB232" s="574"/>
      <c r="AC232" s="574"/>
      <c r="AD232" s="574"/>
      <c r="AE232" s="574"/>
    </row>
    <row r="233" spans="1:31" ht="16.5" customHeight="1" x14ac:dyDescent="0.85">
      <c r="A233" s="574"/>
      <c r="B233" s="574"/>
      <c r="C233" s="574"/>
      <c r="D233" s="574"/>
      <c r="E233" s="574"/>
      <c r="F233" s="574"/>
      <c r="G233" s="574"/>
      <c r="H233" s="574"/>
      <c r="I233" s="574"/>
      <c r="J233" s="574"/>
      <c r="K233" s="574"/>
      <c r="L233" s="574"/>
      <c r="M233" s="574"/>
      <c r="N233" s="574"/>
      <c r="O233" s="574"/>
      <c r="P233" s="574"/>
      <c r="Q233" s="574"/>
      <c r="R233" s="574"/>
      <c r="S233" s="574"/>
      <c r="T233" s="574"/>
      <c r="U233" s="574"/>
      <c r="V233" s="574"/>
      <c r="W233" s="574"/>
      <c r="X233" s="574"/>
      <c r="Y233" s="574"/>
      <c r="Z233" s="574"/>
      <c r="AA233" s="574"/>
      <c r="AB233" s="574"/>
      <c r="AC233" s="574"/>
      <c r="AD233" s="574"/>
      <c r="AE233" s="574"/>
    </row>
    <row r="234" spans="1:31" ht="16.5" customHeight="1" x14ac:dyDescent="0.85">
      <c r="A234" s="574"/>
      <c r="B234" s="574"/>
      <c r="C234" s="574"/>
      <c r="D234" s="574"/>
      <c r="E234" s="574"/>
      <c r="F234" s="574"/>
      <c r="G234" s="574"/>
      <c r="H234" s="574"/>
      <c r="I234" s="574"/>
      <c r="J234" s="574"/>
      <c r="K234" s="574"/>
      <c r="L234" s="574"/>
      <c r="M234" s="574"/>
      <c r="N234" s="574"/>
      <c r="O234" s="574"/>
      <c r="P234" s="574"/>
      <c r="Q234" s="574"/>
      <c r="R234" s="574"/>
      <c r="S234" s="574"/>
      <c r="T234" s="574"/>
      <c r="U234" s="574"/>
      <c r="V234" s="574"/>
      <c r="W234" s="574"/>
      <c r="X234" s="574"/>
      <c r="Y234" s="574"/>
      <c r="Z234" s="574"/>
      <c r="AA234" s="574"/>
      <c r="AB234" s="574"/>
      <c r="AC234" s="574"/>
      <c r="AD234" s="574"/>
      <c r="AE234" s="574"/>
    </row>
    <row r="235" spans="1:31" ht="16.5" customHeight="1" x14ac:dyDescent="0.85">
      <c r="A235" s="574"/>
      <c r="B235" s="574"/>
      <c r="C235" s="574"/>
      <c r="D235" s="574"/>
      <c r="E235" s="574"/>
      <c r="F235" s="574"/>
      <c r="G235" s="574"/>
      <c r="H235" s="574"/>
      <c r="I235" s="574"/>
      <c r="J235" s="574"/>
      <c r="K235" s="574"/>
      <c r="L235" s="574"/>
      <c r="M235" s="574"/>
      <c r="N235" s="574"/>
      <c r="O235" s="574"/>
      <c r="P235" s="574"/>
      <c r="Q235" s="574"/>
      <c r="R235" s="574"/>
      <c r="S235" s="574"/>
      <c r="T235" s="574"/>
      <c r="U235" s="574"/>
      <c r="V235" s="574"/>
      <c r="W235" s="574"/>
      <c r="X235" s="574"/>
      <c r="Y235" s="574"/>
      <c r="Z235" s="574"/>
      <c r="AA235" s="574"/>
      <c r="AB235" s="574"/>
      <c r="AC235" s="574"/>
      <c r="AD235" s="574"/>
      <c r="AE235" s="574"/>
    </row>
    <row r="236" spans="1:31" ht="16.5" customHeight="1" x14ac:dyDescent="0.85">
      <c r="A236" s="574"/>
      <c r="B236" s="574"/>
      <c r="C236" s="574"/>
      <c r="D236" s="574"/>
      <c r="E236" s="574"/>
      <c r="F236" s="574"/>
      <c r="G236" s="574"/>
      <c r="H236" s="574"/>
      <c r="I236" s="574"/>
      <c r="J236" s="574"/>
      <c r="K236" s="574"/>
      <c r="L236" s="574"/>
      <c r="M236" s="574"/>
      <c r="N236" s="574"/>
      <c r="O236" s="574"/>
      <c r="P236" s="574"/>
      <c r="Q236" s="574"/>
      <c r="R236" s="574"/>
      <c r="S236" s="574"/>
      <c r="T236" s="574"/>
      <c r="U236" s="574"/>
      <c r="V236" s="574"/>
      <c r="W236" s="574"/>
      <c r="X236" s="574"/>
      <c r="Y236" s="574"/>
      <c r="Z236" s="574"/>
      <c r="AA236" s="574"/>
      <c r="AB236" s="574"/>
      <c r="AC236" s="574"/>
      <c r="AD236" s="574"/>
      <c r="AE236" s="574"/>
    </row>
    <row r="237" spans="1:31" ht="16.5" customHeight="1" x14ac:dyDescent="0.85">
      <c r="A237" s="574"/>
      <c r="B237" s="574"/>
      <c r="C237" s="574"/>
      <c r="D237" s="574"/>
      <c r="E237" s="574"/>
      <c r="F237" s="574"/>
      <c r="G237" s="574"/>
      <c r="H237" s="574"/>
      <c r="I237" s="574"/>
      <c r="J237" s="574"/>
      <c r="K237" s="574"/>
      <c r="L237" s="574"/>
      <c r="M237" s="574"/>
      <c r="N237" s="574"/>
      <c r="O237" s="574"/>
      <c r="P237" s="574"/>
      <c r="Q237" s="574"/>
      <c r="R237" s="574"/>
      <c r="S237" s="574"/>
      <c r="T237" s="574"/>
      <c r="U237" s="574"/>
      <c r="V237" s="574"/>
      <c r="W237" s="574"/>
      <c r="X237" s="574"/>
      <c r="Y237" s="574"/>
      <c r="Z237" s="574"/>
      <c r="AA237" s="574"/>
      <c r="AB237" s="574"/>
      <c r="AC237" s="574"/>
      <c r="AD237" s="574"/>
      <c r="AE237" s="574"/>
    </row>
    <row r="238" spans="1:31" ht="16.5" customHeight="1" x14ac:dyDescent="0.85">
      <c r="A238" s="574"/>
      <c r="B238" s="574"/>
      <c r="C238" s="574"/>
      <c r="D238" s="574"/>
      <c r="E238" s="574"/>
      <c r="F238" s="574"/>
      <c r="G238" s="574"/>
      <c r="H238" s="574"/>
      <c r="I238" s="574"/>
      <c r="J238" s="574"/>
      <c r="K238" s="574"/>
      <c r="L238" s="574"/>
      <c r="M238" s="574"/>
      <c r="N238" s="574"/>
      <c r="O238" s="574"/>
      <c r="P238" s="574"/>
      <c r="Q238" s="574"/>
      <c r="R238" s="574"/>
      <c r="S238" s="574"/>
      <c r="T238" s="574"/>
      <c r="U238" s="574"/>
      <c r="V238" s="574"/>
      <c r="W238" s="574"/>
      <c r="X238" s="574"/>
      <c r="Y238" s="574"/>
      <c r="Z238" s="574"/>
      <c r="AA238" s="574"/>
      <c r="AB238" s="574"/>
      <c r="AC238" s="574"/>
      <c r="AD238" s="574"/>
      <c r="AE238" s="574"/>
    </row>
    <row r="239" spans="1:31" ht="16.5" customHeight="1" x14ac:dyDescent="0.85">
      <c r="A239" s="574"/>
      <c r="B239" s="574"/>
      <c r="C239" s="574"/>
      <c r="D239" s="574"/>
      <c r="E239" s="574"/>
      <c r="F239" s="574"/>
      <c r="G239" s="574"/>
      <c r="H239" s="574"/>
      <c r="I239" s="574"/>
      <c r="J239" s="574"/>
      <c r="K239" s="574"/>
      <c r="L239" s="574"/>
      <c r="M239" s="574"/>
      <c r="N239" s="574"/>
      <c r="O239" s="574"/>
      <c r="P239" s="574"/>
      <c r="Q239" s="574"/>
      <c r="R239" s="574"/>
      <c r="S239" s="574"/>
      <c r="T239" s="574"/>
      <c r="U239" s="574"/>
      <c r="V239" s="574"/>
      <c r="W239" s="574"/>
      <c r="X239" s="574"/>
      <c r="Y239" s="574"/>
      <c r="Z239" s="574"/>
      <c r="AA239" s="574"/>
      <c r="AB239" s="574"/>
      <c r="AC239" s="574"/>
      <c r="AD239" s="574"/>
      <c r="AE239" s="574"/>
    </row>
    <row r="240" spans="1:31" ht="16.5" customHeight="1" x14ac:dyDescent="0.85">
      <c r="A240" s="574"/>
      <c r="B240" s="574"/>
      <c r="C240" s="574"/>
      <c r="D240" s="574"/>
      <c r="E240" s="574"/>
      <c r="F240" s="574"/>
      <c r="G240" s="574"/>
      <c r="H240" s="574"/>
      <c r="I240" s="574"/>
      <c r="J240" s="574"/>
      <c r="K240" s="574"/>
      <c r="L240" s="574"/>
      <c r="M240" s="574"/>
      <c r="N240" s="574"/>
      <c r="O240" s="574"/>
      <c r="P240" s="574"/>
      <c r="Q240" s="574"/>
      <c r="R240" s="574"/>
      <c r="S240" s="574"/>
      <c r="T240" s="574"/>
      <c r="U240" s="574"/>
      <c r="V240" s="574"/>
      <c r="W240" s="574"/>
      <c r="X240" s="574"/>
      <c r="Y240" s="574"/>
      <c r="Z240" s="574"/>
      <c r="AA240" s="574"/>
      <c r="AB240" s="574"/>
      <c r="AC240" s="574"/>
      <c r="AD240" s="574"/>
      <c r="AE240" s="574"/>
    </row>
    <row r="241" spans="1:31" ht="16.5" customHeight="1" x14ac:dyDescent="0.85">
      <c r="A241" s="574"/>
      <c r="B241" s="574"/>
      <c r="C241" s="574"/>
      <c r="D241" s="574"/>
      <c r="E241" s="574"/>
      <c r="F241" s="574"/>
      <c r="G241" s="574"/>
      <c r="H241" s="574"/>
      <c r="I241" s="574"/>
      <c r="J241" s="574"/>
      <c r="K241" s="574"/>
      <c r="L241" s="574"/>
      <c r="M241" s="574"/>
      <c r="N241" s="574"/>
      <c r="O241" s="574"/>
      <c r="P241" s="574"/>
      <c r="Q241" s="574"/>
      <c r="R241" s="574"/>
      <c r="S241" s="574"/>
      <c r="T241" s="574"/>
      <c r="U241" s="574"/>
      <c r="V241" s="574"/>
      <c r="W241" s="574"/>
      <c r="X241" s="574"/>
      <c r="Y241" s="574"/>
      <c r="Z241" s="574"/>
      <c r="AA241" s="574"/>
      <c r="AB241" s="574"/>
      <c r="AC241" s="574"/>
      <c r="AD241" s="574"/>
      <c r="AE241" s="574"/>
    </row>
    <row r="242" spans="1:31" ht="16.5" customHeight="1" x14ac:dyDescent="0.85">
      <c r="A242" s="574"/>
      <c r="B242" s="574"/>
      <c r="C242" s="574"/>
      <c r="D242" s="574"/>
      <c r="E242" s="574"/>
      <c r="F242" s="574"/>
      <c r="G242" s="574"/>
      <c r="H242" s="574"/>
      <c r="I242" s="574"/>
      <c r="J242" s="574"/>
      <c r="K242" s="574"/>
      <c r="L242" s="574"/>
      <c r="M242" s="574"/>
      <c r="N242" s="574"/>
      <c r="O242" s="574"/>
      <c r="P242" s="574"/>
      <c r="Q242" s="574"/>
      <c r="R242" s="574"/>
      <c r="S242" s="574"/>
      <c r="T242" s="574"/>
      <c r="U242" s="574"/>
      <c r="V242" s="574"/>
      <c r="W242" s="574"/>
      <c r="X242" s="574"/>
      <c r="Y242" s="574"/>
      <c r="Z242" s="574"/>
      <c r="AA242" s="574"/>
      <c r="AB242" s="574"/>
      <c r="AC242" s="574"/>
      <c r="AD242" s="574"/>
      <c r="AE242" s="574"/>
    </row>
    <row r="243" spans="1:31" ht="16.5" customHeight="1" x14ac:dyDescent="0.85">
      <c r="A243" s="574"/>
      <c r="B243" s="574"/>
      <c r="C243" s="574"/>
      <c r="D243" s="574"/>
      <c r="E243" s="574"/>
      <c r="F243" s="574"/>
      <c r="G243" s="574"/>
      <c r="H243" s="574"/>
      <c r="I243" s="574"/>
      <c r="J243" s="574"/>
      <c r="K243" s="574"/>
      <c r="L243" s="574"/>
      <c r="M243" s="574"/>
      <c r="N243" s="574"/>
      <c r="O243" s="574"/>
      <c r="P243" s="574"/>
      <c r="Q243" s="574"/>
      <c r="R243" s="574"/>
      <c r="S243" s="574"/>
      <c r="T243" s="574"/>
      <c r="U243" s="574"/>
      <c r="V243" s="574"/>
      <c r="W243" s="574"/>
      <c r="X243" s="574"/>
      <c r="Y243" s="574"/>
      <c r="Z243" s="574"/>
      <c r="AA243" s="574"/>
      <c r="AB243" s="574"/>
      <c r="AC243" s="574"/>
      <c r="AD243" s="574"/>
      <c r="AE243" s="574"/>
    </row>
    <row r="244" spans="1:31" ht="16.5" customHeight="1" x14ac:dyDescent="0.85">
      <c r="A244" s="574"/>
      <c r="B244" s="574"/>
      <c r="C244" s="574"/>
      <c r="D244" s="574"/>
      <c r="E244" s="574"/>
      <c r="F244" s="574"/>
      <c r="G244" s="574"/>
      <c r="H244" s="574"/>
      <c r="I244" s="574"/>
      <c r="J244" s="574"/>
      <c r="K244" s="574"/>
      <c r="L244" s="574"/>
      <c r="M244" s="574"/>
      <c r="N244" s="574"/>
      <c r="O244" s="574"/>
      <c r="P244" s="574"/>
      <c r="Q244" s="574"/>
      <c r="R244" s="574"/>
      <c r="S244" s="574"/>
      <c r="T244" s="574"/>
      <c r="U244" s="574"/>
      <c r="V244" s="574"/>
      <c r="W244" s="574"/>
      <c r="X244" s="574"/>
      <c r="Y244" s="574"/>
      <c r="Z244" s="574"/>
      <c r="AA244" s="574"/>
      <c r="AB244" s="574"/>
      <c r="AC244" s="574"/>
      <c r="AD244" s="574"/>
      <c r="AE244" s="574"/>
    </row>
    <row r="245" spans="1:31" ht="16.5" customHeight="1" x14ac:dyDescent="0.85">
      <c r="A245" s="574"/>
      <c r="B245" s="574"/>
      <c r="C245" s="574"/>
      <c r="D245" s="574"/>
      <c r="E245" s="574"/>
      <c r="F245" s="574"/>
      <c r="G245" s="574"/>
      <c r="H245" s="574"/>
      <c r="I245" s="574"/>
      <c r="J245" s="574"/>
      <c r="K245" s="574"/>
      <c r="L245" s="574"/>
      <c r="M245" s="574"/>
      <c r="N245" s="574"/>
      <c r="O245" s="574"/>
      <c r="P245" s="574"/>
      <c r="Q245" s="574"/>
      <c r="R245" s="574"/>
      <c r="S245" s="574"/>
      <c r="T245" s="574"/>
      <c r="U245" s="574"/>
      <c r="V245" s="574"/>
      <c r="W245" s="574"/>
      <c r="X245" s="574"/>
      <c r="Y245" s="574"/>
      <c r="Z245" s="574"/>
      <c r="AA245" s="574"/>
      <c r="AB245" s="574"/>
      <c r="AC245" s="574"/>
      <c r="AD245" s="574"/>
      <c r="AE245" s="574"/>
    </row>
    <row r="246" spans="1:31" ht="16.5" customHeight="1" x14ac:dyDescent="0.85">
      <c r="A246" s="574"/>
      <c r="B246" s="574"/>
      <c r="C246" s="574"/>
      <c r="D246" s="574"/>
      <c r="E246" s="574"/>
      <c r="F246" s="574"/>
      <c r="G246" s="574"/>
      <c r="H246" s="574"/>
      <c r="I246" s="574"/>
      <c r="J246" s="574"/>
      <c r="K246" s="574"/>
      <c r="L246" s="574"/>
      <c r="M246" s="574"/>
      <c r="N246" s="574"/>
      <c r="O246" s="574"/>
      <c r="P246" s="574"/>
      <c r="Q246" s="574"/>
      <c r="R246" s="574"/>
      <c r="S246" s="574"/>
      <c r="T246" s="574"/>
      <c r="U246" s="574"/>
      <c r="V246" s="574"/>
      <c r="W246" s="574"/>
      <c r="X246" s="574"/>
      <c r="Y246" s="574"/>
      <c r="Z246" s="574"/>
      <c r="AA246" s="574"/>
      <c r="AB246" s="574"/>
      <c r="AC246" s="574"/>
      <c r="AD246" s="574"/>
      <c r="AE246" s="574"/>
    </row>
    <row r="247" spans="1:31" ht="16.5" customHeight="1" x14ac:dyDescent="0.85">
      <c r="A247" s="574"/>
      <c r="B247" s="574"/>
      <c r="C247" s="574"/>
      <c r="D247" s="574"/>
      <c r="E247" s="574"/>
      <c r="F247" s="574"/>
      <c r="G247" s="574"/>
      <c r="H247" s="574"/>
      <c r="I247" s="574"/>
      <c r="J247" s="574"/>
      <c r="K247" s="574"/>
      <c r="L247" s="574"/>
      <c r="M247" s="574"/>
      <c r="N247" s="574"/>
      <c r="O247" s="574"/>
      <c r="P247" s="574"/>
      <c r="Q247" s="574"/>
      <c r="R247" s="574"/>
      <c r="S247" s="574"/>
      <c r="T247" s="574"/>
      <c r="U247" s="574"/>
      <c r="V247" s="574"/>
      <c r="W247" s="574"/>
      <c r="X247" s="574"/>
      <c r="Y247" s="574"/>
      <c r="Z247" s="574"/>
      <c r="AA247" s="574"/>
      <c r="AB247" s="574"/>
      <c r="AC247" s="574"/>
      <c r="AD247" s="574"/>
      <c r="AE247" s="574"/>
    </row>
    <row r="248" spans="1:31" ht="16.5" customHeight="1" x14ac:dyDescent="0.85">
      <c r="A248" s="574"/>
      <c r="B248" s="574"/>
      <c r="C248" s="574"/>
      <c r="D248" s="574"/>
      <c r="E248" s="574"/>
      <c r="F248" s="574"/>
      <c r="G248" s="574"/>
      <c r="H248" s="574"/>
      <c r="I248" s="574"/>
      <c r="J248" s="574"/>
      <c r="K248" s="574"/>
      <c r="L248" s="574"/>
      <c r="M248" s="574"/>
      <c r="N248" s="574"/>
      <c r="O248" s="574"/>
      <c r="P248" s="574"/>
      <c r="Q248" s="574"/>
      <c r="R248" s="574"/>
      <c r="S248" s="574"/>
      <c r="T248" s="574"/>
      <c r="U248" s="574"/>
      <c r="V248" s="574"/>
      <c r="W248" s="574"/>
      <c r="X248" s="574"/>
      <c r="Y248" s="574"/>
      <c r="Z248" s="574"/>
      <c r="AA248" s="574"/>
      <c r="AB248" s="574"/>
      <c r="AC248" s="574"/>
      <c r="AD248" s="574"/>
      <c r="AE248" s="574"/>
    </row>
    <row r="249" spans="1:31" ht="16.5" customHeight="1" x14ac:dyDescent="0.85">
      <c r="A249" s="574"/>
      <c r="B249" s="574"/>
      <c r="C249" s="574"/>
      <c r="D249" s="574"/>
      <c r="E249" s="574"/>
      <c r="F249" s="574"/>
      <c r="G249" s="574"/>
      <c r="H249" s="574"/>
      <c r="I249" s="574"/>
      <c r="J249" s="574"/>
      <c r="K249" s="574"/>
      <c r="L249" s="574"/>
      <c r="M249" s="574"/>
      <c r="N249" s="574"/>
      <c r="O249" s="574"/>
      <c r="P249" s="574"/>
      <c r="Q249" s="574"/>
      <c r="R249" s="574"/>
      <c r="S249" s="574"/>
      <c r="T249" s="574"/>
      <c r="U249" s="574"/>
      <c r="V249" s="574"/>
      <c r="W249" s="574"/>
      <c r="X249" s="574"/>
      <c r="Y249" s="574"/>
      <c r="Z249" s="574"/>
      <c r="AA249" s="574"/>
      <c r="AB249" s="574"/>
      <c r="AC249" s="574"/>
      <c r="AD249" s="574"/>
      <c r="AE249" s="574"/>
    </row>
    <row r="250" spans="1:31" ht="16.5" customHeight="1" x14ac:dyDescent="0.85">
      <c r="A250" s="574"/>
      <c r="B250" s="574"/>
      <c r="C250" s="574"/>
      <c r="D250" s="574"/>
      <c r="E250" s="574"/>
      <c r="F250" s="574"/>
      <c r="G250" s="574"/>
      <c r="H250" s="574"/>
      <c r="I250" s="574"/>
      <c r="J250" s="574"/>
      <c r="K250" s="574"/>
      <c r="L250" s="574"/>
      <c r="M250" s="574"/>
      <c r="N250" s="574"/>
      <c r="O250" s="574"/>
      <c r="P250" s="574"/>
      <c r="Q250" s="574"/>
      <c r="R250" s="574"/>
      <c r="S250" s="574"/>
      <c r="T250" s="574"/>
      <c r="U250" s="574"/>
      <c r="V250" s="574"/>
      <c r="W250" s="574"/>
      <c r="X250" s="574"/>
      <c r="Y250" s="574"/>
      <c r="Z250" s="574"/>
      <c r="AA250" s="574"/>
      <c r="AB250" s="574"/>
      <c r="AC250" s="574"/>
      <c r="AD250" s="574"/>
      <c r="AE250" s="574"/>
    </row>
    <row r="251" spans="1:31" ht="16.5" customHeight="1" x14ac:dyDescent="0.85">
      <c r="A251" s="574"/>
      <c r="B251" s="574"/>
      <c r="C251" s="574"/>
      <c r="D251" s="574"/>
      <c r="E251" s="574"/>
      <c r="F251" s="574"/>
      <c r="G251" s="574"/>
      <c r="H251" s="574"/>
      <c r="I251" s="574"/>
      <c r="J251" s="574"/>
      <c r="K251" s="574"/>
      <c r="L251" s="574"/>
      <c r="M251" s="574"/>
      <c r="N251" s="574"/>
      <c r="O251" s="574"/>
      <c r="P251" s="574"/>
      <c r="Q251" s="574"/>
      <c r="R251" s="574"/>
      <c r="S251" s="574"/>
      <c r="T251" s="574"/>
      <c r="U251" s="574"/>
      <c r="V251" s="574"/>
      <c r="W251" s="574"/>
      <c r="X251" s="574"/>
      <c r="Y251" s="574"/>
      <c r="Z251" s="574"/>
      <c r="AA251" s="574"/>
      <c r="AB251" s="574"/>
      <c r="AC251" s="574"/>
      <c r="AD251" s="574"/>
      <c r="AE251" s="574"/>
    </row>
    <row r="252" spans="1:31" ht="16.5" customHeight="1" x14ac:dyDescent="0.85">
      <c r="A252" s="574"/>
      <c r="B252" s="574"/>
      <c r="C252" s="574"/>
      <c r="D252" s="574"/>
      <c r="E252" s="574"/>
      <c r="F252" s="574"/>
      <c r="G252" s="574"/>
      <c r="H252" s="574"/>
      <c r="I252" s="574"/>
      <c r="J252" s="574"/>
      <c r="K252" s="574"/>
      <c r="L252" s="574"/>
      <c r="M252" s="574"/>
      <c r="N252" s="574"/>
      <c r="O252" s="574"/>
      <c r="P252" s="574"/>
      <c r="Q252" s="574"/>
      <c r="R252" s="574"/>
      <c r="S252" s="574"/>
      <c r="T252" s="574"/>
      <c r="U252" s="574"/>
      <c r="V252" s="574"/>
      <c r="W252" s="574"/>
      <c r="X252" s="574"/>
      <c r="Y252" s="574"/>
      <c r="Z252" s="574"/>
      <c r="AA252" s="574"/>
      <c r="AB252" s="574"/>
      <c r="AC252" s="574"/>
      <c r="AD252" s="574"/>
      <c r="AE252" s="574"/>
    </row>
    <row r="253" spans="1:31" ht="16.5" customHeight="1" x14ac:dyDescent="0.85">
      <c r="A253" s="574"/>
      <c r="B253" s="574"/>
      <c r="C253" s="574"/>
      <c r="D253" s="574"/>
      <c r="E253" s="574"/>
      <c r="F253" s="574"/>
      <c r="G253" s="574"/>
      <c r="H253" s="574"/>
      <c r="I253" s="574"/>
      <c r="J253" s="574"/>
      <c r="K253" s="574"/>
      <c r="L253" s="574"/>
      <c r="M253" s="574"/>
      <c r="N253" s="574"/>
      <c r="O253" s="574"/>
      <c r="P253" s="574"/>
      <c r="Q253" s="574"/>
      <c r="R253" s="574"/>
      <c r="S253" s="574"/>
      <c r="T253" s="574"/>
      <c r="U253" s="574"/>
      <c r="V253" s="574"/>
      <c r="W253" s="574"/>
      <c r="X253" s="574"/>
      <c r="Y253" s="574"/>
      <c r="Z253" s="574"/>
      <c r="AA253" s="574"/>
      <c r="AB253" s="574"/>
      <c r="AC253" s="574"/>
      <c r="AD253" s="574"/>
      <c r="AE253" s="574"/>
    </row>
    <row r="254" spans="1:31" ht="16.5" customHeight="1" x14ac:dyDescent="0.85">
      <c r="A254" s="574"/>
      <c r="B254" s="574"/>
      <c r="C254" s="574"/>
      <c r="D254" s="574"/>
      <c r="E254" s="574"/>
      <c r="F254" s="574"/>
      <c r="G254" s="574"/>
      <c r="H254" s="574"/>
      <c r="I254" s="574"/>
      <c r="J254" s="574"/>
      <c r="K254" s="574"/>
      <c r="L254" s="574"/>
      <c r="M254" s="574"/>
      <c r="N254" s="574"/>
      <c r="O254" s="574"/>
      <c r="P254" s="574"/>
      <c r="Q254" s="574"/>
      <c r="R254" s="574"/>
      <c r="S254" s="574"/>
      <c r="T254" s="574"/>
      <c r="U254" s="574"/>
      <c r="V254" s="574"/>
      <c r="W254" s="574"/>
      <c r="X254" s="574"/>
      <c r="Y254" s="574"/>
      <c r="Z254" s="574"/>
      <c r="AA254" s="574"/>
      <c r="AB254" s="574"/>
      <c r="AC254" s="574"/>
      <c r="AD254" s="574"/>
      <c r="AE254" s="574"/>
    </row>
    <row r="255" spans="1:31" ht="16.5" customHeight="1" x14ac:dyDescent="0.85">
      <c r="A255" s="574"/>
      <c r="B255" s="574"/>
      <c r="C255" s="574"/>
      <c r="D255" s="574"/>
      <c r="E255" s="574"/>
      <c r="F255" s="574"/>
      <c r="G255" s="574"/>
      <c r="H255" s="574"/>
      <c r="I255" s="574"/>
      <c r="J255" s="574"/>
      <c r="K255" s="574"/>
      <c r="L255" s="574"/>
      <c r="M255" s="574"/>
      <c r="N255" s="574"/>
      <c r="O255" s="574"/>
      <c r="P255" s="574"/>
      <c r="Q255" s="574"/>
      <c r="R255" s="574"/>
      <c r="S255" s="574"/>
      <c r="T255" s="574"/>
      <c r="U255" s="574"/>
      <c r="V255" s="574"/>
      <c r="W255" s="574"/>
      <c r="X255" s="574"/>
      <c r="Y255" s="574"/>
      <c r="Z255" s="574"/>
      <c r="AA255" s="574"/>
      <c r="AB255" s="574"/>
      <c r="AC255" s="574"/>
      <c r="AD255" s="574"/>
      <c r="AE255" s="574"/>
    </row>
    <row r="256" spans="1:31" ht="16.5" customHeight="1" x14ac:dyDescent="0.85">
      <c r="A256" s="574"/>
      <c r="B256" s="574"/>
      <c r="C256" s="574"/>
      <c r="D256" s="574"/>
      <c r="E256" s="574"/>
      <c r="F256" s="574"/>
      <c r="G256" s="574"/>
      <c r="H256" s="574"/>
      <c r="I256" s="574"/>
      <c r="J256" s="574"/>
      <c r="K256" s="574"/>
      <c r="L256" s="574"/>
      <c r="M256" s="574"/>
      <c r="N256" s="574"/>
      <c r="O256" s="574"/>
      <c r="P256" s="574"/>
      <c r="Q256" s="574"/>
      <c r="R256" s="574"/>
      <c r="S256" s="574"/>
      <c r="T256" s="574"/>
      <c r="U256" s="574"/>
      <c r="V256" s="574"/>
      <c r="W256" s="574"/>
      <c r="X256" s="574"/>
      <c r="Y256" s="574"/>
      <c r="Z256" s="574"/>
      <c r="AA256" s="574"/>
      <c r="AB256" s="574"/>
      <c r="AC256" s="574"/>
      <c r="AD256" s="574"/>
      <c r="AE256" s="574"/>
    </row>
    <row r="257" spans="1:31" ht="16.5" customHeight="1" x14ac:dyDescent="0.85">
      <c r="A257" s="574"/>
      <c r="B257" s="574"/>
      <c r="C257" s="574"/>
      <c r="D257" s="574"/>
      <c r="E257" s="574"/>
      <c r="F257" s="574"/>
      <c r="G257" s="574"/>
      <c r="H257" s="574"/>
      <c r="I257" s="574"/>
      <c r="J257" s="574"/>
      <c r="K257" s="574"/>
      <c r="L257" s="574"/>
      <c r="M257" s="574"/>
      <c r="N257" s="574"/>
      <c r="O257" s="574"/>
      <c r="P257" s="574"/>
      <c r="Q257" s="574"/>
      <c r="R257" s="574"/>
      <c r="S257" s="574"/>
      <c r="T257" s="574"/>
      <c r="U257" s="574"/>
      <c r="V257" s="574"/>
      <c r="W257" s="574"/>
      <c r="X257" s="574"/>
      <c r="Y257" s="574"/>
      <c r="Z257" s="574"/>
      <c r="AA257" s="574"/>
      <c r="AB257" s="574"/>
      <c r="AC257" s="574"/>
      <c r="AD257" s="574"/>
      <c r="AE257" s="574"/>
    </row>
    <row r="258" spans="1:31" ht="16.5" customHeight="1" x14ac:dyDescent="0.85">
      <c r="A258" s="574"/>
      <c r="B258" s="574"/>
      <c r="C258" s="574"/>
      <c r="D258" s="574"/>
      <c r="E258" s="574"/>
      <c r="F258" s="574"/>
      <c r="G258" s="574"/>
      <c r="H258" s="574"/>
      <c r="I258" s="574"/>
      <c r="J258" s="574"/>
      <c r="K258" s="574"/>
      <c r="L258" s="574"/>
      <c r="M258" s="574"/>
      <c r="N258" s="574"/>
      <c r="O258" s="574"/>
      <c r="P258" s="574"/>
      <c r="Q258" s="574"/>
      <c r="R258" s="574"/>
      <c r="S258" s="574"/>
      <c r="T258" s="574"/>
      <c r="U258" s="574"/>
      <c r="V258" s="574"/>
      <c r="W258" s="574"/>
      <c r="X258" s="574"/>
      <c r="Y258" s="574"/>
      <c r="Z258" s="574"/>
      <c r="AA258" s="574"/>
      <c r="AB258" s="574"/>
      <c r="AC258" s="574"/>
      <c r="AD258" s="574"/>
      <c r="AE258" s="574"/>
    </row>
    <row r="259" spans="1:31" ht="16.5" customHeight="1" x14ac:dyDescent="0.85">
      <c r="A259" s="574"/>
      <c r="B259" s="574"/>
      <c r="C259" s="574"/>
      <c r="D259" s="574"/>
      <c r="E259" s="574"/>
      <c r="F259" s="574"/>
      <c r="G259" s="574"/>
      <c r="H259" s="574"/>
      <c r="I259" s="574"/>
      <c r="J259" s="574"/>
      <c r="K259" s="574"/>
      <c r="L259" s="574"/>
      <c r="M259" s="574"/>
      <c r="N259" s="574"/>
      <c r="O259" s="574"/>
      <c r="P259" s="574"/>
      <c r="Q259" s="574"/>
      <c r="R259" s="574"/>
      <c r="S259" s="574"/>
      <c r="T259" s="574"/>
      <c r="U259" s="574"/>
      <c r="V259" s="574"/>
      <c r="W259" s="574"/>
      <c r="X259" s="574"/>
      <c r="Y259" s="574"/>
      <c r="Z259" s="574"/>
      <c r="AA259" s="574"/>
      <c r="AB259" s="574"/>
      <c r="AC259" s="574"/>
      <c r="AD259" s="574"/>
      <c r="AE259" s="574"/>
    </row>
    <row r="260" spans="1:31" ht="16.5" customHeight="1" x14ac:dyDescent="0.85">
      <c r="A260" s="574"/>
      <c r="B260" s="574"/>
      <c r="C260" s="574"/>
      <c r="D260" s="574"/>
      <c r="E260" s="574"/>
      <c r="F260" s="574"/>
      <c r="G260" s="574"/>
      <c r="H260" s="574"/>
      <c r="I260" s="574"/>
      <c r="J260" s="574"/>
      <c r="K260" s="574"/>
      <c r="L260" s="574"/>
      <c r="M260" s="574"/>
      <c r="N260" s="574"/>
      <c r="O260" s="574"/>
      <c r="P260" s="574"/>
      <c r="Q260" s="574"/>
      <c r="R260" s="574"/>
      <c r="S260" s="574"/>
      <c r="T260" s="574"/>
      <c r="U260" s="574"/>
      <c r="V260" s="574"/>
      <c r="W260" s="574"/>
      <c r="X260" s="574"/>
      <c r="Y260" s="574"/>
      <c r="Z260" s="574"/>
      <c r="AA260" s="574"/>
      <c r="AB260" s="574"/>
      <c r="AC260" s="574"/>
      <c r="AD260" s="574"/>
      <c r="AE260" s="574"/>
    </row>
    <row r="261" spans="1:31" ht="16.5" customHeight="1" x14ac:dyDescent="0.85">
      <c r="A261" s="574"/>
      <c r="B261" s="574"/>
      <c r="C261" s="574"/>
      <c r="D261" s="574"/>
      <c r="E261" s="574"/>
      <c r="F261" s="574"/>
      <c r="G261" s="574"/>
      <c r="H261" s="574"/>
      <c r="I261" s="574"/>
      <c r="J261" s="574"/>
      <c r="K261" s="574"/>
      <c r="L261" s="574"/>
      <c r="M261" s="574"/>
      <c r="N261" s="574"/>
      <c r="O261" s="574"/>
      <c r="P261" s="574"/>
      <c r="Q261" s="574"/>
      <c r="R261" s="574"/>
      <c r="S261" s="574"/>
      <c r="T261" s="574"/>
      <c r="U261" s="574"/>
      <c r="V261" s="574"/>
      <c r="W261" s="574"/>
      <c r="X261" s="574"/>
      <c r="Y261" s="574"/>
      <c r="Z261" s="574"/>
      <c r="AA261" s="574"/>
      <c r="AB261" s="574"/>
      <c r="AC261" s="574"/>
      <c r="AD261" s="574"/>
      <c r="AE261" s="574"/>
    </row>
    <row r="262" spans="1:31" ht="16.5" customHeight="1" x14ac:dyDescent="0.85">
      <c r="A262" s="574"/>
      <c r="B262" s="574"/>
      <c r="C262" s="574"/>
      <c r="D262" s="574"/>
      <c r="E262" s="574"/>
      <c r="F262" s="574"/>
      <c r="G262" s="574"/>
      <c r="H262" s="574"/>
      <c r="I262" s="574"/>
      <c r="J262" s="574"/>
      <c r="K262" s="574"/>
      <c r="L262" s="574"/>
      <c r="M262" s="574"/>
      <c r="N262" s="574"/>
      <c r="O262" s="574"/>
      <c r="P262" s="574"/>
      <c r="Q262" s="574"/>
      <c r="R262" s="574"/>
      <c r="S262" s="574"/>
      <c r="T262" s="574"/>
      <c r="U262" s="574"/>
      <c r="V262" s="574"/>
      <c r="W262" s="574"/>
      <c r="X262" s="574"/>
      <c r="Y262" s="574"/>
      <c r="Z262" s="574"/>
      <c r="AA262" s="574"/>
      <c r="AB262" s="574"/>
      <c r="AC262" s="574"/>
      <c r="AD262" s="574"/>
      <c r="AE262" s="574"/>
    </row>
    <row r="263" spans="1:31" ht="16.5" customHeight="1" x14ac:dyDescent="0.85">
      <c r="A263" s="574"/>
      <c r="B263" s="574"/>
      <c r="C263" s="574"/>
      <c r="D263" s="574"/>
      <c r="E263" s="574"/>
      <c r="F263" s="574"/>
      <c r="G263" s="574"/>
      <c r="H263" s="574"/>
      <c r="I263" s="574"/>
      <c r="J263" s="574"/>
      <c r="K263" s="574"/>
      <c r="L263" s="574"/>
      <c r="M263" s="574"/>
      <c r="N263" s="574"/>
      <c r="O263" s="574"/>
      <c r="P263" s="574"/>
      <c r="Q263" s="574"/>
      <c r="R263" s="574"/>
      <c r="S263" s="574"/>
      <c r="T263" s="574"/>
      <c r="U263" s="574"/>
      <c r="V263" s="574"/>
      <c r="W263" s="574"/>
      <c r="X263" s="574"/>
      <c r="Y263" s="574"/>
      <c r="Z263" s="574"/>
      <c r="AA263" s="574"/>
      <c r="AB263" s="574"/>
      <c r="AC263" s="574"/>
      <c r="AD263" s="574"/>
      <c r="AE263" s="574"/>
    </row>
    <row r="264" spans="1:31" ht="16.5" customHeight="1" x14ac:dyDescent="0.85">
      <c r="A264" s="574"/>
      <c r="B264" s="574"/>
      <c r="C264" s="574"/>
      <c r="D264" s="574"/>
      <c r="E264" s="574"/>
      <c r="F264" s="574"/>
      <c r="G264" s="574"/>
      <c r="H264" s="574"/>
      <c r="I264" s="574"/>
      <c r="J264" s="574"/>
      <c r="K264" s="574"/>
      <c r="L264" s="574"/>
      <c r="M264" s="574"/>
      <c r="N264" s="574"/>
      <c r="O264" s="574"/>
      <c r="P264" s="574"/>
      <c r="Q264" s="574"/>
      <c r="R264" s="574"/>
      <c r="S264" s="574"/>
      <c r="T264" s="574"/>
      <c r="U264" s="574"/>
      <c r="V264" s="574"/>
      <c r="W264" s="574"/>
      <c r="X264" s="574"/>
      <c r="Y264" s="574"/>
      <c r="Z264" s="574"/>
      <c r="AA264" s="574"/>
      <c r="AB264" s="574"/>
      <c r="AC264" s="574"/>
      <c r="AD264" s="574"/>
      <c r="AE264" s="574"/>
    </row>
    <row r="265" spans="1:31" ht="16.5" customHeight="1" x14ac:dyDescent="0.85">
      <c r="A265" s="574"/>
      <c r="B265" s="574"/>
      <c r="C265" s="574"/>
      <c r="D265" s="574"/>
      <c r="E265" s="574"/>
      <c r="F265" s="574"/>
      <c r="G265" s="574"/>
      <c r="H265" s="574"/>
      <c r="I265" s="574"/>
      <c r="J265" s="574"/>
      <c r="K265" s="574"/>
      <c r="L265" s="574"/>
      <c r="M265" s="574"/>
      <c r="N265" s="574"/>
      <c r="O265" s="574"/>
      <c r="P265" s="574"/>
      <c r="Q265" s="574"/>
      <c r="R265" s="574"/>
      <c r="S265" s="574"/>
      <c r="T265" s="574"/>
      <c r="U265" s="574"/>
      <c r="V265" s="574"/>
      <c r="W265" s="574"/>
      <c r="X265" s="574"/>
      <c r="Y265" s="574"/>
      <c r="Z265" s="574"/>
      <c r="AA265" s="574"/>
      <c r="AB265" s="574"/>
      <c r="AC265" s="574"/>
      <c r="AD265" s="574"/>
      <c r="AE265" s="574"/>
    </row>
    <row r="266" spans="1:31" ht="16.5" customHeight="1" x14ac:dyDescent="0.85">
      <c r="A266" s="574"/>
      <c r="B266" s="574"/>
      <c r="C266" s="574"/>
      <c r="D266" s="574"/>
      <c r="E266" s="574"/>
      <c r="F266" s="574"/>
      <c r="G266" s="574"/>
      <c r="H266" s="574"/>
      <c r="I266" s="574"/>
      <c r="J266" s="574"/>
      <c r="K266" s="574"/>
      <c r="L266" s="574"/>
      <c r="M266" s="574"/>
      <c r="N266" s="574"/>
      <c r="O266" s="574"/>
      <c r="P266" s="574"/>
      <c r="Q266" s="574"/>
      <c r="R266" s="574"/>
      <c r="S266" s="574"/>
      <c r="T266" s="574"/>
      <c r="U266" s="574"/>
      <c r="V266" s="574"/>
      <c r="W266" s="574"/>
      <c r="X266" s="574"/>
      <c r="Y266" s="574"/>
      <c r="Z266" s="574"/>
      <c r="AA266" s="574"/>
      <c r="AB266" s="574"/>
      <c r="AC266" s="574"/>
      <c r="AD266" s="574"/>
      <c r="AE266" s="574"/>
    </row>
    <row r="267" spans="1:31" ht="16.5" customHeight="1" x14ac:dyDescent="0.85">
      <c r="A267" s="574"/>
      <c r="B267" s="574"/>
      <c r="C267" s="574"/>
      <c r="D267" s="574"/>
      <c r="E267" s="574"/>
      <c r="F267" s="574"/>
      <c r="G267" s="574"/>
      <c r="H267" s="574"/>
      <c r="I267" s="574"/>
      <c r="J267" s="574"/>
      <c r="K267" s="574"/>
      <c r="L267" s="574"/>
      <c r="M267" s="574"/>
      <c r="N267" s="574"/>
      <c r="O267" s="574"/>
      <c r="P267" s="574"/>
      <c r="Q267" s="574"/>
      <c r="R267" s="574"/>
      <c r="S267" s="574"/>
      <c r="T267" s="574"/>
      <c r="U267" s="574"/>
      <c r="V267" s="574"/>
      <c r="W267" s="574"/>
      <c r="X267" s="574"/>
      <c r="Y267" s="574"/>
      <c r="Z267" s="574"/>
      <c r="AA267" s="574"/>
      <c r="AB267" s="574"/>
      <c r="AC267" s="574"/>
      <c r="AD267" s="574"/>
      <c r="AE267" s="574"/>
    </row>
    <row r="268" spans="1:31" ht="16.5" customHeight="1" x14ac:dyDescent="0.85">
      <c r="A268" s="574"/>
      <c r="B268" s="574"/>
      <c r="C268" s="574"/>
      <c r="D268" s="574"/>
      <c r="E268" s="574"/>
      <c r="F268" s="574"/>
      <c r="G268" s="574"/>
      <c r="H268" s="574"/>
      <c r="I268" s="574"/>
      <c r="J268" s="574"/>
      <c r="K268" s="574"/>
      <c r="L268" s="574"/>
      <c r="M268" s="574"/>
      <c r="N268" s="574"/>
      <c r="O268" s="574"/>
      <c r="P268" s="574"/>
      <c r="Q268" s="574"/>
      <c r="R268" s="574"/>
      <c r="S268" s="574"/>
      <c r="T268" s="574"/>
      <c r="U268" s="574"/>
      <c r="V268" s="574"/>
      <c r="W268" s="574"/>
      <c r="X268" s="574"/>
      <c r="Y268" s="574"/>
      <c r="Z268" s="574"/>
      <c r="AA268" s="574"/>
      <c r="AB268" s="574"/>
      <c r="AC268" s="574"/>
      <c r="AD268" s="574"/>
      <c r="AE268" s="574"/>
    </row>
    <row r="269" spans="1:31" ht="16.5" customHeight="1" x14ac:dyDescent="0.85">
      <c r="A269" s="574"/>
      <c r="B269" s="574"/>
      <c r="C269" s="574"/>
      <c r="D269" s="574"/>
      <c r="E269" s="574"/>
      <c r="F269" s="574"/>
      <c r="G269" s="574"/>
      <c r="H269" s="574"/>
      <c r="I269" s="574"/>
      <c r="J269" s="574"/>
      <c r="K269" s="574"/>
      <c r="L269" s="574"/>
      <c r="M269" s="574"/>
      <c r="N269" s="574"/>
      <c r="O269" s="574"/>
      <c r="P269" s="574"/>
      <c r="Q269" s="574"/>
      <c r="R269" s="574"/>
      <c r="S269" s="574"/>
      <c r="T269" s="574"/>
      <c r="U269" s="574"/>
      <c r="V269" s="574"/>
      <c r="W269" s="574"/>
      <c r="X269" s="574"/>
      <c r="Y269" s="574"/>
      <c r="Z269" s="574"/>
      <c r="AA269" s="574"/>
      <c r="AB269" s="574"/>
      <c r="AC269" s="574"/>
      <c r="AD269" s="574"/>
      <c r="AE269" s="574"/>
    </row>
    <row r="270" spans="1:31" ht="16.5" customHeight="1" x14ac:dyDescent="0.85">
      <c r="A270" s="574"/>
      <c r="B270" s="574"/>
      <c r="C270" s="574"/>
      <c r="D270" s="574"/>
      <c r="E270" s="574"/>
      <c r="F270" s="574"/>
      <c r="G270" s="574"/>
      <c r="H270" s="574"/>
      <c r="I270" s="574"/>
      <c r="J270" s="574"/>
      <c r="K270" s="574"/>
      <c r="L270" s="574"/>
      <c r="M270" s="574"/>
      <c r="N270" s="574"/>
      <c r="O270" s="574"/>
      <c r="P270" s="574"/>
      <c r="Q270" s="574"/>
      <c r="R270" s="574"/>
      <c r="S270" s="574"/>
      <c r="T270" s="574"/>
      <c r="U270" s="574"/>
      <c r="V270" s="574"/>
      <c r="W270" s="574"/>
      <c r="X270" s="574"/>
      <c r="Y270" s="574"/>
      <c r="Z270" s="574"/>
      <c r="AA270" s="574"/>
      <c r="AB270" s="574"/>
      <c r="AC270" s="574"/>
      <c r="AD270" s="574"/>
      <c r="AE270" s="574"/>
    </row>
    <row r="271" spans="1:31" ht="16.5" customHeight="1" x14ac:dyDescent="0.85">
      <c r="A271" s="574"/>
      <c r="B271" s="574"/>
      <c r="C271" s="574"/>
      <c r="D271" s="574"/>
      <c r="E271" s="574"/>
      <c r="F271" s="574"/>
      <c r="G271" s="574"/>
      <c r="H271" s="574"/>
      <c r="I271" s="574"/>
      <c r="J271" s="574"/>
      <c r="K271" s="574"/>
      <c r="L271" s="574"/>
      <c r="M271" s="574"/>
      <c r="N271" s="574"/>
      <c r="O271" s="574"/>
      <c r="P271" s="574"/>
      <c r="Q271" s="574"/>
      <c r="R271" s="574"/>
      <c r="S271" s="574"/>
      <c r="T271" s="574"/>
      <c r="U271" s="574"/>
      <c r="V271" s="574"/>
      <c r="W271" s="574"/>
      <c r="X271" s="574"/>
      <c r="Y271" s="574"/>
      <c r="Z271" s="574"/>
      <c r="AA271" s="574"/>
      <c r="AB271" s="574"/>
      <c r="AC271" s="574"/>
      <c r="AD271" s="574"/>
      <c r="AE271" s="574"/>
    </row>
    <row r="272" spans="1:31" ht="16.5" customHeight="1" x14ac:dyDescent="0.85">
      <c r="A272" s="574"/>
      <c r="B272" s="574"/>
      <c r="C272" s="574"/>
      <c r="D272" s="574"/>
      <c r="E272" s="574"/>
      <c r="F272" s="574"/>
      <c r="G272" s="574"/>
      <c r="H272" s="574"/>
      <c r="I272" s="574"/>
      <c r="J272" s="574"/>
      <c r="K272" s="574"/>
      <c r="L272" s="574"/>
      <c r="M272" s="574"/>
      <c r="N272" s="574"/>
      <c r="O272" s="574"/>
      <c r="P272" s="574"/>
      <c r="Q272" s="574"/>
      <c r="R272" s="574"/>
      <c r="S272" s="574"/>
      <c r="T272" s="574"/>
      <c r="U272" s="574"/>
      <c r="V272" s="574"/>
      <c r="W272" s="574"/>
      <c r="X272" s="574"/>
      <c r="Y272" s="574"/>
      <c r="Z272" s="574"/>
      <c r="AA272" s="574"/>
      <c r="AB272" s="574"/>
      <c r="AC272" s="574"/>
      <c r="AD272" s="574"/>
      <c r="AE272" s="574"/>
    </row>
    <row r="273" spans="1:31" ht="16.5" customHeight="1" x14ac:dyDescent="0.85">
      <c r="A273" s="574"/>
      <c r="B273" s="574"/>
      <c r="C273" s="574"/>
      <c r="D273" s="574"/>
      <c r="E273" s="574"/>
      <c r="F273" s="574"/>
      <c r="G273" s="574"/>
      <c r="H273" s="574"/>
      <c r="I273" s="574"/>
      <c r="J273" s="574"/>
      <c r="K273" s="574"/>
      <c r="L273" s="574"/>
      <c r="M273" s="574"/>
      <c r="N273" s="574"/>
      <c r="O273" s="574"/>
      <c r="P273" s="574"/>
      <c r="Q273" s="574"/>
      <c r="R273" s="574"/>
      <c r="S273" s="574"/>
      <c r="T273" s="574"/>
      <c r="U273" s="574"/>
      <c r="V273" s="574"/>
      <c r="W273" s="574"/>
      <c r="X273" s="574"/>
      <c r="Y273" s="574"/>
      <c r="Z273" s="574"/>
      <c r="AA273" s="574"/>
      <c r="AB273" s="574"/>
      <c r="AC273" s="574"/>
      <c r="AD273" s="574"/>
      <c r="AE273" s="574"/>
    </row>
    <row r="274" spans="1:31" ht="16.5" customHeight="1" x14ac:dyDescent="0.85">
      <c r="A274" s="574"/>
      <c r="B274" s="574"/>
      <c r="C274" s="574"/>
      <c r="D274" s="574"/>
      <c r="E274" s="574"/>
      <c r="F274" s="574"/>
      <c r="G274" s="574"/>
      <c r="H274" s="574"/>
      <c r="I274" s="574"/>
      <c r="J274" s="574"/>
      <c r="K274" s="574"/>
      <c r="L274" s="574"/>
      <c r="M274" s="574"/>
      <c r="N274" s="574"/>
      <c r="O274" s="574"/>
      <c r="P274" s="574"/>
      <c r="Q274" s="574"/>
      <c r="R274" s="574"/>
      <c r="S274" s="574"/>
      <c r="T274" s="574"/>
      <c r="U274" s="574"/>
      <c r="V274" s="574"/>
      <c r="W274" s="574"/>
      <c r="X274" s="574"/>
      <c r="Y274" s="574"/>
      <c r="Z274" s="574"/>
      <c r="AA274" s="574"/>
      <c r="AB274" s="574"/>
      <c r="AC274" s="574"/>
      <c r="AD274" s="574"/>
      <c r="AE274" s="574"/>
    </row>
    <row r="275" spans="1:31" ht="16.5" customHeight="1" x14ac:dyDescent="0.85">
      <c r="A275" s="574"/>
      <c r="B275" s="574"/>
      <c r="C275" s="574"/>
      <c r="D275" s="574"/>
      <c r="E275" s="574"/>
      <c r="F275" s="574"/>
      <c r="G275" s="574"/>
      <c r="H275" s="574"/>
      <c r="I275" s="574"/>
      <c r="J275" s="574"/>
      <c r="K275" s="574"/>
      <c r="L275" s="574"/>
      <c r="M275" s="574"/>
      <c r="N275" s="574"/>
      <c r="O275" s="574"/>
      <c r="P275" s="574"/>
      <c r="Q275" s="574"/>
      <c r="R275" s="574"/>
      <c r="S275" s="574"/>
      <c r="T275" s="574"/>
      <c r="U275" s="574"/>
      <c r="V275" s="574"/>
      <c r="W275" s="574"/>
      <c r="X275" s="574"/>
      <c r="Y275" s="574"/>
      <c r="Z275" s="574"/>
      <c r="AA275" s="574"/>
      <c r="AB275" s="574"/>
      <c r="AC275" s="574"/>
      <c r="AD275" s="574"/>
      <c r="AE275" s="574"/>
    </row>
    <row r="276" spans="1:31" ht="16.5" customHeight="1" x14ac:dyDescent="0.85">
      <c r="A276" s="574"/>
      <c r="B276" s="574"/>
      <c r="C276" s="574"/>
      <c r="D276" s="574"/>
      <c r="E276" s="574"/>
      <c r="F276" s="574"/>
      <c r="G276" s="574"/>
      <c r="H276" s="574"/>
      <c r="I276" s="574"/>
      <c r="J276" s="574"/>
      <c r="K276" s="574"/>
      <c r="L276" s="574"/>
      <c r="M276" s="574"/>
      <c r="N276" s="574"/>
      <c r="O276" s="574"/>
      <c r="P276" s="574"/>
      <c r="Q276" s="574"/>
      <c r="R276" s="574"/>
      <c r="S276" s="574"/>
      <c r="T276" s="574"/>
      <c r="U276" s="574"/>
      <c r="V276" s="574"/>
      <c r="W276" s="574"/>
      <c r="X276" s="574"/>
      <c r="Y276" s="574"/>
      <c r="Z276" s="574"/>
      <c r="AA276" s="574"/>
      <c r="AB276" s="574"/>
      <c r="AC276" s="574"/>
      <c r="AD276" s="574"/>
      <c r="AE276" s="574"/>
    </row>
    <row r="277" spans="1:31" ht="16.5" customHeight="1" x14ac:dyDescent="0.85">
      <c r="A277" s="574"/>
      <c r="B277" s="574"/>
      <c r="C277" s="574"/>
      <c r="D277" s="574"/>
      <c r="E277" s="574"/>
      <c r="F277" s="574"/>
      <c r="G277" s="574"/>
      <c r="H277" s="574"/>
      <c r="I277" s="574"/>
      <c r="J277" s="574"/>
      <c r="K277" s="574"/>
      <c r="L277" s="574"/>
      <c r="M277" s="574"/>
      <c r="N277" s="574"/>
      <c r="O277" s="574"/>
      <c r="P277" s="574"/>
      <c r="Q277" s="574"/>
      <c r="R277" s="574"/>
      <c r="S277" s="574"/>
      <c r="T277" s="574"/>
      <c r="U277" s="574"/>
      <c r="V277" s="574"/>
      <c r="W277" s="574"/>
      <c r="X277" s="574"/>
      <c r="Y277" s="574"/>
      <c r="Z277" s="574"/>
      <c r="AA277" s="574"/>
      <c r="AB277" s="574"/>
      <c r="AC277" s="574"/>
      <c r="AD277" s="574"/>
      <c r="AE277" s="574"/>
    </row>
    <row r="278" spans="1:31" ht="16.5" customHeight="1" x14ac:dyDescent="0.85">
      <c r="A278" s="574"/>
      <c r="B278" s="574"/>
      <c r="C278" s="574"/>
      <c r="D278" s="574"/>
      <c r="E278" s="574"/>
      <c r="F278" s="574"/>
      <c r="G278" s="574"/>
      <c r="H278" s="574"/>
      <c r="I278" s="574"/>
      <c r="J278" s="574"/>
      <c r="K278" s="574"/>
      <c r="L278" s="574"/>
      <c r="M278" s="574"/>
      <c r="N278" s="574"/>
      <c r="O278" s="574"/>
      <c r="P278" s="574"/>
      <c r="Q278" s="574"/>
      <c r="R278" s="574"/>
      <c r="S278" s="574"/>
      <c r="T278" s="574"/>
      <c r="U278" s="574"/>
      <c r="V278" s="574"/>
      <c r="W278" s="574"/>
      <c r="X278" s="574"/>
      <c r="Y278" s="574"/>
      <c r="Z278" s="574"/>
      <c r="AA278" s="574"/>
      <c r="AB278" s="574"/>
      <c r="AC278" s="574"/>
      <c r="AD278" s="574"/>
      <c r="AE278" s="574"/>
    </row>
    <row r="279" spans="1:31" ht="16.5" customHeight="1" x14ac:dyDescent="0.85">
      <c r="A279" s="574"/>
      <c r="B279" s="574"/>
      <c r="C279" s="574"/>
      <c r="D279" s="574"/>
      <c r="E279" s="574"/>
      <c r="F279" s="574"/>
      <c r="G279" s="574"/>
      <c r="H279" s="574"/>
      <c r="I279" s="574"/>
      <c r="J279" s="574"/>
      <c r="K279" s="574"/>
      <c r="L279" s="574"/>
      <c r="M279" s="574"/>
      <c r="N279" s="574"/>
      <c r="O279" s="574"/>
      <c r="P279" s="574"/>
      <c r="Q279" s="574"/>
      <c r="R279" s="574"/>
      <c r="S279" s="574"/>
      <c r="T279" s="574"/>
      <c r="U279" s="574"/>
      <c r="V279" s="574"/>
      <c r="W279" s="574"/>
      <c r="X279" s="574"/>
      <c r="Y279" s="574"/>
      <c r="Z279" s="574"/>
      <c r="AA279" s="574"/>
      <c r="AB279" s="574"/>
      <c r="AC279" s="574"/>
      <c r="AD279" s="574"/>
      <c r="AE279" s="574"/>
    </row>
    <row r="280" spans="1:31" ht="16.5" customHeight="1" x14ac:dyDescent="0.85">
      <c r="A280" s="574"/>
      <c r="B280" s="574"/>
      <c r="C280" s="574"/>
      <c r="D280" s="574"/>
      <c r="E280" s="574"/>
      <c r="F280" s="574"/>
      <c r="G280" s="574"/>
      <c r="H280" s="574"/>
      <c r="I280" s="574"/>
      <c r="J280" s="574"/>
      <c r="K280" s="574"/>
      <c r="L280" s="574"/>
      <c r="M280" s="574"/>
      <c r="N280" s="574"/>
      <c r="O280" s="574"/>
      <c r="P280" s="574"/>
      <c r="Q280" s="574"/>
      <c r="R280" s="574"/>
      <c r="S280" s="574"/>
      <c r="T280" s="574"/>
      <c r="U280" s="574"/>
      <c r="V280" s="574"/>
      <c r="W280" s="574"/>
      <c r="X280" s="574"/>
      <c r="Y280" s="574"/>
      <c r="Z280" s="574"/>
      <c r="AA280" s="574"/>
      <c r="AB280" s="574"/>
      <c r="AC280" s="574"/>
      <c r="AD280" s="574"/>
      <c r="AE280" s="574"/>
    </row>
    <row r="281" spans="1:31" ht="16.5" customHeight="1" x14ac:dyDescent="0.85">
      <c r="A281" s="574"/>
      <c r="B281" s="574"/>
      <c r="C281" s="574"/>
      <c r="D281" s="574"/>
      <c r="E281" s="574"/>
      <c r="F281" s="574"/>
      <c r="G281" s="574"/>
      <c r="H281" s="574"/>
      <c r="I281" s="574"/>
      <c r="J281" s="574"/>
      <c r="K281" s="574"/>
      <c r="L281" s="574"/>
      <c r="M281" s="574"/>
      <c r="N281" s="574"/>
      <c r="O281" s="574"/>
      <c r="P281" s="574"/>
      <c r="Q281" s="574"/>
      <c r="R281" s="574"/>
      <c r="S281" s="574"/>
      <c r="T281" s="574"/>
      <c r="U281" s="574"/>
      <c r="V281" s="574"/>
      <c r="W281" s="574"/>
      <c r="X281" s="574"/>
      <c r="Y281" s="574"/>
      <c r="Z281" s="574"/>
      <c r="AA281" s="574"/>
      <c r="AB281" s="574"/>
      <c r="AC281" s="574"/>
      <c r="AD281" s="574"/>
      <c r="AE281" s="574"/>
    </row>
    <row r="282" spans="1:31" ht="16.5" customHeight="1" x14ac:dyDescent="0.85">
      <c r="A282" s="574"/>
      <c r="B282" s="574"/>
      <c r="C282" s="574"/>
      <c r="D282" s="574"/>
      <c r="E282" s="574"/>
      <c r="F282" s="574"/>
      <c r="G282" s="574"/>
      <c r="H282" s="574"/>
      <c r="I282" s="574"/>
      <c r="J282" s="574"/>
      <c r="K282" s="574"/>
      <c r="L282" s="574"/>
      <c r="M282" s="574"/>
      <c r="N282" s="574"/>
      <c r="O282" s="574"/>
      <c r="P282" s="574"/>
      <c r="Q282" s="574"/>
      <c r="R282" s="574"/>
      <c r="S282" s="574"/>
      <c r="T282" s="574"/>
      <c r="U282" s="574"/>
      <c r="V282" s="574"/>
      <c r="W282" s="574"/>
      <c r="X282" s="574"/>
      <c r="Y282" s="574"/>
      <c r="Z282" s="574"/>
      <c r="AA282" s="574"/>
      <c r="AB282" s="574"/>
      <c r="AC282" s="574"/>
      <c r="AD282" s="574"/>
      <c r="AE282" s="574"/>
    </row>
    <row r="283" spans="1:31" ht="16.5" customHeight="1" x14ac:dyDescent="0.85">
      <c r="A283" s="574"/>
      <c r="B283" s="574"/>
      <c r="C283" s="574"/>
      <c r="D283" s="574"/>
      <c r="E283" s="574"/>
      <c r="F283" s="574"/>
      <c r="G283" s="574"/>
      <c r="H283" s="574"/>
      <c r="I283" s="574"/>
      <c r="J283" s="574"/>
      <c r="K283" s="574"/>
      <c r="L283" s="574"/>
      <c r="M283" s="574"/>
      <c r="N283" s="574"/>
      <c r="O283" s="574"/>
      <c r="P283" s="574"/>
      <c r="Q283" s="574"/>
      <c r="R283" s="574"/>
      <c r="S283" s="574"/>
      <c r="T283" s="574"/>
      <c r="U283" s="574"/>
      <c r="V283" s="574"/>
      <c r="W283" s="574"/>
      <c r="X283" s="574"/>
      <c r="Y283" s="574"/>
      <c r="Z283" s="574"/>
      <c r="AA283" s="574"/>
      <c r="AB283" s="574"/>
      <c r="AC283" s="574"/>
      <c r="AD283" s="574"/>
      <c r="AE283" s="574"/>
    </row>
    <row r="284" spans="1:31" ht="16.5" customHeight="1" x14ac:dyDescent="0.85">
      <c r="A284" s="574"/>
      <c r="B284" s="574"/>
      <c r="C284" s="574"/>
      <c r="D284" s="574"/>
      <c r="E284" s="574"/>
      <c r="F284" s="574"/>
      <c r="G284" s="574"/>
      <c r="H284" s="574"/>
      <c r="I284" s="574"/>
      <c r="J284" s="574"/>
      <c r="K284" s="574"/>
      <c r="L284" s="574"/>
      <c r="M284" s="574"/>
      <c r="N284" s="574"/>
      <c r="O284" s="574"/>
      <c r="P284" s="574"/>
      <c r="Q284" s="574"/>
      <c r="R284" s="574"/>
      <c r="S284" s="574"/>
      <c r="T284" s="574"/>
      <c r="U284" s="574"/>
      <c r="V284" s="574"/>
      <c r="W284" s="574"/>
      <c r="X284" s="574"/>
      <c r="Y284" s="574"/>
      <c r="Z284" s="574"/>
      <c r="AA284" s="574"/>
      <c r="AB284" s="574"/>
      <c r="AC284" s="574"/>
      <c r="AD284" s="574"/>
      <c r="AE284" s="574"/>
    </row>
    <row r="285" spans="1:31" ht="16.5" customHeight="1" x14ac:dyDescent="0.85">
      <c r="A285" s="574"/>
      <c r="B285" s="574"/>
      <c r="C285" s="574"/>
      <c r="D285" s="574"/>
      <c r="E285" s="574"/>
      <c r="F285" s="574"/>
      <c r="G285" s="574"/>
      <c r="H285" s="574"/>
      <c r="I285" s="574"/>
      <c r="J285" s="574"/>
      <c r="K285" s="574"/>
      <c r="L285" s="574"/>
      <c r="M285" s="574"/>
      <c r="N285" s="574"/>
      <c r="O285" s="574"/>
      <c r="P285" s="574"/>
      <c r="Q285" s="574"/>
      <c r="R285" s="574"/>
      <c r="S285" s="574"/>
      <c r="T285" s="574"/>
      <c r="U285" s="574"/>
      <c r="V285" s="574"/>
      <c r="W285" s="574"/>
      <c r="X285" s="574"/>
      <c r="Y285" s="574"/>
      <c r="Z285" s="574"/>
      <c r="AA285" s="574"/>
      <c r="AB285" s="574"/>
      <c r="AC285" s="574"/>
      <c r="AD285" s="574"/>
      <c r="AE285" s="574"/>
    </row>
    <row r="286" spans="1:31" ht="16.5" customHeight="1" x14ac:dyDescent="0.85">
      <c r="A286" s="574"/>
      <c r="B286" s="574"/>
      <c r="C286" s="574"/>
      <c r="D286" s="574"/>
      <c r="E286" s="574"/>
      <c r="F286" s="574"/>
      <c r="G286" s="574"/>
      <c r="H286" s="574"/>
      <c r="I286" s="574"/>
      <c r="J286" s="574"/>
      <c r="K286" s="574"/>
      <c r="L286" s="574"/>
      <c r="M286" s="574"/>
      <c r="N286" s="574"/>
      <c r="O286" s="574"/>
      <c r="P286" s="574"/>
      <c r="Q286" s="574"/>
      <c r="R286" s="574"/>
      <c r="S286" s="574"/>
      <c r="T286" s="574"/>
      <c r="U286" s="574"/>
      <c r="V286" s="574"/>
      <c r="W286" s="574"/>
      <c r="X286" s="574"/>
      <c r="Y286" s="574"/>
      <c r="Z286" s="574"/>
      <c r="AA286" s="574"/>
      <c r="AB286" s="574"/>
      <c r="AC286" s="574"/>
      <c r="AD286" s="574"/>
      <c r="AE286" s="574"/>
    </row>
    <row r="287" spans="1:31" ht="16.5" customHeight="1" x14ac:dyDescent="0.85">
      <c r="A287" s="574"/>
      <c r="B287" s="574"/>
      <c r="C287" s="574"/>
      <c r="D287" s="574"/>
      <c r="E287" s="574"/>
      <c r="F287" s="574"/>
      <c r="G287" s="574"/>
      <c r="H287" s="574"/>
      <c r="I287" s="574"/>
      <c r="J287" s="574"/>
      <c r="K287" s="574"/>
      <c r="L287" s="574"/>
      <c r="M287" s="574"/>
      <c r="N287" s="574"/>
      <c r="O287" s="574"/>
      <c r="P287" s="574"/>
      <c r="Q287" s="574"/>
      <c r="R287" s="574"/>
      <c r="S287" s="574"/>
      <c r="T287" s="574"/>
      <c r="U287" s="574"/>
      <c r="V287" s="574"/>
      <c r="W287" s="574"/>
      <c r="X287" s="574"/>
      <c r="Y287" s="574"/>
      <c r="Z287" s="574"/>
      <c r="AA287" s="574"/>
      <c r="AB287" s="574"/>
      <c r="AC287" s="574"/>
      <c r="AD287" s="574"/>
      <c r="AE287" s="574"/>
    </row>
    <row r="288" spans="1:31" ht="16.5" customHeight="1" x14ac:dyDescent="0.85">
      <c r="A288" s="574"/>
      <c r="B288" s="574"/>
      <c r="C288" s="574"/>
      <c r="D288" s="574"/>
      <c r="E288" s="574"/>
      <c r="F288" s="574"/>
      <c r="G288" s="574"/>
      <c r="H288" s="574"/>
      <c r="I288" s="574"/>
      <c r="J288" s="574"/>
      <c r="K288" s="574"/>
      <c r="L288" s="574"/>
      <c r="M288" s="574"/>
      <c r="N288" s="574"/>
      <c r="O288" s="574"/>
      <c r="P288" s="574"/>
      <c r="Q288" s="574"/>
      <c r="R288" s="574"/>
      <c r="S288" s="574"/>
      <c r="T288" s="574"/>
      <c r="U288" s="574"/>
      <c r="V288" s="574"/>
      <c r="W288" s="574"/>
      <c r="X288" s="574"/>
      <c r="Y288" s="574"/>
      <c r="Z288" s="574"/>
      <c r="AA288" s="574"/>
      <c r="AB288" s="574"/>
      <c r="AC288" s="574"/>
      <c r="AD288" s="574"/>
      <c r="AE288" s="574"/>
    </row>
    <row r="289" spans="1:31" ht="16.5" customHeight="1" x14ac:dyDescent="0.85">
      <c r="A289" s="574"/>
      <c r="B289" s="574"/>
      <c r="C289" s="574"/>
      <c r="D289" s="574"/>
      <c r="E289" s="574"/>
      <c r="F289" s="574"/>
      <c r="G289" s="574"/>
      <c r="H289" s="574"/>
      <c r="I289" s="574"/>
      <c r="J289" s="574"/>
      <c r="K289" s="574"/>
      <c r="L289" s="574"/>
      <c r="M289" s="574"/>
      <c r="N289" s="574"/>
      <c r="O289" s="574"/>
      <c r="P289" s="574"/>
      <c r="Q289" s="574"/>
      <c r="R289" s="574"/>
      <c r="S289" s="574"/>
      <c r="T289" s="574"/>
      <c r="U289" s="574"/>
      <c r="V289" s="574"/>
      <c r="W289" s="574"/>
      <c r="X289" s="574"/>
      <c r="Y289" s="574"/>
      <c r="Z289" s="574"/>
      <c r="AA289" s="574"/>
      <c r="AB289" s="574"/>
      <c r="AC289" s="574"/>
      <c r="AD289" s="574"/>
      <c r="AE289" s="574"/>
    </row>
    <row r="290" spans="1:31" ht="16.5" customHeight="1" x14ac:dyDescent="0.85">
      <c r="A290" s="574"/>
      <c r="B290" s="574"/>
      <c r="C290" s="574"/>
      <c r="D290" s="574"/>
      <c r="E290" s="574"/>
      <c r="F290" s="574"/>
      <c r="G290" s="574"/>
      <c r="H290" s="574"/>
      <c r="I290" s="574"/>
      <c r="J290" s="574"/>
      <c r="K290" s="574"/>
      <c r="L290" s="574"/>
      <c r="M290" s="574"/>
      <c r="N290" s="574"/>
      <c r="O290" s="574"/>
      <c r="P290" s="574"/>
      <c r="Q290" s="574"/>
      <c r="R290" s="574"/>
      <c r="S290" s="574"/>
      <c r="T290" s="574"/>
      <c r="U290" s="574"/>
      <c r="V290" s="574"/>
      <c r="W290" s="574"/>
      <c r="X290" s="574"/>
      <c r="Y290" s="574"/>
      <c r="Z290" s="574"/>
      <c r="AA290" s="574"/>
      <c r="AB290" s="574"/>
      <c r="AC290" s="574"/>
      <c r="AD290" s="574"/>
      <c r="AE290" s="574"/>
    </row>
    <row r="291" spans="1:31" ht="16.5" customHeight="1" x14ac:dyDescent="0.85">
      <c r="A291" s="574"/>
      <c r="B291" s="574"/>
      <c r="C291" s="574"/>
      <c r="D291" s="574"/>
      <c r="E291" s="574"/>
      <c r="F291" s="574"/>
      <c r="G291" s="574"/>
      <c r="H291" s="574"/>
      <c r="I291" s="574"/>
      <c r="J291" s="574"/>
      <c r="K291" s="574"/>
      <c r="L291" s="574"/>
      <c r="M291" s="574"/>
      <c r="N291" s="574"/>
      <c r="O291" s="574"/>
      <c r="P291" s="574"/>
      <c r="Q291" s="574"/>
      <c r="R291" s="574"/>
      <c r="S291" s="574"/>
      <c r="T291" s="574"/>
      <c r="U291" s="574"/>
      <c r="V291" s="574"/>
      <c r="W291" s="574"/>
      <c r="X291" s="574"/>
      <c r="Y291" s="574"/>
      <c r="Z291" s="574"/>
      <c r="AA291" s="574"/>
      <c r="AB291" s="574"/>
      <c r="AC291" s="574"/>
      <c r="AD291" s="574"/>
      <c r="AE291" s="574"/>
    </row>
    <row r="292" spans="1:31" ht="16.5" customHeight="1" x14ac:dyDescent="0.85">
      <c r="A292" s="574"/>
      <c r="B292" s="574"/>
      <c r="C292" s="574"/>
      <c r="D292" s="574"/>
      <c r="E292" s="574"/>
      <c r="F292" s="574"/>
      <c r="G292" s="574"/>
      <c r="H292" s="574"/>
      <c r="I292" s="574"/>
      <c r="J292" s="574"/>
      <c r="K292" s="574"/>
      <c r="L292" s="574"/>
      <c r="M292" s="574"/>
      <c r="N292" s="574"/>
      <c r="O292" s="574"/>
      <c r="P292" s="574"/>
      <c r="Q292" s="574"/>
      <c r="R292" s="574"/>
      <c r="S292" s="574"/>
      <c r="T292" s="574"/>
      <c r="U292" s="574"/>
      <c r="V292" s="574"/>
      <c r="W292" s="574"/>
      <c r="X292" s="574"/>
      <c r="Y292" s="574"/>
      <c r="Z292" s="574"/>
      <c r="AA292" s="574"/>
      <c r="AB292" s="574"/>
      <c r="AC292" s="574"/>
      <c r="AD292" s="574"/>
      <c r="AE292" s="574"/>
    </row>
    <row r="293" spans="1:31" ht="16.5" customHeight="1" x14ac:dyDescent="0.85">
      <c r="A293" s="574"/>
      <c r="B293" s="574"/>
      <c r="C293" s="574"/>
      <c r="D293" s="574"/>
      <c r="E293" s="574"/>
      <c r="F293" s="574"/>
      <c r="G293" s="574"/>
      <c r="H293" s="574"/>
      <c r="I293" s="574"/>
      <c r="J293" s="574"/>
      <c r="K293" s="574"/>
      <c r="L293" s="574"/>
      <c r="M293" s="574"/>
      <c r="N293" s="574"/>
      <c r="O293" s="574"/>
      <c r="P293" s="574"/>
      <c r="Q293" s="574"/>
      <c r="R293" s="574"/>
      <c r="S293" s="574"/>
      <c r="T293" s="574"/>
      <c r="U293" s="574"/>
      <c r="V293" s="574"/>
      <c r="W293" s="574"/>
      <c r="X293" s="574"/>
      <c r="Y293" s="574"/>
      <c r="Z293" s="574"/>
      <c r="AA293" s="574"/>
      <c r="AB293" s="574"/>
      <c r="AC293" s="574"/>
      <c r="AD293" s="574"/>
      <c r="AE293" s="574"/>
    </row>
    <row r="294" spans="1:31" ht="16.5" customHeight="1" x14ac:dyDescent="0.85">
      <c r="A294" s="574"/>
      <c r="B294" s="574"/>
      <c r="C294" s="574"/>
      <c r="D294" s="574"/>
      <c r="E294" s="574"/>
      <c r="F294" s="574"/>
      <c r="G294" s="574"/>
      <c r="H294" s="574"/>
      <c r="I294" s="574"/>
      <c r="J294" s="574"/>
      <c r="K294" s="574"/>
      <c r="L294" s="574"/>
      <c r="M294" s="574"/>
      <c r="N294" s="574"/>
      <c r="O294" s="574"/>
      <c r="P294" s="574"/>
      <c r="Q294" s="574"/>
      <c r="R294" s="574"/>
      <c r="S294" s="574"/>
      <c r="T294" s="574"/>
      <c r="U294" s="574"/>
      <c r="V294" s="574"/>
      <c r="W294" s="574"/>
      <c r="X294" s="574"/>
      <c r="Y294" s="574"/>
      <c r="Z294" s="574"/>
      <c r="AA294" s="574"/>
      <c r="AB294" s="574"/>
      <c r="AC294" s="574"/>
      <c r="AD294" s="574"/>
      <c r="AE294" s="574"/>
    </row>
    <row r="295" spans="1:31" ht="16.5" customHeight="1" x14ac:dyDescent="0.85">
      <c r="A295" s="574"/>
      <c r="B295" s="574"/>
      <c r="C295" s="574"/>
      <c r="D295" s="574"/>
      <c r="E295" s="574"/>
      <c r="F295" s="574"/>
      <c r="G295" s="574"/>
      <c r="H295" s="574"/>
      <c r="I295" s="574"/>
      <c r="J295" s="574"/>
      <c r="K295" s="574"/>
      <c r="L295" s="574"/>
      <c r="M295" s="574"/>
      <c r="N295" s="574"/>
      <c r="O295" s="574"/>
      <c r="P295" s="574"/>
      <c r="Q295" s="574"/>
      <c r="R295" s="574"/>
      <c r="S295" s="574"/>
      <c r="T295" s="574"/>
      <c r="U295" s="574"/>
      <c r="V295" s="574"/>
      <c r="W295" s="574"/>
      <c r="X295" s="574"/>
      <c r="Y295" s="574"/>
      <c r="Z295" s="574"/>
      <c r="AA295" s="574"/>
      <c r="AB295" s="574"/>
      <c r="AC295" s="574"/>
      <c r="AD295" s="574"/>
      <c r="AE295" s="574"/>
    </row>
    <row r="296" spans="1:31" ht="16.5" customHeight="1" x14ac:dyDescent="0.85">
      <c r="A296" s="574"/>
      <c r="B296" s="574"/>
      <c r="C296" s="574"/>
      <c r="D296" s="574"/>
      <c r="E296" s="574"/>
      <c r="F296" s="574"/>
      <c r="G296" s="574"/>
      <c r="H296" s="574"/>
      <c r="I296" s="574"/>
      <c r="J296" s="574"/>
      <c r="K296" s="574"/>
      <c r="L296" s="574"/>
      <c r="M296" s="574"/>
      <c r="N296" s="574"/>
      <c r="O296" s="574"/>
      <c r="P296" s="574"/>
      <c r="Q296" s="574"/>
      <c r="R296" s="574"/>
      <c r="S296" s="574"/>
      <c r="T296" s="574"/>
      <c r="U296" s="574"/>
      <c r="V296" s="574"/>
      <c r="W296" s="574"/>
      <c r="X296" s="574"/>
      <c r="Y296" s="574"/>
      <c r="Z296" s="574"/>
      <c r="AA296" s="574"/>
      <c r="AB296" s="574"/>
      <c r="AC296" s="574"/>
      <c r="AD296" s="574"/>
      <c r="AE296" s="574"/>
    </row>
    <row r="297" spans="1:31" ht="16.5" customHeight="1" x14ac:dyDescent="0.85">
      <c r="A297" s="574"/>
      <c r="B297" s="574"/>
      <c r="C297" s="574"/>
      <c r="D297" s="574"/>
      <c r="E297" s="574"/>
      <c r="F297" s="574"/>
      <c r="G297" s="574"/>
      <c r="H297" s="574"/>
      <c r="I297" s="574"/>
      <c r="J297" s="574"/>
      <c r="K297" s="574"/>
      <c r="L297" s="574"/>
      <c r="M297" s="574"/>
      <c r="N297" s="574"/>
      <c r="O297" s="574"/>
      <c r="P297" s="574"/>
      <c r="Q297" s="574"/>
      <c r="R297" s="574"/>
      <c r="S297" s="574"/>
      <c r="T297" s="574"/>
      <c r="U297" s="574"/>
      <c r="V297" s="574"/>
      <c r="W297" s="574"/>
      <c r="X297" s="574"/>
      <c r="Y297" s="574"/>
      <c r="Z297" s="574"/>
      <c r="AA297" s="574"/>
      <c r="AB297" s="574"/>
      <c r="AC297" s="574"/>
      <c r="AD297" s="574"/>
      <c r="AE297" s="574"/>
    </row>
    <row r="298" spans="1:31" ht="16.5" customHeight="1" x14ac:dyDescent="0.85">
      <c r="A298" s="574"/>
      <c r="B298" s="574"/>
      <c r="C298" s="574"/>
      <c r="D298" s="574"/>
      <c r="E298" s="574"/>
      <c r="F298" s="574"/>
      <c r="G298" s="574"/>
      <c r="H298" s="574"/>
      <c r="I298" s="574"/>
      <c r="J298" s="574"/>
      <c r="K298" s="574"/>
      <c r="L298" s="574"/>
      <c r="M298" s="574"/>
      <c r="N298" s="574"/>
      <c r="O298" s="574"/>
      <c r="P298" s="574"/>
      <c r="Q298" s="574"/>
      <c r="R298" s="574"/>
      <c r="S298" s="574"/>
      <c r="T298" s="574"/>
      <c r="U298" s="574"/>
      <c r="V298" s="574"/>
      <c r="W298" s="574"/>
      <c r="X298" s="574"/>
      <c r="Y298" s="574"/>
      <c r="Z298" s="574"/>
      <c r="AA298" s="574"/>
      <c r="AB298" s="574"/>
      <c r="AC298" s="574"/>
      <c r="AD298" s="574"/>
      <c r="AE298" s="574"/>
    </row>
    <row r="299" spans="1:31" ht="16.5" customHeight="1" x14ac:dyDescent="0.85">
      <c r="A299" s="574"/>
      <c r="B299" s="574"/>
      <c r="C299" s="574"/>
      <c r="D299" s="574"/>
      <c r="E299" s="574"/>
      <c r="F299" s="574"/>
      <c r="G299" s="574"/>
      <c r="H299" s="574"/>
      <c r="I299" s="574"/>
      <c r="J299" s="574"/>
      <c r="K299" s="574"/>
      <c r="L299" s="574"/>
      <c r="M299" s="574"/>
      <c r="N299" s="574"/>
      <c r="O299" s="574"/>
      <c r="P299" s="574"/>
      <c r="Q299" s="574"/>
      <c r="R299" s="574"/>
      <c r="S299" s="574"/>
      <c r="T299" s="574"/>
      <c r="U299" s="574"/>
      <c r="V299" s="574"/>
      <c r="W299" s="574"/>
      <c r="X299" s="574"/>
      <c r="Y299" s="574"/>
      <c r="Z299" s="574"/>
      <c r="AA299" s="574"/>
      <c r="AB299" s="574"/>
      <c r="AC299" s="574"/>
      <c r="AD299" s="574"/>
      <c r="AE299" s="574"/>
    </row>
    <row r="300" spans="1:31" ht="16.5" customHeight="1" x14ac:dyDescent="0.85">
      <c r="A300" s="574"/>
      <c r="B300" s="574"/>
      <c r="C300" s="574"/>
      <c r="D300" s="574"/>
      <c r="E300" s="574"/>
      <c r="F300" s="574"/>
      <c r="G300" s="574"/>
      <c r="H300" s="574"/>
      <c r="I300" s="574"/>
      <c r="J300" s="574"/>
      <c r="K300" s="574"/>
      <c r="L300" s="574"/>
      <c r="M300" s="574"/>
      <c r="N300" s="574"/>
      <c r="O300" s="574"/>
      <c r="P300" s="574"/>
      <c r="Q300" s="574"/>
      <c r="R300" s="574"/>
      <c r="S300" s="574"/>
      <c r="T300" s="574"/>
      <c r="U300" s="574"/>
      <c r="V300" s="574"/>
      <c r="W300" s="574"/>
      <c r="X300" s="574"/>
      <c r="Y300" s="574"/>
      <c r="Z300" s="574"/>
      <c r="AA300" s="574"/>
      <c r="AB300" s="574"/>
      <c r="AC300" s="574"/>
      <c r="AD300" s="574"/>
      <c r="AE300" s="574"/>
    </row>
    <row r="301" spans="1:31" ht="16.5" customHeight="1" x14ac:dyDescent="0.85">
      <c r="A301" s="574"/>
      <c r="B301" s="574"/>
      <c r="C301" s="574"/>
      <c r="D301" s="574"/>
      <c r="E301" s="574"/>
      <c r="F301" s="574"/>
      <c r="G301" s="574"/>
      <c r="H301" s="574"/>
      <c r="I301" s="574"/>
      <c r="J301" s="574"/>
      <c r="K301" s="574"/>
      <c r="L301" s="574"/>
      <c r="M301" s="574"/>
      <c r="N301" s="574"/>
      <c r="O301" s="574"/>
      <c r="P301" s="574"/>
      <c r="Q301" s="574"/>
      <c r="R301" s="574"/>
      <c r="S301" s="574"/>
      <c r="T301" s="574"/>
      <c r="U301" s="574"/>
      <c r="V301" s="574"/>
      <c r="W301" s="574"/>
      <c r="X301" s="574"/>
      <c r="Y301" s="574"/>
      <c r="Z301" s="574"/>
      <c r="AA301" s="574"/>
      <c r="AB301" s="574"/>
      <c r="AC301" s="574"/>
      <c r="AD301" s="574"/>
      <c r="AE301" s="574"/>
    </row>
    <row r="302" spans="1:31" ht="16.5" customHeight="1" x14ac:dyDescent="0.85">
      <c r="A302" s="574"/>
      <c r="B302" s="574"/>
      <c r="C302" s="574"/>
      <c r="D302" s="574"/>
      <c r="E302" s="574"/>
      <c r="F302" s="574"/>
      <c r="G302" s="574"/>
      <c r="H302" s="574"/>
      <c r="I302" s="574"/>
      <c r="J302" s="574"/>
      <c r="K302" s="574"/>
      <c r="L302" s="574"/>
      <c r="M302" s="574"/>
      <c r="N302" s="574"/>
      <c r="O302" s="574"/>
      <c r="P302" s="574"/>
      <c r="Q302" s="574"/>
      <c r="R302" s="574"/>
      <c r="S302" s="574"/>
      <c r="T302" s="574"/>
      <c r="U302" s="574"/>
      <c r="V302" s="574"/>
      <c r="W302" s="574"/>
      <c r="X302" s="574"/>
      <c r="Y302" s="574"/>
      <c r="Z302" s="574"/>
      <c r="AA302" s="574"/>
      <c r="AB302" s="574"/>
      <c r="AC302" s="574"/>
      <c r="AD302" s="574"/>
      <c r="AE302" s="574"/>
    </row>
    <row r="303" spans="1:31" ht="16.5" customHeight="1" x14ac:dyDescent="0.85">
      <c r="A303" s="574"/>
      <c r="B303" s="574"/>
      <c r="C303" s="574"/>
      <c r="D303" s="574"/>
      <c r="E303" s="574"/>
      <c r="F303" s="574"/>
      <c r="G303" s="574"/>
      <c r="H303" s="574"/>
      <c r="I303" s="574"/>
      <c r="J303" s="574"/>
      <c r="K303" s="574"/>
      <c r="L303" s="574"/>
      <c r="M303" s="574"/>
      <c r="N303" s="574"/>
      <c r="O303" s="574"/>
      <c r="P303" s="574"/>
      <c r="Q303" s="574"/>
      <c r="R303" s="574"/>
      <c r="S303" s="574"/>
      <c r="T303" s="574"/>
      <c r="U303" s="574"/>
      <c r="V303" s="574"/>
      <c r="W303" s="574"/>
      <c r="X303" s="574"/>
      <c r="Y303" s="574"/>
      <c r="Z303" s="574"/>
      <c r="AA303" s="574"/>
      <c r="AB303" s="574"/>
      <c r="AC303" s="574"/>
      <c r="AD303" s="574"/>
      <c r="AE303" s="574"/>
    </row>
    <row r="304" spans="1:31" ht="16.5" customHeight="1" x14ac:dyDescent="0.85">
      <c r="A304" s="574"/>
      <c r="B304" s="574"/>
      <c r="C304" s="574"/>
      <c r="D304" s="574"/>
      <c r="E304" s="574"/>
      <c r="F304" s="574"/>
      <c r="G304" s="574"/>
      <c r="H304" s="574"/>
      <c r="I304" s="574"/>
      <c r="J304" s="574"/>
      <c r="K304" s="574"/>
      <c r="L304" s="574"/>
      <c r="M304" s="574"/>
      <c r="N304" s="574"/>
      <c r="O304" s="574"/>
      <c r="P304" s="574"/>
      <c r="Q304" s="574"/>
      <c r="R304" s="574"/>
      <c r="S304" s="574"/>
      <c r="T304" s="574"/>
      <c r="U304" s="574"/>
      <c r="V304" s="574"/>
      <c r="W304" s="574"/>
      <c r="X304" s="574"/>
      <c r="Y304" s="574"/>
      <c r="Z304" s="574"/>
      <c r="AA304" s="574"/>
      <c r="AB304" s="574"/>
      <c r="AC304" s="574"/>
      <c r="AD304" s="574"/>
      <c r="AE304" s="574"/>
    </row>
    <row r="305" spans="1:31" ht="16.5" customHeight="1" x14ac:dyDescent="0.85">
      <c r="A305" s="574"/>
      <c r="B305" s="574"/>
      <c r="C305" s="574"/>
      <c r="D305" s="574"/>
      <c r="E305" s="574"/>
      <c r="F305" s="574"/>
      <c r="G305" s="574"/>
      <c r="H305" s="574"/>
      <c r="I305" s="574"/>
      <c r="J305" s="574"/>
      <c r="K305" s="574"/>
      <c r="L305" s="574"/>
      <c r="M305" s="574"/>
      <c r="N305" s="574"/>
      <c r="O305" s="574"/>
      <c r="P305" s="574"/>
      <c r="Q305" s="574"/>
      <c r="R305" s="574"/>
      <c r="S305" s="574"/>
      <c r="T305" s="574"/>
      <c r="U305" s="574"/>
      <c r="V305" s="574"/>
      <c r="W305" s="574"/>
      <c r="X305" s="574"/>
      <c r="Y305" s="574"/>
      <c r="Z305" s="574"/>
      <c r="AA305" s="574"/>
      <c r="AB305" s="574"/>
      <c r="AC305" s="574"/>
      <c r="AD305" s="574"/>
      <c r="AE305" s="574"/>
    </row>
    <row r="306" spans="1:31" ht="16.5" customHeight="1" x14ac:dyDescent="0.85">
      <c r="A306" s="574"/>
      <c r="B306" s="574"/>
      <c r="C306" s="574"/>
      <c r="D306" s="574"/>
      <c r="E306" s="574"/>
      <c r="F306" s="574"/>
      <c r="G306" s="574"/>
      <c r="H306" s="574"/>
      <c r="I306" s="574"/>
      <c r="J306" s="574"/>
      <c r="K306" s="574"/>
      <c r="L306" s="574"/>
      <c r="M306" s="574"/>
      <c r="N306" s="574"/>
      <c r="O306" s="574"/>
      <c r="P306" s="574"/>
      <c r="Q306" s="574"/>
      <c r="R306" s="574"/>
      <c r="S306" s="574"/>
      <c r="T306" s="574"/>
      <c r="U306" s="574"/>
      <c r="V306" s="574"/>
      <c r="W306" s="574"/>
      <c r="X306" s="574"/>
      <c r="Y306" s="574"/>
      <c r="Z306" s="574"/>
      <c r="AA306" s="574"/>
      <c r="AB306" s="574"/>
      <c r="AC306" s="574"/>
      <c r="AD306" s="574"/>
      <c r="AE306" s="574"/>
    </row>
    <row r="307" spans="1:31" ht="16.5" customHeight="1" x14ac:dyDescent="0.85">
      <c r="A307" s="574"/>
      <c r="B307" s="574"/>
      <c r="C307" s="574"/>
      <c r="D307" s="574"/>
      <c r="E307" s="574"/>
      <c r="F307" s="574"/>
      <c r="G307" s="574"/>
      <c r="H307" s="574"/>
      <c r="I307" s="574"/>
      <c r="J307" s="574"/>
      <c r="K307" s="574"/>
      <c r="L307" s="574"/>
      <c r="M307" s="574"/>
      <c r="N307" s="574"/>
      <c r="O307" s="574"/>
      <c r="P307" s="574"/>
      <c r="Q307" s="574"/>
      <c r="R307" s="574"/>
      <c r="S307" s="574"/>
      <c r="T307" s="574"/>
      <c r="U307" s="574"/>
      <c r="V307" s="574"/>
      <c r="W307" s="574"/>
      <c r="X307" s="574"/>
      <c r="Y307" s="574"/>
      <c r="Z307" s="574"/>
      <c r="AA307" s="574"/>
      <c r="AB307" s="574"/>
      <c r="AC307" s="574"/>
      <c r="AD307" s="574"/>
      <c r="AE307" s="574"/>
    </row>
    <row r="308" spans="1:31" ht="16.5" customHeight="1" x14ac:dyDescent="0.85">
      <c r="A308" s="574"/>
      <c r="B308" s="574"/>
      <c r="C308" s="574"/>
      <c r="D308" s="574"/>
      <c r="E308" s="574"/>
      <c r="F308" s="574"/>
      <c r="G308" s="574"/>
      <c r="H308" s="574"/>
      <c r="I308" s="574"/>
      <c r="J308" s="574"/>
      <c r="K308" s="574"/>
      <c r="L308" s="574"/>
      <c r="M308" s="574"/>
      <c r="N308" s="574"/>
      <c r="O308" s="574"/>
      <c r="P308" s="574"/>
      <c r="Q308" s="574"/>
      <c r="R308" s="574"/>
      <c r="S308" s="574"/>
      <c r="T308" s="574"/>
      <c r="U308" s="574"/>
      <c r="V308" s="574"/>
      <c r="W308" s="574"/>
      <c r="X308" s="574"/>
      <c r="Y308" s="574"/>
      <c r="Z308" s="574"/>
      <c r="AA308" s="574"/>
      <c r="AB308" s="574"/>
      <c r="AC308" s="574"/>
      <c r="AD308" s="574"/>
      <c r="AE308" s="574"/>
    </row>
    <row r="309" spans="1:31" ht="16.5" customHeight="1" x14ac:dyDescent="0.85">
      <c r="A309" s="574"/>
      <c r="B309" s="574"/>
      <c r="C309" s="574"/>
      <c r="D309" s="574"/>
      <c r="E309" s="574"/>
      <c r="F309" s="574"/>
      <c r="G309" s="574"/>
      <c r="H309" s="574"/>
      <c r="I309" s="574"/>
      <c r="J309" s="574"/>
      <c r="K309" s="574"/>
      <c r="L309" s="574"/>
      <c r="M309" s="574"/>
      <c r="N309" s="574"/>
      <c r="O309" s="574"/>
      <c r="P309" s="574"/>
      <c r="Q309" s="574"/>
      <c r="R309" s="574"/>
      <c r="S309" s="574"/>
      <c r="T309" s="574"/>
      <c r="U309" s="574"/>
      <c r="V309" s="574"/>
      <c r="W309" s="574"/>
      <c r="X309" s="574"/>
      <c r="Y309" s="574"/>
      <c r="Z309" s="574"/>
      <c r="AA309" s="574"/>
      <c r="AB309" s="574"/>
      <c r="AC309" s="574"/>
      <c r="AD309" s="574"/>
      <c r="AE309" s="574"/>
    </row>
    <row r="310" spans="1:31" ht="16.5" customHeight="1" x14ac:dyDescent="0.85">
      <c r="A310" s="574"/>
      <c r="B310" s="574"/>
      <c r="C310" s="574"/>
      <c r="D310" s="574"/>
      <c r="E310" s="574"/>
      <c r="F310" s="574"/>
      <c r="G310" s="574"/>
      <c r="H310" s="574"/>
      <c r="I310" s="574"/>
      <c r="J310" s="574"/>
      <c r="K310" s="574"/>
      <c r="L310" s="574"/>
      <c r="M310" s="574"/>
      <c r="N310" s="574"/>
      <c r="O310" s="574"/>
      <c r="P310" s="574"/>
      <c r="Q310" s="574"/>
      <c r="R310" s="574"/>
      <c r="S310" s="574"/>
      <c r="T310" s="574"/>
      <c r="U310" s="574"/>
      <c r="V310" s="574"/>
      <c r="W310" s="574"/>
      <c r="X310" s="574"/>
      <c r="Y310" s="574"/>
      <c r="Z310" s="574"/>
      <c r="AA310" s="574"/>
      <c r="AB310" s="574"/>
      <c r="AC310" s="574"/>
      <c r="AD310" s="574"/>
      <c r="AE310" s="574"/>
    </row>
    <row r="311" spans="1:31" ht="16.5" customHeight="1" x14ac:dyDescent="0.85">
      <c r="A311" s="574"/>
      <c r="B311" s="574"/>
      <c r="C311" s="574"/>
      <c r="D311" s="574"/>
      <c r="E311" s="574"/>
      <c r="F311" s="574"/>
      <c r="G311" s="574"/>
      <c r="H311" s="574"/>
      <c r="I311" s="574"/>
      <c r="J311" s="574"/>
      <c r="K311" s="574"/>
      <c r="L311" s="574"/>
      <c r="M311" s="574"/>
      <c r="N311" s="574"/>
      <c r="O311" s="574"/>
      <c r="P311" s="574"/>
      <c r="Q311" s="574"/>
      <c r="R311" s="574"/>
      <c r="S311" s="574"/>
      <c r="T311" s="574"/>
      <c r="U311" s="574"/>
      <c r="V311" s="574"/>
      <c r="W311" s="574"/>
      <c r="X311" s="574"/>
      <c r="Y311" s="574"/>
      <c r="Z311" s="574"/>
      <c r="AA311" s="574"/>
      <c r="AB311" s="574"/>
      <c r="AC311" s="574"/>
      <c r="AD311" s="574"/>
      <c r="AE311" s="574"/>
    </row>
    <row r="312" spans="1:31" ht="16.5" customHeight="1" x14ac:dyDescent="0.85">
      <c r="A312" s="574"/>
      <c r="B312" s="574"/>
      <c r="C312" s="574"/>
      <c r="D312" s="574"/>
      <c r="E312" s="574"/>
      <c r="F312" s="574"/>
      <c r="G312" s="574"/>
      <c r="H312" s="574"/>
      <c r="I312" s="574"/>
      <c r="J312" s="574"/>
      <c r="K312" s="574"/>
      <c r="L312" s="574"/>
      <c r="M312" s="574"/>
      <c r="N312" s="574"/>
      <c r="O312" s="574"/>
      <c r="P312" s="574"/>
      <c r="Q312" s="574"/>
      <c r="R312" s="574"/>
      <c r="S312" s="574"/>
      <c r="T312" s="574"/>
      <c r="U312" s="574"/>
      <c r="V312" s="574"/>
      <c r="W312" s="574"/>
      <c r="X312" s="574"/>
      <c r="Y312" s="574"/>
      <c r="Z312" s="574"/>
      <c r="AA312" s="574"/>
      <c r="AB312" s="574"/>
      <c r="AC312" s="574"/>
      <c r="AD312" s="574"/>
      <c r="AE312" s="574"/>
    </row>
    <row r="313" spans="1:31" ht="16.5" customHeight="1" x14ac:dyDescent="0.85">
      <c r="A313" s="574"/>
      <c r="B313" s="574"/>
      <c r="C313" s="574"/>
      <c r="D313" s="574"/>
      <c r="E313" s="574"/>
      <c r="F313" s="574"/>
      <c r="G313" s="574"/>
      <c r="H313" s="574"/>
      <c r="I313" s="574"/>
      <c r="J313" s="574"/>
      <c r="K313" s="574"/>
      <c r="L313" s="574"/>
      <c r="M313" s="574"/>
      <c r="N313" s="574"/>
      <c r="O313" s="574"/>
      <c r="P313" s="574"/>
      <c r="Q313" s="574"/>
      <c r="R313" s="574"/>
      <c r="S313" s="574"/>
      <c r="T313" s="574"/>
      <c r="U313" s="574"/>
      <c r="V313" s="574"/>
      <c r="W313" s="574"/>
      <c r="X313" s="574"/>
      <c r="Y313" s="574"/>
      <c r="Z313" s="574"/>
      <c r="AA313" s="574"/>
      <c r="AB313" s="574"/>
      <c r="AC313" s="574"/>
      <c r="AD313" s="574"/>
      <c r="AE313" s="574"/>
    </row>
    <row r="314" spans="1:31" ht="16.5" customHeight="1" x14ac:dyDescent="0.85">
      <c r="A314" s="574"/>
      <c r="B314" s="574"/>
      <c r="C314" s="574"/>
      <c r="D314" s="574"/>
      <c r="E314" s="574"/>
      <c r="F314" s="574"/>
      <c r="G314" s="574"/>
      <c r="H314" s="574"/>
      <c r="I314" s="574"/>
      <c r="J314" s="574"/>
      <c r="K314" s="574"/>
      <c r="L314" s="574"/>
      <c r="M314" s="574"/>
      <c r="N314" s="574"/>
      <c r="O314" s="574"/>
      <c r="P314" s="574"/>
      <c r="Q314" s="574"/>
      <c r="R314" s="574"/>
      <c r="S314" s="574"/>
      <c r="T314" s="574"/>
      <c r="U314" s="574"/>
      <c r="V314" s="574"/>
      <c r="W314" s="574"/>
      <c r="X314" s="574"/>
      <c r="Y314" s="574"/>
      <c r="Z314" s="574"/>
      <c r="AA314" s="574"/>
      <c r="AB314" s="574"/>
      <c r="AC314" s="574"/>
      <c r="AD314" s="574"/>
      <c r="AE314" s="574"/>
    </row>
    <row r="315" spans="1:31" ht="16.5" customHeight="1" x14ac:dyDescent="0.85">
      <c r="A315" s="574"/>
      <c r="B315" s="574"/>
      <c r="C315" s="574"/>
      <c r="D315" s="574"/>
      <c r="E315" s="574"/>
      <c r="F315" s="574"/>
      <c r="G315" s="574"/>
      <c r="H315" s="574"/>
      <c r="I315" s="574"/>
      <c r="J315" s="574"/>
      <c r="K315" s="574"/>
      <c r="L315" s="574"/>
      <c r="M315" s="574"/>
      <c r="N315" s="574"/>
      <c r="O315" s="574"/>
      <c r="P315" s="574"/>
      <c r="Q315" s="574"/>
      <c r="R315" s="574"/>
      <c r="S315" s="574"/>
      <c r="T315" s="574"/>
      <c r="U315" s="574"/>
      <c r="V315" s="574"/>
      <c r="W315" s="574"/>
      <c r="X315" s="574"/>
      <c r="Y315" s="574"/>
      <c r="Z315" s="574"/>
      <c r="AA315" s="574"/>
      <c r="AB315" s="574"/>
      <c r="AC315" s="574"/>
      <c r="AD315" s="574"/>
      <c r="AE315" s="574"/>
    </row>
    <row r="316" spans="1:31" ht="16.5" customHeight="1" x14ac:dyDescent="0.85">
      <c r="A316" s="574"/>
      <c r="B316" s="574"/>
      <c r="C316" s="574"/>
      <c r="D316" s="574"/>
      <c r="E316" s="574"/>
      <c r="F316" s="574"/>
      <c r="G316" s="574"/>
      <c r="H316" s="574"/>
      <c r="I316" s="574"/>
      <c r="J316" s="574"/>
      <c r="K316" s="574"/>
      <c r="L316" s="574"/>
      <c r="M316" s="574"/>
      <c r="N316" s="574"/>
      <c r="O316" s="574"/>
      <c r="P316" s="574"/>
      <c r="Q316" s="574"/>
      <c r="R316" s="574"/>
      <c r="S316" s="574"/>
      <c r="T316" s="574"/>
      <c r="U316" s="574"/>
      <c r="V316" s="574"/>
      <c r="W316" s="574"/>
      <c r="X316" s="574"/>
      <c r="Y316" s="574"/>
      <c r="Z316" s="574"/>
      <c r="AA316" s="574"/>
      <c r="AB316" s="574"/>
      <c r="AC316" s="574"/>
      <c r="AD316" s="574"/>
      <c r="AE316" s="574"/>
    </row>
    <row r="317" spans="1:31" ht="16.5" customHeight="1" x14ac:dyDescent="0.85">
      <c r="A317" s="574"/>
      <c r="B317" s="574"/>
      <c r="C317" s="574"/>
      <c r="D317" s="574"/>
      <c r="E317" s="574"/>
      <c r="F317" s="574"/>
      <c r="G317" s="574"/>
      <c r="H317" s="574"/>
      <c r="I317" s="574"/>
      <c r="J317" s="574"/>
      <c r="K317" s="574"/>
      <c r="L317" s="574"/>
      <c r="M317" s="574"/>
      <c r="N317" s="574"/>
      <c r="O317" s="574"/>
      <c r="P317" s="574"/>
      <c r="Q317" s="574"/>
      <c r="R317" s="574"/>
      <c r="S317" s="574"/>
      <c r="T317" s="574"/>
      <c r="U317" s="574"/>
      <c r="V317" s="574"/>
      <c r="W317" s="574"/>
      <c r="X317" s="574"/>
      <c r="Y317" s="574"/>
      <c r="Z317" s="574"/>
      <c r="AA317" s="574"/>
      <c r="AB317" s="574"/>
      <c r="AC317" s="574"/>
      <c r="AD317" s="574"/>
      <c r="AE317" s="574"/>
    </row>
    <row r="318" spans="1:31" ht="16.5" customHeight="1" x14ac:dyDescent="0.85">
      <c r="A318" s="574"/>
      <c r="B318" s="574"/>
      <c r="C318" s="574"/>
      <c r="D318" s="574"/>
      <c r="E318" s="574"/>
      <c r="F318" s="574"/>
      <c r="G318" s="574"/>
      <c r="H318" s="574"/>
      <c r="I318" s="574"/>
      <c r="J318" s="574"/>
      <c r="K318" s="574"/>
      <c r="L318" s="574"/>
      <c r="M318" s="574"/>
      <c r="N318" s="574"/>
      <c r="O318" s="574"/>
      <c r="P318" s="574"/>
      <c r="Q318" s="574"/>
      <c r="R318" s="574"/>
      <c r="S318" s="574"/>
      <c r="T318" s="574"/>
      <c r="U318" s="574"/>
      <c r="V318" s="574"/>
      <c r="W318" s="574"/>
      <c r="X318" s="574"/>
      <c r="Y318" s="574"/>
      <c r="Z318" s="574"/>
      <c r="AA318" s="574"/>
      <c r="AB318" s="574"/>
      <c r="AC318" s="574"/>
      <c r="AD318" s="574"/>
      <c r="AE318" s="574"/>
    </row>
    <row r="319" spans="1:31" ht="16.5" customHeight="1" x14ac:dyDescent="0.85">
      <c r="A319" s="574"/>
      <c r="B319" s="574"/>
      <c r="C319" s="574"/>
      <c r="D319" s="574"/>
      <c r="E319" s="574"/>
      <c r="F319" s="574"/>
      <c r="G319" s="574"/>
      <c r="H319" s="574"/>
      <c r="I319" s="574"/>
      <c r="J319" s="574"/>
      <c r="K319" s="574"/>
      <c r="L319" s="574"/>
      <c r="M319" s="574"/>
      <c r="N319" s="574"/>
      <c r="O319" s="574"/>
      <c r="P319" s="574"/>
      <c r="Q319" s="574"/>
      <c r="R319" s="574"/>
      <c r="S319" s="574"/>
      <c r="T319" s="574"/>
      <c r="U319" s="574"/>
      <c r="V319" s="574"/>
      <c r="W319" s="574"/>
      <c r="X319" s="574"/>
      <c r="Y319" s="574"/>
      <c r="Z319" s="574"/>
      <c r="AA319" s="574"/>
      <c r="AB319" s="574"/>
      <c r="AC319" s="574"/>
      <c r="AD319" s="574"/>
      <c r="AE319" s="574"/>
    </row>
    <row r="320" spans="1:31" ht="16.5" customHeight="1" x14ac:dyDescent="0.85">
      <c r="A320" s="574"/>
      <c r="B320" s="574"/>
      <c r="C320" s="574"/>
      <c r="D320" s="574"/>
      <c r="E320" s="574"/>
      <c r="F320" s="574"/>
      <c r="G320" s="574"/>
      <c r="H320" s="574"/>
      <c r="I320" s="574"/>
      <c r="J320" s="574"/>
      <c r="K320" s="574"/>
      <c r="L320" s="574"/>
      <c r="M320" s="574"/>
      <c r="N320" s="574"/>
      <c r="O320" s="574"/>
      <c r="P320" s="574"/>
      <c r="Q320" s="574"/>
      <c r="R320" s="574"/>
      <c r="S320" s="574"/>
      <c r="T320" s="574"/>
      <c r="U320" s="574"/>
      <c r="V320" s="574"/>
      <c r="W320" s="574"/>
      <c r="X320" s="574"/>
      <c r="Y320" s="574"/>
      <c r="Z320" s="574"/>
      <c r="AA320" s="574"/>
      <c r="AB320" s="574"/>
      <c r="AC320" s="574"/>
      <c r="AD320" s="574"/>
      <c r="AE320" s="574"/>
    </row>
    <row r="321" spans="1:31" ht="16.5" customHeight="1" x14ac:dyDescent="0.85">
      <c r="A321" s="574"/>
      <c r="B321" s="574"/>
      <c r="C321" s="574"/>
      <c r="D321" s="574"/>
      <c r="E321" s="574"/>
      <c r="F321" s="574"/>
      <c r="G321" s="574"/>
      <c r="H321" s="574"/>
      <c r="I321" s="574"/>
      <c r="J321" s="574"/>
      <c r="K321" s="574"/>
      <c r="L321" s="574"/>
      <c r="M321" s="574"/>
      <c r="N321" s="574"/>
      <c r="O321" s="574"/>
      <c r="P321" s="574"/>
      <c r="Q321" s="574"/>
      <c r="R321" s="574"/>
      <c r="S321" s="574"/>
      <c r="T321" s="574"/>
      <c r="U321" s="574"/>
      <c r="V321" s="574"/>
      <c r="W321" s="574"/>
      <c r="X321" s="574"/>
      <c r="Y321" s="574"/>
      <c r="Z321" s="574"/>
      <c r="AA321" s="574"/>
      <c r="AB321" s="574"/>
      <c r="AC321" s="574"/>
      <c r="AD321" s="574"/>
      <c r="AE321" s="574"/>
    </row>
    <row r="322" spans="1:31" ht="16.5" customHeight="1" x14ac:dyDescent="0.85">
      <c r="A322" s="574"/>
      <c r="B322" s="574"/>
      <c r="C322" s="574"/>
      <c r="D322" s="574"/>
      <c r="E322" s="574"/>
      <c r="F322" s="574"/>
      <c r="G322" s="574"/>
      <c r="H322" s="574"/>
      <c r="I322" s="574"/>
      <c r="J322" s="574"/>
      <c r="K322" s="574"/>
      <c r="L322" s="574"/>
      <c r="M322" s="574"/>
      <c r="N322" s="574"/>
      <c r="O322" s="574"/>
      <c r="P322" s="574"/>
      <c r="Q322" s="574"/>
      <c r="R322" s="574"/>
      <c r="S322" s="574"/>
      <c r="T322" s="574"/>
      <c r="U322" s="574"/>
      <c r="V322" s="574"/>
      <c r="W322" s="574"/>
      <c r="X322" s="574"/>
      <c r="Y322" s="574"/>
      <c r="Z322" s="574"/>
      <c r="AA322" s="574"/>
      <c r="AB322" s="574"/>
      <c r="AC322" s="574"/>
      <c r="AD322" s="574"/>
      <c r="AE322" s="574"/>
    </row>
    <row r="323" spans="1:31" ht="16.5" customHeight="1" x14ac:dyDescent="0.85">
      <c r="A323" s="574"/>
      <c r="B323" s="574"/>
      <c r="C323" s="574"/>
      <c r="D323" s="574"/>
      <c r="E323" s="574"/>
      <c r="F323" s="574"/>
      <c r="G323" s="574"/>
      <c r="H323" s="574"/>
      <c r="I323" s="574"/>
      <c r="J323" s="574"/>
      <c r="K323" s="574"/>
      <c r="L323" s="574"/>
      <c r="M323" s="574"/>
      <c r="N323" s="574"/>
      <c r="O323" s="574"/>
      <c r="P323" s="574"/>
      <c r="Q323" s="574"/>
      <c r="R323" s="574"/>
      <c r="S323" s="574"/>
      <c r="T323" s="574"/>
      <c r="U323" s="574"/>
      <c r="V323" s="574"/>
      <c r="W323" s="574"/>
      <c r="X323" s="574"/>
      <c r="Y323" s="574"/>
      <c r="Z323" s="574"/>
      <c r="AA323" s="574"/>
      <c r="AB323" s="574"/>
      <c r="AC323" s="574"/>
      <c r="AD323" s="574"/>
      <c r="AE323" s="574"/>
    </row>
    <row r="324" spans="1:31" ht="16.5" customHeight="1" x14ac:dyDescent="0.85">
      <c r="A324" s="574"/>
      <c r="B324" s="574"/>
      <c r="C324" s="574"/>
      <c r="D324" s="574"/>
      <c r="E324" s="574"/>
      <c r="F324" s="574"/>
      <c r="G324" s="574"/>
      <c r="H324" s="574"/>
      <c r="I324" s="574"/>
      <c r="J324" s="574"/>
      <c r="K324" s="574"/>
      <c r="L324" s="574"/>
      <c r="M324" s="574"/>
      <c r="N324" s="574"/>
      <c r="O324" s="574"/>
      <c r="P324" s="574"/>
      <c r="Q324" s="574"/>
      <c r="R324" s="574"/>
      <c r="S324" s="574"/>
      <c r="T324" s="574"/>
      <c r="U324" s="574"/>
      <c r="V324" s="574"/>
      <c r="W324" s="574"/>
      <c r="X324" s="574"/>
      <c r="Y324" s="574"/>
      <c r="Z324" s="574"/>
      <c r="AA324" s="574"/>
      <c r="AB324" s="574"/>
      <c r="AC324" s="574"/>
      <c r="AD324" s="574"/>
      <c r="AE324" s="574"/>
    </row>
    <row r="325" spans="1:31" ht="16.5" customHeight="1" x14ac:dyDescent="0.85">
      <c r="A325" s="574"/>
      <c r="B325" s="574"/>
      <c r="C325" s="574"/>
      <c r="D325" s="574"/>
      <c r="E325" s="574"/>
      <c r="F325" s="574"/>
      <c r="G325" s="574"/>
      <c r="H325" s="574"/>
      <c r="I325" s="574"/>
      <c r="J325" s="574"/>
      <c r="K325" s="574"/>
      <c r="L325" s="574"/>
      <c r="M325" s="574"/>
      <c r="N325" s="574"/>
      <c r="O325" s="574"/>
      <c r="P325" s="574"/>
      <c r="Q325" s="574"/>
      <c r="R325" s="574"/>
      <c r="S325" s="574"/>
      <c r="T325" s="574"/>
      <c r="U325" s="574"/>
      <c r="V325" s="574"/>
      <c r="W325" s="574"/>
      <c r="X325" s="574"/>
      <c r="Y325" s="574"/>
      <c r="Z325" s="574"/>
      <c r="AA325" s="574"/>
      <c r="AB325" s="574"/>
      <c r="AC325" s="574"/>
      <c r="AD325" s="574"/>
      <c r="AE325" s="574"/>
    </row>
    <row r="326" spans="1:31" ht="16.5" customHeight="1" x14ac:dyDescent="0.85">
      <c r="A326" s="574"/>
      <c r="B326" s="574"/>
      <c r="C326" s="574"/>
      <c r="D326" s="574"/>
      <c r="E326" s="574"/>
      <c r="F326" s="574"/>
      <c r="G326" s="574"/>
      <c r="H326" s="574"/>
      <c r="I326" s="574"/>
      <c r="J326" s="574"/>
      <c r="K326" s="574"/>
      <c r="L326" s="574"/>
      <c r="M326" s="574"/>
      <c r="N326" s="574"/>
      <c r="O326" s="574"/>
      <c r="P326" s="574"/>
      <c r="Q326" s="574"/>
      <c r="R326" s="574"/>
      <c r="S326" s="574"/>
      <c r="T326" s="574"/>
      <c r="U326" s="574"/>
      <c r="V326" s="574"/>
      <c r="W326" s="574"/>
      <c r="X326" s="574"/>
      <c r="Y326" s="574"/>
      <c r="Z326" s="574"/>
      <c r="AA326" s="574"/>
      <c r="AB326" s="574"/>
      <c r="AC326" s="574"/>
      <c r="AD326" s="574"/>
      <c r="AE326" s="574"/>
    </row>
    <row r="327" spans="1:31" ht="16.5" customHeight="1" x14ac:dyDescent="0.85">
      <c r="A327" s="574"/>
      <c r="B327" s="574"/>
      <c r="C327" s="574"/>
      <c r="D327" s="574"/>
      <c r="E327" s="574"/>
      <c r="F327" s="574"/>
      <c r="G327" s="574"/>
      <c r="H327" s="574"/>
      <c r="I327" s="574"/>
      <c r="J327" s="574"/>
      <c r="K327" s="574"/>
      <c r="L327" s="574"/>
      <c r="M327" s="574"/>
      <c r="N327" s="574"/>
      <c r="O327" s="574"/>
      <c r="P327" s="574"/>
      <c r="Q327" s="574"/>
      <c r="R327" s="574"/>
      <c r="S327" s="574"/>
      <c r="T327" s="574"/>
      <c r="U327" s="574"/>
      <c r="V327" s="574"/>
      <c r="W327" s="574"/>
      <c r="X327" s="574"/>
      <c r="Y327" s="574"/>
      <c r="Z327" s="574"/>
      <c r="AA327" s="574"/>
      <c r="AB327" s="574"/>
      <c r="AC327" s="574"/>
      <c r="AD327" s="574"/>
      <c r="AE327" s="574"/>
    </row>
    <row r="328" spans="1:31" ht="16.5" customHeight="1" x14ac:dyDescent="0.85">
      <c r="A328" s="574"/>
      <c r="B328" s="574"/>
      <c r="C328" s="574"/>
      <c r="D328" s="574"/>
      <c r="E328" s="574"/>
      <c r="F328" s="574"/>
      <c r="G328" s="574"/>
      <c r="H328" s="574"/>
      <c r="I328" s="574"/>
      <c r="J328" s="574"/>
      <c r="K328" s="574"/>
      <c r="L328" s="574"/>
      <c r="M328" s="574"/>
      <c r="N328" s="574"/>
      <c r="O328" s="574"/>
      <c r="P328" s="574"/>
      <c r="Q328" s="574"/>
      <c r="R328" s="574"/>
      <c r="S328" s="574"/>
      <c r="T328" s="574"/>
      <c r="U328" s="574"/>
      <c r="V328" s="574"/>
      <c r="W328" s="574"/>
      <c r="X328" s="574"/>
      <c r="Y328" s="574"/>
      <c r="Z328" s="574"/>
      <c r="AA328" s="574"/>
      <c r="AB328" s="574"/>
      <c r="AC328" s="574"/>
      <c r="AD328" s="574"/>
      <c r="AE328" s="574"/>
    </row>
    <row r="329" spans="1:31" ht="16.5" customHeight="1" x14ac:dyDescent="0.85">
      <c r="A329" s="574"/>
      <c r="B329" s="574"/>
      <c r="C329" s="574"/>
      <c r="D329" s="574"/>
      <c r="E329" s="574"/>
      <c r="F329" s="574"/>
      <c r="G329" s="574"/>
      <c r="H329" s="574"/>
      <c r="I329" s="574"/>
      <c r="J329" s="574"/>
      <c r="K329" s="574"/>
      <c r="L329" s="574"/>
      <c r="M329" s="574"/>
      <c r="N329" s="574"/>
      <c r="O329" s="574"/>
      <c r="P329" s="574"/>
      <c r="Q329" s="574"/>
      <c r="R329" s="574"/>
      <c r="S329" s="574"/>
      <c r="T329" s="574"/>
      <c r="U329" s="574"/>
      <c r="V329" s="574"/>
      <c r="W329" s="574"/>
      <c r="X329" s="574"/>
      <c r="Y329" s="574"/>
      <c r="Z329" s="574"/>
      <c r="AA329" s="574"/>
      <c r="AB329" s="574"/>
      <c r="AC329" s="574"/>
      <c r="AD329" s="574"/>
      <c r="AE329" s="574"/>
    </row>
    <row r="330" spans="1:31" ht="16.5" customHeight="1" x14ac:dyDescent="0.85">
      <c r="A330" s="574"/>
      <c r="B330" s="574"/>
      <c r="C330" s="574"/>
      <c r="D330" s="574"/>
      <c r="E330" s="574"/>
      <c r="F330" s="574"/>
      <c r="G330" s="574"/>
      <c r="H330" s="574"/>
      <c r="I330" s="574"/>
      <c r="J330" s="574"/>
      <c r="K330" s="574"/>
      <c r="L330" s="574"/>
      <c r="M330" s="574"/>
      <c r="N330" s="574"/>
      <c r="O330" s="574"/>
      <c r="P330" s="574"/>
      <c r="Q330" s="574"/>
      <c r="R330" s="574"/>
      <c r="S330" s="574"/>
      <c r="T330" s="574"/>
      <c r="U330" s="574"/>
      <c r="V330" s="574"/>
      <c r="W330" s="574"/>
      <c r="X330" s="574"/>
      <c r="Y330" s="574"/>
      <c r="Z330" s="574"/>
      <c r="AA330" s="574"/>
      <c r="AB330" s="574"/>
      <c r="AC330" s="574"/>
      <c r="AD330" s="574"/>
      <c r="AE330" s="574"/>
    </row>
    <row r="331" spans="1:31" ht="16.5" customHeight="1" x14ac:dyDescent="0.85">
      <c r="A331" s="574"/>
      <c r="B331" s="574"/>
      <c r="C331" s="574"/>
      <c r="D331" s="574"/>
      <c r="E331" s="574"/>
      <c r="F331" s="574"/>
      <c r="G331" s="574"/>
      <c r="H331" s="574"/>
      <c r="I331" s="574"/>
      <c r="J331" s="574"/>
      <c r="K331" s="574"/>
      <c r="L331" s="574"/>
      <c r="M331" s="574"/>
      <c r="N331" s="574"/>
      <c r="O331" s="574"/>
      <c r="P331" s="574"/>
      <c r="Q331" s="574"/>
      <c r="R331" s="574"/>
      <c r="S331" s="574"/>
      <c r="T331" s="574"/>
      <c r="U331" s="574"/>
      <c r="V331" s="574"/>
      <c r="W331" s="574"/>
      <c r="X331" s="574"/>
      <c r="Y331" s="574"/>
      <c r="Z331" s="574"/>
      <c r="AA331" s="574"/>
      <c r="AB331" s="574"/>
      <c r="AC331" s="574"/>
      <c r="AD331" s="574"/>
      <c r="AE331" s="574"/>
    </row>
    <row r="332" spans="1:31" ht="16.5" customHeight="1" x14ac:dyDescent="0.85">
      <c r="A332" s="574"/>
      <c r="B332" s="574"/>
      <c r="C332" s="574"/>
      <c r="D332" s="574"/>
      <c r="E332" s="574"/>
      <c r="F332" s="574"/>
      <c r="G332" s="574"/>
      <c r="H332" s="574"/>
      <c r="I332" s="574"/>
      <c r="J332" s="574"/>
      <c r="K332" s="574"/>
      <c r="L332" s="574"/>
      <c r="M332" s="574"/>
      <c r="N332" s="574"/>
      <c r="O332" s="574"/>
      <c r="P332" s="574"/>
      <c r="Q332" s="574"/>
      <c r="R332" s="574"/>
      <c r="S332" s="574"/>
      <c r="T332" s="574"/>
      <c r="U332" s="574"/>
      <c r="V332" s="574"/>
      <c r="W332" s="574"/>
      <c r="X332" s="574"/>
      <c r="Y332" s="574"/>
      <c r="Z332" s="574"/>
      <c r="AA332" s="574"/>
      <c r="AB332" s="574"/>
      <c r="AC332" s="574"/>
      <c r="AD332" s="574"/>
      <c r="AE332" s="574"/>
    </row>
    <row r="333" spans="1:31" ht="16.5" customHeight="1" x14ac:dyDescent="0.85">
      <c r="A333" s="574"/>
      <c r="B333" s="574"/>
      <c r="C333" s="574"/>
      <c r="D333" s="574"/>
      <c r="E333" s="574"/>
      <c r="F333" s="574"/>
      <c r="G333" s="574"/>
      <c r="H333" s="574"/>
      <c r="I333" s="574"/>
      <c r="J333" s="574"/>
      <c r="K333" s="574"/>
      <c r="L333" s="574"/>
      <c r="M333" s="574"/>
      <c r="N333" s="574"/>
      <c r="O333" s="574"/>
      <c r="P333" s="574"/>
      <c r="Q333" s="574"/>
      <c r="R333" s="574"/>
      <c r="S333" s="574"/>
      <c r="T333" s="574"/>
      <c r="U333" s="574"/>
      <c r="V333" s="574"/>
      <c r="W333" s="574"/>
      <c r="X333" s="574"/>
      <c r="Y333" s="574"/>
      <c r="Z333" s="574"/>
      <c r="AA333" s="574"/>
      <c r="AB333" s="574"/>
      <c r="AC333" s="574"/>
      <c r="AD333" s="574"/>
      <c r="AE333" s="574"/>
    </row>
    <row r="334" spans="1:31" ht="16.5" customHeight="1" x14ac:dyDescent="0.85">
      <c r="A334" s="574"/>
      <c r="B334" s="574"/>
      <c r="C334" s="574"/>
      <c r="D334" s="574"/>
      <c r="E334" s="574"/>
      <c r="F334" s="574"/>
      <c r="G334" s="574"/>
      <c r="H334" s="574"/>
      <c r="I334" s="574"/>
      <c r="J334" s="574"/>
      <c r="K334" s="574"/>
      <c r="L334" s="574"/>
      <c r="M334" s="574"/>
      <c r="N334" s="574"/>
      <c r="O334" s="574"/>
      <c r="P334" s="574"/>
      <c r="Q334" s="574"/>
      <c r="R334" s="574"/>
      <c r="S334" s="574"/>
      <c r="T334" s="574"/>
      <c r="U334" s="574"/>
      <c r="V334" s="574"/>
      <c r="W334" s="574"/>
      <c r="X334" s="574"/>
      <c r="Y334" s="574"/>
      <c r="Z334" s="574"/>
      <c r="AA334" s="574"/>
      <c r="AB334" s="574"/>
      <c r="AC334" s="574"/>
      <c r="AD334" s="574"/>
      <c r="AE334" s="574"/>
    </row>
    <row r="335" spans="1:31" ht="16.5" customHeight="1" x14ac:dyDescent="0.85">
      <c r="A335" s="574"/>
      <c r="B335" s="574"/>
      <c r="C335" s="574"/>
      <c r="D335" s="574"/>
      <c r="E335" s="574"/>
      <c r="F335" s="574"/>
      <c r="G335" s="574"/>
      <c r="H335" s="574"/>
      <c r="I335" s="574"/>
      <c r="J335" s="574"/>
      <c r="K335" s="574"/>
      <c r="L335" s="574"/>
      <c r="M335" s="574"/>
      <c r="N335" s="574"/>
      <c r="O335" s="574"/>
      <c r="P335" s="574"/>
      <c r="Q335" s="574"/>
      <c r="R335" s="574"/>
      <c r="S335" s="574"/>
      <c r="T335" s="574"/>
      <c r="U335" s="574"/>
      <c r="V335" s="574"/>
      <c r="W335" s="574"/>
      <c r="X335" s="574"/>
      <c r="Y335" s="574"/>
      <c r="Z335" s="574"/>
      <c r="AA335" s="574"/>
      <c r="AB335" s="574"/>
      <c r="AC335" s="574"/>
      <c r="AD335" s="574"/>
      <c r="AE335" s="574"/>
    </row>
    <row r="336" spans="1:31" ht="16.5" customHeight="1" x14ac:dyDescent="0.85">
      <c r="A336" s="574"/>
      <c r="B336" s="574"/>
      <c r="C336" s="574"/>
      <c r="D336" s="574"/>
      <c r="E336" s="574"/>
      <c r="F336" s="574"/>
      <c r="G336" s="574"/>
      <c r="H336" s="574"/>
      <c r="I336" s="574"/>
      <c r="J336" s="574"/>
      <c r="K336" s="574"/>
      <c r="L336" s="574"/>
      <c r="M336" s="574"/>
      <c r="N336" s="574"/>
      <c r="O336" s="574"/>
      <c r="P336" s="574"/>
      <c r="Q336" s="574"/>
      <c r="R336" s="574"/>
      <c r="S336" s="574"/>
      <c r="T336" s="574"/>
      <c r="U336" s="574"/>
      <c r="V336" s="574"/>
      <c r="W336" s="574"/>
      <c r="X336" s="574"/>
      <c r="Y336" s="574"/>
      <c r="Z336" s="574"/>
      <c r="AA336" s="574"/>
      <c r="AB336" s="574"/>
      <c r="AC336" s="574"/>
      <c r="AD336" s="574"/>
      <c r="AE336" s="574"/>
    </row>
    <row r="337" spans="1:31" ht="16.5" customHeight="1" x14ac:dyDescent="0.85">
      <c r="A337" s="574"/>
      <c r="B337" s="574"/>
      <c r="C337" s="574"/>
      <c r="D337" s="574"/>
      <c r="E337" s="574"/>
      <c r="F337" s="574"/>
      <c r="G337" s="574"/>
      <c r="H337" s="574"/>
      <c r="I337" s="574"/>
      <c r="J337" s="574"/>
      <c r="K337" s="574"/>
      <c r="L337" s="574"/>
      <c r="M337" s="574"/>
      <c r="N337" s="574"/>
      <c r="O337" s="574"/>
      <c r="P337" s="574"/>
      <c r="Q337" s="574"/>
      <c r="R337" s="574"/>
      <c r="S337" s="574"/>
      <c r="T337" s="574"/>
      <c r="U337" s="574"/>
      <c r="V337" s="574"/>
      <c r="W337" s="574"/>
      <c r="X337" s="574"/>
      <c r="Y337" s="574"/>
      <c r="Z337" s="574"/>
      <c r="AA337" s="574"/>
      <c r="AB337" s="574"/>
      <c r="AC337" s="574"/>
      <c r="AD337" s="574"/>
      <c r="AE337" s="574"/>
    </row>
    <row r="338" spans="1:31" ht="16.5" customHeight="1" x14ac:dyDescent="0.85">
      <c r="A338" s="574"/>
      <c r="B338" s="574"/>
      <c r="C338" s="574"/>
      <c r="D338" s="574"/>
      <c r="E338" s="574"/>
      <c r="F338" s="574"/>
      <c r="G338" s="574"/>
      <c r="H338" s="574"/>
      <c r="I338" s="574"/>
      <c r="J338" s="574"/>
      <c r="K338" s="574"/>
      <c r="L338" s="574"/>
      <c r="M338" s="574"/>
      <c r="N338" s="574"/>
      <c r="O338" s="574"/>
      <c r="P338" s="574"/>
      <c r="Q338" s="574"/>
      <c r="R338" s="574"/>
      <c r="S338" s="574"/>
      <c r="T338" s="574"/>
      <c r="U338" s="574"/>
      <c r="V338" s="574"/>
      <c r="W338" s="574"/>
      <c r="X338" s="574"/>
      <c r="Y338" s="574"/>
      <c r="Z338" s="574"/>
      <c r="AA338" s="574"/>
      <c r="AB338" s="574"/>
      <c r="AC338" s="574"/>
      <c r="AD338" s="574"/>
      <c r="AE338" s="574"/>
    </row>
    <row r="339" spans="1:31" ht="16.5" customHeight="1" x14ac:dyDescent="0.85">
      <c r="A339" s="574"/>
      <c r="B339" s="574"/>
      <c r="C339" s="574"/>
      <c r="D339" s="574"/>
      <c r="E339" s="574"/>
      <c r="F339" s="574"/>
      <c r="G339" s="574"/>
      <c r="H339" s="574"/>
      <c r="I339" s="574"/>
      <c r="J339" s="574"/>
      <c r="K339" s="574"/>
      <c r="L339" s="574"/>
      <c r="M339" s="574"/>
      <c r="N339" s="574"/>
      <c r="O339" s="574"/>
      <c r="P339" s="574"/>
      <c r="Q339" s="574"/>
      <c r="R339" s="574"/>
      <c r="S339" s="574"/>
      <c r="T339" s="574"/>
      <c r="U339" s="574"/>
      <c r="V339" s="574"/>
      <c r="W339" s="574"/>
      <c r="X339" s="574"/>
      <c r="Y339" s="574"/>
      <c r="Z339" s="574"/>
      <c r="AA339" s="574"/>
      <c r="AB339" s="574"/>
      <c r="AC339" s="574"/>
      <c r="AD339" s="574"/>
      <c r="AE339" s="574"/>
    </row>
    <row r="340" spans="1:31" ht="16.5" customHeight="1" x14ac:dyDescent="0.85">
      <c r="A340" s="574"/>
      <c r="B340" s="574"/>
      <c r="C340" s="574"/>
      <c r="D340" s="574"/>
      <c r="E340" s="574"/>
      <c r="F340" s="574"/>
      <c r="G340" s="574"/>
      <c r="H340" s="574"/>
      <c r="I340" s="574"/>
      <c r="J340" s="574"/>
      <c r="K340" s="574"/>
      <c r="L340" s="574"/>
      <c r="M340" s="574"/>
      <c r="N340" s="574"/>
      <c r="O340" s="574"/>
      <c r="P340" s="574"/>
      <c r="Q340" s="574"/>
      <c r="R340" s="574"/>
      <c r="S340" s="574"/>
      <c r="T340" s="574"/>
      <c r="U340" s="574"/>
      <c r="V340" s="574"/>
      <c r="W340" s="574"/>
      <c r="X340" s="574"/>
      <c r="Y340" s="574"/>
      <c r="Z340" s="574"/>
      <c r="AA340" s="574"/>
      <c r="AB340" s="574"/>
      <c r="AC340" s="574"/>
      <c r="AD340" s="574"/>
      <c r="AE340" s="574"/>
    </row>
    <row r="341" spans="1:31" ht="16.5" customHeight="1" x14ac:dyDescent="0.85">
      <c r="A341" s="574"/>
      <c r="B341" s="574"/>
      <c r="C341" s="574"/>
      <c r="D341" s="574"/>
      <c r="E341" s="574"/>
      <c r="F341" s="574"/>
      <c r="G341" s="574"/>
      <c r="H341" s="574"/>
      <c r="I341" s="574"/>
      <c r="J341" s="574"/>
      <c r="K341" s="574"/>
      <c r="L341" s="574"/>
      <c r="M341" s="574"/>
      <c r="N341" s="574"/>
      <c r="O341" s="574"/>
      <c r="P341" s="574"/>
      <c r="Q341" s="574"/>
      <c r="R341" s="574"/>
      <c r="S341" s="574"/>
      <c r="T341" s="574"/>
      <c r="U341" s="574"/>
      <c r="V341" s="574"/>
      <c r="W341" s="574"/>
      <c r="X341" s="574"/>
      <c r="Y341" s="574"/>
      <c r="Z341" s="574"/>
      <c r="AA341" s="574"/>
      <c r="AB341" s="574"/>
      <c r="AC341" s="574"/>
      <c r="AD341" s="574"/>
      <c r="AE341" s="574"/>
    </row>
    <row r="342" spans="1:31" ht="16.5" customHeight="1" x14ac:dyDescent="0.85">
      <c r="A342" s="574"/>
      <c r="B342" s="574"/>
      <c r="C342" s="574"/>
      <c r="D342" s="574"/>
      <c r="E342" s="574"/>
      <c r="F342" s="574"/>
      <c r="G342" s="574"/>
      <c r="H342" s="574"/>
      <c r="I342" s="574"/>
      <c r="J342" s="574"/>
      <c r="K342" s="574"/>
      <c r="L342" s="574"/>
      <c r="M342" s="574"/>
      <c r="N342" s="574"/>
      <c r="O342" s="574"/>
      <c r="P342" s="574"/>
      <c r="Q342" s="574"/>
      <c r="R342" s="574"/>
      <c r="S342" s="574"/>
      <c r="T342" s="574"/>
      <c r="U342" s="574"/>
      <c r="V342" s="574"/>
      <c r="W342" s="574"/>
      <c r="X342" s="574"/>
      <c r="Y342" s="574"/>
      <c r="Z342" s="574"/>
      <c r="AA342" s="574"/>
      <c r="AB342" s="574"/>
      <c r="AC342" s="574"/>
      <c r="AD342" s="574"/>
      <c r="AE342" s="574"/>
    </row>
    <row r="343" spans="1:31" ht="16.5" customHeight="1" x14ac:dyDescent="0.85">
      <c r="A343" s="574"/>
      <c r="B343" s="574"/>
      <c r="C343" s="574"/>
      <c r="D343" s="574"/>
      <c r="E343" s="574"/>
      <c r="F343" s="574"/>
      <c r="G343" s="574"/>
      <c r="H343" s="574"/>
      <c r="I343" s="574"/>
      <c r="J343" s="574"/>
      <c r="K343" s="574"/>
      <c r="L343" s="574"/>
      <c r="M343" s="574"/>
      <c r="N343" s="574"/>
      <c r="O343" s="574"/>
      <c r="P343" s="574"/>
      <c r="Q343" s="574"/>
      <c r="R343" s="574"/>
      <c r="S343" s="574"/>
      <c r="T343" s="574"/>
      <c r="U343" s="574"/>
      <c r="V343" s="574"/>
      <c r="W343" s="574"/>
      <c r="X343" s="574"/>
      <c r="Y343" s="574"/>
      <c r="Z343" s="574"/>
      <c r="AA343" s="574"/>
      <c r="AB343" s="574"/>
      <c r="AC343" s="574"/>
      <c r="AD343" s="574"/>
      <c r="AE343" s="574"/>
    </row>
    <row r="344" spans="1:31" ht="16.5" customHeight="1" x14ac:dyDescent="0.85">
      <c r="A344" s="574"/>
      <c r="B344" s="574"/>
      <c r="C344" s="574"/>
      <c r="D344" s="574"/>
      <c r="E344" s="574"/>
      <c r="F344" s="574"/>
      <c r="G344" s="574"/>
      <c r="H344" s="574"/>
      <c r="I344" s="574"/>
      <c r="J344" s="574"/>
      <c r="K344" s="574"/>
      <c r="L344" s="574"/>
      <c r="M344" s="574"/>
      <c r="N344" s="574"/>
      <c r="O344" s="574"/>
      <c r="P344" s="574"/>
      <c r="Q344" s="574"/>
      <c r="R344" s="574"/>
      <c r="S344" s="574"/>
      <c r="T344" s="574"/>
      <c r="U344" s="574"/>
      <c r="V344" s="574"/>
      <c r="W344" s="574"/>
      <c r="X344" s="574"/>
      <c r="Y344" s="574"/>
      <c r="Z344" s="574"/>
      <c r="AA344" s="574"/>
      <c r="AB344" s="574"/>
      <c r="AC344" s="574"/>
      <c r="AD344" s="574"/>
      <c r="AE344" s="574"/>
    </row>
    <row r="345" spans="1:31" ht="16.5" customHeight="1" x14ac:dyDescent="0.85">
      <c r="A345" s="574"/>
      <c r="B345" s="574"/>
      <c r="C345" s="574"/>
      <c r="D345" s="574"/>
      <c r="E345" s="574"/>
      <c r="F345" s="574"/>
      <c r="G345" s="574"/>
      <c r="H345" s="574"/>
      <c r="I345" s="574"/>
      <c r="J345" s="574"/>
      <c r="K345" s="574"/>
      <c r="L345" s="574"/>
      <c r="M345" s="574"/>
      <c r="N345" s="574"/>
      <c r="O345" s="574"/>
      <c r="P345" s="574"/>
      <c r="Q345" s="574"/>
      <c r="R345" s="574"/>
      <c r="S345" s="574"/>
      <c r="T345" s="574"/>
      <c r="U345" s="574"/>
      <c r="V345" s="574"/>
      <c r="W345" s="574"/>
      <c r="X345" s="574"/>
      <c r="Y345" s="574"/>
      <c r="Z345" s="574"/>
      <c r="AA345" s="574"/>
      <c r="AB345" s="574"/>
      <c r="AC345" s="574"/>
      <c r="AD345" s="574"/>
      <c r="AE345" s="574"/>
    </row>
    <row r="346" spans="1:31" ht="16.5" customHeight="1" x14ac:dyDescent="0.85">
      <c r="A346" s="574"/>
      <c r="B346" s="574"/>
      <c r="C346" s="574"/>
      <c r="D346" s="574"/>
      <c r="E346" s="574"/>
      <c r="F346" s="574"/>
      <c r="G346" s="574"/>
      <c r="H346" s="574"/>
      <c r="I346" s="574"/>
      <c r="J346" s="574"/>
      <c r="K346" s="574"/>
      <c r="L346" s="574"/>
      <c r="M346" s="574"/>
      <c r="N346" s="574"/>
      <c r="O346" s="574"/>
      <c r="P346" s="574"/>
      <c r="Q346" s="574"/>
      <c r="R346" s="574"/>
      <c r="S346" s="574"/>
      <c r="T346" s="574"/>
      <c r="U346" s="574"/>
      <c r="V346" s="574"/>
      <c r="W346" s="574"/>
      <c r="X346" s="574"/>
      <c r="Y346" s="574"/>
      <c r="Z346" s="574"/>
      <c r="AA346" s="574"/>
      <c r="AB346" s="574"/>
      <c r="AC346" s="574"/>
      <c r="AD346" s="574"/>
      <c r="AE346" s="574"/>
    </row>
    <row r="347" spans="1:31" ht="16.5" customHeight="1" x14ac:dyDescent="0.85">
      <c r="A347" s="574"/>
      <c r="B347" s="574"/>
      <c r="C347" s="574"/>
      <c r="D347" s="574"/>
      <c r="E347" s="574"/>
      <c r="F347" s="574"/>
      <c r="G347" s="574"/>
      <c r="H347" s="574"/>
      <c r="I347" s="574"/>
      <c r="J347" s="574"/>
      <c r="K347" s="574"/>
      <c r="L347" s="574"/>
      <c r="M347" s="574"/>
      <c r="N347" s="574"/>
      <c r="O347" s="574"/>
      <c r="P347" s="574"/>
      <c r="Q347" s="574"/>
      <c r="R347" s="574"/>
      <c r="S347" s="574"/>
      <c r="T347" s="574"/>
      <c r="U347" s="574"/>
      <c r="V347" s="574"/>
      <c r="W347" s="574"/>
      <c r="X347" s="574"/>
      <c r="Y347" s="574"/>
      <c r="Z347" s="574"/>
      <c r="AA347" s="574"/>
      <c r="AB347" s="574"/>
      <c r="AC347" s="574"/>
      <c r="AD347" s="574"/>
      <c r="AE347" s="574"/>
    </row>
    <row r="348" spans="1:31" ht="16.5" customHeight="1" x14ac:dyDescent="0.85">
      <c r="A348" s="574"/>
      <c r="B348" s="574"/>
      <c r="C348" s="574"/>
      <c r="D348" s="574"/>
      <c r="E348" s="574"/>
      <c r="F348" s="574"/>
      <c r="G348" s="574"/>
      <c r="H348" s="574"/>
      <c r="I348" s="574"/>
      <c r="J348" s="574"/>
      <c r="K348" s="574"/>
      <c r="L348" s="574"/>
      <c r="M348" s="574"/>
      <c r="N348" s="574"/>
      <c r="O348" s="574"/>
      <c r="P348" s="574"/>
      <c r="Q348" s="574"/>
      <c r="R348" s="574"/>
      <c r="S348" s="574"/>
      <c r="T348" s="574"/>
      <c r="U348" s="574"/>
      <c r="V348" s="574"/>
      <c r="W348" s="574"/>
      <c r="X348" s="574"/>
      <c r="Y348" s="574"/>
      <c r="Z348" s="574"/>
      <c r="AA348" s="574"/>
      <c r="AB348" s="574"/>
      <c r="AC348" s="574"/>
      <c r="AD348" s="574"/>
      <c r="AE348" s="574"/>
    </row>
    <row r="349" spans="1:31" ht="16.5" customHeight="1" x14ac:dyDescent="0.85">
      <c r="A349" s="574"/>
      <c r="B349" s="574"/>
      <c r="C349" s="574"/>
      <c r="D349" s="574"/>
      <c r="E349" s="574"/>
      <c r="F349" s="574"/>
      <c r="G349" s="574"/>
      <c r="H349" s="574"/>
      <c r="I349" s="574"/>
      <c r="J349" s="574"/>
      <c r="K349" s="574"/>
      <c r="L349" s="574"/>
      <c r="M349" s="574"/>
      <c r="N349" s="574"/>
      <c r="O349" s="574"/>
      <c r="P349" s="574"/>
      <c r="Q349" s="574"/>
      <c r="R349" s="574"/>
      <c r="S349" s="574"/>
      <c r="T349" s="574"/>
      <c r="U349" s="574"/>
      <c r="V349" s="574"/>
      <c r="W349" s="574"/>
      <c r="X349" s="574"/>
      <c r="Y349" s="574"/>
      <c r="Z349" s="574"/>
      <c r="AA349" s="574"/>
      <c r="AB349" s="574"/>
      <c r="AC349" s="574"/>
      <c r="AD349" s="574"/>
      <c r="AE349" s="574"/>
    </row>
    <row r="350" spans="1:31" ht="16.5" customHeight="1" x14ac:dyDescent="0.85">
      <c r="A350" s="574"/>
      <c r="B350" s="574"/>
      <c r="C350" s="574"/>
      <c r="D350" s="574"/>
      <c r="E350" s="574"/>
      <c r="F350" s="574"/>
      <c r="G350" s="574"/>
      <c r="H350" s="574"/>
      <c r="I350" s="574"/>
      <c r="J350" s="574"/>
      <c r="K350" s="574"/>
      <c r="L350" s="574"/>
      <c r="M350" s="574"/>
      <c r="N350" s="574"/>
      <c r="O350" s="574"/>
      <c r="P350" s="574"/>
      <c r="Q350" s="574"/>
      <c r="R350" s="574"/>
      <c r="S350" s="574"/>
      <c r="T350" s="574"/>
      <c r="U350" s="574"/>
      <c r="V350" s="574"/>
      <c r="W350" s="574"/>
      <c r="X350" s="574"/>
      <c r="Y350" s="574"/>
      <c r="Z350" s="574"/>
      <c r="AA350" s="574"/>
      <c r="AB350" s="574"/>
      <c r="AC350" s="574"/>
      <c r="AD350" s="574"/>
      <c r="AE350" s="574"/>
    </row>
    <row r="351" spans="1:31" ht="16.5" customHeight="1" x14ac:dyDescent="0.85">
      <c r="A351" s="574"/>
      <c r="B351" s="574"/>
      <c r="C351" s="574"/>
      <c r="D351" s="574"/>
      <c r="E351" s="574"/>
      <c r="F351" s="574"/>
      <c r="G351" s="574"/>
      <c r="H351" s="574"/>
      <c r="I351" s="574"/>
      <c r="J351" s="574"/>
      <c r="K351" s="574"/>
      <c r="L351" s="574"/>
      <c r="M351" s="574"/>
      <c r="N351" s="574"/>
      <c r="O351" s="574"/>
      <c r="P351" s="574"/>
      <c r="Q351" s="574"/>
      <c r="R351" s="574"/>
      <c r="S351" s="574"/>
      <c r="T351" s="574"/>
      <c r="U351" s="574"/>
      <c r="V351" s="574"/>
      <c r="W351" s="574"/>
      <c r="X351" s="574"/>
      <c r="Y351" s="574"/>
      <c r="Z351" s="574"/>
      <c r="AA351" s="574"/>
      <c r="AB351" s="574"/>
      <c r="AC351" s="574"/>
      <c r="AD351" s="574"/>
      <c r="AE351" s="574"/>
    </row>
    <row r="352" spans="1:31" ht="16.5" customHeight="1" x14ac:dyDescent="0.85">
      <c r="A352" s="574"/>
      <c r="B352" s="574"/>
      <c r="C352" s="574"/>
      <c r="D352" s="574"/>
      <c r="E352" s="574"/>
      <c r="F352" s="574"/>
      <c r="G352" s="574"/>
      <c r="H352" s="574"/>
      <c r="I352" s="574"/>
      <c r="J352" s="574"/>
      <c r="K352" s="574"/>
      <c r="L352" s="574"/>
      <c r="M352" s="574"/>
      <c r="N352" s="574"/>
      <c r="O352" s="574"/>
      <c r="P352" s="574"/>
      <c r="Q352" s="574"/>
      <c r="R352" s="574"/>
      <c r="S352" s="574"/>
      <c r="T352" s="574"/>
      <c r="U352" s="574"/>
      <c r="V352" s="574"/>
      <c r="W352" s="574"/>
      <c r="X352" s="574"/>
      <c r="Y352" s="574"/>
      <c r="Z352" s="574"/>
      <c r="AA352" s="574"/>
      <c r="AB352" s="574"/>
      <c r="AC352" s="574"/>
      <c r="AD352" s="574"/>
      <c r="AE352" s="574"/>
    </row>
    <row r="353" spans="1:31" ht="16.5" customHeight="1" x14ac:dyDescent="0.85">
      <c r="A353" s="574"/>
      <c r="B353" s="574"/>
      <c r="C353" s="574"/>
      <c r="D353" s="574"/>
      <c r="E353" s="574"/>
      <c r="F353" s="574"/>
      <c r="G353" s="574"/>
      <c r="H353" s="574"/>
      <c r="I353" s="574"/>
      <c r="J353" s="574"/>
      <c r="K353" s="574"/>
      <c r="L353" s="574"/>
      <c r="M353" s="574"/>
      <c r="N353" s="574"/>
      <c r="O353" s="574"/>
      <c r="P353" s="574"/>
      <c r="Q353" s="574"/>
      <c r="R353" s="574"/>
      <c r="S353" s="574"/>
      <c r="T353" s="574"/>
      <c r="U353" s="574"/>
      <c r="V353" s="574"/>
      <c r="W353" s="574"/>
      <c r="X353" s="574"/>
      <c r="Y353" s="574"/>
      <c r="Z353" s="574"/>
      <c r="AA353" s="574"/>
      <c r="AB353" s="574"/>
      <c r="AC353" s="574"/>
      <c r="AD353" s="574"/>
      <c r="AE353" s="574"/>
    </row>
    <row r="354" spans="1:31" ht="16.5" customHeight="1" x14ac:dyDescent="0.85">
      <c r="A354" s="574"/>
      <c r="B354" s="574"/>
      <c r="C354" s="574"/>
      <c r="D354" s="574"/>
      <c r="E354" s="574"/>
      <c r="F354" s="574"/>
      <c r="G354" s="574"/>
      <c r="H354" s="574"/>
      <c r="I354" s="574"/>
      <c r="J354" s="574"/>
      <c r="K354" s="574"/>
      <c r="L354" s="574"/>
      <c r="M354" s="574"/>
      <c r="N354" s="574"/>
      <c r="O354" s="574"/>
      <c r="P354" s="574"/>
      <c r="Q354" s="574"/>
      <c r="R354" s="574"/>
      <c r="S354" s="574"/>
      <c r="T354" s="574"/>
      <c r="U354" s="574"/>
      <c r="V354" s="574"/>
      <c r="W354" s="574"/>
      <c r="X354" s="574"/>
      <c r="Y354" s="574"/>
      <c r="Z354" s="574"/>
      <c r="AA354" s="574"/>
      <c r="AB354" s="574"/>
      <c r="AC354" s="574"/>
      <c r="AD354" s="574"/>
      <c r="AE354" s="574"/>
    </row>
    <row r="355" spans="1:31" ht="16.5" customHeight="1" x14ac:dyDescent="0.85">
      <c r="A355" s="574"/>
      <c r="B355" s="574"/>
      <c r="C355" s="574"/>
      <c r="D355" s="574"/>
      <c r="E355" s="574"/>
      <c r="F355" s="574"/>
      <c r="G355" s="574"/>
      <c r="H355" s="574"/>
      <c r="I355" s="574"/>
      <c r="J355" s="574"/>
      <c r="K355" s="574"/>
      <c r="L355" s="574"/>
      <c r="M355" s="574"/>
      <c r="N355" s="574"/>
      <c r="O355" s="574"/>
      <c r="P355" s="574"/>
      <c r="Q355" s="574"/>
      <c r="R355" s="574"/>
      <c r="S355" s="574"/>
      <c r="T355" s="574"/>
      <c r="U355" s="574"/>
      <c r="V355" s="574"/>
      <c r="W355" s="574"/>
      <c r="X355" s="574"/>
      <c r="Y355" s="574"/>
      <c r="Z355" s="574"/>
      <c r="AA355" s="574"/>
      <c r="AB355" s="574"/>
      <c r="AC355" s="574"/>
      <c r="AD355" s="574"/>
      <c r="AE355" s="574"/>
    </row>
    <row r="356" spans="1:31" ht="16.5" customHeight="1" x14ac:dyDescent="0.85">
      <c r="A356" s="574"/>
      <c r="B356" s="574"/>
      <c r="C356" s="574"/>
      <c r="D356" s="574"/>
      <c r="E356" s="574"/>
      <c r="F356" s="574"/>
      <c r="G356" s="574"/>
      <c r="H356" s="574"/>
      <c r="I356" s="574"/>
      <c r="J356" s="574"/>
      <c r="K356" s="574"/>
      <c r="L356" s="574"/>
      <c r="M356" s="574"/>
      <c r="N356" s="574"/>
      <c r="O356" s="574"/>
      <c r="P356" s="574"/>
      <c r="Q356" s="574"/>
      <c r="R356" s="574"/>
      <c r="S356" s="574"/>
      <c r="T356" s="574"/>
      <c r="U356" s="574"/>
      <c r="V356" s="574"/>
      <c r="W356" s="574"/>
      <c r="X356" s="574"/>
      <c r="Y356" s="574"/>
      <c r="Z356" s="574"/>
      <c r="AA356" s="574"/>
      <c r="AB356" s="574"/>
      <c r="AC356" s="574"/>
      <c r="AD356" s="574"/>
      <c r="AE356" s="574"/>
    </row>
    <row r="357" spans="1:31" ht="16.5" customHeight="1" x14ac:dyDescent="0.85">
      <c r="A357" s="574"/>
      <c r="B357" s="574"/>
      <c r="C357" s="574"/>
      <c r="D357" s="574"/>
      <c r="E357" s="574"/>
      <c r="F357" s="574"/>
      <c r="G357" s="574"/>
      <c r="H357" s="574"/>
      <c r="I357" s="574"/>
      <c r="J357" s="574"/>
      <c r="K357" s="574"/>
      <c r="L357" s="574"/>
      <c r="M357" s="574"/>
      <c r="N357" s="574"/>
      <c r="O357" s="574"/>
      <c r="P357" s="574"/>
      <c r="Q357" s="574"/>
      <c r="R357" s="574"/>
      <c r="S357" s="574"/>
      <c r="T357" s="574"/>
      <c r="U357" s="574"/>
      <c r="V357" s="574"/>
      <c r="W357" s="574"/>
      <c r="X357" s="574"/>
      <c r="Y357" s="574"/>
      <c r="Z357" s="574"/>
      <c r="AA357" s="574"/>
      <c r="AB357" s="574"/>
      <c r="AC357" s="574"/>
      <c r="AD357" s="574"/>
      <c r="AE357" s="574"/>
    </row>
    <row r="358" spans="1:31" ht="16.5" customHeight="1" x14ac:dyDescent="0.85">
      <c r="A358" s="574"/>
      <c r="B358" s="574"/>
      <c r="C358" s="574"/>
      <c r="D358" s="574"/>
      <c r="E358" s="574"/>
      <c r="F358" s="574"/>
      <c r="G358" s="574"/>
      <c r="H358" s="574"/>
      <c r="I358" s="574"/>
      <c r="J358" s="574"/>
      <c r="K358" s="574"/>
      <c r="L358" s="574"/>
      <c r="M358" s="574"/>
      <c r="N358" s="574"/>
      <c r="O358" s="574"/>
      <c r="P358" s="574"/>
      <c r="Q358" s="574"/>
      <c r="R358" s="574"/>
      <c r="S358" s="574"/>
      <c r="T358" s="574"/>
      <c r="U358" s="574"/>
      <c r="V358" s="574"/>
      <c r="W358" s="574"/>
      <c r="X358" s="574"/>
      <c r="Y358" s="574"/>
      <c r="Z358" s="574"/>
      <c r="AA358" s="574"/>
      <c r="AB358" s="574"/>
      <c r="AC358" s="574"/>
      <c r="AD358" s="574"/>
      <c r="AE358" s="574"/>
    </row>
    <row r="359" spans="1:31" ht="16.5" customHeight="1" x14ac:dyDescent="0.85">
      <c r="A359" s="574"/>
      <c r="B359" s="574"/>
      <c r="C359" s="574"/>
      <c r="D359" s="574"/>
      <c r="E359" s="574"/>
      <c r="F359" s="574"/>
      <c r="G359" s="574"/>
      <c r="H359" s="574"/>
      <c r="I359" s="574"/>
      <c r="J359" s="574"/>
      <c r="K359" s="574"/>
      <c r="L359" s="574"/>
      <c r="M359" s="574"/>
      <c r="N359" s="574"/>
      <c r="O359" s="574"/>
      <c r="P359" s="574"/>
      <c r="Q359" s="574"/>
      <c r="R359" s="574"/>
      <c r="S359" s="574"/>
      <c r="T359" s="574"/>
      <c r="U359" s="574"/>
      <c r="V359" s="574"/>
      <c r="W359" s="574"/>
      <c r="X359" s="574"/>
      <c r="Y359" s="574"/>
      <c r="Z359" s="574"/>
      <c r="AA359" s="574"/>
      <c r="AB359" s="574"/>
      <c r="AC359" s="574"/>
      <c r="AD359" s="574"/>
      <c r="AE359" s="574"/>
    </row>
    <row r="360" spans="1:31" ht="16.5" customHeight="1" x14ac:dyDescent="0.85">
      <c r="A360" s="574"/>
      <c r="B360" s="574"/>
      <c r="C360" s="574"/>
      <c r="D360" s="574"/>
      <c r="E360" s="574"/>
      <c r="F360" s="574"/>
      <c r="G360" s="574"/>
      <c r="H360" s="574"/>
      <c r="I360" s="574"/>
      <c r="J360" s="574"/>
      <c r="K360" s="574"/>
      <c r="L360" s="574"/>
      <c r="M360" s="574"/>
      <c r="N360" s="574"/>
      <c r="O360" s="574"/>
      <c r="P360" s="574"/>
      <c r="Q360" s="574"/>
      <c r="R360" s="574"/>
      <c r="S360" s="574"/>
      <c r="T360" s="574"/>
      <c r="U360" s="574"/>
      <c r="V360" s="574"/>
      <c r="W360" s="574"/>
      <c r="X360" s="574"/>
      <c r="Y360" s="574"/>
      <c r="Z360" s="574"/>
      <c r="AA360" s="574"/>
      <c r="AB360" s="574"/>
      <c r="AC360" s="574"/>
      <c r="AD360" s="574"/>
      <c r="AE360" s="574"/>
    </row>
    <row r="361" spans="1:31" ht="16.5" customHeight="1" x14ac:dyDescent="0.85">
      <c r="A361" s="574"/>
      <c r="B361" s="574"/>
      <c r="C361" s="574"/>
      <c r="D361" s="574"/>
      <c r="E361" s="574"/>
      <c r="F361" s="574"/>
      <c r="G361" s="574"/>
      <c r="H361" s="574"/>
      <c r="I361" s="574"/>
      <c r="J361" s="574"/>
      <c r="K361" s="574"/>
      <c r="L361" s="574"/>
      <c r="M361" s="574"/>
      <c r="N361" s="574"/>
      <c r="O361" s="574"/>
      <c r="P361" s="574"/>
      <c r="Q361" s="574"/>
      <c r="R361" s="574"/>
      <c r="S361" s="574"/>
      <c r="T361" s="574"/>
      <c r="U361" s="574"/>
      <c r="V361" s="574"/>
      <c r="W361" s="574"/>
      <c r="X361" s="574"/>
      <c r="Y361" s="574"/>
      <c r="Z361" s="574"/>
      <c r="AA361" s="574"/>
      <c r="AB361" s="574"/>
      <c r="AC361" s="574"/>
      <c r="AD361" s="574"/>
      <c r="AE361" s="574"/>
    </row>
    <row r="362" spans="1:31" ht="16.5" customHeight="1" x14ac:dyDescent="0.85">
      <c r="A362" s="574"/>
      <c r="B362" s="574"/>
      <c r="C362" s="574"/>
      <c r="D362" s="574"/>
      <c r="E362" s="574"/>
      <c r="F362" s="574"/>
      <c r="G362" s="574"/>
      <c r="H362" s="574"/>
      <c r="I362" s="574"/>
      <c r="J362" s="574"/>
      <c r="K362" s="574"/>
      <c r="L362" s="574"/>
      <c r="M362" s="574"/>
      <c r="N362" s="574"/>
      <c r="O362" s="574"/>
      <c r="P362" s="574"/>
      <c r="Q362" s="574"/>
      <c r="R362" s="574"/>
      <c r="S362" s="574"/>
      <c r="T362" s="574"/>
      <c r="U362" s="574"/>
      <c r="V362" s="574"/>
      <c r="W362" s="574"/>
      <c r="X362" s="574"/>
      <c r="Y362" s="574"/>
      <c r="Z362" s="574"/>
      <c r="AA362" s="574"/>
      <c r="AB362" s="574"/>
      <c r="AC362" s="574"/>
      <c r="AD362" s="574"/>
      <c r="AE362" s="574"/>
    </row>
    <row r="363" spans="1:31" ht="16.5" customHeight="1" x14ac:dyDescent="0.85">
      <c r="A363" s="574"/>
      <c r="B363" s="574"/>
      <c r="C363" s="574"/>
      <c r="D363" s="574"/>
      <c r="E363" s="574"/>
      <c r="F363" s="574"/>
      <c r="G363" s="574"/>
      <c r="H363" s="574"/>
      <c r="I363" s="574"/>
      <c r="J363" s="574"/>
      <c r="K363" s="574"/>
      <c r="L363" s="574"/>
      <c r="M363" s="574"/>
      <c r="N363" s="574"/>
      <c r="O363" s="574"/>
      <c r="P363" s="574"/>
      <c r="Q363" s="574"/>
      <c r="R363" s="574"/>
      <c r="S363" s="574"/>
      <c r="T363" s="574"/>
      <c r="U363" s="574"/>
      <c r="V363" s="574"/>
      <c r="W363" s="574"/>
      <c r="X363" s="574"/>
      <c r="Y363" s="574"/>
      <c r="Z363" s="574"/>
      <c r="AA363" s="574"/>
      <c r="AB363" s="574"/>
      <c r="AC363" s="574"/>
      <c r="AD363" s="574"/>
      <c r="AE363" s="574"/>
    </row>
    <row r="364" spans="1:31" ht="16.5" customHeight="1" x14ac:dyDescent="0.85">
      <c r="A364" s="574"/>
      <c r="B364" s="574"/>
      <c r="C364" s="574"/>
      <c r="D364" s="574"/>
      <c r="E364" s="574"/>
      <c r="F364" s="574"/>
      <c r="G364" s="574"/>
      <c r="H364" s="574"/>
      <c r="I364" s="574"/>
      <c r="J364" s="574"/>
      <c r="K364" s="574"/>
      <c r="L364" s="574"/>
      <c r="M364" s="574"/>
      <c r="N364" s="574"/>
      <c r="O364" s="574"/>
      <c r="P364" s="574"/>
      <c r="Q364" s="574"/>
      <c r="R364" s="574"/>
      <c r="S364" s="574"/>
      <c r="T364" s="574"/>
      <c r="U364" s="574"/>
      <c r="V364" s="574"/>
      <c r="W364" s="574"/>
      <c r="X364" s="574"/>
      <c r="Y364" s="574"/>
      <c r="Z364" s="574"/>
      <c r="AA364" s="574"/>
      <c r="AB364" s="574"/>
      <c r="AC364" s="574"/>
      <c r="AD364" s="574"/>
      <c r="AE364" s="574"/>
    </row>
    <row r="365" spans="1:31" ht="16.5" customHeight="1" x14ac:dyDescent="0.85">
      <c r="A365" s="574"/>
      <c r="B365" s="574"/>
      <c r="C365" s="574"/>
      <c r="D365" s="574"/>
      <c r="E365" s="574"/>
      <c r="F365" s="574"/>
      <c r="G365" s="574"/>
      <c r="H365" s="574"/>
      <c r="I365" s="574"/>
      <c r="J365" s="574"/>
      <c r="K365" s="574"/>
      <c r="L365" s="574"/>
      <c r="M365" s="574"/>
      <c r="N365" s="574"/>
      <c r="O365" s="574"/>
      <c r="P365" s="574"/>
      <c r="Q365" s="574"/>
      <c r="R365" s="574"/>
      <c r="S365" s="574"/>
      <c r="T365" s="574"/>
      <c r="U365" s="574"/>
      <c r="V365" s="574"/>
      <c r="W365" s="574"/>
      <c r="X365" s="574"/>
      <c r="Y365" s="574"/>
      <c r="Z365" s="574"/>
      <c r="AA365" s="574"/>
      <c r="AB365" s="574"/>
      <c r="AC365" s="574"/>
      <c r="AD365" s="574"/>
      <c r="AE365" s="574"/>
    </row>
    <row r="366" spans="1:31" ht="16.5" customHeight="1" x14ac:dyDescent="0.85">
      <c r="A366" s="574"/>
      <c r="B366" s="574"/>
      <c r="C366" s="574"/>
      <c r="D366" s="574"/>
      <c r="E366" s="574"/>
      <c r="F366" s="574"/>
      <c r="G366" s="574"/>
      <c r="H366" s="574"/>
      <c r="I366" s="574"/>
      <c r="J366" s="574"/>
      <c r="K366" s="574"/>
      <c r="L366" s="574"/>
      <c r="M366" s="574"/>
      <c r="N366" s="574"/>
      <c r="O366" s="574"/>
      <c r="P366" s="574"/>
      <c r="Q366" s="574"/>
      <c r="R366" s="574"/>
      <c r="S366" s="574"/>
      <c r="T366" s="574"/>
      <c r="U366" s="574"/>
      <c r="V366" s="574"/>
      <c r="W366" s="574"/>
      <c r="X366" s="574"/>
      <c r="Y366" s="574"/>
      <c r="Z366" s="574"/>
      <c r="AA366" s="574"/>
      <c r="AB366" s="574"/>
      <c r="AC366" s="574"/>
      <c r="AD366" s="574"/>
      <c r="AE366" s="574"/>
    </row>
    <row r="367" spans="1:31" ht="16.5" customHeight="1" x14ac:dyDescent="0.85">
      <c r="A367" s="574"/>
      <c r="B367" s="574"/>
      <c r="C367" s="574"/>
      <c r="D367" s="574"/>
      <c r="E367" s="574"/>
      <c r="F367" s="574"/>
      <c r="G367" s="574"/>
      <c r="H367" s="574"/>
      <c r="I367" s="574"/>
      <c r="J367" s="574"/>
      <c r="K367" s="574"/>
      <c r="L367" s="574"/>
      <c r="M367" s="574"/>
      <c r="N367" s="574"/>
      <c r="O367" s="574"/>
      <c r="P367" s="574"/>
      <c r="Q367" s="574"/>
      <c r="R367" s="574"/>
      <c r="S367" s="574"/>
      <c r="T367" s="574"/>
      <c r="U367" s="574"/>
      <c r="V367" s="574"/>
      <c r="W367" s="574"/>
      <c r="X367" s="574"/>
      <c r="Y367" s="574"/>
      <c r="Z367" s="574"/>
      <c r="AA367" s="574"/>
      <c r="AB367" s="574"/>
      <c r="AC367" s="574"/>
      <c r="AD367" s="574"/>
      <c r="AE367" s="574"/>
    </row>
    <row r="368" spans="1:31" ht="16.5" customHeight="1" x14ac:dyDescent="0.85">
      <c r="A368" s="574"/>
      <c r="B368" s="574"/>
      <c r="C368" s="574"/>
      <c r="D368" s="574"/>
      <c r="E368" s="574"/>
      <c r="F368" s="574"/>
      <c r="G368" s="574"/>
      <c r="H368" s="574"/>
      <c r="I368" s="574"/>
      <c r="J368" s="574"/>
      <c r="K368" s="574"/>
      <c r="L368" s="574"/>
      <c r="M368" s="574"/>
      <c r="N368" s="574"/>
      <c r="O368" s="574"/>
      <c r="P368" s="574"/>
      <c r="Q368" s="574"/>
      <c r="R368" s="574"/>
      <c r="S368" s="574"/>
      <c r="T368" s="574"/>
      <c r="U368" s="574"/>
      <c r="V368" s="574"/>
      <c r="W368" s="574"/>
      <c r="X368" s="574"/>
      <c r="Y368" s="574"/>
      <c r="Z368" s="574"/>
      <c r="AA368" s="574"/>
      <c r="AB368" s="574"/>
      <c r="AC368" s="574"/>
      <c r="AD368" s="574"/>
      <c r="AE368" s="574"/>
    </row>
    <row r="369" spans="1:31" ht="16.5" customHeight="1" x14ac:dyDescent="0.85">
      <c r="A369" s="574"/>
      <c r="B369" s="574"/>
      <c r="C369" s="574"/>
      <c r="D369" s="574"/>
      <c r="E369" s="574"/>
      <c r="F369" s="574"/>
      <c r="G369" s="574"/>
      <c r="H369" s="574"/>
      <c r="I369" s="574"/>
      <c r="J369" s="574"/>
      <c r="K369" s="574"/>
      <c r="L369" s="574"/>
      <c r="M369" s="574"/>
      <c r="N369" s="574"/>
      <c r="O369" s="574"/>
      <c r="P369" s="574"/>
      <c r="Q369" s="574"/>
      <c r="R369" s="574"/>
      <c r="S369" s="574"/>
      <c r="T369" s="574"/>
      <c r="U369" s="574"/>
      <c r="V369" s="574"/>
      <c r="W369" s="574"/>
      <c r="X369" s="574"/>
      <c r="Y369" s="574"/>
      <c r="Z369" s="574"/>
      <c r="AA369" s="574"/>
      <c r="AB369" s="574"/>
      <c r="AC369" s="574"/>
      <c r="AD369" s="574"/>
      <c r="AE369" s="574"/>
    </row>
    <row r="370" spans="1:31" ht="16.5" customHeight="1" x14ac:dyDescent="0.85">
      <c r="A370" s="574"/>
      <c r="B370" s="574"/>
      <c r="C370" s="574"/>
      <c r="D370" s="574"/>
      <c r="E370" s="574"/>
      <c r="F370" s="574"/>
      <c r="G370" s="574"/>
      <c r="H370" s="574"/>
      <c r="I370" s="574"/>
      <c r="J370" s="574"/>
      <c r="K370" s="574"/>
      <c r="L370" s="574"/>
      <c r="M370" s="574"/>
      <c r="N370" s="574"/>
      <c r="O370" s="574"/>
      <c r="P370" s="574"/>
      <c r="Q370" s="574"/>
      <c r="R370" s="574"/>
      <c r="S370" s="574"/>
      <c r="T370" s="574"/>
      <c r="U370" s="574"/>
      <c r="V370" s="574"/>
      <c r="W370" s="574"/>
      <c r="X370" s="574"/>
      <c r="Y370" s="574"/>
      <c r="Z370" s="574"/>
      <c r="AA370" s="574"/>
      <c r="AB370" s="574"/>
      <c r="AC370" s="574"/>
      <c r="AD370" s="574"/>
      <c r="AE370" s="574"/>
    </row>
    <row r="371" spans="1:31" ht="16.5" customHeight="1" x14ac:dyDescent="0.85">
      <c r="A371" s="574"/>
      <c r="B371" s="574"/>
      <c r="C371" s="574"/>
      <c r="D371" s="574"/>
      <c r="E371" s="574"/>
      <c r="F371" s="574"/>
      <c r="G371" s="574"/>
      <c r="H371" s="574"/>
      <c r="I371" s="574"/>
      <c r="J371" s="574"/>
      <c r="K371" s="574"/>
      <c r="L371" s="574"/>
      <c r="M371" s="574"/>
      <c r="N371" s="574"/>
      <c r="O371" s="574"/>
      <c r="P371" s="574"/>
      <c r="Q371" s="574"/>
      <c r="R371" s="574"/>
      <c r="S371" s="574"/>
      <c r="T371" s="574"/>
      <c r="U371" s="574"/>
      <c r="V371" s="574"/>
      <c r="W371" s="574"/>
      <c r="X371" s="574"/>
      <c r="Y371" s="574"/>
      <c r="Z371" s="574"/>
      <c r="AA371" s="574"/>
      <c r="AB371" s="574"/>
      <c r="AC371" s="574"/>
      <c r="AD371" s="574"/>
      <c r="AE371" s="574"/>
    </row>
    <row r="372" spans="1:31" ht="16.5" customHeight="1" x14ac:dyDescent="0.85">
      <c r="A372" s="574"/>
      <c r="B372" s="574"/>
      <c r="C372" s="574"/>
      <c r="D372" s="574"/>
      <c r="E372" s="574"/>
      <c r="F372" s="574"/>
      <c r="G372" s="574"/>
      <c r="H372" s="574"/>
      <c r="I372" s="574"/>
      <c r="J372" s="574"/>
      <c r="K372" s="574"/>
      <c r="L372" s="574"/>
      <c r="M372" s="574"/>
      <c r="N372" s="574"/>
      <c r="O372" s="574"/>
      <c r="P372" s="574"/>
      <c r="Q372" s="574"/>
      <c r="R372" s="574"/>
      <c r="S372" s="574"/>
      <c r="T372" s="574"/>
      <c r="U372" s="574"/>
      <c r="V372" s="574"/>
      <c r="W372" s="574"/>
      <c r="X372" s="574"/>
      <c r="Y372" s="574"/>
      <c r="Z372" s="574"/>
      <c r="AA372" s="574"/>
      <c r="AB372" s="574"/>
      <c r="AC372" s="574"/>
      <c r="AD372" s="574"/>
      <c r="AE372" s="574"/>
    </row>
    <row r="373" spans="1:31" ht="16.5" customHeight="1" x14ac:dyDescent="0.85">
      <c r="A373" s="574"/>
      <c r="B373" s="574"/>
      <c r="C373" s="574"/>
      <c r="D373" s="574"/>
      <c r="E373" s="574"/>
      <c r="F373" s="574"/>
      <c r="G373" s="574"/>
      <c r="H373" s="574"/>
      <c r="I373" s="574"/>
      <c r="J373" s="574"/>
      <c r="K373" s="574"/>
      <c r="L373" s="574"/>
      <c r="M373" s="574"/>
      <c r="N373" s="574"/>
      <c r="O373" s="574"/>
      <c r="P373" s="574"/>
      <c r="Q373" s="574"/>
      <c r="R373" s="574"/>
      <c r="S373" s="574"/>
      <c r="T373" s="574"/>
      <c r="U373" s="574"/>
      <c r="V373" s="574"/>
      <c r="W373" s="574"/>
      <c r="X373" s="574"/>
      <c r="Y373" s="574"/>
      <c r="Z373" s="574"/>
      <c r="AA373" s="574"/>
      <c r="AB373" s="574"/>
      <c r="AC373" s="574"/>
      <c r="AD373" s="574"/>
      <c r="AE373" s="574"/>
    </row>
    <row r="374" spans="1:31" ht="16.5" customHeight="1" x14ac:dyDescent="0.85">
      <c r="A374" s="574"/>
      <c r="B374" s="574"/>
      <c r="C374" s="574"/>
      <c r="D374" s="574"/>
      <c r="E374" s="574"/>
      <c r="F374" s="574"/>
      <c r="G374" s="574"/>
      <c r="H374" s="574"/>
      <c r="I374" s="574"/>
      <c r="J374" s="574"/>
      <c r="K374" s="574"/>
      <c r="L374" s="574"/>
      <c r="M374" s="574"/>
      <c r="N374" s="574"/>
      <c r="O374" s="574"/>
      <c r="P374" s="574"/>
      <c r="Q374" s="574"/>
      <c r="R374" s="574"/>
      <c r="S374" s="574"/>
      <c r="T374" s="574"/>
      <c r="U374" s="574"/>
      <c r="V374" s="574"/>
      <c r="W374" s="574"/>
      <c r="X374" s="574"/>
      <c r="Y374" s="574"/>
      <c r="Z374" s="574"/>
      <c r="AA374" s="574"/>
      <c r="AB374" s="574"/>
      <c r="AC374" s="574"/>
      <c r="AD374" s="574"/>
      <c r="AE374" s="574"/>
    </row>
    <row r="375" spans="1:31" ht="16.5" customHeight="1" x14ac:dyDescent="0.85">
      <c r="A375" s="574"/>
      <c r="B375" s="574"/>
      <c r="C375" s="574"/>
      <c r="D375" s="574"/>
      <c r="E375" s="574"/>
      <c r="F375" s="574"/>
      <c r="G375" s="574"/>
      <c r="H375" s="574"/>
      <c r="I375" s="574"/>
      <c r="J375" s="574"/>
      <c r="K375" s="574"/>
      <c r="L375" s="574"/>
      <c r="M375" s="574"/>
      <c r="N375" s="574"/>
      <c r="O375" s="574"/>
      <c r="P375" s="574"/>
      <c r="Q375" s="574"/>
      <c r="R375" s="574"/>
      <c r="S375" s="574"/>
      <c r="T375" s="574"/>
      <c r="U375" s="574"/>
      <c r="V375" s="574"/>
      <c r="W375" s="574"/>
      <c r="X375" s="574"/>
      <c r="Y375" s="574"/>
      <c r="Z375" s="574"/>
      <c r="AA375" s="574"/>
      <c r="AB375" s="574"/>
      <c r="AC375" s="574"/>
      <c r="AD375" s="574"/>
      <c r="AE375" s="574"/>
    </row>
    <row r="376" spans="1:31" ht="16.5" customHeight="1" x14ac:dyDescent="0.85">
      <c r="A376" s="574"/>
      <c r="B376" s="574"/>
      <c r="C376" s="574"/>
      <c r="D376" s="574"/>
      <c r="E376" s="574"/>
      <c r="F376" s="574"/>
      <c r="G376" s="574"/>
      <c r="H376" s="574"/>
      <c r="I376" s="574"/>
      <c r="J376" s="574"/>
      <c r="K376" s="574"/>
      <c r="L376" s="574"/>
      <c r="M376" s="574"/>
      <c r="N376" s="574"/>
      <c r="O376" s="574"/>
      <c r="P376" s="574"/>
      <c r="Q376" s="574"/>
      <c r="R376" s="574"/>
      <c r="S376" s="574"/>
      <c r="T376" s="574"/>
      <c r="U376" s="574"/>
      <c r="V376" s="574"/>
      <c r="W376" s="574"/>
      <c r="X376" s="574"/>
      <c r="Y376" s="574"/>
      <c r="Z376" s="574"/>
      <c r="AA376" s="574"/>
      <c r="AB376" s="574"/>
      <c r="AC376" s="574"/>
      <c r="AD376" s="574"/>
      <c r="AE376" s="574"/>
    </row>
    <row r="377" spans="1:31" ht="16.5" customHeight="1" x14ac:dyDescent="0.85">
      <c r="A377" s="574"/>
      <c r="B377" s="574"/>
      <c r="C377" s="574"/>
      <c r="D377" s="574"/>
      <c r="E377" s="574"/>
      <c r="F377" s="574"/>
      <c r="G377" s="574"/>
      <c r="H377" s="574"/>
      <c r="I377" s="574"/>
      <c r="J377" s="574"/>
      <c r="K377" s="574"/>
      <c r="L377" s="574"/>
      <c r="M377" s="574"/>
      <c r="N377" s="574"/>
      <c r="O377" s="574"/>
      <c r="P377" s="574"/>
      <c r="Q377" s="574"/>
      <c r="R377" s="574"/>
      <c r="S377" s="574"/>
      <c r="T377" s="574"/>
      <c r="U377" s="574"/>
      <c r="V377" s="574"/>
      <c r="W377" s="574"/>
      <c r="X377" s="574"/>
      <c r="Y377" s="574"/>
      <c r="Z377" s="574"/>
      <c r="AA377" s="574"/>
      <c r="AB377" s="574"/>
      <c r="AC377" s="574"/>
      <c r="AD377" s="574"/>
      <c r="AE377" s="574"/>
    </row>
    <row r="378" spans="1:31" ht="16.5" customHeight="1" x14ac:dyDescent="0.85">
      <c r="A378" s="574"/>
      <c r="B378" s="574"/>
      <c r="C378" s="574"/>
      <c r="D378" s="574"/>
      <c r="E378" s="574"/>
      <c r="F378" s="574"/>
      <c r="G378" s="574"/>
      <c r="H378" s="574"/>
      <c r="I378" s="574"/>
      <c r="J378" s="574"/>
      <c r="K378" s="574"/>
      <c r="L378" s="574"/>
      <c r="M378" s="574"/>
      <c r="N378" s="574"/>
      <c r="O378" s="574"/>
      <c r="P378" s="574"/>
      <c r="Q378" s="574"/>
      <c r="R378" s="574"/>
      <c r="S378" s="574"/>
      <c r="T378" s="574"/>
      <c r="U378" s="574"/>
      <c r="V378" s="574"/>
      <c r="W378" s="574"/>
      <c r="X378" s="574"/>
      <c r="Y378" s="574"/>
      <c r="Z378" s="574"/>
      <c r="AA378" s="574"/>
      <c r="AB378" s="574"/>
      <c r="AC378" s="574"/>
      <c r="AD378" s="574"/>
      <c r="AE378" s="574"/>
    </row>
    <row r="379" spans="1:31" ht="16.5" customHeight="1" x14ac:dyDescent="0.85">
      <c r="A379" s="574"/>
      <c r="B379" s="574"/>
      <c r="C379" s="574"/>
      <c r="D379" s="574"/>
      <c r="E379" s="574"/>
      <c r="F379" s="574"/>
      <c r="G379" s="574"/>
      <c r="H379" s="574"/>
      <c r="I379" s="574"/>
      <c r="J379" s="574"/>
      <c r="K379" s="574"/>
      <c r="L379" s="574"/>
      <c r="M379" s="574"/>
      <c r="N379" s="574"/>
      <c r="O379" s="574"/>
      <c r="P379" s="574"/>
      <c r="Q379" s="574"/>
      <c r="R379" s="574"/>
      <c r="S379" s="574"/>
      <c r="T379" s="574"/>
      <c r="U379" s="574"/>
      <c r="V379" s="574"/>
      <c r="W379" s="574"/>
      <c r="X379" s="574"/>
      <c r="Y379" s="574"/>
      <c r="Z379" s="574"/>
      <c r="AA379" s="574"/>
      <c r="AB379" s="574"/>
      <c r="AC379" s="574"/>
      <c r="AD379" s="574"/>
      <c r="AE379" s="574"/>
    </row>
    <row r="380" spans="1:31" ht="16.5" customHeight="1" x14ac:dyDescent="0.85">
      <c r="A380" s="574"/>
      <c r="B380" s="574"/>
      <c r="C380" s="574"/>
      <c r="D380" s="574"/>
      <c r="E380" s="574"/>
      <c r="F380" s="574"/>
      <c r="G380" s="574"/>
      <c r="H380" s="574"/>
      <c r="I380" s="574"/>
      <c r="J380" s="574"/>
      <c r="K380" s="574"/>
      <c r="L380" s="574"/>
      <c r="M380" s="574"/>
      <c r="N380" s="574"/>
      <c r="O380" s="574"/>
      <c r="P380" s="574"/>
      <c r="Q380" s="574"/>
      <c r="R380" s="574"/>
      <c r="S380" s="574"/>
      <c r="T380" s="574"/>
      <c r="U380" s="574"/>
      <c r="V380" s="574"/>
      <c r="W380" s="574"/>
      <c r="X380" s="574"/>
      <c r="Y380" s="574"/>
      <c r="Z380" s="574"/>
      <c r="AA380" s="574"/>
      <c r="AB380" s="574"/>
      <c r="AC380" s="574"/>
      <c r="AD380" s="574"/>
      <c r="AE380" s="574"/>
    </row>
    <row r="381" spans="1:31" ht="16.5" customHeight="1" x14ac:dyDescent="0.85">
      <c r="A381" s="574"/>
      <c r="B381" s="574"/>
      <c r="C381" s="574"/>
      <c r="D381" s="574"/>
      <c r="E381" s="574"/>
      <c r="F381" s="574"/>
      <c r="G381" s="574"/>
      <c r="H381" s="574"/>
      <c r="I381" s="574"/>
      <c r="J381" s="574"/>
      <c r="K381" s="574"/>
      <c r="L381" s="574"/>
      <c r="M381" s="574"/>
      <c r="N381" s="574"/>
      <c r="O381" s="574"/>
      <c r="P381" s="574"/>
      <c r="Q381" s="574"/>
      <c r="R381" s="574"/>
      <c r="S381" s="574"/>
      <c r="T381" s="574"/>
      <c r="U381" s="574"/>
      <c r="V381" s="574"/>
      <c r="W381" s="574"/>
      <c r="X381" s="574"/>
      <c r="Y381" s="574"/>
      <c r="Z381" s="574"/>
      <c r="AA381" s="574"/>
      <c r="AB381" s="574"/>
      <c r="AC381" s="574"/>
      <c r="AD381" s="574"/>
      <c r="AE381" s="574"/>
    </row>
    <row r="382" spans="1:31" ht="16.5" customHeight="1" x14ac:dyDescent="0.85">
      <c r="A382" s="574"/>
      <c r="B382" s="574"/>
      <c r="C382" s="574"/>
      <c r="D382" s="574"/>
      <c r="E382" s="574"/>
      <c r="F382" s="574"/>
      <c r="G382" s="574"/>
      <c r="H382" s="574"/>
      <c r="I382" s="574"/>
      <c r="J382" s="574"/>
      <c r="K382" s="574"/>
      <c r="L382" s="574"/>
      <c r="M382" s="574"/>
      <c r="N382" s="574"/>
      <c r="O382" s="574"/>
      <c r="P382" s="574"/>
      <c r="Q382" s="574"/>
      <c r="R382" s="574"/>
      <c r="S382" s="574"/>
      <c r="T382" s="574"/>
      <c r="U382" s="574"/>
      <c r="V382" s="574"/>
      <c r="W382" s="574"/>
      <c r="X382" s="574"/>
      <c r="Y382" s="574"/>
      <c r="Z382" s="574"/>
      <c r="AA382" s="574"/>
      <c r="AB382" s="574"/>
      <c r="AC382" s="574"/>
      <c r="AD382" s="574"/>
      <c r="AE382" s="574"/>
    </row>
    <row r="383" spans="1:31" ht="16.5" customHeight="1" x14ac:dyDescent="0.85">
      <c r="A383" s="574"/>
      <c r="B383" s="574"/>
      <c r="C383" s="574"/>
      <c r="D383" s="574"/>
      <c r="E383" s="574"/>
      <c r="F383" s="574"/>
      <c r="G383" s="574"/>
      <c r="H383" s="574"/>
      <c r="I383" s="574"/>
      <c r="J383" s="574"/>
      <c r="K383" s="574"/>
      <c r="L383" s="574"/>
      <c r="M383" s="574"/>
      <c r="N383" s="574"/>
      <c r="O383" s="574"/>
      <c r="P383" s="574"/>
      <c r="Q383" s="574"/>
      <c r="R383" s="574"/>
      <c r="S383" s="574"/>
      <c r="T383" s="574"/>
      <c r="U383" s="574"/>
      <c r="V383" s="574"/>
      <c r="W383" s="574"/>
      <c r="X383" s="574"/>
      <c r="Y383" s="574"/>
      <c r="Z383" s="574"/>
      <c r="AA383" s="574"/>
      <c r="AB383" s="574"/>
      <c r="AC383" s="574"/>
      <c r="AD383" s="574"/>
      <c r="AE383" s="574"/>
    </row>
    <row r="384" spans="1:31" ht="16.5" customHeight="1" x14ac:dyDescent="0.85">
      <c r="A384" s="574"/>
      <c r="B384" s="574"/>
      <c r="C384" s="574"/>
      <c r="D384" s="574"/>
      <c r="E384" s="574"/>
      <c r="F384" s="574"/>
      <c r="G384" s="574"/>
      <c r="H384" s="574"/>
      <c r="I384" s="574"/>
      <c r="J384" s="574"/>
      <c r="K384" s="574"/>
      <c r="L384" s="574"/>
      <c r="M384" s="574"/>
      <c r="N384" s="574"/>
      <c r="O384" s="574"/>
      <c r="P384" s="574"/>
      <c r="Q384" s="574"/>
      <c r="R384" s="574"/>
      <c r="S384" s="574"/>
      <c r="T384" s="574"/>
      <c r="U384" s="574"/>
      <c r="V384" s="574"/>
      <c r="W384" s="574"/>
      <c r="X384" s="574"/>
      <c r="Y384" s="574"/>
      <c r="Z384" s="574"/>
      <c r="AA384" s="574"/>
      <c r="AB384" s="574"/>
      <c r="AC384" s="574"/>
      <c r="AD384" s="574"/>
      <c r="AE384" s="574"/>
    </row>
    <row r="385" spans="1:31" ht="16.5" customHeight="1" x14ac:dyDescent="0.85">
      <c r="A385" s="574"/>
      <c r="B385" s="574"/>
      <c r="C385" s="574"/>
      <c r="D385" s="574"/>
      <c r="E385" s="574"/>
      <c r="F385" s="574"/>
      <c r="G385" s="574"/>
      <c r="H385" s="574"/>
      <c r="I385" s="574"/>
      <c r="J385" s="574"/>
      <c r="K385" s="574"/>
      <c r="L385" s="574"/>
      <c r="M385" s="574"/>
      <c r="N385" s="574"/>
      <c r="O385" s="574"/>
      <c r="P385" s="574"/>
      <c r="Q385" s="574"/>
      <c r="R385" s="574"/>
      <c r="S385" s="574"/>
      <c r="T385" s="574"/>
      <c r="U385" s="574"/>
      <c r="V385" s="574"/>
      <c r="W385" s="574"/>
      <c r="X385" s="574"/>
      <c r="Y385" s="574"/>
      <c r="Z385" s="574"/>
      <c r="AA385" s="574"/>
      <c r="AB385" s="574"/>
      <c r="AC385" s="574"/>
      <c r="AD385" s="574"/>
      <c r="AE385" s="574"/>
    </row>
    <row r="386" spans="1:31" ht="16.5" customHeight="1" x14ac:dyDescent="0.85">
      <c r="A386" s="574"/>
      <c r="B386" s="574"/>
      <c r="C386" s="574"/>
      <c r="D386" s="574"/>
      <c r="E386" s="574"/>
      <c r="F386" s="574"/>
      <c r="G386" s="574"/>
      <c r="H386" s="574"/>
      <c r="I386" s="574"/>
      <c r="J386" s="574"/>
      <c r="K386" s="574"/>
      <c r="L386" s="574"/>
      <c r="M386" s="574"/>
      <c r="N386" s="574"/>
      <c r="O386" s="574"/>
      <c r="P386" s="574"/>
      <c r="Q386" s="574"/>
      <c r="R386" s="574"/>
      <c r="S386" s="574"/>
      <c r="T386" s="574"/>
      <c r="U386" s="574"/>
      <c r="V386" s="574"/>
      <c r="W386" s="574"/>
      <c r="X386" s="574"/>
      <c r="Y386" s="574"/>
      <c r="Z386" s="574"/>
      <c r="AA386" s="574"/>
      <c r="AB386" s="574"/>
      <c r="AC386" s="574"/>
      <c r="AD386" s="574"/>
      <c r="AE386" s="574"/>
    </row>
    <row r="387" spans="1:31" ht="16.5" customHeight="1" x14ac:dyDescent="0.85">
      <c r="A387" s="574"/>
      <c r="B387" s="574"/>
      <c r="C387" s="574"/>
      <c r="D387" s="574"/>
      <c r="E387" s="574"/>
      <c r="F387" s="574"/>
      <c r="G387" s="574"/>
      <c r="H387" s="574"/>
      <c r="I387" s="574"/>
      <c r="J387" s="574"/>
      <c r="K387" s="574"/>
      <c r="L387" s="574"/>
      <c r="M387" s="574"/>
      <c r="N387" s="574"/>
      <c r="O387" s="574"/>
      <c r="P387" s="574"/>
      <c r="Q387" s="574"/>
      <c r="R387" s="574"/>
      <c r="S387" s="574"/>
      <c r="T387" s="574"/>
      <c r="U387" s="574"/>
      <c r="V387" s="574"/>
      <c r="W387" s="574"/>
      <c r="X387" s="574"/>
      <c r="Y387" s="574"/>
      <c r="Z387" s="574"/>
      <c r="AA387" s="574"/>
      <c r="AB387" s="574"/>
      <c r="AC387" s="574"/>
      <c r="AD387" s="574"/>
      <c r="AE387" s="574"/>
    </row>
    <row r="388" spans="1:31" ht="16.5" customHeight="1" x14ac:dyDescent="0.85">
      <c r="A388" s="574"/>
      <c r="B388" s="574"/>
      <c r="C388" s="574"/>
      <c r="D388" s="574"/>
      <c r="E388" s="574"/>
      <c r="F388" s="574"/>
      <c r="G388" s="574"/>
      <c r="H388" s="574"/>
      <c r="I388" s="574"/>
      <c r="J388" s="574"/>
      <c r="K388" s="574"/>
      <c r="L388" s="574"/>
      <c r="M388" s="574"/>
      <c r="N388" s="574"/>
      <c r="O388" s="574"/>
      <c r="P388" s="574"/>
      <c r="Q388" s="574"/>
      <c r="R388" s="574"/>
      <c r="S388" s="574"/>
      <c r="T388" s="574"/>
      <c r="U388" s="574"/>
      <c r="V388" s="574"/>
      <c r="W388" s="574"/>
      <c r="X388" s="574"/>
      <c r="Y388" s="574"/>
      <c r="Z388" s="574"/>
      <c r="AA388" s="574"/>
      <c r="AB388" s="574"/>
      <c r="AC388" s="574"/>
      <c r="AD388" s="574"/>
      <c r="AE388" s="574"/>
    </row>
    <row r="389" spans="1:31" ht="16.5" customHeight="1" x14ac:dyDescent="0.85">
      <c r="A389" s="574"/>
      <c r="B389" s="574"/>
      <c r="C389" s="574"/>
      <c r="D389" s="574"/>
      <c r="E389" s="574"/>
      <c r="F389" s="574"/>
      <c r="G389" s="574"/>
      <c r="H389" s="574"/>
      <c r="I389" s="574"/>
      <c r="J389" s="574"/>
      <c r="K389" s="574"/>
      <c r="L389" s="574"/>
      <c r="M389" s="574"/>
      <c r="N389" s="574"/>
      <c r="O389" s="574"/>
      <c r="P389" s="574"/>
      <c r="Q389" s="574"/>
      <c r="R389" s="574"/>
      <c r="S389" s="574"/>
      <c r="T389" s="574"/>
      <c r="U389" s="574"/>
      <c r="V389" s="574"/>
      <c r="W389" s="574"/>
      <c r="X389" s="574"/>
      <c r="Y389" s="574"/>
      <c r="Z389" s="574"/>
      <c r="AA389" s="574"/>
      <c r="AB389" s="574"/>
      <c r="AC389" s="574"/>
      <c r="AD389" s="574"/>
      <c r="AE389" s="574"/>
    </row>
    <row r="390" spans="1:31" ht="16.5" customHeight="1" x14ac:dyDescent="0.85">
      <c r="A390" s="574"/>
      <c r="B390" s="574"/>
      <c r="C390" s="574"/>
      <c r="D390" s="574"/>
      <c r="E390" s="574"/>
      <c r="F390" s="574"/>
      <c r="G390" s="574"/>
      <c r="H390" s="574"/>
      <c r="I390" s="574"/>
      <c r="J390" s="574"/>
      <c r="K390" s="574"/>
      <c r="L390" s="574"/>
      <c r="M390" s="574"/>
      <c r="N390" s="574"/>
      <c r="O390" s="574"/>
      <c r="P390" s="574"/>
      <c r="Q390" s="574"/>
      <c r="R390" s="574"/>
      <c r="S390" s="574"/>
      <c r="T390" s="574"/>
      <c r="U390" s="574"/>
      <c r="V390" s="574"/>
      <c r="W390" s="574"/>
      <c r="X390" s="574"/>
      <c r="Y390" s="574"/>
      <c r="Z390" s="574"/>
      <c r="AA390" s="574"/>
      <c r="AB390" s="574"/>
      <c r="AC390" s="574"/>
      <c r="AD390" s="574"/>
      <c r="AE390" s="574"/>
    </row>
    <row r="391" spans="1:31" ht="16.5" customHeight="1" x14ac:dyDescent="0.85">
      <c r="A391" s="574"/>
      <c r="B391" s="574"/>
      <c r="C391" s="574"/>
      <c r="D391" s="574"/>
      <c r="E391" s="574"/>
      <c r="F391" s="574"/>
      <c r="G391" s="574"/>
      <c r="H391" s="574"/>
      <c r="I391" s="574"/>
      <c r="J391" s="574"/>
      <c r="K391" s="574"/>
      <c r="L391" s="574"/>
      <c r="M391" s="574"/>
      <c r="N391" s="574"/>
      <c r="O391" s="574"/>
      <c r="P391" s="574"/>
      <c r="Q391" s="574"/>
      <c r="R391" s="574"/>
      <c r="S391" s="574"/>
      <c r="T391" s="574"/>
      <c r="U391" s="574"/>
      <c r="V391" s="574"/>
      <c r="W391" s="574"/>
      <c r="X391" s="574"/>
      <c r="Y391" s="574"/>
      <c r="Z391" s="574"/>
      <c r="AA391" s="574"/>
      <c r="AB391" s="574"/>
      <c r="AC391" s="574"/>
      <c r="AD391" s="574"/>
      <c r="AE391" s="574"/>
    </row>
    <row r="392" spans="1:31" ht="16.5" customHeight="1" x14ac:dyDescent="0.85">
      <c r="A392" s="574"/>
      <c r="B392" s="574"/>
      <c r="C392" s="574"/>
      <c r="D392" s="574"/>
      <c r="E392" s="574"/>
      <c r="F392" s="574"/>
      <c r="G392" s="574"/>
      <c r="H392" s="574"/>
      <c r="I392" s="574"/>
      <c r="J392" s="574"/>
      <c r="K392" s="574"/>
      <c r="L392" s="574"/>
      <c r="M392" s="574"/>
      <c r="N392" s="574"/>
      <c r="O392" s="574"/>
      <c r="P392" s="574"/>
      <c r="Q392" s="574"/>
      <c r="R392" s="574"/>
      <c r="S392" s="574"/>
      <c r="T392" s="574"/>
      <c r="U392" s="574"/>
      <c r="V392" s="574"/>
      <c r="W392" s="574"/>
      <c r="X392" s="574"/>
      <c r="Y392" s="574"/>
      <c r="Z392" s="574"/>
      <c r="AA392" s="574"/>
      <c r="AB392" s="574"/>
      <c r="AC392" s="574"/>
      <c r="AD392" s="574"/>
      <c r="AE392" s="574"/>
    </row>
    <row r="393" spans="1:31" ht="16.5" customHeight="1" x14ac:dyDescent="0.85">
      <c r="A393" s="574"/>
      <c r="B393" s="574"/>
      <c r="C393" s="574"/>
      <c r="D393" s="574"/>
      <c r="E393" s="574"/>
      <c r="F393" s="574"/>
      <c r="G393" s="574"/>
      <c r="H393" s="574"/>
      <c r="I393" s="574"/>
      <c r="J393" s="574"/>
      <c r="K393" s="574"/>
      <c r="L393" s="574"/>
      <c r="M393" s="574"/>
      <c r="N393" s="574"/>
      <c r="O393" s="574"/>
      <c r="P393" s="574"/>
      <c r="Q393" s="574"/>
      <c r="R393" s="574"/>
      <c r="S393" s="574"/>
      <c r="T393" s="574"/>
      <c r="U393" s="574"/>
      <c r="V393" s="574"/>
      <c r="W393" s="574"/>
      <c r="X393" s="574"/>
      <c r="Y393" s="574"/>
      <c r="Z393" s="574"/>
      <c r="AA393" s="574"/>
      <c r="AB393" s="574"/>
      <c r="AC393" s="574"/>
      <c r="AD393" s="574"/>
      <c r="AE393" s="574"/>
    </row>
    <row r="394" spans="1:31" ht="16.5" customHeight="1" x14ac:dyDescent="0.85">
      <c r="A394" s="574"/>
      <c r="B394" s="574"/>
      <c r="C394" s="574"/>
      <c r="D394" s="574"/>
      <c r="E394" s="574"/>
      <c r="F394" s="574"/>
      <c r="G394" s="574"/>
      <c r="H394" s="574"/>
      <c r="I394" s="574"/>
      <c r="J394" s="574"/>
      <c r="K394" s="574"/>
      <c r="L394" s="574"/>
      <c r="M394" s="574"/>
      <c r="N394" s="574"/>
      <c r="O394" s="574"/>
      <c r="P394" s="574"/>
      <c r="Q394" s="574"/>
      <c r="R394" s="574"/>
      <c r="S394" s="574"/>
      <c r="T394" s="574"/>
      <c r="U394" s="574"/>
      <c r="V394" s="574"/>
      <c r="W394" s="574"/>
      <c r="X394" s="574"/>
      <c r="Y394" s="574"/>
      <c r="Z394" s="574"/>
      <c r="AA394" s="574"/>
      <c r="AB394" s="574"/>
      <c r="AC394" s="574"/>
      <c r="AD394" s="574"/>
      <c r="AE394" s="574"/>
    </row>
    <row r="395" spans="1:31" ht="16.5" customHeight="1" x14ac:dyDescent="0.85">
      <c r="A395" s="574"/>
      <c r="B395" s="574"/>
      <c r="C395" s="574"/>
      <c r="D395" s="574"/>
      <c r="E395" s="574"/>
      <c r="F395" s="574"/>
      <c r="G395" s="574"/>
      <c r="H395" s="574"/>
      <c r="I395" s="574"/>
      <c r="J395" s="574"/>
      <c r="K395" s="574"/>
      <c r="L395" s="574"/>
      <c r="M395" s="574"/>
      <c r="N395" s="574"/>
      <c r="O395" s="574"/>
      <c r="P395" s="574"/>
      <c r="Q395" s="574"/>
      <c r="R395" s="574"/>
      <c r="S395" s="574"/>
      <c r="T395" s="574"/>
      <c r="U395" s="574"/>
      <c r="V395" s="574"/>
      <c r="W395" s="574"/>
      <c r="X395" s="574"/>
      <c r="Y395" s="574"/>
      <c r="Z395" s="574"/>
      <c r="AA395" s="574"/>
      <c r="AB395" s="574"/>
      <c r="AC395" s="574"/>
      <c r="AD395" s="574"/>
      <c r="AE395" s="574"/>
    </row>
    <row r="396" spans="1:31" ht="16.5" customHeight="1" x14ac:dyDescent="0.85">
      <c r="A396" s="574"/>
      <c r="B396" s="574"/>
      <c r="C396" s="574"/>
      <c r="D396" s="574"/>
      <c r="E396" s="574"/>
      <c r="F396" s="574"/>
      <c r="G396" s="574"/>
      <c r="H396" s="574"/>
      <c r="I396" s="574"/>
      <c r="J396" s="574"/>
      <c r="K396" s="574"/>
      <c r="L396" s="574"/>
      <c r="M396" s="574"/>
      <c r="N396" s="574"/>
      <c r="O396" s="574"/>
      <c r="P396" s="574"/>
      <c r="Q396" s="574"/>
      <c r="R396" s="574"/>
      <c r="S396" s="574"/>
      <c r="T396" s="574"/>
      <c r="U396" s="574"/>
      <c r="V396" s="574"/>
      <c r="W396" s="574"/>
      <c r="X396" s="574"/>
      <c r="Y396" s="574"/>
      <c r="Z396" s="574"/>
      <c r="AA396" s="574"/>
      <c r="AB396" s="574"/>
      <c r="AC396" s="574"/>
      <c r="AD396" s="574"/>
      <c r="AE396" s="574"/>
    </row>
    <row r="397" spans="1:31" ht="16.5" customHeight="1" x14ac:dyDescent="0.85">
      <c r="A397" s="574"/>
      <c r="B397" s="574"/>
      <c r="C397" s="574"/>
      <c r="D397" s="574"/>
      <c r="E397" s="574"/>
      <c r="F397" s="574"/>
      <c r="G397" s="574"/>
      <c r="H397" s="574"/>
      <c r="I397" s="574"/>
      <c r="J397" s="574"/>
      <c r="K397" s="574"/>
      <c r="L397" s="574"/>
      <c r="M397" s="574"/>
      <c r="N397" s="574"/>
      <c r="O397" s="574"/>
      <c r="P397" s="574"/>
      <c r="Q397" s="574"/>
      <c r="R397" s="574"/>
      <c r="S397" s="574"/>
      <c r="T397" s="574"/>
      <c r="U397" s="574"/>
      <c r="V397" s="574"/>
      <c r="W397" s="574"/>
      <c r="X397" s="574"/>
      <c r="Y397" s="574"/>
      <c r="Z397" s="574"/>
      <c r="AA397" s="574"/>
      <c r="AB397" s="574"/>
      <c r="AC397" s="574"/>
      <c r="AD397" s="574"/>
      <c r="AE397" s="574"/>
    </row>
    <row r="398" spans="1:31" ht="16.5" customHeight="1" x14ac:dyDescent="0.85">
      <c r="A398" s="574"/>
      <c r="B398" s="574"/>
      <c r="C398" s="574"/>
      <c r="D398" s="574"/>
      <c r="E398" s="574"/>
      <c r="F398" s="574"/>
      <c r="G398" s="574"/>
      <c r="H398" s="574"/>
      <c r="I398" s="574"/>
      <c r="J398" s="574"/>
      <c r="K398" s="574"/>
      <c r="L398" s="574"/>
      <c r="M398" s="574"/>
      <c r="N398" s="574"/>
      <c r="O398" s="574"/>
      <c r="P398" s="574"/>
      <c r="Q398" s="574"/>
      <c r="R398" s="574"/>
      <c r="S398" s="574"/>
      <c r="T398" s="574"/>
      <c r="U398" s="574"/>
      <c r="V398" s="574"/>
      <c r="W398" s="574"/>
      <c r="X398" s="574"/>
      <c r="Y398" s="574"/>
      <c r="Z398" s="574"/>
      <c r="AA398" s="574"/>
      <c r="AB398" s="574"/>
      <c r="AC398" s="574"/>
      <c r="AD398" s="574"/>
      <c r="AE398" s="574"/>
    </row>
    <row r="399" spans="1:31" ht="16.5" customHeight="1" x14ac:dyDescent="0.85">
      <c r="A399" s="574"/>
      <c r="B399" s="574"/>
      <c r="C399" s="574"/>
      <c r="D399" s="574"/>
      <c r="E399" s="574"/>
      <c r="F399" s="574"/>
      <c r="G399" s="574"/>
      <c r="H399" s="574"/>
      <c r="I399" s="574"/>
      <c r="J399" s="574"/>
      <c r="K399" s="574"/>
      <c r="L399" s="574"/>
      <c r="M399" s="574"/>
      <c r="N399" s="574"/>
      <c r="O399" s="574"/>
      <c r="P399" s="574"/>
      <c r="Q399" s="574"/>
      <c r="R399" s="574"/>
      <c r="S399" s="574"/>
      <c r="T399" s="574"/>
      <c r="U399" s="574"/>
      <c r="V399" s="574"/>
      <c r="W399" s="574"/>
      <c r="X399" s="574"/>
      <c r="Y399" s="574"/>
      <c r="Z399" s="574"/>
      <c r="AA399" s="574"/>
      <c r="AB399" s="574"/>
      <c r="AC399" s="574"/>
      <c r="AD399" s="574"/>
      <c r="AE399" s="574"/>
    </row>
    <row r="400" spans="1:31" ht="16.5" customHeight="1" x14ac:dyDescent="0.85">
      <c r="A400" s="574"/>
      <c r="B400" s="574"/>
      <c r="C400" s="574"/>
      <c r="D400" s="574"/>
      <c r="E400" s="574"/>
      <c r="F400" s="574"/>
      <c r="G400" s="574"/>
      <c r="H400" s="574"/>
      <c r="I400" s="574"/>
      <c r="J400" s="574"/>
      <c r="K400" s="574"/>
      <c r="L400" s="574"/>
      <c r="M400" s="574"/>
      <c r="N400" s="574"/>
      <c r="O400" s="574"/>
      <c r="P400" s="574"/>
      <c r="Q400" s="574"/>
      <c r="R400" s="574"/>
      <c r="S400" s="574"/>
      <c r="T400" s="574"/>
      <c r="U400" s="574"/>
      <c r="V400" s="574"/>
      <c r="W400" s="574"/>
      <c r="X400" s="574"/>
      <c r="Y400" s="574"/>
      <c r="Z400" s="574"/>
      <c r="AA400" s="574"/>
      <c r="AB400" s="574"/>
      <c r="AC400" s="574"/>
      <c r="AD400" s="574"/>
      <c r="AE400" s="574"/>
    </row>
    <row r="401" spans="1:31" ht="16.5" customHeight="1" x14ac:dyDescent="0.85">
      <c r="A401" s="574"/>
      <c r="B401" s="574"/>
      <c r="C401" s="574"/>
      <c r="D401" s="574"/>
      <c r="E401" s="574"/>
      <c r="F401" s="574"/>
      <c r="G401" s="574"/>
      <c r="H401" s="574"/>
      <c r="I401" s="574"/>
      <c r="J401" s="574"/>
      <c r="K401" s="574"/>
      <c r="L401" s="574"/>
      <c r="M401" s="574"/>
      <c r="N401" s="574"/>
      <c r="O401" s="574"/>
      <c r="P401" s="574"/>
      <c r="Q401" s="574"/>
      <c r="R401" s="574"/>
      <c r="S401" s="574"/>
      <c r="T401" s="574"/>
      <c r="U401" s="574"/>
      <c r="V401" s="574"/>
      <c r="W401" s="574"/>
      <c r="X401" s="574"/>
      <c r="Y401" s="574"/>
      <c r="Z401" s="574"/>
      <c r="AA401" s="574"/>
      <c r="AB401" s="574"/>
      <c r="AC401" s="574"/>
      <c r="AD401" s="574"/>
      <c r="AE401" s="574"/>
    </row>
    <row r="402" spans="1:31" ht="16.5" customHeight="1" x14ac:dyDescent="0.85">
      <c r="A402" s="574"/>
      <c r="B402" s="574"/>
      <c r="C402" s="574"/>
      <c r="D402" s="574"/>
      <c r="E402" s="574"/>
      <c r="F402" s="574"/>
      <c r="G402" s="574"/>
      <c r="H402" s="574"/>
      <c r="I402" s="574"/>
      <c r="J402" s="574"/>
      <c r="K402" s="574"/>
      <c r="L402" s="574"/>
      <c r="M402" s="574"/>
      <c r="N402" s="574"/>
      <c r="O402" s="574"/>
      <c r="P402" s="574"/>
      <c r="Q402" s="574"/>
      <c r="R402" s="574"/>
      <c r="S402" s="574"/>
      <c r="T402" s="574"/>
      <c r="U402" s="574"/>
      <c r="V402" s="574"/>
      <c r="W402" s="574"/>
      <c r="X402" s="574"/>
      <c r="Y402" s="574"/>
      <c r="Z402" s="574"/>
      <c r="AA402" s="574"/>
      <c r="AB402" s="574"/>
      <c r="AC402" s="574"/>
      <c r="AD402" s="574"/>
      <c r="AE402" s="574"/>
    </row>
    <row r="403" spans="1:31" ht="16.5" customHeight="1" x14ac:dyDescent="0.85">
      <c r="A403" s="574"/>
      <c r="B403" s="574"/>
      <c r="C403" s="574"/>
      <c r="D403" s="574"/>
      <c r="E403" s="574"/>
      <c r="F403" s="574"/>
      <c r="G403" s="574"/>
      <c r="H403" s="574"/>
      <c r="I403" s="574"/>
      <c r="J403" s="574"/>
      <c r="K403" s="574"/>
      <c r="L403" s="574"/>
      <c r="M403" s="574"/>
      <c r="N403" s="574"/>
      <c r="O403" s="574"/>
      <c r="P403" s="574"/>
      <c r="Q403" s="574"/>
      <c r="R403" s="574"/>
      <c r="S403" s="574"/>
      <c r="T403" s="574"/>
      <c r="U403" s="574"/>
      <c r="V403" s="574"/>
      <c r="W403" s="574"/>
      <c r="X403" s="574"/>
      <c r="Y403" s="574"/>
      <c r="Z403" s="574"/>
      <c r="AA403" s="574"/>
      <c r="AB403" s="574"/>
      <c r="AC403" s="574"/>
      <c r="AD403" s="574"/>
      <c r="AE403" s="574"/>
    </row>
    <row r="404" spans="1:31" ht="16.5" customHeight="1" x14ac:dyDescent="0.85">
      <c r="A404" s="574"/>
      <c r="B404" s="574"/>
      <c r="C404" s="574"/>
      <c r="D404" s="574"/>
      <c r="E404" s="574"/>
      <c r="F404" s="574"/>
      <c r="G404" s="574"/>
      <c r="H404" s="574"/>
      <c r="I404" s="574"/>
      <c r="J404" s="574"/>
      <c r="K404" s="574"/>
      <c r="L404" s="574"/>
      <c r="M404" s="574"/>
      <c r="N404" s="574"/>
      <c r="O404" s="574"/>
      <c r="P404" s="574"/>
      <c r="Q404" s="574"/>
      <c r="R404" s="574"/>
      <c r="S404" s="574"/>
      <c r="T404" s="574"/>
      <c r="U404" s="574"/>
      <c r="V404" s="574"/>
      <c r="W404" s="574"/>
      <c r="X404" s="574"/>
      <c r="Y404" s="574"/>
      <c r="Z404" s="574"/>
      <c r="AA404" s="574"/>
      <c r="AB404" s="574"/>
      <c r="AC404" s="574"/>
      <c r="AD404" s="574"/>
      <c r="AE404" s="574"/>
    </row>
    <row r="405" spans="1:31" ht="16.5" customHeight="1" x14ac:dyDescent="0.85">
      <c r="A405" s="574"/>
      <c r="B405" s="574"/>
      <c r="C405" s="574"/>
      <c r="D405" s="574"/>
      <c r="E405" s="574"/>
      <c r="F405" s="574"/>
      <c r="G405" s="574"/>
      <c r="H405" s="574"/>
      <c r="I405" s="574"/>
      <c r="J405" s="574"/>
      <c r="K405" s="574"/>
      <c r="L405" s="574"/>
      <c r="M405" s="574"/>
      <c r="N405" s="574"/>
      <c r="O405" s="574"/>
      <c r="P405" s="574"/>
      <c r="Q405" s="574"/>
      <c r="R405" s="574"/>
      <c r="S405" s="574"/>
      <c r="T405" s="574"/>
      <c r="U405" s="574"/>
      <c r="V405" s="574"/>
      <c r="W405" s="574"/>
      <c r="X405" s="574"/>
      <c r="Y405" s="574"/>
      <c r="Z405" s="574"/>
      <c r="AA405" s="574"/>
      <c r="AB405" s="574"/>
      <c r="AC405" s="574"/>
      <c r="AD405" s="574"/>
      <c r="AE405" s="574"/>
    </row>
    <row r="406" spans="1:31" ht="16.5" customHeight="1" x14ac:dyDescent="0.85">
      <c r="A406" s="574"/>
      <c r="B406" s="574"/>
      <c r="C406" s="574"/>
      <c r="D406" s="574"/>
      <c r="E406" s="574"/>
      <c r="F406" s="574"/>
      <c r="G406" s="574"/>
      <c r="H406" s="574"/>
      <c r="I406" s="574"/>
      <c r="J406" s="574"/>
      <c r="K406" s="574"/>
      <c r="L406" s="574"/>
      <c r="M406" s="574"/>
      <c r="N406" s="574"/>
      <c r="O406" s="574"/>
      <c r="P406" s="574"/>
      <c r="Q406" s="574"/>
      <c r="R406" s="574"/>
      <c r="S406" s="574"/>
      <c r="T406" s="574"/>
      <c r="U406" s="574"/>
      <c r="V406" s="574"/>
      <c r="W406" s="574"/>
      <c r="X406" s="574"/>
      <c r="Y406" s="574"/>
      <c r="Z406" s="574"/>
      <c r="AA406" s="574"/>
      <c r="AB406" s="574"/>
      <c r="AC406" s="574"/>
      <c r="AD406" s="574"/>
      <c r="AE406" s="574"/>
    </row>
    <row r="407" spans="1:31" ht="16.5" customHeight="1" x14ac:dyDescent="0.85">
      <c r="A407" s="574"/>
      <c r="B407" s="574"/>
      <c r="C407" s="574"/>
      <c r="D407" s="574"/>
      <c r="E407" s="574"/>
      <c r="F407" s="574"/>
      <c r="G407" s="574"/>
      <c r="H407" s="574"/>
      <c r="I407" s="574"/>
      <c r="J407" s="574"/>
      <c r="K407" s="574"/>
      <c r="L407" s="574"/>
      <c r="M407" s="574"/>
      <c r="N407" s="574"/>
      <c r="O407" s="574"/>
      <c r="P407" s="574"/>
      <c r="Q407" s="574"/>
      <c r="R407" s="574"/>
      <c r="S407" s="574"/>
      <c r="T407" s="574"/>
      <c r="U407" s="574"/>
      <c r="V407" s="574"/>
      <c r="W407" s="574"/>
      <c r="X407" s="574"/>
      <c r="Y407" s="574"/>
      <c r="Z407" s="574"/>
      <c r="AA407" s="574"/>
      <c r="AB407" s="574"/>
      <c r="AC407" s="574"/>
      <c r="AD407" s="574"/>
      <c r="AE407" s="574"/>
    </row>
    <row r="408" spans="1:31" ht="16.5" customHeight="1" x14ac:dyDescent="0.85">
      <c r="A408" s="574"/>
      <c r="B408" s="574"/>
      <c r="C408" s="574"/>
      <c r="D408" s="574"/>
      <c r="E408" s="574"/>
      <c r="F408" s="574"/>
      <c r="G408" s="574"/>
      <c r="H408" s="574"/>
      <c r="I408" s="574"/>
      <c r="J408" s="574"/>
      <c r="K408" s="574"/>
      <c r="L408" s="574"/>
      <c r="M408" s="574"/>
      <c r="N408" s="574"/>
      <c r="O408" s="574"/>
      <c r="P408" s="574"/>
      <c r="Q408" s="574"/>
      <c r="R408" s="574"/>
      <c r="S408" s="574"/>
      <c r="T408" s="574"/>
      <c r="U408" s="574"/>
      <c r="V408" s="574"/>
      <c r="W408" s="574"/>
      <c r="X408" s="574"/>
      <c r="Y408" s="574"/>
      <c r="Z408" s="574"/>
      <c r="AA408" s="574"/>
      <c r="AB408" s="574"/>
      <c r="AC408" s="574"/>
      <c r="AD408" s="574"/>
      <c r="AE408" s="574"/>
    </row>
    <row r="409" spans="1:31" ht="16.5" customHeight="1" x14ac:dyDescent="0.85">
      <c r="A409" s="574"/>
      <c r="B409" s="574"/>
      <c r="C409" s="574"/>
      <c r="D409" s="574"/>
      <c r="E409" s="574"/>
      <c r="F409" s="574"/>
      <c r="G409" s="574"/>
      <c r="H409" s="574"/>
      <c r="I409" s="574"/>
      <c r="J409" s="574"/>
      <c r="K409" s="574"/>
      <c r="L409" s="574"/>
      <c r="M409" s="574"/>
      <c r="N409" s="574"/>
      <c r="O409" s="574"/>
      <c r="P409" s="574"/>
      <c r="Q409" s="574"/>
      <c r="R409" s="574"/>
      <c r="S409" s="574"/>
      <c r="T409" s="574"/>
      <c r="U409" s="574"/>
      <c r="V409" s="574"/>
      <c r="W409" s="574"/>
      <c r="X409" s="574"/>
      <c r="Y409" s="574"/>
      <c r="Z409" s="574"/>
      <c r="AA409" s="574"/>
      <c r="AB409" s="574"/>
      <c r="AC409" s="574"/>
      <c r="AD409" s="574"/>
      <c r="AE409" s="574"/>
    </row>
    <row r="410" spans="1:31" ht="16.5" customHeight="1" x14ac:dyDescent="0.85">
      <c r="A410" s="574"/>
      <c r="B410" s="574"/>
      <c r="C410" s="574"/>
      <c r="D410" s="574"/>
      <c r="E410" s="574"/>
      <c r="F410" s="574"/>
      <c r="G410" s="574"/>
      <c r="H410" s="574"/>
      <c r="I410" s="574"/>
      <c r="J410" s="574"/>
      <c r="K410" s="574"/>
      <c r="L410" s="574"/>
      <c r="M410" s="574"/>
      <c r="N410" s="574"/>
      <c r="O410" s="574"/>
      <c r="P410" s="574"/>
      <c r="Q410" s="574"/>
      <c r="R410" s="574"/>
      <c r="S410" s="574"/>
      <c r="T410" s="574"/>
      <c r="U410" s="574"/>
      <c r="V410" s="574"/>
      <c r="W410" s="574"/>
      <c r="X410" s="574"/>
      <c r="Y410" s="574"/>
      <c r="Z410" s="574"/>
      <c r="AA410" s="574"/>
      <c r="AB410" s="574"/>
      <c r="AC410" s="574"/>
      <c r="AD410" s="574"/>
      <c r="AE410" s="574"/>
    </row>
    <row r="411" spans="1:31" ht="16.5" customHeight="1" x14ac:dyDescent="0.85">
      <c r="A411" s="574"/>
      <c r="B411" s="574"/>
      <c r="C411" s="574"/>
      <c r="D411" s="574"/>
      <c r="E411" s="574"/>
      <c r="F411" s="574"/>
      <c r="G411" s="574"/>
      <c r="H411" s="574"/>
      <c r="I411" s="574"/>
      <c r="J411" s="574"/>
      <c r="K411" s="574"/>
      <c r="L411" s="574"/>
      <c r="M411" s="574"/>
      <c r="N411" s="574"/>
      <c r="O411" s="574"/>
      <c r="P411" s="574"/>
      <c r="Q411" s="574"/>
      <c r="R411" s="574"/>
      <c r="S411" s="574"/>
      <c r="T411" s="574"/>
      <c r="U411" s="574"/>
      <c r="V411" s="574"/>
      <c r="W411" s="574"/>
      <c r="X411" s="574"/>
      <c r="Y411" s="574"/>
      <c r="Z411" s="574"/>
      <c r="AA411" s="574"/>
      <c r="AB411" s="574"/>
      <c r="AC411" s="574"/>
      <c r="AD411" s="574"/>
      <c r="AE411" s="574"/>
    </row>
    <row r="412" spans="1:31" ht="16.5" customHeight="1" x14ac:dyDescent="0.85">
      <c r="A412" s="574"/>
      <c r="B412" s="574"/>
      <c r="C412" s="574"/>
      <c r="D412" s="574"/>
      <c r="E412" s="574"/>
      <c r="F412" s="574"/>
      <c r="G412" s="574"/>
      <c r="H412" s="574"/>
      <c r="I412" s="574"/>
      <c r="J412" s="574"/>
      <c r="K412" s="574"/>
      <c r="L412" s="574"/>
      <c r="M412" s="574"/>
      <c r="N412" s="574"/>
      <c r="O412" s="574"/>
      <c r="P412" s="574"/>
      <c r="Q412" s="574"/>
      <c r="R412" s="574"/>
      <c r="S412" s="574"/>
      <c r="T412" s="574"/>
      <c r="U412" s="574"/>
      <c r="V412" s="574"/>
      <c r="W412" s="574"/>
      <c r="X412" s="574"/>
      <c r="Y412" s="574"/>
      <c r="Z412" s="574"/>
      <c r="AA412" s="574"/>
      <c r="AB412" s="574"/>
      <c r="AC412" s="574"/>
      <c r="AD412" s="574"/>
      <c r="AE412" s="574"/>
    </row>
    <row r="413" spans="1:31" ht="16.5" customHeight="1" x14ac:dyDescent="0.85">
      <c r="A413" s="574"/>
      <c r="B413" s="574"/>
      <c r="C413" s="574"/>
      <c r="D413" s="574"/>
      <c r="E413" s="574"/>
      <c r="F413" s="574"/>
      <c r="G413" s="574"/>
      <c r="H413" s="574"/>
      <c r="I413" s="574"/>
      <c r="J413" s="574"/>
      <c r="K413" s="574"/>
      <c r="L413" s="574"/>
      <c r="M413" s="574"/>
      <c r="N413" s="574"/>
      <c r="O413" s="574"/>
      <c r="P413" s="574"/>
      <c r="Q413" s="574"/>
      <c r="R413" s="574"/>
      <c r="S413" s="574"/>
      <c r="T413" s="574"/>
      <c r="U413" s="574"/>
      <c r="V413" s="574"/>
      <c r="W413" s="574"/>
      <c r="X413" s="574"/>
      <c r="Y413" s="574"/>
      <c r="Z413" s="574"/>
      <c r="AA413" s="574"/>
      <c r="AB413" s="574"/>
      <c r="AC413" s="574"/>
      <c r="AD413" s="574"/>
      <c r="AE413" s="574"/>
    </row>
    <row r="414" spans="1:31" ht="16.5" customHeight="1" x14ac:dyDescent="0.85">
      <c r="A414" s="574"/>
      <c r="B414" s="574"/>
      <c r="C414" s="574"/>
      <c r="D414" s="574"/>
      <c r="E414" s="574"/>
      <c r="F414" s="574"/>
      <c r="G414" s="574"/>
      <c r="H414" s="574"/>
      <c r="I414" s="574"/>
      <c r="J414" s="574"/>
      <c r="K414" s="574"/>
      <c r="L414" s="574"/>
      <c r="M414" s="574"/>
      <c r="N414" s="574"/>
      <c r="O414" s="574"/>
      <c r="P414" s="574"/>
      <c r="Q414" s="574"/>
      <c r="R414" s="574"/>
      <c r="S414" s="574"/>
      <c r="T414" s="574"/>
      <c r="U414" s="574"/>
      <c r="V414" s="574"/>
      <c r="W414" s="574"/>
      <c r="X414" s="574"/>
      <c r="Y414" s="574"/>
      <c r="Z414" s="574"/>
      <c r="AA414" s="574"/>
      <c r="AB414" s="574"/>
      <c r="AC414" s="574"/>
      <c r="AD414" s="574"/>
      <c r="AE414" s="574"/>
    </row>
    <row r="415" spans="1:31" ht="16.5" customHeight="1" x14ac:dyDescent="0.85">
      <c r="A415" s="574"/>
      <c r="B415" s="574"/>
      <c r="C415" s="574"/>
      <c r="D415" s="574"/>
      <c r="E415" s="574"/>
      <c r="F415" s="574"/>
      <c r="G415" s="574"/>
      <c r="H415" s="574"/>
      <c r="I415" s="574"/>
      <c r="J415" s="574"/>
      <c r="K415" s="574"/>
      <c r="L415" s="574"/>
      <c r="M415" s="574"/>
      <c r="N415" s="574"/>
      <c r="O415" s="574"/>
      <c r="P415" s="574"/>
      <c r="Q415" s="574"/>
      <c r="R415" s="574"/>
      <c r="S415" s="574"/>
      <c r="T415" s="574"/>
      <c r="U415" s="574"/>
      <c r="V415" s="574"/>
      <c r="W415" s="574"/>
      <c r="X415" s="574"/>
      <c r="Y415" s="574"/>
      <c r="Z415" s="574"/>
      <c r="AA415" s="574"/>
      <c r="AB415" s="574"/>
      <c r="AC415" s="574"/>
      <c r="AD415" s="574"/>
      <c r="AE415" s="574"/>
    </row>
    <row r="416" spans="1:31" ht="16.5" customHeight="1" x14ac:dyDescent="0.85">
      <c r="A416" s="574"/>
      <c r="B416" s="574"/>
      <c r="C416" s="574"/>
      <c r="D416" s="574"/>
      <c r="E416" s="574"/>
      <c r="F416" s="574"/>
      <c r="G416" s="574"/>
      <c r="H416" s="574"/>
      <c r="I416" s="574"/>
      <c r="J416" s="574"/>
      <c r="K416" s="574"/>
      <c r="L416" s="574"/>
      <c r="M416" s="574"/>
      <c r="N416" s="574"/>
      <c r="O416" s="574"/>
      <c r="P416" s="574"/>
      <c r="Q416" s="574"/>
      <c r="R416" s="574"/>
      <c r="S416" s="574"/>
      <c r="T416" s="574"/>
      <c r="U416" s="574"/>
      <c r="V416" s="574"/>
      <c r="W416" s="574"/>
      <c r="X416" s="574"/>
      <c r="Y416" s="574"/>
      <c r="Z416" s="574"/>
      <c r="AA416" s="574"/>
      <c r="AB416" s="574"/>
      <c r="AC416" s="574"/>
      <c r="AD416" s="574"/>
      <c r="AE416" s="574"/>
    </row>
    <row r="417" spans="1:31" ht="16.5" customHeight="1" x14ac:dyDescent="0.85">
      <c r="A417" s="574"/>
      <c r="B417" s="574"/>
      <c r="C417" s="574"/>
      <c r="D417" s="574"/>
      <c r="E417" s="574"/>
      <c r="F417" s="574"/>
      <c r="G417" s="574"/>
      <c r="H417" s="574"/>
      <c r="I417" s="574"/>
      <c r="J417" s="574"/>
      <c r="K417" s="574"/>
      <c r="L417" s="574"/>
      <c r="M417" s="574"/>
      <c r="N417" s="574"/>
      <c r="O417" s="574"/>
      <c r="P417" s="574"/>
      <c r="Q417" s="574"/>
      <c r="R417" s="574"/>
      <c r="S417" s="574"/>
      <c r="T417" s="574"/>
      <c r="U417" s="574"/>
      <c r="V417" s="574"/>
      <c r="W417" s="574"/>
      <c r="X417" s="574"/>
      <c r="Y417" s="574"/>
      <c r="Z417" s="574"/>
      <c r="AA417" s="574"/>
      <c r="AB417" s="574"/>
      <c r="AC417" s="574"/>
      <c r="AD417" s="574"/>
      <c r="AE417" s="574"/>
    </row>
    <row r="418" spans="1:31" ht="16.5" customHeight="1" x14ac:dyDescent="0.85">
      <c r="A418" s="574"/>
      <c r="B418" s="574"/>
      <c r="C418" s="574"/>
      <c r="D418" s="574"/>
      <c r="E418" s="574"/>
      <c r="F418" s="574"/>
      <c r="G418" s="574"/>
      <c r="H418" s="574"/>
      <c r="I418" s="574"/>
      <c r="J418" s="574"/>
      <c r="K418" s="574"/>
      <c r="L418" s="574"/>
      <c r="M418" s="574"/>
      <c r="N418" s="574"/>
      <c r="O418" s="574"/>
      <c r="P418" s="574"/>
      <c r="Q418" s="574"/>
      <c r="R418" s="574"/>
      <c r="S418" s="574"/>
      <c r="T418" s="574"/>
      <c r="U418" s="574"/>
      <c r="V418" s="574"/>
      <c r="W418" s="574"/>
      <c r="X418" s="574"/>
      <c r="Y418" s="574"/>
      <c r="Z418" s="574"/>
      <c r="AA418" s="574"/>
      <c r="AB418" s="574"/>
      <c r="AC418" s="574"/>
      <c r="AD418" s="574"/>
      <c r="AE418" s="574"/>
    </row>
    <row r="419" spans="1:31" ht="16.5" customHeight="1" x14ac:dyDescent="0.85">
      <c r="A419" s="574"/>
      <c r="B419" s="574"/>
      <c r="C419" s="574"/>
      <c r="D419" s="574"/>
      <c r="E419" s="574"/>
      <c r="F419" s="574"/>
      <c r="G419" s="574"/>
      <c r="H419" s="574"/>
      <c r="I419" s="574"/>
      <c r="J419" s="574"/>
      <c r="K419" s="574"/>
      <c r="L419" s="574"/>
      <c r="M419" s="574"/>
      <c r="N419" s="574"/>
      <c r="O419" s="574"/>
      <c r="P419" s="574"/>
      <c r="Q419" s="574"/>
      <c r="R419" s="574"/>
      <c r="S419" s="574"/>
      <c r="T419" s="574"/>
      <c r="U419" s="574"/>
      <c r="V419" s="574"/>
      <c r="W419" s="574"/>
      <c r="X419" s="574"/>
      <c r="Y419" s="574"/>
      <c r="Z419" s="574"/>
      <c r="AA419" s="574"/>
      <c r="AB419" s="574"/>
      <c r="AC419" s="574"/>
      <c r="AD419" s="574"/>
      <c r="AE419" s="574"/>
    </row>
    <row r="420" spans="1:31" ht="16.5" customHeight="1" x14ac:dyDescent="0.85">
      <c r="A420" s="574"/>
      <c r="B420" s="574"/>
      <c r="C420" s="574"/>
      <c r="D420" s="574"/>
      <c r="E420" s="574"/>
      <c r="F420" s="574"/>
      <c r="G420" s="574"/>
      <c r="H420" s="574"/>
      <c r="I420" s="574"/>
      <c r="J420" s="574"/>
      <c r="K420" s="574"/>
      <c r="L420" s="574"/>
      <c r="M420" s="574"/>
      <c r="N420" s="574"/>
      <c r="O420" s="574"/>
      <c r="P420" s="574"/>
      <c r="Q420" s="574"/>
      <c r="R420" s="574"/>
      <c r="S420" s="574"/>
      <c r="T420" s="574"/>
      <c r="U420" s="574"/>
      <c r="V420" s="574"/>
      <c r="W420" s="574"/>
      <c r="X420" s="574"/>
      <c r="Y420" s="574"/>
      <c r="Z420" s="574"/>
      <c r="AA420" s="574"/>
      <c r="AB420" s="574"/>
      <c r="AC420" s="574"/>
      <c r="AD420" s="574"/>
      <c r="AE420" s="574"/>
    </row>
    <row r="421" spans="1:31" ht="16.5" customHeight="1" x14ac:dyDescent="0.85">
      <c r="A421" s="574"/>
      <c r="B421" s="574"/>
      <c r="C421" s="574"/>
      <c r="D421" s="574"/>
      <c r="E421" s="574"/>
      <c r="F421" s="574"/>
      <c r="G421" s="574"/>
      <c r="H421" s="574"/>
      <c r="I421" s="574"/>
      <c r="J421" s="574"/>
      <c r="K421" s="574"/>
      <c r="L421" s="574"/>
      <c r="M421" s="574"/>
      <c r="N421" s="574"/>
      <c r="O421" s="574"/>
      <c r="P421" s="574"/>
      <c r="Q421" s="574"/>
      <c r="R421" s="574"/>
      <c r="S421" s="574"/>
      <c r="T421" s="574"/>
      <c r="U421" s="574"/>
      <c r="V421" s="574"/>
      <c r="W421" s="574"/>
      <c r="X421" s="574"/>
      <c r="Y421" s="574"/>
      <c r="Z421" s="574"/>
      <c r="AA421" s="574"/>
      <c r="AB421" s="574"/>
      <c r="AC421" s="574"/>
      <c r="AD421" s="574"/>
      <c r="AE421" s="574"/>
    </row>
    <row r="422" spans="1:31" ht="16.5" customHeight="1" x14ac:dyDescent="0.85">
      <c r="A422" s="574"/>
      <c r="B422" s="574"/>
      <c r="C422" s="574"/>
      <c r="D422" s="574"/>
      <c r="E422" s="574"/>
      <c r="F422" s="574"/>
      <c r="G422" s="574"/>
      <c r="H422" s="574"/>
      <c r="I422" s="574"/>
      <c r="J422" s="574"/>
      <c r="K422" s="574"/>
      <c r="L422" s="574"/>
      <c r="M422" s="574"/>
      <c r="N422" s="574"/>
      <c r="O422" s="574"/>
      <c r="P422" s="574"/>
      <c r="Q422" s="574"/>
      <c r="R422" s="574"/>
      <c r="S422" s="574"/>
      <c r="T422" s="574"/>
      <c r="U422" s="574"/>
      <c r="V422" s="574"/>
      <c r="W422" s="574"/>
      <c r="X422" s="574"/>
      <c r="Y422" s="574"/>
      <c r="Z422" s="574"/>
      <c r="AA422" s="574"/>
      <c r="AB422" s="574"/>
      <c r="AC422" s="574"/>
      <c r="AD422" s="574"/>
      <c r="AE422" s="574"/>
    </row>
    <row r="423" spans="1:31" ht="16.5" customHeight="1" x14ac:dyDescent="0.85">
      <c r="A423" s="574"/>
      <c r="B423" s="574"/>
      <c r="C423" s="574"/>
      <c r="D423" s="574"/>
      <c r="E423" s="574"/>
      <c r="F423" s="574"/>
      <c r="G423" s="574"/>
      <c r="H423" s="574"/>
      <c r="I423" s="574"/>
      <c r="J423" s="574"/>
      <c r="K423" s="574"/>
      <c r="L423" s="574"/>
      <c r="M423" s="574"/>
      <c r="N423" s="574"/>
      <c r="O423" s="574"/>
      <c r="P423" s="574"/>
      <c r="Q423" s="574"/>
      <c r="R423" s="574"/>
      <c r="S423" s="574"/>
      <c r="T423" s="574"/>
      <c r="U423" s="574"/>
      <c r="V423" s="574"/>
      <c r="W423" s="574"/>
      <c r="X423" s="574"/>
      <c r="Y423" s="574"/>
      <c r="Z423" s="574"/>
      <c r="AA423" s="574"/>
      <c r="AB423" s="574"/>
      <c r="AC423" s="574"/>
      <c r="AD423" s="574"/>
      <c r="AE423" s="574"/>
    </row>
    <row r="424" spans="1:31" ht="16.5" customHeight="1" x14ac:dyDescent="0.85">
      <c r="A424" s="574"/>
      <c r="B424" s="574"/>
      <c r="C424" s="574"/>
      <c r="D424" s="574"/>
      <c r="E424" s="574"/>
      <c r="F424" s="574"/>
      <c r="G424" s="574"/>
      <c r="H424" s="574"/>
      <c r="I424" s="574"/>
      <c r="J424" s="574"/>
      <c r="K424" s="574"/>
      <c r="L424" s="574"/>
      <c r="M424" s="574"/>
      <c r="N424" s="574"/>
      <c r="O424" s="574"/>
      <c r="P424" s="574"/>
      <c r="Q424" s="574"/>
      <c r="R424" s="574"/>
      <c r="S424" s="574"/>
      <c r="T424" s="574"/>
      <c r="U424" s="574"/>
      <c r="V424" s="574"/>
      <c r="W424" s="574"/>
      <c r="X424" s="574"/>
      <c r="Y424" s="574"/>
      <c r="Z424" s="574"/>
      <c r="AA424" s="574"/>
      <c r="AB424" s="574"/>
      <c r="AC424" s="574"/>
      <c r="AD424" s="574"/>
      <c r="AE424" s="574"/>
    </row>
    <row r="425" spans="1:31" ht="16.5" customHeight="1" x14ac:dyDescent="0.85">
      <c r="A425" s="574"/>
      <c r="B425" s="574"/>
      <c r="C425" s="574"/>
      <c r="D425" s="574"/>
      <c r="E425" s="574"/>
      <c r="F425" s="574"/>
      <c r="G425" s="574"/>
      <c r="H425" s="574"/>
      <c r="I425" s="574"/>
      <c r="J425" s="574"/>
      <c r="K425" s="574"/>
      <c r="L425" s="574"/>
      <c r="M425" s="574"/>
      <c r="N425" s="574"/>
      <c r="O425" s="574"/>
      <c r="P425" s="574"/>
      <c r="Q425" s="574"/>
      <c r="R425" s="574"/>
      <c r="S425" s="574"/>
      <c r="T425" s="574"/>
      <c r="U425" s="574"/>
      <c r="V425" s="574"/>
      <c r="W425" s="574"/>
      <c r="X425" s="574"/>
      <c r="Y425" s="574"/>
      <c r="Z425" s="574"/>
      <c r="AA425" s="574"/>
      <c r="AB425" s="574"/>
      <c r="AC425" s="574"/>
      <c r="AD425" s="574"/>
      <c r="AE425" s="574"/>
    </row>
    <row r="426" spans="1:31" ht="16.5" customHeight="1" x14ac:dyDescent="0.85">
      <c r="A426" s="574"/>
      <c r="B426" s="574"/>
      <c r="C426" s="574"/>
      <c r="D426" s="574"/>
      <c r="E426" s="574"/>
      <c r="F426" s="574"/>
      <c r="G426" s="574"/>
      <c r="H426" s="574"/>
      <c r="I426" s="574"/>
      <c r="J426" s="574"/>
      <c r="K426" s="574"/>
      <c r="L426" s="574"/>
      <c r="M426" s="574"/>
      <c r="N426" s="574"/>
      <c r="O426" s="574"/>
      <c r="P426" s="574"/>
      <c r="Q426" s="574"/>
      <c r="R426" s="574"/>
      <c r="S426" s="574"/>
      <c r="T426" s="574"/>
      <c r="U426" s="574"/>
      <c r="V426" s="574"/>
      <c r="W426" s="574"/>
      <c r="X426" s="574"/>
      <c r="Y426" s="574"/>
      <c r="Z426" s="574"/>
      <c r="AA426" s="574"/>
      <c r="AB426" s="574"/>
      <c r="AC426" s="574"/>
      <c r="AD426" s="574"/>
      <c r="AE426" s="574"/>
    </row>
    <row r="427" spans="1:31" ht="16.5" customHeight="1" x14ac:dyDescent="0.85">
      <c r="A427" s="574"/>
      <c r="B427" s="574"/>
      <c r="C427" s="574"/>
      <c r="D427" s="574"/>
      <c r="E427" s="574"/>
      <c r="F427" s="574"/>
      <c r="G427" s="574"/>
      <c r="H427" s="574"/>
      <c r="I427" s="574"/>
      <c r="J427" s="574"/>
      <c r="K427" s="574"/>
      <c r="L427" s="574"/>
      <c r="M427" s="574"/>
      <c r="N427" s="574"/>
      <c r="O427" s="574"/>
      <c r="P427" s="574"/>
      <c r="Q427" s="574"/>
      <c r="R427" s="574"/>
      <c r="S427" s="574"/>
      <c r="T427" s="574"/>
      <c r="U427" s="574"/>
      <c r="V427" s="574"/>
      <c r="W427" s="574"/>
      <c r="X427" s="574"/>
      <c r="Y427" s="574"/>
      <c r="Z427" s="574"/>
      <c r="AA427" s="574"/>
      <c r="AB427" s="574"/>
      <c r="AC427" s="574"/>
      <c r="AD427" s="574"/>
      <c r="AE427" s="574"/>
    </row>
    <row r="428" spans="1:31" ht="16.5" customHeight="1" x14ac:dyDescent="0.85">
      <c r="A428" s="574"/>
      <c r="B428" s="574"/>
      <c r="C428" s="574"/>
      <c r="D428" s="574"/>
      <c r="E428" s="574"/>
      <c r="F428" s="574"/>
      <c r="G428" s="574"/>
      <c r="H428" s="574"/>
      <c r="I428" s="574"/>
      <c r="J428" s="574"/>
      <c r="K428" s="574"/>
      <c r="L428" s="574"/>
      <c r="M428" s="574"/>
      <c r="N428" s="574"/>
      <c r="O428" s="574"/>
      <c r="P428" s="574"/>
      <c r="Q428" s="574"/>
      <c r="R428" s="574"/>
      <c r="S428" s="574"/>
      <c r="T428" s="574"/>
      <c r="U428" s="574"/>
      <c r="V428" s="574"/>
      <c r="W428" s="574"/>
      <c r="X428" s="574"/>
      <c r="Y428" s="574"/>
      <c r="Z428" s="574"/>
      <c r="AA428" s="574"/>
      <c r="AB428" s="574"/>
      <c r="AC428" s="574"/>
      <c r="AD428" s="574"/>
      <c r="AE428" s="574"/>
    </row>
    <row r="429" spans="1:31" ht="16.5" customHeight="1" x14ac:dyDescent="0.85">
      <c r="A429" s="574"/>
      <c r="B429" s="574"/>
      <c r="C429" s="574"/>
      <c r="D429" s="574"/>
      <c r="E429" s="574"/>
      <c r="F429" s="574"/>
      <c r="G429" s="574"/>
      <c r="H429" s="574"/>
      <c r="I429" s="574"/>
      <c r="J429" s="574"/>
      <c r="K429" s="574"/>
      <c r="L429" s="574"/>
      <c r="M429" s="574"/>
      <c r="N429" s="574"/>
      <c r="O429" s="574"/>
      <c r="P429" s="574"/>
      <c r="Q429" s="574"/>
      <c r="R429" s="574"/>
      <c r="S429" s="574"/>
      <c r="T429" s="574"/>
      <c r="U429" s="574"/>
      <c r="V429" s="574"/>
      <c r="W429" s="574"/>
      <c r="X429" s="574"/>
      <c r="Y429" s="574"/>
      <c r="Z429" s="574"/>
      <c r="AA429" s="574"/>
      <c r="AB429" s="574"/>
      <c r="AC429" s="574"/>
      <c r="AD429" s="574"/>
      <c r="AE429" s="574"/>
    </row>
    <row r="430" spans="1:31" ht="16.5" customHeight="1" x14ac:dyDescent="0.85">
      <c r="A430" s="574"/>
      <c r="B430" s="574"/>
      <c r="C430" s="574"/>
      <c r="D430" s="574"/>
      <c r="E430" s="574"/>
      <c r="F430" s="574"/>
      <c r="G430" s="574"/>
      <c r="H430" s="574"/>
      <c r="I430" s="574"/>
      <c r="J430" s="574"/>
      <c r="K430" s="574"/>
      <c r="L430" s="574"/>
      <c r="M430" s="574"/>
      <c r="N430" s="574"/>
      <c r="O430" s="574"/>
      <c r="P430" s="574"/>
      <c r="Q430" s="574"/>
      <c r="R430" s="574"/>
      <c r="S430" s="574"/>
      <c r="T430" s="574"/>
      <c r="U430" s="574"/>
      <c r="V430" s="574"/>
      <c r="W430" s="574"/>
      <c r="X430" s="574"/>
      <c r="Y430" s="574"/>
      <c r="Z430" s="574"/>
      <c r="AA430" s="574"/>
      <c r="AB430" s="574"/>
      <c r="AC430" s="574"/>
      <c r="AD430" s="574"/>
      <c r="AE430" s="574"/>
    </row>
    <row r="431" spans="1:31" ht="16.5" customHeight="1" x14ac:dyDescent="0.85">
      <c r="A431" s="574"/>
      <c r="B431" s="574"/>
      <c r="C431" s="574"/>
      <c r="D431" s="574"/>
      <c r="E431" s="574"/>
      <c r="F431" s="574"/>
      <c r="G431" s="574"/>
      <c r="H431" s="574"/>
      <c r="I431" s="574"/>
      <c r="J431" s="574"/>
      <c r="K431" s="574"/>
      <c r="L431" s="574"/>
      <c r="M431" s="574"/>
      <c r="N431" s="574"/>
      <c r="O431" s="574"/>
      <c r="P431" s="574"/>
      <c r="Q431" s="574"/>
      <c r="R431" s="574"/>
      <c r="S431" s="574"/>
      <c r="T431" s="574"/>
      <c r="U431" s="574"/>
      <c r="V431" s="574"/>
      <c r="W431" s="574"/>
      <c r="X431" s="574"/>
      <c r="Y431" s="574"/>
      <c r="Z431" s="574"/>
      <c r="AA431" s="574"/>
      <c r="AB431" s="574"/>
      <c r="AC431" s="574"/>
      <c r="AD431" s="574"/>
      <c r="AE431" s="574"/>
    </row>
    <row r="432" spans="1:31" ht="16.5" customHeight="1" x14ac:dyDescent="0.85">
      <c r="A432" s="574"/>
      <c r="B432" s="574"/>
      <c r="C432" s="574"/>
      <c r="D432" s="574"/>
      <c r="E432" s="574"/>
      <c r="F432" s="574"/>
      <c r="G432" s="574"/>
      <c r="H432" s="574"/>
      <c r="I432" s="574"/>
      <c r="J432" s="574"/>
      <c r="K432" s="574"/>
      <c r="L432" s="574"/>
      <c r="M432" s="574"/>
      <c r="N432" s="574"/>
      <c r="O432" s="574"/>
      <c r="P432" s="574"/>
      <c r="Q432" s="574"/>
      <c r="R432" s="574"/>
      <c r="S432" s="574"/>
      <c r="T432" s="574"/>
      <c r="U432" s="574"/>
      <c r="V432" s="574"/>
      <c r="W432" s="574"/>
      <c r="X432" s="574"/>
      <c r="Y432" s="574"/>
      <c r="Z432" s="574"/>
      <c r="AA432" s="574"/>
      <c r="AB432" s="574"/>
      <c r="AC432" s="574"/>
      <c r="AD432" s="574"/>
      <c r="AE432" s="574"/>
    </row>
    <row r="433" spans="1:31" ht="16.5" customHeight="1" x14ac:dyDescent="0.85">
      <c r="A433" s="574"/>
      <c r="B433" s="574"/>
      <c r="C433" s="574"/>
      <c r="D433" s="574"/>
      <c r="E433" s="574"/>
      <c r="F433" s="574"/>
      <c r="G433" s="574"/>
      <c r="H433" s="574"/>
      <c r="I433" s="574"/>
      <c r="J433" s="574"/>
      <c r="K433" s="574"/>
      <c r="L433" s="574"/>
      <c r="M433" s="574"/>
      <c r="N433" s="574"/>
      <c r="O433" s="574"/>
      <c r="P433" s="574"/>
      <c r="Q433" s="574"/>
      <c r="R433" s="574"/>
      <c r="S433" s="574"/>
      <c r="T433" s="574"/>
      <c r="U433" s="574"/>
      <c r="V433" s="574"/>
      <c r="W433" s="574"/>
      <c r="X433" s="574"/>
      <c r="Y433" s="574"/>
      <c r="Z433" s="574"/>
      <c r="AA433" s="574"/>
      <c r="AB433" s="574"/>
      <c r="AC433" s="574"/>
      <c r="AD433" s="574"/>
      <c r="AE433" s="574"/>
    </row>
    <row r="434" spans="1:31" ht="16.5" customHeight="1" x14ac:dyDescent="0.85">
      <c r="A434" s="574"/>
      <c r="B434" s="574"/>
      <c r="C434" s="574"/>
      <c r="D434" s="574"/>
      <c r="E434" s="574"/>
      <c r="F434" s="574"/>
      <c r="G434" s="574"/>
      <c r="H434" s="574"/>
      <c r="I434" s="574"/>
      <c r="J434" s="574"/>
      <c r="K434" s="574"/>
      <c r="L434" s="574"/>
      <c r="M434" s="574"/>
      <c r="N434" s="574"/>
      <c r="O434" s="574"/>
      <c r="P434" s="574"/>
      <c r="Q434" s="574"/>
      <c r="R434" s="574"/>
      <c r="S434" s="574"/>
      <c r="T434" s="574"/>
      <c r="U434" s="574"/>
      <c r="V434" s="574"/>
      <c r="W434" s="574"/>
      <c r="X434" s="574"/>
      <c r="Y434" s="574"/>
      <c r="Z434" s="574"/>
      <c r="AA434" s="574"/>
      <c r="AB434" s="574"/>
      <c r="AC434" s="574"/>
      <c r="AD434" s="574"/>
      <c r="AE434" s="574"/>
    </row>
    <row r="435" spans="1:31" ht="16.5" customHeight="1" x14ac:dyDescent="0.85">
      <c r="A435" s="574"/>
      <c r="B435" s="574"/>
      <c r="C435" s="574"/>
      <c r="D435" s="574"/>
      <c r="E435" s="574"/>
      <c r="F435" s="574"/>
      <c r="G435" s="574"/>
      <c r="H435" s="574"/>
      <c r="I435" s="574"/>
      <c r="J435" s="574"/>
      <c r="K435" s="574"/>
      <c r="L435" s="574"/>
      <c r="M435" s="574"/>
      <c r="N435" s="574"/>
      <c r="O435" s="574"/>
      <c r="P435" s="574"/>
      <c r="Q435" s="574"/>
      <c r="R435" s="574"/>
      <c r="S435" s="574"/>
      <c r="T435" s="574"/>
      <c r="U435" s="574"/>
      <c r="V435" s="574"/>
      <c r="W435" s="574"/>
      <c r="X435" s="574"/>
      <c r="Y435" s="574"/>
      <c r="Z435" s="574"/>
      <c r="AA435" s="574"/>
      <c r="AB435" s="574"/>
      <c r="AC435" s="574"/>
      <c r="AD435" s="574"/>
      <c r="AE435" s="574"/>
    </row>
    <row r="436" spans="1:31" ht="16.5" customHeight="1" x14ac:dyDescent="0.85">
      <c r="A436" s="574"/>
      <c r="B436" s="574"/>
      <c r="C436" s="574"/>
      <c r="D436" s="574"/>
      <c r="E436" s="574"/>
      <c r="F436" s="574"/>
      <c r="G436" s="574"/>
      <c r="H436" s="574"/>
      <c r="I436" s="574"/>
      <c r="J436" s="574"/>
      <c r="K436" s="574"/>
      <c r="L436" s="574"/>
      <c r="M436" s="574"/>
      <c r="N436" s="574"/>
      <c r="O436" s="574"/>
      <c r="P436" s="574"/>
      <c r="Q436" s="574"/>
      <c r="R436" s="574"/>
      <c r="S436" s="574"/>
      <c r="T436" s="574"/>
      <c r="U436" s="574"/>
      <c r="V436" s="574"/>
      <c r="W436" s="574"/>
      <c r="X436" s="574"/>
      <c r="Y436" s="574"/>
      <c r="Z436" s="574"/>
      <c r="AA436" s="574"/>
      <c r="AB436" s="574"/>
      <c r="AC436" s="574"/>
      <c r="AD436" s="574"/>
      <c r="AE436" s="574"/>
    </row>
    <row r="437" spans="1:31" ht="16.5" customHeight="1" x14ac:dyDescent="0.85">
      <c r="A437" s="574"/>
      <c r="B437" s="574"/>
      <c r="C437" s="574"/>
      <c r="D437" s="574"/>
      <c r="E437" s="574"/>
      <c r="F437" s="574"/>
      <c r="G437" s="574"/>
      <c r="H437" s="574"/>
      <c r="I437" s="574"/>
      <c r="J437" s="574"/>
      <c r="K437" s="574"/>
      <c r="L437" s="574"/>
      <c r="M437" s="574"/>
      <c r="N437" s="574"/>
      <c r="O437" s="574"/>
      <c r="P437" s="574"/>
      <c r="Q437" s="574"/>
      <c r="R437" s="574"/>
      <c r="S437" s="574"/>
      <c r="T437" s="574"/>
      <c r="U437" s="574"/>
      <c r="V437" s="574"/>
      <c r="W437" s="574"/>
      <c r="X437" s="574"/>
      <c r="Y437" s="574"/>
      <c r="Z437" s="574"/>
      <c r="AA437" s="574"/>
      <c r="AB437" s="574"/>
      <c r="AC437" s="574"/>
      <c r="AD437" s="574"/>
      <c r="AE437" s="574"/>
    </row>
    <row r="438" spans="1:31" ht="16.5" customHeight="1" x14ac:dyDescent="0.85">
      <c r="A438" s="574"/>
      <c r="B438" s="574"/>
      <c r="C438" s="574"/>
      <c r="D438" s="574"/>
      <c r="E438" s="574"/>
      <c r="F438" s="574"/>
      <c r="G438" s="574"/>
      <c r="H438" s="574"/>
      <c r="I438" s="574"/>
      <c r="J438" s="574"/>
      <c r="K438" s="574"/>
      <c r="L438" s="574"/>
      <c r="M438" s="574"/>
      <c r="N438" s="574"/>
      <c r="O438" s="574"/>
      <c r="P438" s="574"/>
      <c r="Q438" s="574"/>
      <c r="R438" s="574"/>
      <c r="S438" s="574"/>
      <c r="T438" s="574"/>
      <c r="U438" s="574"/>
      <c r="V438" s="574"/>
      <c r="W438" s="574"/>
      <c r="X438" s="574"/>
      <c r="Y438" s="574"/>
      <c r="Z438" s="574"/>
      <c r="AA438" s="574"/>
      <c r="AB438" s="574"/>
      <c r="AC438" s="574"/>
      <c r="AD438" s="574"/>
      <c r="AE438" s="574"/>
    </row>
    <row r="439" spans="1:31" ht="16.5" customHeight="1" x14ac:dyDescent="0.85">
      <c r="A439" s="574"/>
      <c r="B439" s="574"/>
      <c r="C439" s="574"/>
      <c r="D439" s="574"/>
      <c r="E439" s="574"/>
      <c r="F439" s="574"/>
      <c r="G439" s="574"/>
      <c r="H439" s="574"/>
      <c r="I439" s="574"/>
      <c r="J439" s="574"/>
      <c r="K439" s="574"/>
      <c r="L439" s="574"/>
      <c r="M439" s="574"/>
      <c r="N439" s="574"/>
      <c r="O439" s="574"/>
      <c r="P439" s="574"/>
      <c r="Q439" s="574"/>
      <c r="R439" s="574"/>
      <c r="S439" s="574"/>
      <c r="T439" s="574"/>
      <c r="U439" s="574"/>
      <c r="V439" s="574"/>
      <c r="W439" s="574"/>
      <c r="X439" s="574"/>
      <c r="Y439" s="574"/>
      <c r="Z439" s="574"/>
      <c r="AA439" s="574"/>
      <c r="AB439" s="574"/>
      <c r="AC439" s="574"/>
      <c r="AD439" s="574"/>
      <c r="AE439" s="574"/>
    </row>
    <row r="440" spans="1:31" ht="16.5" customHeight="1" x14ac:dyDescent="0.85">
      <c r="A440" s="574"/>
      <c r="B440" s="574"/>
      <c r="C440" s="574"/>
      <c r="D440" s="574"/>
      <c r="E440" s="574"/>
      <c r="F440" s="574"/>
      <c r="G440" s="574"/>
      <c r="H440" s="574"/>
      <c r="I440" s="574"/>
      <c r="J440" s="574"/>
      <c r="K440" s="574"/>
      <c r="L440" s="574"/>
      <c r="M440" s="574"/>
      <c r="N440" s="574"/>
      <c r="O440" s="574"/>
      <c r="P440" s="574"/>
      <c r="Q440" s="574"/>
      <c r="R440" s="574"/>
      <c r="S440" s="574"/>
      <c r="T440" s="574"/>
      <c r="U440" s="574"/>
      <c r="V440" s="574"/>
      <c r="W440" s="574"/>
      <c r="X440" s="574"/>
      <c r="Y440" s="574"/>
      <c r="Z440" s="574"/>
      <c r="AA440" s="574"/>
      <c r="AB440" s="574"/>
      <c r="AC440" s="574"/>
      <c r="AD440" s="574"/>
      <c r="AE440" s="574"/>
    </row>
    <row r="441" spans="1:31" ht="16.5" customHeight="1" x14ac:dyDescent="0.85">
      <c r="A441" s="574"/>
      <c r="B441" s="574"/>
      <c r="C441" s="574"/>
      <c r="D441" s="574"/>
      <c r="E441" s="574"/>
      <c r="F441" s="574"/>
      <c r="G441" s="574"/>
      <c r="H441" s="574"/>
      <c r="I441" s="574"/>
      <c r="J441" s="574"/>
      <c r="K441" s="574"/>
      <c r="L441" s="574"/>
      <c r="M441" s="574"/>
      <c r="N441" s="574"/>
      <c r="O441" s="574"/>
      <c r="P441" s="574"/>
      <c r="Q441" s="574"/>
      <c r="R441" s="574"/>
      <c r="S441" s="574"/>
      <c r="T441" s="574"/>
      <c r="U441" s="574"/>
      <c r="V441" s="574"/>
      <c r="W441" s="574"/>
      <c r="X441" s="574"/>
      <c r="Y441" s="574"/>
      <c r="Z441" s="574"/>
      <c r="AA441" s="574"/>
      <c r="AB441" s="574"/>
      <c r="AC441" s="574"/>
      <c r="AD441" s="574"/>
      <c r="AE441" s="574"/>
    </row>
    <row r="442" spans="1:31" ht="16.5" customHeight="1" x14ac:dyDescent="0.85">
      <c r="A442" s="574"/>
      <c r="B442" s="574"/>
      <c r="C442" s="574"/>
      <c r="D442" s="574"/>
      <c r="E442" s="574"/>
      <c r="F442" s="574"/>
      <c r="G442" s="574"/>
      <c r="H442" s="574"/>
      <c r="I442" s="574"/>
      <c r="J442" s="574"/>
      <c r="K442" s="574"/>
      <c r="L442" s="574"/>
      <c r="M442" s="574"/>
      <c r="N442" s="574"/>
      <c r="O442" s="574"/>
      <c r="P442" s="574"/>
      <c r="Q442" s="574"/>
      <c r="R442" s="574"/>
      <c r="S442" s="574"/>
      <c r="T442" s="574"/>
      <c r="U442" s="574"/>
      <c r="V442" s="574"/>
      <c r="W442" s="574"/>
      <c r="X442" s="574"/>
      <c r="Y442" s="574"/>
      <c r="Z442" s="574"/>
      <c r="AA442" s="574"/>
      <c r="AB442" s="574"/>
      <c r="AC442" s="574"/>
      <c r="AD442" s="574"/>
      <c r="AE442" s="574"/>
    </row>
    <row r="443" spans="1:31" ht="16.5" customHeight="1" x14ac:dyDescent="0.85">
      <c r="A443" s="574"/>
      <c r="B443" s="574"/>
      <c r="C443" s="574"/>
      <c r="D443" s="574"/>
      <c r="E443" s="574"/>
      <c r="F443" s="574"/>
      <c r="G443" s="574"/>
      <c r="H443" s="574"/>
      <c r="I443" s="574"/>
      <c r="J443" s="574"/>
      <c r="K443" s="574"/>
      <c r="L443" s="574"/>
      <c r="M443" s="574"/>
      <c r="N443" s="574"/>
      <c r="O443" s="574"/>
      <c r="P443" s="574"/>
      <c r="Q443" s="574"/>
      <c r="R443" s="574"/>
      <c r="S443" s="574"/>
      <c r="T443" s="574"/>
      <c r="U443" s="574"/>
      <c r="V443" s="574"/>
      <c r="W443" s="574"/>
      <c r="X443" s="574"/>
      <c r="Y443" s="574"/>
      <c r="Z443" s="574"/>
      <c r="AA443" s="574"/>
      <c r="AB443" s="574"/>
      <c r="AC443" s="574"/>
      <c r="AD443" s="574"/>
      <c r="AE443" s="574"/>
    </row>
    <row r="444" spans="1:31" ht="16.5" customHeight="1" x14ac:dyDescent="0.85">
      <c r="A444" s="574"/>
      <c r="B444" s="574"/>
      <c r="C444" s="574"/>
      <c r="D444" s="574"/>
      <c r="E444" s="574"/>
      <c r="F444" s="574"/>
      <c r="G444" s="574"/>
      <c r="H444" s="574"/>
      <c r="I444" s="574"/>
      <c r="J444" s="574"/>
      <c r="K444" s="574"/>
      <c r="L444" s="574"/>
      <c r="M444" s="574"/>
      <c r="N444" s="574"/>
      <c r="O444" s="574"/>
      <c r="P444" s="574"/>
      <c r="Q444" s="574"/>
      <c r="R444" s="574"/>
      <c r="S444" s="574"/>
      <c r="T444" s="574"/>
      <c r="U444" s="574"/>
      <c r="V444" s="574"/>
      <c r="W444" s="574"/>
      <c r="X444" s="574"/>
      <c r="Y444" s="574"/>
      <c r="Z444" s="574"/>
      <c r="AA444" s="574"/>
      <c r="AB444" s="574"/>
      <c r="AC444" s="574"/>
      <c r="AD444" s="574"/>
      <c r="AE444" s="574"/>
    </row>
    <row r="445" spans="1:31" ht="16.5" customHeight="1" x14ac:dyDescent="0.85">
      <c r="A445" s="574"/>
      <c r="B445" s="574"/>
      <c r="C445" s="574"/>
      <c r="D445" s="574"/>
      <c r="E445" s="574"/>
      <c r="F445" s="574"/>
      <c r="G445" s="574"/>
      <c r="H445" s="574"/>
      <c r="I445" s="574"/>
      <c r="J445" s="574"/>
      <c r="K445" s="574"/>
      <c r="L445" s="574"/>
      <c r="M445" s="574"/>
      <c r="N445" s="574"/>
      <c r="O445" s="574"/>
      <c r="P445" s="574"/>
      <c r="Q445" s="574"/>
      <c r="R445" s="574"/>
      <c r="S445" s="574"/>
      <c r="T445" s="574"/>
      <c r="U445" s="574"/>
      <c r="V445" s="574"/>
      <c r="W445" s="574"/>
      <c r="X445" s="574"/>
      <c r="Y445" s="574"/>
      <c r="Z445" s="574"/>
      <c r="AA445" s="574"/>
      <c r="AB445" s="574"/>
      <c r="AC445" s="574"/>
      <c r="AD445" s="574"/>
      <c r="AE445" s="574"/>
    </row>
    <row r="446" spans="1:31" ht="16.5" customHeight="1" x14ac:dyDescent="0.85">
      <c r="A446" s="574"/>
      <c r="B446" s="574"/>
      <c r="C446" s="574"/>
      <c r="D446" s="574"/>
      <c r="E446" s="574"/>
      <c r="F446" s="574"/>
      <c r="G446" s="574"/>
      <c r="H446" s="574"/>
      <c r="I446" s="574"/>
      <c r="J446" s="574"/>
      <c r="K446" s="574"/>
      <c r="L446" s="574"/>
      <c r="M446" s="574"/>
      <c r="N446" s="574"/>
      <c r="O446" s="574"/>
      <c r="P446" s="574"/>
      <c r="Q446" s="574"/>
      <c r="R446" s="574"/>
      <c r="S446" s="574"/>
      <c r="T446" s="574"/>
      <c r="U446" s="574"/>
      <c r="V446" s="574"/>
      <c r="W446" s="574"/>
      <c r="X446" s="574"/>
      <c r="Y446" s="574"/>
      <c r="Z446" s="574"/>
      <c r="AA446" s="574"/>
      <c r="AB446" s="574"/>
      <c r="AC446" s="574"/>
      <c r="AD446" s="574"/>
      <c r="AE446" s="574"/>
    </row>
    <row r="447" spans="1:31" ht="16.5" customHeight="1" x14ac:dyDescent="0.85">
      <c r="A447" s="574"/>
      <c r="B447" s="574"/>
      <c r="C447" s="574"/>
      <c r="D447" s="574"/>
      <c r="E447" s="574"/>
      <c r="F447" s="574"/>
      <c r="G447" s="574"/>
      <c r="H447" s="574"/>
      <c r="I447" s="574"/>
      <c r="J447" s="574"/>
      <c r="K447" s="574"/>
      <c r="L447" s="574"/>
      <c r="M447" s="574"/>
      <c r="N447" s="574"/>
      <c r="O447" s="574"/>
      <c r="P447" s="574"/>
      <c r="Q447" s="574"/>
      <c r="R447" s="574"/>
      <c r="S447" s="574"/>
      <c r="T447" s="574"/>
      <c r="U447" s="574"/>
      <c r="V447" s="574"/>
      <c r="W447" s="574"/>
      <c r="X447" s="574"/>
      <c r="Y447" s="574"/>
      <c r="Z447" s="574"/>
      <c r="AA447" s="574"/>
      <c r="AB447" s="574"/>
      <c r="AC447" s="574"/>
      <c r="AD447" s="574"/>
      <c r="AE447" s="574"/>
    </row>
    <row r="448" spans="1:31" ht="16.5" customHeight="1" x14ac:dyDescent="0.85">
      <c r="A448" s="574"/>
      <c r="B448" s="574"/>
      <c r="C448" s="574"/>
      <c r="D448" s="574"/>
      <c r="E448" s="574"/>
      <c r="F448" s="574"/>
      <c r="G448" s="574"/>
      <c r="H448" s="574"/>
      <c r="I448" s="574"/>
      <c r="J448" s="574"/>
      <c r="K448" s="574"/>
      <c r="L448" s="574"/>
      <c r="M448" s="574"/>
      <c r="N448" s="574"/>
      <c r="O448" s="574"/>
      <c r="P448" s="574"/>
      <c r="Q448" s="574"/>
      <c r="R448" s="574"/>
      <c r="S448" s="574"/>
      <c r="T448" s="574"/>
      <c r="U448" s="574"/>
      <c r="V448" s="574"/>
      <c r="W448" s="574"/>
      <c r="X448" s="574"/>
      <c r="Y448" s="574"/>
      <c r="Z448" s="574"/>
      <c r="AA448" s="574"/>
      <c r="AB448" s="574"/>
      <c r="AC448" s="574"/>
      <c r="AD448" s="574"/>
      <c r="AE448" s="574"/>
    </row>
    <row r="449" spans="1:31" ht="16.5" customHeight="1" x14ac:dyDescent="0.85">
      <c r="A449" s="574"/>
      <c r="B449" s="574"/>
      <c r="C449" s="574"/>
      <c r="D449" s="574"/>
      <c r="E449" s="574"/>
      <c r="F449" s="574"/>
      <c r="G449" s="574"/>
      <c r="H449" s="574"/>
      <c r="I449" s="574"/>
      <c r="J449" s="574"/>
      <c r="K449" s="574"/>
      <c r="L449" s="574"/>
      <c r="M449" s="574"/>
      <c r="N449" s="574"/>
      <c r="O449" s="574"/>
      <c r="P449" s="574"/>
      <c r="Q449" s="574"/>
      <c r="R449" s="574"/>
      <c r="S449" s="574"/>
      <c r="T449" s="574"/>
      <c r="U449" s="574"/>
      <c r="V449" s="574"/>
      <c r="W449" s="574"/>
      <c r="X449" s="574"/>
      <c r="Y449" s="574"/>
      <c r="Z449" s="574"/>
      <c r="AA449" s="574"/>
      <c r="AB449" s="574"/>
      <c r="AC449" s="574"/>
      <c r="AD449" s="574"/>
      <c r="AE449" s="574"/>
    </row>
    <row r="450" spans="1:31" ht="16.5" customHeight="1" x14ac:dyDescent="0.85">
      <c r="A450" s="574"/>
      <c r="B450" s="574"/>
      <c r="C450" s="574"/>
      <c r="D450" s="574"/>
      <c r="E450" s="574"/>
      <c r="F450" s="574"/>
      <c r="G450" s="574"/>
      <c r="H450" s="574"/>
      <c r="I450" s="574"/>
      <c r="J450" s="574"/>
      <c r="K450" s="574"/>
      <c r="L450" s="574"/>
      <c r="M450" s="574"/>
      <c r="N450" s="574"/>
      <c r="O450" s="574"/>
      <c r="P450" s="574"/>
      <c r="Q450" s="574"/>
      <c r="R450" s="574"/>
      <c r="S450" s="574"/>
      <c r="T450" s="574"/>
      <c r="U450" s="574"/>
      <c r="V450" s="574"/>
      <c r="W450" s="574"/>
      <c r="X450" s="574"/>
      <c r="Y450" s="574"/>
      <c r="Z450" s="574"/>
      <c r="AA450" s="574"/>
      <c r="AB450" s="574"/>
      <c r="AC450" s="574"/>
      <c r="AD450" s="574"/>
      <c r="AE450" s="574"/>
    </row>
    <row r="451" spans="1:31" ht="16.5" customHeight="1" x14ac:dyDescent="0.85">
      <c r="A451" s="574"/>
      <c r="B451" s="574"/>
      <c r="C451" s="574"/>
      <c r="D451" s="574"/>
      <c r="E451" s="574"/>
      <c r="F451" s="574"/>
      <c r="G451" s="574"/>
      <c r="H451" s="574"/>
      <c r="I451" s="574"/>
      <c r="J451" s="574"/>
      <c r="K451" s="574"/>
      <c r="L451" s="574"/>
      <c r="M451" s="574"/>
      <c r="N451" s="574"/>
      <c r="O451" s="574"/>
      <c r="P451" s="574"/>
      <c r="Q451" s="574"/>
      <c r="R451" s="574"/>
      <c r="S451" s="574"/>
      <c r="T451" s="574"/>
      <c r="U451" s="574"/>
      <c r="V451" s="574"/>
      <c r="W451" s="574"/>
      <c r="X451" s="574"/>
      <c r="Y451" s="574"/>
      <c r="Z451" s="574"/>
      <c r="AA451" s="574"/>
      <c r="AB451" s="574"/>
      <c r="AC451" s="574"/>
      <c r="AD451" s="574"/>
      <c r="AE451" s="574"/>
    </row>
    <row r="452" spans="1:31" ht="16.5" customHeight="1" x14ac:dyDescent="0.85">
      <c r="A452" s="574"/>
      <c r="B452" s="574"/>
      <c r="C452" s="574"/>
      <c r="D452" s="574"/>
      <c r="E452" s="574"/>
      <c r="F452" s="574"/>
      <c r="G452" s="574"/>
      <c r="H452" s="574"/>
      <c r="I452" s="574"/>
      <c r="J452" s="574"/>
      <c r="K452" s="574"/>
      <c r="L452" s="574"/>
      <c r="M452" s="574"/>
      <c r="N452" s="574"/>
      <c r="O452" s="574"/>
      <c r="P452" s="574"/>
      <c r="Q452" s="574"/>
      <c r="R452" s="574"/>
      <c r="S452" s="574"/>
      <c r="T452" s="574"/>
      <c r="U452" s="574"/>
      <c r="V452" s="574"/>
      <c r="W452" s="574"/>
      <c r="X452" s="574"/>
      <c r="Y452" s="574"/>
      <c r="Z452" s="574"/>
      <c r="AA452" s="574"/>
      <c r="AB452" s="574"/>
      <c r="AC452" s="574"/>
      <c r="AD452" s="574"/>
      <c r="AE452" s="574"/>
    </row>
    <row r="453" spans="1:31" ht="16.5" customHeight="1" x14ac:dyDescent="0.85">
      <c r="A453" s="574"/>
      <c r="B453" s="574"/>
      <c r="C453" s="574"/>
      <c r="D453" s="574"/>
      <c r="E453" s="574"/>
      <c r="F453" s="574"/>
      <c r="G453" s="574"/>
      <c r="H453" s="574"/>
      <c r="I453" s="574"/>
      <c r="J453" s="574"/>
      <c r="K453" s="574"/>
      <c r="L453" s="574"/>
      <c r="M453" s="574"/>
      <c r="N453" s="574"/>
      <c r="O453" s="574"/>
      <c r="P453" s="574"/>
      <c r="Q453" s="574"/>
      <c r="R453" s="574"/>
      <c r="S453" s="574"/>
      <c r="T453" s="574"/>
      <c r="U453" s="574"/>
      <c r="V453" s="574"/>
      <c r="W453" s="574"/>
      <c r="X453" s="574"/>
      <c r="Y453" s="574"/>
      <c r="Z453" s="574"/>
      <c r="AA453" s="574"/>
      <c r="AB453" s="574"/>
      <c r="AC453" s="574"/>
      <c r="AD453" s="574"/>
      <c r="AE453" s="574"/>
    </row>
    <row r="454" spans="1:31" ht="16.5" customHeight="1" x14ac:dyDescent="0.85">
      <c r="A454" s="574"/>
      <c r="B454" s="574"/>
      <c r="C454" s="574"/>
      <c r="D454" s="574"/>
      <c r="E454" s="574"/>
      <c r="F454" s="574"/>
      <c r="G454" s="574"/>
      <c r="H454" s="574"/>
      <c r="I454" s="574"/>
      <c r="J454" s="574"/>
      <c r="K454" s="574"/>
      <c r="L454" s="574"/>
      <c r="M454" s="574"/>
      <c r="N454" s="574"/>
      <c r="O454" s="574"/>
      <c r="P454" s="574"/>
      <c r="Q454" s="574"/>
      <c r="R454" s="574"/>
      <c r="S454" s="574"/>
      <c r="T454" s="574"/>
      <c r="U454" s="574"/>
      <c r="V454" s="574"/>
      <c r="W454" s="574"/>
      <c r="X454" s="574"/>
      <c r="Y454" s="574"/>
      <c r="Z454" s="574"/>
      <c r="AA454" s="574"/>
      <c r="AB454" s="574"/>
      <c r="AC454" s="574"/>
      <c r="AD454" s="574"/>
      <c r="AE454" s="574"/>
    </row>
    <row r="455" spans="1:31" ht="16.5" customHeight="1" x14ac:dyDescent="0.85">
      <c r="A455" s="574"/>
      <c r="B455" s="574"/>
      <c r="C455" s="574"/>
      <c r="D455" s="574"/>
      <c r="E455" s="574"/>
      <c r="F455" s="574"/>
      <c r="G455" s="574"/>
      <c r="H455" s="574"/>
      <c r="I455" s="574"/>
      <c r="J455" s="574"/>
      <c r="K455" s="574"/>
      <c r="L455" s="574"/>
      <c r="M455" s="574"/>
      <c r="N455" s="574"/>
      <c r="O455" s="574"/>
      <c r="P455" s="574"/>
      <c r="Q455" s="574"/>
      <c r="R455" s="574"/>
      <c r="S455" s="574"/>
      <c r="T455" s="574"/>
      <c r="U455" s="574"/>
      <c r="V455" s="574"/>
      <c r="W455" s="574"/>
      <c r="X455" s="574"/>
      <c r="Y455" s="574"/>
      <c r="Z455" s="574"/>
      <c r="AA455" s="574"/>
      <c r="AB455" s="574"/>
      <c r="AC455" s="574"/>
      <c r="AD455" s="574"/>
      <c r="AE455" s="574"/>
    </row>
    <row r="456" spans="1:31" ht="16.5" customHeight="1" x14ac:dyDescent="0.85">
      <c r="A456" s="574"/>
      <c r="B456" s="574"/>
      <c r="C456" s="574"/>
      <c r="D456" s="574"/>
      <c r="E456" s="574"/>
      <c r="F456" s="574"/>
      <c r="G456" s="574"/>
      <c r="H456" s="574"/>
      <c r="I456" s="574"/>
      <c r="J456" s="574"/>
      <c r="K456" s="574"/>
      <c r="L456" s="574"/>
      <c r="M456" s="574"/>
      <c r="N456" s="574"/>
      <c r="O456" s="574"/>
      <c r="P456" s="574"/>
      <c r="Q456" s="574"/>
      <c r="R456" s="574"/>
      <c r="S456" s="574"/>
      <c r="T456" s="574"/>
      <c r="U456" s="574"/>
      <c r="V456" s="574"/>
      <c r="W456" s="574"/>
      <c r="X456" s="574"/>
      <c r="Y456" s="574"/>
      <c r="Z456" s="574"/>
      <c r="AA456" s="574"/>
      <c r="AB456" s="574"/>
      <c r="AC456" s="574"/>
      <c r="AD456" s="574"/>
      <c r="AE456" s="574"/>
    </row>
    <row r="457" spans="1:31" ht="16.5" customHeight="1" x14ac:dyDescent="0.85">
      <c r="A457" s="574"/>
      <c r="B457" s="574"/>
      <c r="C457" s="574"/>
      <c r="D457" s="574"/>
      <c r="E457" s="574"/>
      <c r="F457" s="574"/>
      <c r="G457" s="574"/>
      <c r="H457" s="574"/>
      <c r="I457" s="574"/>
      <c r="J457" s="574"/>
      <c r="K457" s="574"/>
      <c r="L457" s="574"/>
      <c r="M457" s="574"/>
      <c r="N457" s="574"/>
      <c r="O457" s="574"/>
      <c r="P457" s="574"/>
      <c r="Q457" s="574"/>
      <c r="R457" s="574"/>
      <c r="S457" s="574"/>
      <c r="T457" s="574"/>
      <c r="U457" s="574"/>
      <c r="V457" s="574"/>
      <c r="W457" s="574"/>
      <c r="X457" s="574"/>
      <c r="Y457" s="574"/>
      <c r="Z457" s="574"/>
      <c r="AA457" s="574"/>
      <c r="AB457" s="574"/>
      <c r="AC457" s="574"/>
      <c r="AD457" s="574"/>
      <c r="AE457" s="574"/>
    </row>
    <row r="458" spans="1:31" ht="16.5" customHeight="1" x14ac:dyDescent="0.85">
      <c r="A458" s="574"/>
      <c r="B458" s="574"/>
      <c r="C458" s="574"/>
      <c r="D458" s="574"/>
      <c r="E458" s="574"/>
      <c r="F458" s="574"/>
      <c r="G458" s="574"/>
      <c r="H458" s="574"/>
      <c r="I458" s="574"/>
      <c r="J458" s="574"/>
      <c r="K458" s="574"/>
      <c r="L458" s="574"/>
      <c r="M458" s="574"/>
      <c r="N458" s="574"/>
      <c r="O458" s="574"/>
      <c r="P458" s="574"/>
      <c r="Q458" s="574"/>
      <c r="R458" s="574"/>
      <c r="S458" s="574"/>
      <c r="T458" s="574"/>
      <c r="U458" s="574"/>
      <c r="V458" s="574"/>
      <c r="W458" s="574"/>
      <c r="X458" s="574"/>
      <c r="Y458" s="574"/>
      <c r="Z458" s="574"/>
      <c r="AA458" s="574"/>
      <c r="AB458" s="574"/>
      <c r="AC458" s="574"/>
      <c r="AD458" s="574"/>
      <c r="AE458" s="574"/>
    </row>
    <row r="459" spans="1:31" ht="16.5" customHeight="1" x14ac:dyDescent="0.85">
      <c r="A459" s="574"/>
      <c r="B459" s="574"/>
      <c r="C459" s="574"/>
      <c r="D459" s="574"/>
      <c r="E459" s="574"/>
      <c r="F459" s="574"/>
      <c r="G459" s="574"/>
      <c r="H459" s="574"/>
      <c r="I459" s="574"/>
      <c r="J459" s="574"/>
      <c r="K459" s="574"/>
      <c r="L459" s="574"/>
      <c r="M459" s="574"/>
      <c r="N459" s="574"/>
      <c r="O459" s="574"/>
      <c r="P459" s="574"/>
      <c r="Q459" s="574"/>
      <c r="R459" s="574"/>
      <c r="S459" s="574"/>
      <c r="T459" s="574"/>
      <c r="U459" s="574"/>
      <c r="V459" s="574"/>
      <c r="W459" s="574"/>
      <c r="X459" s="574"/>
      <c r="Y459" s="574"/>
      <c r="Z459" s="574"/>
      <c r="AA459" s="574"/>
      <c r="AB459" s="574"/>
      <c r="AC459" s="574"/>
      <c r="AD459" s="574"/>
      <c r="AE459" s="574"/>
    </row>
    <row r="460" spans="1:31" ht="16.5" customHeight="1" x14ac:dyDescent="0.85">
      <c r="A460" s="574"/>
      <c r="B460" s="574"/>
      <c r="C460" s="574"/>
      <c r="D460" s="574"/>
      <c r="E460" s="574"/>
      <c r="F460" s="574"/>
      <c r="G460" s="574"/>
      <c r="H460" s="574"/>
      <c r="I460" s="574"/>
      <c r="J460" s="574"/>
      <c r="K460" s="574"/>
      <c r="L460" s="574"/>
      <c r="M460" s="574"/>
      <c r="N460" s="574"/>
      <c r="O460" s="574"/>
      <c r="P460" s="574"/>
      <c r="Q460" s="574"/>
      <c r="R460" s="574"/>
      <c r="S460" s="574"/>
      <c r="T460" s="574"/>
      <c r="U460" s="574"/>
      <c r="V460" s="574"/>
      <c r="W460" s="574"/>
      <c r="X460" s="574"/>
      <c r="Y460" s="574"/>
      <c r="Z460" s="574"/>
      <c r="AA460" s="574"/>
      <c r="AB460" s="574"/>
      <c r="AC460" s="574"/>
      <c r="AD460" s="574"/>
      <c r="AE460" s="574"/>
    </row>
    <row r="461" spans="1:31" ht="16.5" customHeight="1" x14ac:dyDescent="0.85">
      <c r="A461" s="574"/>
      <c r="B461" s="574"/>
      <c r="C461" s="574"/>
      <c r="D461" s="574"/>
      <c r="E461" s="574"/>
      <c r="F461" s="574"/>
      <c r="G461" s="574"/>
      <c r="H461" s="574"/>
      <c r="I461" s="574"/>
      <c r="J461" s="574"/>
      <c r="K461" s="574"/>
      <c r="L461" s="574"/>
      <c r="M461" s="574"/>
      <c r="N461" s="574"/>
      <c r="O461" s="574"/>
      <c r="P461" s="574"/>
      <c r="Q461" s="574"/>
      <c r="R461" s="574"/>
      <c r="S461" s="574"/>
      <c r="T461" s="574"/>
      <c r="U461" s="574"/>
      <c r="V461" s="574"/>
      <c r="W461" s="574"/>
      <c r="X461" s="574"/>
      <c r="Y461" s="574"/>
      <c r="Z461" s="574"/>
      <c r="AA461" s="574"/>
      <c r="AB461" s="574"/>
      <c r="AC461" s="574"/>
      <c r="AD461" s="574"/>
      <c r="AE461" s="574"/>
    </row>
    <row r="462" spans="1:31" ht="16.5" customHeight="1" x14ac:dyDescent="0.85">
      <c r="A462" s="574"/>
      <c r="B462" s="574"/>
      <c r="C462" s="574"/>
      <c r="D462" s="574"/>
      <c r="E462" s="574"/>
      <c r="F462" s="574"/>
      <c r="G462" s="574"/>
      <c r="H462" s="574"/>
      <c r="I462" s="574"/>
      <c r="J462" s="574"/>
      <c r="K462" s="574"/>
      <c r="L462" s="574"/>
      <c r="M462" s="574"/>
      <c r="N462" s="574"/>
      <c r="O462" s="574"/>
      <c r="P462" s="574"/>
      <c r="Q462" s="574"/>
      <c r="R462" s="574"/>
      <c r="S462" s="574"/>
      <c r="T462" s="574"/>
      <c r="U462" s="574"/>
      <c r="V462" s="574"/>
      <c r="W462" s="574"/>
      <c r="X462" s="574"/>
      <c r="Y462" s="574"/>
      <c r="Z462" s="574"/>
      <c r="AA462" s="574"/>
      <c r="AB462" s="574"/>
      <c r="AC462" s="574"/>
      <c r="AD462" s="574"/>
      <c r="AE462" s="574"/>
    </row>
    <row r="463" spans="1:31" ht="16.5" customHeight="1" x14ac:dyDescent="0.85">
      <c r="A463" s="574"/>
      <c r="B463" s="574"/>
      <c r="C463" s="574"/>
      <c r="D463" s="574"/>
      <c r="E463" s="574"/>
      <c r="F463" s="574"/>
      <c r="G463" s="574"/>
      <c r="H463" s="574"/>
      <c r="I463" s="574"/>
      <c r="J463" s="574"/>
      <c r="K463" s="574"/>
      <c r="L463" s="574"/>
      <c r="M463" s="574"/>
      <c r="N463" s="574"/>
      <c r="O463" s="574"/>
      <c r="P463" s="574"/>
      <c r="Q463" s="574"/>
      <c r="R463" s="574"/>
      <c r="S463" s="574"/>
      <c r="T463" s="574"/>
      <c r="U463" s="574"/>
      <c r="V463" s="574"/>
      <c r="W463" s="574"/>
      <c r="X463" s="574"/>
      <c r="Y463" s="574"/>
      <c r="Z463" s="574"/>
      <c r="AA463" s="574"/>
      <c r="AB463" s="574"/>
      <c r="AC463" s="574"/>
      <c r="AD463" s="574"/>
      <c r="AE463" s="574"/>
    </row>
    <row r="464" spans="1:31" ht="16.5" customHeight="1" x14ac:dyDescent="0.85">
      <c r="A464" s="574"/>
      <c r="B464" s="574"/>
      <c r="C464" s="574"/>
      <c r="D464" s="574"/>
      <c r="E464" s="574"/>
      <c r="F464" s="574"/>
      <c r="G464" s="574"/>
      <c r="H464" s="574"/>
      <c r="I464" s="574"/>
      <c r="J464" s="574"/>
      <c r="K464" s="574"/>
      <c r="L464" s="574"/>
      <c r="M464" s="574"/>
      <c r="N464" s="574"/>
      <c r="O464" s="574"/>
      <c r="P464" s="574"/>
      <c r="Q464" s="574"/>
      <c r="R464" s="574"/>
      <c r="S464" s="574"/>
      <c r="T464" s="574"/>
      <c r="U464" s="574"/>
      <c r="V464" s="574"/>
      <c r="W464" s="574"/>
      <c r="X464" s="574"/>
      <c r="Y464" s="574"/>
      <c r="Z464" s="574"/>
      <c r="AA464" s="574"/>
      <c r="AB464" s="574"/>
      <c r="AC464" s="574"/>
      <c r="AD464" s="574"/>
      <c r="AE464" s="574"/>
    </row>
    <row r="465" spans="1:31" ht="16.5" customHeight="1" x14ac:dyDescent="0.85">
      <c r="A465" s="574"/>
      <c r="B465" s="574"/>
      <c r="C465" s="574"/>
      <c r="D465" s="574"/>
      <c r="E465" s="574"/>
      <c r="F465" s="574"/>
      <c r="G465" s="574"/>
      <c r="H465" s="574"/>
      <c r="I465" s="574"/>
      <c r="J465" s="574"/>
      <c r="K465" s="574"/>
      <c r="L465" s="574"/>
      <c r="M465" s="574"/>
      <c r="N465" s="574"/>
      <c r="O465" s="574"/>
      <c r="P465" s="574"/>
      <c r="Q465" s="574"/>
      <c r="R465" s="574"/>
      <c r="S465" s="574"/>
      <c r="T465" s="574"/>
      <c r="U465" s="574"/>
      <c r="V465" s="574"/>
      <c r="W465" s="574"/>
      <c r="X465" s="574"/>
      <c r="Y465" s="574"/>
      <c r="Z465" s="574"/>
      <c r="AA465" s="574"/>
      <c r="AB465" s="574"/>
      <c r="AC465" s="574"/>
      <c r="AD465" s="574"/>
      <c r="AE465" s="574"/>
    </row>
    <row r="466" spans="1:31" ht="16.5" customHeight="1" x14ac:dyDescent="0.85">
      <c r="A466" s="574"/>
      <c r="B466" s="574"/>
      <c r="C466" s="574"/>
      <c r="D466" s="574"/>
      <c r="E466" s="574"/>
      <c r="F466" s="574"/>
      <c r="G466" s="574"/>
      <c r="H466" s="574"/>
      <c r="I466" s="574"/>
      <c r="J466" s="574"/>
      <c r="K466" s="574"/>
      <c r="L466" s="574"/>
      <c r="M466" s="574"/>
      <c r="N466" s="574"/>
      <c r="O466" s="574"/>
      <c r="P466" s="574"/>
      <c r="Q466" s="574"/>
      <c r="R466" s="574"/>
      <c r="S466" s="574"/>
      <c r="T466" s="574"/>
      <c r="U466" s="574"/>
      <c r="V466" s="574"/>
      <c r="W466" s="574"/>
      <c r="X466" s="574"/>
      <c r="Y466" s="574"/>
      <c r="Z466" s="574"/>
      <c r="AA466" s="574"/>
      <c r="AB466" s="574"/>
      <c r="AC466" s="574"/>
      <c r="AD466" s="574"/>
      <c r="AE466" s="574"/>
    </row>
    <row r="467" spans="1:31" ht="16.5" customHeight="1" x14ac:dyDescent="0.85">
      <c r="A467" s="574"/>
      <c r="B467" s="574"/>
      <c r="C467" s="574"/>
      <c r="D467" s="574"/>
      <c r="E467" s="574"/>
      <c r="F467" s="574"/>
      <c r="G467" s="574"/>
      <c r="H467" s="574"/>
      <c r="I467" s="574"/>
      <c r="J467" s="574"/>
      <c r="K467" s="574"/>
      <c r="L467" s="574"/>
      <c r="M467" s="574"/>
      <c r="N467" s="574"/>
      <c r="O467" s="574"/>
      <c r="P467" s="574"/>
      <c r="Q467" s="574"/>
      <c r="R467" s="574"/>
      <c r="S467" s="574"/>
      <c r="T467" s="574"/>
      <c r="U467" s="574"/>
      <c r="V467" s="574"/>
      <c r="W467" s="574"/>
      <c r="X467" s="574"/>
      <c r="Y467" s="574"/>
      <c r="Z467" s="574"/>
      <c r="AA467" s="574"/>
      <c r="AB467" s="574"/>
      <c r="AC467" s="574"/>
      <c r="AD467" s="574"/>
      <c r="AE467" s="574"/>
    </row>
    <row r="468" spans="1:31" ht="16.5" customHeight="1" x14ac:dyDescent="0.85">
      <c r="A468" s="574"/>
      <c r="B468" s="574"/>
      <c r="C468" s="574"/>
      <c r="D468" s="574"/>
      <c r="E468" s="574"/>
      <c r="F468" s="574"/>
      <c r="G468" s="574"/>
      <c r="H468" s="574"/>
      <c r="I468" s="574"/>
      <c r="J468" s="574"/>
      <c r="K468" s="574"/>
      <c r="L468" s="574"/>
      <c r="M468" s="574"/>
      <c r="N468" s="574"/>
      <c r="O468" s="574"/>
      <c r="P468" s="574"/>
      <c r="Q468" s="574"/>
      <c r="R468" s="574"/>
      <c r="S468" s="574"/>
      <c r="T468" s="574"/>
      <c r="U468" s="574"/>
      <c r="V468" s="574"/>
      <c r="W468" s="574"/>
      <c r="X468" s="574"/>
      <c r="Y468" s="574"/>
      <c r="Z468" s="574"/>
      <c r="AA468" s="574"/>
      <c r="AB468" s="574"/>
      <c r="AC468" s="574"/>
      <c r="AD468" s="574"/>
      <c r="AE468" s="574"/>
    </row>
    <row r="469" spans="1:31" ht="16.5" customHeight="1" x14ac:dyDescent="0.85">
      <c r="A469" s="574"/>
      <c r="B469" s="574"/>
      <c r="C469" s="574"/>
      <c r="D469" s="574"/>
      <c r="E469" s="574"/>
      <c r="F469" s="574"/>
      <c r="G469" s="574"/>
      <c r="H469" s="574"/>
      <c r="I469" s="574"/>
      <c r="J469" s="574"/>
      <c r="K469" s="574"/>
      <c r="L469" s="574"/>
      <c r="M469" s="574"/>
      <c r="N469" s="574"/>
      <c r="O469" s="574"/>
      <c r="P469" s="574"/>
      <c r="Q469" s="574"/>
      <c r="R469" s="574"/>
      <c r="S469" s="574"/>
      <c r="T469" s="574"/>
      <c r="U469" s="574"/>
      <c r="V469" s="574"/>
      <c r="W469" s="574"/>
      <c r="X469" s="574"/>
      <c r="Y469" s="574"/>
      <c r="Z469" s="574"/>
      <c r="AA469" s="574"/>
      <c r="AB469" s="574"/>
      <c r="AC469" s="574"/>
      <c r="AD469" s="574"/>
      <c r="AE469" s="574"/>
    </row>
    <row r="470" spans="1:31" ht="16.5" customHeight="1" x14ac:dyDescent="0.85">
      <c r="A470" s="574"/>
      <c r="B470" s="574"/>
      <c r="C470" s="574"/>
      <c r="D470" s="574"/>
      <c r="E470" s="574"/>
      <c r="F470" s="574"/>
      <c r="G470" s="574"/>
      <c r="H470" s="574"/>
      <c r="I470" s="574"/>
      <c r="J470" s="574"/>
      <c r="K470" s="574"/>
      <c r="L470" s="574"/>
      <c r="M470" s="574"/>
      <c r="N470" s="574"/>
      <c r="O470" s="574"/>
      <c r="P470" s="574"/>
      <c r="Q470" s="574"/>
      <c r="R470" s="574"/>
      <c r="S470" s="574"/>
      <c r="T470" s="574"/>
      <c r="U470" s="574"/>
      <c r="V470" s="574"/>
      <c r="W470" s="574"/>
      <c r="X470" s="574"/>
      <c r="Y470" s="574"/>
      <c r="Z470" s="574"/>
      <c r="AA470" s="574"/>
      <c r="AB470" s="574"/>
      <c r="AC470" s="574"/>
      <c r="AD470" s="574"/>
      <c r="AE470" s="574"/>
    </row>
    <row r="471" spans="1:31" ht="16.5" customHeight="1" x14ac:dyDescent="0.85">
      <c r="A471" s="574"/>
      <c r="B471" s="574"/>
      <c r="C471" s="574"/>
      <c r="D471" s="574"/>
      <c r="E471" s="574"/>
      <c r="F471" s="574"/>
      <c r="G471" s="574"/>
      <c r="H471" s="574"/>
      <c r="I471" s="574"/>
      <c r="J471" s="574"/>
      <c r="K471" s="574"/>
      <c r="L471" s="574"/>
      <c r="M471" s="574"/>
      <c r="N471" s="574"/>
      <c r="O471" s="574"/>
      <c r="P471" s="574"/>
      <c r="Q471" s="574"/>
      <c r="R471" s="574"/>
      <c r="S471" s="574"/>
      <c r="T471" s="574"/>
      <c r="U471" s="574"/>
      <c r="V471" s="574"/>
      <c r="W471" s="574"/>
      <c r="X471" s="574"/>
      <c r="Y471" s="574"/>
      <c r="Z471" s="574"/>
      <c r="AA471" s="574"/>
      <c r="AB471" s="574"/>
      <c r="AC471" s="574"/>
      <c r="AD471" s="574"/>
      <c r="AE471" s="574"/>
    </row>
    <row r="472" spans="1:31" ht="16.5" customHeight="1" x14ac:dyDescent="0.85">
      <c r="A472" s="574"/>
      <c r="B472" s="574"/>
      <c r="C472" s="574"/>
      <c r="D472" s="574"/>
      <c r="E472" s="574"/>
      <c r="F472" s="574"/>
      <c r="G472" s="574"/>
      <c r="H472" s="574"/>
      <c r="I472" s="574"/>
      <c r="J472" s="574"/>
      <c r="K472" s="574"/>
      <c r="L472" s="574"/>
      <c r="M472" s="574"/>
      <c r="N472" s="574"/>
      <c r="O472" s="574"/>
      <c r="P472" s="574"/>
      <c r="Q472" s="574"/>
      <c r="R472" s="574"/>
      <c r="S472" s="574"/>
      <c r="T472" s="574"/>
      <c r="U472" s="574"/>
      <c r="V472" s="574"/>
      <c r="W472" s="574"/>
      <c r="X472" s="574"/>
      <c r="Y472" s="574"/>
      <c r="Z472" s="574"/>
      <c r="AA472" s="574"/>
      <c r="AB472" s="574"/>
      <c r="AC472" s="574"/>
      <c r="AD472" s="574"/>
      <c r="AE472" s="574"/>
    </row>
    <row r="473" spans="1:31" ht="16.5" customHeight="1" x14ac:dyDescent="0.85">
      <c r="A473" s="574"/>
      <c r="B473" s="574"/>
      <c r="C473" s="574"/>
      <c r="D473" s="574"/>
      <c r="E473" s="574"/>
      <c r="F473" s="574"/>
      <c r="G473" s="574"/>
      <c r="H473" s="574"/>
      <c r="I473" s="574"/>
      <c r="J473" s="574"/>
      <c r="K473" s="574"/>
      <c r="L473" s="574"/>
      <c r="M473" s="574"/>
      <c r="N473" s="574"/>
      <c r="O473" s="574"/>
      <c r="P473" s="574"/>
      <c r="Q473" s="574"/>
      <c r="R473" s="574"/>
      <c r="S473" s="574"/>
      <c r="T473" s="574"/>
      <c r="U473" s="574"/>
      <c r="V473" s="574"/>
      <c r="W473" s="574"/>
      <c r="X473" s="574"/>
      <c r="Y473" s="574"/>
      <c r="Z473" s="574"/>
      <c r="AA473" s="574"/>
      <c r="AB473" s="574"/>
      <c r="AC473" s="574"/>
      <c r="AD473" s="574"/>
      <c r="AE473" s="574"/>
    </row>
    <row r="474" spans="1:31" ht="16.5" customHeight="1" x14ac:dyDescent="0.85">
      <c r="A474" s="574"/>
      <c r="B474" s="574"/>
      <c r="C474" s="574"/>
      <c r="D474" s="574"/>
      <c r="E474" s="574"/>
      <c r="F474" s="574"/>
      <c r="G474" s="574"/>
      <c r="H474" s="574"/>
      <c r="I474" s="574"/>
      <c r="J474" s="574"/>
      <c r="K474" s="574"/>
      <c r="L474" s="574"/>
      <c r="M474" s="574"/>
      <c r="N474" s="574"/>
      <c r="O474" s="574"/>
      <c r="P474" s="574"/>
      <c r="Q474" s="574"/>
      <c r="R474" s="574"/>
      <c r="S474" s="574"/>
      <c r="T474" s="574"/>
      <c r="U474" s="574"/>
      <c r="V474" s="574"/>
      <c r="W474" s="574"/>
      <c r="X474" s="574"/>
      <c r="Y474" s="574"/>
      <c r="Z474" s="574"/>
      <c r="AA474" s="574"/>
      <c r="AB474" s="574"/>
      <c r="AC474" s="574"/>
      <c r="AD474" s="574"/>
      <c r="AE474" s="574"/>
    </row>
    <row r="475" spans="1:31" ht="16.5" customHeight="1" x14ac:dyDescent="0.85">
      <c r="A475" s="574"/>
      <c r="B475" s="574"/>
      <c r="C475" s="574"/>
      <c r="D475" s="574"/>
      <c r="E475" s="574"/>
      <c r="F475" s="574"/>
      <c r="G475" s="574"/>
      <c r="H475" s="574"/>
      <c r="I475" s="574"/>
      <c r="J475" s="574"/>
      <c r="K475" s="574"/>
      <c r="L475" s="574"/>
      <c r="M475" s="574"/>
      <c r="N475" s="574"/>
      <c r="O475" s="574"/>
      <c r="P475" s="574"/>
      <c r="Q475" s="574"/>
      <c r="R475" s="574"/>
      <c r="S475" s="574"/>
      <c r="T475" s="574"/>
      <c r="U475" s="574"/>
      <c r="V475" s="574"/>
      <c r="W475" s="574"/>
      <c r="X475" s="574"/>
      <c r="Y475" s="574"/>
      <c r="Z475" s="574"/>
      <c r="AA475" s="574"/>
      <c r="AB475" s="574"/>
      <c r="AC475" s="574"/>
      <c r="AD475" s="574"/>
      <c r="AE475" s="574"/>
    </row>
    <row r="476" spans="1:31" ht="16.5" customHeight="1" x14ac:dyDescent="0.85">
      <c r="A476" s="574"/>
      <c r="B476" s="574"/>
      <c r="C476" s="574"/>
      <c r="D476" s="574"/>
      <c r="E476" s="574"/>
      <c r="F476" s="574"/>
      <c r="G476" s="574"/>
      <c r="H476" s="574"/>
      <c r="I476" s="574"/>
      <c r="J476" s="574"/>
      <c r="K476" s="574"/>
      <c r="L476" s="574"/>
      <c r="M476" s="574"/>
      <c r="N476" s="574"/>
      <c r="O476" s="574"/>
      <c r="P476" s="574"/>
      <c r="Q476" s="574"/>
      <c r="R476" s="574"/>
      <c r="S476" s="574"/>
      <c r="T476" s="574"/>
      <c r="U476" s="574"/>
      <c r="V476" s="574"/>
      <c r="W476" s="574"/>
      <c r="X476" s="574"/>
      <c r="Y476" s="574"/>
      <c r="Z476" s="574"/>
      <c r="AA476" s="574"/>
      <c r="AB476" s="574"/>
      <c r="AC476" s="574"/>
      <c r="AD476" s="574"/>
      <c r="AE476" s="574"/>
    </row>
    <row r="477" spans="1:31" ht="16.5" customHeight="1" x14ac:dyDescent="0.85">
      <c r="A477" s="574"/>
      <c r="B477" s="574"/>
      <c r="C477" s="574"/>
      <c r="D477" s="574"/>
      <c r="E477" s="574"/>
      <c r="F477" s="574"/>
      <c r="G477" s="574"/>
      <c r="H477" s="574"/>
      <c r="I477" s="574"/>
      <c r="J477" s="574"/>
      <c r="K477" s="574"/>
      <c r="L477" s="574"/>
      <c r="M477" s="574"/>
      <c r="N477" s="574"/>
      <c r="O477" s="574"/>
      <c r="P477" s="574"/>
      <c r="Q477" s="574"/>
      <c r="R477" s="574"/>
      <c r="S477" s="574"/>
      <c r="T477" s="574"/>
      <c r="U477" s="574"/>
      <c r="V477" s="574"/>
      <c r="W477" s="574"/>
      <c r="X477" s="574"/>
      <c r="Y477" s="574"/>
      <c r="Z477" s="574"/>
      <c r="AA477" s="574"/>
      <c r="AB477" s="574"/>
      <c r="AC477" s="574"/>
      <c r="AD477" s="574"/>
      <c r="AE477" s="574"/>
    </row>
    <row r="478" spans="1:31" ht="16.5" customHeight="1" x14ac:dyDescent="0.85">
      <c r="A478" s="574"/>
      <c r="B478" s="574"/>
      <c r="C478" s="574"/>
      <c r="D478" s="574"/>
      <c r="E478" s="574"/>
      <c r="F478" s="574"/>
      <c r="G478" s="574"/>
      <c r="H478" s="574"/>
      <c r="I478" s="574"/>
      <c r="J478" s="574"/>
      <c r="K478" s="574"/>
      <c r="L478" s="574"/>
      <c r="M478" s="574"/>
      <c r="N478" s="574"/>
      <c r="O478" s="574"/>
      <c r="P478" s="574"/>
      <c r="Q478" s="574"/>
      <c r="R478" s="574"/>
      <c r="S478" s="574"/>
      <c r="T478" s="574"/>
      <c r="U478" s="574"/>
      <c r="V478" s="574"/>
      <c r="W478" s="574"/>
      <c r="X478" s="574"/>
      <c r="Y478" s="574"/>
      <c r="Z478" s="574"/>
      <c r="AA478" s="574"/>
      <c r="AB478" s="574"/>
      <c r="AC478" s="574"/>
      <c r="AD478" s="574"/>
      <c r="AE478" s="574"/>
    </row>
    <row r="479" spans="1:31" ht="16.5" customHeight="1" x14ac:dyDescent="0.85">
      <c r="A479" s="574"/>
      <c r="B479" s="574"/>
      <c r="C479" s="574"/>
      <c r="D479" s="574"/>
      <c r="E479" s="574"/>
      <c r="F479" s="574"/>
      <c r="G479" s="574"/>
      <c r="H479" s="574"/>
      <c r="I479" s="574"/>
      <c r="J479" s="574"/>
      <c r="K479" s="574"/>
      <c r="L479" s="574"/>
      <c r="M479" s="574"/>
      <c r="N479" s="574"/>
      <c r="O479" s="574"/>
      <c r="P479" s="574"/>
      <c r="Q479" s="574"/>
      <c r="R479" s="574"/>
      <c r="S479" s="574"/>
      <c r="T479" s="574"/>
      <c r="U479" s="574"/>
      <c r="V479" s="574"/>
      <c r="W479" s="574"/>
      <c r="X479" s="574"/>
      <c r="Y479" s="574"/>
      <c r="Z479" s="574"/>
      <c r="AA479" s="574"/>
      <c r="AB479" s="574"/>
      <c r="AC479" s="574"/>
      <c r="AD479" s="574"/>
      <c r="AE479" s="574"/>
    </row>
    <row r="480" spans="1:31" ht="16.5" customHeight="1" x14ac:dyDescent="0.85">
      <c r="A480" s="574"/>
      <c r="B480" s="574"/>
      <c r="C480" s="574"/>
      <c r="D480" s="574"/>
      <c r="E480" s="574"/>
      <c r="F480" s="574"/>
      <c r="G480" s="574"/>
      <c r="H480" s="574"/>
      <c r="I480" s="574"/>
      <c r="J480" s="574"/>
      <c r="K480" s="574"/>
      <c r="L480" s="574"/>
      <c r="M480" s="574"/>
      <c r="N480" s="574"/>
      <c r="O480" s="574"/>
      <c r="P480" s="574"/>
      <c r="Q480" s="574"/>
      <c r="R480" s="574"/>
      <c r="S480" s="574"/>
      <c r="T480" s="574"/>
      <c r="U480" s="574"/>
      <c r="V480" s="574"/>
      <c r="W480" s="574"/>
      <c r="X480" s="574"/>
      <c r="Y480" s="574"/>
      <c r="Z480" s="574"/>
      <c r="AA480" s="574"/>
      <c r="AB480" s="574"/>
      <c r="AC480" s="574"/>
      <c r="AD480" s="574"/>
      <c r="AE480" s="574"/>
    </row>
    <row r="481" spans="1:31" ht="16.5" customHeight="1" x14ac:dyDescent="0.85">
      <c r="A481" s="574"/>
      <c r="B481" s="574"/>
      <c r="C481" s="574"/>
      <c r="D481" s="574"/>
      <c r="E481" s="574"/>
      <c r="F481" s="574"/>
      <c r="G481" s="574"/>
      <c r="H481" s="574"/>
      <c r="I481" s="574"/>
      <c r="J481" s="574"/>
      <c r="K481" s="574"/>
      <c r="L481" s="574"/>
      <c r="M481" s="574"/>
      <c r="N481" s="574"/>
      <c r="O481" s="574"/>
      <c r="P481" s="574"/>
      <c r="Q481" s="574"/>
      <c r="R481" s="574"/>
      <c r="S481" s="574"/>
      <c r="T481" s="574"/>
      <c r="U481" s="574"/>
      <c r="V481" s="574"/>
      <c r="W481" s="574"/>
      <c r="X481" s="574"/>
      <c r="Y481" s="574"/>
      <c r="Z481" s="574"/>
      <c r="AA481" s="574"/>
      <c r="AB481" s="574"/>
      <c r="AC481" s="574"/>
      <c r="AD481" s="574"/>
      <c r="AE481" s="574"/>
    </row>
    <row r="482" spans="1:31" ht="16.5" customHeight="1" x14ac:dyDescent="0.85">
      <c r="A482" s="574"/>
      <c r="B482" s="574"/>
      <c r="C482" s="574"/>
      <c r="D482" s="574"/>
      <c r="E482" s="574"/>
      <c r="F482" s="574"/>
      <c r="G482" s="574"/>
      <c r="H482" s="574"/>
      <c r="I482" s="574"/>
      <c r="J482" s="574"/>
      <c r="K482" s="574"/>
      <c r="L482" s="574"/>
      <c r="M482" s="574"/>
      <c r="N482" s="574"/>
      <c r="O482" s="574"/>
      <c r="P482" s="574"/>
      <c r="Q482" s="574"/>
      <c r="R482" s="574"/>
      <c r="S482" s="574"/>
      <c r="T482" s="574"/>
      <c r="U482" s="574"/>
      <c r="V482" s="574"/>
      <c r="W482" s="574"/>
      <c r="X482" s="574"/>
      <c r="Y482" s="574"/>
      <c r="Z482" s="574"/>
      <c r="AA482" s="574"/>
      <c r="AB482" s="574"/>
      <c r="AC482" s="574"/>
      <c r="AD482" s="574"/>
      <c r="AE482" s="574"/>
    </row>
    <row r="483" spans="1:31" ht="16.5" customHeight="1" x14ac:dyDescent="0.85">
      <c r="A483" s="574"/>
      <c r="B483" s="574"/>
      <c r="C483" s="574"/>
      <c r="D483" s="574"/>
      <c r="E483" s="574"/>
      <c r="F483" s="574"/>
      <c r="G483" s="574"/>
      <c r="H483" s="574"/>
      <c r="I483" s="574"/>
      <c r="J483" s="574"/>
      <c r="K483" s="574"/>
      <c r="L483" s="574"/>
      <c r="M483" s="574"/>
      <c r="N483" s="574"/>
      <c r="O483" s="574"/>
      <c r="P483" s="574"/>
      <c r="Q483" s="574"/>
      <c r="R483" s="574"/>
      <c r="S483" s="574"/>
      <c r="T483" s="574"/>
      <c r="U483" s="574"/>
      <c r="V483" s="574"/>
      <c r="W483" s="574"/>
      <c r="X483" s="574"/>
      <c r="Y483" s="574"/>
      <c r="Z483" s="574"/>
      <c r="AA483" s="574"/>
      <c r="AB483" s="574"/>
      <c r="AC483" s="574"/>
      <c r="AD483" s="574"/>
      <c r="AE483" s="574"/>
    </row>
    <row r="484" spans="1:31" ht="16.5" customHeight="1" x14ac:dyDescent="0.85">
      <c r="A484" s="574"/>
      <c r="B484" s="574"/>
      <c r="C484" s="574"/>
      <c r="D484" s="574"/>
      <c r="E484" s="574"/>
      <c r="F484" s="574"/>
      <c r="G484" s="574"/>
      <c r="H484" s="574"/>
      <c r="I484" s="574"/>
      <c r="J484" s="574"/>
      <c r="K484" s="574"/>
      <c r="L484" s="574"/>
      <c r="M484" s="574"/>
      <c r="N484" s="574"/>
      <c r="O484" s="574"/>
      <c r="P484" s="574"/>
      <c r="Q484" s="574"/>
      <c r="R484" s="574"/>
      <c r="S484" s="574"/>
      <c r="T484" s="574"/>
      <c r="U484" s="574"/>
      <c r="V484" s="574"/>
      <c r="W484" s="574"/>
      <c r="X484" s="574"/>
      <c r="Y484" s="574"/>
      <c r="Z484" s="574"/>
      <c r="AA484" s="574"/>
      <c r="AB484" s="574"/>
      <c r="AC484" s="574"/>
      <c r="AD484" s="574"/>
      <c r="AE484" s="574"/>
    </row>
    <row r="485" spans="1:31" ht="16.5" customHeight="1" x14ac:dyDescent="0.85">
      <c r="A485" s="574"/>
      <c r="B485" s="574"/>
      <c r="C485" s="574"/>
      <c r="D485" s="574"/>
      <c r="E485" s="574"/>
      <c r="F485" s="574"/>
      <c r="G485" s="574"/>
      <c r="H485" s="574"/>
      <c r="I485" s="574"/>
      <c r="J485" s="574"/>
      <c r="K485" s="574"/>
      <c r="L485" s="574"/>
      <c r="M485" s="574"/>
      <c r="N485" s="574"/>
      <c r="O485" s="574"/>
      <c r="P485" s="574"/>
      <c r="Q485" s="574"/>
      <c r="R485" s="574"/>
      <c r="S485" s="574"/>
      <c r="T485" s="574"/>
      <c r="U485" s="574"/>
      <c r="V485" s="574"/>
      <c r="W485" s="574"/>
      <c r="X485" s="574"/>
      <c r="Y485" s="574"/>
      <c r="Z485" s="574"/>
      <c r="AA485" s="574"/>
      <c r="AB485" s="574"/>
      <c r="AC485" s="574"/>
      <c r="AD485" s="574"/>
      <c r="AE485" s="574"/>
    </row>
    <row r="486" spans="1:31" ht="16.5" customHeight="1" x14ac:dyDescent="0.85">
      <c r="A486" s="574"/>
      <c r="B486" s="574"/>
      <c r="C486" s="574"/>
      <c r="D486" s="574"/>
      <c r="E486" s="574"/>
      <c r="F486" s="574"/>
      <c r="G486" s="574"/>
      <c r="H486" s="574"/>
      <c r="I486" s="574"/>
      <c r="J486" s="574"/>
      <c r="K486" s="574"/>
      <c r="L486" s="574"/>
      <c r="M486" s="574"/>
      <c r="N486" s="574"/>
      <c r="O486" s="574"/>
      <c r="P486" s="574"/>
      <c r="Q486" s="574"/>
      <c r="R486" s="574"/>
      <c r="S486" s="574"/>
      <c r="T486" s="574"/>
      <c r="U486" s="574"/>
      <c r="V486" s="574"/>
      <c r="W486" s="574"/>
      <c r="X486" s="574"/>
      <c r="Y486" s="574"/>
      <c r="Z486" s="574"/>
      <c r="AA486" s="574"/>
      <c r="AB486" s="574"/>
      <c r="AC486" s="574"/>
      <c r="AD486" s="574"/>
      <c r="AE486" s="574"/>
    </row>
    <row r="487" spans="1:31" ht="16.5" customHeight="1" x14ac:dyDescent="0.85">
      <c r="A487" s="574"/>
      <c r="B487" s="574"/>
      <c r="C487" s="574"/>
      <c r="D487" s="574"/>
      <c r="E487" s="574"/>
      <c r="F487" s="574"/>
      <c r="G487" s="574"/>
      <c r="H487" s="574"/>
      <c r="I487" s="574"/>
      <c r="J487" s="574"/>
      <c r="K487" s="574"/>
      <c r="L487" s="574"/>
      <c r="M487" s="574"/>
      <c r="N487" s="574"/>
      <c r="O487" s="574"/>
      <c r="P487" s="574"/>
      <c r="Q487" s="574"/>
      <c r="R487" s="574"/>
      <c r="S487" s="574"/>
      <c r="T487" s="574"/>
      <c r="U487" s="574"/>
      <c r="V487" s="574"/>
      <c r="W487" s="574"/>
      <c r="X487" s="574"/>
      <c r="Y487" s="574"/>
      <c r="Z487" s="574"/>
      <c r="AA487" s="574"/>
      <c r="AB487" s="574"/>
      <c r="AC487" s="574"/>
      <c r="AD487" s="574"/>
      <c r="AE487" s="574"/>
    </row>
    <row r="488" spans="1:31" ht="16.5" customHeight="1" x14ac:dyDescent="0.85">
      <c r="A488" s="574"/>
      <c r="B488" s="574"/>
      <c r="C488" s="574"/>
      <c r="D488" s="574"/>
      <c r="E488" s="574"/>
      <c r="F488" s="574"/>
      <c r="G488" s="574"/>
      <c r="H488" s="574"/>
      <c r="I488" s="574"/>
      <c r="J488" s="574"/>
      <c r="K488" s="574"/>
      <c r="L488" s="574"/>
      <c r="M488" s="574"/>
      <c r="N488" s="574"/>
      <c r="O488" s="574"/>
      <c r="P488" s="574"/>
      <c r="Q488" s="574"/>
      <c r="R488" s="574"/>
      <c r="S488" s="574"/>
      <c r="T488" s="574"/>
      <c r="U488" s="574"/>
      <c r="V488" s="574"/>
      <c r="W488" s="574"/>
      <c r="X488" s="574"/>
      <c r="Y488" s="574"/>
      <c r="Z488" s="574"/>
      <c r="AA488" s="574"/>
      <c r="AB488" s="574"/>
      <c r="AC488" s="574"/>
      <c r="AD488" s="574"/>
      <c r="AE488" s="574"/>
    </row>
    <row r="489" spans="1:31" ht="16.5" customHeight="1" x14ac:dyDescent="0.85">
      <c r="A489" s="574"/>
      <c r="B489" s="574"/>
      <c r="C489" s="574"/>
      <c r="D489" s="574"/>
      <c r="E489" s="574"/>
      <c r="F489" s="574"/>
      <c r="G489" s="574"/>
      <c r="H489" s="574"/>
      <c r="I489" s="574"/>
      <c r="J489" s="574"/>
      <c r="K489" s="574"/>
      <c r="L489" s="574"/>
      <c r="M489" s="574"/>
      <c r="N489" s="574"/>
      <c r="O489" s="574"/>
      <c r="P489" s="574"/>
      <c r="Q489" s="574"/>
      <c r="R489" s="574"/>
      <c r="S489" s="574"/>
      <c r="T489" s="574"/>
      <c r="U489" s="574"/>
      <c r="V489" s="574"/>
      <c r="W489" s="574"/>
      <c r="X489" s="574"/>
      <c r="Y489" s="574"/>
      <c r="Z489" s="574"/>
      <c r="AA489" s="574"/>
      <c r="AB489" s="574"/>
      <c r="AC489" s="574"/>
      <c r="AD489" s="574"/>
      <c r="AE489" s="574"/>
    </row>
    <row r="490" spans="1:31" ht="16.5" customHeight="1" x14ac:dyDescent="0.85">
      <c r="A490" s="574"/>
      <c r="B490" s="574"/>
      <c r="C490" s="574"/>
      <c r="D490" s="574"/>
      <c r="E490" s="574"/>
      <c r="F490" s="574"/>
      <c r="G490" s="574"/>
      <c r="H490" s="574"/>
      <c r="I490" s="574"/>
      <c r="J490" s="574"/>
      <c r="K490" s="574"/>
      <c r="L490" s="574"/>
      <c r="M490" s="574"/>
      <c r="N490" s="574"/>
      <c r="O490" s="574"/>
      <c r="P490" s="574"/>
      <c r="Q490" s="574"/>
      <c r="R490" s="574"/>
      <c r="S490" s="574"/>
      <c r="T490" s="574"/>
      <c r="U490" s="574"/>
      <c r="V490" s="574"/>
      <c r="W490" s="574"/>
      <c r="X490" s="574"/>
      <c r="Y490" s="574"/>
      <c r="Z490" s="574"/>
      <c r="AA490" s="574"/>
      <c r="AB490" s="574"/>
      <c r="AC490" s="574"/>
      <c r="AD490" s="574"/>
      <c r="AE490" s="574"/>
    </row>
    <row r="491" spans="1:31" ht="16.5" customHeight="1" x14ac:dyDescent="0.85">
      <c r="A491" s="574"/>
      <c r="B491" s="574"/>
      <c r="C491" s="574"/>
      <c r="D491" s="574"/>
      <c r="E491" s="574"/>
      <c r="F491" s="574"/>
      <c r="G491" s="574"/>
      <c r="H491" s="574"/>
      <c r="I491" s="574"/>
      <c r="J491" s="574"/>
      <c r="K491" s="574"/>
      <c r="L491" s="574"/>
      <c r="M491" s="574"/>
      <c r="N491" s="574"/>
      <c r="O491" s="574"/>
      <c r="P491" s="574"/>
      <c r="Q491" s="574"/>
      <c r="R491" s="574"/>
      <c r="S491" s="574"/>
      <c r="T491" s="574"/>
      <c r="U491" s="574"/>
      <c r="V491" s="574"/>
      <c r="W491" s="574"/>
      <c r="X491" s="574"/>
      <c r="Y491" s="574"/>
      <c r="Z491" s="574"/>
      <c r="AA491" s="574"/>
      <c r="AB491" s="574"/>
      <c r="AC491" s="574"/>
      <c r="AD491" s="574"/>
      <c r="AE491" s="574"/>
    </row>
    <row r="492" spans="1:31" ht="16.5" customHeight="1" x14ac:dyDescent="0.85">
      <c r="A492" s="574"/>
      <c r="B492" s="574"/>
      <c r="C492" s="574"/>
      <c r="D492" s="574"/>
      <c r="E492" s="574"/>
      <c r="F492" s="574"/>
      <c r="G492" s="574"/>
      <c r="H492" s="574"/>
      <c r="I492" s="574"/>
      <c r="J492" s="574"/>
      <c r="K492" s="574"/>
      <c r="L492" s="574"/>
      <c r="M492" s="574"/>
      <c r="N492" s="574"/>
      <c r="O492" s="574"/>
      <c r="P492" s="574"/>
      <c r="Q492" s="574"/>
      <c r="R492" s="574"/>
      <c r="S492" s="574"/>
      <c r="T492" s="574"/>
      <c r="U492" s="574"/>
      <c r="V492" s="574"/>
      <c r="W492" s="574"/>
      <c r="X492" s="574"/>
      <c r="Y492" s="574"/>
      <c r="Z492" s="574"/>
      <c r="AA492" s="574"/>
      <c r="AB492" s="574"/>
      <c r="AC492" s="574"/>
      <c r="AD492" s="574"/>
      <c r="AE492" s="574"/>
    </row>
    <row r="493" spans="1:31" ht="16.5" customHeight="1" x14ac:dyDescent="0.85">
      <c r="A493" s="574"/>
      <c r="B493" s="574"/>
      <c r="C493" s="574"/>
      <c r="D493" s="574"/>
      <c r="E493" s="574"/>
      <c r="F493" s="574"/>
      <c r="G493" s="574"/>
      <c r="H493" s="574"/>
      <c r="I493" s="574"/>
      <c r="J493" s="574"/>
      <c r="K493" s="574"/>
      <c r="L493" s="574"/>
      <c r="M493" s="574"/>
      <c r="N493" s="574"/>
      <c r="O493" s="574"/>
      <c r="P493" s="574"/>
      <c r="Q493" s="574"/>
      <c r="R493" s="574"/>
      <c r="S493" s="574"/>
      <c r="T493" s="574"/>
      <c r="U493" s="574"/>
      <c r="V493" s="574"/>
      <c r="W493" s="574"/>
      <c r="X493" s="574"/>
      <c r="Y493" s="574"/>
      <c r="Z493" s="574"/>
      <c r="AA493" s="574"/>
      <c r="AB493" s="574"/>
      <c r="AC493" s="574"/>
      <c r="AD493" s="574"/>
      <c r="AE493" s="574"/>
    </row>
    <row r="494" spans="1:31" ht="16.5" customHeight="1" x14ac:dyDescent="0.85">
      <c r="A494" s="574"/>
      <c r="B494" s="574"/>
      <c r="C494" s="574"/>
      <c r="D494" s="574"/>
      <c r="E494" s="574"/>
      <c r="F494" s="574"/>
      <c r="G494" s="574"/>
      <c r="H494" s="574"/>
      <c r="I494" s="574"/>
      <c r="J494" s="574"/>
      <c r="K494" s="574"/>
      <c r="L494" s="574"/>
      <c r="M494" s="574"/>
      <c r="N494" s="574"/>
      <c r="O494" s="574"/>
      <c r="P494" s="574"/>
      <c r="Q494" s="574"/>
      <c r="R494" s="574"/>
      <c r="S494" s="574"/>
      <c r="T494" s="574"/>
      <c r="U494" s="574"/>
      <c r="V494" s="574"/>
      <c r="W494" s="574"/>
      <c r="X494" s="574"/>
      <c r="Y494" s="574"/>
      <c r="Z494" s="574"/>
      <c r="AA494" s="574"/>
      <c r="AB494" s="574"/>
      <c r="AC494" s="574"/>
      <c r="AD494" s="574"/>
      <c r="AE494" s="574"/>
    </row>
    <row r="495" spans="1:31" ht="16.5" customHeight="1" x14ac:dyDescent="0.85">
      <c r="A495" s="574"/>
      <c r="B495" s="574"/>
      <c r="C495" s="574"/>
      <c r="D495" s="574"/>
      <c r="E495" s="574"/>
      <c r="F495" s="574"/>
      <c r="G495" s="574"/>
      <c r="H495" s="574"/>
      <c r="I495" s="574"/>
      <c r="J495" s="574"/>
      <c r="K495" s="574"/>
      <c r="L495" s="574"/>
      <c r="M495" s="574"/>
      <c r="N495" s="574"/>
      <c r="O495" s="574"/>
      <c r="P495" s="574"/>
      <c r="Q495" s="574"/>
      <c r="R495" s="574"/>
      <c r="S495" s="574"/>
      <c r="T495" s="574"/>
      <c r="U495" s="574"/>
      <c r="V495" s="574"/>
      <c r="W495" s="574"/>
      <c r="X495" s="574"/>
      <c r="Y495" s="574"/>
      <c r="Z495" s="574"/>
      <c r="AA495" s="574"/>
      <c r="AB495" s="574"/>
      <c r="AC495" s="574"/>
      <c r="AD495" s="574"/>
      <c r="AE495" s="574"/>
    </row>
    <row r="496" spans="1:31" ht="16.5" customHeight="1" x14ac:dyDescent="0.85">
      <c r="A496" s="574"/>
      <c r="B496" s="574"/>
      <c r="C496" s="574"/>
      <c r="D496" s="574"/>
      <c r="E496" s="574"/>
      <c r="F496" s="574"/>
      <c r="G496" s="574"/>
      <c r="H496" s="574"/>
      <c r="I496" s="574"/>
      <c r="J496" s="574"/>
      <c r="K496" s="574"/>
      <c r="L496" s="574"/>
      <c r="M496" s="574"/>
      <c r="N496" s="574"/>
      <c r="O496" s="574"/>
      <c r="P496" s="574"/>
      <c r="Q496" s="574"/>
      <c r="R496" s="574"/>
      <c r="S496" s="574"/>
      <c r="T496" s="574"/>
      <c r="U496" s="574"/>
      <c r="V496" s="574"/>
      <c r="W496" s="574"/>
      <c r="X496" s="574"/>
      <c r="Y496" s="574"/>
      <c r="Z496" s="574"/>
      <c r="AA496" s="574"/>
      <c r="AB496" s="574"/>
      <c r="AC496" s="574"/>
      <c r="AD496" s="574"/>
      <c r="AE496" s="574"/>
    </row>
    <row r="497" spans="1:31" ht="16.5" customHeight="1" x14ac:dyDescent="0.85">
      <c r="A497" s="574"/>
      <c r="B497" s="574"/>
      <c r="C497" s="574"/>
      <c r="D497" s="574"/>
      <c r="E497" s="574"/>
      <c r="F497" s="574"/>
      <c r="G497" s="574"/>
      <c r="H497" s="574"/>
      <c r="I497" s="574"/>
      <c r="J497" s="574"/>
      <c r="K497" s="574"/>
      <c r="L497" s="574"/>
      <c r="M497" s="574"/>
      <c r="N497" s="574"/>
      <c r="O497" s="574"/>
      <c r="P497" s="574"/>
      <c r="Q497" s="574"/>
      <c r="R497" s="574"/>
      <c r="S497" s="574"/>
      <c r="T497" s="574"/>
      <c r="U497" s="574"/>
      <c r="V497" s="574"/>
      <c r="W497" s="574"/>
      <c r="X497" s="574"/>
      <c r="Y497" s="574"/>
      <c r="Z497" s="574"/>
      <c r="AA497" s="574"/>
      <c r="AB497" s="574"/>
      <c r="AC497" s="574"/>
      <c r="AD497" s="574"/>
      <c r="AE497" s="574"/>
    </row>
    <row r="498" spans="1:31" ht="16.5" customHeight="1" x14ac:dyDescent="0.85">
      <c r="A498" s="574"/>
      <c r="B498" s="574"/>
      <c r="C498" s="574"/>
      <c r="D498" s="574"/>
      <c r="E498" s="574"/>
      <c r="F498" s="574"/>
      <c r="G498" s="574"/>
      <c r="H498" s="574"/>
      <c r="I498" s="574"/>
      <c r="J498" s="574"/>
      <c r="K498" s="574"/>
      <c r="L498" s="574"/>
      <c r="M498" s="574"/>
      <c r="N498" s="574"/>
      <c r="O498" s="574"/>
      <c r="P498" s="574"/>
      <c r="Q498" s="574"/>
      <c r="R498" s="574"/>
      <c r="S498" s="574"/>
      <c r="T498" s="574"/>
      <c r="U498" s="574"/>
      <c r="V498" s="574"/>
      <c r="W498" s="574"/>
      <c r="X498" s="574"/>
      <c r="Y498" s="574"/>
      <c r="Z498" s="574"/>
      <c r="AA498" s="574"/>
      <c r="AB498" s="574"/>
      <c r="AC498" s="574"/>
      <c r="AD498" s="574"/>
      <c r="AE498" s="574"/>
    </row>
    <row r="499" spans="1:31" ht="16.5" customHeight="1" x14ac:dyDescent="0.85">
      <c r="A499" s="574"/>
      <c r="B499" s="574"/>
      <c r="C499" s="574"/>
      <c r="D499" s="574"/>
      <c r="E499" s="574"/>
      <c r="F499" s="574"/>
      <c r="G499" s="574"/>
      <c r="H499" s="574"/>
      <c r="I499" s="574"/>
      <c r="J499" s="574"/>
      <c r="K499" s="574"/>
      <c r="L499" s="574"/>
      <c r="M499" s="574"/>
      <c r="N499" s="574"/>
      <c r="O499" s="574"/>
      <c r="P499" s="574"/>
      <c r="Q499" s="574"/>
      <c r="R499" s="574"/>
      <c r="S499" s="574"/>
      <c r="T499" s="574"/>
      <c r="U499" s="574"/>
      <c r="V499" s="574"/>
      <c r="W499" s="574"/>
      <c r="X499" s="574"/>
      <c r="Y499" s="574"/>
      <c r="Z499" s="574"/>
      <c r="AA499" s="574"/>
      <c r="AB499" s="574"/>
      <c r="AC499" s="574"/>
      <c r="AD499" s="574"/>
      <c r="AE499" s="574"/>
    </row>
    <row r="500" spans="1:31" ht="16.5" customHeight="1" x14ac:dyDescent="0.85">
      <c r="A500" s="574"/>
      <c r="B500" s="574"/>
      <c r="C500" s="574"/>
      <c r="D500" s="574"/>
      <c r="E500" s="574"/>
      <c r="F500" s="574"/>
      <c r="G500" s="574"/>
      <c r="H500" s="574"/>
      <c r="I500" s="574"/>
      <c r="J500" s="574"/>
      <c r="K500" s="574"/>
      <c r="L500" s="574"/>
      <c r="M500" s="574"/>
      <c r="N500" s="574"/>
      <c r="O500" s="574"/>
      <c r="P500" s="574"/>
      <c r="Q500" s="574"/>
      <c r="R500" s="574"/>
      <c r="S500" s="574"/>
      <c r="T500" s="574"/>
      <c r="U500" s="574"/>
      <c r="V500" s="574"/>
      <c r="W500" s="574"/>
      <c r="X500" s="574"/>
      <c r="Y500" s="574"/>
      <c r="Z500" s="574"/>
      <c r="AA500" s="574"/>
      <c r="AB500" s="574"/>
      <c r="AC500" s="574"/>
      <c r="AD500" s="574"/>
      <c r="AE500" s="574"/>
    </row>
    <row r="501" spans="1:31" ht="16.5" customHeight="1" x14ac:dyDescent="0.85">
      <c r="A501" s="574"/>
      <c r="B501" s="574"/>
      <c r="C501" s="574"/>
      <c r="D501" s="574"/>
      <c r="E501" s="574"/>
      <c r="F501" s="574"/>
      <c r="G501" s="574"/>
      <c r="H501" s="574"/>
      <c r="I501" s="574"/>
      <c r="J501" s="574"/>
      <c r="K501" s="574"/>
      <c r="L501" s="574"/>
      <c r="M501" s="574"/>
      <c r="N501" s="574"/>
      <c r="O501" s="574"/>
      <c r="P501" s="574"/>
      <c r="Q501" s="574"/>
      <c r="R501" s="574"/>
      <c r="S501" s="574"/>
      <c r="T501" s="574"/>
      <c r="U501" s="574"/>
      <c r="V501" s="574"/>
      <c r="W501" s="574"/>
      <c r="X501" s="574"/>
      <c r="Y501" s="574"/>
      <c r="Z501" s="574"/>
      <c r="AA501" s="574"/>
      <c r="AB501" s="574"/>
      <c r="AC501" s="574"/>
      <c r="AD501" s="574"/>
      <c r="AE501" s="574"/>
    </row>
    <row r="502" spans="1:31" ht="16.5" customHeight="1" x14ac:dyDescent="0.85">
      <c r="A502" s="574"/>
      <c r="B502" s="574"/>
      <c r="C502" s="574"/>
      <c r="D502" s="574"/>
      <c r="E502" s="574"/>
      <c r="F502" s="574"/>
      <c r="G502" s="574"/>
      <c r="H502" s="574"/>
      <c r="I502" s="574"/>
      <c r="J502" s="574"/>
      <c r="K502" s="574"/>
      <c r="L502" s="574"/>
      <c r="M502" s="574"/>
      <c r="N502" s="574"/>
      <c r="O502" s="574"/>
      <c r="P502" s="574"/>
      <c r="Q502" s="574"/>
      <c r="R502" s="574"/>
      <c r="S502" s="574"/>
      <c r="T502" s="574"/>
      <c r="U502" s="574"/>
      <c r="V502" s="574"/>
      <c r="W502" s="574"/>
      <c r="X502" s="574"/>
      <c r="Y502" s="574"/>
      <c r="Z502" s="574"/>
      <c r="AA502" s="574"/>
      <c r="AB502" s="574"/>
      <c r="AC502" s="574"/>
      <c r="AD502" s="574"/>
      <c r="AE502" s="574"/>
    </row>
    <row r="503" spans="1:31" ht="16.5" customHeight="1" x14ac:dyDescent="0.85">
      <c r="A503" s="574"/>
      <c r="B503" s="574"/>
      <c r="C503" s="574"/>
      <c r="D503" s="574"/>
      <c r="E503" s="574"/>
      <c r="F503" s="574"/>
      <c r="G503" s="574"/>
      <c r="H503" s="574"/>
      <c r="I503" s="574"/>
      <c r="J503" s="574"/>
      <c r="K503" s="574"/>
      <c r="L503" s="574"/>
      <c r="M503" s="574"/>
      <c r="N503" s="574"/>
      <c r="O503" s="574"/>
      <c r="P503" s="574"/>
      <c r="Q503" s="574"/>
      <c r="R503" s="574"/>
      <c r="S503" s="574"/>
      <c r="T503" s="574"/>
      <c r="U503" s="574"/>
      <c r="V503" s="574"/>
      <c r="W503" s="574"/>
      <c r="X503" s="574"/>
      <c r="Y503" s="574"/>
      <c r="Z503" s="574"/>
      <c r="AA503" s="574"/>
      <c r="AB503" s="574"/>
      <c r="AC503" s="574"/>
      <c r="AD503" s="574"/>
      <c r="AE503" s="574"/>
    </row>
    <row r="504" spans="1:31" ht="16.5" customHeight="1" x14ac:dyDescent="0.85">
      <c r="A504" s="574"/>
      <c r="B504" s="574"/>
      <c r="C504" s="574"/>
      <c r="D504" s="574"/>
      <c r="E504" s="574"/>
      <c r="F504" s="574"/>
      <c r="G504" s="574"/>
      <c r="H504" s="574"/>
      <c r="I504" s="574"/>
      <c r="J504" s="574"/>
      <c r="K504" s="574"/>
      <c r="L504" s="574"/>
      <c r="M504" s="574"/>
      <c r="N504" s="574"/>
      <c r="O504" s="574"/>
      <c r="P504" s="574"/>
      <c r="Q504" s="574"/>
      <c r="R504" s="574"/>
      <c r="S504" s="574"/>
      <c r="T504" s="574"/>
      <c r="U504" s="574"/>
      <c r="V504" s="574"/>
      <c r="W504" s="574"/>
      <c r="X504" s="574"/>
      <c r="Y504" s="574"/>
      <c r="Z504" s="574"/>
      <c r="AA504" s="574"/>
      <c r="AB504" s="574"/>
      <c r="AC504" s="574"/>
      <c r="AD504" s="574"/>
      <c r="AE504" s="574"/>
    </row>
    <row r="505" spans="1:31" ht="16.5" customHeight="1" x14ac:dyDescent="0.85">
      <c r="A505" s="574"/>
      <c r="B505" s="574"/>
      <c r="C505" s="574"/>
      <c r="D505" s="574"/>
      <c r="E505" s="574"/>
      <c r="F505" s="574"/>
      <c r="G505" s="574"/>
      <c r="H505" s="574"/>
      <c r="I505" s="574"/>
      <c r="J505" s="574"/>
      <c r="K505" s="574"/>
      <c r="L505" s="574"/>
      <c r="M505" s="574"/>
      <c r="N505" s="574"/>
      <c r="O505" s="574"/>
      <c r="P505" s="574"/>
      <c r="Q505" s="574"/>
      <c r="R505" s="574"/>
      <c r="S505" s="574"/>
      <c r="T505" s="574"/>
      <c r="U505" s="574"/>
      <c r="V505" s="574"/>
      <c r="W505" s="574"/>
      <c r="X505" s="574"/>
      <c r="Y505" s="574"/>
      <c r="Z505" s="574"/>
      <c r="AA505" s="574"/>
      <c r="AB505" s="574"/>
      <c r="AC505" s="574"/>
      <c r="AD505" s="574"/>
      <c r="AE505" s="574"/>
    </row>
    <row r="506" spans="1:31" ht="16.5" customHeight="1" x14ac:dyDescent="0.85">
      <c r="A506" s="574"/>
      <c r="B506" s="574"/>
      <c r="C506" s="574"/>
      <c r="D506" s="574"/>
      <c r="E506" s="574"/>
      <c r="F506" s="574"/>
      <c r="G506" s="574"/>
      <c r="H506" s="574"/>
      <c r="I506" s="574"/>
      <c r="J506" s="574"/>
      <c r="K506" s="574"/>
      <c r="L506" s="574"/>
      <c r="M506" s="574"/>
      <c r="N506" s="574"/>
      <c r="O506" s="574"/>
      <c r="P506" s="574"/>
      <c r="Q506" s="574"/>
      <c r="R506" s="574"/>
      <c r="S506" s="574"/>
      <c r="T506" s="574"/>
      <c r="U506" s="574"/>
      <c r="V506" s="574"/>
      <c r="W506" s="574"/>
      <c r="X506" s="574"/>
      <c r="Y506" s="574"/>
      <c r="Z506" s="574"/>
      <c r="AA506" s="574"/>
      <c r="AB506" s="574"/>
      <c r="AC506" s="574"/>
      <c r="AD506" s="574"/>
      <c r="AE506" s="574"/>
    </row>
    <row r="507" spans="1:31" ht="16.5" customHeight="1" x14ac:dyDescent="0.85">
      <c r="A507" s="574"/>
      <c r="B507" s="574"/>
      <c r="C507" s="574"/>
      <c r="D507" s="574"/>
      <c r="E507" s="574"/>
      <c r="F507" s="574"/>
      <c r="G507" s="574"/>
      <c r="H507" s="574"/>
      <c r="I507" s="574"/>
      <c r="J507" s="574"/>
      <c r="K507" s="574"/>
      <c r="L507" s="574"/>
      <c r="M507" s="574"/>
      <c r="N507" s="574"/>
      <c r="O507" s="574"/>
      <c r="P507" s="574"/>
      <c r="Q507" s="574"/>
      <c r="R507" s="574"/>
      <c r="S507" s="574"/>
      <c r="T507" s="574"/>
      <c r="U507" s="574"/>
      <c r="V507" s="574"/>
      <c r="W507" s="574"/>
      <c r="X507" s="574"/>
      <c r="Y507" s="574"/>
      <c r="Z507" s="574"/>
      <c r="AA507" s="574"/>
      <c r="AB507" s="574"/>
      <c r="AC507" s="574"/>
      <c r="AD507" s="574"/>
      <c r="AE507" s="574"/>
    </row>
    <row r="508" spans="1:31" ht="16.5" customHeight="1" x14ac:dyDescent="0.85">
      <c r="A508" s="574"/>
      <c r="B508" s="574"/>
      <c r="C508" s="574"/>
      <c r="D508" s="574"/>
      <c r="E508" s="574"/>
      <c r="F508" s="574"/>
      <c r="G508" s="574"/>
      <c r="H508" s="574"/>
      <c r="I508" s="574"/>
      <c r="J508" s="574"/>
      <c r="K508" s="574"/>
      <c r="L508" s="574"/>
      <c r="M508" s="574"/>
      <c r="N508" s="574"/>
      <c r="O508" s="574"/>
      <c r="P508" s="574"/>
      <c r="Q508" s="574"/>
      <c r="R508" s="574"/>
      <c r="S508" s="574"/>
      <c r="T508" s="574"/>
      <c r="U508" s="574"/>
      <c r="V508" s="574"/>
      <c r="W508" s="574"/>
      <c r="X508" s="574"/>
      <c r="Y508" s="574"/>
      <c r="Z508" s="574"/>
      <c r="AA508" s="574"/>
      <c r="AB508" s="574"/>
      <c r="AC508" s="574"/>
      <c r="AD508" s="574"/>
      <c r="AE508" s="574"/>
    </row>
    <row r="509" spans="1:31" ht="16.5" customHeight="1" x14ac:dyDescent="0.85">
      <c r="A509" s="574"/>
      <c r="B509" s="574"/>
      <c r="C509" s="574"/>
      <c r="D509" s="574"/>
      <c r="E509" s="574"/>
      <c r="F509" s="574"/>
      <c r="G509" s="574"/>
      <c r="H509" s="574"/>
      <c r="I509" s="574"/>
      <c r="J509" s="574"/>
      <c r="K509" s="574"/>
      <c r="L509" s="574"/>
      <c r="M509" s="574"/>
      <c r="N509" s="574"/>
      <c r="O509" s="574"/>
      <c r="P509" s="574"/>
      <c r="Q509" s="574"/>
      <c r="R509" s="574"/>
      <c r="S509" s="574"/>
      <c r="T509" s="574"/>
      <c r="U509" s="574"/>
      <c r="V509" s="574"/>
      <c r="W509" s="574"/>
      <c r="X509" s="574"/>
      <c r="Y509" s="574"/>
      <c r="Z509" s="574"/>
      <c r="AA509" s="574"/>
      <c r="AB509" s="574"/>
      <c r="AC509" s="574"/>
      <c r="AD509" s="574"/>
      <c r="AE509" s="574"/>
    </row>
    <row r="510" spans="1:31" ht="16.5" customHeight="1" x14ac:dyDescent="0.85">
      <c r="A510" s="574"/>
      <c r="B510" s="574"/>
      <c r="C510" s="574"/>
      <c r="D510" s="574"/>
      <c r="E510" s="574"/>
      <c r="F510" s="574"/>
      <c r="G510" s="574"/>
      <c r="H510" s="574"/>
      <c r="I510" s="574"/>
      <c r="J510" s="574"/>
      <c r="K510" s="574"/>
      <c r="L510" s="574"/>
      <c r="M510" s="574"/>
      <c r="N510" s="574"/>
      <c r="O510" s="574"/>
      <c r="P510" s="574"/>
      <c r="Q510" s="574"/>
      <c r="R510" s="574"/>
      <c r="S510" s="574"/>
      <c r="T510" s="574"/>
      <c r="U510" s="574"/>
      <c r="V510" s="574"/>
      <c r="W510" s="574"/>
      <c r="X510" s="574"/>
      <c r="Y510" s="574"/>
      <c r="Z510" s="574"/>
      <c r="AA510" s="574"/>
      <c r="AB510" s="574"/>
      <c r="AC510" s="574"/>
      <c r="AD510" s="574"/>
      <c r="AE510" s="574"/>
    </row>
    <row r="511" spans="1:31" ht="16.5" customHeight="1" x14ac:dyDescent="0.85">
      <c r="A511" s="574"/>
      <c r="B511" s="574"/>
      <c r="C511" s="574"/>
      <c r="D511" s="574"/>
      <c r="E511" s="574"/>
      <c r="F511" s="574"/>
      <c r="G511" s="574"/>
      <c r="H511" s="574"/>
      <c r="I511" s="574"/>
      <c r="J511" s="574"/>
      <c r="K511" s="574"/>
      <c r="L511" s="574"/>
      <c r="M511" s="574"/>
      <c r="N511" s="574"/>
      <c r="O511" s="574"/>
      <c r="P511" s="574"/>
      <c r="Q511" s="574"/>
      <c r="R511" s="574"/>
      <c r="S511" s="574"/>
      <c r="T511" s="574"/>
      <c r="U511" s="574"/>
      <c r="V511" s="574"/>
      <c r="W511" s="574"/>
      <c r="X511" s="574"/>
      <c r="Y511" s="574"/>
      <c r="Z511" s="574"/>
      <c r="AA511" s="574"/>
      <c r="AB511" s="574"/>
      <c r="AC511" s="574"/>
      <c r="AD511" s="574"/>
      <c r="AE511" s="574"/>
    </row>
    <row r="512" spans="1:31" ht="16.5" customHeight="1" x14ac:dyDescent="0.85">
      <c r="A512" s="574"/>
      <c r="B512" s="574"/>
      <c r="C512" s="574"/>
      <c r="D512" s="574"/>
      <c r="E512" s="574"/>
      <c r="F512" s="574"/>
      <c r="G512" s="574"/>
      <c r="H512" s="574"/>
      <c r="I512" s="574"/>
      <c r="J512" s="574"/>
      <c r="K512" s="574"/>
      <c r="L512" s="574"/>
      <c r="M512" s="574"/>
      <c r="N512" s="574"/>
      <c r="O512" s="574"/>
      <c r="P512" s="574"/>
      <c r="Q512" s="574"/>
      <c r="R512" s="574"/>
      <c r="S512" s="574"/>
      <c r="T512" s="574"/>
      <c r="U512" s="574"/>
      <c r="V512" s="574"/>
      <c r="W512" s="574"/>
      <c r="X512" s="574"/>
      <c r="Y512" s="574"/>
      <c r="Z512" s="574"/>
      <c r="AA512" s="574"/>
      <c r="AB512" s="574"/>
      <c r="AC512" s="574"/>
      <c r="AD512" s="574"/>
      <c r="AE512" s="574"/>
    </row>
    <row r="513" spans="1:31" ht="16.5" customHeight="1" x14ac:dyDescent="0.85">
      <c r="A513" s="574"/>
      <c r="B513" s="574"/>
      <c r="C513" s="574"/>
      <c r="D513" s="574"/>
      <c r="E513" s="574"/>
      <c r="F513" s="574"/>
      <c r="G513" s="574"/>
      <c r="H513" s="574"/>
      <c r="I513" s="574"/>
      <c r="J513" s="574"/>
      <c r="K513" s="574"/>
      <c r="L513" s="574"/>
      <c r="M513" s="574"/>
      <c r="N513" s="574"/>
      <c r="O513" s="574"/>
      <c r="P513" s="574"/>
      <c r="Q513" s="574"/>
      <c r="R513" s="574"/>
      <c r="S513" s="574"/>
      <c r="T513" s="574"/>
      <c r="U513" s="574"/>
      <c r="V513" s="574"/>
      <c r="W513" s="574"/>
      <c r="X513" s="574"/>
      <c r="Y513" s="574"/>
      <c r="Z513" s="574"/>
      <c r="AA513" s="574"/>
      <c r="AB513" s="574"/>
      <c r="AC513" s="574"/>
      <c r="AD513" s="574"/>
      <c r="AE513" s="574"/>
    </row>
    <row r="514" spans="1:31" ht="16.5" customHeight="1" x14ac:dyDescent="0.85">
      <c r="A514" s="574"/>
      <c r="B514" s="574"/>
      <c r="C514" s="574"/>
      <c r="D514" s="574"/>
      <c r="E514" s="574"/>
      <c r="F514" s="574"/>
      <c r="G514" s="574"/>
      <c r="H514" s="574"/>
      <c r="I514" s="574"/>
      <c r="J514" s="574"/>
      <c r="K514" s="574"/>
      <c r="L514" s="574"/>
      <c r="M514" s="574"/>
      <c r="N514" s="574"/>
      <c r="O514" s="574"/>
      <c r="P514" s="574"/>
      <c r="Q514" s="574"/>
      <c r="R514" s="574"/>
      <c r="S514" s="574"/>
      <c r="T514" s="574"/>
      <c r="U514" s="574"/>
      <c r="V514" s="574"/>
      <c r="W514" s="574"/>
      <c r="X514" s="574"/>
      <c r="Y514" s="574"/>
      <c r="Z514" s="574"/>
      <c r="AA514" s="574"/>
      <c r="AB514" s="574"/>
      <c r="AC514" s="574"/>
      <c r="AD514" s="574"/>
      <c r="AE514" s="574"/>
    </row>
    <row r="515" spans="1:31" ht="16.5" customHeight="1" x14ac:dyDescent="0.85">
      <c r="A515" s="574"/>
      <c r="B515" s="574"/>
      <c r="C515" s="574"/>
      <c r="D515" s="574"/>
      <c r="E515" s="574"/>
      <c r="F515" s="574"/>
      <c r="G515" s="574"/>
      <c r="H515" s="574"/>
      <c r="I515" s="574"/>
      <c r="J515" s="574"/>
      <c r="K515" s="574"/>
      <c r="L515" s="574"/>
      <c r="M515" s="574"/>
      <c r="N515" s="574"/>
      <c r="O515" s="574"/>
      <c r="P515" s="574"/>
      <c r="Q515" s="574"/>
      <c r="R515" s="574"/>
      <c r="S515" s="574"/>
      <c r="T515" s="574"/>
      <c r="U515" s="574"/>
      <c r="V515" s="574"/>
      <c r="W515" s="574"/>
      <c r="X515" s="574"/>
      <c r="Y515" s="574"/>
      <c r="Z515" s="574"/>
      <c r="AA515" s="574"/>
      <c r="AB515" s="574"/>
      <c r="AC515" s="574"/>
      <c r="AD515" s="574"/>
      <c r="AE515" s="574"/>
    </row>
    <row r="516" spans="1:31" ht="16.5" customHeight="1" x14ac:dyDescent="0.85">
      <c r="A516" s="574"/>
      <c r="B516" s="574"/>
      <c r="C516" s="574"/>
      <c r="D516" s="574"/>
      <c r="E516" s="574"/>
      <c r="F516" s="574"/>
      <c r="G516" s="574"/>
      <c r="H516" s="574"/>
      <c r="I516" s="574"/>
      <c r="J516" s="574"/>
      <c r="K516" s="574"/>
      <c r="L516" s="574"/>
      <c r="M516" s="574"/>
      <c r="N516" s="574"/>
      <c r="O516" s="574"/>
      <c r="P516" s="574"/>
      <c r="Q516" s="574"/>
      <c r="R516" s="574"/>
      <c r="S516" s="574"/>
      <c r="T516" s="574"/>
      <c r="U516" s="574"/>
      <c r="V516" s="574"/>
      <c r="W516" s="574"/>
      <c r="X516" s="574"/>
      <c r="Y516" s="574"/>
      <c r="Z516" s="574"/>
      <c r="AA516" s="574"/>
      <c r="AB516" s="574"/>
      <c r="AC516" s="574"/>
      <c r="AD516" s="574"/>
      <c r="AE516" s="574"/>
    </row>
    <row r="517" spans="1:31" ht="16.5" customHeight="1" x14ac:dyDescent="0.85">
      <c r="A517" s="574"/>
      <c r="B517" s="574"/>
      <c r="C517" s="574"/>
      <c r="D517" s="574"/>
      <c r="E517" s="574"/>
      <c r="F517" s="574"/>
      <c r="G517" s="574"/>
      <c r="H517" s="574"/>
      <c r="I517" s="574"/>
      <c r="J517" s="574"/>
      <c r="K517" s="574"/>
      <c r="L517" s="574"/>
      <c r="M517" s="574"/>
      <c r="N517" s="574"/>
      <c r="O517" s="574"/>
      <c r="P517" s="574"/>
      <c r="Q517" s="574"/>
      <c r="R517" s="574"/>
      <c r="S517" s="574"/>
      <c r="T517" s="574"/>
      <c r="U517" s="574"/>
      <c r="V517" s="574"/>
      <c r="W517" s="574"/>
      <c r="X517" s="574"/>
      <c r="Y517" s="574"/>
      <c r="Z517" s="574"/>
      <c r="AA517" s="574"/>
      <c r="AB517" s="574"/>
      <c r="AC517" s="574"/>
      <c r="AD517" s="574"/>
      <c r="AE517" s="574"/>
    </row>
    <row r="518" spans="1:31" ht="16.5" customHeight="1" x14ac:dyDescent="0.85">
      <c r="A518" s="574"/>
      <c r="B518" s="574"/>
      <c r="C518" s="574"/>
      <c r="D518" s="574"/>
      <c r="E518" s="574"/>
      <c r="F518" s="574"/>
      <c r="G518" s="574"/>
      <c r="H518" s="574"/>
      <c r="I518" s="574"/>
      <c r="J518" s="574"/>
      <c r="K518" s="574"/>
      <c r="L518" s="574"/>
      <c r="M518" s="574"/>
      <c r="N518" s="574"/>
      <c r="O518" s="574"/>
      <c r="P518" s="574"/>
      <c r="Q518" s="574"/>
      <c r="R518" s="574"/>
      <c r="S518" s="574"/>
      <c r="T518" s="574"/>
      <c r="U518" s="574"/>
      <c r="V518" s="574"/>
      <c r="W518" s="574"/>
      <c r="X518" s="574"/>
      <c r="Y518" s="574"/>
      <c r="Z518" s="574"/>
      <c r="AA518" s="574"/>
      <c r="AB518" s="574"/>
      <c r="AC518" s="574"/>
      <c r="AD518" s="574"/>
      <c r="AE518" s="574"/>
    </row>
    <row r="519" spans="1:31" ht="16.5" customHeight="1" x14ac:dyDescent="0.85">
      <c r="A519" s="574"/>
      <c r="B519" s="574"/>
      <c r="C519" s="574"/>
      <c r="D519" s="574"/>
      <c r="E519" s="574"/>
      <c r="F519" s="574"/>
      <c r="G519" s="574"/>
      <c r="H519" s="574"/>
      <c r="I519" s="574"/>
      <c r="J519" s="574"/>
      <c r="K519" s="574"/>
      <c r="L519" s="574"/>
      <c r="M519" s="574"/>
      <c r="N519" s="574"/>
      <c r="O519" s="574"/>
      <c r="P519" s="574"/>
      <c r="Q519" s="574"/>
      <c r="R519" s="574"/>
      <c r="S519" s="574"/>
      <c r="T519" s="574"/>
      <c r="U519" s="574"/>
      <c r="V519" s="574"/>
      <c r="W519" s="574"/>
      <c r="X519" s="574"/>
      <c r="Y519" s="574"/>
      <c r="Z519" s="574"/>
      <c r="AA519" s="574"/>
      <c r="AB519" s="574"/>
      <c r="AC519" s="574"/>
      <c r="AD519" s="574"/>
      <c r="AE519" s="574"/>
    </row>
    <row r="520" spans="1:31" ht="16.5" customHeight="1" x14ac:dyDescent="0.85">
      <c r="A520" s="574"/>
      <c r="B520" s="574"/>
      <c r="C520" s="574"/>
      <c r="D520" s="574"/>
      <c r="E520" s="574"/>
      <c r="F520" s="574"/>
      <c r="G520" s="574"/>
      <c r="H520" s="574"/>
      <c r="I520" s="574"/>
      <c r="J520" s="574"/>
      <c r="K520" s="574"/>
      <c r="L520" s="574"/>
      <c r="M520" s="574"/>
      <c r="N520" s="574"/>
      <c r="O520" s="574"/>
      <c r="P520" s="574"/>
      <c r="Q520" s="574"/>
      <c r="R520" s="574"/>
      <c r="S520" s="574"/>
      <c r="T520" s="574"/>
      <c r="U520" s="574"/>
      <c r="V520" s="574"/>
      <c r="W520" s="574"/>
      <c r="X520" s="574"/>
      <c r="Y520" s="574"/>
      <c r="Z520" s="574"/>
      <c r="AA520" s="574"/>
      <c r="AB520" s="574"/>
      <c r="AC520" s="574"/>
      <c r="AD520" s="574"/>
      <c r="AE520" s="574"/>
    </row>
    <row r="521" spans="1:31" ht="16.5" customHeight="1" x14ac:dyDescent="0.85">
      <c r="A521" s="574"/>
      <c r="B521" s="574"/>
      <c r="C521" s="574"/>
      <c r="D521" s="574"/>
      <c r="E521" s="574"/>
      <c r="F521" s="574"/>
      <c r="G521" s="574"/>
      <c r="H521" s="574"/>
      <c r="I521" s="574"/>
      <c r="J521" s="574"/>
      <c r="K521" s="574"/>
      <c r="L521" s="574"/>
      <c r="M521" s="574"/>
      <c r="N521" s="574"/>
      <c r="O521" s="574"/>
      <c r="P521" s="574"/>
      <c r="Q521" s="574"/>
      <c r="R521" s="574"/>
      <c r="S521" s="574"/>
      <c r="T521" s="574"/>
      <c r="U521" s="574"/>
      <c r="V521" s="574"/>
      <c r="W521" s="574"/>
      <c r="X521" s="574"/>
      <c r="Y521" s="574"/>
      <c r="Z521" s="574"/>
      <c r="AA521" s="574"/>
      <c r="AB521" s="574"/>
      <c r="AC521" s="574"/>
      <c r="AD521" s="574"/>
      <c r="AE521" s="574"/>
    </row>
    <row r="522" spans="1:31" ht="16.5" customHeight="1" x14ac:dyDescent="0.85">
      <c r="A522" s="574"/>
      <c r="B522" s="574"/>
      <c r="C522" s="574"/>
      <c r="D522" s="574"/>
      <c r="E522" s="574"/>
      <c r="F522" s="574"/>
      <c r="G522" s="574"/>
      <c r="H522" s="574"/>
      <c r="I522" s="574"/>
      <c r="J522" s="574"/>
      <c r="K522" s="574"/>
      <c r="L522" s="574"/>
      <c r="M522" s="574"/>
      <c r="N522" s="574"/>
      <c r="O522" s="574"/>
      <c r="P522" s="574"/>
      <c r="Q522" s="574"/>
      <c r="R522" s="574"/>
      <c r="S522" s="574"/>
      <c r="T522" s="574"/>
      <c r="U522" s="574"/>
      <c r="V522" s="574"/>
      <c r="W522" s="574"/>
      <c r="X522" s="574"/>
      <c r="Y522" s="574"/>
      <c r="Z522" s="574"/>
      <c r="AA522" s="574"/>
      <c r="AB522" s="574"/>
      <c r="AC522" s="574"/>
      <c r="AD522" s="574"/>
      <c r="AE522" s="574"/>
    </row>
    <row r="523" spans="1:31" ht="16.5" customHeight="1" x14ac:dyDescent="0.85">
      <c r="A523" s="574"/>
      <c r="B523" s="574"/>
      <c r="C523" s="574"/>
      <c r="D523" s="574"/>
      <c r="E523" s="574"/>
      <c r="F523" s="574"/>
      <c r="G523" s="574"/>
      <c r="H523" s="574"/>
      <c r="I523" s="574"/>
      <c r="J523" s="574"/>
      <c r="K523" s="574"/>
      <c r="L523" s="574"/>
      <c r="M523" s="574"/>
      <c r="N523" s="574"/>
      <c r="O523" s="574"/>
      <c r="P523" s="574"/>
      <c r="Q523" s="574"/>
      <c r="R523" s="574"/>
      <c r="S523" s="574"/>
      <c r="T523" s="574"/>
      <c r="U523" s="574"/>
      <c r="V523" s="574"/>
      <c r="W523" s="574"/>
      <c r="X523" s="574"/>
      <c r="Y523" s="574"/>
      <c r="Z523" s="574"/>
      <c r="AA523" s="574"/>
      <c r="AB523" s="574"/>
      <c r="AC523" s="574"/>
      <c r="AD523" s="574"/>
      <c r="AE523" s="574"/>
    </row>
    <row r="524" spans="1:31" ht="16.5" customHeight="1" x14ac:dyDescent="0.85">
      <c r="A524" s="574"/>
      <c r="B524" s="574"/>
      <c r="C524" s="574"/>
      <c r="D524" s="574"/>
      <c r="E524" s="574"/>
      <c r="F524" s="574"/>
      <c r="G524" s="574"/>
      <c r="H524" s="574"/>
      <c r="I524" s="574"/>
      <c r="J524" s="574"/>
      <c r="K524" s="574"/>
      <c r="L524" s="574"/>
      <c r="M524" s="574"/>
      <c r="N524" s="574"/>
      <c r="O524" s="574"/>
      <c r="P524" s="574"/>
      <c r="Q524" s="574"/>
      <c r="R524" s="574"/>
      <c r="S524" s="574"/>
      <c r="T524" s="574"/>
      <c r="U524" s="574"/>
      <c r="V524" s="574"/>
      <c r="W524" s="574"/>
      <c r="X524" s="574"/>
      <c r="Y524" s="574"/>
      <c r="Z524" s="574"/>
      <c r="AA524" s="574"/>
      <c r="AB524" s="574"/>
      <c r="AC524" s="574"/>
      <c r="AD524" s="574"/>
      <c r="AE524" s="574"/>
    </row>
    <row r="525" spans="1:31" ht="16.5" customHeight="1" x14ac:dyDescent="0.85">
      <c r="A525" s="574"/>
      <c r="B525" s="574"/>
      <c r="C525" s="574"/>
      <c r="D525" s="574"/>
      <c r="E525" s="574"/>
      <c r="F525" s="574"/>
      <c r="G525" s="574"/>
      <c r="H525" s="574"/>
      <c r="I525" s="574"/>
      <c r="J525" s="574"/>
      <c r="K525" s="574"/>
      <c r="L525" s="574"/>
      <c r="M525" s="574"/>
      <c r="N525" s="574"/>
      <c r="O525" s="574"/>
      <c r="P525" s="574"/>
      <c r="Q525" s="574"/>
      <c r="R525" s="574"/>
      <c r="S525" s="574"/>
      <c r="T525" s="574"/>
      <c r="U525" s="574"/>
      <c r="V525" s="574"/>
      <c r="W525" s="574"/>
      <c r="X525" s="574"/>
      <c r="Y525" s="574"/>
      <c r="Z525" s="574"/>
      <c r="AA525" s="574"/>
      <c r="AB525" s="574"/>
      <c r="AC525" s="574"/>
      <c r="AD525" s="574"/>
      <c r="AE525" s="574"/>
    </row>
    <row r="526" spans="1:31" ht="16.5" customHeight="1" x14ac:dyDescent="0.85">
      <c r="A526" s="574"/>
      <c r="B526" s="574"/>
      <c r="C526" s="574"/>
      <c r="D526" s="574"/>
      <c r="E526" s="574"/>
      <c r="F526" s="574"/>
      <c r="G526" s="574"/>
      <c r="H526" s="574"/>
      <c r="I526" s="574"/>
      <c r="J526" s="574"/>
      <c r="K526" s="574"/>
      <c r="L526" s="574"/>
      <c r="M526" s="574"/>
      <c r="N526" s="574"/>
      <c r="O526" s="574"/>
      <c r="P526" s="574"/>
      <c r="Q526" s="574"/>
      <c r="R526" s="574"/>
      <c r="S526" s="574"/>
      <c r="T526" s="574"/>
      <c r="U526" s="574"/>
      <c r="V526" s="574"/>
      <c r="W526" s="574"/>
      <c r="X526" s="574"/>
      <c r="Y526" s="574"/>
      <c r="Z526" s="574"/>
      <c r="AA526" s="574"/>
      <c r="AB526" s="574"/>
      <c r="AC526" s="574"/>
      <c r="AD526" s="574"/>
      <c r="AE526" s="574"/>
    </row>
    <row r="527" spans="1:31" ht="16.5" customHeight="1" x14ac:dyDescent="0.85">
      <c r="A527" s="574"/>
      <c r="B527" s="574"/>
      <c r="C527" s="574"/>
      <c r="D527" s="574"/>
      <c r="E527" s="574"/>
      <c r="F527" s="574"/>
      <c r="G527" s="574"/>
      <c r="H527" s="574"/>
      <c r="I527" s="574"/>
      <c r="J527" s="574"/>
      <c r="K527" s="574"/>
      <c r="L527" s="574"/>
      <c r="M527" s="574"/>
      <c r="N527" s="574"/>
      <c r="O527" s="574"/>
      <c r="P527" s="574"/>
      <c r="Q527" s="574"/>
      <c r="R527" s="574"/>
      <c r="S527" s="574"/>
      <c r="T527" s="574"/>
      <c r="U527" s="574"/>
      <c r="V527" s="574"/>
      <c r="W527" s="574"/>
      <c r="X527" s="574"/>
      <c r="Y527" s="574"/>
      <c r="Z527" s="574"/>
      <c r="AA527" s="574"/>
      <c r="AB527" s="574"/>
      <c r="AC527" s="574"/>
      <c r="AD527" s="574"/>
      <c r="AE527" s="574"/>
    </row>
    <row r="528" spans="1:31" ht="16.5" customHeight="1" x14ac:dyDescent="0.85">
      <c r="A528" s="574"/>
      <c r="B528" s="574"/>
      <c r="C528" s="574"/>
      <c r="D528" s="574"/>
      <c r="E528" s="574"/>
      <c r="F528" s="574"/>
      <c r="G528" s="574"/>
      <c r="H528" s="574"/>
      <c r="I528" s="574"/>
      <c r="J528" s="574"/>
      <c r="K528" s="574"/>
      <c r="L528" s="574"/>
      <c r="M528" s="574"/>
      <c r="N528" s="574"/>
      <c r="O528" s="574"/>
      <c r="P528" s="574"/>
      <c r="Q528" s="574"/>
      <c r="R528" s="574"/>
      <c r="S528" s="574"/>
      <c r="T528" s="574"/>
      <c r="U528" s="574"/>
      <c r="V528" s="574"/>
      <c r="W528" s="574"/>
      <c r="X528" s="574"/>
      <c r="Y528" s="574"/>
      <c r="Z528" s="574"/>
      <c r="AA528" s="574"/>
      <c r="AB528" s="574"/>
      <c r="AC528" s="574"/>
      <c r="AD528" s="574"/>
      <c r="AE528" s="574"/>
    </row>
    <row r="529" spans="1:31" ht="16.5" customHeight="1" x14ac:dyDescent="0.85">
      <c r="A529" s="574"/>
      <c r="B529" s="574"/>
      <c r="C529" s="574"/>
      <c r="D529" s="574"/>
      <c r="E529" s="574"/>
      <c r="F529" s="574"/>
      <c r="G529" s="574"/>
      <c r="H529" s="574"/>
      <c r="I529" s="574"/>
      <c r="J529" s="574"/>
      <c r="K529" s="574"/>
      <c r="L529" s="574"/>
      <c r="M529" s="574"/>
      <c r="N529" s="574"/>
      <c r="O529" s="574"/>
      <c r="P529" s="574"/>
      <c r="Q529" s="574"/>
      <c r="R529" s="574"/>
      <c r="S529" s="574"/>
      <c r="T529" s="574"/>
      <c r="U529" s="574"/>
      <c r="V529" s="574"/>
      <c r="W529" s="574"/>
      <c r="X529" s="574"/>
      <c r="Y529" s="574"/>
      <c r="Z529" s="574"/>
      <c r="AA529" s="574"/>
      <c r="AB529" s="574"/>
      <c r="AC529" s="574"/>
      <c r="AD529" s="574"/>
      <c r="AE529" s="574"/>
    </row>
    <row r="530" spans="1:31" ht="16.5" customHeight="1" x14ac:dyDescent="0.85">
      <c r="A530" s="574"/>
      <c r="B530" s="574"/>
      <c r="C530" s="574"/>
      <c r="D530" s="574"/>
      <c r="E530" s="574"/>
      <c r="F530" s="574"/>
      <c r="G530" s="574"/>
      <c r="H530" s="574"/>
      <c r="I530" s="574"/>
      <c r="J530" s="574"/>
      <c r="K530" s="574"/>
      <c r="L530" s="574"/>
      <c r="M530" s="574"/>
      <c r="N530" s="574"/>
      <c r="O530" s="574"/>
      <c r="P530" s="574"/>
      <c r="Q530" s="574"/>
      <c r="R530" s="574"/>
      <c r="S530" s="574"/>
      <c r="T530" s="574"/>
      <c r="U530" s="574"/>
      <c r="V530" s="574"/>
      <c r="W530" s="574"/>
      <c r="X530" s="574"/>
      <c r="Y530" s="574"/>
      <c r="Z530" s="574"/>
      <c r="AA530" s="574"/>
      <c r="AB530" s="574"/>
      <c r="AC530" s="574"/>
      <c r="AD530" s="574"/>
      <c r="AE530" s="574"/>
    </row>
    <row r="531" spans="1:31" ht="16.5" customHeight="1" x14ac:dyDescent="0.85">
      <c r="A531" s="574"/>
      <c r="B531" s="574"/>
      <c r="C531" s="574"/>
      <c r="D531" s="574"/>
      <c r="E531" s="574"/>
      <c r="F531" s="574"/>
      <c r="G531" s="574"/>
      <c r="H531" s="574"/>
      <c r="I531" s="574"/>
      <c r="J531" s="574"/>
      <c r="K531" s="574"/>
      <c r="L531" s="574"/>
      <c r="M531" s="574"/>
      <c r="N531" s="574"/>
      <c r="O531" s="574"/>
      <c r="P531" s="574"/>
      <c r="Q531" s="574"/>
      <c r="R531" s="574"/>
      <c r="S531" s="574"/>
      <c r="T531" s="574"/>
      <c r="U531" s="574"/>
      <c r="V531" s="574"/>
      <c r="W531" s="574"/>
      <c r="X531" s="574"/>
      <c r="Y531" s="574"/>
      <c r="Z531" s="574"/>
      <c r="AA531" s="574"/>
      <c r="AB531" s="574"/>
      <c r="AC531" s="574"/>
      <c r="AD531" s="574"/>
      <c r="AE531" s="574"/>
    </row>
    <row r="532" spans="1:31" ht="16.5" customHeight="1" x14ac:dyDescent="0.85">
      <c r="A532" s="574"/>
      <c r="B532" s="574"/>
      <c r="C532" s="574"/>
      <c r="D532" s="574"/>
      <c r="E532" s="574"/>
      <c r="F532" s="574"/>
      <c r="G532" s="574"/>
      <c r="H532" s="574"/>
      <c r="I532" s="574"/>
      <c r="J532" s="574"/>
      <c r="K532" s="574"/>
      <c r="L532" s="574"/>
      <c r="M532" s="574"/>
      <c r="N532" s="574"/>
      <c r="O532" s="574"/>
      <c r="P532" s="574"/>
      <c r="Q532" s="574"/>
      <c r="R532" s="574"/>
      <c r="S532" s="574"/>
      <c r="T532" s="574"/>
      <c r="U532" s="574"/>
      <c r="V532" s="574"/>
      <c r="W532" s="574"/>
      <c r="X532" s="574"/>
      <c r="Y532" s="574"/>
      <c r="Z532" s="574"/>
      <c r="AA532" s="574"/>
      <c r="AB532" s="574"/>
      <c r="AC532" s="574"/>
      <c r="AD532" s="574"/>
      <c r="AE532" s="574"/>
    </row>
    <row r="533" spans="1:31" ht="16.5" customHeight="1" x14ac:dyDescent="0.85">
      <c r="A533" s="574"/>
      <c r="B533" s="574"/>
      <c r="C533" s="574"/>
      <c r="D533" s="574"/>
      <c r="E533" s="574"/>
      <c r="F533" s="574"/>
      <c r="G533" s="574"/>
      <c r="H533" s="574"/>
      <c r="I533" s="574"/>
      <c r="J533" s="574"/>
      <c r="K533" s="574"/>
      <c r="L533" s="574"/>
      <c r="M533" s="574"/>
      <c r="N533" s="574"/>
      <c r="O533" s="574"/>
      <c r="P533" s="574"/>
      <c r="Q533" s="574"/>
      <c r="R533" s="574"/>
      <c r="S533" s="574"/>
      <c r="T533" s="574"/>
      <c r="U533" s="574"/>
      <c r="V533" s="574"/>
      <c r="W533" s="574"/>
      <c r="X533" s="574"/>
      <c r="Y533" s="574"/>
      <c r="Z533" s="574"/>
      <c r="AA533" s="574"/>
      <c r="AB533" s="574"/>
      <c r="AC533" s="574"/>
      <c r="AD533" s="574"/>
      <c r="AE533" s="574"/>
    </row>
    <row r="534" spans="1:31" ht="16.5" customHeight="1" x14ac:dyDescent="0.85">
      <c r="A534" s="574"/>
      <c r="B534" s="574"/>
      <c r="C534" s="574"/>
      <c r="D534" s="574"/>
      <c r="E534" s="574"/>
      <c r="F534" s="574"/>
      <c r="G534" s="574"/>
      <c r="H534" s="574"/>
      <c r="I534" s="574"/>
      <c r="J534" s="574"/>
      <c r="K534" s="574"/>
      <c r="L534" s="574"/>
      <c r="M534" s="574"/>
      <c r="N534" s="574"/>
      <c r="O534" s="574"/>
      <c r="P534" s="574"/>
      <c r="Q534" s="574"/>
      <c r="R534" s="574"/>
      <c r="S534" s="574"/>
      <c r="T534" s="574"/>
      <c r="U534" s="574"/>
      <c r="V534" s="574"/>
      <c r="W534" s="574"/>
      <c r="X534" s="574"/>
      <c r="Y534" s="574"/>
      <c r="Z534" s="574"/>
      <c r="AA534" s="574"/>
      <c r="AB534" s="574"/>
      <c r="AC534" s="574"/>
      <c r="AD534" s="574"/>
      <c r="AE534" s="574"/>
    </row>
    <row r="535" spans="1:31" ht="16.5" customHeight="1" x14ac:dyDescent="0.85">
      <c r="A535" s="574"/>
      <c r="B535" s="574"/>
      <c r="C535" s="574"/>
      <c r="D535" s="574"/>
      <c r="E535" s="574"/>
      <c r="F535" s="574"/>
      <c r="G535" s="574"/>
      <c r="H535" s="574"/>
      <c r="I535" s="574"/>
      <c r="J535" s="574"/>
      <c r="K535" s="574"/>
      <c r="L535" s="574"/>
      <c r="M535" s="574"/>
      <c r="N535" s="574"/>
      <c r="O535" s="574"/>
      <c r="P535" s="574"/>
      <c r="Q535" s="574"/>
      <c r="R535" s="574"/>
      <c r="S535" s="574"/>
      <c r="T535" s="574"/>
      <c r="U535" s="574"/>
      <c r="V535" s="574"/>
      <c r="W535" s="574"/>
      <c r="X535" s="574"/>
      <c r="Y535" s="574"/>
      <c r="Z535" s="574"/>
      <c r="AA535" s="574"/>
      <c r="AB535" s="574"/>
      <c r="AC535" s="574"/>
      <c r="AD535" s="574"/>
      <c r="AE535" s="574"/>
    </row>
    <row r="536" spans="1:31" ht="16.5" customHeight="1" x14ac:dyDescent="0.85">
      <c r="A536" s="574"/>
      <c r="B536" s="574"/>
      <c r="C536" s="574"/>
      <c r="D536" s="574"/>
      <c r="E536" s="574"/>
      <c r="F536" s="574"/>
      <c r="G536" s="574"/>
      <c r="H536" s="574"/>
      <c r="I536" s="574"/>
      <c r="J536" s="574"/>
      <c r="K536" s="574"/>
      <c r="L536" s="574"/>
      <c r="M536" s="574"/>
      <c r="N536" s="574"/>
      <c r="O536" s="574"/>
      <c r="P536" s="574"/>
      <c r="Q536" s="574"/>
      <c r="R536" s="574"/>
      <c r="S536" s="574"/>
      <c r="T536" s="574"/>
      <c r="U536" s="574"/>
      <c r="V536" s="574"/>
      <c r="W536" s="574"/>
      <c r="X536" s="574"/>
      <c r="Y536" s="574"/>
      <c r="Z536" s="574"/>
      <c r="AA536" s="574"/>
      <c r="AB536" s="574"/>
      <c r="AC536" s="574"/>
      <c r="AD536" s="574"/>
      <c r="AE536" s="574"/>
    </row>
    <row r="537" spans="1:31" ht="16.5" customHeight="1" x14ac:dyDescent="0.85">
      <c r="A537" s="574"/>
      <c r="B537" s="574"/>
      <c r="C537" s="574"/>
      <c r="D537" s="574"/>
      <c r="E537" s="574"/>
      <c r="F537" s="574"/>
      <c r="G537" s="574"/>
      <c r="H537" s="574"/>
      <c r="I537" s="574"/>
      <c r="J537" s="574"/>
      <c r="K537" s="574"/>
      <c r="L537" s="574"/>
      <c r="M537" s="574"/>
      <c r="N537" s="574"/>
      <c r="O537" s="574"/>
      <c r="P537" s="574"/>
      <c r="Q537" s="574"/>
      <c r="R537" s="574"/>
      <c r="S537" s="574"/>
      <c r="T537" s="574"/>
      <c r="U537" s="574"/>
      <c r="V537" s="574"/>
      <c r="W537" s="574"/>
      <c r="X537" s="574"/>
      <c r="Y537" s="574"/>
      <c r="Z537" s="574"/>
      <c r="AA537" s="574"/>
      <c r="AB537" s="574"/>
      <c r="AC537" s="574"/>
      <c r="AD537" s="574"/>
      <c r="AE537" s="574"/>
    </row>
    <row r="538" spans="1:31" ht="16.5" customHeight="1" x14ac:dyDescent="0.85">
      <c r="A538" s="574"/>
      <c r="B538" s="574"/>
      <c r="C538" s="574"/>
      <c r="D538" s="574"/>
      <c r="E538" s="574"/>
      <c r="F538" s="574"/>
      <c r="G538" s="574"/>
      <c r="H538" s="574"/>
      <c r="I538" s="574"/>
      <c r="J538" s="574"/>
      <c r="K538" s="574"/>
      <c r="L538" s="574"/>
      <c r="M538" s="574"/>
      <c r="N538" s="574"/>
      <c r="O538" s="574"/>
      <c r="P538" s="574"/>
      <c r="Q538" s="574"/>
      <c r="R538" s="574"/>
      <c r="S538" s="574"/>
      <c r="T538" s="574"/>
      <c r="U538" s="574"/>
      <c r="V538" s="574"/>
      <c r="W538" s="574"/>
      <c r="X538" s="574"/>
      <c r="Y538" s="574"/>
      <c r="Z538" s="574"/>
      <c r="AA538" s="574"/>
      <c r="AB538" s="574"/>
      <c r="AC538" s="574"/>
      <c r="AD538" s="574"/>
      <c r="AE538" s="574"/>
    </row>
    <row r="539" spans="1:31" ht="16.5" customHeight="1" x14ac:dyDescent="0.85">
      <c r="A539" s="574"/>
      <c r="B539" s="574"/>
      <c r="C539" s="574"/>
      <c r="D539" s="574"/>
      <c r="E539" s="574"/>
      <c r="F539" s="574"/>
      <c r="G539" s="574"/>
      <c r="H539" s="574"/>
      <c r="I539" s="574"/>
      <c r="J539" s="574"/>
      <c r="K539" s="574"/>
      <c r="L539" s="574"/>
      <c r="M539" s="574"/>
      <c r="N539" s="574"/>
      <c r="O539" s="574"/>
      <c r="P539" s="574"/>
      <c r="Q539" s="574"/>
      <c r="R539" s="574"/>
      <c r="S539" s="574"/>
      <c r="T539" s="574"/>
      <c r="U539" s="574"/>
      <c r="V539" s="574"/>
      <c r="W539" s="574"/>
      <c r="X539" s="574"/>
      <c r="Y539" s="574"/>
      <c r="Z539" s="574"/>
      <c r="AA539" s="574"/>
      <c r="AB539" s="574"/>
      <c r="AC539" s="574"/>
      <c r="AD539" s="574"/>
      <c r="AE539" s="574"/>
    </row>
    <row r="540" spans="1:31" ht="16.5" customHeight="1" x14ac:dyDescent="0.85">
      <c r="A540" s="574"/>
      <c r="B540" s="574"/>
      <c r="C540" s="574"/>
      <c r="D540" s="574"/>
      <c r="E540" s="574"/>
      <c r="F540" s="574"/>
      <c r="G540" s="574"/>
      <c r="H540" s="574"/>
      <c r="I540" s="574"/>
      <c r="J540" s="574"/>
      <c r="K540" s="574"/>
      <c r="L540" s="574"/>
      <c r="M540" s="574"/>
      <c r="N540" s="574"/>
      <c r="O540" s="574"/>
      <c r="P540" s="574"/>
      <c r="Q540" s="574"/>
      <c r="R540" s="574"/>
      <c r="S540" s="574"/>
      <c r="T540" s="574"/>
      <c r="U540" s="574"/>
      <c r="V540" s="574"/>
      <c r="W540" s="574"/>
      <c r="X540" s="574"/>
      <c r="Y540" s="574"/>
      <c r="Z540" s="574"/>
      <c r="AA540" s="574"/>
      <c r="AB540" s="574"/>
      <c r="AC540" s="574"/>
      <c r="AD540" s="574"/>
      <c r="AE540" s="574"/>
    </row>
    <row r="541" spans="1:31" ht="16.5" customHeight="1" x14ac:dyDescent="0.85">
      <c r="A541" s="574"/>
      <c r="B541" s="574"/>
      <c r="C541" s="574"/>
      <c r="D541" s="574"/>
      <c r="E541" s="574"/>
      <c r="F541" s="574"/>
      <c r="G541" s="574"/>
      <c r="H541" s="574"/>
      <c r="I541" s="574"/>
      <c r="J541" s="574"/>
      <c r="K541" s="574"/>
      <c r="L541" s="574"/>
      <c r="M541" s="574"/>
      <c r="N541" s="574"/>
      <c r="O541" s="574"/>
      <c r="P541" s="574"/>
      <c r="Q541" s="574"/>
      <c r="R541" s="574"/>
      <c r="S541" s="574"/>
      <c r="T541" s="574"/>
      <c r="U541" s="574"/>
      <c r="V541" s="574"/>
      <c r="W541" s="574"/>
      <c r="X541" s="574"/>
      <c r="Y541" s="574"/>
      <c r="Z541" s="574"/>
      <c r="AA541" s="574"/>
      <c r="AB541" s="574"/>
      <c r="AC541" s="574"/>
      <c r="AD541" s="574"/>
      <c r="AE541" s="574"/>
    </row>
    <row r="542" spans="1:31" ht="16.5" customHeight="1" x14ac:dyDescent="0.85">
      <c r="A542" s="574"/>
      <c r="B542" s="574"/>
      <c r="C542" s="574"/>
      <c r="D542" s="574"/>
      <c r="E542" s="574"/>
      <c r="F542" s="574"/>
      <c r="G542" s="574"/>
      <c r="H542" s="574"/>
      <c r="I542" s="574"/>
      <c r="J542" s="574"/>
      <c r="K542" s="574"/>
      <c r="L542" s="574"/>
      <c r="M542" s="574"/>
      <c r="N542" s="574"/>
      <c r="O542" s="574"/>
      <c r="P542" s="574"/>
      <c r="Q542" s="574"/>
      <c r="R542" s="574"/>
      <c r="S542" s="574"/>
      <c r="T542" s="574"/>
      <c r="U542" s="574"/>
      <c r="V542" s="574"/>
      <c r="W542" s="574"/>
      <c r="X542" s="574"/>
      <c r="Y542" s="574"/>
      <c r="Z542" s="574"/>
      <c r="AA542" s="574"/>
      <c r="AB542" s="574"/>
      <c r="AC542" s="574"/>
      <c r="AD542" s="574"/>
      <c r="AE542" s="574"/>
    </row>
    <row r="543" spans="1:31" ht="16.5" customHeight="1" x14ac:dyDescent="0.85">
      <c r="A543" s="574"/>
      <c r="B543" s="574"/>
      <c r="C543" s="574"/>
      <c r="D543" s="574"/>
      <c r="E543" s="574"/>
      <c r="F543" s="574"/>
      <c r="G543" s="574"/>
      <c r="H543" s="574"/>
      <c r="I543" s="574"/>
      <c r="J543" s="574"/>
      <c r="K543" s="574"/>
      <c r="L543" s="574"/>
      <c r="M543" s="574"/>
      <c r="N543" s="574"/>
      <c r="O543" s="574"/>
      <c r="P543" s="574"/>
      <c r="Q543" s="574"/>
      <c r="R543" s="574"/>
      <c r="S543" s="574"/>
      <c r="T543" s="574"/>
      <c r="U543" s="574"/>
      <c r="V543" s="574"/>
      <c r="W543" s="574"/>
      <c r="X543" s="574"/>
      <c r="Y543" s="574"/>
      <c r="Z543" s="574"/>
      <c r="AA543" s="574"/>
      <c r="AB543" s="574"/>
      <c r="AC543" s="574"/>
      <c r="AD543" s="574"/>
      <c r="AE543" s="574"/>
    </row>
    <row r="544" spans="1:31" ht="16.5" customHeight="1" x14ac:dyDescent="0.85">
      <c r="A544" s="574"/>
      <c r="B544" s="574"/>
      <c r="C544" s="574"/>
      <c r="D544" s="574"/>
      <c r="E544" s="574"/>
      <c r="F544" s="574"/>
      <c r="G544" s="574"/>
      <c r="H544" s="574"/>
      <c r="I544" s="574"/>
      <c r="J544" s="574"/>
      <c r="K544" s="574"/>
      <c r="L544" s="574"/>
      <c r="M544" s="574"/>
      <c r="N544" s="574"/>
      <c r="O544" s="574"/>
      <c r="P544" s="574"/>
      <c r="Q544" s="574"/>
      <c r="R544" s="574"/>
      <c r="S544" s="574"/>
      <c r="T544" s="574"/>
      <c r="U544" s="574"/>
      <c r="V544" s="574"/>
      <c r="W544" s="574"/>
      <c r="X544" s="574"/>
      <c r="Y544" s="574"/>
      <c r="Z544" s="574"/>
      <c r="AA544" s="574"/>
      <c r="AB544" s="574"/>
      <c r="AC544" s="574"/>
      <c r="AD544" s="574"/>
      <c r="AE544" s="574"/>
    </row>
    <row r="545" spans="1:31" ht="16.5" customHeight="1" x14ac:dyDescent="0.85">
      <c r="A545" s="574"/>
      <c r="B545" s="574"/>
      <c r="C545" s="574"/>
      <c r="D545" s="574"/>
      <c r="E545" s="574"/>
      <c r="F545" s="574"/>
      <c r="G545" s="574"/>
      <c r="H545" s="574"/>
      <c r="I545" s="574"/>
      <c r="J545" s="574"/>
      <c r="K545" s="574"/>
      <c r="L545" s="574"/>
      <c r="M545" s="574"/>
      <c r="N545" s="574"/>
      <c r="O545" s="574"/>
      <c r="P545" s="574"/>
      <c r="Q545" s="574"/>
      <c r="R545" s="574"/>
      <c r="S545" s="574"/>
      <c r="T545" s="574"/>
      <c r="U545" s="574"/>
      <c r="V545" s="574"/>
      <c r="W545" s="574"/>
      <c r="X545" s="574"/>
      <c r="Y545" s="574"/>
      <c r="Z545" s="574"/>
      <c r="AA545" s="574"/>
      <c r="AB545" s="574"/>
      <c r="AC545" s="574"/>
      <c r="AD545" s="574"/>
      <c r="AE545" s="574"/>
    </row>
    <row r="546" spans="1:31" ht="16.5" customHeight="1" x14ac:dyDescent="0.85">
      <c r="A546" s="574"/>
      <c r="B546" s="574"/>
      <c r="C546" s="574"/>
      <c r="D546" s="574"/>
      <c r="E546" s="574"/>
      <c r="F546" s="574"/>
      <c r="G546" s="574"/>
      <c r="H546" s="574"/>
      <c r="I546" s="574"/>
      <c r="J546" s="574"/>
      <c r="K546" s="574"/>
      <c r="L546" s="574"/>
      <c r="M546" s="574"/>
      <c r="N546" s="574"/>
      <c r="O546" s="574"/>
      <c r="P546" s="574"/>
      <c r="Q546" s="574"/>
      <c r="R546" s="574"/>
      <c r="S546" s="574"/>
      <c r="T546" s="574"/>
      <c r="U546" s="574"/>
      <c r="V546" s="574"/>
      <c r="W546" s="574"/>
      <c r="X546" s="574"/>
      <c r="Y546" s="574"/>
      <c r="Z546" s="574"/>
      <c r="AA546" s="574"/>
      <c r="AB546" s="574"/>
      <c r="AC546" s="574"/>
      <c r="AD546" s="574"/>
      <c r="AE546" s="574"/>
    </row>
    <row r="547" spans="1:31" ht="16.5" customHeight="1" x14ac:dyDescent="0.85">
      <c r="A547" s="574"/>
      <c r="B547" s="574"/>
      <c r="C547" s="574"/>
      <c r="D547" s="574"/>
      <c r="E547" s="574"/>
      <c r="F547" s="574"/>
      <c r="G547" s="574"/>
      <c r="H547" s="574"/>
      <c r="I547" s="574"/>
      <c r="J547" s="574"/>
      <c r="K547" s="574"/>
      <c r="L547" s="574"/>
      <c r="M547" s="574"/>
      <c r="N547" s="574"/>
      <c r="O547" s="574"/>
      <c r="P547" s="574"/>
      <c r="Q547" s="574"/>
      <c r="R547" s="574"/>
      <c r="S547" s="574"/>
      <c r="T547" s="574"/>
      <c r="U547" s="574"/>
      <c r="V547" s="574"/>
      <c r="W547" s="574"/>
      <c r="X547" s="574"/>
      <c r="Y547" s="574"/>
      <c r="Z547" s="574"/>
      <c r="AA547" s="574"/>
      <c r="AB547" s="574"/>
      <c r="AC547" s="574"/>
      <c r="AD547" s="574"/>
      <c r="AE547" s="574"/>
    </row>
    <row r="548" spans="1:31" ht="16.5" customHeight="1" x14ac:dyDescent="0.85">
      <c r="A548" s="574"/>
      <c r="B548" s="574"/>
      <c r="C548" s="574"/>
      <c r="D548" s="574"/>
      <c r="E548" s="574"/>
      <c r="F548" s="574"/>
      <c r="G548" s="574"/>
      <c r="H548" s="574"/>
      <c r="I548" s="574"/>
      <c r="J548" s="574"/>
      <c r="K548" s="574"/>
      <c r="L548" s="574"/>
      <c r="M548" s="574"/>
      <c r="N548" s="574"/>
      <c r="O548" s="574"/>
      <c r="P548" s="574"/>
      <c r="Q548" s="574"/>
      <c r="R548" s="574"/>
      <c r="S548" s="574"/>
      <c r="T548" s="574"/>
      <c r="U548" s="574"/>
      <c r="V548" s="574"/>
      <c r="W548" s="574"/>
      <c r="X548" s="574"/>
      <c r="Y548" s="574"/>
      <c r="Z548" s="574"/>
      <c r="AA548" s="574"/>
      <c r="AB548" s="574"/>
      <c r="AC548" s="574"/>
      <c r="AD548" s="574"/>
      <c r="AE548" s="574"/>
    </row>
    <row r="549" spans="1:31" ht="16.5" customHeight="1" x14ac:dyDescent="0.85">
      <c r="A549" s="574"/>
      <c r="B549" s="574"/>
      <c r="C549" s="574"/>
      <c r="D549" s="574"/>
      <c r="E549" s="574"/>
      <c r="F549" s="574"/>
      <c r="G549" s="574"/>
      <c r="H549" s="574"/>
      <c r="I549" s="574"/>
      <c r="J549" s="574"/>
      <c r="K549" s="574"/>
      <c r="L549" s="574"/>
      <c r="M549" s="574"/>
      <c r="N549" s="574"/>
      <c r="O549" s="574"/>
      <c r="P549" s="574"/>
      <c r="Q549" s="574"/>
      <c r="R549" s="574"/>
      <c r="S549" s="574"/>
      <c r="T549" s="574"/>
      <c r="U549" s="574"/>
      <c r="V549" s="574"/>
      <c r="W549" s="574"/>
      <c r="X549" s="574"/>
      <c r="Y549" s="574"/>
      <c r="Z549" s="574"/>
      <c r="AA549" s="574"/>
      <c r="AB549" s="574"/>
      <c r="AC549" s="574"/>
      <c r="AD549" s="574"/>
      <c r="AE549" s="574"/>
    </row>
    <row r="550" spans="1:31" ht="16.5" customHeight="1" x14ac:dyDescent="0.85">
      <c r="A550" s="574"/>
      <c r="B550" s="574"/>
      <c r="C550" s="574"/>
      <c r="D550" s="574"/>
      <c r="E550" s="574"/>
      <c r="F550" s="574"/>
      <c r="G550" s="574"/>
      <c r="H550" s="574"/>
      <c r="I550" s="574"/>
      <c r="J550" s="574"/>
      <c r="K550" s="574"/>
      <c r="L550" s="574"/>
      <c r="M550" s="574"/>
      <c r="N550" s="574"/>
      <c r="O550" s="574"/>
      <c r="P550" s="574"/>
      <c r="Q550" s="574"/>
      <c r="R550" s="574"/>
      <c r="S550" s="574"/>
      <c r="T550" s="574"/>
      <c r="U550" s="574"/>
      <c r="V550" s="574"/>
      <c r="W550" s="574"/>
      <c r="X550" s="574"/>
      <c r="Y550" s="574"/>
      <c r="Z550" s="574"/>
      <c r="AA550" s="574"/>
      <c r="AB550" s="574"/>
      <c r="AC550" s="574"/>
      <c r="AD550" s="574"/>
      <c r="AE550" s="574"/>
    </row>
    <row r="551" spans="1:31" ht="16.5" customHeight="1" x14ac:dyDescent="0.85">
      <c r="A551" s="574"/>
      <c r="B551" s="574"/>
      <c r="C551" s="574"/>
      <c r="D551" s="574"/>
      <c r="E551" s="574"/>
      <c r="F551" s="574"/>
      <c r="G551" s="574"/>
      <c r="H551" s="574"/>
      <c r="I551" s="574"/>
      <c r="J551" s="574"/>
      <c r="K551" s="574"/>
      <c r="L551" s="574"/>
      <c r="M551" s="574"/>
      <c r="N551" s="574"/>
      <c r="O551" s="574"/>
      <c r="P551" s="574"/>
      <c r="Q551" s="574"/>
      <c r="R551" s="574"/>
      <c r="S551" s="574"/>
      <c r="T551" s="574"/>
      <c r="U551" s="574"/>
      <c r="V551" s="574"/>
      <c r="W551" s="574"/>
      <c r="X551" s="574"/>
      <c r="Y551" s="574"/>
      <c r="Z551" s="574"/>
      <c r="AA551" s="574"/>
      <c r="AB551" s="574"/>
      <c r="AC551" s="574"/>
      <c r="AD551" s="574"/>
      <c r="AE551" s="574"/>
    </row>
    <row r="552" spans="1:31" ht="16.5" customHeight="1" x14ac:dyDescent="0.85">
      <c r="A552" s="574"/>
      <c r="B552" s="574"/>
      <c r="C552" s="574"/>
      <c r="D552" s="574"/>
      <c r="E552" s="574"/>
      <c r="F552" s="574"/>
      <c r="G552" s="574"/>
      <c r="H552" s="574"/>
      <c r="I552" s="574"/>
      <c r="J552" s="574"/>
      <c r="K552" s="574"/>
      <c r="L552" s="574"/>
      <c r="M552" s="574"/>
      <c r="N552" s="574"/>
      <c r="O552" s="574"/>
      <c r="P552" s="574"/>
      <c r="Q552" s="574"/>
      <c r="R552" s="574"/>
      <c r="S552" s="574"/>
      <c r="T552" s="574"/>
      <c r="U552" s="574"/>
      <c r="V552" s="574"/>
      <c r="W552" s="574"/>
      <c r="X552" s="574"/>
      <c r="Y552" s="574"/>
      <c r="Z552" s="574"/>
      <c r="AA552" s="574"/>
      <c r="AB552" s="574"/>
      <c r="AC552" s="574"/>
      <c r="AD552" s="574"/>
      <c r="AE552" s="574"/>
    </row>
    <row r="553" spans="1:31" ht="16.5" customHeight="1" x14ac:dyDescent="0.85">
      <c r="A553" s="574"/>
      <c r="B553" s="574"/>
      <c r="C553" s="574"/>
      <c r="D553" s="574"/>
      <c r="E553" s="574"/>
      <c r="F553" s="574"/>
      <c r="G553" s="574"/>
      <c r="H553" s="574"/>
      <c r="I553" s="574"/>
      <c r="J553" s="574"/>
      <c r="K553" s="574"/>
      <c r="L553" s="574"/>
      <c r="M553" s="574"/>
      <c r="N553" s="574"/>
      <c r="O553" s="574"/>
      <c r="P553" s="574"/>
      <c r="Q553" s="574"/>
      <c r="R553" s="574"/>
      <c r="S553" s="574"/>
      <c r="T553" s="574"/>
      <c r="U553" s="574"/>
      <c r="V553" s="574"/>
      <c r="W553" s="574"/>
      <c r="X553" s="574"/>
      <c r="Y553" s="574"/>
      <c r="Z553" s="574"/>
      <c r="AA553" s="574"/>
      <c r="AB553" s="574"/>
      <c r="AC553" s="574"/>
      <c r="AD553" s="574"/>
      <c r="AE553" s="574"/>
    </row>
    <row r="554" spans="1:31" ht="16.5" customHeight="1" x14ac:dyDescent="0.85">
      <c r="A554" s="574"/>
      <c r="B554" s="574"/>
      <c r="C554" s="574"/>
      <c r="D554" s="574"/>
      <c r="E554" s="574"/>
      <c r="F554" s="574"/>
      <c r="G554" s="574"/>
      <c r="H554" s="574"/>
      <c r="I554" s="574"/>
      <c r="J554" s="574"/>
      <c r="K554" s="574"/>
      <c r="L554" s="574"/>
      <c r="M554" s="574"/>
      <c r="N554" s="574"/>
      <c r="O554" s="574"/>
      <c r="P554" s="574"/>
      <c r="Q554" s="574"/>
      <c r="R554" s="574"/>
      <c r="S554" s="574"/>
      <c r="T554" s="574"/>
      <c r="U554" s="574"/>
      <c r="V554" s="574"/>
      <c r="W554" s="574"/>
      <c r="X554" s="574"/>
      <c r="Y554" s="574"/>
      <c r="Z554" s="574"/>
      <c r="AA554" s="574"/>
      <c r="AB554" s="574"/>
      <c r="AC554" s="574"/>
      <c r="AD554" s="574"/>
      <c r="AE554" s="574"/>
    </row>
    <row r="555" spans="1:31" ht="16.5" customHeight="1" x14ac:dyDescent="0.85">
      <c r="A555" s="574"/>
      <c r="B555" s="574"/>
      <c r="C555" s="574"/>
      <c r="D555" s="574"/>
      <c r="E555" s="574"/>
      <c r="F555" s="574"/>
      <c r="G555" s="574"/>
      <c r="H555" s="574"/>
      <c r="I555" s="574"/>
      <c r="J555" s="574"/>
      <c r="K555" s="574"/>
      <c r="L555" s="574"/>
      <c r="M555" s="574"/>
      <c r="N555" s="574"/>
      <c r="O555" s="574"/>
      <c r="P555" s="574"/>
      <c r="Q555" s="574"/>
      <c r="R555" s="574"/>
      <c r="S555" s="574"/>
      <c r="T555" s="574"/>
      <c r="U555" s="574"/>
      <c r="V555" s="574"/>
      <c r="W555" s="574"/>
      <c r="X555" s="574"/>
      <c r="Y555" s="574"/>
      <c r="Z555" s="574"/>
      <c r="AA555" s="574"/>
      <c r="AB555" s="574"/>
      <c r="AC555" s="574"/>
      <c r="AD555" s="574"/>
      <c r="AE555" s="574"/>
    </row>
    <row r="556" spans="1:31" ht="16.5" customHeight="1" x14ac:dyDescent="0.85">
      <c r="A556" s="574"/>
      <c r="B556" s="574"/>
      <c r="C556" s="574"/>
      <c r="D556" s="574"/>
      <c r="E556" s="574"/>
      <c r="F556" s="574"/>
      <c r="G556" s="574"/>
      <c r="H556" s="574"/>
      <c r="I556" s="574"/>
      <c r="J556" s="574"/>
      <c r="K556" s="574"/>
      <c r="L556" s="574"/>
      <c r="M556" s="574"/>
      <c r="N556" s="574"/>
      <c r="O556" s="574"/>
      <c r="P556" s="574"/>
      <c r="Q556" s="574"/>
      <c r="R556" s="574"/>
      <c r="S556" s="574"/>
      <c r="T556" s="574"/>
      <c r="U556" s="574"/>
      <c r="V556" s="574"/>
      <c r="W556" s="574"/>
      <c r="X556" s="574"/>
      <c r="Y556" s="574"/>
      <c r="Z556" s="574"/>
      <c r="AA556" s="574"/>
      <c r="AB556" s="574"/>
      <c r="AC556" s="574"/>
      <c r="AD556" s="574"/>
      <c r="AE556" s="574"/>
    </row>
    <row r="557" spans="1:31" ht="16.5" customHeight="1" x14ac:dyDescent="0.85">
      <c r="A557" s="574"/>
      <c r="B557" s="574"/>
      <c r="C557" s="574"/>
      <c r="D557" s="574"/>
      <c r="E557" s="574"/>
      <c r="F557" s="574"/>
      <c r="G557" s="574"/>
      <c r="H557" s="574"/>
      <c r="I557" s="574"/>
      <c r="J557" s="574"/>
      <c r="K557" s="574"/>
      <c r="L557" s="574"/>
      <c r="M557" s="574"/>
      <c r="N557" s="574"/>
      <c r="O557" s="574"/>
      <c r="P557" s="574"/>
      <c r="Q557" s="574"/>
      <c r="R557" s="574"/>
      <c r="S557" s="574"/>
      <c r="T557" s="574"/>
      <c r="U557" s="574"/>
      <c r="V557" s="574"/>
      <c r="W557" s="574"/>
      <c r="X557" s="574"/>
      <c r="Y557" s="574"/>
      <c r="Z557" s="574"/>
      <c r="AA557" s="574"/>
      <c r="AB557" s="574"/>
      <c r="AC557" s="574"/>
      <c r="AD557" s="574"/>
      <c r="AE557" s="574"/>
    </row>
    <row r="558" spans="1:31" ht="16.5" customHeight="1" x14ac:dyDescent="0.85">
      <c r="A558" s="574"/>
      <c r="B558" s="574"/>
      <c r="C558" s="574"/>
      <c r="D558" s="574"/>
      <c r="E558" s="574"/>
      <c r="F558" s="574"/>
      <c r="G558" s="574"/>
      <c r="H558" s="574"/>
      <c r="I558" s="574"/>
      <c r="J558" s="574"/>
      <c r="K558" s="574"/>
      <c r="L558" s="574"/>
      <c r="M558" s="574"/>
      <c r="N558" s="574"/>
      <c r="O558" s="574"/>
      <c r="P558" s="574"/>
      <c r="Q558" s="574"/>
      <c r="R558" s="574"/>
      <c r="S558" s="574"/>
      <c r="T558" s="574"/>
      <c r="U558" s="574"/>
      <c r="V558" s="574"/>
      <c r="W558" s="574"/>
      <c r="X558" s="574"/>
      <c r="Y558" s="574"/>
      <c r="Z558" s="574"/>
      <c r="AA558" s="574"/>
      <c r="AB558" s="574"/>
      <c r="AC558" s="574"/>
      <c r="AD558" s="574"/>
      <c r="AE558" s="574"/>
    </row>
    <row r="559" spans="1:31" ht="16.5" customHeight="1" x14ac:dyDescent="0.85">
      <c r="A559" s="574"/>
      <c r="B559" s="574"/>
      <c r="C559" s="574"/>
      <c r="D559" s="574"/>
      <c r="E559" s="574"/>
      <c r="F559" s="574"/>
      <c r="G559" s="574"/>
      <c r="H559" s="574"/>
      <c r="I559" s="574"/>
      <c r="J559" s="574"/>
      <c r="K559" s="574"/>
      <c r="L559" s="574"/>
      <c r="M559" s="574"/>
      <c r="N559" s="574"/>
      <c r="O559" s="574"/>
      <c r="P559" s="574"/>
      <c r="Q559" s="574"/>
      <c r="R559" s="574"/>
      <c r="S559" s="574"/>
      <c r="T559" s="574"/>
      <c r="U559" s="574"/>
      <c r="V559" s="574"/>
      <c r="W559" s="574"/>
      <c r="X559" s="574"/>
      <c r="Y559" s="574"/>
      <c r="Z559" s="574"/>
      <c r="AA559" s="574"/>
      <c r="AB559" s="574"/>
      <c r="AC559" s="574"/>
      <c r="AD559" s="574"/>
      <c r="AE559" s="574"/>
    </row>
    <row r="560" spans="1:31" ht="16.5" customHeight="1" x14ac:dyDescent="0.85">
      <c r="A560" s="574"/>
      <c r="B560" s="574"/>
      <c r="C560" s="574"/>
      <c r="D560" s="574"/>
      <c r="E560" s="574"/>
      <c r="F560" s="574"/>
      <c r="G560" s="574"/>
      <c r="H560" s="574"/>
      <c r="I560" s="574"/>
      <c r="J560" s="574"/>
      <c r="K560" s="574"/>
      <c r="L560" s="574"/>
      <c r="M560" s="574"/>
      <c r="N560" s="574"/>
      <c r="O560" s="574"/>
      <c r="P560" s="574"/>
      <c r="Q560" s="574"/>
      <c r="R560" s="574"/>
      <c r="S560" s="574"/>
      <c r="T560" s="574"/>
      <c r="U560" s="574"/>
      <c r="V560" s="574"/>
      <c r="W560" s="574"/>
      <c r="X560" s="574"/>
      <c r="Y560" s="574"/>
      <c r="Z560" s="574"/>
      <c r="AA560" s="574"/>
      <c r="AB560" s="574"/>
      <c r="AC560" s="574"/>
      <c r="AD560" s="574"/>
      <c r="AE560" s="574"/>
    </row>
    <row r="561" spans="1:31" ht="16.5" customHeight="1" x14ac:dyDescent="0.85">
      <c r="A561" s="574"/>
      <c r="B561" s="574"/>
      <c r="C561" s="574"/>
      <c r="D561" s="574"/>
      <c r="E561" s="574"/>
      <c r="F561" s="574"/>
      <c r="G561" s="574"/>
      <c r="H561" s="574"/>
      <c r="I561" s="574"/>
      <c r="J561" s="574"/>
      <c r="K561" s="574"/>
      <c r="L561" s="574"/>
      <c r="M561" s="574"/>
      <c r="N561" s="574"/>
      <c r="O561" s="574"/>
      <c r="P561" s="574"/>
      <c r="Q561" s="574"/>
      <c r="R561" s="574"/>
      <c r="S561" s="574"/>
      <c r="T561" s="574"/>
      <c r="U561" s="574"/>
      <c r="V561" s="574"/>
      <c r="W561" s="574"/>
      <c r="X561" s="574"/>
      <c r="Y561" s="574"/>
      <c r="Z561" s="574"/>
      <c r="AA561" s="574"/>
      <c r="AB561" s="574"/>
      <c r="AC561" s="574"/>
      <c r="AD561" s="574"/>
      <c r="AE561" s="574"/>
    </row>
    <row r="562" spans="1:31" ht="16.5" customHeight="1" x14ac:dyDescent="0.85">
      <c r="A562" s="574"/>
      <c r="B562" s="574"/>
      <c r="C562" s="574"/>
      <c r="D562" s="574"/>
      <c r="E562" s="574"/>
      <c r="F562" s="574"/>
      <c r="G562" s="574"/>
      <c r="H562" s="574"/>
      <c r="I562" s="574"/>
      <c r="J562" s="574"/>
      <c r="K562" s="574"/>
      <c r="L562" s="574"/>
      <c r="M562" s="574"/>
      <c r="N562" s="574"/>
      <c r="O562" s="574"/>
      <c r="P562" s="574"/>
      <c r="Q562" s="574"/>
      <c r="R562" s="574"/>
      <c r="S562" s="574"/>
      <c r="T562" s="574"/>
      <c r="U562" s="574"/>
      <c r="V562" s="574"/>
      <c r="W562" s="574"/>
      <c r="X562" s="574"/>
      <c r="Y562" s="574"/>
      <c r="Z562" s="574"/>
      <c r="AA562" s="574"/>
      <c r="AB562" s="574"/>
      <c r="AC562" s="574"/>
      <c r="AD562" s="574"/>
      <c r="AE562" s="574"/>
    </row>
    <row r="563" spans="1:31" ht="16.5" customHeight="1" x14ac:dyDescent="0.85">
      <c r="A563" s="574"/>
      <c r="B563" s="574"/>
      <c r="C563" s="574"/>
      <c r="D563" s="574"/>
      <c r="E563" s="574"/>
      <c r="F563" s="574"/>
      <c r="G563" s="574"/>
      <c r="H563" s="574"/>
      <c r="I563" s="574"/>
      <c r="J563" s="574"/>
      <c r="K563" s="574"/>
      <c r="L563" s="574"/>
      <c r="M563" s="574"/>
      <c r="N563" s="574"/>
      <c r="O563" s="574"/>
      <c r="P563" s="574"/>
      <c r="Q563" s="574"/>
      <c r="R563" s="574"/>
      <c r="S563" s="574"/>
      <c r="T563" s="574"/>
      <c r="U563" s="574"/>
      <c r="V563" s="574"/>
      <c r="W563" s="574"/>
      <c r="X563" s="574"/>
      <c r="Y563" s="574"/>
      <c r="Z563" s="574"/>
      <c r="AA563" s="574"/>
      <c r="AB563" s="574"/>
      <c r="AC563" s="574"/>
      <c r="AD563" s="574"/>
      <c r="AE563" s="574"/>
    </row>
    <row r="564" spans="1:31" ht="16.5" customHeight="1" x14ac:dyDescent="0.85">
      <c r="A564" s="574"/>
      <c r="B564" s="574"/>
      <c r="C564" s="574"/>
      <c r="D564" s="574"/>
      <c r="E564" s="574"/>
      <c r="F564" s="574"/>
      <c r="G564" s="574"/>
      <c r="H564" s="574"/>
      <c r="I564" s="574"/>
      <c r="J564" s="574"/>
      <c r="K564" s="574"/>
      <c r="L564" s="574"/>
      <c r="M564" s="574"/>
      <c r="N564" s="574"/>
      <c r="O564" s="574"/>
      <c r="P564" s="574"/>
      <c r="Q564" s="574"/>
      <c r="R564" s="574"/>
      <c r="S564" s="574"/>
      <c r="T564" s="574"/>
      <c r="U564" s="574"/>
      <c r="V564" s="574"/>
      <c r="W564" s="574"/>
      <c r="X564" s="574"/>
      <c r="Y564" s="574"/>
      <c r="Z564" s="574"/>
      <c r="AA564" s="574"/>
      <c r="AB564" s="574"/>
      <c r="AC564" s="574"/>
      <c r="AD564" s="574"/>
      <c r="AE564" s="574"/>
    </row>
    <row r="565" spans="1:31" ht="16.5" customHeight="1" x14ac:dyDescent="0.85">
      <c r="A565" s="574"/>
      <c r="B565" s="574"/>
      <c r="C565" s="574"/>
      <c r="D565" s="574"/>
      <c r="E565" s="574"/>
      <c r="F565" s="574"/>
      <c r="G565" s="574"/>
      <c r="H565" s="574"/>
      <c r="I565" s="574"/>
      <c r="J565" s="574"/>
      <c r="K565" s="574"/>
      <c r="L565" s="574"/>
      <c r="M565" s="574"/>
      <c r="N565" s="574"/>
      <c r="O565" s="574"/>
      <c r="P565" s="574"/>
      <c r="Q565" s="574"/>
      <c r="R565" s="574"/>
      <c r="S565" s="574"/>
      <c r="T565" s="574"/>
      <c r="U565" s="574"/>
      <c r="V565" s="574"/>
      <c r="W565" s="574"/>
      <c r="X565" s="574"/>
      <c r="Y565" s="574"/>
      <c r="Z565" s="574"/>
      <c r="AA565" s="574"/>
      <c r="AB565" s="574"/>
      <c r="AC565" s="574"/>
      <c r="AD565" s="574"/>
      <c r="AE565" s="574"/>
    </row>
    <row r="566" spans="1:31" ht="16.5" customHeight="1" x14ac:dyDescent="0.85">
      <c r="A566" s="574"/>
      <c r="B566" s="574"/>
      <c r="C566" s="574"/>
      <c r="D566" s="574"/>
      <c r="E566" s="574"/>
      <c r="F566" s="574"/>
      <c r="G566" s="574"/>
      <c r="H566" s="574"/>
      <c r="I566" s="574"/>
      <c r="J566" s="574"/>
      <c r="K566" s="574"/>
      <c r="L566" s="574"/>
      <c r="M566" s="574"/>
      <c r="N566" s="574"/>
      <c r="O566" s="574"/>
      <c r="P566" s="574"/>
      <c r="Q566" s="574"/>
      <c r="R566" s="574"/>
      <c r="S566" s="574"/>
      <c r="T566" s="574"/>
      <c r="U566" s="574"/>
      <c r="V566" s="574"/>
      <c r="W566" s="574"/>
      <c r="X566" s="574"/>
      <c r="Y566" s="574"/>
      <c r="Z566" s="574"/>
      <c r="AA566" s="574"/>
      <c r="AB566" s="574"/>
      <c r="AC566" s="574"/>
      <c r="AD566" s="574"/>
      <c r="AE566" s="574"/>
    </row>
    <row r="567" spans="1:31" ht="16.5" customHeight="1" x14ac:dyDescent="0.85">
      <c r="A567" s="574"/>
      <c r="B567" s="574"/>
      <c r="C567" s="574"/>
      <c r="D567" s="574"/>
      <c r="E567" s="574"/>
      <c r="F567" s="574"/>
      <c r="G567" s="574"/>
      <c r="H567" s="574"/>
      <c r="I567" s="574"/>
      <c r="J567" s="574"/>
      <c r="K567" s="574"/>
      <c r="L567" s="574"/>
      <c r="M567" s="574"/>
      <c r="N567" s="574"/>
      <c r="O567" s="574"/>
      <c r="P567" s="574"/>
      <c r="Q567" s="574"/>
      <c r="R567" s="574"/>
      <c r="S567" s="574"/>
      <c r="T567" s="574"/>
      <c r="U567" s="574"/>
      <c r="V567" s="574"/>
      <c r="W567" s="574"/>
      <c r="X567" s="574"/>
      <c r="Y567" s="574"/>
      <c r="Z567" s="574"/>
      <c r="AA567" s="574"/>
      <c r="AB567" s="574"/>
      <c r="AC567" s="574"/>
      <c r="AD567" s="574"/>
      <c r="AE567" s="574"/>
    </row>
    <row r="568" spans="1:31" ht="16.5" customHeight="1" x14ac:dyDescent="0.85">
      <c r="A568" s="574"/>
      <c r="B568" s="574"/>
      <c r="C568" s="574"/>
      <c r="D568" s="574"/>
      <c r="E568" s="574"/>
      <c r="F568" s="574"/>
      <c r="G568" s="574"/>
      <c r="H568" s="574"/>
      <c r="I568" s="574"/>
      <c r="J568" s="574"/>
      <c r="K568" s="574"/>
      <c r="L568" s="574"/>
      <c r="M568" s="574"/>
      <c r="N568" s="574"/>
      <c r="O568" s="574"/>
      <c r="P568" s="574"/>
      <c r="Q568" s="574"/>
      <c r="R568" s="574"/>
      <c r="S568" s="574"/>
      <c r="T568" s="574"/>
      <c r="U568" s="574"/>
      <c r="V568" s="574"/>
      <c r="W568" s="574"/>
      <c r="X568" s="574"/>
      <c r="Y568" s="574"/>
      <c r="Z568" s="574"/>
      <c r="AA568" s="574"/>
      <c r="AB568" s="574"/>
      <c r="AC568" s="574"/>
      <c r="AD568" s="574"/>
      <c r="AE568" s="574"/>
    </row>
    <row r="569" spans="1:31" ht="16.5" customHeight="1" x14ac:dyDescent="0.85">
      <c r="A569" s="574"/>
      <c r="B569" s="574"/>
      <c r="C569" s="574"/>
      <c r="D569" s="574"/>
      <c r="E569" s="574"/>
      <c r="F569" s="574"/>
      <c r="G569" s="574"/>
      <c r="H569" s="574"/>
      <c r="I569" s="574"/>
      <c r="J569" s="574"/>
      <c r="K569" s="574"/>
      <c r="L569" s="574"/>
      <c r="M569" s="574"/>
      <c r="N569" s="574"/>
      <c r="O569" s="574"/>
      <c r="P569" s="574"/>
      <c r="Q569" s="574"/>
      <c r="R569" s="574"/>
      <c r="S569" s="574"/>
      <c r="T569" s="574"/>
      <c r="U569" s="574"/>
      <c r="V569" s="574"/>
      <c r="W569" s="574"/>
      <c r="X569" s="574"/>
      <c r="Y569" s="574"/>
      <c r="Z569" s="574"/>
      <c r="AA569" s="574"/>
      <c r="AB569" s="574"/>
      <c r="AC569" s="574"/>
      <c r="AD569" s="574"/>
      <c r="AE569" s="574"/>
    </row>
    <row r="570" spans="1:31" ht="16.5" customHeight="1" x14ac:dyDescent="0.85">
      <c r="A570" s="574"/>
      <c r="B570" s="574"/>
      <c r="C570" s="574"/>
      <c r="D570" s="574"/>
      <c r="E570" s="574"/>
      <c r="F570" s="574"/>
      <c r="G570" s="574"/>
      <c r="H570" s="574"/>
      <c r="I570" s="574"/>
      <c r="J570" s="574"/>
      <c r="K570" s="574"/>
      <c r="L570" s="574"/>
      <c r="M570" s="574"/>
      <c r="N570" s="574"/>
      <c r="O570" s="574"/>
      <c r="P570" s="574"/>
      <c r="Q570" s="574"/>
      <c r="R570" s="574"/>
      <c r="S570" s="574"/>
      <c r="T570" s="574"/>
      <c r="U570" s="574"/>
      <c r="V570" s="574"/>
      <c r="W570" s="574"/>
      <c r="X570" s="574"/>
      <c r="Y570" s="574"/>
      <c r="Z570" s="574"/>
      <c r="AA570" s="574"/>
      <c r="AB570" s="574"/>
      <c r="AC570" s="574"/>
      <c r="AD570" s="574"/>
      <c r="AE570" s="574"/>
    </row>
    <row r="571" spans="1:31" ht="16.5" customHeight="1" x14ac:dyDescent="0.85">
      <c r="A571" s="574"/>
      <c r="B571" s="574"/>
      <c r="C571" s="574"/>
      <c r="D571" s="574"/>
      <c r="E571" s="574"/>
      <c r="F571" s="574"/>
      <c r="G571" s="574"/>
      <c r="H571" s="574"/>
      <c r="I571" s="574"/>
      <c r="J571" s="574"/>
      <c r="K571" s="574"/>
      <c r="L571" s="574"/>
      <c r="M571" s="574"/>
      <c r="N571" s="574"/>
      <c r="O571" s="574"/>
      <c r="P571" s="574"/>
      <c r="Q571" s="574"/>
      <c r="R571" s="574"/>
      <c r="S571" s="574"/>
      <c r="T571" s="574"/>
      <c r="U571" s="574"/>
      <c r="V571" s="574"/>
      <c r="W571" s="574"/>
      <c r="X571" s="574"/>
      <c r="Y571" s="574"/>
      <c r="Z571" s="574"/>
      <c r="AA571" s="574"/>
      <c r="AB571" s="574"/>
      <c r="AC571" s="574"/>
      <c r="AD571" s="574"/>
      <c r="AE571" s="574"/>
    </row>
    <row r="572" spans="1:31" ht="16.5" customHeight="1" x14ac:dyDescent="0.85">
      <c r="A572" s="574"/>
      <c r="B572" s="574"/>
      <c r="C572" s="574"/>
      <c r="D572" s="574"/>
      <c r="E572" s="574"/>
      <c r="F572" s="574"/>
      <c r="G572" s="574"/>
      <c r="H572" s="574"/>
      <c r="I572" s="574"/>
      <c r="J572" s="574"/>
      <c r="K572" s="574"/>
      <c r="L572" s="574"/>
      <c r="M572" s="574"/>
      <c r="N572" s="574"/>
      <c r="O572" s="574"/>
      <c r="P572" s="574"/>
      <c r="Q572" s="574"/>
      <c r="R572" s="574"/>
      <c r="S572" s="574"/>
      <c r="T572" s="574"/>
      <c r="U572" s="574"/>
      <c r="V572" s="574"/>
      <c r="W572" s="574"/>
      <c r="X572" s="574"/>
      <c r="Y572" s="574"/>
      <c r="Z572" s="574"/>
      <c r="AA572" s="574"/>
      <c r="AB572" s="574"/>
      <c r="AC572" s="574"/>
      <c r="AD572" s="574"/>
      <c r="AE572" s="574"/>
    </row>
    <row r="573" spans="1:31" ht="16.5" customHeight="1" x14ac:dyDescent="0.85">
      <c r="A573" s="574"/>
      <c r="B573" s="574"/>
      <c r="C573" s="574"/>
      <c r="D573" s="574"/>
      <c r="E573" s="574"/>
      <c r="F573" s="574"/>
      <c r="G573" s="574"/>
      <c r="H573" s="574"/>
      <c r="I573" s="574"/>
      <c r="J573" s="574"/>
      <c r="K573" s="574"/>
      <c r="L573" s="574"/>
      <c r="M573" s="574"/>
      <c r="N573" s="574"/>
      <c r="O573" s="574"/>
      <c r="P573" s="574"/>
      <c r="Q573" s="574"/>
      <c r="R573" s="574"/>
      <c r="S573" s="574"/>
      <c r="T573" s="574"/>
      <c r="U573" s="574"/>
      <c r="V573" s="574"/>
      <c r="W573" s="574"/>
      <c r="X573" s="574"/>
      <c r="Y573" s="574"/>
      <c r="Z573" s="574"/>
      <c r="AA573" s="574"/>
      <c r="AB573" s="574"/>
      <c r="AC573" s="574"/>
      <c r="AD573" s="574"/>
      <c r="AE573" s="574"/>
    </row>
    <row r="574" spans="1:31" ht="16.5" customHeight="1" x14ac:dyDescent="0.85">
      <c r="A574" s="574"/>
      <c r="B574" s="574"/>
      <c r="C574" s="574"/>
      <c r="D574" s="574"/>
      <c r="E574" s="574"/>
      <c r="F574" s="574"/>
      <c r="G574" s="574"/>
      <c r="H574" s="574"/>
      <c r="I574" s="574"/>
      <c r="J574" s="574"/>
      <c r="K574" s="574"/>
      <c r="L574" s="574"/>
      <c r="M574" s="574"/>
      <c r="N574" s="574"/>
      <c r="O574" s="574"/>
      <c r="P574" s="574"/>
      <c r="Q574" s="574"/>
      <c r="R574" s="574"/>
      <c r="S574" s="574"/>
      <c r="T574" s="574"/>
      <c r="U574" s="574"/>
      <c r="V574" s="574"/>
      <c r="W574" s="574"/>
      <c r="X574" s="574"/>
      <c r="Y574" s="574"/>
      <c r="Z574" s="574"/>
      <c r="AA574" s="574"/>
      <c r="AB574" s="574"/>
      <c r="AC574" s="574"/>
      <c r="AD574" s="574"/>
      <c r="AE574" s="574"/>
    </row>
    <row r="575" spans="1:31" ht="16.5" customHeight="1" x14ac:dyDescent="0.85">
      <c r="A575" s="574"/>
      <c r="B575" s="574"/>
      <c r="C575" s="574"/>
      <c r="D575" s="574"/>
      <c r="E575" s="574"/>
      <c r="F575" s="574"/>
      <c r="G575" s="574"/>
      <c r="H575" s="574"/>
      <c r="I575" s="574"/>
      <c r="J575" s="574"/>
      <c r="K575" s="574"/>
      <c r="L575" s="574"/>
      <c r="M575" s="574"/>
      <c r="N575" s="574"/>
      <c r="O575" s="574"/>
      <c r="P575" s="574"/>
      <c r="Q575" s="574"/>
      <c r="R575" s="574"/>
      <c r="S575" s="574"/>
      <c r="T575" s="574"/>
      <c r="U575" s="574"/>
      <c r="V575" s="574"/>
      <c r="W575" s="574"/>
      <c r="X575" s="574"/>
      <c r="Y575" s="574"/>
      <c r="Z575" s="574"/>
      <c r="AA575" s="574"/>
      <c r="AB575" s="574"/>
      <c r="AC575" s="574"/>
      <c r="AD575" s="574"/>
      <c r="AE575" s="574"/>
    </row>
    <row r="576" spans="1:31" ht="16.5" customHeight="1" x14ac:dyDescent="0.85">
      <c r="A576" s="574"/>
      <c r="B576" s="574"/>
      <c r="C576" s="574"/>
      <c r="D576" s="574"/>
      <c r="E576" s="574"/>
      <c r="F576" s="574"/>
      <c r="G576" s="574"/>
      <c r="H576" s="574"/>
      <c r="I576" s="574"/>
      <c r="J576" s="574"/>
      <c r="K576" s="574"/>
      <c r="L576" s="574"/>
      <c r="M576" s="574"/>
      <c r="N576" s="574"/>
      <c r="O576" s="574"/>
      <c r="P576" s="574"/>
      <c r="Q576" s="574"/>
      <c r="R576" s="574"/>
      <c r="S576" s="574"/>
      <c r="T576" s="574"/>
      <c r="U576" s="574"/>
      <c r="V576" s="574"/>
      <c r="W576" s="574"/>
      <c r="X576" s="574"/>
      <c r="Y576" s="574"/>
      <c r="Z576" s="574"/>
      <c r="AA576" s="574"/>
      <c r="AB576" s="574"/>
      <c r="AC576" s="574"/>
      <c r="AD576" s="574"/>
      <c r="AE576" s="574"/>
    </row>
    <row r="577" spans="1:31" ht="16.5" customHeight="1" x14ac:dyDescent="0.85">
      <c r="A577" s="574"/>
      <c r="B577" s="574"/>
      <c r="C577" s="574"/>
      <c r="D577" s="574"/>
      <c r="E577" s="574"/>
      <c r="F577" s="574"/>
      <c r="G577" s="574"/>
      <c r="H577" s="574"/>
      <c r="I577" s="574"/>
      <c r="J577" s="574"/>
      <c r="K577" s="574"/>
      <c r="L577" s="574"/>
      <c r="M577" s="574"/>
      <c r="N577" s="574"/>
      <c r="O577" s="574"/>
      <c r="P577" s="574"/>
      <c r="Q577" s="574"/>
      <c r="R577" s="574"/>
      <c r="S577" s="574"/>
      <c r="T577" s="574"/>
      <c r="U577" s="574"/>
      <c r="V577" s="574"/>
      <c r="W577" s="574"/>
      <c r="X577" s="574"/>
      <c r="Y577" s="574"/>
      <c r="Z577" s="574"/>
      <c r="AA577" s="574"/>
      <c r="AB577" s="574"/>
      <c r="AC577" s="574"/>
      <c r="AD577" s="574"/>
      <c r="AE577" s="574"/>
    </row>
    <row r="578" spans="1:31" ht="16.5" customHeight="1" x14ac:dyDescent="0.85">
      <c r="A578" s="574"/>
      <c r="B578" s="574"/>
      <c r="C578" s="574"/>
      <c r="D578" s="574"/>
      <c r="E578" s="574"/>
      <c r="F578" s="574"/>
      <c r="G578" s="574"/>
      <c r="H578" s="574"/>
      <c r="I578" s="574"/>
      <c r="J578" s="574"/>
      <c r="K578" s="574"/>
      <c r="L578" s="574"/>
      <c r="M578" s="574"/>
      <c r="N578" s="574"/>
      <c r="O578" s="574"/>
      <c r="P578" s="574"/>
      <c r="Q578" s="574"/>
      <c r="R578" s="574"/>
      <c r="S578" s="574"/>
      <c r="T578" s="574"/>
      <c r="U578" s="574"/>
      <c r="V578" s="574"/>
      <c r="W578" s="574"/>
      <c r="X578" s="574"/>
      <c r="Y578" s="574"/>
      <c r="Z578" s="574"/>
      <c r="AA578" s="574"/>
      <c r="AB578" s="574"/>
      <c r="AC578" s="574"/>
      <c r="AD578" s="574"/>
      <c r="AE578" s="574"/>
    </row>
    <row r="579" spans="1:31" ht="16.5" customHeight="1" x14ac:dyDescent="0.85">
      <c r="A579" s="574"/>
      <c r="B579" s="574"/>
      <c r="C579" s="574"/>
      <c r="D579" s="574"/>
      <c r="E579" s="574"/>
      <c r="F579" s="574"/>
      <c r="G579" s="574"/>
      <c r="H579" s="574"/>
      <c r="I579" s="574"/>
      <c r="J579" s="574"/>
      <c r="K579" s="574"/>
      <c r="L579" s="574"/>
      <c r="M579" s="574"/>
      <c r="N579" s="574"/>
      <c r="O579" s="574"/>
      <c r="P579" s="574"/>
      <c r="Q579" s="574"/>
      <c r="R579" s="574"/>
      <c r="S579" s="574"/>
      <c r="T579" s="574"/>
      <c r="U579" s="574"/>
      <c r="V579" s="574"/>
      <c r="W579" s="574"/>
      <c r="X579" s="574"/>
      <c r="Y579" s="574"/>
      <c r="Z579" s="574"/>
      <c r="AA579" s="574"/>
      <c r="AB579" s="574"/>
      <c r="AC579" s="574"/>
      <c r="AD579" s="574"/>
      <c r="AE579" s="574"/>
    </row>
    <row r="580" spans="1:31" ht="16.5" customHeight="1" x14ac:dyDescent="0.85">
      <c r="A580" s="574"/>
      <c r="B580" s="574"/>
      <c r="C580" s="574"/>
      <c r="D580" s="574"/>
      <c r="E580" s="574"/>
      <c r="F580" s="574"/>
      <c r="G580" s="574"/>
      <c r="H580" s="574"/>
      <c r="I580" s="574"/>
      <c r="J580" s="574"/>
      <c r="K580" s="574"/>
      <c r="L580" s="574"/>
      <c r="M580" s="574"/>
      <c r="N580" s="574"/>
      <c r="O580" s="574"/>
      <c r="P580" s="574"/>
      <c r="Q580" s="574"/>
      <c r="R580" s="574"/>
      <c r="S580" s="574"/>
      <c r="T580" s="574"/>
      <c r="U580" s="574"/>
      <c r="V580" s="574"/>
      <c r="W580" s="574"/>
      <c r="X580" s="574"/>
      <c r="Y580" s="574"/>
      <c r="Z580" s="574"/>
      <c r="AA580" s="574"/>
      <c r="AB580" s="574"/>
      <c r="AC580" s="574"/>
      <c r="AD580" s="574"/>
      <c r="AE580" s="574"/>
    </row>
    <row r="581" spans="1:31" ht="16.5" customHeight="1" x14ac:dyDescent="0.85">
      <c r="A581" s="574"/>
      <c r="B581" s="574"/>
      <c r="C581" s="574"/>
      <c r="D581" s="574"/>
      <c r="E581" s="574"/>
      <c r="F581" s="574"/>
      <c r="G581" s="574"/>
      <c r="H581" s="574"/>
      <c r="I581" s="574"/>
      <c r="J581" s="574"/>
      <c r="K581" s="574"/>
      <c r="L581" s="574"/>
      <c r="M581" s="574"/>
      <c r="N581" s="574"/>
      <c r="O581" s="574"/>
      <c r="P581" s="574"/>
      <c r="Q581" s="574"/>
      <c r="R581" s="574"/>
      <c r="S581" s="574"/>
      <c r="T581" s="574"/>
      <c r="U581" s="574"/>
      <c r="V581" s="574"/>
      <c r="W581" s="574"/>
      <c r="X581" s="574"/>
      <c r="Y581" s="574"/>
      <c r="Z581" s="574"/>
      <c r="AA581" s="574"/>
      <c r="AB581" s="574"/>
      <c r="AC581" s="574"/>
      <c r="AD581" s="574"/>
      <c r="AE581" s="574"/>
    </row>
    <row r="582" spans="1:31" ht="16.5" customHeight="1" x14ac:dyDescent="0.85">
      <c r="A582" s="574"/>
      <c r="B582" s="574"/>
      <c r="C582" s="574"/>
      <c r="D582" s="574"/>
      <c r="E582" s="574"/>
      <c r="F582" s="574"/>
      <c r="G582" s="574"/>
      <c r="H582" s="574"/>
      <c r="I582" s="574"/>
      <c r="J582" s="574"/>
      <c r="K582" s="574"/>
      <c r="L582" s="574"/>
      <c r="M582" s="574"/>
      <c r="N582" s="574"/>
      <c r="O582" s="574"/>
      <c r="P582" s="574"/>
      <c r="Q582" s="574"/>
      <c r="R582" s="574"/>
      <c r="S582" s="574"/>
      <c r="T582" s="574"/>
      <c r="U582" s="574"/>
      <c r="V582" s="574"/>
      <c r="W582" s="574"/>
      <c r="X582" s="574"/>
      <c r="Y582" s="574"/>
      <c r="Z582" s="574"/>
      <c r="AA582" s="574"/>
      <c r="AB582" s="574"/>
      <c r="AC582" s="574"/>
      <c r="AD582" s="574"/>
      <c r="AE582" s="574"/>
    </row>
    <row r="583" spans="1:31" ht="16.5" customHeight="1" x14ac:dyDescent="0.85">
      <c r="A583" s="574"/>
      <c r="B583" s="574"/>
      <c r="C583" s="574"/>
      <c r="D583" s="574"/>
      <c r="E583" s="574"/>
      <c r="F583" s="574"/>
      <c r="G583" s="574"/>
      <c r="H583" s="574"/>
      <c r="I583" s="574"/>
      <c r="J583" s="574"/>
      <c r="K583" s="574"/>
      <c r="L583" s="574"/>
      <c r="M583" s="574"/>
      <c r="N583" s="574"/>
      <c r="O583" s="574"/>
      <c r="P583" s="574"/>
      <c r="Q583" s="574"/>
      <c r="R583" s="574"/>
      <c r="S583" s="574"/>
      <c r="T583" s="574"/>
      <c r="U583" s="574"/>
      <c r="V583" s="574"/>
      <c r="W583" s="574"/>
      <c r="X583" s="574"/>
      <c r="Y583" s="574"/>
      <c r="Z583" s="574"/>
      <c r="AA583" s="574"/>
      <c r="AB583" s="574"/>
      <c r="AC583" s="574"/>
      <c r="AD583" s="574"/>
      <c r="AE583" s="574"/>
    </row>
    <row r="584" spans="1:31" ht="16.5" customHeight="1" x14ac:dyDescent="0.85">
      <c r="A584" s="574"/>
      <c r="B584" s="574"/>
      <c r="C584" s="574"/>
      <c r="D584" s="574"/>
      <c r="E584" s="574"/>
      <c r="F584" s="574"/>
      <c r="G584" s="574"/>
      <c r="H584" s="574"/>
      <c r="I584" s="574"/>
      <c r="J584" s="574"/>
      <c r="K584" s="574"/>
      <c r="L584" s="574"/>
      <c r="M584" s="574"/>
      <c r="N584" s="574"/>
      <c r="O584" s="574"/>
      <c r="P584" s="574"/>
      <c r="Q584" s="574"/>
      <c r="R584" s="574"/>
      <c r="S584" s="574"/>
      <c r="T584" s="574"/>
      <c r="U584" s="574"/>
      <c r="V584" s="574"/>
      <c r="W584" s="574"/>
      <c r="X584" s="574"/>
      <c r="Y584" s="574"/>
      <c r="Z584" s="574"/>
      <c r="AA584" s="574"/>
      <c r="AB584" s="574"/>
      <c r="AC584" s="574"/>
      <c r="AD584" s="574"/>
      <c r="AE584" s="574"/>
    </row>
    <row r="585" spans="1:31" ht="16.5" customHeight="1" x14ac:dyDescent="0.85">
      <c r="A585" s="574"/>
      <c r="B585" s="574"/>
      <c r="C585" s="574"/>
      <c r="D585" s="574"/>
      <c r="E585" s="574"/>
      <c r="F585" s="574"/>
      <c r="G585" s="574"/>
      <c r="H585" s="574"/>
      <c r="I585" s="574"/>
      <c r="J585" s="574"/>
      <c r="K585" s="574"/>
      <c r="L585" s="574"/>
      <c r="M585" s="574"/>
      <c r="N585" s="574"/>
      <c r="O585" s="574"/>
      <c r="P585" s="574"/>
      <c r="Q585" s="574"/>
      <c r="R585" s="574"/>
      <c r="S585" s="574"/>
      <c r="T585" s="574"/>
      <c r="U585" s="574"/>
      <c r="V585" s="574"/>
      <c r="W585" s="574"/>
      <c r="X585" s="574"/>
      <c r="Y585" s="574"/>
      <c r="Z585" s="574"/>
      <c r="AA585" s="574"/>
      <c r="AB585" s="574"/>
      <c r="AC585" s="574"/>
      <c r="AD585" s="574"/>
      <c r="AE585" s="574"/>
    </row>
    <row r="586" spans="1:31" ht="16.5" customHeight="1" x14ac:dyDescent="0.85">
      <c r="A586" s="574"/>
      <c r="B586" s="574"/>
      <c r="C586" s="574"/>
      <c r="D586" s="574"/>
      <c r="E586" s="574"/>
      <c r="F586" s="574"/>
      <c r="G586" s="574"/>
      <c r="H586" s="574"/>
      <c r="I586" s="574"/>
      <c r="J586" s="574"/>
      <c r="K586" s="574"/>
      <c r="L586" s="574"/>
      <c r="M586" s="574"/>
      <c r="N586" s="574"/>
      <c r="O586" s="574"/>
      <c r="P586" s="574"/>
      <c r="Q586" s="574"/>
      <c r="R586" s="574"/>
      <c r="S586" s="574"/>
      <c r="T586" s="574"/>
      <c r="U586" s="574"/>
      <c r="V586" s="574"/>
      <c r="W586" s="574"/>
      <c r="X586" s="574"/>
      <c r="Y586" s="574"/>
      <c r="Z586" s="574"/>
      <c r="AA586" s="574"/>
      <c r="AB586" s="574"/>
      <c r="AC586" s="574"/>
      <c r="AD586" s="574"/>
      <c r="AE586" s="574"/>
    </row>
    <row r="587" spans="1:31" ht="16.5" customHeight="1" x14ac:dyDescent="0.85">
      <c r="A587" s="574"/>
      <c r="B587" s="574"/>
      <c r="C587" s="574"/>
      <c r="D587" s="574"/>
      <c r="E587" s="574"/>
      <c r="F587" s="574"/>
      <c r="G587" s="574"/>
      <c r="H587" s="574"/>
      <c r="I587" s="574"/>
      <c r="J587" s="574"/>
      <c r="K587" s="574"/>
      <c r="L587" s="574"/>
      <c r="M587" s="574"/>
      <c r="N587" s="574"/>
      <c r="O587" s="574"/>
      <c r="P587" s="574"/>
      <c r="Q587" s="574"/>
      <c r="R587" s="574"/>
      <c r="S587" s="574"/>
      <c r="T587" s="574"/>
      <c r="U587" s="574"/>
      <c r="V587" s="574"/>
      <c r="W587" s="574"/>
      <c r="X587" s="574"/>
      <c r="Y587" s="574"/>
      <c r="Z587" s="574"/>
      <c r="AA587" s="574"/>
      <c r="AB587" s="574"/>
      <c r="AC587" s="574"/>
      <c r="AD587" s="574"/>
      <c r="AE587" s="574"/>
    </row>
    <row r="588" spans="1:31" ht="16.5" customHeight="1" x14ac:dyDescent="0.85">
      <c r="A588" s="574"/>
      <c r="B588" s="574"/>
      <c r="C588" s="574"/>
      <c r="D588" s="574"/>
      <c r="E588" s="574"/>
      <c r="F588" s="574"/>
      <c r="G588" s="574"/>
      <c r="H588" s="574"/>
      <c r="I588" s="574"/>
      <c r="J588" s="574"/>
      <c r="K588" s="574"/>
      <c r="L588" s="574"/>
      <c r="M588" s="574"/>
      <c r="N588" s="574"/>
      <c r="O588" s="574"/>
      <c r="P588" s="574"/>
      <c r="Q588" s="574"/>
      <c r="R588" s="574"/>
      <c r="S588" s="574"/>
      <c r="T588" s="574"/>
      <c r="U588" s="574"/>
      <c r="V588" s="574"/>
      <c r="W588" s="574"/>
      <c r="X588" s="574"/>
      <c r="Y588" s="574"/>
      <c r="Z588" s="574"/>
      <c r="AA588" s="574"/>
      <c r="AB588" s="574"/>
      <c r="AC588" s="574"/>
      <c r="AD588" s="574"/>
      <c r="AE588" s="574"/>
    </row>
    <row r="589" spans="1:31" ht="16.5" customHeight="1" x14ac:dyDescent="0.85">
      <c r="A589" s="574"/>
      <c r="B589" s="574"/>
      <c r="C589" s="574"/>
      <c r="D589" s="574"/>
      <c r="E589" s="574"/>
      <c r="F589" s="574"/>
      <c r="G589" s="574"/>
      <c r="H589" s="574"/>
      <c r="I589" s="574"/>
      <c r="J589" s="574"/>
      <c r="K589" s="574"/>
      <c r="L589" s="574"/>
      <c r="M589" s="574"/>
      <c r="N589" s="574"/>
      <c r="O589" s="574"/>
      <c r="P589" s="574"/>
      <c r="Q589" s="574"/>
      <c r="R589" s="574"/>
      <c r="S589" s="574"/>
      <c r="T589" s="574"/>
      <c r="U589" s="574"/>
      <c r="V589" s="574"/>
      <c r="W589" s="574"/>
      <c r="X589" s="574"/>
      <c r="Y589" s="574"/>
      <c r="Z589" s="574"/>
      <c r="AA589" s="574"/>
      <c r="AB589" s="574"/>
      <c r="AC589" s="574"/>
      <c r="AD589" s="574"/>
      <c r="AE589" s="574"/>
    </row>
    <row r="590" spans="1:31" ht="16.5" customHeight="1" x14ac:dyDescent="0.85">
      <c r="A590" s="574"/>
      <c r="B590" s="574"/>
      <c r="C590" s="574"/>
      <c r="D590" s="574"/>
      <c r="E590" s="574"/>
      <c r="F590" s="574"/>
      <c r="G590" s="574"/>
      <c r="H590" s="574"/>
      <c r="I590" s="574"/>
      <c r="J590" s="574"/>
      <c r="K590" s="574"/>
      <c r="L590" s="574"/>
      <c r="M590" s="574"/>
      <c r="N590" s="574"/>
      <c r="O590" s="574"/>
      <c r="P590" s="574"/>
      <c r="Q590" s="574"/>
      <c r="R590" s="574"/>
      <c r="S590" s="574"/>
      <c r="T590" s="574"/>
      <c r="U590" s="574"/>
      <c r="V590" s="574"/>
      <c r="W590" s="574"/>
      <c r="X590" s="574"/>
      <c r="Y590" s="574"/>
      <c r="Z590" s="574"/>
      <c r="AA590" s="574"/>
      <c r="AB590" s="574"/>
      <c r="AC590" s="574"/>
      <c r="AD590" s="574"/>
      <c r="AE590" s="574"/>
    </row>
    <row r="591" spans="1:31" ht="16.5" customHeight="1" x14ac:dyDescent="0.85">
      <c r="A591" s="574"/>
      <c r="B591" s="574"/>
      <c r="C591" s="574"/>
      <c r="D591" s="574"/>
      <c r="E591" s="574"/>
      <c r="F591" s="574"/>
      <c r="G591" s="574"/>
      <c r="H591" s="574"/>
      <c r="I591" s="574"/>
      <c r="J591" s="574"/>
      <c r="K591" s="574"/>
      <c r="L591" s="574"/>
      <c r="M591" s="574"/>
      <c r="N591" s="574"/>
      <c r="O591" s="574"/>
      <c r="P591" s="574"/>
      <c r="Q591" s="574"/>
      <c r="R591" s="574"/>
      <c r="S591" s="574"/>
      <c r="T591" s="574"/>
      <c r="U591" s="574"/>
      <c r="V591" s="574"/>
      <c r="W591" s="574"/>
      <c r="X591" s="574"/>
      <c r="Y591" s="574"/>
      <c r="Z591" s="574"/>
      <c r="AA591" s="574"/>
      <c r="AB591" s="574"/>
      <c r="AC591" s="574"/>
      <c r="AD591" s="574"/>
      <c r="AE591" s="574"/>
    </row>
    <row r="592" spans="1:31" ht="16.5" customHeight="1" x14ac:dyDescent="0.85">
      <c r="A592" s="574"/>
      <c r="B592" s="574"/>
      <c r="C592" s="574"/>
      <c r="D592" s="574"/>
      <c r="E592" s="574"/>
      <c r="F592" s="574"/>
      <c r="G592" s="574"/>
      <c r="H592" s="574"/>
      <c r="I592" s="574"/>
      <c r="J592" s="574"/>
      <c r="K592" s="574"/>
      <c r="L592" s="574"/>
      <c r="M592" s="574"/>
      <c r="N592" s="574"/>
      <c r="O592" s="574"/>
      <c r="P592" s="574"/>
      <c r="Q592" s="574"/>
      <c r="R592" s="574"/>
      <c r="S592" s="574"/>
      <c r="T592" s="574"/>
      <c r="U592" s="574"/>
      <c r="V592" s="574"/>
      <c r="W592" s="574"/>
      <c r="X592" s="574"/>
      <c r="Y592" s="574"/>
      <c r="Z592" s="574"/>
      <c r="AA592" s="574"/>
      <c r="AB592" s="574"/>
      <c r="AC592" s="574"/>
      <c r="AD592" s="574"/>
      <c r="AE592" s="574"/>
    </row>
    <row r="593" spans="1:31" ht="16.5" customHeight="1" x14ac:dyDescent="0.85">
      <c r="A593" s="574"/>
      <c r="B593" s="574"/>
      <c r="C593" s="574"/>
      <c r="D593" s="574"/>
      <c r="E593" s="574"/>
      <c r="F593" s="574"/>
      <c r="G593" s="574"/>
      <c r="H593" s="574"/>
      <c r="I593" s="574"/>
      <c r="J593" s="574"/>
      <c r="K593" s="574"/>
      <c r="L593" s="574"/>
      <c r="M593" s="574"/>
      <c r="N593" s="574"/>
      <c r="O593" s="574"/>
      <c r="P593" s="574"/>
      <c r="Q593" s="574"/>
      <c r="R593" s="574"/>
      <c r="S593" s="574"/>
      <c r="T593" s="574"/>
      <c r="U593" s="574"/>
      <c r="V593" s="574"/>
      <c r="W593" s="574"/>
      <c r="X593" s="574"/>
      <c r="Y593" s="574"/>
      <c r="Z593" s="574"/>
      <c r="AA593" s="574"/>
      <c r="AB593" s="574"/>
      <c r="AC593" s="574"/>
      <c r="AD593" s="574"/>
      <c r="AE593" s="574"/>
    </row>
    <row r="594" spans="1:31" ht="16.5" customHeight="1" x14ac:dyDescent="0.85">
      <c r="A594" s="574"/>
      <c r="B594" s="574"/>
      <c r="C594" s="574"/>
      <c r="D594" s="574"/>
      <c r="E594" s="574"/>
      <c r="F594" s="574"/>
      <c r="G594" s="574"/>
      <c r="H594" s="574"/>
      <c r="I594" s="574"/>
      <c r="J594" s="574"/>
      <c r="K594" s="574"/>
      <c r="L594" s="574"/>
      <c r="M594" s="574"/>
      <c r="N594" s="574"/>
      <c r="O594" s="574"/>
      <c r="P594" s="574"/>
      <c r="Q594" s="574"/>
      <c r="R594" s="574"/>
      <c r="S594" s="574"/>
      <c r="T594" s="574"/>
      <c r="U594" s="574"/>
      <c r="V594" s="574"/>
      <c r="W594" s="574"/>
      <c r="X594" s="574"/>
      <c r="Y594" s="574"/>
      <c r="Z594" s="574"/>
      <c r="AA594" s="574"/>
      <c r="AB594" s="574"/>
      <c r="AC594" s="574"/>
      <c r="AD594" s="574"/>
      <c r="AE594" s="574"/>
    </row>
    <row r="595" spans="1:31" ht="16.5" customHeight="1" x14ac:dyDescent="0.85">
      <c r="A595" s="574"/>
      <c r="B595" s="574"/>
      <c r="C595" s="574"/>
      <c r="D595" s="574"/>
      <c r="E595" s="574"/>
      <c r="F595" s="574"/>
      <c r="G595" s="574"/>
      <c r="H595" s="574"/>
      <c r="I595" s="574"/>
      <c r="J595" s="574"/>
      <c r="K595" s="574"/>
      <c r="L595" s="574"/>
      <c r="M595" s="574"/>
      <c r="N595" s="574"/>
      <c r="O595" s="574"/>
      <c r="P595" s="574"/>
      <c r="Q595" s="574"/>
      <c r="R595" s="574"/>
      <c r="S595" s="574"/>
      <c r="T595" s="574"/>
      <c r="U595" s="574"/>
      <c r="V595" s="574"/>
      <c r="W595" s="574"/>
      <c r="X595" s="574"/>
      <c r="Y595" s="574"/>
      <c r="Z595" s="574"/>
      <c r="AA595" s="574"/>
      <c r="AB595" s="574"/>
      <c r="AC595" s="574"/>
      <c r="AD595" s="574"/>
      <c r="AE595" s="574"/>
    </row>
    <row r="596" spans="1:31" ht="16.5" customHeight="1" x14ac:dyDescent="0.85">
      <c r="A596" s="574"/>
      <c r="B596" s="574"/>
      <c r="C596" s="574"/>
      <c r="D596" s="574"/>
      <c r="E596" s="574"/>
      <c r="F596" s="574"/>
      <c r="G596" s="574"/>
      <c r="H596" s="574"/>
      <c r="I596" s="574"/>
      <c r="J596" s="574"/>
      <c r="K596" s="574"/>
      <c r="L596" s="574"/>
      <c r="M596" s="574"/>
      <c r="N596" s="574"/>
      <c r="O596" s="574"/>
      <c r="P596" s="574"/>
      <c r="Q596" s="574"/>
      <c r="R596" s="574"/>
      <c r="S596" s="574"/>
      <c r="T596" s="574"/>
      <c r="U596" s="574"/>
      <c r="V596" s="574"/>
      <c r="W596" s="574"/>
      <c r="X596" s="574"/>
      <c r="Y596" s="574"/>
      <c r="Z596" s="574"/>
      <c r="AA596" s="574"/>
      <c r="AB596" s="574"/>
      <c r="AC596" s="574"/>
      <c r="AD596" s="574"/>
      <c r="AE596" s="574"/>
    </row>
    <row r="597" spans="1:31" ht="16.5" customHeight="1" x14ac:dyDescent="0.85">
      <c r="A597" s="574"/>
      <c r="B597" s="574"/>
      <c r="C597" s="574"/>
      <c r="D597" s="574"/>
      <c r="E597" s="574"/>
      <c r="F597" s="574"/>
      <c r="G597" s="574"/>
      <c r="H597" s="574"/>
      <c r="I597" s="574"/>
      <c r="J597" s="574"/>
      <c r="K597" s="574"/>
      <c r="L597" s="574"/>
      <c r="M597" s="574"/>
      <c r="N597" s="574"/>
      <c r="O597" s="574"/>
      <c r="P597" s="574"/>
      <c r="Q597" s="574"/>
      <c r="R597" s="574"/>
      <c r="S597" s="574"/>
      <c r="T597" s="574"/>
      <c r="U597" s="574"/>
      <c r="V597" s="574"/>
      <c r="W597" s="574"/>
      <c r="X597" s="574"/>
      <c r="Y597" s="574"/>
      <c r="Z597" s="574"/>
      <c r="AA597" s="574"/>
      <c r="AB597" s="574"/>
      <c r="AC597" s="574"/>
      <c r="AD597" s="574"/>
      <c r="AE597" s="574"/>
    </row>
    <row r="598" spans="1:31" ht="16.5" customHeight="1" x14ac:dyDescent="0.85">
      <c r="A598" s="574"/>
      <c r="B598" s="574"/>
      <c r="C598" s="574"/>
      <c r="D598" s="574"/>
      <c r="E598" s="574"/>
      <c r="F598" s="574"/>
      <c r="G598" s="574"/>
      <c r="H598" s="574"/>
      <c r="I598" s="574"/>
      <c r="J598" s="574"/>
      <c r="K598" s="574"/>
      <c r="L598" s="574"/>
      <c r="M598" s="574"/>
      <c r="N598" s="574"/>
      <c r="O598" s="574"/>
      <c r="P598" s="574"/>
      <c r="Q598" s="574"/>
      <c r="R598" s="574"/>
      <c r="S598" s="574"/>
      <c r="T598" s="574"/>
      <c r="U598" s="574"/>
      <c r="V598" s="574"/>
      <c r="W598" s="574"/>
      <c r="X598" s="574"/>
      <c r="Y598" s="574"/>
      <c r="Z598" s="574"/>
      <c r="AA598" s="574"/>
      <c r="AB598" s="574"/>
      <c r="AC598" s="574"/>
      <c r="AD598" s="574"/>
      <c r="AE598" s="574"/>
    </row>
    <row r="599" spans="1:31" ht="16.5" customHeight="1" x14ac:dyDescent="0.85">
      <c r="A599" s="574"/>
      <c r="B599" s="574"/>
      <c r="C599" s="574"/>
      <c r="D599" s="574"/>
      <c r="E599" s="574"/>
      <c r="F599" s="574"/>
      <c r="G599" s="574"/>
      <c r="H599" s="574"/>
      <c r="I599" s="574"/>
      <c r="J599" s="574"/>
      <c r="K599" s="574"/>
      <c r="L599" s="574"/>
      <c r="M599" s="574"/>
      <c r="N599" s="574"/>
      <c r="O599" s="574"/>
      <c r="P599" s="574"/>
      <c r="Q599" s="574"/>
      <c r="R599" s="574"/>
      <c r="S599" s="574"/>
      <c r="T599" s="574"/>
      <c r="U599" s="574"/>
      <c r="V599" s="574"/>
      <c r="W599" s="574"/>
      <c r="X599" s="574"/>
      <c r="Y599" s="574"/>
      <c r="Z599" s="574"/>
      <c r="AA599" s="574"/>
      <c r="AB599" s="574"/>
      <c r="AC599" s="574"/>
      <c r="AD599" s="574"/>
      <c r="AE599" s="574"/>
    </row>
    <row r="600" spans="1:31" ht="16.5" customHeight="1" x14ac:dyDescent="0.85">
      <c r="A600" s="574"/>
      <c r="B600" s="574"/>
      <c r="C600" s="574"/>
      <c r="D600" s="574"/>
      <c r="E600" s="574"/>
      <c r="F600" s="574"/>
      <c r="G600" s="574"/>
      <c r="H600" s="574"/>
      <c r="I600" s="574"/>
      <c r="J600" s="574"/>
      <c r="K600" s="574"/>
      <c r="L600" s="574"/>
      <c r="M600" s="574"/>
      <c r="N600" s="574"/>
      <c r="O600" s="574"/>
      <c r="P600" s="574"/>
      <c r="Q600" s="574"/>
      <c r="R600" s="574"/>
      <c r="S600" s="574"/>
      <c r="T600" s="574"/>
      <c r="U600" s="574"/>
      <c r="V600" s="574"/>
      <c r="W600" s="574"/>
      <c r="X600" s="574"/>
      <c r="Y600" s="574"/>
      <c r="Z600" s="574"/>
      <c r="AA600" s="574"/>
      <c r="AB600" s="574"/>
      <c r="AC600" s="574"/>
      <c r="AD600" s="574"/>
      <c r="AE600" s="574"/>
    </row>
    <row r="601" spans="1:31" ht="16.5" customHeight="1" x14ac:dyDescent="0.85">
      <c r="A601" s="574"/>
      <c r="B601" s="574"/>
      <c r="C601" s="574"/>
      <c r="D601" s="574"/>
      <c r="E601" s="574"/>
      <c r="F601" s="574"/>
      <c r="G601" s="574"/>
      <c r="H601" s="574"/>
      <c r="I601" s="574"/>
      <c r="J601" s="574"/>
      <c r="K601" s="574"/>
      <c r="L601" s="574"/>
      <c r="M601" s="574"/>
      <c r="N601" s="574"/>
      <c r="O601" s="574"/>
      <c r="P601" s="574"/>
      <c r="Q601" s="574"/>
      <c r="R601" s="574"/>
      <c r="S601" s="574"/>
      <c r="T601" s="574"/>
      <c r="U601" s="574"/>
      <c r="V601" s="574"/>
      <c r="W601" s="574"/>
      <c r="X601" s="574"/>
      <c r="Y601" s="574"/>
      <c r="Z601" s="574"/>
      <c r="AA601" s="574"/>
      <c r="AB601" s="574"/>
      <c r="AC601" s="574"/>
      <c r="AD601" s="574"/>
      <c r="AE601" s="574"/>
    </row>
    <row r="602" spans="1:31" ht="16.5" customHeight="1" x14ac:dyDescent="0.85">
      <c r="A602" s="574"/>
      <c r="B602" s="574"/>
      <c r="C602" s="574"/>
      <c r="D602" s="574"/>
      <c r="E602" s="574"/>
      <c r="F602" s="574"/>
      <c r="G602" s="574"/>
      <c r="H602" s="574"/>
      <c r="I602" s="574"/>
      <c r="J602" s="574"/>
      <c r="K602" s="574"/>
      <c r="L602" s="574"/>
      <c r="M602" s="574"/>
      <c r="N602" s="574"/>
      <c r="O602" s="574"/>
      <c r="P602" s="574"/>
      <c r="Q602" s="574"/>
      <c r="R602" s="574"/>
      <c r="S602" s="574"/>
      <c r="T602" s="574"/>
      <c r="U602" s="574"/>
      <c r="V602" s="574"/>
      <c r="W602" s="574"/>
      <c r="X602" s="574"/>
      <c r="Y602" s="574"/>
      <c r="Z602" s="574"/>
      <c r="AA602" s="574"/>
      <c r="AB602" s="574"/>
      <c r="AC602" s="574"/>
      <c r="AD602" s="574"/>
      <c r="AE602" s="574"/>
    </row>
    <row r="603" spans="1:31" ht="16.5" customHeight="1" x14ac:dyDescent="0.85">
      <c r="A603" s="574"/>
      <c r="B603" s="574"/>
      <c r="C603" s="574"/>
      <c r="D603" s="574"/>
      <c r="E603" s="574"/>
      <c r="F603" s="574"/>
      <c r="G603" s="574"/>
      <c r="H603" s="574"/>
      <c r="I603" s="574"/>
      <c r="J603" s="574"/>
      <c r="K603" s="574"/>
      <c r="L603" s="574"/>
      <c r="M603" s="574"/>
      <c r="N603" s="574"/>
      <c r="O603" s="574"/>
      <c r="P603" s="574"/>
      <c r="Q603" s="574"/>
      <c r="R603" s="574"/>
      <c r="S603" s="574"/>
      <c r="T603" s="574"/>
      <c r="U603" s="574"/>
      <c r="V603" s="574"/>
      <c r="W603" s="574"/>
      <c r="X603" s="574"/>
      <c r="Y603" s="574"/>
      <c r="Z603" s="574"/>
      <c r="AA603" s="574"/>
      <c r="AB603" s="574"/>
      <c r="AC603" s="574"/>
      <c r="AD603" s="574"/>
      <c r="AE603" s="574"/>
    </row>
    <row r="604" spans="1:31" ht="16.5" customHeight="1" x14ac:dyDescent="0.85">
      <c r="A604" s="574"/>
      <c r="B604" s="574"/>
      <c r="C604" s="574"/>
      <c r="D604" s="574"/>
      <c r="E604" s="574"/>
      <c r="F604" s="574"/>
      <c r="G604" s="574"/>
      <c r="H604" s="574"/>
      <c r="I604" s="574"/>
      <c r="J604" s="574"/>
      <c r="K604" s="574"/>
      <c r="L604" s="574"/>
      <c r="M604" s="574"/>
      <c r="N604" s="574"/>
      <c r="O604" s="574"/>
      <c r="P604" s="574"/>
      <c r="Q604" s="574"/>
      <c r="R604" s="574"/>
      <c r="S604" s="574"/>
      <c r="T604" s="574"/>
      <c r="U604" s="574"/>
      <c r="V604" s="574"/>
      <c r="W604" s="574"/>
      <c r="X604" s="574"/>
      <c r="Y604" s="574"/>
      <c r="Z604" s="574"/>
      <c r="AA604" s="574"/>
      <c r="AB604" s="574"/>
      <c r="AC604" s="574"/>
      <c r="AD604" s="574"/>
      <c r="AE604" s="574"/>
    </row>
    <row r="605" spans="1:31" ht="16.5" customHeight="1" x14ac:dyDescent="0.85">
      <c r="A605" s="574"/>
      <c r="B605" s="574"/>
      <c r="C605" s="574"/>
      <c r="D605" s="574"/>
      <c r="E605" s="574"/>
      <c r="F605" s="574"/>
      <c r="G605" s="574"/>
      <c r="H605" s="574"/>
      <c r="I605" s="574"/>
      <c r="J605" s="574"/>
      <c r="K605" s="574"/>
      <c r="L605" s="574"/>
      <c r="M605" s="574"/>
      <c r="N605" s="574"/>
      <c r="O605" s="574"/>
      <c r="P605" s="574"/>
      <c r="Q605" s="574"/>
      <c r="R605" s="574"/>
      <c r="S605" s="574"/>
      <c r="T605" s="574"/>
      <c r="U605" s="574"/>
      <c r="V605" s="574"/>
      <c r="W605" s="574"/>
      <c r="X605" s="574"/>
      <c r="Y605" s="574"/>
      <c r="Z605" s="574"/>
      <c r="AA605" s="574"/>
      <c r="AB605" s="574"/>
      <c r="AC605" s="574"/>
      <c r="AD605" s="574"/>
      <c r="AE605" s="574"/>
    </row>
    <row r="606" spans="1:31" ht="16.5" customHeight="1" x14ac:dyDescent="0.85">
      <c r="A606" s="574"/>
      <c r="B606" s="574"/>
      <c r="C606" s="574"/>
      <c r="D606" s="574"/>
      <c r="E606" s="574"/>
      <c r="F606" s="574"/>
      <c r="G606" s="574"/>
      <c r="H606" s="574"/>
      <c r="I606" s="574"/>
      <c r="J606" s="574"/>
      <c r="K606" s="574"/>
      <c r="L606" s="574"/>
      <c r="M606" s="574"/>
      <c r="N606" s="574"/>
      <c r="O606" s="574"/>
      <c r="P606" s="574"/>
      <c r="Q606" s="574"/>
      <c r="R606" s="574"/>
      <c r="S606" s="574"/>
      <c r="T606" s="574"/>
      <c r="U606" s="574"/>
      <c r="V606" s="574"/>
      <c r="W606" s="574"/>
      <c r="X606" s="574"/>
      <c r="Y606" s="574"/>
      <c r="Z606" s="574"/>
      <c r="AA606" s="574"/>
      <c r="AB606" s="574"/>
      <c r="AC606" s="574"/>
      <c r="AD606" s="574"/>
      <c r="AE606" s="574"/>
    </row>
    <row r="607" spans="1:31" ht="16.5" customHeight="1" x14ac:dyDescent="0.85">
      <c r="A607" s="574"/>
      <c r="B607" s="574"/>
      <c r="C607" s="574"/>
      <c r="D607" s="574"/>
      <c r="E607" s="574"/>
      <c r="F607" s="574"/>
      <c r="G607" s="574"/>
      <c r="H607" s="574"/>
      <c r="I607" s="574"/>
      <c r="J607" s="574"/>
      <c r="K607" s="574"/>
      <c r="L607" s="574"/>
      <c r="M607" s="574"/>
      <c r="N607" s="574"/>
      <c r="O607" s="574"/>
      <c r="P607" s="574"/>
      <c r="Q607" s="574"/>
      <c r="R607" s="574"/>
      <c r="S607" s="574"/>
      <c r="T607" s="574"/>
      <c r="U607" s="574"/>
      <c r="V607" s="574"/>
      <c r="W607" s="574"/>
      <c r="X607" s="574"/>
      <c r="Y607" s="574"/>
      <c r="Z607" s="574"/>
      <c r="AA607" s="574"/>
      <c r="AB607" s="574"/>
      <c r="AC607" s="574"/>
      <c r="AD607" s="574"/>
      <c r="AE607" s="574"/>
    </row>
    <row r="608" spans="1:31" ht="16.5" customHeight="1" x14ac:dyDescent="0.85">
      <c r="A608" s="574"/>
      <c r="B608" s="574"/>
      <c r="C608" s="574"/>
      <c r="D608" s="574"/>
      <c r="E608" s="574"/>
      <c r="F608" s="574"/>
      <c r="G608" s="574"/>
      <c r="H608" s="574"/>
      <c r="I608" s="574"/>
      <c r="J608" s="574"/>
      <c r="K608" s="574"/>
      <c r="L608" s="574"/>
      <c r="M608" s="574"/>
      <c r="N608" s="574"/>
      <c r="O608" s="574"/>
      <c r="P608" s="574"/>
      <c r="Q608" s="574"/>
      <c r="R608" s="574"/>
      <c r="S608" s="574"/>
      <c r="T608" s="574"/>
      <c r="U608" s="574"/>
      <c r="V608" s="574"/>
      <c r="W608" s="574"/>
      <c r="X608" s="574"/>
      <c r="Y608" s="574"/>
      <c r="Z608" s="574"/>
      <c r="AA608" s="574"/>
      <c r="AB608" s="574"/>
      <c r="AC608" s="574"/>
      <c r="AD608" s="574"/>
      <c r="AE608" s="574"/>
    </row>
    <row r="609" spans="1:31" ht="16.5" customHeight="1" x14ac:dyDescent="0.85">
      <c r="A609" s="574"/>
      <c r="B609" s="574"/>
      <c r="C609" s="574"/>
      <c r="D609" s="574"/>
      <c r="E609" s="574"/>
      <c r="F609" s="574"/>
      <c r="G609" s="574"/>
      <c r="H609" s="574"/>
      <c r="I609" s="574"/>
      <c r="J609" s="574"/>
      <c r="K609" s="574"/>
      <c r="L609" s="574"/>
      <c r="M609" s="574"/>
      <c r="N609" s="574"/>
      <c r="O609" s="574"/>
      <c r="P609" s="574"/>
      <c r="Q609" s="574"/>
      <c r="R609" s="574"/>
      <c r="S609" s="574"/>
      <c r="T609" s="574"/>
      <c r="U609" s="574"/>
      <c r="V609" s="574"/>
      <c r="W609" s="574"/>
      <c r="X609" s="574"/>
      <c r="Y609" s="574"/>
      <c r="Z609" s="574"/>
      <c r="AA609" s="574"/>
      <c r="AB609" s="574"/>
      <c r="AC609" s="574"/>
      <c r="AD609" s="574"/>
      <c r="AE609" s="574"/>
    </row>
    <row r="610" spans="1:31" ht="16.5" customHeight="1" x14ac:dyDescent="0.85">
      <c r="A610" s="574"/>
      <c r="B610" s="574"/>
      <c r="C610" s="574"/>
      <c r="D610" s="574"/>
      <c r="E610" s="574"/>
      <c r="F610" s="574"/>
      <c r="G610" s="574"/>
      <c r="H610" s="574"/>
      <c r="I610" s="574"/>
      <c r="J610" s="574"/>
      <c r="K610" s="574"/>
      <c r="L610" s="574"/>
      <c r="M610" s="574"/>
      <c r="N610" s="574"/>
      <c r="O610" s="574"/>
      <c r="P610" s="574"/>
      <c r="Q610" s="574"/>
      <c r="R610" s="574"/>
      <c r="S610" s="574"/>
      <c r="T610" s="574"/>
      <c r="U610" s="574"/>
      <c r="V610" s="574"/>
      <c r="W610" s="574"/>
      <c r="X610" s="574"/>
      <c r="Y610" s="574"/>
      <c r="Z610" s="574"/>
      <c r="AA610" s="574"/>
      <c r="AB610" s="574"/>
      <c r="AC610" s="574"/>
      <c r="AD610" s="574"/>
      <c r="AE610" s="574"/>
    </row>
    <row r="611" spans="1:31" ht="16.5" customHeight="1" x14ac:dyDescent="0.85">
      <c r="A611" s="574"/>
      <c r="B611" s="574"/>
      <c r="C611" s="574"/>
      <c r="D611" s="574"/>
      <c r="E611" s="574"/>
      <c r="F611" s="574"/>
      <c r="G611" s="574"/>
      <c r="H611" s="574"/>
      <c r="I611" s="574"/>
      <c r="J611" s="574"/>
      <c r="K611" s="574"/>
      <c r="L611" s="574"/>
      <c r="M611" s="574"/>
      <c r="N611" s="574"/>
      <c r="O611" s="574"/>
      <c r="P611" s="574"/>
      <c r="Q611" s="574"/>
      <c r="R611" s="574"/>
      <c r="S611" s="574"/>
      <c r="T611" s="574"/>
      <c r="U611" s="574"/>
      <c r="V611" s="574"/>
      <c r="W611" s="574"/>
      <c r="X611" s="574"/>
      <c r="Y611" s="574"/>
      <c r="Z611" s="574"/>
      <c r="AA611" s="574"/>
      <c r="AB611" s="574"/>
      <c r="AC611" s="574"/>
      <c r="AD611" s="574"/>
      <c r="AE611" s="574"/>
    </row>
    <row r="612" spans="1:31" ht="16.5" customHeight="1" x14ac:dyDescent="0.85">
      <c r="A612" s="574"/>
      <c r="B612" s="574"/>
      <c r="C612" s="574"/>
      <c r="D612" s="574"/>
      <c r="E612" s="574"/>
      <c r="F612" s="574"/>
      <c r="G612" s="574"/>
      <c r="H612" s="574"/>
      <c r="I612" s="574"/>
      <c r="J612" s="574"/>
      <c r="K612" s="574"/>
      <c r="L612" s="574"/>
      <c r="M612" s="574"/>
      <c r="N612" s="574"/>
      <c r="O612" s="574"/>
      <c r="P612" s="574"/>
      <c r="Q612" s="574"/>
      <c r="R612" s="574"/>
      <c r="S612" s="574"/>
      <c r="T612" s="574"/>
      <c r="U612" s="574"/>
      <c r="V612" s="574"/>
      <c r="W612" s="574"/>
      <c r="X612" s="574"/>
      <c r="Y612" s="574"/>
      <c r="Z612" s="574"/>
      <c r="AA612" s="574"/>
      <c r="AB612" s="574"/>
      <c r="AC612" s="574"/>
      <c r="AD612" s="574"/>
      <c r="AE612" s="574"/>
    </row>
    <row r="613" spans="1:31" ht="16.5" customHeight="1" x14ac:dyDescent="0.85">
      <c r="A613" s="574"/>
      <c r="B613" s="574"/>
      <c r="C613" s="574"/>
      <c r="D613" s="574"/>
      <c r="E613" s="574"/>
      <c r="F613" s="574"/>
      <c r="G613" s="574"/>
      <c r="H613" s="574"/>
      <c r="I613" s="574"/>
      <c r="J613" s="574"/>
      <c r="K613" s="574"/>
      <c r="L613" s="574"/>
      <c r="M613" s="574"/>
      <c r="N613" s="574"/>
      <c r="O613" s="574"/>
      <c r="P613" s="574"/>
      <c r="Q613" s="574"/>
      <c r="R613" s="574"/>
      <c r="S613" s="574"/>
      <c r="T613" s="574"/>
      <c r="U613" s="574"/>
      <c r="V613" s="574"/>
      <c r="W613" s="574"/>
      <c r="X613" s="574"/>
      <c r="Y613" s="574"/>
      <c r="Z613" s="574"/>
      <c r="AA613" s="574"/>
      <c r="AB613" s="574"/>
      <c r="AC613" s="574"/>
      <c r="AD613" s="574"/>
      <c r="AE613" s="574"/>
    </row>
    <row r="614" spans="1:31" ht="16.5" customHeight="1" x14ac:dyDescent="0.85">
      <c r="A614" s="574"/>
      <c r="B614" s="574"/>
      <c r="C614" s="574"/>
      <c r="D614" s="574"/>
      <c r="E614" s="574"/>
      <c r="F614" s="574"/>
      <c r="G614" s="574"/>
      <c r="H614" s="574"/>
      <c r="I614" s="574"/>
      <c r="J614" s="574"/>
      <c r="K614" s="574"/>
      <c r="L614" s="574"/>
      <c r="M614" s="574"/>
      <c r="N614" s="574"/>
      <c r="O614" s="574"/>
      <c r="P614" s="574"/>
      <c r="Q614" s="574"/>
      <c r="R614" s="574"/>
      <c r="S614" s="574"/>
      <c r="T614" s="574"/>
      <c r="U614" s="574"/>
      <c r="V614" s="574"/>
      <c r="W614" s="574"/>
      <c r="X614" s="574"/>
      <c r="Y614" s="574"/>
      <c r="Z614" s="574"/>
      <c r="AA614" s="574"/>
      <c r="AB614" s="574"/>
      <c r="AC614" s="574"/>
      <c r="AD614" s="574"/>
      <c r="AE614" s="574"/>
    </row>
    <row r="615" spans="1:31" ht="16.5" customHeight="1" x14ac:dyDescent="0.85">
      <c r="A615" s="574"/>
      <c r="B615" s="574"/>
      <c r="C615" s="574"/>
      <c r="D615" s="574"/>
      <c r="E615" s="574"/>
      <c r="F615" s="574"/>
      <c r="G615" s="574"/>
      <c r="H615" s="574"/>
      <c r="I615" s="574"/>
      <c r="J615" s="574"/>
      <c r="K615" s="574"/>
      <c r="L615" s="574"/>
      <c r="M615" s="574"/>
      <c r="N615" s="574"/>
      <c r="O615" s="574"/>
      <c r="P615" s="574"/>
      <c r="Q615" s="574"/>
      <c r="R615" s="574"/>
      <c r="S615" s="574"/>
      <c r="T615" s="574"/>
      <c r="U615" s="574"/>
      <c r="V615" s="574"/>
      <c r="W615" s="574"/>
      <c r="X615" s="574"/>
      <c r="Y615" s="574"/>
      <c r="Z615" s="574"/>
      <c r="AA615" s="574"/>
      <c r="AB615" s="574"/>
      <c r="AC615" s="574"/>
      <c r="AD615" s="574"/>
      <c r="AE615" s="574"/>
    </row>
    <row r="616" spans="1:31" ht="16.5" customHeight="1" x14ac:dyDescent="0.85">
      <c r="A616" s="574"/>
      <c r="B616" s="574"/>
      <c r="C616" s="574"/>
      <c r="D616" s="574"/>
      <c r="E616" s="574"/>
      <c r="F616" s="574"/>
      <c r="G616" s="574"/>
      <c r="H616" s="574"/>
      <c r="I616" s="574"/>
      <c r="J616" s="574"/>
      <c r="K616" s="574"/>
      <c r="L616" s="574"/>
      <c r="M616" s="574"/>
      <c r="N616" s="574"/>
      <c r="O616" s="574"/>
      <c r="P616" s="574"/>
      <c r="Q616" s="574"/>
      <c r="R616" s="574"/>
      <c r="S616" s="574"/>
      <c r="T616" s="574"/>
      <c r="U616" s="574"/>
      <c r="V616" s="574"/>
      <c r="W616" s="574"/>
      <c r="X616" s="574"/>
      <c r="Y616" s="574"/>
      <c r="Z616" s="574"/>
      <c r="AA616" s="574"/>
      <c r="AB616" s="574"/>
      <c r="AC616" s="574"/>
      <c r="AD616" s="574"/>
      <c r="AE616" s="574"/>
    </row>
    <row r="617" spans="1:31" ht="16.5" customHeight="1" x14ac:dyDescent="0.85">
      <c r="A617" s="574"/>
      <c r="B617" s="574"/>
      <c r="C617" s="574"/>
      <c r="D617" s="574"/>
      <c r="E617" s="574"/>
      <c r="F617" s="574"/>
      <c r="G617" s="574"/>
      <c r="H617" s="574"/>
      <c r="I617" s="574"/>
      <c r="J617" s="574"/>
      <c r="K617" s="574"/>
      <c r="L617" s="574"/>
      <c r="M617" s="574"/>
      <c r="N617" s="574"/>
      <c r="O617" s="574"/>
      <c r="P617" s="574"/>
      <c r="Q617" s="574"/>
      <c r="R617" s="574"/>
      <c r="S617" s="574"/>
      <c r="T617" s="574"/>
      <c r="U617" s="574"/>
      <c r="V617" s="574"/>
      <c r="W617" s="574"/>
      <c r="X617" s="574"/>
      <c r="Y617" s="574"/>
      <c r="Z617" s="574"/>
      <c r="AA617" s="574"/>
      <c r="AB617" s="574"/>
      <c r="AC617" s="574"/>
      <c r="AD617" s="574"/>
      <c r="AE617" s="574"/>
    </row>
    <row r="618" spans="1:31" ht="16.5" customHeight="1" x14ac:dyDescent="0.85">
      <c r="A618" s="574"/>
      <c r="B618" s="574"/>
      <c r="C618" s="574"/>
      <c r="D618" s="574"/>
      <c r="E618" s="574"/>
      <c r="F618" s="574"/>
      <c r="G618" s="574"/>
      <c r="H618" s="574"/>
      <c r="I618" s="574"/>
      <c r="J618" s="574"/>
      <c r="K618" s="574"/>
      <c r="L618" s="574"/>
      <c r="M618" s="574"/>
      <c r="N618" s="574"/>
      <c r="O618" s="574"/>
      <c r="P618" s="574"/>
      <c r="Q618" s="574"/>
      <c r="R618" s="574"/>
      <c r="S618" s="574"/>
      <c r="T618" s="574"/>
      <c r="U618" s="574"/>
      <c r="V618" s="574"/>
      <c r="W618" s="574"/>
      <c r="X618" s="574"/>
      <c r="Y618" s="574"/>
      <c r="Z618" s="574"/>
      <c r="AA618" s="574"/>
      <c r="AB618" s="574"/>
      <c r="AC618" s="574"/>
      <c r="AD618" s="574"/>
      <c r="AE618" s="574"/>
    </row>
    <row r="619" spans="1:31" ht="16.5" customHeight="1" x14ac:dyDescent="0.85">
      <c r="A619" s="574"/>
      <c r="B619" s="574"/>
      <c r="C619" s="574"/>
      <c r="D619" s="574"/>
      <c r="E619" s="574"/>
      <c r="F619" s="574"/>
      <c r="G619" s="574"/>
      <c r="H619" s="574"/>
      <c r="I619" s="574"/>
      <c r="J619" s="574"/>
      <c r="K619" s="574"/>
      <c r="L619" s="574"/>
      <c r="M619" s="574"/>
      <c r="N619" s="574"/>
      <c r="O619" s="574"/>
      <c r="P619" s="574"/>
      <c r="Q619" s="574"/>
      <c r="R619" s="574"/>
      <c r="S619" s="574"/>
      <c r="T619" s="574"/>
      <c r="U619" s="574"/>
      <c r="V619" s="574"/>
      <c r="W619" s="574"/>
      <c r="X619" s="574"/>
      <c r="Y619" s="574"/>
      <c r="Z619" s="574"/>
      <c r="AA619" s="574"/>
      <c r="AB619" s="574"/>
      <c r="AC619" s="574"/>
      <c r="AD619" s="574"/>
      <c r="AE619" s="574"/>
    </row>
    <row r="620" spans="1:31" ht="16.5" customHeight="1" x14ac:dyDescent="0.85">
      <c r="A620" s="574"/>
      <c r="B620" s="574"/>
      <c r="C620" s="574"/>
      <c r="D620" s="574"/>
      <c r="E620" s="574"/>
      <c r="F620" s="574"/>
      <c r="G620" s="574"/>
      <c r="H620" s="574"/>
      <c r="I620" s="574"/>
      <c r="J620" s="574"/>
      <c r="K620" s="574"/>
      <c r="L620" s="574"/>
      <c r="M620" s="574"/>
      <c r="N620" s="574"/>
      <c r="O620" s="574"/>
      <c r="P620" s="574"/>
      <c r="Q620" s="574"/>
      <c r="R620" s="574"/>
      <c r="S620" s="574"/>
      <c r="T620" s="574"/>
      <c r="U620" s="574"/>
      <c r="V620" s="574"/>
      <c r="W620" s="574"/>
      <c r="X620" s="574"/>
      <c r="Y620" s="574"/>
      <c r="Z620" s="574"/>
      <c r="AA620" s="574"/>
      <c r="AB620" s="574"/>
      <c r="AC620" s="574"/>
      <c r="AD620" s="574"/>
      <c r="AE620" s="574"/>
    </row>
    <row r="621" spans="1:31" ht="16.5" customHeight="1" x14ac:dyDescent="0.85">
      <c r="A621" s="574"/>
      <c r="B621" s="574"/>
      <c r="C621" s="574"/>
      <c r="D621" s="574"/>
      <c r="E621" s="574"/>
      <c r="F621" s="574"/>
      <c r="G621" s="574"/>
      <c r="H621" s="574"/>
      <c r="I621" s="574"/>
      <c r="J621" s="574"/>
      <c r="K621" s="574"/>
      <c r="L621" s="574"/>
      <c r="M621" s="574"/>
      <c r="N621" s="574"/>
      <c r="O621" s="574"/>
      <c r="P621" s="574"/>
      <c r="Q621" s="574"/>
      <c r="R621" s="574"/>
      <c r="S621" s="574"/>
      <c r="T621" s="574"/>
      <c r="U621" s="574"/>
      <c r="V621" s="574"/>
      <c r="W621" s="574"/>
      <c r="X621" s="574"/>
      <c r="Y621" s="574"/>
      <c r="Z621" s="574"/>
      <c r="AA621" s="574"/>
      <c r="AB621" s="574"/>
      <c r="AC621" s="574"/>
      <c r="AD621" s="574"/>
      <c r="AE621" s="574"/>
    </row>
    <row r="622" spans="1:31" ht="16.5" customHeight="1" x14ac:dyDescent="0.85">
      <c r="A622" s="574"/>
      <c r="B622" s="574"/>
      <c r="C622" s="574"/>
      <c r="D622" s="574"/>
      <c r="E622" s="574"/>
      <c r="F622" s="574"/>
      <c r="G622" s="574"/>
      <c r="H622" s="574"/>
      <c r="I622" s="574"/>
      <c r="J622" s="574"/>
      <c r="K622" s="574"/>
      <c r="L622" s="574"/>
      <c r="M622" s="574"/>
      <c r="N622" s="574"/>
      <c r="O622" s="574"/>
      <c r="P622" s="574"/>
      <c r="Q622" s="574"/>
      <c r="R622" s="574"/>
      <c r="S622" s="574"/>
      <c r="T622" s="574"/>
      <c r="U622" s="574"/>
      <c r="V622" s="574"/>
      <c r="W622" s="574"/>
      <c r="X622" s="574"/>
      <c r="Y622" s="574"/>
      <c r="Z622" s="574"/>
      <c r="AA622" s="574"/>
      <c r="AB622" s="574"/>
      <c r="AC622" s="574"/>
      <c r="AD622" s="574"/>
      <c r="AE622" s="574"/>
    </row>
    <row r="623" spans="1:31" ht="16.5" customHeight="1" x14ac:dyDescent="0.85">
      <c r="A623" s="574"/>
      <c r="B623" s="574"/>
      <c r="C623" s="574"/>
      <c r="D623" s="574"/>
      <c r="E623" s="574"/>
      <c r="F623" s="574"/>
      <c r="G623" s="574"/>
      <c r="H623" s="574"/>
      <c r="I623" s="574"/>
      <c r="J623" s="574"/>
      <c r="K623" s="574"/>
      <c r="L623" s="574"/>
      <c r="M623" s="574"/>
      <c r="N623" s="574"/>
      <c r="O623" s="574"/>
      <c r="P623" s="574"/>
      <c r="Q623" s="574"/>
      <c r="R623" s="574"/>
      <c r="S623" s="574"/>
      <c r="T623" s="574"/>
      <c r="U623" s="574"/>
      <c r="V623" s="574"/>
      <c r="W623" s="574"/>
      <c r="X623" s="574"/>
      <c r="Y623" s="574"/>
      <c r="Z623" s="574"/>
      <c r="AA623" s="574"/>
      <c r="AB623" s="574"/>
      <c r="AC623" s="574"/>
      <c r="AD623" s="574"/>
      <c r="AE623" s="574"/>
    </row>
    <row r="624" spans="1:31" ht="16.5" customHeight="1" x14ac:dyDescent="0.85">
      <c r="A624" s="574"/>
      <c r="B624" s="574"/>
      <c r="C624" s="574"/>
      <c r="D624" s="574"/>
      <c r="E624" s="574"/>
      <c r="F624" s="574"/>
      <c r="G624" s="574"/>
      <c r="H624" s="574"/>
      <c r="I624" s="574"/>
      <c r="J624" s="574"/>
      <c r="K624" s="574"/>
      <c r="L624" s="574"/>
      <c r="M624" s="574"/>
      <c r="N624" s="574"/>
      <c r="O624" s="574"/>
      <c r="P624" s="574"/>
      <c r="Q624" s="574"/>
      <c r="R624" s="574"/>
      <c r="S624" s="574"/>
      <c r="T624" s="574"/>
      <c r="U624" s="574"/>
      <c r="V624" s="574"/>
      <c r="W624" s="574"/>
      <c r="X624" s="574"/>
      <c r="Y624" s="574"/>
      <c r="Z624" s="574"/>
      <c r="AA624" s="574"/>
      <c r="AB624" s="574"/>
      <c r="AC624" s="574"/>
      <c r="AD624" s="574"/>
      <c r="AE624" s="574"/>
    </row>
    <row r="625" spans="1:31" ht="16.5" customHeight="1" x14ac:dyDescent="0.85">
      <c r="A625" s="574"/>
      <c r="B625" s="574"/>
      <c r="C625" s="574"/>
      <c r="D625" s="574"/>
      <c r="E625" s="574"/>
      <c r="F625" s="574"/>
      <c r="G625" s="574"/>
      <c r="H625" s="574"/>
      <c r="I625" s="574"/>
      <c r="J625" s="574"/>
      <c r="K625" s="574"/>
      <c r="L625" s="574"/>
      <c r="M625" s="574"/>
      <c r="N625" s="574"/>
      <c r="O625" s="574"/>
      <c r="P625" s="574"/>
      <c r="Q625" s="574"/>
      <c r="R625" s="574"/>
      <c r="S625" s="574"/>
      <c r="T625" s="574"/>
      <c r="U625" s="574"/>
      <c r="V625" s="574"/>
      <c r="W625" s="574"/>
      <c r="X625" s="574"/>
      <c r="Y625" s="574"/>
      <c r="Z625" s="574"/>
      <c r="AA625" s="574"/>
      <c r="AB625" s="574"/>
      <c r="AC625" s="574"/>
      <c r="AD625" s="574"/>
      <c r="AE625" s="574"/>
    </row>
    <row r="626" spans="1:31" ht="16.5" customHeight="1" x14ac:dyDescent="0.85">
      <c r="A626" s="574"/>
      <c r="B626" s="574"/>
      <c r="C626" s="574"/>
      <c r="D626" s="574"/>
      <c r="E626" s="574"/>
      <c r="F626" s="574"/>
      <c r="G626" s="574"/>
      <c r="H626" s="574"/>
      <c r="I626" s="574"/>
      <c r="J626" s="574"/>
      <c r="K626" s="574"/>
      <c r="L626" s="574"/>
      <c r="M626" s="574"/>
      <c r="N626" s="574"/>
      <c r="O626" s="574"/>
      <c r="P626" s="574"/>
      <c r="Q626" s="574"/>
      <c r="R626" s="574"/>
      <c r="S626" s="574"/>
      <c r="T626" s="574"/>
      <c r="U626" s="574"/>
      <c r="V626" s="574"/>
      <c r="W626" s="574"/>
      <c r="X626" s="574"/>
      <c r="Y626" s="574"/>
      <c r="Z626" s="574"/>
      <c r="AA626" s="574"/>
      <c r="AB626" s="574"/>
      <c r="AC626" s="574"/>
      <c r="AD626" s="574"/>
      <c r="AE626" s="574"/>
    </row>
    <row r="627" spans="1:31" ht="16.5" customHeight="1" x14ac:dyDescent="0.85">
      <c r="A627" s="574"/>
      <c r="B627" s="574"/>
      <c r="C627" s="574"/>
      <c r="D627" s="574"/>
      <c r="E627" s="574"/>
      <c r="F627" s="574"/>
      <c r="G627" s="574"/>
      <c r="H627" s="574"/>
      <c r="I627" s="574"/>
      <c r="J627" s="574"/>
      <c r="K627" s="574"/>
      <c r="L627" s="574"/>
      <c r="M627" s="574"/>
      <c r="N627" s="574"/>
      <c r="O627" s="574"/>
      <c r="P627" s="574"/>
      <c r="Q627" s="574"/>
      <c r="R627" s="574"/>
      <c r="S627" s="574"/>
      <c r="T627" s="574"/>
      <c r="U627" s="574"/>
      <c r="V627" s="574"/>
      <c r="W627" s="574"/>
      <c r="X627" s="574"/>
      <c r="Y627" s="574"/>
      <c r="Z627" s="574"/>
      <c r="AA627" s="574"/>
      <c r="AB627" s="574"/>
      <c r="AC627" s="574"/>
      <c r="AD627" s="574"/>
      <c r="AE627" s="574"/>
    </row>
    <row r="628" spans="1:31" ht="16.5" customHeight="1" x14ac:dyDescent="0.85">
      <c r="A628" s="574"/>
      <c r="B628" s="574"/>
      <c r="C628" s="574"/>
      <c r="D628" s="574"/>
      <c r="E628" s="574"/>
      <c r="F628" s="574"/>
      <c r="G628" s="574"/>
      <c r="H628" s="574"/>
      <c r="I628" s="574"/>
      <c r="J628" s="574"/>
      <c r="K628" s="574"/>
      <c r="L628" s="574"/>
      <c r="M628" s="574"/>
      <c r="N628" s="574"/>
      <c r="O628" s="574"/>
      <c r="P628" s="574"/>
      <c r="Q628" s="574"/>
      <c r="R628" s="574"/>
      <c r="S628" s="574"/>
      <c r="T628" s="574"/>
      <c r="U628" s="574"/>
      <c r="V628" s="574"/>
      <c r="W628" s="574"/>
      <c r="X628" s="574"/>
      <c r="Y628" s="574"/>
      <c r="Z628" s="574"/>
      <c r="AA628" s="574"/>
      <c r="AB628" s="574"/>
      <c r="AC628" s="574"/>
      <c r="AD628" s="574"/>
      <c r="AE628" s="574"/>
    </row>
    <row r="629" spans="1:31" ht="16.5" customHeight="1" x14ac:dyDescent="0.85">
      <c r="A629" s="574"/>
      <c r="B629" s="574"/>
      <c r="C629" s="574"/>
      <c r="D629" s="574"/>
      <c r="E629" s="574"/>
      <c r="F629" s="574"/>
      <c r="G629" s="574"/>
      <c r="H629" s="574"/>
      <c r="I629" s="574"/>
      <c r="J629" s="574"/>
      <c r="K629" s="574"/>
      <c r="L629" s="574"/>
      <c r="M629" s="574"/>
      <c r="N629" s="574"/>
      <c r="O629" s="574"/>
      <c r="P629" s="574"/>
      <c r="Q629" s="574"/>
      <c r="R629" s="574"/>
      <c r="S629" s="574"/>
      <c r="T629" s="574"/>
      <c r="U629" s="574"/>
      <c r="V629" s="574"/>
      <c r="W629" s="574"/>
      <c r="X629" s="574"/>
      <c r="Y629" s="574"/>
      <c r="Z629" s="574"/>
      <c r="AA629" s="574"/>
      <c r="AB629" s="574"/>
      <c r="AC629" s="574"/>
      <c r="AD629" s="574"/>
      <c r="AE629" s="574"/>
    </row>
    <row r="630" spans="1:31" ht="16.5" customHeight="1" x14ac:dyDescent="0.85">
      <c r="A630" s="574"/>
      <c r="B630" s="574"/>
      <c r="C630" s="574"/>
      <c r="D630" s="574"/>
      <c r="E630" s="574"/>
      <c r="F630" s="574"/>
      <c r="G630" s="574"/>
      <c r="H630" s="574"/>
      <c r="I630" s="574"/>
      <c r="J630" s="574"/>
      <c r="K630" s="574"/>
      <c r="L630" s="574"/>
      <c r="M630" s="574"/>
      <c r="N630" s="574"/>
      <c r="O630" s="574"/>
      <c r="P630" s="574"/>
      <c r="Q630" s="574"/>
      <c r="R630" s="574"/>
      <c r="S630" s="574"/>
      <c r="T630" s="574"/>
      <c r="U630" s="574"/>
      <c r="V630" s="574"/>
      <c r="W630" s="574"/>
      <c r="X630" s="574"/>
      <c r="Y630" s="574"/>
      <c r="Z630" s="574"/>
      <c r="AA630" s="574"/>
      <c r="AB630" s="574"/>
      <c r="AC630" s="574"/>
      <c r="AD630" s="574"/>
      <c r="AE630" s="574"/>
    </row>
    <row r="631" spans="1:31" ht="16.5" customHeight="1" x14ac:dyDescent="0.85">
      <c r="A631" s="574"/>
      <c r="B631" s="574"/>
      <c r="C631" s="574"/>
      <c r="D631" s="574"/>
      <c r="E631" s="574"/>
      <c r="F631" s="574"/>
      <c r="G631" s="574"/>
      <c r="H631" s="574"/>
      <c r="I631" s="574"/>
      <c r="J631" s="574"/>
      <c r="K631" s="574"/>
      <c r="L631" s="574"/>
      <c r="M631" s="574"/>
      <c r="N631" s="574"/>
      <c r="O631" s="574"/>
      <c r="P631" s="574"/>
      <c r="Q631" s="574"/>
      <c r="R631" s="574"/>
      <c r="S631" s="574"/>
      <c r="T631" s="574"/>
      <c r="U631" s="574"/>
      <c r="V631" s="574"/>
      <c r="W631" s="574"/>
      <c r="X631" s="574"/>
      <c r="Y631" s="574"/>
      <c r="Z631" s="574"/>
      <c r="AA631" s="574"/>
      <c r="AB631" s="574"/>
      <c r="AC631" s="574"/>
      <c r="AD631" s="574"/>
      <c r="AE631" s="574"/>
    </row>
    <row r="632" spans="1:31" ht="16.5" customHeight="1" x14ac:dyDescent="0.85">
      <c r="A632" s="574"/>
      <c r="B632" s="574"/>
      <c r="C632" s="574"/>
      <c r="D632" s="574"/>
      <c r="E632" s="574"/>
      <c r="F632" s="574"/>
      <c r="G632" s="574"/>
      <c r="H632" s="574"/>
      <c r="I632" s="574"/>
      <c r="J632" s="574"/>
      <c r="K632" s="574"/>
      <c r="L632" s="574"/>
      <c r="M632" s="574"/>
      <c r="N632" s="574"/>
      <c r="O632" s="574"/>
      <c r="P632" s="574"/>
      <c r="Q632" s="574"/>
      <c r="R632" s="574"/>
      <c r="S632" s="574"/>
      <c r="T632" s="574"/>
      <c r="U632" s="574"/>
      <c r="V632" s="574"/>
      <c r="W632" s="574"/>
      <c r="X632" s="574"/>
      <c r="Y632" s="574"/>
      <c r="Z632" s="574"/>
      <c r="AA632" s="574"/>
      <c r="AB632" s="574"/>
      <c r="AC632" s="574"/>
      <c r="AD632" s="574"/>
      <c r="AE632" s="574"/>
    </row>
    <row r="633" spans="1:31" ht="16.5" customHeight="1" x14ac:dyDescent="0.85">
      <c r="A633" s="574"/>
      <c r="B633" s="574"/>
      <c r="C633" s="574"/>
      <c r="D633" s="574"/>
      <c r="E633" s="574"/>
      <c r="F633" s="574"/>
      <c r="G633" s="574"/>
      <c r="H633" s="574"/>
      <c r="I633" s="574"/>
      <c r="J633" s="574"/>
      <c r="K633" s="574"/>
      <c r="L633" s="574"/>
      <c r="M633" s="574"/>
      <c r="N633" s="574"/>
      <c r="O633" s="574"/>
      <c r="P633" s="574"/>
      <c r="Q633" s="574"/>
      <c r="R633" s="574"/>
      <c r="S633" s="574"/>
      <c r="T633" s="574"/>
      <c r="U633" s="574"/>
      <c r="V633" s="574"/>
      <c r="W633" s="574"/>
      <c r="X633" s="574"/>
      <c r="Y633" s="574"/>
      <c r="Z633" s="574"/>
      <c r="AA633" s="574"/>
      <c r="AB633" s="574"/>
      <c r="AC633" s="574"/>
      <c r="AD633" s="574"/>
      <c r="AE633" s="574"/>
    </row>
    <row r="634" spans="1:31" ht="16.5" customHeight="1" x14ac:dyDescent="0.85">
      <c r="A634" s="574"/>
      <c r="B634" s="574"/>
      <c r="C634" s="574"/>
      <c r="D634" s="574"/>
      <c r="E634" s="574"/>
      <c r="F634" s="574"/>
      <c r="G634" s="574"/>
      <c r="H634" s="574"/>
      <c r="I634" s="574"/>
      <c r="J634" s="574"/>
      <c r="K634" s="574"/>
      <c r="L634" s="574"/>
      <c r="M634" s="574"/>
      <c r="N634" s="574"/>
      <c r="O634" s="574"/>
      <c r="P634" s="574"/>
      <c r="Q634" s="574"/>
      <c r="R634" s="574"/>
      <c r="S634" s="574"/>
      <c r="T634" s="574"/>
      <c r="U634" s="574"/>
      <c r="V634" s="574"/>
      <c r="W634" s="574"/>
      <c r="X634" s="574"/>
      <c r="Y634" s="574"/>
      <c r="Z634" s="574"/>
      <c r="AA634" s="574"/>
      <c r="AB634" s="574"/>
      <c r="AC634" s="574"/>
      <c r="AD634" s="574"/>
      <c r="AE634" s="574"/>
    </row>
    <row r="635" spans="1:31" ht="16.5" customHeight="1" x14ac:dyDescent="0.85">
      <c r="A635" s="574"/>
      <c r="B635" s="574"/>
      <c r="C635" s="574"/>
      <c r="D635" s="574"/>
      <c r="E635" s="574"/>
      <c r="F635" s="574"/>
      <c r="G635" s="574"/>
      <c r="H635" s="574"/>
      <c r="I635" s="574"/>
      <c r="J635" s="574"/>
      <c r="K635" s="574"/>
      <c r="L635" s="574"/>
      <c r="M635" s="574"/>
      <c r="N635" s="574"/>
      <c r="O635" s="574"/>
      <c r="P635" s="574"/>
      <c r="Q635" s="574"/>
      <c r="R635" s="574"/>
      <c r="S635" s="574"/>
      <c r="T635" s="574"/>
      <c r="U635" s="574"/>
      <c r="V635" s="574"/>
      <c r="W635" s="574"/>
      <c r="X635" s="574"/>
      <c r="Y635" s="574"/>
      <c r="Z635" s="574"/>
      <c r="AA635" s="574"/>
      <c r="AB635" s="574"/>
      <c r="AC635" s="574"/>
      <c r="AD635" s="574"/>
      <c r="AE635" s="574"/>
    </row>
    <row r="636" spans="1:31" ht="16.5" customHeight="1" x14ac:dyDescent="0.85">
      <c r="A636" s="574"/>
      <c r="B636" s="574"/>
      <c r="C636" s="574"/>
      <c r="D636" s="574"/>
      <c r="E636" s="574"/>
      <c r="F636" s="574"/>
      <c r="G636" s="574"/>
      <c r="H636" s="574"/>
      <c r="I636" s="574"/>
      <c r="J636" s="574"/>
      <c r="K636" s="574"/>
      <c r="L636" s="574"/>
      <c r="M636" s="574"/>
      <c r="N636" s="574"/>
      <c r="O636" s="574"/>
      <c r="P636" s="574"/>
      <c r="Q636" s="574"/>
      <c r="R636" s="574"/>
      <c r="S636" s="574"/>
      <c r="T636" s="574"/>
      <c r="U636" s="574"/>
      <c r="V636" s="574"/>
      <c r="W636" s="574"/>
      <c r="X636" s="574"/>
      <c r="Y636" s="574"/>
      <c r="Z636" s="574"/>
      <c r="AA636" s="574"/>
      <c r="AB636" s="574"/>
      <c r="AC636" s="574"/>
      <c r="AD636" s="574"/>
      <c r="AE636" s="574"/>
    </row>
    <row r="637" spans="1:31" ht="16.5" customHeight="1" x14ac:dyDescent="0.85">
      <c r="A637" s="574"/>
      <c r="B637" s="574"/>
      <c r="C637" s="574"/>
      <c r="D637" s="574"/>
      <c r="E637" s="574"/>
      <c r="F637" s="574"/>
      <c r="G637" s="574"/>
      <c r="H637" s="574"/>
      <c r="I637" s="574"/>
      <c r="J637" s="574"/>
      <c r="K637" s="574"/>
      <c r="L637" s="574"/>
      <c r="M637" s="574"/>
      <c r="N637" s="574"/>
      <c r="O637" s="574"/>
      <c r="P637" s="574"/>
      <c r="Q637" s="574"/>
      <c r="R637" s="574"/>
      <c r="S637" s="574"/>
      <c r="T637" s="574"/>
      <c r="U637" s="574"/>
      <c r="V637" s="574"/>
      <c r="W637" s="574"/>
      <c r="X637" s="574"/>
      <c r="Y637" s="574"/>
      <c r="Z637" s="574"/>
      <c r="AA637" s="574"/>
      <c r="AB637" s="574"/>
      <c r="AC637" s="574"/>
      <c r="AD637" s="574"/>
      <c r="AE637" s="574"/>
    </row>
    <row r="638" spans="1:31" ht="16.5" customHeight="1" x14ac:dyDescent="0.85">
      <c r="A638" s="574"/>
      <c r="B638" s="574"/>
      <c r="C638" s="574"/>
      <c r="D638" s="574"/>
      <c r="E638" s="574"/>
      <c r="F638" s="574"/>
      <c r="G638" s="574"/>
      <c r="H638" s="574"/>
      <c r="I638" s="574"/>
      <c r="J638" s="574"/>
      <c r="K638" s="574"/>
      <c r="L638" s="574"/>
      <c r="M638" s="574"/>
      <c r="N638" s="574"/>
      <c r="O638" s="574"/>
      <c r="P638" s="574"/>
      <c r="Q638" s="574"/>
      <c r="R638" s="574"/>
      <c r="S638" s="574"/>
      <c r="T638" s="574"/>
      <c r="U638" s="574"/>
      <c r="V638" s="574"/>
      <c r="W638" s="574"/>
      <c r="X638" s="574"/>
      <c r="Y638" s="574"/>
      <c r="Z638" s="574"/>
      <c r="AA638" s="574"/>
      <c r="AB638" s="574"/>
      <c r="AC638" s="574"/>
      <c r="AD638" s="574"/>
      <c r="AE638" s="574"/>
    </row>
    <row r="639" spans="1:31" ht="16.5" customHeight="1" x14ac:dyDescent="0.85">
      <c r="A639" s="574"/>
      <c r="B639" s="574"/>
      <c r="C639" s="574"/>
      <c r="D639" s="574"/>
      <c r="E639" s="574"/>
      <c r="F639" s="574"/>
      <c r="G639" s="574"/>
      <c r="H639" s="574"/>
      <c r="I639" s="574"/>
      <c r="J639" s="574"/>
      <c r="K639" s="574"/>
      <c r="L639" s="574"/>
      <c r="M639" s="574"/>
      <c r="N639" s="574"/>
      <c r="O639" s="574"/>
      <c r="P639" s="574"/>
      <c r="Q639" s="574"/>
      <c r="R639" s="574"/>
      <c r="S639" s="574"/>
      <c r="T639" s="574"/>
      <c r="U639" s="574"/>
      <c r="V639" s="574"/>
      <c r="W639" s="574"/>
      <c r="X639" s="574"/>
      <c r="Y639" s="574"/>
      <c r="Z639" s="574"/>
      <c r="AA639" s="574"/>
      <c r="AB639" s="574"/>
      <c r="AC639" s="574"/>
      <c r="AD639" s="574"/>
      <c r="AE639" s="574"/>
    </row>
    <row r="640" spans="1:31" ht="16.5" customHeight="1" x14ac:dyDescent="0.85">
      <c r="A640" s="574"/>
      <c r="B640" s="574"/>
      <c r="C640" s="574"/>
      <c r="D640" s="574"/>
      <c r="E640" s="574"/>
      <c r="F640" s="574"/>
      <c r="G640" s="574"/>
      <c r="H640" s="574"/>
      <c r="I640" s="574"/>
      <c r="J640" s="574"/>
      <c r="K640" s="574"/>
      <c r="L640" s="574"/>
      <c r="M640" s="574"/>
      <c r="N640" s="574"/>
      <c r="O640" s="574"/>
      <c r="P640" s="574"/>
      <c r="Q640" s="574"/>
      <c r="R640" s="574"/>
      <c r="S640" s="574"/>
      <c r="T640" s="574"/>
      <c r="U640" s="574"/>
      <c r="V640" s="574"/>
      <c r="W640" s="574"/>
      <c r="X640" s="574"/>
      <c r="Y640" s="574"/>
      <c r="Z640" s="574"/>
      <c r="AA640" s="574"/>
      <c r="AB640" s="574"/>
      <c r="AC640" s="574"/>
      <c r="AD640" s="574"/>
      <c r="AE640" s="574"/>
    </row>
    <row r="641" spans="1:31" ht="16.5" customHeight="1" x14ac:dyDescent="0.85">
      <c r="A641" s="574"/>
      <c r="B641" s="574"/>
      <c r="C641" s="574"/>
      <c r="D641" s="574"/>
      <c r="E641" s="574"/>
      <c r="F641" s="574"/>
      <c r="G641" s="574"/>
      <c r="H641" s="574"/>
      <c r="I641" s="574"/>
      <c r="J641" s="574"/>
      <c r="K641" s="574"/>
      <c r="L641" s="574"/>
      <c r="M641" s="574"/>
      <c r="N641" s="574"/>
      <c r="O641" s="574"/>
      <c r="P641" s="574"/>
      <c r="Q641" s="574"/>
      <c r="R641" s="574"/>
      <c r="S641" s="574"/>
      <c r="T641" s="574"/>
      <c r="U641" s="574"/>
      <c r="V641" s="574"/>
      <c r="W641" s="574"/>
      <c r="X641" s="574"/>
      <c r="Y641" s="574"/>
      <c r="Z641" s="574"/>
      <c r="AA641" s="574"/>
      <c r="AB641" s="574"/>
      <c r="AC641" s="574"/>
      <c r="AD641" s="574"/>
      <c r="AE641" s="574"/>
    </row>
    <row r="642" spans="1:31" ht="16.5" customHeight="1" x14ac:dyDescent="0.85">
      <c r="A642" s="574"/>
      <c r="B642" s="574"/>
      <c r="C642" s="574"/>
      <c r="D642" s="574"/>
      <c r="E642" s="574"/>
      <c r="F642" s="574"/>
      <c r="G642" s="574"/>
      <c r="H642" s="574"/>
      <c r="I642" s="574"/>
      <c r="J642" s="574"/>
      <c r="K642" s="574"/>
      <c r="L642" s="574"/>
      <c r="M642" s="574"/>
      <c r="N642" s="574"/>
      <c r="O642" s="574"/>
      <c r="P642" s="574"/>
      <c r="Q642" s="574"/>
      <c r="R642" s="574"/>
      <c r="S642" s="574"/>
      <c r="T642" s="574"/>
      <c r="U642" s="574"/>
      <c r="V642" s="574"/>
      <c r="W642" s="574"/>
      <c r="X642" s="574"/>
      <c r="Y642" s="574"/>
      <c r="Z642" s="574"/>
      <c r="AA642" s="574"/>
      <c r="AB642" s="574"/>
      <c r="AC642" s="574"/>
      <c r="AD642" s="574"/>
      <c r="AE642" s="574"/>
    </row>
    <row r="643" spans="1:31" ht="16.5" customHeight="1" x14ac:dyDescent="0.85">
      <c r="A643" s="574"/>
      <c r="B643" s="574"/>
      <c r="C643" s="574"/>
      <c r="D643" s="574"/>
      <c r="E643" s="574"/>
      <c r="F643" s="574"/>
      <c r="G643" s="574"/>
      <c r="H643" s="574"/>
      <c r="I643" s="574"/>
      <c r="J643" s="574"/>
      <c r="K643" s="574"/>
      <c r="L643" s="574"/>
      <c r="M643" s="574"/>
      <c r="N643" s="574"/>
      <c r="O643" s="574"/>
      <c r="P643" s="574"/>
      <c r="Q643" s="574"/>
      <c r="R643" s="574"/>
      <c r="S643" s="574"/>
      <c r="T643" s="574"/>
      <c r="U643" s="574"/>
      <c r="V643" s="574"/>
      <c r="W643" s="574"/>
      <c r="X643" s="574"/>
      <c r="Y643" s="574"/>
      <c r="Z643" s="574"/>
      <c r="AA643" s="574"/>
      <c r="AB643" s="574"/>
      <c r="AC643" s="574"/>
      <c r="AD643" s="574"/>
      <c r="AE643" s="574"/>
    </row>
    <row r="644" spans="1:31" ht="16.5" customHeight="1" x14ac:dyDescent="0.85">
      <c r="A644" s="574"/>
      <c r="B644" s="574"/>
      <c r="C644" s="574"/>
      <c r="D644" s="574"/>
      <c r="E644" s="574"/>
      <c r="F644" s="574"/>
      <c r="G644" s="574"/>
      <c r="H644" s="574"/>
      <c r="I644" s="574"/>
      <c r="J644" s="574"/>
      <c r="K644" s="574"/>
      <c r="L644" s="574"/>
      <c r="M644" s="574"/>
      <c r="N644" s="574"/>
      <c r="O644" s="574"/>
      <c r="P644" s="574"/>
      <c r="Q644" s="574"/>
      <c r="R644" s="574"/>
      <c r="S644" s="574"/>
      <c r="T644" s="574"/>
      <c r="U644" s="574"/>
      <c r="V644" s="574"/>
      <c r="W644" s="574"/>
      <c r="X644" s="574"/>
      <c r="Y644" s="574"/>
      <c r="Z644" s="574"/>
      <c r="AA644" s="574"/>
      <c r="AB644" s="574"/>
      <c r="AC644" s="574"/>
      <c r="AD644" s="574"/>
      <c r="AE644" s="574"/>
    </row>
    <row r="645" spans="1:31" ht="16.5" customHeight="1" x14ac:dyDescent="0.85">
      <c r="A645" s="574"/>
      <c r="B645" s="574"/>
      <c r="C645" s="574"/>
      <c r="D645" s="574"/>
      <c r="E645" s="574"/>
      <c r="F645" s="574"/>
      <c r="G645" s="574"/>
      <c r="H645" s="574"/>
      <c r="I645" s="574"/>
      <c r="J645" s="574"/>
      <c r="K645" s="574"/>
      <c r="L645" s="574"/>
      <c r="M645" s="574"/>
      <c r="N645" s="574"/>
      <c r="O645" s="574"/>
      <c r="P645" s="574"/>
      <c r="Q645" s="574"/>
      <c r="R645" s="574"/>
      <c r="S645" s="574"/>
      <c r="T645" s="574"/>
      <c r="U645" s="574"/>
      <c r="V645" s="574"/>
      <c r="W645" s="574"/>
      <c r="X645" s="574"/>
      <c r="Y645" s="574"/>
      <c r="Z645" s="574"/>
      <c r="AA645" s="574"/>
      <c r="AB645" s="574"/>
      <c r="AC645" s="574"/>
      <c r="AD645" s="574"/>
      <c r="AE645" s="574"/>
    </row>
    <row r="646" spans="1:31" ht="16.5" customHeight="1" x14ac:dyDescent="0.85">
      <c r="A646" s="574"/>
      <c r="B646" s="574"/>
      <c r="C646" s="574"/>
      <c r="D646" s="574"/>
      <c r="E646" s="574"/>
      <c r="F646" s="574"/>
      <c r="G646" s="574"/>
      <c r="H646" s="574"/>
      <c r="I646" s="574"/>
      <c r="J646" s="574"/>
      <c r="K646" s="574"/>
      <c r="L646" s="574"/>
      <c r="M646" s="574"/>
      <c r="N646" s="574"/>
      <c r="O646" s="574"/>
      <c r="P646" s="574"/>
      <c r="Q646" s="574"/>
      <c r="R646" s="574"/>
      <c r="S646" s="574"/>
      <c r="T646" s="574"/>
      <c r="U646" s="574"/>
      <c r="V646" s="574"/>
      <c r="W646" s="574"/>
      <c r="X646" s="574"/>
      <c r="Y646" s="574"/>
      <c r="Z646" s="574"/>
      <c r="AA646" s="574"/>
      <c r="AB646" s="574"/>
      <c r="AC646" s="574"/>
      <c r="AD646" s="574"/>
      <c r="AE646" s="574"/>
    </row>
    <row r="647" spans="1:31" ht="16.5" customHeight="1" x14ac:dyDescent="0.85">
      <c r="A647" s="574"/>
      <c r="B647" s="574"/>
      <c r="C647" s="574"/>
      <c r="D647" s="574"/>
      <c r="E647" s="574"/>
      <c r="F647" s="574"/>
      <c r="G647" s="574"/>
      <c r="H647" s="574"/>
      <c r="I647" s="574"/>
      <c r="J647" s="574"/>
      <c r="K647" s="574"/>
      <c r="L647" s="574"/>
      <c r="M647" s="574"/>
      <c r="N647" s="574"/>
      <c r="O647" s="574"/>
      <c r="P647" s="574"/>
      <c r="Q647" s="574"/>
      <c r="R647" s="574"/>
      <c r="S647" s="574"/>
      <c r="T647" s="574"/>
      <c r="U647" s="574"/>
      <c r="V647" s="574"/>
      <c r="W647" s="574"/>
      <c r="X647" s="574"/>
      <c r="Y647" s="574"/>
      <c r="Z647" s="574"/>
      <c r="AA647" s="574"/>
      <c r="AB647" s="574"/>
      <c r="AC647" s="574"/>
      <c r="AD647" s="574"/>
      <c r="AE647" s="574"/>
    </row>
    <row r="648" spans="1:31" ht="16.5" customHeight="1" x14ac:dyDescent="0.85">
      <c r="A648" s="574"/>
      <c r="B648" s="574"/>
      <c r="C648" s="574"/>
      <c r="D648" s="574"/>
      <c r="E648" s="574"/>
      <c r="F648" s="574"/>
      <c r="G648" s="574"/>
      <c r="H648" s="574"/>
      <c r="I648" s="574"/>
      <c r="J648" s="574"/>
      <c r="K648" s="574"/>
      <c r="L648" s="574"/>
      <c r="M648" s="574"/>
      <c r="N648" s="574"/>
      <c r="O648" s="574"/>
      <c r="P648" s="574"/>
      <c r="Q648" s="574"/>
      <c r="R648" s="574"/>
      <c r="S648" s="574"/>
      <c r="T648" s="574"/>
      <c r="U648" s="574"/>
      <c r="V648" s="574"/>
      <c r="W648" s="574"/>
      <c r="X648" s="574"/>
      <c r="Y648" s="574"/>
      <c r="Z648" s="574"/>
      <c r="AA648" s="574"/>
      <c r="AB648" s="574"/>
      <c r="AC648" s="574"/>
      <c r="AD648" s="574"/>
      <c r="AE648" s="574"/>
    </row>
    <row r="649" spans="1:31" ht="16.5" customHeight="1" x14ac:dyDescent="0.85">
      <c r="A649" s="574"/>
      <c r="B649" s="574"/>
      <c r="C649" s="574"/>
      <c r="D649" s="574"/>
      <c r="E649" s="574"/>
      <c r="F649" s="574"/>
      <c r="G649" s="574"/>
      <c r="H649" s="574"/>
      <c r="I649" s="574"/>
      <c r="J649" s="574"/>
      <c r="K649" s="574"/>
      <c r="L649" s="574"/>
      <c r="M649" s="574"/>
      <c r="N649" s="574"/>
      <c r="O649" s="574"/>
      <c r="P649" s="574"/>
      <c r="Q649" s="574"/>
      <c r="R649" s="574"/>
      <c r="S649" s="574"/>
      <c r="T649" s="574"/>
      <c r="U649" s="574"/>
      <c r="V649" s="574"/>
      <c r="W649" s="574"/>
      <c r="X649" s="574"/>
      <c r="Y649" s="574"/>
      <c r="Z649" s="574"/>
      <c r="AA649" s="574"/>
      <c r="AB649" s="574"/>
      <c r="AC649" s="574"/>
      <c r="AD649" s="574"/>
      <c r="AE649" s="574"/>
    </row>
    <row r="650" spans="1:31" ht="16.5" customHeight="1" x14ac:dyDescent="0.85">
      <c r="A650" s="574"/>
      <c r="B650" s="574"/>
      <c r="C650" s="574"/>
      <c r="D650" s="574"/>
      <c r="E650" s="574"/>
      <c r="F650" s="574"/>
      <c r="G650" s="574"/>
      <c r="H650" s="574"/>
      <c r="I650" s="574"/>
      <c r="J650" s="574"/>
      <c r="K650" s="574"/>
      <c r="L650" s="574"/>
      <c r="M650" s="574"/>
      <c r="N650" s="574"/>
      <c r="O650" s="574"/>
      <c r="P650" s="574"/>
      <c r="Q650" s="574"/>
      <c r="R650" s="574"/>
      <c r="S650" s="574"/>
      <c r="T650" s="574"/>
      <c r="U650" s="574"/>
      <c r="V650" s="574"/>
      <c r="W650" s="574"/>
      <c r="X650" s="574"/>
      <c r="Y650" s="574"/>
      <c r="Z650" s="574"/>
      <c r="AA650" s="574"/>
      <c r="AB650" s="574"/>
      <c r="AC650" s="574"/>
      <c r="AD650" s="574"/>
      <c r="AE650" s="574"/>
    </row>
    <row r="651" spans="1:31" ht="16.5" customHeight="1" x14ac:dyDescent="0.85">
      <c r="A651" s="574"/>
      <c r="B651" s="574"/>
      <c r="C651" s="574"/>
      <c r="D651" s="574"/>
      <c r="E651" s="574"/>
      <c r="F651" s="574"/>
      <c r="G651" s="574"/>
      <c r="H651" s="574"/>
      <c r="I651" s="574"/>
      <c r="J651" s="574"/>
      <c r="K651" s="574"/>
      <c r="L651" s="574"/>
      <c r="M651" s="574"/>
      <c r="N651" s="574"/>
      <c r="O651" s="574"/>
      <c r="P651" s="574"/>
      <c r="Q651" s="574"/>
      <c r="R651" s="574"/>
      <c r="S651" s="574"/>
      <c r="T651" s="574"/>
      <c r="U651" s="574"/>
      <c r="V651" s="574"/>
      <c r="W651" s="574"/>
      <c r="X651" s="574"/>
      <c r="Y651" s="574"/>
      <c r="Z651" s="574"/>
      <c r="AA651" s="574"/>
      <c r="AB651" s="574"/>
      <c r="AC651" s="574"/>
      <c r="AD651" s="574"/>
      <c r="AE651" s="574"/>
    </row>
    <row r="652" spans="1:31" ht="16.5" customHeight="1" x14ac:dyDescent="0.85">
      <c r="A652" s="574"/>
      <c r="B652" s="574"/>
      <c r="C652" s="574"/>
      <c r="D652" s="574"/>
      <c r="E652" s="574"/>
      <c r="F652" s="574"/>
      <c r="G652" s="574"/>
      <c r="H652" s="574"/>
      <c r="I652" s="574"/>
      <c r="J652" s="574"/>
      <c r="K652" s="574"/>
      <c r="L652" s="574"/>
      <c r="M652" s="574"/>
      <c r="N652" s="574"/>
      <c r="O652" s="574"/>
      <c r="P652" s="574"/>
      <c r="Q652" s="574"/>
      <c r="R652" s="574"/>
      <c r="S652" s="574"/>
      <c r="T652" s="574"/>
      <c r="U652" s="574"/>
      <c r="V652" s="574"/>
      <c r="W652" s="574"/>
      <c r="X652" s="574"/>
      <c r="Y652" s="574"/>
      <c r="Z652" s="574"/>
      <c r="AA652" s="574"/>
      <c r="AB652" s="574"/>
      <c r="AC652" s="574"/>
      <c r="AD652" s="574"/>
      <c r="AE652" s="574"/>
    </row>
    <row r="653" spans="1:31" ht="16.5" customHeight="1" x14ac:dyDescent="0.85">
      <c r="A653" s="574"/>
      <c r="B653" s="574"/>
      <c r="C653" s="574"/>
      <c r="D653" s="574"/>
      <c r="E653" s="574"/>
      <c r="F653" s="574"/>
      <c r="G653" s="574"/>
      <c r="H653" s="574"/>
      <c r="I653" s="574"/>
      <c r="J653" s="574"/>
      <c r="K653" s="574"/>
      <c r="L653" s="574"/>
      <c r="M653" s="574"/>
      <c r="N653" s="574"/>
      <c r="O653" s="574"/>
      <c r="P653" s="574"/>
      <c r="Q653" s="574"/>
      <c r="R653" s="574"/>
      <c r="S653" s="574"/>
      <c r="T653" s="574"/>
      <c r="U653" s="574"/>
      <c r="V653" s="574"/>
      <c r="W653" s="574"/>
      <c r="X653" s="574"/>
      <c r="Y653" s="574"/>
      <c r="Z653" s="574"/>
      <c r="AA653" s="574"/>
      <c r="AB653" s="574"/>
      <c r="AC653" s="574"/>
      <c r="AD653" s="574"/>
      <c r="AE653" s="574"/>
    </row>
    <row r="654" spans="1:31" ht="16.5" customHeight="1" x14ac:dyDescent="0.85">
      <c r="A654" s="574"/>
      <c r="B654" s="574"/>
      <c r="C654" s="574"/>
      <c r="D654" s="574"/>
      <c r="E654" s="574"/>
      <c r="F654" s="574"/>
      <c r="G654" s="574"/>
      <c r="H654" s="574"/>
      <c r="I654" s="574"/>
      <c r="J654" s="574"/>
      <c r="K654" s="574"/>
      <c r="L654" s="574"/>
      <c r="M654" s="574"/>
      <c r="N654" s="574"/>
      <c r="O654" s="574"/>
      <c r="P654" s="574"/>
      <c r="Q654" s="574"/>
      <c r="R654" s="574"/>
      <c r="S654" s="574"/>
      <c r="T654" s="574"/>
      <c r="U654" s="574"/>
      <c r="V654" s="574"/>
      <c r="W654" s="574"/>
      <c r="X654" s="574"/>
      <c r="Y654" s="574"/>
      <c r="Z654" s="574"/>
      <c r="AA654" s="574"/>
      <c r="AB654" s="574"/>
      <c r="AC654" s="574"/>
      <c r="AD654" s="574"/>
      <c r="AE654" s="574"/>
    </row>
    <row r="655" spans="1:31" ht="16.5" customHeight="1" x14ac:dyDescent="0.85">
      <c r="A655" s="574"/>
      <c r="B655" s="574"/>
      <c r="C655" s="574"/>
      <c r="D655" s="574"/>
      <c r="E655" s="574"/>
      <c r="F655" s="574"/>
      <c r="G655" s="574"/>
      <c r="H655" s="574"/>
      <c r="I655" s="574"/>
      <c r="J655" s="574"/>
      <c r="K655" s="574"/>
      <c r="L655" s="574"/>
      <c r="M655" s="574"/>
      <c r="N655" s="574"/>
      <c r="O655" s="574"/>
      <c r="P655" s="574"/>
      <c r="Q655" s="574"/>
      <c r="R655" s="574"/>
      <c r="S655" s="574"/>
      <c r="T655" s="574"/>
      <c r="U655" s="574"/>
      <c r="V655" s="574"/>
      <c r="W655" s="574"/>
      <c r="X655" s="574"/>
      <c r="Y655" s="574"/>
      <c r="Z655" s="574"/>
      <c r="AA655" s="574"/>
      <c r="AB655" s="574"/>
      <c r="AC655" s="574"/>
      <c r="AD655" s="574"/>
      <c r="AE655" s="574"/>
    </row>
    <row r="656" spans="1:31" ht="16.5" customHeight="1" x14ac:dyDescent="0.85">
      <c r="A656" s="574"/>
      <c r="B656" s="574"/>
      <c r="C656" s="574"/>
      <c r="D656" s="574"/>
      <c r="E656" s="574"/>
      <c r="F656" s="574"/>
      <c r="G656" s="574"/>
      <c r="H656" s="574"/>
      <c r="I656" s="574"/>
      <c r="J656" s="574"/>
      <c r="K656" s="574"/>
      <c r="L656" s="574"/>
      <c r="M656" s="574"/>
      <c r="N656" s="574"/>
      <c r="O656" s="574"/>
      <c r="P656" s="574"/>
      <c r="Q656" s="574"/>
      <c r="R656" s="574"/>
      <c r="S656" s="574"/>
      <c r="T656" s="574"/>
      <c r="U656" s="574"/>
      <c r="V656" s="574"/>
      <c r="W656" s="574"/>
      <c r="X656" s="574"/>
      <c r="Y656" s="574"/>
      <c r="Z656" s="574"/>
      <c r="AA656" s="574"/>
      <c r="AB656" s="574"/>
      <c r="AC656" s="574"/>
      <c r="AD656" s="574"/>
      <c r="AE656" s="574"/>
    </row>
    <row r="657" spans="1:31" ht="16.5" customHeight="1" x14ac:dyDescent="0.85">
      <c r="A657" s="574"/>
      <c r="B657" s="574"/>
      <c r="C657" s="574"/>
      <c r="D657" s="574"/>
      <c r="E657" s="574"/>
      <c r="F657" s="574"/>
      <c r="G657" s="574"/>
      <c r="H657" s="574"/>
      <c r="I657" s="574"/>
      <c r="J657" s="574"/>
      <c r="K657" s="574"/>
      <c r="L657" s="574"/>
      <c r="M657" s="574"/>
      <c r="N657" s="574"/>
      <c r="O657" s="574"/>
      <c r="P657" s="574"/>
      <c r="Q657" s="574"/>
      <c r="R657" s="574"/>
      <c r="S657" s="574"/>
      <c r="T657" s="574"/>
      <c r="U657" s="574"/>
      <c r="V657" s="574"/>
      <c r="W657" s="574"/>
      <c r="X657" s="574"/>
      <c r="Y657" s="574"/>
      <c r="Z657" s="574"/>
      <c r="AA657" s="574"/>
      <c r="AB657" s="574"/>
      <c r="AC657" s="574"/>
      <c r="AD657" s="574"/>
      <c r="AE657" s="574"/>
    </row>
    <row r="658" spans="1:31" ht="16.5" customHeight="1" x14ac:dyDescent="0.85">
      <c r="A658" s="574"/>
      <c r="B658" s="574"/>
      <c r="C658" s="574"/>
      <c r="D658" s="574"/>
      <c r="E658" s="574"/>
      <c r="F658" s="574"/>
      <c r="G658" s="574"/>
      <c r="H658" s="574"/>
      <c r="I658" s="574"/>
      <c r="J658" s="574"/>
      <c r="K658" s="574"/>
      <c r="L658" s="574"/>
      <c r="M658" s="574"/>
      <c r="N658" s="574"/>
      <c r="O658" s="574"/>
      <c r="P658" s="574"/>
      <c r="Q658" s="574"/>
      <c r="R658" s="574"/>
      <c r="S658" s="574"/>
      <c r="T658" s="574"/>
      <c r="U658" s="574"/>
      <c r="V658" s="574"/>
      <c r="W658" s="574"/>
      <c r="X658" s="574"/>
      <c r="Y658" s="574"/>
      <c r="Z658" s="574"/>
      <c r="AA658" s="574"/>
      <c r="AB658" s="574"/>
      <c r="AC658" s="574"/>
      <c r="AD658" s="574"/>
      <c r="AE658" s="574"/>
    </row>
    <row r="659" spans="1:31" ht="16.5" customHeight="1" x14ac:dyDescent="0.85">
      <c r="A659" s="574"/>
      <c r="B659" s="574"/>
      <c r="C659" s="574"/>
      <c r="D659" s="574"/>
      <c r="E659" s="574"/>
      <c r="F659" s="574"/>
      <c r="G659" s="574"/>
      <c r="H659" s="574"/>
      <c r="I659" s="574"/>
      <c r="J659" s="574"/>
      <c r="K659" s="574"/>
      <c r="L659" s="574"/>
      <c r="M659" s="574"/>
      <c r="N659" s="574"/>
      <c r="O659" s="574"/>
      <c r="P659" s="574"/>
      <c r="Q659" s="574"/>
      <c r="R659" s="574"/>
      <c r="S659" s="574"/>
      <c r="T659" s="574"/>
      <c r="U659" s="574"/>
      <c r="V659" s="574"/>
      <c r="W659" s="574"/>
      <c r="X659" s="574"/>
      <c r="Y659" s="574"/>
      <c r="Z659" s="574"/>
      <c r="AA659" s="574"/>
      <c r="AB659" s="574"/>
      <c r="AC659" s="574"/>
      <c r="AD659" s="574"/>
      <c r="AE659" s="574"/>
    </row>
    <row r="660" spans="1:31" ht="16.5" customHeight="1" x14ac:dyDescent="0.85">
      <c r="A660" s="574"/>
      <c r="B660" s="574"/>
      <c r="C660" s="574"/>
      <c r="D660" s="574"/>
      <c r="E660" s="574"/>
      <c r="F660" s="574"/>
      <c r="G660" s="574"/>
      <c r="H660" s="574"/>
      <c r="I660" s="574"/>
      <c r="J660" s="574"/>
      <c r="K660" s="574"/>
      <c r="L660" s="574"/>
      <c r="M660" s="574"/>
      <c r="N660" s="574"/>
      <c r="O660" s="574"/>
      <c r="P660" s="574"/>
      <c r="Q660" s="574"/>
      <c r="R660" s="574"/>
      <c r="S660" s="574"/>
      <c r="T660" s="574"/>
      <c r="U660" s="574"/>
      <c r="V660" s="574"/>
      <c r="W660" s="574"/>
      <c r="X660" s="574"/>
      <c r="Y660" s="574"/>
      <c r="Z660" s="574"/>
      <c r="AA660" s="574"/>
      <c r="AB660" s="574"/>
      <c r="AC660" s="574"/>
      <c r="AD660" s="574"/>
      <c r="AE660" s="574"/>
    </row>
    <row r="661" spans="1:31" ht="16.5" customHeight="1" x14ac:dyDescent="0.85">
      <c r="A661" s="574"/>
      <c r="B661" s="574"/>
      <c r="C661" s="574"/>
      <c r="D661" s="574"/>
      <c r="E661" s="574"/>
      <c r="F661" s="574"/>
      <c r="G661" s="574"/>
      <c r="H661" s="574"/>
      <c r="I661" s="574"/>
      <c r="J661" s="574"/>
      <c r="K661" s="574"/>
      <c r="L661" s="574"/>
      <c r="M661" s="574"/>
      <c r="N661" s="574"/>
      <c r="O661" s="574"/>
      <c r="P661" s="574"/>
      <c r="Q661" s="574"/>
      <c r="R661" s="574"/>
      <c r="S661" s="574"/>
      <c r="T661" s="574"/>
      <c r="U661" s="574"/>
      <c r="V661" s="574"/>
      <c r="W661" s="574"/>
      <c r="X661" s="574"/>
      <c r="Y661" s="574"/>
      <c r="Z661" s="574"/>
      <c r="AA661" s="574"/>
      <c r="AB661" s="574"/>
      <c r="AC661" s="574"/>
      <c r="AD661" s="574"/>
      <c r="AE661" s="574"/>
    </row>
    <row r="662" spans="1:31" ht="16.5" customHeight="1" x14ac:dyDescent="0.85">
      <c r="A662" s="574"/>
      <c r="B662" s="574"/>
      <c r="C662" s="574"/>
      <c r="D662" s="574"/>
      <c r="E662" s="574"/>
      <c r="F662" s="574"/>
      <c r="G662" s="574"/>
      <c r="H662" s="574"/>
      <c r="I662" s="574"/>
      <c r="J662" s="574"/>
      <c r="K662" s="574"/>
      <c r="L662" s="574"/>
      <c r="M662" s="574"/>
      <c r="N662" s="574"/>
      <c r="O662" s="574"/>
      <c r="P662" s="574"/>
      <c r="Q662" s="574"/>
      <c r="R662" s="574"/>
      <c r="S662" s="574"/>
      <c r="T662" s="574"/>
      <c r="U662" s="574"/>
      <c r="V662" s="574"/>
      <c r="W662" s="574"/>
      <c r="X662" s="574"/>
      <c r="Y662" s="574"/>
      <c r="Z662" s="574"/>
      <c r="AA662" s="574"/>
      <c r="AB662" s="574"/>
      <c r="AC662" s="574"/>
      <c r="AD662" s="574"/>
      <c r="AE662" s="574"/>
    </row>
    <row r="663" spans="1:31" ht="16.5" customHeight="1" x14ac:dyDescent="0.85">
      <c r="A663" s="574"/>
      <c r="B663" s="574"/>
      <c r="C663" s="574"/>
      <c r="D663" s="574"/>
      <c r="E663" s="574"/>
      <c r="F663" s="574"/>
      <c r="G663" s="574"/>
      <c r="H663" s="574"/>
      <c r="I663" s="574"/>
      <c r="J663" s="574"/>
      <c r="K663" s="574"/>
      <c r="L663" s="574"/>
      <c r="M663" s="574"/>
      <c r="N663" s="574"/>
      <c r="O663" s="574"/>
      <c r="P663" s="574"/>
      <c r="Q663" s="574"/>
      <c r="R663" s="574"/>
      <c r="S663" s="574"/>
      <c r="T663" s="574"/>
      <c r="U663" s="574"/>
      <c r="V663" s="574"/>
      <c r="W663" s="574"/>
      <c r="X663" s="574"/>
      <c r="Y663" s="574"/>
      <c r="Z663" s="574"/>
      <c r="AA663" s="574"/>
      <c r="AB663" s="574"/>
      <c r="AC663" s="574"/>
      <c r="AD663" s="574"/>
      <c r="AE663" s="574"/>
    </row>
    <row r="664" spans="1:31" ht="16.5" customHeight="1" x14ac:dyDescent="0.85">
      <c r="A664" s="574"/>
      <c r="B664" s="574"/>
      <c r="C664" s="574"/>
      <c r="D664" s="574"/>
      <c r="E664" s="574"/>
      <c r="F664" s="574"/>
      <c r="G664" s="574"/>
      <c r="H664" s="574"/>
      <c r="I664" s="574"/>
      <c r="J664" s="574"/>
      <c r="K664" s="574"/>
      <c r="L664" s="574"/>
      <c r="M664" s="574"/>
      <c r="N664" s="574"/>
      <c r="O664" s="574"/>
      <c r="P664" s="574"/>
      <c r="Q664" s="574"/>
      <c r="R664" s="574"/>
      <c r="S664" s="574"/>
      <c r="T664" s="574"/>
      <c r="U664" s="574"/>
      <c r="V664" s="574"/>
      <c r="W664" s="574"/>
      <c r="X664" s="574"/>
      <c r="Y664" s="574"/>
      <c r="Z664" s="574"/>
      <c r="AA664" s="574"/>
      <c r="AB664" s="574"/>
      <c r="AC664" s="574"/>
      <c r="AD664" s="574"/>
      <c r="AE664" s="574"/>
    </row>
    <row r="665" spans="1:31" ht="16.5" customHeight="1" x14ac:dyDescent="0.85">
      <c r="A665" s="574"/>
      <c r="B665" s="574"/>
      <c r="C665" s="574"/>
      <c r="D665" s="574"/>
      <c r="E665" s="574"/>
      <c r="F665" s="574"/>
      <c r="G665" s="574"/>
      <c r="H665" s="574"/>
      <c r="I665" s="574"/>
      <c r="J665" s="574"/>
      <c r="K665" s="574"/>
      <c r="L665" s="574"/>
      <c r="M665" s="574"/>
      <c r="N665" s="574"/>
      <c r="O665" s="574"/>
      <c r="P665" s="574"/>
      <c r="Q665" s="574"/>
      <c r="R665" s="574"/>
      <c r="S665" s="574"/>
      <c r="T665" s="574"/>
      <c r="U665" s="574"/>
      <c r="V665" s="574"/>
      <c r="W665" s="574"/>
      <c r="X665" s="574"/>
      <c r="Y665" s="574"/>
      <c r="Z665" s="574"/>
      <c r="AA665" s="574"/>
      <c r="AB665" s="574"/>
      <c r="AC665" s="574"/>
      <c r="AD665" s="574"/>
      <c r="AE665" s="574"/>
    </row>
    <row r="666" spans="1:31" ht="16.5" customHeight="1" x14ac:dyDescent="0.85">
      <c r="A666" s="574"/>
      <c r="B666" s="574"/>
      <c r="C666" s="574"/>
      <c r="D666" s="574"/>
      <c r="E666" s="574"/>
      <c r="F666" s="574"/>
      <c r="G666" s="574"/>
      <c r="H666" s="574"/>
      <c r="I666" s="574"/>
      <c r="J666" s="574"/>
      <c r="K666" s="574"/>
      <c r="L666" s="574"/>
      <c r="M666" s="574"/>
      <c r="N666" s="574"/>
      <c r="O666" s="574"/>
      <c r="P666" s="574"/>
      <c r="Q666" s="574"/>
      <c r="R666" s="574"/>
      <c r="S666" s="574"/>
      <c r="T666" s="574"/>
      <c r="U666" s="574"/>
      <c r="V666" s="574"/>
      <c r="W666" s="574"/>
      <c r="X666" s="574"/>
      <c r="Y666" s="574"/>
      <c r="Z666" s="574"/>
      <c r="AA666" s="574"/>
      <c r="AB666" s="574"/>
      <c r="AC666" s="574"/>
      <c r="AD666" s="574"/>
      <c r="AE666" s="574"/>
    </row>
    <row r="667" spans="1:31" ht="16.5" customHeight="1" x14ac:dyDescent="0.85">
      <c r="A667" s="574"/>
      <c r="B667" s="574"/>
      <c r="C667" s="574"/>
      <c r="D667" s="574"/>
      <c r="E667" s="574"/>
      <c r="F667" s="574"/>
      <c r="G667" s="574"/>
      <c r="H667" s="574"/>
      <c r="I667" s="574"/>
      <c r="J667" s="574"/>
      <c r="K667" s="574"/>
      <c r="L667" s="574"/>
      <c r="M667" s="574"/>
      <c r="N667" s="574"/>
      <c r="O667" s="574"/>
      <c r="P667" s="574"/>
      <c r="Q667" s="574"/>
      <c r="R667" s="574"/>
      <c r="S667" s="574"/>
      <c r="T667" s="574"/>
      <c r="U667" s="574"/>
      <c r="V667" s="574"/>
      <c r="W667" s="574"/>
      <c r="X667" s="574"/>
      <c r="Y667" s="574"/>
      <c r="Z667" s="574"/>
      <c r="AA667" s="574"/>
      <c r="AB667" s="574"/>
      <c r="AC667" s="574"/>
      <c r="AD667" s="574"/>
      <c r="AE667" s="574"/>
    </row>
    <row r="668" spans="1:31" ht="16.5" customHeight="1" x14ac:dyDescent="0.85">
      <c r="A668" s="574"/>
      <c r="B668" s="574"/>
      <c r="C668" s="574"/>
      <c r="D668" s="574"/>
      <c r="E668" s="574"/>
      <c r="F668" s="574"/>
      <c r="G668" s="574"/>
      <c r="H668" s="574"/>
      <c r="I668" s="574"/>
      <c r="J668" s="574"/>
      <c r="K668" s="574"/>
      <c r="L668" s="574"/>
      <c r="M668" s="574"/>
      <c r="N668" s="574"/>
      <c r="O668" s="574"/>
      <c r="P668" s="574"/>
      <c r="Q668" s="574"/>
      <c r="R668" s="574"/>
      <c r="S668" s="574"/>
      <c r="T668" s="574"/>
      <c r="U668" s="574"/>
      <c r="V668" s="574"/>
      <c r="W668" s="574"/>
      <c r="X668" s="574"/>
      <c r="Y668" s="574"/>
      <c r="Z668" s="574"/>
      <c r="AA668" s="574"/>
      <c r="AB668" s="574"/>
      <c r="AC668" s="574"/>
      <c r="AD668" s="574"/>
      <c r="AE668" s="574"/>
    </row>
    <row r="669" spans="1:31" ht="16.5" customHeight="1" x14ac:dyDescent="0.85">
      <c r="A669" s="574"/>
      <c r="B669" s="574"/>
      <c r="C669" s="574"/>
      <c r="D669" s="574"/>
      <c r="E669" s="574"/>
      <c r="F669" s="574"/>
      <c r="G669" s="574"/>
      <c r="H669" s="574"/>
      <c r="I669" s="574"/>
      <c r="J669" s="574"/>
      <c r="K669" s="574"/>
      <c r="L669" s="574"/>
      <c r="M669" s="574"/>
      <c r="N669" s="574"/>
      <c r="O669" s="574"/>
      <c r="P669" s="574"/>
      <c r="Q669" s="574"/>
      <c r="R669" s="574"/>
      <c r="S669" s="574"/>
      <c r="T669" s="574"/>
      <c r="U669" s="574"/>
      <c r="V669" s="574"/>
      <c r="W669" s="574"/>
      <c r="X669" s="574"/>
      <c r="Y669" s="574"/>
      <c r="Z669" s="574"/>
      <c r="AA669" s="574"/>
      <c r="AB669" s="574"/>
      <c r="AC669" s="574"/>
      <c r="AD669" s="574"/>
      <c r="AE669" s="574"/>
    </row>
    <row r="670" spans="1:31" ht="16.5" customHeight="1" x14ac:dyDescent="0.85">
      <c r="A670" s="574"/>
      <c r="B670" s="574"/>
      <c r="C670" s="574"/>
      <c r="D670" s="574"/>
      <c r="E670" s="574"/>
      <c r="F670" s="574"/>
      <c r="G670" s="574"/>
      <c r="H670" s="574"/>
      <c r="I670" s="574"/>
      <c r="J670" s="574"/>
      <c r="K670" s="574"/>
      <c r="L670" s="574"/>
      <c r="M670" s="574"/>
      <c r="N670" s="574"/>
      <c r="O670" s="574"/>
      <c r="P670" s="574"/>
      <c r="Q670" s="574"/>
      <c r="R670" s="574"/>
      <c r="S670" s="574"/>
      <c r="T670" s="574"/>
      <c r="U670" s="574"/>
      <c r="V670" s="574"/>
      <c r="W670" s="574"/>
      <c r="X670" s="574"/>
      <c r="Y670" s="574"/>
      <c r="Z670" s="574"/>
      <c r="AA670" s="574"/>
      <c r="AB670" s="574"/>
      <c r="AC670" s="574"/>
      <c r="AD670" s="574"/>
      <c r="AE670" s="574"/>
    </row>
    <row r="671" spans="1:31" ht="16.5" customHeight="1" x14ac:dyDescent="0.85">
      <c r="A671" s="574"/>
      <c r="B671" s="574"/>
      <c r="C671" s="574"/>
      <c r="D671" s="574"/>
      <c r="E671" s="574"/>
      <c r="F671" s="574"/>
      <c r="G671" s="574"/>
      <c r="H671" s="574"/>
      <c r="I671" s="574"/>
      <c r="J671" s="574"/>
      <c r="K671" s="574"/>
      <c r="L671" s="574"/>
      <c r="M671" s="574"/>
      <c r="N671" s="574"/>
      <c r="O671" s="574"/>
      <c r="P671" s="574"/>
      <c r="Q671" s="574"/>
      <c r="R671" s="574"/>
      <c r="S671" s="574"/>
      <c r="T671" s="574"/>
      <c r="U671" s="574"/>
      <c r="V671" s="574"/>
      <c r="W671" s="574"/>
      <c r="X671" s="574"/>
      <c r="Y671" s="574"/>
      <c r="Z671" s="574"/>
      <c r="AA671" s="574"/>
      <c r="AB671" s="574"/>
      <c r="AC671" s="574"/>
      <c r="AD671" s="574"/>
      <c r="AE671" s="574"/>
    </row>
    <row r="672" spans="1:31" ht="16.5" customHeight="1" x14ac:dyDescent="0.85">
      <c r="A672" s="574"/>
      <c r="B672" s="574"/>
      <c r="C672" s="574"/>
      <c r="D672" s="574"/>
      <c r="E672" s="574"/>
      <c r="F672" s="574"/>
      <c r="G672" s="574"/>
      <c r="H672" s="574"/>
      <c r="I672" s="574"/>
      <c r="J672" s="574"/>
      <c r="K672" s="574"/>
      <c r="L672" s="574"/>
      <c r="M672" s="574"/>
      <c r="N672" s="574"/>
      <c r="O672" s="574"/>
      <c r="P672" s="574"/>
      <c r="Q672" s="574"/>
      <c r="R672" s="574"/>
      <c r="S672" s="574"/>
      <c r="T672" s="574"/>
      <c r="U672" s="574"/>
      <c r="V672" s="574"/>
      <c r="W672" s="574"/>
      <c r="X672" s="574"/>
      <c r="Y672" s="574"/>
      <c r="Z672" s="574"/>
      <c r="AA672" s="574"/>
      <c r="AB672" s="574"/>
      <c r="AC672" s="574"/>
      <c r="AD672" s="574"/>
      <c r="AE672" s="574"/>
    </row>
    <row r="673" spans="1:31" ht="16.5" customHeight="1" x14ac:dyDescent="0.85">
      <c r="A673" s="574"/>
      <c r="B673" s="574"/>
      <c r="C673" s="574"/>
      <c r="D673" s="574"/>
      <c r="E673" s="574"/>
      <c r="F673" s="574"/>
      <c r="G673" s="574"/>
      <c r="H673" s="574"/>
      <c r="I673" s="574"/>
      <c r="J673" s="574"/>
      <c r="K673" s="574"/>
      <c r="L673" s="574"/>
      <c r="M673" s="574"/>
      <c r="N673" s="574"/>
      <c r="O673" s="574"/>
      <c r="P673" s="574"/>
      <c r="Q673" s="574"/>
      <c r="R673" s="574"/>
      <c r="S673" s="574"/>
      <c r="T673" s="574"/>
      <c r="U673" s="574"/>
      <c r="V673" s="574"/>
      <c r="W673" s="574"/>
      <c r="X673" s="574"/>
      <c r="Y673" s="574"/>
      <c r="Z673" s="574"/>
      <c r="AA673" s="574"/>
      <c r="AB673" s="574"/>
      <c r="AC673" s="574"/>
      <c r="AD673" s="574"/>
      <c r="AE673" s="574"/>
    </row>
    <row r="674" spans="1:31" ht="16.5" customHeight="1" x14ac:dyDescent="0.85">
      <c r="A674" s="574"/>
      <c r="B674" s="574"/>
      <c r="C674" s="574"/>
      <c r="D674" s="574"/>
      <c r="E674" s="574"/>
      <c r="F674" s="574"/>
      <c r="G674" s="574"/>
      <c r="H674" s="574"/>
      <c r="I674" s="574"/>
      <c r="J674" s="574"/>
      <c r="K674" s="574"/>
      <c r="L674" s="574"/>
      <c r="M674" s="574"/>
      <c r="N674" s="574"/>
      <c r="O674" s="574"/>
      <c r="P674" s="574"/>
      <c r="Q674" s="574"/>
      <c r="R674" s="574"/>
      <c r="S674" s="574"/>
      <c r="T674" s="574"/>
      <c r="U674" s="574"/>
      <c r="V674" s="574"/>
      <c r="W674" s="574"/>
      <c r="X674" s="574"/>
      <c r="Y674" s="574"/>
      <c r="Z674" s="574"/>
      <c r="AA674" s="574"/>
      <c r="AB674" s="574"/>
      <c r="AC674" s="574"/>
      <c r="AD674" s="574"/>
      <c r="AE674" s="574"/>
    </row>
    <row r="675" spans="1:31" ht="16.5" customHeight="1" x14ac:dyDescent="0.85">
      <c r="A675" s="574"/>
      <c r="B675" s="574"/>
      <c r="C675" s="574"/>
      <c r="D675" s="574"/>
      <c r="E675" s="574"/>
      <c r="F675" s="574"/>
      <c r="G675" s="574"/>
      <c r="H675" s="574"/>
      <c r="I675" s="574"/>
      <c r="J675" s="574"/>
      <c r="K675" s="574"/>
      <c r="L675" s="574"/>
      <c r="M675" s="574"/>
      <c r="N675" s="574"/>
      <c r="O675" s="574"/>
      <c r="P675" s="574"/>
      <c r="Q675" s="574"/>
      <c r="R675" s="574"/>
      <c r="S675" s="574"/>
      <c r="T675" s="574"/>
      <c r="U675" s="574"/>
      <c r="V675" s="574"/>
      <c r="W675" s="574"/>
      <c r="X675" s="574"/>
      <c r="Y675" s="574"/>
      <c r="Z675" s="574"/>
      <c r="AA675" s="574"/>
      <c r="AB675" s="574"/>
      <c r="AC675" s="574"/>
      <c r="AD675" s="574"/>
      <c r="AE675" s="574"/>
    </row>
    <row r="676" spans="1:31" ht="16.5" customHeight="1" x14ac:dyDescent="0.85">
      <c r="A676" s="574"/>
      <c r="B676" s="574"/>
      <c r="C676" s="574"/>
      <c r="D676" s="574"/>
      <c r="E676" s="574"/>
      <c r="F676" s="574"/>
      <c r="G676" s="574"/>
      <c r="H676" s="574"/>
      <c r="I676" s="574"/>
      <c r="J676" s="574"/>
      <c r="K676" s="574"/>
      <c r="L676" s="574"/>
      <c r="M676" s="574"/>
      <c r="N676" s="574"/>
      <c r="O676" s="574"/>
      <c r="P676" s="574"/>
      <c r="Q676" s="574"/>
      <c r="R676" s="574"/>
      <c r="S676" s="574"/>
      <c r="T676" s="574"/>
      <c r="U676" s="574"/>
      <c r="V676" s="574"/>
      <c r="W676" s="574"/>
      <c r="X676" s="574"/>
      <c r="Y676" s="574"/>
      <c r="Z676" s="574"/>
      <c r="AA676" s="574"/>
      <c r="AB676" s="574"/>
      <c r="AC676" s="574"/>
      <c r="AD676" s="574"/>
      <c r="AE676" s="574"/>
    </row>
    <row r="677" spans="1:31" ht="16.5" customHeight="1" x14ac:dyDescent="0.85">
      <c r="A677" s="574"/>
      <c r="B677" s="574"/>
      <c r="C677" s="574"/>
      <c r="D677" s="574"/>
      <c r="E677" s="574"/>
      <c r="F677" s="574"/>
      <c r="G677" s="574"/>
      <c r="H677" s="574"/>
      <c r="I677" s="574"/>
      <c r="J677" s="574"/>
      <c r="K677" s="574"/>
      <c r="L677" s="574"/>
      <c r="M677" s="574"/>
      <c r="N677" s="574"/>
      <c r="O677" s="574"/>
      <c r="P677" s="574"/>
      <c r="Q677" s="574"/>
      <c r="R677" s="574"/>
      <c r="S677" s="574"/>
      <c r="T677" s="574"/>
      <c r="U677" s="574"/>
      <c r="V677" s="574"/>
      <c r="W677" s="574"/>
      <c r="X677" s="574"/>
      <c r="Y677" s="574"/>
      <c r="Z677" s="574"/>
      <c r="AA677" s="574"/>
      <c r="AB677" s="574"/>
      <c r="AC677" s="574"/>
      <c r="AD677" s="574"/>
      <c r="AE677" s="574"/>
    </row>
    <row r="678" spans="1:31" ht="16.5" customHeight="1" x14ac:dyDescent="0.85">
      <c r="A678" s="574"/>
      <c r="B678" s="574"/>
      <c r="C678" s="574"/>
      <c r="D678" s="574"/>
      <c r="E678" s="574"/>
      <c r="F678" s="574"/>
      <c r="G678" s="574"/>
      <c r="H678" s="574"/>
      <c r="I678" s="574"/>
      <c r="J678" s="574"/>
      <c r="K678" s="574"/>
      <c r="L678" s="574"/>
      <c r="M678" s="574"/>
      <c r="N678" s="574"/>
      <c r="O678" s="574"/>
      <c r="P678" s="574"/>
      <c r="Q678" s="574"/>
      <c r="R678" s="574"/>
      <c r="S678" s="574"/>
      <c r="T678" s="574"/>
      <c r="U678" s="574"/>
      <c r="V678" s="574"/>
      <c r="W678" s="574"/>
      <c r="X678" s="574"/>
      <c r="Y678" s="574"/>
      <c r="Z678" s="574"/>
      <c r="AA678" s="574"/>
      <c r="AB678" s="574"/>
      <c r="AC678" s="574"/>
      <c r="AD678" s="574"/>
      <c r="AE678" s="574"/>
    </row>
    <row r="679" spans="1:31" ht="16.5" customHeight="1" x14ac:dyDescent="0.85">
      <c r="A679" s="574"/>
      <c r="B679" s="574"/>
      <c r="C679" s="574"/>
      <c r="D679" s="574"/>
      <c r="E679" s="574"/>
      <c r="F679" s="574"/>
      <c r="G679" s="574"/>
      <c r="H679" s="574"/>
      <c r="I679" s="574"/>
      <c r="J679" s="574"/>
      <c r="K679" s="574"/>
      <c r="L679" s="574"/>
      <c r="M679" s="574"/>
      <c r="N679" s="574"/>
      <c r="O679" s="574"/>
      <c r="P679" s="574"/>
      <c r="Q679" s="574"/>
      <c r="R679" s="574"/>
      <c r="S679" s="574"/>
      <c r="T679" s="574"/>
      <c r="U679" s="574"/>
      <c r="V679" s="574"/>
      <c r="W679" s="574"/>
      <c r="X679" s="574"/>
      <c r="Y679" s="574"/>
      <c r="Z679" s="574"/>
      <c r="AA679" s="574"/>
      <c r="AB679" s="574"/>
      <c r="AC679" s="574"/>
      <c r="AD679" s="574"/>
      <c r="AE679" s="574"/>
    </row>
    <row r="680" spans="1:31" ht="16.5" customHeight="1" x14ac:dyDescent="0.85">
      <c r="A680" s="574"/>
      <c r="B680" s="574"/>
      <c r="C680" s="574"/>
      <c r="D680" s="574"/>
      <c r="E680" s="574"/>
      <c r="F680" s="574"/>
      <c r="G680" s="574"/>
      <c r="H680" s="574"/>
      <c r="I680" s="574"/>
      <c r="J680" s="574"/>
      <c r="K680" s="574"/>
      <c r="L680" s="574"/>
      <c r="M680" s="574"/>
      <c r="N680" s="574"/>
      <c r="O680" s="574"/>
      <c r="P680" s="574"/>
      <c r="Q680" s="574"/>
      <c r="R680" s="574"/>
      <c r="S680" s="574"/>
      <c r="T680" s="574"/>
      <c r="U680" s="574"/>
      <c r="V680" s="574"/>
      <c r="W680" s="574"/>
      <c r="X680" s="574"/>
      <c r="Y680" s="574"/>
      <c r="Z680" s="574"/>
      <c r="AA680" s="574"/>
      <c r="AB680" s="574"/>
      <c r="AC680" s="574"/>
      <c r="AD680" s="574"/>
      <c r="AE680" s="574"/>
    </row>
    <row r="681" spans="1:31" ht="16.5" customHeight="1" x14ac:dyDescent="0.85">
      <c r="A681" s="574"/>
      <c r="B681" s="574"/>
      <c r="C681" s="574"/>
      <c r="D681" s="574"/>
      <c r="E681" s="574"/>
      <c r="F681" s="574"/>
      <c r="G681" s="574"/>
      <c r="H681" s="574"/>
      <c r="I681" s="574"/>
      <c r="J681" s="574"/>
      <c r="K681" s="574"/>
      <c r="L681" s="574"/>
      <c r="M681" s="574"/>
      <c r="N681" s="574"/>
      <c r="O681" s="574"/>
      <c r="P681" s="574"/>
      <c r="Q681" s="574"/>
      <c r="R681" s="574"/>
      <c r="S681" s="574"/>
      <c r="T681" s="574"/>
      <c r="U681" s="574"/>
      <c r="V681" s="574"/>
      <c r="W681" s="574"/>
      <c r="X681" s="574"/>
      <c r="Y681" s="574"/>
      <c r="Z681" s="574"/>
      <c r="AA681" s="574"/>
      <c r="AB681" s="574"/>
      <c r="AC681" s="574"/>
      <c r="AD681" s="574"/>
      <c r="AE681" s="574"/>
    </row>
    <row r="682" spans="1:31" ht="16.5" customHeight="1" x14ac:dyDescent="0.85">
      <c r="A682" s="574"/>
      <c r="B682" s="574"/>
      <c r="C682" s="574"/>
      <c r="D682" s="574"/>
      <c r="E682" s="574"/>
      <c r="F682" s="574"/>
      <c r="G682" s="574"/>
      <c r="H682" s="574"/>
      <c r="I682" s="574"/>
      <c r="J682" s="574"/>
      <c r="K682" s="574"/>
      <c r="L682" s="574"/>
      <c r="M682" s="574"/>
      <c r="N682" s="574"/>
      <c r="O682" s="574"/>
      <c r="P682" s="574"/>
      <c r="Q682" s="574"/>
      <c r="R682" s="574"/>
      <c r="S682" s="574"/>
      <c r="T682" s="574"/>
      <c r="U682" s="574"/>
      <c r="V682" s="574"/>
      <c r="W682" s="574"/>
      <c r="X682" s="574"/>
      <c r="Y682" s="574"/>
      <c r="Z682" s="574"/>
      <c r="AA682" s="574"/>
      <c r="AB682" s="574"/>
      <c r="AC682" s="574"/>
      <c r="AD682" s="574"/>
      <c r="AE682" s="574"/>
    </row>
    <row r="683" spans="1:31" ht="16.5" customHeight="1" x14ac:dyDescent="0.85">
      <c r="A683" s="574"/>
      <c r="B683" s="574"/>
      <c r="C683" s="574"/>
      <c r="D683" s="574"/>
      <c r="E683" s="574"/>
      <c r="F683" s="574"/>
      <c r="G683" s="574"/>
      <c r="H683" s="574"/>
      <c r="I683" s="574"/>
      <c r="J683" s="574"/>
      <c r="K683" s="574"/>
      <c r="L683" s="574"/>
      <c r="M683" s="574"/>
      <c r="N683" s="574"/>
      <c r="O683" s="574"/>
      <c r="P683" s="574"/>
      <c r="Q683" s="574"/>
      <c r="R683" s="574"/>
      <c r="S683" s="574"/>
      <c r="T683" s="574"/>
      <c r="U683" s="574"/>
      <c r="V683" s="574"/>
      <c r="W683" s="574"/>
      <c r="X683" s="574"/>
      <c r="Y683" s="574"/>
      <c r="Z683" s="574"/>
      <c r="AA683" s="574"/>
      <c r="AB683" s="574"/>
      <c r="AC683" s="574"/>
      <c r="AD683" s="574"/>
      <c r="AE683" s="574"/>
    </row>
    <row r="684" spans="1:31" ht="16.5" customHeight="1" x14ac:dyDescent="0.85">
      <c r="A684" s="574"/>
      <c r="B684" s="574"/>
      <c r="C684" s="574"/>
      <c r="D684" s="574"/>
      <c r="E684" s="574"/>
      <c r="F684" s="574"/>
      <c r="G684" s="574"/>
      <c r="H684" s="574"/>
      <c r="I684" s="574"/>
      <c r="J684" s="574"/>
      <c r="K684" s="574"/>
      <c r="L684" s="574"/>
      <c r="M684" s="574"/>
      <c r="N684" s="574"/>
      <c r="O684" s="574"/>
      <c r="P684" s="574"/>
      <c r="Q684" s="574"/>
      <c r="R684" s="574"/>
      <c r="S684" s="574"/>
      <c r="T684" s="574"/>
      <c r="U684" s="574"/>
      <c r="V684" s="574"/>
      <c r="W684" s="574"/>
      <c r="X684" s="574"/>
      <c r="Y684" s="574"/>
      <c r="Z684" s="574"/>
      <c r="AA684" s="574"/>
      <c r="AB684" s="574"/>
      <c r="AC684" s="574"/>
      <c r="AD684" s="574"/>
      <c r="AE684" s="574"/>
    </row>
    <row r="685" spans="1:31" ht="16.5" customHeight="1" x14ac:dyDescent="0.85">
      <c r="A685" s="574"/>
      <c r="B685" s="574"/>
      <c r="C685" s="574"/>
      <c r="D685" s="574"/>
      <c r="E685" s="574"/>
      <c r="F685" s="574"/>
      <c r="G685" s="574"/>
      <c r="H685" s="574"/>
      <c r="I685" s="574"/>
      <c r="J685" s="574"/>
      <c r="K685" s="574"/>
      <c r="L685" s="574"/>
      <c r="M685" s="574"/>
      <c r="N685" s="574"/>
      <c r="O685" s="574"/>
      <c r="P685" s="574"/>
      <c r="Q685" s="574"/>
      <c r="R685" s="574"/>
      <c r="S685" s="574"/>
      <c r="T685" s="574"/>
      <c r="U685" s="574"/>
      <c r="V685" s="574"/>
      <c r="W685" s="574"/>
      <c r="X685" s="574"/>
      <c r="Y685" s="574"/>
      <c r="Z685" s="574"/>
      <c r="AA685" s="574"/>
      <c r="AB685" s="574"/>
      <c r="AC685" s="574"/>
      <c r="AD685" s="574"/>
      <c r="AE685" s="574"/>
    </row>
    <row r="686" spans="1:31" ht="16.5" customHeight="1" x14ac:dyDescent="0.85">
      <c r="A686" s="574"/>
      <c r="B686" s="574"/>
      <c r="C686" s="574"/>
      <c r="D686" s="574"/>
      <c r="E686" s="574"/>
      <c r="F686" s="574"/>
      <c r="G686" s="574"/>
      <c r="H686" s="574"/>
      <c r="I686" s="574"/>
      <c r="J686" s="574"/>
      <c r="K686" s="574"/>
      <c r="L686" s="574"/>
      <c r="M686" s="574"/>
      <c r="N686" s="574"/>
      <c r="O686" s="574"/>
      <c r="P686" s="574"/>
      <c r="Q686" s="574"/>
      <c r="R686" s="574"/>
      <c r="S686" s="574"/>
      <c r="T686" s="574"/>
      <c r="U686" s="574"/>
      <c r="V686" s="574"/>
      <c r="W686" s="574"/>
      <c r="X686" s="574"/>
      <c r="Y686" s="574"/>
      <c r="Z686" s="574"/>
      <c r="AA686" s="574"/>
      <c r="AB686" s="574"/>
      <c r="AC686" s="574"/>
      <c r="AD686" s="574"/>
      <c r="AE686" s="574"/>
    </row>
    <row r="687" spans="1:31" ht="16.5" customHeight="1" x14ac:dyDescent="0.85">
      <c r="A687" s="574"/>
      <c r="B687" s="574"/>
      <c r="C687" s="574"/>
      <c r="D687" s="574"/>
      <c r="E687" s="574"/>
      <c r="F687" s="574"/>
      <c r="G687" s="574"/>
      <c r="H687" s="574"/>
      <c r="I687" s="574"/>
      <c r="J687" s="574"/>
      <c r="K687" s="574"/>
      <c r="L687" s="574"/>
      <c r="M687" s="574"/>
      <c r="N687" s="574"/>
      <c r="O687" s="574"/>
      <c r="P687" s="574"/>
      <c r="Q687" s="574"/>
      <c r="R687" s="574"/>
      <c r="S687" s="574"/>
      <c r="T687" s="574"/>
      <c r="U687" s="574"/>
      <c r="V687" s="574"/>
      <c r="W687" s="574"/>
      <c r="X687" s="574"/>
      <c r="Y687" s="574"/>
      <c r="Z687" s="574"/>
      <c r="AA687" s="574"/>
      <c r="AB687" s="574"/>
      <c r="AC687" s="574"/>
      <c r="AD687" s="574"/>
      <c r="AE687" s="574"/>
    </row>
    <row r="688" spans="1:31" ht="16.5" customHeight="1" x14ac:dyDescent="0.85">
      <c r="A688" s="574"/>
      <c r="B688" s="574"/>
      <c r="C688" s="574"/>
      <c r="D688" s="574"/>
      <c r="E688" s="574"/>
      <c r="F688" s="574"/>
      <c r="G688" s="574"/>
      <c r="H688" s="574"/>
      <c r="I688" s="574"/>
      <c r="J688" s="574"/>
      <c r="K688" s="574"/>
      <c r="L688" s="574"/>
      <c r="M688" s="574"/>
      <c r="N688" s="574"/>
      <c r="O688" s="574"/>
      <c r="P688" s="574"/>
      <c r="Q688" s="574"/>
      <c r="R688" s="574"/>
      <c r="S688" s="574"/>
      <c r="T688" s="574"/>
      <c r="U688" s="574"/>
      <c r="V688" s="574"/>
      <c r="W688" s="574"/>
      <c r="X688" s="574"/>
      <c r="Y688" s="574"/>
      <c r="Z688" s="574"/>
      <c r="AA688" s="574"/>
      <c r="AB688" s="574"/>
      <c r="AC688" s="574"/>
      <c r="AD688" s="574"/>
      <c r="AE688" s="574"/>
    </row>
    <row r="689" spans="1:31" ht="16.5" customHeight="1" x14ac:dyDescent="0.85">
      <c r="A689" s="574"/>
      <c r="B689" s="574"/>
      <c r="C689" s="574"/>
      <c r="D689" s="574"/>
      <c r="E689" s="574"/>
      <c r="F689" s="574"/>
      <c r="G689" s="574"/>
      <c r="H689" s="574"/>
      <c r="I689" s="574"/>
      <c r="J689" s="574"/>
      <c r="K689" s="574"/>
      <c r="L689" s="574"/>
      <c r="M689" s="574"/>
      <c r="N689" s="574"/>
      <c r="O689" s="574"/>
      <c r="P689" s="574"/>
      <c r="Q689" s="574"/>
      <c r="R689" s="574"/>
      <c r="S689" s="574"/>
      <c r="T689" s="574"/>
      <c r="U689" s="574"/>
      <c r="V689" s="574"/>
      <c r="W689" s="574"/>
      <c r="X689" s="574"/>
      <c r="Y689" s="574"/>
      <c r="Z689" s="574"/>
      <c r="AA689" s="574"/>
      <c r="AB689" s="574"/>
      <c r="AC689" s="574"/>
      <c r="AD689" s="574"/>
      <c r="AE689" s="574"/>
    </row>
    <row r="690" spans="1:31" ht="16.5" customHeight="1" x14ac:dyDescent="0.85">
      <c r="A690" s="574"/>
      <c r="B690" s="574"/>
      <c r="C690" s="574"/>
      <c r="D690" s="574"/>
      <c r="E690" s="574"/>
      <c r="F690" s="574"/>
      <c r="G690" s="574"/>
      <c r="H690" s="574"/>
      <c r="I690" s="574"/>
      <c r="J690" s="574"/>
      <c r="K690" s="574"/>
      <c r="L690" s="574"/>
      <c r="M690" s="574"/>
      <c r="N690" s="574"/>
      <c r="O690" s="574"/>
      <c r="P690" s="574"/>
      <c r="Q690" s="574"/>
      <c r="R690" s="574"/>
      <c r="S690" s="574"/>
      <c r="T690" s="574"/>
      <c r="U690" s="574"/>
      <c r="V690" s="574"/>
      <c r="W690" s="574"/>
      <c r="X690" s="574"/>
      <c r="Y690" s="574"/>
      <c r="Z690" s="574"/>
      <c r="AA690" s="574"/>
      <c r="AB690" s="574"/>
      <c r="AC690" s="574"/>
      <c r="AD690" s="574"/>
      <c r="AE690" s="574"/>
    </row>
    <row r="691" spans="1:31" ht="16.5" customHeight="1" x14ac:dyDescent="0.85">
      <c r="A691" s="574"/>
      <c r="B691" s="574"/>
      <c r="C691" s="574"/>
      <c r="D691" s="574"/>
      <c r="E691" s="574"/>
      <c r="F691" s="574"/>
      <c r="G691" s="574"/>
      <c r="H691" s="574"/>
      <c r="I691" s="574"/>
      <c r="J691" s="574"/>
      <c r="K691" s="574"/>
      <c r="L691" s="574"/>
      <c r="M691" s="574"/>
      <c r="N691" s="574"/>
      <c r="O691" s="574"/>
      <c r="P691" s="574"/>
      <c r="Q691" s="574"/>
      <c r="R691" s="574"/>
      <c r="S691" s="574"/>
      <c r="T691" s="574"/>
      <c r="U691" s="574"/>
      <c r="V691" s="574"/>
      <c r="W691" s="574"/>
      <c r="X691" s="574"/>
      <c r="Y691" s="574"/>
      <c r="Z691" s="574"/>
      <c r="AA691" s="574"/>
      <c r="AB691" s="574"/>
      <c r="AC691" s="574"/>
      <c r="AD691" s="574"/>
      <c r="AE691" s="574"/>
    </row>
    <row r="692" spans="1:31" ht="16.5" customHeight="1" x14ac:dyDescent="0.85">
      <c r="A692" s="574"/>
      <c r="B692" s="574"/>
      <c r="C692" s="574"/>
      <c r="D692" s="574"/>
      <c r="E692" s="574"/>
      <c r="F692" s="574"/>
      <c r="G692" s="574"/>
      <c r="H692" s="574"/>
      <c r="I692" s="574"/>
      <c r="J692" s="574"/>
      <c r="K692" s="574"/>
      <c r="L692" s="574"/>
      <c r="M692" s="574"/>
      <c r="N692" s="574"/>
      <c r="O692" s="574"/>
      <c r="P692" s="574"/>
      <c r="Q692" s="574"/>
      <c r="R692" s="574"/>
      <c r="S692" s="574"/>
      <c r="T692" s="574"/>
      <c r="U692" s="574"/>
      <c r="V692" s="574"/>
      <c r="W692" s="574"/>
      <c r="X692" s="574"/>
      <c r="Y692" s="574"/>
      <c r="Z692" s="574"/>
      <c r="AA692" s="574"/>
      <c r="AB692" s="574"/>
      <c r="AC692" s="574"/>
      <c r="AD692" s="574"/>
      <c r="AE692" s="574"/>
    </row>
    <row r="693" spans="1:31" ht="16.5" customHeight="1" x14ac:dyDescent="0.85">
      <c r="A693" s="574"/>
      <c r="B693" s="574"/>
      <c r="C693" s="574"/>
      <c r="D693" s="574"/>
      <c r="E693" s="574"/>
      <c r="F693" s="574"/>
      <c r="G693" s="574"/>
      <c r="H693" s="574"/>
      <c r="I693" s="574"/>
      <c r="J693" s="574"/>
      <c r="K693" s="574"/>
      <c r="L693" s="574"/>
      <c r="M693" s="574"/>
      <c r="N693" s="574"/>
      <c r="O693" s="574"/>
      <c r="P693" s="574"/>
      <c r="Q693" s="574"/>
      <c r="R693" s="574"/>
      <c r="S693" s="574"/>
      <c r="T693" s="574"/>
      <c r="U693" s="574"/>
      <c r="V693" s="574"/>
      <c r="W693" s="574"/>
      <c r="X693" s="574"/>
      <c r="Y693" s="574"/>
      <c r="Z693" s="574"/>
      <c r="AA693" s="574"/>
      <c r="AB693" s="574"/>
      <c r="AC693" s="574"/>
      <c r="AD693" s="574"/>
      <c r="AE693" s="574"/>
    </row>
    <row r="694" spans="1:31" ht="16.5" customHeight="1" x14ac:dyDescent="0.85">
      <c r="A694" s="574"/>
      <c r="B694" s="574"/>
      <c r="C694" s="574"/>
      <c r="D694" s="574"/>
      <c r="E694" s="574"/>
      <c r="F694" s="574"/>
      <c r="G694" s="574"/>
      <c r="H694" s="574"/>
      <c r="I694" s="574"/>
      <c r="J694" s="574"/>
      <c r="K694" s="574"/>
      <c r="L694" s="574"/>
      <c r="M694" s="574"/>
      <c r="N694" s="574"/>
      <c r="O694" s="574"/>
      <c r="P694" s="574"/>
      <c r="Q694" s="574"/>
      <c r="R694" s="574"/>
      <c r="S694" s="574"/>
      <c r="T694" s="574"/>
      <c r="U694" s="574"/>
      <c r="V694" s="574"/>
      <c r="W694" s="574"/>
      <c r="X694" s="574"/>
      <c r="Y694" s="574"/>
      <c r="Z694" s="574"/>
      <c r="AA694" s="574"/>
      <c r="AB694" s="574"/>
      <c r="AC694" s="574"/>
      <c r="AD694" s="574"/>
      <c r="AE694" s="574"/>
    </row>
    <row r="695" spans="1:31" ht="16.5" customHeight="1" x14ac:dyDescent="0.85">
      <c r="A695" s="574"/>
      <c r="B695" s="574"/>
      <c r="C695" s="574"/>
      <c r="D695" s="574"/>
      <c r="E695" s="574"/>
      <c r="F695" s="574"/>
      <c r="G695" s="574"/>
      <c r="H695" s="574"/>
      <c r="I695" s="574"/>
      <c r="J695" s="574"/>
      <c r="K695" s="574"/>
      <c r="L695" s="574"/>
      <c r="M695" s="574"/>
      <c r="N695" s="574"/>
      <c r="O695" s="574"/>
      <c r="P695" s="574"/>
      <c r="Q695" s="574"/>
      <c r="R695" s="574"/>
      <c r="S695" s="574"/>
      <c r="T695" s="574"/>
      <c r="U695" s="574"/>
      <c r="V695" s="574"/>
      <c r="W695" s="574"/>
      <c r="X695" s="574"/>
      <c r="Y695" s="574"/>
      <c r="Z695" s="574"/>
      <c r="AA695" s="574"/>
      <c r="AB695" s="574"/>
      <c r="AC695" s="574"/>
      <c r="AD695" s="574"/>
      <c r="AE695" s="574"/>
    </row>
    <row r="696" spans="1:31" ht="16.5" customHeight="1" x14ac:dyDescent="0.85">
      <c r="A696" s="574"/>
      <c r="B696" s="574"/>
      <c r="C696" s="574"/>
      <c r="D696" s="574"/>
      <c r="E696" s="574"/>
      <c r="F696" s="574"/>
      <c r="G696" s="574"/>
      <c r="H696" s="574"/>
      <c r="I696" s="574"/>
      <c r="J696" s="574"/>
      <c r="K696" s="574"/>
      <c r="L696" s="574"/>
      <c r="M696" s="574"/>
      <c r="N696" s="574"/>
      <c r="O696" s="574"/>
      <c r="P696" s="574"/>
      <c r="Q696" s="574"/>
      <c r="R696" s="574"/>
      <c r="S696" s="574"/>
      <c r="T696" s="574"/>
      <c r="U696" s="574"/>
      <c r="V696" s="574"/>
      <c r="W696" s="574"/>
      <c r="X696" s="574"/>
      <c r="Y696" s="574"/>
      <c r="Z696" s="574"/>
      <c r="AA696" s="574"/>
      <c r="AB696" s="574"/>
      <c r="AC696" s="574"/>
      <c r="AD696" s="574"/>
      <c r="AE696" s="574"/>
    </row>
    <row r="697" spans="1:31" ht="16.5" customHeight="1" x14ac:dyDescent="0.85">
      <c r="A697" s="574"/>
      <c r="B697" s="574"/>
      <c r="C697" s="574"/>
      <c r="D697" s="574"/>
      <c r="E697" s="574"/>
      <c r="F697" s="574"/>
      <c r="G697" s="574"/>
      <c r="H697" s="574"/>
      <c r="I697" s="574"/>
      <c r="J697" s="574"/>
      <c r="K697" s="574"/>
      <c r="L697" s="574"/>
      <c r="M697" s="574"/>
      <c r="N697" s="574"/>
      <c r="O697" s="574"/>
      <c r="P697" s="574"/>
      <c r="Q697" s="574"/>
      <c r="R697" s="574"/>
      <c r="S697" s="574"/>
      <c r="T697" s="574"/>
      <c r="U697" s="574"/>
      <c r="V697" s="574"/>
      <c r="W697" s="574"/>
      <c r="X697" s="574"/>
      <c r="Y697" s="574"/>
      <c r="Z697" s="574"/>
      <c r="AA697" s="574"/>
      <c r="AB697" s="574"/>
      <c r="AC697" s="574"/>
      <c r="AD697" s="574"/>
      <c r="AE697" s="574"/>
    </row>
    <row r="698" spans="1:31" ht="16.5" customHeight="1" x14ac:dyDescent="0.85">
      <c r="A698" s="574"/>
      <c r="B698" s="574"/>
      <c r="C698" s="574"/>
      <c r="D698" s="574"/>
      <c r="E698" s="574"/>
      <c r="F698" s="574"/>
      <c r="G698" s="574"/>
      <c r="H698" s="574"/>
      <c r="I698" s="574"/>
      <c r="J698" s="574"/>
      <c r="K698" s="574"/>
      <c r="L698" s="574"/>
      <c r="M698" s="574"/>
      <c r="N698" s="574"/>
      <c r="O698" s="574"/>
      <c r="P698" s="574"/>
      <c r="Q698" s="574"/>
      <c r="R698" s="574"/>
      <c r="S698" s="574"/>
      <c r="T698" s="574"/>
      <c r="U698" s="574"/>
      <c r="V698" s="574"/>
      <c r="W698" s="574"/>
      <c r="X698" s="574"/>
      <c r="Y698" s="574"/>
      <c r="Z698" s="574"/>
      <c r="AA698" s="574"/>
      <c r="AB698" s="574"/>
      <c r="AC698" s="574"/>
      <c r="AD698" s="574"/>
      <c r="AE698" s="574"/>
    </row>
    <row r="699" spans="1:31" ht="16.5" customHeight="1" x14ac:dyDescent="0.85">
      <c r="A699" s="574"/>
      <c r="B699" s="574"/>
      <c r="C699" s="574"/>
      <c r="D699" s="574"/>
      <c r="E699" s="574"/>
      <c r="F699" s="574"/>
      <c r="G699" s="574"/>
      <c r="H699" s="574"/>
      <c r="I699" s="574"/>
      <c r="J699" s="574"/>
      <c r="K699" s="574"/>
      <c r="L699" s="574"/>
      <c r="M699" s="574"/>
      <c r="N699" s="574"/>
      <c r="O699" s="574"/>
      <c r="P699" s="574"/>
      <c r="Q699" s="574"/>
      <c r="R699" s="574"/>
      <c r="S699" s="574"/>
      <c r="T699" s="574"/>
      <c r="U699" s="574"/>
      <c r="V699" s="574"/>
      <c r="W699" s="574"/>
      <c r="X699" s="574"/>
      <c r="Y699" s="574"/>
      <c r="Z699" s="574"/>
      <c r="AA699" s="574"/>
      <c r="AB699" s="574"/>
      <c r="AC699" s="574"/>
      <c r="AD699" s="574"/>
      <c r="AE699" s="574"/>
    </row>
    <row r="700" spans="1:31" ht="16.5" customHeight="1" x14ac:dyDescent="0.85">
      <c r="A700" s="574"/>
      <c r="B700" s="574"/>
      <c r="C700" s="574"/>
      <c r="D700" s="574"/>
      <c r="E700" s="574"/>
      <c r="F700" s="574"/>
      <c r="G700" s="574"/>
      <c r="H700" s="574"/>
      <c r="I700" s="574"/>
      <c r="J700" s="574"/>
      <c r="K700" s="574"/>
      <c r="L700" s="574"/>
      <c r="M700" s="574"/>
      <c r="N700" s="574"/>
      <c r="O700" s="574"/>
      <c r="P700" s="574"/>
      <c r="Q700" s="574"/>
      <c r="R700" s="574"/>
      <c r="S700" s="574"/>
      <c r="T700" s="574"/>
      <c r="U700" s="574"/>
      <c r="V700" s="574"/>
      <c r="W700" s="574"/>
      <c r="X700" s="574"/>
      <c r="Y700" s="574"/>
      <c r="Z700" s="574"/>
      <c r="AA700" s="574"/>
      <c r="AB700" s="574"/>
      <c r="AC700" s="574"/>
      <c r="AD700" s="574"/>
      <c r="AE700" s="574"/>
    </row>
    <row r="701" spans="1:31" ht="16.5" customHeight="1" x14ac:dyDescent="0.85">
      <c r="A701" s="574"/>
      <c r="B701" s="574"/>
      <c r="C701" s="574"/>
      <c r="D701" s="574"/>
      <c r="E701" s="574"/>
      <c r="F701" s="574"/>
      <c r="G701" s="574"/>
      <c r="H701" s="574"/>
      <c r="I701" s="574"/>
      <c r="J701" s="574"/>
      <c r="K701" s="574"/>
      <c r="L701" s="574"/>
      <c r="M701" s="574"/>
      <c r="N701" s="574"/>
      <c r="O701" s="574"/>
      <c r="P701" s="574"/>
      <c r="Q701" s="574"/>
      <c r="R701" s="574"/>
      <c r="S701" s="574"/>
      <c r="T701" s="574"/>
      <c r="U701" s="574"/>
      <c r="V701" s="574"/>
      <c r="W701" s="574"/>
      <c r="X701" s="574"/>
      <c r="Y701" s="574"/>
      <c r="Z701" s="574"/>
      <c r="AA701" s="574"/>
      <c r="AB701" s="574"/>
      <c r="AC701" s="574"/>
      <c r="AD701" s="574"/>
      <c r="AE701" s="574"/>
    </row>
    <row r="702" spans="1:31" ht="16.5" customHeight="1" x14ac:dyDescent="0.85">
      <c r="A702" s="574"/>
      <c r="B702" s="574"/>
      <c r="C702" s="574"/>
      <c r="D702" s="574"/>
      <c r="E702" s="574"/>
      <c r="F702" s="574"/>
      <c r="G702" s="574"/>
      <c r="H702" s="574"/>
      <c r="I702" s="574"/>
      <c r="J702" s="574"/>
      <c r="K702" s="574"/>
      <c r="L702" s="574"/>
      <c r="M702" s="574"/>
      <c r="N702" s="574"/>
      <c r="O702" s="574"/>
      <c r="P702" s="574"/>
      <c r="Q702" s="574"/>
      <c r="R702" s="574"/>
      <c r="S702" s="574"/>
      <c r="T702" s="574"/>
      <c r="U702" s="574"/>
      <c r="V702" s="574"/>
      <c r="W702" s="574"/>
      <c r="X702" s="574"/>
      <c r="Y702" s="574"/>
      <c r="Z702" s="574"/>
      <c r="AA702" s="574"/>
      <c r="AB702" s="574"/>
      <c r="AC702" s="574"/>
      <c r="AD702" s="574"/>
      <c r="AE702" s="574"/>
    </row>
    <row r="703" spans="1:31" ht="16.5" customHeight="1" x14ac:dyDescent="0.85">
      <c r="A703" s="574"/>
      <c r="B703" s="574"/>
      <c r="C703" s="574"/>
      <c r="D703" s="574"/>
      <c r="E703" s="574"/>
      <c r="F703" s="574"/>
      <c r="G703" s="574"/>
      <c r="H703" s="574"/>
      <c r="I703" s="574"/>
      <c r="J703" s="574"/>
      <c r="K703" s="574"/>
      <c r="L703" s="574"/>
      <c r="M703" s="574"/>
      <c r="N703" s="574"/>
      <c r="O703" s="574"/>
      <c r="P703" s="574"/>
      <c r="Q703" s="574"/>
      <c r="R703" s="574"/>
      <c r="S703" s="574"/>
      <c r="T703" s="574"/>
      <c r="U703" s="574"/>
      <c r="V703" s="574"/>
      <c r="W703" s="574"/>
      <c r="X703" s="574"/>
      <c r="Y703" s="574"/>
      <c r="Z703" s="574"/>
      <c r="AA703" s="574"/>
      <c r="AB703" s="574"/>
      <c r="AC703" s="574"/>
      <c r="AD703" s="574"/>
      <c r="AE703" s="574"/>
    </row>
    <row r="704" spans="1:31" ht="16.5" customHeight="1" x14ac:dyDescent="0.85">
      <c r="A704" s="574"/>
      <c r="B704" s="574"/>
      <c r="C704" s="574"/>
      <c r="D704" s="574"/>
      <c r="E704" s="574"/>
      <c r="F704" s="574"/>
      <c r="G704" s="574"/>
      <c r="H704" s="574"/>
      <c r="I704" s="574"/>
      <c r="J704" s="574"/>
      <c r="K704" s="574"/>
      <c r="L704" s="574"/>
      <c r="M704" s="574"/>
      <c r="N704" s="574"/>
      <c r="O704" s="574"/>
      <c r="P704" s="574"/>
      <c r="Q704" s="574"/>
      <c r="R704" s="574"/>
      <c r="S704" s="574"/>
      <c r="T704" s="574"/>
      <c r="U704" s="574"/>
      <c r="V704" s="574"/>
      <c r="W704" s="574"/>
      <c r="X704" s="574"/>
      <c r="Y704" s="574"/>
      <c r="Z704" s="574"/>
      <c r="AA704" s="574"/>
      <c r="AB704" s="574"/>
      <c r="AC704" s="574"/>
      <c r="AD704" s="574"/>
      <c r="AE704" s="574"/>
    </row>
    <row r="705" spans="1:31" ht="16.5" customHeight="1" x14ac:dyDescent="0.85">
      <c r="A705" s="574"/>
      <c r="B705" s="574"/>
      <c r="C705" s="574"/>
      <c r="D705" s="574"/>
      <c r="E705" s="574"/>
      <c r="F705" s="574"/>
      <c r="G705" s="574"/>
      <c r="H705" s="574"/>
      <c r="I705" s="574"/>
      <c r="J705" s="574"/>
      <c r="K705" s="574"/>
      <c r="L705" s="574"/>
      <c r="M705" s="574"/>
      <c r="N705" s="574"/>
      <c r="O705" s="574"/>
      <c r="P705" s="574"/>
      <c r="Q705" s="574"/>
      <c r="R705" s="574"/>
      <c r="S705" s="574"/>
      <c r="T705" s="574"/>
      <c r="U705" s="574"/>
      <c r="V705" s="574"/>
      <c r="W705" s="574"/>
      <c r="X705" s="574"/>
      <c r="Y705" s="574"/>
      <c r="Z705" s="574"/>
      <c r="AA705" s="574"/>
      <c r="AB705" s="574"/>
      <c r="AC705" s="574"/>
      <c r="AD705" s="574"/>
      <c r="AE705" s="574"/>
    </row>
    <row r="706" spans="1:31" ht="16.5" customHeight="1" x14ac:dyDescent="0.85">
      <c r="A706" s="574"/>
      <c r="B706" s="574"/>
      <c r="C706" s="574"/>
      <c r="D706" s="574"/>
      <c r="E706" s="574"/>
      <c r="F706" s="574"/>
      <c r="G706" s="574"/>
      <c r="H706" s="574"/>
      <c r="I706" s="574"/>
      <c r="J706" s="574"/>
      <c r="K706" s="574"/>
      <c r="L706" s="574"/>
      <c r="M706" s="574"/>
      <c r="N706" s="574"/>
      <c r="O706" s="574"/>
      <c r="P706" s="574"/>
      <c r="Q706" s="574"/>
      <c r="R706" s="574"/>
      <c r="S706" s="574"/>
      <c r="T706" s="574"/>
      <c r="U706" s="574"/>
      <c r="V706" s="574"/>
      <c r="W706" s="574"/>
      <c r="X706" s="574"/>
      <c r="Y706" s="574"/>
      <c r="Z706" s="574"/>
      <c r="AA706" s="574"/>
      <c r="AB706" s="574"/>
      <c r="AC706" s="574"/>
      <c r="AD706" s="574"/>
      <c r="AE706" s="574"/>
    </row>
    <row r="707" spans="1:31" ht="16.5" customHeight="1" x14ac:dyDescent="0.85">
      <c r="A707" s="574"/>
      <c r="B707" s="574"/>
      <c r="C707" s="574"/>
      <c r="D707" s="574"/>
      <c r="E707" s="574"/>
      <c r="F707" s="574"/>
      <c r="G707" s="574"/>
      <c r="H707" s="574"/>
      <c r="I707" s="574"/>
      <c r="J707" s="574"/>
      <c r="K707" s="574"/>
      <c r="L707" s="574"/>
      <c r="M707" s="574"/>
      <c r="N707" s="574"/>
      <c r="O707" s="574"/>
      <c r="P707" s="574"/>
      <c r="Q707" s="574"/>
      <c r="R707" s="574"/>
      <c r="S707" s="574"/>
      <c r="T707" s="574"/>
      <c r="U707" s="574"/>
      <c r="V707" s="574"/>
      <c r="W707" s="574"/>
      <c r="X707" s="574"/>
      <c r="Y707" s="574"/>
      <c r="Z707" s="574"/>
      <c r="AA707" s="574"/>
      <c r="AB707" s="574"/>
      <c r="AC707" s="574"/>
      <c r="AD707" s="574"/>
      <c r="AE707" s="574"/>
    </row>
    <row r="708" spans="1:31" ht="16.5" customHeight="1" x14ac:dyDescent="0.85">
      <c r="A708" s="574"/>
      <c r="B708" s="574"/>
      <c r="C708" s="574"/>
      <c r="D708" s="574"/>
      <c r="E708" s="574"/>
      <c r="F708" s="574"/>
      <c r="G708" s="574"/>
      <c r="H708" s="574"/>
      <c r="I708" s="574"/>
      <c r="J708" s="574"/>
      <c r="K708" s="574"/>
      <c r="L708" s="574"/>
      <c r="M708" s="574"/>
      <c r="N708" s="574"/>
      <c r="O708" s="574"/>
      <c r="P708" s="574"/>
      <c r="Q708" s="574"/>
      <c r="R708" s="574"/>
      <c r="S708" s="574"/>
      <c r="T708" s="574"/>
      <c r="U708" s="574"/>
      <c r="V708" s="574"/>
      <c r="W708" s="574"/>
      <c r="X708" s="574"/>
      <c r="Y708" s="574"/>
      <c r="Z708" s="574"/>
      <c r="AA708" s="574"/>
      <c r="AB708" s="574"/>
      <c r="AC708" s="574"/>
      <c r="AD708" s="574"/>
      <c r="AE708" s="574"/>
    </row>
    <row r="709" spans="1:31" ht="16.5" customHeight="1" x14ac:dyDescent="0.85">
      <c r="A709" s="574"/>
      <c r="B709" s="574"/>
      <c r="C709" s="574"/>
      <c r="D709" s="574"/>
      <c r="E709" s="574"/>
      <c r="F709" s="574"/>
      <c r="G709" s="574"/>
      <c r="H709" s="574"/>
      <c r="I709" s="574"/>
      <c r="J709" s="574"/>
      <c r="K709" s="574"/>
      <c r="L709" s="574"/>
      <c r="M709" s="574"/>
      <c r="N709" s="574"/>
      <c r="O709" s="574"/>
      <c r="P709" s="574"/>
      <c r="Q709" s="574"/>
      <c r="R709" s="574"/>
      <c r="S709" s="574"/>
      <c r="T709" s="574"/>
      <c r="U709" s="574"/>
      <c r="V709" s="574"/>
      <c r="W709" s="574"/>
      <c r="X709" s="574"/>
      <c r="Y709" s="574"/>
      <c r="Z709" s="574"/>
      <c r="AA709" s="574"/>
      <c r="AB709" s="574"/>
      <c r="AC709" s="574"/>
      <c r="AD709" s="574"/>
      <c r="AE709" s="574"/>
    </row>
    <row r="710" spans="1:31" ht="16.5" customHeight="1" x14ac:dyDescent="0.85">
      <c r="A710" s="574"/>
      <c r="B710" s="574"/>
      <c r="C710" s="574"/>
      <c r="D710" s="574"/>
      <c r="E710" s="574"/>
      <c r="F710" s="574"/>
      <c r="G710" s="574"/>
      <c r="H710" s="574"/>
      <c r="I710" s="574"/>
      <c r="J710" s="574"/>
      <c r="K710" s="574"/>
      <c r="L710" s="574"/>
      <c r="M710" s="574"/>
      <c r="N710" s="574"/>
      <c r="O710" s="574"/>
      <c r="P710" s="574"/>
      <c r="Q710" s="574"/>
      <c r="R710" s="574"/>
      <c r="S710" s="574"/>
      <c r="T710" s="574"/>
      <c r="U710" s="574"/>
      <c r="V710" s="574"/>
      <c r="W710" s="574"/>
      <c r="X710" s="574"/>
      <c r="Y710" s="574"/>
      <c r="Z710" s="574"/>
      <c r="AA710" s="574"/>
      <c r="AB710" s="574"/>
      <c r="AC710" s="574"/>
      <c r="AD710" s="574"/>
      <c r="AE710" s="574"/>
    </row>
    <row r="711" spans="1:31" ht="16.5" customHeight="1" x14ac:dyDescent="0.85">
      <c r="A711" s="574"/>
      <c r="B711" s="574"/>
      <c r="C711" s="574"/>
      <c r="D711" s="574"/>
      <c r="E711" s="574"/>
      <c r="F711" s="574"/>
      <c r="G711" s="574"/>
      <c r="H711" s="574"/>
      <c r="I711" s="574"/>
      <c r="J711" s="574"/>
      <c r="K711" s="574"/>
      <c r="L711" s="574"/>
      <c r="M711" s="574"/>
      <c r="N711" s="574"/>
      <c r="O711" s="574"/>
      <c r="P711" s="574"/>
      <c r="Q711" s="574"/>
      <c r="R711" s="574"/>
      <c r="S711" s="574"/>
      <c r="T711" s="574"/>
      <c r="U711" s="574"/>
      <c r="V711" s="574"/>
      <c r="W711" s="574"/>
      <c r="X711" s="574"/>
      <c r="Y711" s="574"/>
      <c r="Z711" s="574"/>
      <c r="AA711" s="574"/>
      <c r="AB711" s="574"/>
      <c r="AC711" s="574"/>
      <c r="AD711" s="574"/>
      <c r="AE711" s="574"/>
    </row>
    <row r="712" spans="1:31" ht="16.5" customHeight="1" x14ac:dyDescent="0.85">
      <c r="A712" s="574"/>
      <c r="B712" s="574"/>
      <c r="C712" s="574"/>
      <c r="D712" s="574"/>
      <c r="E712" s="574"/>
      <c r="F712" s="574"/>
      <c r="G712" s="574"/>
      <c r="H712" s="574"/>
      <c r="I712" s="574"/>
      <c r="J712" s="574"/>
      <c r="K712" s="574"/>
      <c r="L712" s="574"/>
      <c r="M712" s="574"/>
      <c r="N712" s="574"/>
      <c r="O712" s="574"/>
      <c r="P712" s="574"/>
      <c r="Q712" s="574"/>
      <c r="R712" s="574"/>
      <c r="S712" s="574"/>
      <c r="T712" s="574"/>
      <c r="U712" s="574"/>
      <c r="V712" s="574"/>
      <c r="W712" s="574"/>
      <c r="X712" s="574"/>
      <c r="Y712" s="574"/>
      <c r="Z712" s="574"/>
      <c r="AA712" s="574"/>
      <c r="AB712" s="574"/>
      <c r="AC712" s="574"/>
      <c r="AD712" s="574"/>
      <c r="AE712" s="574"/>
    </row>
    <row r="713" spans="1:31" ht="16.5" customHeight="1" x14ac:dyDescent="0.85">
      <c r="A713" s="574"/>
      <c r="B713" s="574"/>
      <c r="C713" s="574"/>
      <c r="D713" s="574"/>
      <c r="E713" s="574"/>
      <c r="F713" s="574"/>
      <c r="G713" s="574"/>
      <c r="H713" s="574"/>
      <c r="I713" s="574"/>
      <c r="J713" s="574"/>
      <c r="K713" s="574"/>
      <c r="L713" s="574"/>
      <c r="M713" s="574"/>
      <c r="N713" s="574"/>
      <c r="O713" s="574"/>
      <c r="P713" s="574"/>
      <c r="Q713" s="574"/>
      <c r="R713" s="574"/>
      <c r="S713" s="574"/>
      <c r="T713" s="574"/>
      <c r="U713" s="574"/>
      <c r="V713" s="574"/>
      <c r="W713" s="574"/>
      <c r="X713" s="574"/>
      <c r="Y713" s="574"/>
      <c r="Z713" s="574"/>
      <c r="AA713" s="574"/>
      <c r="AB713" s="574"/>
      <c r="AC713" s="574"/>
      <c r="AD713" s="574"/>
      <c r="AE713" s="574"/>
    </row>
    <row r="714" spans="1:31" ht="16.5" customHeight="1" x14ac:dyDescent="0.85">
      <c r="A714" s="574"/>
      <c r="B714" s="574"/>
      <c r="C714" s="574"/>
      <c r="D714" s="574"/>
      <c r="E714" s="574"/>
      <c r="F714" s="574"/>
      <c r="G714" s="574"/>
      <c r="H714" s="574"/>
      <c r="I714" s="574"/>
      <c r="J714" s="574"/>
      <c r="K714" s="574"/>
      <c r="L714" s="574"/>
      <c r="M714" s="574"/>
      <c r="N714" s="574"/>
      <c r="O714" s="574"/>
      <c r="P714" s="574"/>
      <c r="Q714" s="574"/>
      <c r="R714" s="574"/>
      <c r="S714" s="574"/>
      <c r="T714" s="574"/>
      <c r="U714" s="574"/>
      <c r="V714" s="574"/>
      <c r="W714" s="574"/>
      <c r="X714" s="574"/>
      <c r="Y714" s="574"/>
      <c r="Z714" s="574"/>
      <c r="AA714" s="574"/>
      <c r="AB714" s="574"/>
      <c r="AC714" s="574"/>
      <c r="AD714" s="574"/>
      <c r="AE714" s="574"/>
    </row>
    <row r="715" spans="1:31" ht="16.5" customHeight="1" x14ac:dyDescent="0.85">
      <c r="A715" s="574"/>
      <c r="B715" s="574"/>
      <c r="C715" s="574"/>
      <c r="D715" s="574"/>
      <c r="E715" s="574"/>
      <c r="F715" s="574"/>
      <c r="G715" s="574"/>
      <c r="H715" s="574"/>
      <c r="I715" s="574"/>
      <c r="J715" s="574"/>
      <c r="K715" s="574"/>
      <c r="L715" s="574"/>
      <c r="M715" s="574"/>
      <c r="N715" s="574"/>
      <c r="O715" s="574"/>
      <c r="P715" s="574"/>
      <c r="Q715" s="574"/>
      <c r="R715" s="574"/>
      <c r="S715" s="574"/>
      <c r="T715" s="574"/>
      <c r="U715" s="574"/>
      <c r="V715" s="574"/>
      <c r="W715" s="574"/>
      <c r="X715" s="574"/>
      <c r="Y715" s="574"/>
      <c r="Z715" s="574"/>
      <c r="AA715" s="574"/>
      <c r="AB715" s="574"/>
      <c r="AC715" s="574"/>
      <c r="AD715" s="574"/>
      <c r="AE715" s="574"/>
    </row>
    <row r="716" spans="1:31" ht="16.5" customHeight="1" x14ac:dyDescent="0.85">
      <c r="A716" s="574"/>
      <c r="B716" s="574"/>
      <c r="C716" s="574"/>
      <c r="D716" s="574"/>
      <c r="E716" s="574"/>
      <c r="F716" s="574"/>
      <c r="G716" s="574"/>
      <c r="H716" s="574"/>
      <c r="I716" s="574"/>
      <c r="J716" s="574"/>
      <c r="K716" s="574"/>
      <c r="L716" s="574"/>
      <c r="M716" s="574"/>
      <c r="N716" s="574"/>
      <c r="O716" s="574"/>
      <c r="P716" s="574"/>
      <c r="Q716" s="574"/>
      <c r="R716" s="574"/>
      <c r="S716" s="574"/>
      <c r="T716" s="574"/>
      <c r="U716" s="574"/>
      <c r="V716" s="574"/>
      <c r="W716" s="574"/>
      <c r="X716" s="574"/>
      <c r="Y716" s="574"/>
      <c r="Z716" s="574"/>
      <c r="AA716" s="574"/>
      <c r="AB716" s="574"/>
      <c r="AC716" s="574"/>
      <c r="AD716" s="574"/>
      <c r="AE716" s="574"/>
    </row>
    <row r="717" spans="1:31" ht="16.5" customHeight="1" x14ac:dyDescent="0.85">
      <c r="A717" s="574"/>
      <c r="B717" s="574"/>
      <c r="C717" s="574"/>
      <c r="D717" s="574"/>
      <c r="E717" s="574"/>
      <c r="F717" s="574"/>
      <c r="G717" s="574"/>
      <c r="H717" s="574"/>
      <c r="I717" s="574"/>
      <c r="J717" s="574"/>
      <c r="K717" s="574"/>
      <c r="L717" s="574"/>
      <c r="M717" s="574"/>
      <c r="N717" s="574"/>
      <c r="O717" s="574"/>
      <c r="P717" s="574"/>
      <c r="Q717" s="574"/>
      <c r="R717" s="574"/>
      <c r="S717" s="574"/>
      <c r="T717" s="574"/>
      <c r="U717" s="574"/>
      <c r="V717" s="574"/>
      <c r="W717" s="574"/>
      <c r="X717" s="574"/>
      <c r="Y717" s="574"/>
      <c r="Z717" s="574"/>
      <c r="AA717" s="574"/>
      <c r="AB717" s="574"/>
      <c r="AC717" s="574"/>
      <c r="AD717" s="574"/>
      <c r="AE717" s="574"/>
    </row>
    <row r="718" spans="1:31" ht="16.5" customHeight="1" x14ac:dyDescent="0.85">
      <c r="A718" s="574"/>
      <c r="B718" s="574"/>
      <c r="C718" s="574"/>
      <c r="D718" s="574"/>
      <c r="E718" s="574"/>
      <c r="F718" s="574"/>
      <c r="G718" s="574"/>
      <c r="H718" s="574"/>
      <c r="I718" s="574"/>
      <c r="J718" s="574"/>
      <c r="K718" s="574"/>
      <c r="L718" s="574"/>
      <c r="M718" s="574"/>
      <c r="N718" s="574"/>
      <c r="O718" s="574"/>
      <c r="P718" s="574"/>
      <c r="Q718" s="574"/>
      <c r="R718" s="574"/>
      <c r="S718" s="574"/>
      <c r="T718" s="574"/>
      <c r="U718" s="574"/>
      <c r="V718" s="574"/>
      <c r="W718" s="574"/>
      <c r="X718" s="574"/>
      <c r="Y718" s="574"/>
      <c r="Z718" s="574"/>
      <c r="AA718" s="574"/>
      <c r="AB718" s="574"/>
      <c r="AC718" s="574"/>
      <c r="AD718" s="574"/>
      <c r="AE718" s="574"/>
    </row>
    <row r="719" spans="1:31" ht="16.5" customHeight="1" x14ac:dyDescent="0.85">
      <c r="A719" s="574"/>
      <c r="B719" s="574"/>
      <c r="C719" s="574"/>
      <c r="D719" s="574"/>
      <c r="E719" s="574"/>
      <c r="F719" s="574"/>
      <c r="G719" s="574"/>
      <c r="H719" s="574"/>
      <c r="I719" s="574"/>
      <c r="J719" s="574"/>
      <c r="K719" s="574"/>
      <c r="L719" s="574"/>
      <c r="M719" s="574"/>
      <c r="N719" s="574"/>
      <c r="O719" s="574"/>
      <c r="P719" s="574"/>
      <c r="Q719" s="574"/>
      <c r="R719" s="574"/>
      <c r="S719" s="574"/>
      <c r="T719" s="574"/>
      <c r="U719" s="574"/>
      <c r="V719" s="574"/>
      <c r="W719" s="574"/>
      <c r="X719" s="574"/>
      <c r="Y719" s="574"/>
      <c r="Z719" s="574"/>
      <c r="AA719" s="574"/>
      <c r="AB719" s="574"/>
      <c r="AC719" s="574"/>
      <c r="AD719" s="574"/>
      <c r="AE719" s="574"/>
    </row>
    <row r="720" spans="1:31" ht="16.5" customHeight="1" x14ac:dyDescent="0.85">
      <c r="A720" s="574"/>
      <c r="B720" s="574"/>
      <c r="C720" s="574"/>
      <c r="D720" s="574"/>
      <c r="E720" s="574"/>
      <c r="F720" s="574"/>
      <c r="G720" s="574"/>
      <c r="H720" s="574"/>
      <c r="I720" s="574"/>
      <c r="J720" s="574"/>
      <c r="K720" s="574"/>
      <c r="L720" s="574"/>
      <c r="M720" s="574"/>
      <c r="N720" s="574"/>
      <c r="O720" s="574"/>
      <c r="P720" s="574"/>
      <c r="Q720" s="574"/>
      <c r="R720" s="574"/>
      <c r="S720" s="574"/>
      <c r="T720" s="574"/>
      <c r="U720" s="574"/>
      <c r="V720" s="574"/>
      <c r="W720" s="574"/>
      <c r="X720" s="574"/>
      <c r="Y720" s="574"/>
      <c r="Z720" s="574"/>
      <c r="AA720" s="574"/>
      <c r="AB720" s="574"/>
      <c r="AC720" s="574"/>
      <c r="AD720" s="574"/>
      <c r="AE720" s="574"/>
    </row>
    <row r="721" spans="1:31" ht="16.5" customHeight="1" x14ac:dyDescent="0.85">
      <c r="A721" s="574"/>
      <c r="B721" s="574"/>
      <c r="C721" s="574"/>
      <c r="D721" s="574"/>
      <c r="E721" s="574"/>
      <c r="F721" s="574"/>
      <c r="G721" s="574"/>
      <c r="H721" s="574"/>
      <c r="I721" s="574"/>
      <c r="J721" s="574"/>
      <c r="K721" s="574"/>
      <c r="L721" s="574"/>
      <c r="M721" s="574"/>
      <c r="N721" s="574"/>
      <c r="O721" s="574"/>
      <c r="P721" s="574"/>
      <c r="Q721" s="574"/>
      <c r="R721" s="574"/>
      <c r="S721" s="574"/>
      <c r="T721" s="574"/>
      <c r="U721" s="574"/>
      <c r="V721" s="574"/>
      <c r="W721" s="574"/>
      <c r="X721" s="574"/>
      <c r="Y721" s="574"/>
      <c r="Z721" s="574"/>
      <c r="AA721" s="574"/>
      <c r="AB721" s="574"/>
      <c r="AC721" s="574"/>
      <c r="AD721" s="574"/>
      <c r="AE721" s="574"/>
    </row>
    <row r="722" spans="1:31" ht="16.5" customHeight="1" x14ac:dyDescent="0.85">
      <c r="A722" s="574"/>
      <c r="B722" s="574"/>
      <c r="C722" s="574"/>
      <c r="D722" s="574"/>
      <c r="E722" s="574"/>
      <c r="F722" s="574"/>
      <c r="G722" s="574"/>
      <c r="H722" s="574"/>
      <c r="I722" s="574"/>
      <c r="J722" s="574"/>
      <c r="K722" s="574"/>
      <c r="L722" s="574"/>
      <c r="M722" s="574"/>
      <c r="N722" s="574"/>
      <c r="O722" s="574"/>
      <c r="P722" s="574"/>
      <c r="Q722" s="574"/>
      <c r="R722" s="574"/>
      <c r="S722" s="574"/>
      <c r="T722" s="574"/>
      <c r="U722" s="574"/>
      <c r="V722" s="574"/>
      <c r="W722" s="574"/>
      <c r="X722" s="574"/>
      <c r="Y722" s="574"/>
      <c r="Z722" s="574"/>
      <c r="AA722" s="574"/>
      <c r="AB722" s="574"/>
      <c r="AC722" s="574"/>
      <c r="AD722" s="574"/>
      <c r="AE722" s="574"/>
    </row>
    <row r="723" spans="1:31" ht="16.5" customHeight="1" x14ac:dyDescent="0.85">
      <c r="A723" s="574"/>
      <c r="B723" s="574"/>
      <c r="C723" s="574"/>
      <c r="D723" s="574"/>
      <c r="E723" s="574"/>
      <c r="F723" s="574"/>
      <c r="G723" s="574"/>
      <c r="H723" s="574"/>
      <c r="I723" s="574"/>
      <c r="J723" s="574"/>
      <c r="K723" s="574"/>
      <c r="L723" s="574"/>
      <c r="M723" s="574"/>
      <c r="N723" s="574"/>
      <c r="O723" s="574"/>
      <c r="P723" s="574"/>
      <c r="Q723" s="574"/>
      <c r="R723" s="574"/>
      <c r="S723" s="574"/>
      <c r="T723" s="574"/>
      <c r="U723" s="574"/>
      <c r="V723" s="574"/>
      <c r="W723" s="574"/>
      <c r="X723" s="574"/>
      <c r="Y723" s="574"/>
      <c r="Z723" s="574"/>
      <c r="AA723" s="574"/>
      <c r="AB723" s="574"/>
      <c r="AC723" s="574"/>
      <c r="AD723" s="574"/>
      <c r="AE723" s="574"/>
    </row>
    <row r="724" spans="1:31" ht="16.5" customHeight="1" x14ac:dyDescent="0.85">
      <c r="A724" s="574"/>
      <c r="B724" s="574"/>
      <c r="C724" s="574"/>
      <c r="D724" s="574"/>
      <c r="E724" s="574"/>
      <c r="F724" s="574"/>
      <c r="G724" s="574"/>
      <c r="H724" s="574"/>
      <c r="I724" s="574"/>
      <c r="J724" s="574"/>
      <c r="K724" s="574"/>
      <c r="L724" s="574"/>
      <c r="M724" s="574"/>
      <c r="N724" s="574"/>
      <c r="O724" s="574"/>
      <c r="P724" s="574"/>
      <c r="Q724" s="574"/>
      <c r="R724" s="574"/>
      <c r="S724" s="574"/>
      <c r="T724" s="574"/>
      <c r="U724" s="574"/>
      <c r="V724" s="574"/>
      <c r="W724" s="574"/>
      <c r="X724" s="574"/>
      <c r="Y724" s="574"/>
      <c r="Z724" s="574"/>
      <c r="AA724" s="574"/>
      <c r="AB724" s="574"/>
      <c r="AC724" s="574"/>
      <c r="AD724" s="574"/>
      <c r="AE724" s="574"/>
    </row>
    <row r="725" spans="1:31" ht="16.5" customHeight="1" x14ac:dyDescent="0.85">
      <c r="A725" s="574"/>
      <c r="B725" s="574"/>
      <c r="C725" s="574"/>
      <c r="D725" s="574"/>
      <c r="E725" s="574"/>
      <c r="F725" s="574"/>
      <c r="G725" s="574"/>
      <c r="H725" s="574"/>
      <c r="I725" s="574"/>
      <c r="J725" s="574"/>
      <c r="K725" s="574"/>
      <c r="L725" s="574"/>
      <c r="M725" s="574"/>
      <c r="N725" s="574"/>
      <c r="O725" s="574"/>
      <c r="P725" s="574"/>
      <c r="Q725" s="574"/>
      <c r="R725" s="574"/>
      <c r="S725" s="574"/>
      <c r="T725" s="574"/>
      <c r="U725" s="574"/>
      <c r="V725" s="574"/>
      <c r="W725" s="574"/>
      <c r="X725" s="574"/>
      <c r="Y725" s="574"/>
      <c r="Z725" s="574"/>
      <c r="AA725" s="574"/>
      <c r="AB725" s="574"/>
      <c r="AC725" s="574"/>
      <c r="AD725" s="574"/>
      <c r="AE725" s="574"/>
    </row>
    <row r="726" spans="1:31" ht="16.5" customHeight="1" x14ac:dyDescent="0.85">
      <c r="A726" s="574"/>
      <c r="B726" s="574"/>
      <c r="C726" s="574"/>
      <c r="D726" s="574"/>
      <c r="E726" s="574"/>
      <c r="F726" s="574"/>
      <c r="G726" s="574"/>
      <c r="H726" s="574"/>
      <c r="I726" s="574"/>
      <c r="J726" s="574"/>
      <c r="K726" s="574"/>
      <c r="L726" s="574"/>
      <c r="M726" s="574"/>
      <c r="N726" s="574"/>
      <c r="O726" s="574"/>
      <c r="P726" s="574"/>
      <c r="Q726" s="574"/>
      <c r="R726" s="574"/>
      <c r="S726" s="574"/>
      <c r="T726" s="574"/>
      <c r="U726" s="574"/>
      <c r="V726" s="574"/>
      <c r="W726" s="574"/>
      <c r="X726" s="574"/>
      <c r="Y726" s="574"/>
      <c r="Z726" s="574"/>
      <c r="AA726" s="574"/>
      <c r="AB726" s="574"/>
      <c r="AC726" s="574"/>
      <c r="AD726" s="574"/>
      <c r="AE726" s="574"/>
    </row>
    <row r="727" spans="1:31" ht="16.5" customHeight="1" x14ac:dyDescent="0.85">
      <c r="A727" s="574"/>
      <c r="B727" s="574"/>
      <c r="C727" s="574"/>
      <c r="D727" s="574"/>
      <c r="E727" s="574"/>
      <c r="F727" s="574"/>
      <c r="G727" s="574"/>
      <c r="H727" s="574"/>
      <c r="I727" s="574"/>
      <c r="J727" s="574"/>
      <c r="K727" s="574"/>
      <c r="L727" s="574"/>
      <c r="M727" s="574"/>
      <c r="N727" s="574"/>
      <c r="O727" s="574"/>
      <c r="P727" s="574"/>
      <c r="Q727" s="574"/>
      <c r="R727" s="574"/>
      <c r="S727" s="574"/>
      <c r="T727" s="574"/>
      <c r="U727" s="574"/>
      <c r="V727" s="574"/>
      <c r="W727" s="574"/>
      <c r="X727" s="574"/>
      <c r="Y727" s="574"/>
      <c r="Z727" s="574"/>
      <c r="AA727" s="574"/>
      <c r="AB727" s="574"/>
      <c r="AC727" s="574"/>
      <c r="AD727" s="574"/>
      <c r="AE727" s="574"/>
    </row>
    <row r="728" spans="1:31" ht="16.5" customHeight="1" x14ac:dyDescent="0.85">
      <c r="A728" s="574"/>
      <c r="B728" s="574"/>
      <c r="C728" s="574"/>
      <c r="D728" s="574"/>
      <c r="E728" s="574"/>
      <c r="F728" s="574"/>
      <c r="G728" s="574"/>
      <c r="H728" s="574"/>
      <c r="I728" s="574"/>
      <c r="J728" s="574"/>
      <c r="K728" s="574"/>
      <c r="L728" s="574"/>
      <c r="M728" s="574"/>
      <c r="N728" s="574"/>
      <c r="O728" s="574"/>
      <c r="P728" s="574"/>
      <c r="Q728" s="574"/>
      <c r="R728" s="574"/>
      <c r="S728" s="574"/>
      <c r="T728" s="574"/>
      <c r="U728" s="574"/>
      <c r="V728" s="574"/>
      <c r="W728" s="574"/>
      <c r="X728" s="574"/>
      <c r="Y728" s="574"/>
      <c r="Z728" s="574"/>
      <c r="AA728" s="574"/>
      <c r="AB728" s="574"/>
      <c r="AC728" s="574"/>
      <c r="AD728" s="574"/>
      <c r="AE728" s="574"/>
    </row>
    <row r="729" spans="1:31" ht="16.5" customHeight="1" x14ac:dyDescent="0.85">
      <c r="A729" s="574"/>
      <c r="B729" s="574"/>
      <c r="C729" s="574"/>
      <c r="D729" s="574"/>
      <c r="E729" s="574"/>
      <c r="F729" s="574"/>
      <c r="G729" s="574"/>
      <c r="H729" s="574"/>
      <c r="I729" s="574"/>
      <c r="J729" s="574"/>
      <c r="K729" s="574"/>
      <c r="L729" s="574"/>
      <c r="M729" s="574"/>
      <c r="N729" s="574"/>
      <c r="O729" s="574"/>
      <c r="P729" s="574"/>
      <c r="Q729" s="574"/>
      <c r="R729" s="574"/>
      <c r="S729" s="574"/>
      <c r="T729" s="574"/>
      <c r="U729" s="574"/>
      <c r="V729" s="574"/>
      <c r="W729" s="574"/>
      <c r="X729" s="574"/>
      <c r="Y729" s="574"/>
      <c r="Z729" s="574"/>
      <c r="AA729" s="574"/>
      <c r="AB729" s="574"/>
      <c r="AC729" s="574"/>
      <c r="AD729" s="574"/>
      <c r="AE729" s="574"/>
    </row>
    <row r="730" spans="1:31" ht="16.5" customHeight="1" x14ac:dyDescent="0.85">
      <c r="A730" s="574"/>
      <c r="B730" s="574"/>
      <c r="C730" s="574"/>
      <c r="D730" s="574"/>
      <c r="E730" s="574"/>
      <c r="F730" s="574"/>
      <c r="G730" s="574"/>
      <c r="H730" s="574"/>
      <c r="I730" s="574"/>
      <c r="J730" s="574"/>
      <c r="K730" s="574"/>
      <c r="L730" s="574"/>
      <c r="M730" s="574"/>
      <c r="N730" s="574"/>
      <c r="O730" s="574"/>
      <c r="P730" s="574"/>
      <c r="Q730" s="574"/>
      <c r="R730" s="574"/>
      <c r="S730" s="574"/>
      <c r="T730" s="574"/>
      <c r="U730" s="574"/>
      <c r="V730" s="574"/>
      <c r="W730" s="574"/>
      <c r="X730" s="574"/>
      <c r="Y730" s="574"/>
      <c r="Z730" s="574"/>
      <c r="AA730" s="574"/>
      <c r="AB730" s="574"/>
      <c r="AC730" s="574"/>
      <c r="AD730" s="574"/>
      <c r="AE730" s="574"/>
    </row>
    <row r="731" spans="1:31" ht="16.5" customHeight="1" x14ac:dyDescent="0.85">
      <c r="A731" s="574"/>
      <c r="B731" s="574"/>
      <c r="C731" s="574"/>
      <c r="D731" s="574"/>
      <c r="E731" s="574"/>
      <c r="F731" s="574"/>
      <c r="G731" s="574"/>
      <c r="H731" s="574"/>
      <c r="I731" s="574"/>
      <c r="J731" s="574"/>
      <c r="K731" s="574"/>
      <c r="L731" s="574"/>
      <c r="M731" s="574"/>
      <c r="N731" s="574"/>
      <c r="O731" s="574"/>
      <c r="P731" s="574"/>
      <c r="Q731" s="574"/>
      <c r="R731" s="574"/>
      <c r="S731" s="574"/>
      <c r="T731" s="574"/>
      <c r="U731" s="574"/>
      <c r="V731" s="574"/>
      <c r="W731" s="574"/>
      <c r="X731" s="574"/>
      <c r="Y731" s="574"/>
      <c r="Z731" s="574"/>
      <c r="AA731" s="574"/>
      <c r="AB731" s="574"/>
      <c r="AC731" s="574"/>
      <c r="AD731" s="574"/>
      <c r="AE731" s="574"/>
    </row>
    <row r="732" spans="1:31" ht="16.5" customHeight="1" x14ac:dyDescent="0.85">
      <c r="A732" s="574"/>
      <c r="B732" s="574"/>
      <c r="C732" s="574"/>
      <c r="D732" s="574"/>
      <c r="E732" s="574"/>
      <c r="F732" s="574"/>
      <c r="G732" s="574"/>
      <c r="H732" s="574"/>
      <c r="I732" s="574"/>
      <c r="J732" s="574"/>
      <c r="K732" s="574"/>
      <c r="L732" s="574"/>
      <c r="M732" s="574"/>
      <c r="N732" s="574"/>
      <c r="O732" s="574"/>
      <c r="P732" s="574"/>
      <c r="Q732" s="574"/>
      <c r="R732" s="574"/>
      <c r="S732" s="574"/>
      <c r="T732" s="574"/>
      <c r="U732" s="574"/>
      <c r="V732" s="574"/>
      <c r="W732" s="574"/>
      <c r="X732" s="574"/>
      <c r="Y732" s="574"/>
      <c r="Z732" s="574"/>
      <c r="AA732" s="574"/>
      <c r="AB732" s="574"/>
      <c r="AC732" s="574"/>
      <c r="AD732" s="574"/>
      <c r="AE732" s="574"/>
    </row>
    <row r="733" spans="1:31" ht="16.5" customHeight="1" x14ac:dyDescent="0.85">
      <c r="A733" s="574"/>
      <c r="B733" s="574"/>
      <c r="C733" s="574"/>
      <c r="D733" s="574"/>
      <c r="E733" s="574"/>
      <c r="F733" s="574"/>
      <c r="G733" s="574"/>
      <c r="H733" s="574"/>
      <c r="I733" s="574"/>
      <c r="J733" s="574"/>
      <c r="K733" s="574"/>
      <c r="L733" s="574"/>
      <c r="M733" s="574"/>
      <c r="N733" s="574"/>
      <c r="O733" s="574"/>
      <c r="P733" s="574"/>
      <c r="Q733" s="574"/>
      <c r="R733" s="574"/>
      <c r="S733" s="574"/>
      <c r="T733" s="574"/>
      <c r="U733" s="574"/>
      <c r="V733" s="574"/>
      <c r="W733" s="574"/>
      <c r="X733" s="574"/>
      <c r="Y733" s="574"/>
      <c r="Z733" s="574"/>
      <c r="AA733" s="574"/>
      <c r="AB733" s="574"/>
      <c r="AC733" s="574"/>
      <c r="AD733" s="574"/>
      <c r="AE733" s="574"/>
    </row>
    <row r="734" spans="1:31" ht="16.5" customHeight="1" x14ac:dyDescent="0.85">
      <c r="A734" s="574"/>
      <c r="B734" s="574"/>
      <c r="C734" s="574"/>
      <c r="D734" s="574"/>
      <c r="E734" s="574"/>
      <c r="F734" s="574"/>
      <c r="G734" s="574"/>
      <c r="H734" s="574"/>
      <c r="I734" s="574"/>
      <c r="J734" s="574"/>
      <c r="K734" s="574"/>
      <c r="L734" s="574"/>
      <c r="M734" s="574"/>
      <c r="N734" s="574"/>
      <c r="O734" s="574"/>
      <c r="P734" s="574"/>
      <c r="Q734" s="574"/>
      <c r="R734" s="574"/>
      <c r="S734" s="574"/>
      <c r="T734" s="574"/>
      <c r="U734" s="574"/>
      <c r="V734" s="574"/>
      <c r="W734" s="574"/>
      <c r="X734" s="574"/>
      <c r="Y734" s="574"/>
      <c r="Z734" s="574"/>
      <c r="AA734" s="574"/>
      <c r="AB734" s="574"/>
      <c r="AC734" s="574"/>
      <c r="AD734" s="574"/>
      <c r="AE734" s="574"/>
    </row>
    <row r="735" spans="1:31" ht="16.5" customHeight="1" x14ac:dyDescent="0.85">
      <c r="A735" s="574"/>
      <c r="B735" s="574"/>
      <c r="C735" s="574"/>
      <c r="D735" s="574"/>
      <c r="E735" s="574"/>
      <c r="F735" s="574"/>
      <c r="G735" s="574"/>
      <c r="H735" s="574"/>
      <c r="I735" s="574"/>
      <c r="J735" s="574"/>
      <c r="K735" s="574"/>
      <c r="L735" s="574"/>
      <c r="M735" s="574"/>
      <c r="N735" s="574"/>
      <c r="O735" s="574"/>
      <c r="P735" s="574"/>
      <c r="Q735" s="574"/>
      <c r="R735" s="574"/>
      <c r="S735" s="574"/>
      <c r="T735" s="574"/>
      <c r="U735" s="574"/>
      <c r="V735" s="574"/>
      <c r="W735" s="574"/>
      <c r="X735" s="574"/>
      <c r="Y735" s="574"/>
      <c r="Z735" s="574"/>
      <c r="AA735" s="574"/>
      <c r="AB735" s="574"/>
      <c r="AC735" s="574"/>
      <c r="AD735" s="574"/>
      <c r="AE735" s="574"/>
    </row>
    <row r="736" spans="1:31" ht="16.5" customHeight="1" x14ac:dyDescent="0.85">
      <c r="A736" s="574"/>
      <c r="B736" s="574"/>
      <c r="C736" s="574"/>
      <c r="D736" s="574"/>
      <c r="E736" s="574"/>
      <c r="F736" s="574"/>
      <c r="G736" s="574"/>
      <c r="H736" s="574"/>
      <c r="I736" s="574"/>
      <c r="J736" s="574"/>
      <c r="K736" s="574"/>
      <c r="L736" s="574"/>
      <c r="M736" s="574"/>
      <c r="N736" s="574"/>
      <c r="O736" s="574"/>
      <c r="P736" s="574"/>
      <c r="Q736" s="574"/>
      <c r="R736" s="574"/>
      <c r="S736" s="574"/>
      <c r="T736" s="574"/>
      <c r="U736" s="574"/>
      <c r="V736" s="574"/>
      <c r="W736" s="574"/>
      <c r="X736" s="574"/>
      <c r="Y736" s="574"/>
      <c r="Z736" s="574"/>
      <c r="AA736" s="574"/>
      <c r="AB736" s="574"/>
      <c r="AC736" s="574"/>
      <c r="AD736" s="574"/>
      <c r="AE736" s="574"/>
    </row>
    <row r="737" spans="1:31" ht="16.5" customHeight="1" x14ac:dyDescent="0.85">
      <c r="A737" s="574"/>
      <c r="B737" s="574"/>
      <c r="C737" s="574"/>
      <c r="D737" s="574"/>
      <c r="E737" s="574"/>
      <c r="F737" s="574"/>
      <c r="G737" s="574"/>
      <c r="H737" s="574"/>
      <c r="I737" s="574"/>
      <c r="J737" s="574"/>
      <c r="K737" s="574"/>
      <c r="L737" s="574"/>
      <c r="M737" s="574"/>
      <c r="N737" s="574"/>
      <c r="O737" s="574"/>
      <c r="P737" s="574"/>
      <c r="Q737" s="574"/>
      <c r="R737" s="574"/>
      <c r="S737" s="574"/>
      <c r="T737" s="574"/>
      <c r="U737" s="574"/>
      <c r="V737" s="574"/>
      <c r="W737" s="574"/>
      <c r="X737" s="574"/>
      <c r="Y737" s="574"/>
      <c r="Z737" s="574"/>
      <c r="AA737" s="574"/>
      <c r="AB737" s="574"/>
      <c r="AC737" s="574"/>
      <c r="AD737" s="574"/>
      <c r="AE737" s="574"/>
    </row>
    <row r="738" spans="1:31" ht="16.5" customHeight="1" x14ac:dyDescent="0.85">
      <c r="A738" s="574"/>
      <c r="B738" s="574"/>
      <c r="C738" s="574"/>
      <c r="D738" s="574"/>
      <c r="E738" s="574"/>
      <c r="F738" s="574"/>
      <c r="G738" s="574"/>
      <c r="H738" s="574"/>
      <c r="I738" s="574"/>
      <c r="J738" s="574"/>
      <c r="K738" s="574"/>
      <c r="L738" s="574"/>
      <c r="M738" s="574"/>
      <c r="N738" s="574"/>
      <c r="O738" s="574"/>
      <c r="P738" s="574"/>
      <c r="Q738" s="574"/>
      <c r="R738" s="574"/>
      <c r="S738" s="574"/>
      <c r="T738" s="574"/>
      <c r="U738" s="574"/>
      <c r="V738" s="574"/>
      <c r="W738" s="574"/>
      <c r="X738" s="574"/>
      <c r="Y738" s="574"/>
      <c r="Z738" s="574"/>
      <c r="AA738" s="574"/>
      <c r="AB738" s="574"/>
      <c r="AC738" s="574"/>
      <c r="AD738" s="574"/>
      <c r="AE738" s="574"/>
    </row>
    <row r="739" spans="1:31" ht="16.5" customHeight="1" x14ac:dyDescent="0.85">
      <c r="A739" s="574"/>
      <c r="B739" s="574"/>
      <c r="C739" s="574"/>
      <c r="D739" s="574"/>
      <c r="E739" s="574"/>
      <c r="F739" s="574"/>
      <c r="G739" s="574"/>
      <c r="H739" s="574"/>
      <c r="I739" s="574"/>
      <c r="J739" s="574"/>
      <c r="K739" s="574"/>
      <c r="L739" s="574"/>
      <c r="M739" s="574"/>
      <c r="N739" s="574"/>
      <c r="O739" s="574"/>
      <c r="P739" s="574"/>
      <c r="Q739" s="574"/>
      <c r="R739" s="574"/>
      <c r="S739" s="574"/>
      <c r="T739" s="574"/>
      <c r="U739" s="574"/>
      <c r="V739" s="574"/>
      <c r="W739" s="574"/>
      <c r="X739" s="574"/>
      <c r="Y739" s="574"/>
      <c r="Z739" s="574"/>
      <c r="AA739" s="574"/>
      <c r="AB739" s="574"/>
      <c r="AC739" s="574"/>
      <c r="AD739" s="574"/>
      <c r="AE739" s="574"/>
    </row>
    <row r="740" spans="1:31" ht="16.5" customHeight="1" x14ac:dyDescent="0.85">
      <c r="A740" s="574"/>
      <c r="B740" s="574"/>
      <c r="C740" s="574"/>
      <c r="D740" s="574"/>
      <c r="E740" s="574"/>
      <c r="F740" s="574"/>
      <c r="G740" s="574"/>
      <c r="H740" s="574"/>
      <c r="I740" s="574"/>
      <c r="J740" s="574"/>
      <c r="K740" s="574"/>
      <c r="L740" s="574"/>
      <c r="M740" s="574"/>
      <c r="N740" s="574"/>
      <c r="O740" s="574"/>
      <c r="P740" s="574"/>
      <c r="Q740" s="574"/>
      <c r="R740" s="574"/>
      <c r="S740" s="574"/>
      <c r="T740" s="574"/>
      <c r="U740" s="574"/>
      <c r="V740" s="574"/>
      <c r="W740" s="574"/>
      <c r="X740" s="574"/>
      <c r="Y740" s="574"/>
      <c r="Z740" s="574"/>
      <c r="AA740" s="574"/>
      <c r="AB740" s="574"/>
      <c r="AC740" s="574"/>
      <c r="AD740" s="574"/>
      <c r="AE740" s="574"/>
    </row>
    <row r="741" spans="1:31" ht="16.5" customHeight="1" x14ac:dyDescent="0.85">
      <c r="A741" s="574"/>
      <c r="B741" s="574"/>
      <c r="C741" s="574"/>
      <c r="D741" s="574"/>
      <c r="E741" s="574"/>
      <c r="F741" s="574"/>
      <c r="G741" s="574"/>
      <c r="H741" s="574"/>
      <c r="I741" s="574"/>
      <c r="J741" s="574"/>
      <c r="K741" s="574"/>
      <c r="L741" s="574"/>
      <c r="M741" s="574"/>
      <c r="N741" s="574"/>
      <c r="O741" s="574"/>
      <c r="P741" s="574"/>
      <c r="Q741" s="574"/>
      <c r="R741" s="574"/>
      <c r="S741" s="574"/>
      <c r="T741" s="574"/>
      <c r="U741" s="574"/>
      <c r="V741" s="574"/>
      <c r="W741" s="574"/>
      <c r="X741" s="574"/>
      <c r="Y741" s="574"/>
      <c r="Z741" s="574"/>
      <c r="AA741" s="574"/>
      <c r="AB741" s="574"/>
      <c r="AC741" s="574"/>
      <c r="AD741" s="574"/>
      <c r="AE741" s="574"/>
    </row>
    <row r="742" spans="1:31" ht="16.5" customHeight="1" x14ac:dyDescent="0.85">
      <c r="A742" s="574"/>
      <c r="B742" s="574"/>
      <c r="C742" s="574"/>
      <c r="D742" s="574"/>
      <c r="E742" s="574"/>
      <c r="F742" s="574"/>
      <c r="G742" s="574"/>
      <c r="H742" s="574"/>
      <c r="I742" s="574"/>
      <c r="J742" s="574"/>
      <c r="K742" s="574"/>
      <c r="L742" s="574"/>
      <c r="M742" s="574"/>
      <c r="N742" s="574"/>
      <c r="O742" s="574"/>
      <c r="P742" s="574"/>
      <c r="Q742" s="574"/>
      <c r="R742" s="574"/>
      <c r="S742" s="574"/>
      <c r="T742" s="574"/>
      <c r="U742" s="574"/>
      <c r="V742" s="574"/>
      <c r="W742" s="574"/>
      <c r="X742" s="574"/>
      <c r="Y742" s="574"/>
      <c r="Z742" s="574"/>
      <c r="AA742" s="574"/>
      <c r="AB742" s="574"/>
      <c r="AC742" s="574"/>
      <c r="AD742" s="574"/>
      <c r="AE742" s="574"/>
    </row>
    <row r="743" spans="1:31" ht="16.5" customHeight="1" x14ac:dyDescent="0.85">
      <c r="A743" s="574"/>
      <c r="B743" s="574"/>
      <c r="C743" s="574"/>
      <c r="D743" s="574"/>
      <c r="E743" s="574"/>
      <c r="F743" s="574"/>
      <c r="G743" s="574"/>
      <c r="H743" s="574"/>
      <c r="I743" s="574"/>
      <c r="J743" s="574"/>
      <c r="K743" s="574"/>
      <c r="L743" s="574"/>
      <c r="M743" s="574"/>
      <c r="N743" s="574"/>
      <c r="O743" s="574"/>
      <c r="P743" s="574"/>
      <c r="Q743" s="574"/>
      <c r="R743" s="574"/>
      <c r="S743" s="574"/>
      <c r="T743" s="574"/>
      <c r="U743" s="574"/>
      <c r="V743" s="574"/>
      <c r="W743" s="574"/>
      <c r="X743" s="574"/>
      <c r="Y743" s="574"/>
      <c r="Z743" s="574"/>
      <c r="AA743" s="574"/>
      <c r="AB743" s="574"/>
      <c r="AC743" s="574"/>
      <c r="AD743" s="574"/>
      <c r="AE743" s="574"/>
    </row>
    <row r="744" spans="1:31" ht="16.5" customHeight="1" x14ac:dyDescent="0.85">
      <c r="A744" s="574"/>
      <c r="B744" s="574"/>
      <c r="C744" s="574"/>
      <c r="D744" s="574"/>
      <c r="E744" s="574"/>
      <c r="F744" s="574"/>
      <c r="G744" s="574"/>
      <c r="H744" s="574"/>
      <c r="I744" s="574"/>
      <c r="J744" s="574"/>
      <c r="K744" s="574"/>
      <c r="L744" s="574"/>
      <c r="M744" s="574"/>
      <c r="N744" s="574"/>
      <c r="O744" s="574"/>
      <c r="P744" s="574"/>
      <c r="Q744" s="574"/>
      <c r="R744" s="574"/>
      <c r="S744" s="574"/>
      <c r="T744" s="574"/>
      <c r="U744" s="574"/>
      <c r="V744" s="574"/>
      <c r="W744" s="574"/>
      <c r="X744" s="574"/>
      <c r="Y744" s="574"/>
      <c r="Z744" s="574"/>
      <c r="AA744" s="574"/>
      <c r="AB744" s="574"/>
      <c r="AC744" s="574"/>
      <c r="AD744" s="574"/>
      <c r="AE744" s="574"/>
    </row>
    <row r="745" spans="1:31" ht="16.5" customHeight="1" x14ac:dyDescent="0.85">
      <c r="A745" s="574"/>
      <c r="B745" s="574"/>
      <c r="C745" s="574"/>
      <c r="D745" s="574"/>
      <c r="E745" s="574"/>
      <c r="F745" s="574"/>
      <c r="G745" s="574"/>
      <c r="H745" s="574"/>
      <c r="I745" s="574"/>
      <c r="J745" s="574"/>
      <c r="K745" s="574"/>
      <c r="L745" s="574"/>
      <c r="M745" s="574"/>
      <c r="N745" s="574"/>
      <c r="O745" s="574"/>
      <c r="P745" s="574"/>
      <c r="Q745" s="574"/>
      <c r="R745" s="574"/>
      <c r="S745" s="574"/>
      <c r="T745" s="574"/>
      <c r="U745" s="574"/>
      <c r="V745" s="574"/>
      <c r="W745" s="574"/>
      <c r="X745" s="574"/>
      <c r="Y745" s="574"/>
      <c r="Z745" s="574"/>
      <c r="AA745" s="574"/>
      <c r="AB745" s="574"/>
      <c r="AC745" s="574"/>
      <c r="AD745" s="574"/>
      <c r="AE745" s="574"/>
    </row>
    <row r="746" spans="1:31" ht="16.5" customHeight="1" x14ac:dyDescent="0.85">
      <c r="A746" s="574"/>
      <c r="B746" s="574"/>
      <c r="C746" s="574"/>
      <c r="D746" s="574"/>
      <c r="E746" s="574"/>
      <c r="F746" s="574"/>
      <c r="G746" s="574"/>
      <c r="H746" s="574"/>
      <c r="I746" s="574"/>
      <c r="J746" s="574"/>
      <c r="K746" s="574"/>
      <c r="L746" s="574"/>
      <c r="M746" s="574"/>
      <c r="N746" s="574"/>
      <c r="O746" s="574"/>
      <c r="P746" s="574"/>
      <c r="Q746" s="574"/>
      <c r="R746" s="574"/>
      <c r="S746" s="574"/>
      <c r="T746" s="574"/>
      <c r="U746" s="574"/>
      <c r="V746" s="574"/>
      <c r="W746" s="574"/>
      <c r="X746" s="574"/>
      <c r="Y746" s="574"/>
      <c r="Z746" s="574"/>
      <c r="AA746" s="574"/>
      <c r="AB746" s="574"/>
      <c r="AC746" s="574"/>
      <c r="AD746" s="574"/>
      <c r="AE746" s="574"/>
    </row>
    <row r="747" spans="1:31" ht="16.5" customHeight="1" x14ac:dyDescent="0.85">
      <c r="A747" s="574"/>
      <c r="B747" s="574"/>
      <c r="C747" s="574"/>
      <c r="D747" s="574"/>
      <c r="E747" s="574"/>
      <c r="F747" s="574"/>
      <c r="G747" s="574"/>
      <c r="H747" s="574"/>
      <c r="I747" s="574"/>
      <c r="J747" s="574"/>
      <c r="K747" s="574"/>
      <c r="L747" s="574"/>
      <c r="M747" s="574"/>
      <c r="N747" s="574"/>
      <c r="O747" s="574"/>
      <c r="P747" s="574"/>
      <c r="Q747" s="574"/>
      <c r="R747" s="574"/>
      <c r="S747" s="574"/>
      <c r="T747" s="574"/>
      <c r="U747" s="574"/>
      <c r="V747" s="574"/>
      <c r="W747" s="574"/>
      <c r="X747" s="574"/>
      <c r="Y747" s="574"/>
      <c r="Z747" s="574"/>
      <c r="AA747" s="574"/>
      <c r="AB747" s="574"/>
      <c r="AC747" s="574"/>
      <c r="AD747" s="574"/>
      <c r="AE747" s="574"/>
    </row>
    <row r="748" spans="1:31" ht="16.5" customHeight="1" x14ac:dyDescent="0.85">
      <c r="A748" s="574"/>
      <c r="B748" s="574"/>
      <c r="C748" s="574"/>
      <c r="D748" s="574"/>
      <c r="E748" s="574"/>
      <c r="F748" s="574"/>
      <c r="G748" s="574"/>
      <c r="H748" s="574"/>
      <c r="I748" s="574"/>
      <c r="J748" s="574"/>
      <c r="K748" s="574"/>
      <c r="L748" s="574"/>
      <c r="M748" s="574"/>
      <c r="N748" s="574"/>
      <c r="O748" s="574"/>
      <c r="P748" s="574"/>
      <c r="Q748" s="574"/>
      <c r="R748" s="574"/>
      <c r="S748" s="574"/>
      <c r="T748" s="574"/>
      <c r="U748" s="574"/>
      <c r="V748" s="574"/>
      <c r="W748" s="574"/>
      <c r="X748" s="574"/>
      <c r="Y748" s="574"/>
      <c r="Z748" s="574"/>
      <c r="AA748" s="574"/>
      <c r="AB748" s="574"/>
      <c r="AC748" s="574"/>
      <c r="AD748" s="574"/>
      <c r="AE748" s="574"/>
    </row>
    <row r="749" spans="1:31" ht="16.5" customHeight="1" x14ac:dyDescent="0.85">
      <c r="A749" s="574"/>
      <c r="B749" s="574"/>
      <c r="C749" s="574"/>
      <c r="D749" s="574"/>
      <c r="E749" s="574"/>
      <c r="F749" s="574"/>
      <c r="G749" s="574"/>
      <c r="H749" s="574"/>
      <c r="I749" s="574"/>
      <c r="J749" s="574"/>
      <c r="K749" s="574"/>
      <c r="L749" s="574"/>
      <c r="M749" s="574"/>
      <c r="N749" s="574"/>
      <c r="O749" s="574"/>
      <c r="P749" s="574"/>
      <c r="Q749" s="574"/>
      <c r="R749" s="574"/>
      <c r="S749" s="574"/>
      <c r="T749" s="574"/>
      <c r="U749" s="574"/>
      <c r="V749" s="574"/>
      <c r="W749" s="574"/>
      <c r="X749" s="574"/>
      <c r="Y749" s="574"/>
      <c r="Z749" s="574"/>
      <c r="AA749" s="574"/>
      <c r="AB749" s="574"/>
      <c r="AC749" s="574"/>
      <c r="AD749" s="574"/>
      <c r="AE749" s="574"/>
    </row>
    <row r="750" spans="1:31" ht="16.5" customHeight="1" x14ac:dyDescent="0.85">
      <c r="A750" s="574"/>
      <c r="B750" s="574"/>
      <c r="C750" s="574"/>
      <c r="D750" s="574"/>
      <c r="E750" s="574"/>
      <c r="F750" s="574"/>
      <c r="G750" s="574"/>
      <c r="H750" s="574"/>
      <c r="I750" s="574"/>
      <c r="J750" s="574"/>
      <c r="K750" s="574"/>
      <c r="L750" s="574"/>
      <c r="M750" s="574"/>
      <c r="N750" s="574"/>
      <c r="O750" s="574"/>
      <c r="P750" s="574"/>
      <c r="Q750" s="574"/>
      <c r="R750" s="574"/>
      <c r="S750" s="574"/>
      <c r="T750" s="574"/>
      <c r="U750" s="574"/>
      <c r="V750" s="574"/>
      <c r="W750" s="574"/>
      <c r="X750" s="574"/>
      <c r="Y750" s="574"/>
      <c r="Z750" s="574"/>
      <c r="AA750" s="574"/>
      <c r="AB750" s="574"/>
      <c r="AC750" s="574"/>
      <c r="AD750" s="574"/>
      <c r="AE750" s="574"/>
    </row>
    <row r="751" spans="1:31" ht="16.5" customHeight="1" x14ac:dyDescent="0.85">
      <c r="A751" s="574"/>
      <c r="B751" s="574"/>
      <c r="C751" s="574"/>
      <c r="D751" s="574"/>
      <c r="E751" s="574"/>
      <c r="F751" s="574"/>
      <c r="G751" s="574"/>
      <c r="H751" s="574"/>
      <c r="I751" s="574"/>
      <c r="J751" s="574"/>
      <c r="K751" s="574"/>
      <c r="L751" s="574"/>
      <c r="M751" s="574"/>
      <c r="N751" s="574"/>
      <c r="O751" s="574"/>
      <c r="P751" s="574"/>
      <c r="Q751" s="574"/>
      <c r="R751" s="574"/>
      <c r="S751" s="574"/>
      <c r="T751" s="574"/>
      <c r="U751" s="574"/>
      <c r="V751" s="574"/>
      <c r="W751" s="574"/>
      <c r="X751" s="574"/>
      <c r="Y751" s="574"/>
      <c r="Z751" s="574"/>
      <c r="AA751" s="574"/>
      <c r="AB751" s="574"/>
      <c r="AC751" s="574"/>
      <c r="AD751" s="574"/>
      <c r="AE751" s="574"/>
    </row>
    <row r="752" spans="1:31" ht="16.5" customHeight="1" x14ac:dyDescent="0.85">
      <c r="A752" s="574"/>
      <c r="B752" s="574"/>
      <c r="C752" s="574"/>
      <c r="D752" s="574"/>
      <c r="E752" s="574"/>
      <c r="F752" s="574"/>
      <c r="G752" s="574"/>
      <c r="H752" s="574"/>
      <c r="I752" s="574"/>
      <c r="J752" s="574"/>
      <c r="K752" s="574"/>
      <c r="L752" s="574"/>
      <c r="M752" s="574"/>
      <c r="N752" s="574"/>
      <c r="O752" s="574"/>
      <c r="P752" s="574"/>
      <c r="Q752" s="574"/>
      <c r="R752" s="574"/>
      <c r="S752" s="574"/>
      <c r="T752" s="574"/>
      <c r="U752" s="574"/>
      <c r="V752" s="574"/>
      <c r="W752" s="574"/>
      <c r="X752" s="574"/>
      <c r="Y752" s="574"/>
      <c r="Z752" s="574"/>
      <c r="AA752" s="574"/>
      <c r="AB752" s="574"/>
      <c r="AC752" s="574"/>
      <c r="AD752" s="574"/>
      <c r="AE752" s="574"/>
    </row>
    <row r="753" spans="1:31" ht="16.5" customHeight="1" x14ac:dyDescent="0.85">
      <c r="A753" s="574"/>
      <c r="B753" s="574"/>
      <c r="C753" s="574"/>
      <c r="D753" s="574"/>
      <c r="E753" s="574"/>
      <c r="F753" s="574"/>
      <c r="G753" s="574"/>
      <c r="H753" s="574"/>
      <c r="I753" s="574"/>
      <c r="J753" s="574"/>
      <c r="K753" s="574"/>
      <c r="L753" s="574"/>
      <c r="M753" s="574"/>
      <c r="N753" s="574"/>
      <c r="O753" s="574"/>
      <c r="P753" s="574"/>
      <c r="Q753" s="574"/>
      <c r="R753" s="574"/>
      <c r="S753" s="574"/>
      <c r="T753" s="574"/>
      <c r="U753" s="574"/>
      <c r="V753" s="574"/>
      <c r="W753" s="574"/>
      <c r="X753" s="574"/>
      <c r="Y753" s="574"/>
      <c r="Z753" s="574"/>
      <c r="AA753" s="574"/>
      <c r="AB753" s="574"/>
      <c r="AC753" s="574"/>
      <c r="AD753" s="574"/>
      <c r="AE753" s="574"/>
    </row>
    <row r="754" spans="1:31" ht="16.5" customHeight="1" x14ac:dyDescent="0.85">
      <c r="A754" s="574"/>
      <c r="B754" s="574"/>
      <c r="C754" s="574"/>
      <c r="D754" s="574"/>
      <c r="E754" s="574"/>
      <c r="F754" s="574"/>
      <c r="G754" s="574"/>
      <c r="H754" s="574"/>
      <c r="I754" s="574"/>
      <c r="J754" s="574"/>
      <c r="K754" s="574"/>
      <c r="L754" s="574"/>
      <c r="M754" s="574"/>
      <c r="N754" s="574"/>
      <c r="O754" s="574"/>
      <c r="P754" s="574"/>
      <c r="Q754" s="574"/>
      <c r="R754" s="574"/>
      <c r="S754" s="574"/>
      <c r="T754" s="574"/>
      <c r="U754" s="574"/>
      <c r="V754" s="574"/>
      <c r="W754" s="574"/>
      <c r="X754" s="574"/>
      <c r="Y754" s="574"/>
      <c r="Z754" s="574"/>
      <c r="AA754" s="574"/>
      <c r="AB754" s="574"/>
      <c r="AC754" s="574"/>
      <c r="AD754" s="574"/>
      <c r="AE754" s="574"/>
    </row>
    <row r="755" spans="1:31" ht="16.5" customHeight="1" x14ac:dyDescent="0.85">
      <c r="A755" s="574"/>
      <c r="B755" s="574"/>
      <c r="C755" s="574"/>
      <c r="D755" s="574"/>
      <c r="E755" s="574"/>
      <c r="F755" s="574"/>
      <c r="G755" s="574"/>
      <c r="H755" s="574"/>
      <c r="I755" s="574"/>
      <c r="J755" s="574"/>
      <c r="K755" s="574"/>
      <c r="L755" s="574"/>
      <c r="M755" s="574"/>
      <c r="N755" s="574"/>
      <c r="O755" s="574"/>
      <c r="P755" s="574"/>
      <c r="Q755" s="574"/>
      <c r="R755" s="574"/>
      <c r="S755" s="574"/>
      <c r="T755" s="574"/>
      <c r="U755" s="574"/>
      <c r="V755" s="574"/>
      <c r="W755" s="574"/>
      <c r="X755" s="574"/>
      <c r="Y755" s="574"/>
      <c r="Z755" s="574"/>
      <c r="AA755" s="574"/>
      <c r="AB755" s="574"/>
      <c r="AC755" s="574"/>
      <c r="AD755" s="574"/>
      <c r="AE755" s="574"/>
    </row>
    <row r="756" spans="1:31" ht="16.5" customHeight="1" x14ac:dyDescent="0.85">
      <c r="A756" s="574"/>
      <c r="B756" s="574"/>
      <c r="C756" s="574"/>
      <c r="D756" s="574"/>
      <c r="E756" s="574"/>
      <c r="F756" s="574"/>
      <c r="G756" s="574"/>
      <c r="H756" s="574"/>
      <c r="I756" s="574"/>
      <c r="J756" s="574"/>
      <c r="K756" s="574"/>
      <c r="L756" s="574"/>
      <c r="M756" s="574"/>
      <c r="N756" s="574"/>
      <c r="O756" s="574"/>
      <c r="P756" s="574"/>
      <c r="Q756" s="574"/>
      <c r="R756" s="574"/>
      <c r="S756" s="574"/>
      <c r="T756" s="574"/>
      <c r="U756" s="574"/>
      <c r="V756" s="574"/>
      <c r="W756" s="574"/>
      <c r="X756" s="574"/>
      <c r="Y756" s="574"/>
      <c r="Z756" s="574"/>
      <c r="AA756" s="574"/>
      <c r="AB756" s="574"/>
      <c r="AC756" s="574"/>
      <c r="AD756" s="574"/>
      <c r="AE756" s="574"/>
    </row>
    <row r="757" spans="1:31" ht="16.5" customHeight="1" x14ac:dyDescent="0.85">
      <c r="A757" s="574"/>
      <c r="B757" s="574"/>
      <c r="C757" s="574"/>
      <c r="D757" s="574"/>
      <c r="E757" s="574"/>
      <c r="F757" s="574"/>
      <c r="G757" s="574"/>
      <c r="H757" s="574"/>
      <c r="I757" s="574"/>
      <c r="J757" s="574"/>
      <c r="K757" s="574"/>
      <c r="L757" s="574"/>
      <c r="M757" s="574"/>
      <c r="N757" s="574"/>
      <c r="O757" s="574"/>
      <c r="P757" s="574"/>
      <c r="Q757" s="574"/>
      <c r="R757" s="574"/>
      <c r="S757" s="574"/>
      <c r="T757" s="574"/>
      <c r="U757" s="574"/>
      <c r="V757" s="574"/>
      <c r="W757" s="574"/>
      <c r="X757" s="574"/>
      <c r="Y757" s="574"/>
      <c r="Z757" s="574"/>
      <c r="AA757" s="574"/>
      <c r="AB757" s="574"/>
      <c r="AC757" s="574"/>
      <c r="AD757" s="574"/>
      <c r="AE757" s="574"/>
    </row>
    <row r="758" spans="1:31" ht="16.5" customHeight="1" x14ac:dyDescent="0.85">
      <c r="A758" s="574"/>
      <c r="B758" s="574"/>
      <c r="C758" s="574"/>
      <c r="D758" s="574"/>
      <c r="E758" s="574"/>
      <c r="F758" s="574"/>
      <c r="G758" s="574"/>
      <c r="H758" s="574"/>
      <c r="I758" s="574"/>
      <c r="J758" s="574"/>
      <c r="K758" s="574"/>
      <c r="L758" s="574"/>
      <c r="M758" s="574"/>
      <c r="N758" s="574"/>
      <c r="O758" s="574"/>
      <c r="P758" s="574"/>
      <c r="Q758" s="574"/>
      <c r="R758" s="574"/>
      <c r="S758" s="574"/>
      <c r="T758" s="574"/>
      <c r="U758" s="574"/>
      <c r="V758" s="574"/>
      <c r="W758" s="574"/>
      <c r="X758" s="574"/>
      <c r="Y758" s="574"/>
      <c r="Z758" s="574"/>
      <c r="AA758" s="574"/>
      <c r="AB758" s="574"/>
      <c r="AC758" s="574"/>
      <c r="AD758" s="574"/>
      <c r="AE758" s="574"/>
    </row>
    <row r="759" spans="1:31" ht="16.5" customHeight="1" x14ac:dyDescent="0.85">
      <c r="A759" s="574"/>
      <c r="B759" s="574"/>
      <c r="C759" s="574"/>
      <c r="D759" s="574"/>
      <c r="E759" s="574"/>
      <c r="F759" s="574"/>
      <c r="G759" s="574"/>
      <c r="H759" s="574"/>
      <c r="I759" s="574"/>
      <c r="J759" s="574"/>
      <c r="K759" s="574"/>
      <c r="L759" s="574"/>
      <c r="M759" s="574"/>
      <c r="N759" s="574"/>
      <c r="O759" s="574"/>
      <c r="P759" s="574"/>
      <c r="Q759" s="574"/>
      <c r="R759" s="574"/>
      <c r="S759" s="574"/>
      <c r="T759" s="574"/>
      <c r="U759" s="574"/>
      <c r="V759" s="574"/>
      <c r="W759" s="574"/>
      <c r="X759" s="574"/>
      <c r="Y759" s="574"/>
      <c r="Z759" s="574"/>
      <c r="AA759" s="574"/>
      <c r="AB759" s="574"/>
      <c r="AC759" s="574"/>
      <c r="AD759" s="574"/>
      <c r="AE759" s="574"/>
    </row>
    <row r="760" spans="1:31" ht="16.5" customHeight="1" x14ac:dyDescent="0.85">
      <c r="A760" s="574"/>
      <c r="B760" s="574"/>
      <c r="C760" s="574"/>
      <c r="D760" s="574"/>
      <c r="E760" s="574"/>
      <c r="F760" s="574"/>
      <c r="G760" s="574"/>
      <c r="H760" s="574"/>
      <c r="I760" s="574"/>
      <c r="J760" s="574"/>
      <c r="K760" s="574"/>
      <c r="L760" s="574"/>
      <c r="M760" s="574"/>
      <c r="N760" s="574"/>
      <c r="O760" s="574"/>
      <c r="P760" s="574"/>
      <c r="Q760" s="574"/>
      <c r="R760" s="574"/>
      <c r="S760" s="574"/>
      <c r="T760" s="574"/>
      <c r="U760" s="574"/>
      <c r="V760" s="574"/>
      <c r="W760" s="574"/>
      <c r="X760" s="574"/>
      <c r="Y760" s="574"/>
      <c r="Z760" s="574"/>
      <c r="AA760" s="574"/>
      <c r="AB760" s="574"/>
      <c r="AC760" s="574"/>
      <c r="AD760" s="574"/>
      <c r="AE760" s="574"/>
    </row>
    <row r="761" spans="1:31" ht="16.5" customHeight="1" x14ac:dyDescent="0.85">
      <c r="A761" s="574"/>
      <c r="B761" s="574"/>
      <c r="C761" s="574"/>
      <c r="D761" s="574"/>
      <c r="E761" s="574"/>
      <c r="F761" s="574"/>
      <c r="G761" s="574"/>
      <c r="H761" s="574"/>
      <c r="I761" s="574"/>
      <c r="J761" s="574"/>
      <c r="K761" s="574"/>
      <c r="L761" s="574"/>
      <c r="M761" s="574"/>
      <c r="N761" s="574"/>
      <c r="O761" s="574"/>
      <c r="P761" s="574"/>
      <c r="Q761" s="574"/>
      <c r="R761" s="574"/>
      <c r="S761" s="574"/>
      <c r="T761" s="574"/>
      <c r="U761" s="574"/>
      <c r="V761" s="574"/>
      <c r="W761" s="574"/>
      <c r="X761" s="574"/>
      <c r="Y761" s="574"/>
      <c r="Z761" s="574"/>
      <c r="AA761" s="574"/>
      <c r="AB761" s="574"/>
      <c r="AC761" s="574"/>
      <c r="AD761" s="574"/>
      <c r="AE761" s="574"/>
    </row>
    <row r="762" spans="1:31" ht="16.5" customHeight="1" x14ac:dyDescent="0.85">
      <c r="A762" s="574"/>
      <c r="B762" s="574"/>
      <c r="C762" s="574"/>
      <c r="D762" s="574"/>
      <c r="E762" s="574"/>
      <c r="F762" s="574"/>
      <c r="G762" s="574"/>
      <c r="H762" s="574"/>
      <c r="I762" s="574"/>
      <c r="J762" s="574"/>
      <c r="K762" s="574"/>
      <c r="L762" s="574"/>
      <c r="M762" s="574"/>
      <c r="N762" s="574"/>
      <c r="O762" s="574"/>
      <c r="P762" s="574"/>
      <c r="Q762" s="574"/>
      <c r="R762" s="574"/>
      <c r="S762" s="574"/>
      <c r="T762" s="574"/>
      <c r="U762" s="574"/>
      <c r="V762" s="574"/>
      <c r="W762" s="574"/>
      <c r="X762" s="574"/>
      <c r="Y762" s="574"/>
      <c r="Z762" s="574"/>
      <c r="AA762" s="574"/>
      <c r="AB762" s="574"/>
      <c r="AC762" s="574"/>
      <c r="AD762" s="574"/>
      <c r="AE762" s="574"/>
    </row>
    <row r="763" spans="1:31" ht="16.5" customHeight="1" x14ac:dyDescent="0.85">
      <c r="A763" s="574"/>
      <c r="B763" s="574"/>
      <c r="C763" s="574"/>
      <c r="D763" s="574"/>
      <c r="E763" s="574"/>
      <c r="F763" s="574"/>
      <c r="G763" s="574"/>
      <c r="H763" s="574"/>
      <c r="I763" s="574"/>
      <c r="J763" s="574"/>
      <c r="K763" s="574"/>
      <c r="L763" s="574"/>
      <c r="M763" s="574"/>
      <c r="N763" s="574"/>
      <c r="O763" s="574"/>
      <c r="P763" s="574"/>
      <c r="Q763" s="574"/>
      <c r="R763" s="574"/>
      <c r="S763" s="574"/>
      <c r="T763" s="574"/>
      <c r="U763" s="574"/>
      <c r="V763" s="574"/>
      <c r="W763" s="574"/>
      <c r="X763" s="574"/>
      <c r="Y763" s="574"/>
      <c r="Z763" s="574"/>
      <c r="AA763" s="574"/>
      <c r="AB763" s="574"/>
      <c r="AC763" s="574"/>
      <c r="AD763" s="574"/>
      <c r="AE763" s="574"/>
    </row>
    <row r="764" spans="1:31" ht="16.5" customHeight="1" x14ac:dyDescent="0.85">
      <c r="A764" s="574"/>
      <c r="B764" s="574"/>
      <c r="C764" s="574"/>
      <c r="D764" s="574"/>
      <c r="E764" s="574"/>
      <c r="F764" s="574"/>
      <c r="G764" s="574"/>
      <c r="H764" s="574"/>
      <c r="I764" s="574"/>
      <c r="J764" s="574"/>
      <c r="K764" s="574"/>
      <c r="L764" s="574"/>
      <c r="M764" s="574"/>
      <c r="N764" s="574"/>
      <c r="O764" s="574"/>
      <c r="P764" s="574"/>
      <c r="Q764" s="574"/>
      <c r="R764" s="574"/>
      <c r="S764" s="574"/>
      <c r="T764" s="574"/>
      <c r="U764" s="574"/>
      <c r="V764" s="574"/>
      <c r="W764" s="574"/>
      <c r="X764" s="574"/>
      <c r="Y764" s="574"/>
      <c r="Z764" s="574"/>
      <c r="AA764" s="574"/>
      <c r="AB764" s="574"/>
      <c r="AC764" s="574"/>
      <c r="AD764" s="574"/>
      <c r="AE764" s="574"/>
    </row>
    <row r="765" spans="1:31" ht="16.5" customHeight="1" x14ac:dyDescent="0.85">
      <c r="A765" s="574"/>
      <c r="B765" s="574"/>
      <c r="C765" s="574"/>
      <c r="D765" s="574"/>
      <c r="E765" s="574"/>
      <c r="F765" s="574"/>
      <c r="G765" s="574"/>
      <c r="H765" s="574"/>
      <c r="I765" s="574"/>
      <c r="J765" s="574"/>
      <c r="K765" s="574"/>
      <c r="L765" s="574"/>
      <c r="M765" s="574"/>
      <c r="N765" s="574"/>
      <c r="O765" s="574"/>
      <c r="P765" s="574"/>
      <c r="Q765" s="574"/>
      <c r="R765" s="574"/>
      <c r="S765" s="574"/>
      <c r="T765" s="574"/>
      <c r="U765" s="574"/>
      <c r="V765" s="574"/>
      <c r="W765" s="574"/>
      <c r="X765" s="574"/>
      <c r="Y765" s="574"/>
      <c r="Z765" s="574"/>
      <c r="AA765" s="574"/>
      <c r="AB765" s="574"/>
      <c r="AC765" s="574"/>
      <c r="AD765" s="574"/>
      <c r="AE765" s="574"/>
    </row>
    <row r="766" spans="1:31" ht="16.5" customHeight="1" x14ac:dyDescent="0.85">
      <c r="A766" s="574"/>
      <c r="B766" s="574"/>
      <c r="C766" s="574"/>
      <c r="D766" s="574"/>
      <c r="E766" s="574"/>
      <c r="F766" s="574"/>
      <c r="G766" s="574"/>
      <c r="H766" s="574"/>
      <c r="I766" s="574"/>
      <c r="J766" s="574"/>
      <c r="K766" s="574"/>
      <c r="L766" s="574"/>
      <c r="M766" s="574"/>
      <c r="N766" s="574"/>
      <c r="O766" s="574"/>
      <c r="P766" s="574"/>
      <c r="Q766" s="574"/>
      <c r="R766" s="574"/>
      <c r="S766" s="574"/>
      <c r="T766" s="574"/>
      <c r="U766" s="574"/>
      <c r="V766" s="574"/>
      <c r="W766" s="574"/>
      <c r="X766" s="574"/>
      <c r="Y766" s="574"/>
      <c r="Z766" s="574"/>
      <c r="AA766" s="574"/>
      <c r="AB766" s="574"/>
      <c r="AC766" s="574"/>
      <c r="AD766" s="574"/>
      <c r="AE766" s="574"/>
    </row>
    <row r="767" spans="1:31" ht="16.5" customHeight="1" x14ac:dyDescent="0.85">
      <c r="A767" s="574"/>
      <c r="B767" s="574"/>
      <c r="C767" s="574"/>
      <c r="D767" s="574"/>
      <c r="E767" s="574"/>
      <c r="F767" s="574"/>
      <c r="G767" s="574"/>
      <c r="H767" s="574"/>
      <c r="I767" s="574"/>
      <c r="J767" s="574"/>
      <c r="K767" s="574"/>
      <c r="L767" s="574"/>
      <c r="M767" s="574"/>
      <c r="N767" s="574"/>
      <c r="O767" s="574"/>
      <c r="P767" s="574"/>
      <c r="Q767" s="574"/>
      <c r="R767" s="574"/>
      <c r="S767" s="574"/>
      <c r="T767" s="574"/>
      <c r="U767" s="574"/>
      <c r="V767" s="574"/>
      <c r="W767" s="574"/>
      <c r="X767" s="574"/>
      <c r="Y767" s="574"/>
      <c r="Z767" s="574"/>
      <c r="AA767" s="574"/>
      <c r="AB767" s="574"/>
      <c r="AC767" s="574"/>
      <c r="AD767" s="574"/>
      <c r="AE767" s="574"/>
    </row>
    <row r="768" spans="1:31" ht="16.5" customHeight="1" x14ac:dyDescent="0.85">
      <c r="A768" s="574"/>
      <c r="B768" s="574"/>
      <c r="C768" s="574"/>
      <c r="D768" s="574"/>
      <c r="E768" s="574"/>
      <c r="F768" s="574"/>
      <c r="G768" s="574"/>
      <c r="H768" s="574"/>
      <c r="I768" s="574"/>
      <c r="J768" s="574"/>
      <c r="K768" s="574"/>
      <c r="L768" s="574"/>
      <c r="M768" s="574"/>
      <c r="N768" s="574"/>
      <c r="O768" s="574"/>
      <c r="P768" s="574"/>
      <c r="Q768" s="574"/>
      <c r="R768" s="574"/>
      <c r="S768" s="574"/>
      <c r="T768" s="574"/>
      <c r="U768" s="574"/>
      <c r="V768" s="574"/>
      <c r="W768" s="574"/>
      <c r="X768" s="574"/>
      <c r="Y768" s="574"/>
      <c r="Z768" s="574"/>
      <c r="AA768" s="574"/>
      <c r="AB768" s="574"/>
      <c r="AC768" s="574"/>
      <c r="AD768" s="574"/>
      <c r="AE768" s="574"/>
    </row>
    <row r="769" spans="1:31" ht="16.5" customHeight="1" x14ac:dyDescent="0.85">
      <c r="A769" s="574"/>
      <c r="B769" s="574"/>
      <c r="C769" s="574"/>
      <c r="D769" s="574"/>
      <c r="E769" s="574"/>
      <c r="F769" s="574"/>
      <c r="G769" s="574"/>
      <c r="H769" s="574"/>
      <c r="I769" s="574"/>
      <c r="J769" s="574"/>
      <c r="K769" s="574"/>
      <c r="L769" s="574"/>
      <c r="M769" s="574"/>
      <c r="N769" s="574"/>
      <c r="O769" s="574"/>
      <c r="P769" s="574"/>
      <c r="Q769" s="574"/>
      <c r="R769" s="574"/>
      <c r="S769" s="574"/>
      <c r="T769" s="574"/>
      <c r="U769" s="574"/>
      <c r="V769" s="574"/>
      <c r="W769" s="574"/>
      <c r="X769" s="574"/>
      <c r="Y769" s="574"/>
      <c r="Z769" s="574"/>
      <c r="AA769" s="574"/>
      <c r="AB769" s="574"/>
      <c r="AC769" s="574"/>
      <c r="AD769" s="574"/>
      <c r="AE769" s="574"/>
    </row>
    <row r="770" spans="1:31" ht="16.5" customHeight="1" x14ac:dyDescent="0.85">
      <c r="A770" s="574"/>
      <c r="B770" s="574"/>
      <c r="C770" s="574"/>
      <c r="D770" s="574"/>
      <c r="E770" s="574"/>
      <c r="F770" s="574"/>
      <c r="G770" s="574"/>
      <c r="H770" s="574"/>
      <c r="I770" s="574"/>
      <c r="J770" s="574"/>
      <c r="K770" s="574"/>
      <c r="L770" s="574"/>
      <c r="M770" s="574"/>
      <c r="N770" s="574"/>
      <c r="O770" s="574"/>
      <c r="P770" s="574"/>
      <c r="Q770" s="574"/>
      <c r="R770" s="574"/>
      <c r="S770" s="574"/>
      <c r="T770" s="574"/>
      <c r="U770" s="574"/>
      <c r="V770" s="574"/>
      <c r="W770" s="574"/>
      <c r="X770" s="574"/>
      <c r="Y770" s="574"/>
      <c r="Z770" s="574"/>
      <c r="AA770" s="574"/>
      <c r="AB770" s="574"/>
      <c r="AC770" s="574"/>
      <c r="AD770" s="574"/>
      <c r="AE770" s="574"/>
    </row>
    <row r="771" spans="1:31" ht="16.5" customHeight="1" x14ac:dyDescent="0.85">
      <c r="A771" s="574"/>
      <c r="B771" s="574"/>
      <c r="C771" s="574"/>
      <c r="D771" s="574"/>
      <c r="E771" s="574"/>
      <c r="F771" s="574"/>
      <c r="G771" s="574"/>
      <c r="H771" s="574"/>
      <c r="I771" s="574"/>
      <c r="J771" s="574"/>
      <c r="K771" s="574"/>
      <c r="L771" s="574"/>
      <c r="M771" s="574"/>
      <c r="N771" s="574"/>
      <c r="O771" s="574"/>
      <c r="P771" s="574"/>
      <c r="Q771" s="574"/>
      <c r="R771" s="574"/>
      <c r="S771" s="574"/>
      <c r="T771" s="574"/>
      <c r="U771" s="574"/>
      <c r="V771" s="574"/>
      <c r="W771" s="574"/>
      <c r="X771" s="574"/>
      <c r="Y771" s="574"/>
      <c r="Z771" s="574"/>
      <c r="AA771" s="574"/>
      <c r="AB771" s="574"/>
      <c r="AC771" s="574"/>
      <c r="AD771" s="574"/>
      <c r="AE771" s="574"/>
    </row>
    <row r="772" spans="1:31" ht="16.5" customHeight="1" x14ac:dyDescent="0.85">
      <c r="A772" s="574"/>
      <c r="B772" s="574"/>
      <c r="C772" s="574"/>
      <c r="D772" s="574"/>
      <c r="E772" s="574"/>
      <c r="F772" s="574"/>
      <c r="G772" s="574"/>
      <c r="H772" s="574"/>
      <c r="I772" s="574"/>
      <c r="J772" s="574"/>
      <c r="K772" s="574"/>
      <c r="L772" s="574"/>
      <c r="M772" s="574"/>
      <c r="N772" s="574"/>
      <c r="O772" s="574"/>
      <c r="P772" s="574"/>
      <c r="Q772" s="574"/>
      <c r="R772" s="574"/>
      <c r="S772" s="574"/>
      <c r="T772" s="574"/>
      <c r="U772" s="574"/>
      <c r="V772" s="574"/>
      <c r="W772" s="574"/>
      <c r="X772" s="574"/>
      <c r="Y772" s="574"/>
      <c r="Z772" s="574"/>
      <c r="AA772" s="574"/>
      <c r="AB772" s="574"/>
      <c r="AC772" s="574"/>
      <c r="AD772" s="574"/>
      <c r="AE772" s="574"/>
    </row>
    <row r="773" spans="1:31" ht="16.5" customHeight="1" x14ac:dyDescent="0.85">
      <c r="A773" s="574"/>
      <c r="B773" s="574"/>
      <c r="C773" s="574"/>
      <c r="D773" s="574"/>
      <c r="E773" s="574"/>
      <c r="F773" s="574"/>
      <c r="G773" s="574"/>
      <c r="H773" s="574"/>
      <c r="I773" s="574"/>
      <c r="J773" s="574"/>
      <c r="K773" s="574"/>
      <c r="L773" s="574"/>
      <c r="M773" s="574"/>
      <c r="N773" s="574"/>
      <c r="O773" s="574"/>
      <c r="P773" s="574"/>
      <c r="Q773" s="574"/>
      <c r="R773" s="574"/>
      <c r="S773" s="574"/>
      <c r="T773" s="574"/>
      <c r="U773" s="574"/>
      <c r="V773" s="574"/>
      <c r="W773" s="574"/>
      <c r="X773" s="574"/>
      <c r="Y773" s="574"/>
      <c r="Z773" s="574"/>
      <c r="AA773" s="574"/>
      <c r="AB773" s="574"/>
      <c r="AC773" s="574"/>
      <c r="AD773" s="574"/>
      <c r="AE773" s="574"/>
    </row>
    <row r="774" spans="1:31" ht="16.5" customHeight="1" x14ac:dyDescent="0.85">
      <c r="A774" s="574"/>
      <c r="B774" s="574"/>
      <c r="C774" s="574"/>
      <c r="D774" s="574"/>
      <c r="E774" s="574"/>
      <c r="F774" s="574"/>
      <c r="G774" s="574"/>
      <c r="H774" s="574"/>
      <c r="I774" s="574"/>
      <c r="J774" s="574"/>
      <c r="K774" s="574"/>
      <c r="L774" s="574"/>
      <c r="M774" s="574"/>
      <c r="N774" s="574"/>
      <c r="O774" s="574"/>
      <c r="P774" s="574"/>
      <c r="Q774" s="574"/>
      <c r="R774" s="574"/>
      <c r="S774" s="574"/>
      <c r="T774" s="574"/>
      <c r="U774" s="574"/>
      <c r="V774" s="574"/>
      <c r="W774" s="574"/>
      <c r="X774" s="574"/>
      <c r="Y774" s="574"/>
      <c r="Z774" s="574"/>
      <c r="AA774" s="574"/>
      <c r="AB774" s="574"/>
      <c r="AC774" s="574"/>
      <c r="AD774" s="574"/>
      <c r="AE774" s="574"/>
    </row>
    <row r="775" spans="1:31" ht="16.5" customHeight="1" x14ac:dyDescent="0.85">
      <c r="A775" s="574"/>
      <c r="B775" s="574"/>
      <c r="C775" s="574"/>
      <c r="D775" s="574"/>
      <c r="E775" s="574"/>
      <c r="F775" s="574"/>
      <c r="G775" s="574"/>
      <c r="H775" s="574"/>
      <c r="I775" s="574"/>
      <c r="J775" s="574"/>
      <c r="K775" s="574"/>
      <c r="L775" s="574"/>
      <c r="M775" s="574"/>
      <c r="N775" s="574"/>
      <c r="O775" s="574"/>
      <c r="P775" s="574"/>
      <c r="Q775" s="574"/>
      <c r="R775" s="574"/>
      <c r="S775" s="574"/>
      <c r="T775" s="574"/>
      <c r="U775" s="574"/>
      <c r="V775" s="574"/>
      <c r="W775" s="574"/>
      <c r="X775" s="574"/>
      <c r="Y775" s="574"/>
      <c r="Z775" s="574"/>
      <c r="AA775" s="574"/>
      <c r="AB775" s="574"/>
      <c r="AC775" s="574"/>
      <c r="AD775" s="574"/>
      <c r="AE775" s="574"/>
    </row>
    <row r="776" spans="1:31" ht="16.5" customHeight="1" x14ac:dyDescent="0.85">
      <c r="A776" s="574"/>
      <c r="B776" s="574"/>
      <c r="C776" s="574"/>
      <c r="D776" s="574"/>
      <c r="E776" s="574"/>
      <c r="F776" s="574"/>
      <c r="G776" s="574"/>
      <c r="H776" s="574"/>
      <c r="I776" s="574"/>
      <c r="J776" s="574"/>
      <c r="K776" s="574"/>
      <c r="L776" s="574"/>
      <c r="M776" s="574"/>
      <c r="N776" s="574"/>
      <c r="O776" s="574"/>
      <c r="P776" s="574"/>
      <c r="Q776" s="574"/>
      <c r="R776" s="574"/>
      <c r="S776" s="574"/>
      <c r="T776" s="574"/>
      <c r="U776" s="574"/>
      <c r="V776" s="574"/>
      <c r="W776" s="574"/>
      <c r="X776" s="574"/>
      <c r="Y776" s="574"/>
      <c r="Z776" s="574"/>
      <c r="AA776" s="574"/>
      <c r="AB776" s="574"/>
      <c r="AC776" s="574"/>
      <c r="AD776" s="574"/>
      <c r="AE776" s="574"/>
    </row>
    <row r="777" spans="1:31" ht="16.5" customHeight="1" x14ac:dyDescent="0.85">
      <c r="A777" s="574"/>
      <c r="B777" s="574"/>
      <c r="C777" s="574"/>
      <c r="D777" s="574"/>
      <c r="E777" s="574"/>
      <c r="F777" s="574"/>
      <c r="G777" s="574"/>
      <c r="H777" s="574"/>
      <c r="I777" s="574"/>
      <c r="J777" s="574"/>
      <c r="K777" s="574"/>
      <c r="L777" s="574"/>
      <c r="M777" s="574"/>
      <c r="N777" s="574"/>
      <c r="O777" s="574"/>
      <c r="P777" s="574"/>
      <c r="Q777" s="574"/>
      <c r="R777" s="574"/>
      <c r="S777" s="574"/>
      <c r="T777" s="574"/>
      <c r="U777" s="574"/>
      <c r="V777" s="574"/>
      <c r="W777" s="574"/>
      <c r="X777" s="574"/>
      <c r="Y777" s="574"/>
      <c r="Z777" s="574"/>
      <c r="AA777" s="574"/>
      <c r="AB777" s="574"/>
      <c r="AC777" s="574"/>
      <c r="AD777" s="574"/>
      <c r="AE777" s="574"/>
    </row>
    <row r="778" spans="1:31" ht="16.5" customHeight="1" x14ac:dyDescent="0.85">
      <c r="A778" s="574"/>
      <c r="B778" s="574"/>
      <c r="C778" s="574"/>
      <c r="D778" s="574"/>
      <c r="E778" s="574"/>
      <c r="F778" s="574"/>
      <c r="G778" s="574"/>
      <c r="H778" s="574"/>
      <c r="I778" s="574"/>
      <c r="J778" s="574"/>
      <c r="K778" s="574"/>
      <c r="L778" s="574"/>
      <c r="M778" s="574"/>
      <c r="N778" s="574"/>
      <c r="O778" s="574"/>
      <c r="P778" s="574"/>
      <c r="Q778" s="574"/>
      <c r="R778" s="574"/>
      <c r="S778" s="574"/>
      <c r="T778" s="574"/>
      <c r="U778" s="574"/>
      <c r="V778" s="574"/>
      <c r="W778" s="574"/>
      <c r="X778" s="574"/>
      <c r="Y778" s="574"/>
      <c r="Z778" s="574"/>
      <c r="AA778" s="574"/>
      <c r="AB778" s="574"/>
      <c r="AC778" s="574"/>
      <c r="AD778" s="574"/>
      <c r="AE778" s="574"/>
    </row>
    <row r="779" spans="1:31" ht="16.5" customHeight="1" x14ac:dyDescent="0.85">
      <c r="A779" s="574"/>
      <c r="B779" s="574"/>
      <c r="C779" s="574"/>
      <c r="D779" s="574"/>
      <c r="E779" s="574"/>
      <c r="F779" s="574"/>
      <c r="G779" s="574"/>
      <c r="H779" s="574"/>
      <c r="I779" s="574"/>
      <c r="J779" s="574"/>
      <c r="K779" s="574"/>
      <c r="L779" s="574"/>
      <c r="M779" s="574"/>
      <c r="N779" s="574"/>
      <c r="O779" s="574"/>
      <c r="P779" s="574"/>
      <c r="Q779" s="574"/>
      <c r="R779" s="574"/>
      <c r="S779" s="574"/>
      <c r="T779" s="574"/>
      <c r="U779" s="574"/>
      <c r="V779" s="574"/>
      <c r="W779" s="574"/>
      <c r="X779" s="574"/>
      <c r="Y779" s="574"/>
      <c r="Z779" s="574"/>
      <c r="AA779" s="574"/>
      <c r="AB779" s="574"/>
      <c r="AC779" s="574"/>
      <c r="AD779" s="574"/>
      <c r="AE779" s="574"/>
    </row>
    <row r="780" spans="1:31" ht="16.5" customHeight="1" x14ac:dyDescent="0.85">
      <c r="A780" s="574"/>
      <c r="B780" s="574"/>
      <c r="C780" s="574"/>
      <c r="D780" s="574"/>
      <c r="E780" s="574"/>
      <c r="F780" s="574"/>
      <c r="G780" s="574"/>
      <c r="H780" s="574"/>
      <c r="I780" s="574"/>
      <c r="J780" s="574"/>
      <c r="K780" s="574"/>
      <c r="L780" s="574"/>
      <c r="M780" s="574"/>
      <c r="N780" s="574"/>
      <c r="O780" s="574"/>
      <c r="P780" s="574"/>
      <c r="Q780" s="574"/>
      <c r="R780" s="574"/>
      <c r="S780" s="574"/>
      <c r="T780" s="574"/>
      <c r="U780" s="574"/>
      <c r="V780" s="574"/>
      <c r="W780" s="574"/>
      <c r="X780" s="574"/>
      <c r="Y780" s="574"/>
      <c r="Z780" s="574"/>
      <c r="AA780" s="574"/>
      <c r="AB780" s="574"/>
      <c r="AC780" s="574"/>
      <c r="AD780" s="574"/>
      <c r="AE780" s="574"/>
    </row>
    <row r="781" spans="1:31" ht="16.5" customHeight="1" x14ac:dyDescent="0.85">
      <c r="A781" s="574"/>
      <c r="B781" s="574"/>
      <c r="C781" s="574"/>
      <c r="D781" s="574"/>
      <c r="E781" s="574"/>
      <c r="F781" s="574"/>
      <c r="G781" s="574"/>
      <c r="H781" s="574"/>
      <c r="I781" s="574"/>
      <c r="J781" s="574"/>
      <c r="K781" s="574"/>
      <c r="L781" s="574"/>
      <c r="M781" s="574"/>
      <c r="N781" s="574"/>
      <c r="O781" s="574"/>
      <c r="P781" s="574"/>
      <c r="Q781" s="574"/>
      <c r="R781" s="574"/>
      <c r="S781" s="574"/>
      <c r="T781" s="574"/>
      <c r="U781" s="574"/>
      <c r="V781" s="574"/>
      <c r="W781" s="574"/>
      <c r="X781" s="574"/>
      <c r="Y781" s="574"/>
      <c r="Z781" s="574"/>
      <c r="AA781" s="574"/>
      <c r="AB781" s="574"/>
      <c r="AC781" s="574"/>
      <c r="AD781" s="574"/>
      <c r="AE781" s="574"/>
    </row>
    <row r="782" spans="1:31" ht="16.5" customHeight="1" x14ac:dyDescent="0.85">
      <c r="A782" s="574"/>
      <c r="B782" s="574"/>
      <c r="C782" s="574"/>
      <c r="D782" s="574"/>
      <c r="E782" s="574"/>
      <c r="F782" s="574"/>
      <c r="G782" s="574"/>
      <c r="H782" s="574"/>
      <c r="I782" s="574"/>
      <c r="J782" s="574"/>
      <c r="K782" s="574"/>
      <c r="L782" s="574"/>
      <c r="M782" s="574"/>
      <c r="N782" s="574"/>
      <c r="O782" s="574"/>
      <c r="P782" s="574"/>
      <c r="Q782" s="574"/>
      <c r="R782" s="574"/>
      <c r="S782" s="574"/>
      <c r="T782" s="574"/>
      <c r="U782" s="574"/>
      <c r="V782" s="574"/>
      <c r="W782" s="574"/>
      <c r="X782" s="574"/>
      <c r="Y782" s="574"/>
      <c r="Z782" s="574"/>
      <c r="AA782" s="574"/>
      <c r="AB782" s="574"/>
      <c r="AC782" s="574"/>
      <c r="AD782" s="574"/>
      <c r="AE782" s="574"/>
    </row>
    <row r="783" spans="1:31" ht="16.5" customHeight="1" x14ac:dyDescent="0.85">
      <c r="A783" s="574"/>
      <c r="B783" s="574"/>
      <c r="C783" s="574"/>
      <c r="D783" s="574"/>
      <c r="E783" s="574"/>
      <c r="F783" s="574"/>
      <c r="G783" s="574"/>
      <c r="H783" s="574"/>
      <c r="I783" s="574"/>
      <c r="J783" s="574"/>
      <c r="K783" s="574"/>
      <c r="L783" s="574"/>
      <c r="M783" s="574"/>
      <c r="N783" s="574"/>
      <c r="O783" s="574"/>
      <c r="P783" s="574"/>
      <c r="Q783" s="574"/>
      <c r="R783" s="574"/>
      <c r="S783" s="574"/>
      <c r="T783" s="574"/>
      <c r="U783" s="574"/>
      <c r="V783" s="574"/>
      <c r="W783" s="574"/>
      <c r="X783" s="574"/>
      <c r="Y783" s="574"/>
      <c r="Z783" s="574"/>
      <c r="AA783" s="574"/>
      <c r="AB783" s="574"/>
      <c r="AC783" s="574"/>
      <c r="AD783" s="574"/>
      <c r="AE783" s="574"/>
    </row>
    <row r="784" spans="1:31" ht="16.5" customHeight="1" x14ac:dyDescent="0.85">
      <c r="A784" s="574"/>
      <c r="B784" s="574"/>
      <c r="C784" s="574"/>
      <c r="D784" s="574"/>
      <c r="E784" s="574"/>
      <c r="F784" s="574"/>
      <c r="G784" s="574"/>
      <c r="H784" s="574"/>
      <c r="I784" s="574"/>
      <c r="J784" s="574"/>
      <c r="K784" s="574"/>
      <c r="L784" s="574"/>
      <c r="M784" s="574"/>
      <c r="N784" s="574"/>
      <c r="O784" s="574"/>
      <c r="P784" s="574"/>
      <c r="Q784" s="574"/>
      <c r="R784" s="574"/>
      <c r="S784" s="574"/>
      <c r="T784" s="574"/>
      <c r="U784" s="574"/>
      <c r="V784" s="574"/>
      <c r="W784" s="574"/>
      <c r="X784" s="574"/>
      <c r="Y784" s="574"/>
      <c r="Z784" s="574"/>
      <c r="AA784" s="574"/>
      <c r="AB784" s="574"/>
      <c r="AC784" s="574"/>
      <c r="AD784" s="574"/>
      <c r="AE784" s="574"/>
    </row>
    <row r="785" spans="1:31" ht="16.5" customHeight="1" x14ac:dyDescent="0.85">
      <c r="A785" s="574"/>
      <c r="B785" s="574"/>
      <c r="C785" s="574"/>
      <c r="D785" s="574"/>
      <c r="E785" s="574"/>
      <c r="F785" s="574"/>
      <c r="G785" s="574"/>
      <c r="H785" s="574"/>
      <c r="I785" s="574"/>
      <c r="J785" s="574"/>
      <c r="K785" s="574"/>
      <c r="L785" s="574"/>
      <c r="M785" s="574"/>
      <c r="N785" s="574"/>
      <c r="O785" s="574"/>
      <c r="P785" s="574"/>
      <c r="Q785" s="574"/>
      <c r="R785" s="574"/>
      <c r="S785" s="574"/>
      <c r="T785" s="574"/>
      <c r="U785" s="574"/>
      <c r="V785" s="574"/>
      <c r="W785" s="574"/>
      <c r="X785" s="574"/>
      <c r="Y785" s="574"/>
      <c r="Z785" s="574"/>
      <c r="AA785" s="574"/>
      <c r="AB785" s="574"/>
      <c r="AC785" s="574"/>
      <c r="AD785" s="574"/>
      <c r="AE785" s="574"/>
    </row>
    <row r="786" spans="1:31" ht="16.5" customHeight="1" x14ac:dyDescent="0.85">
      <c r="A786" s="574"/>
      <c r="B786" s="574"/>
      <c r="C786" s="574"/>
      <c r="D786" s="574"/>
      <c r="E786" s="574"/>
      <c r="F786" s="574"/>
      <c r="G786" s="574"/>
      <c r="H786" s="574"/>
      <c r="I786" s="574"/>
      <c r="J786" s="574"/>
      <c r="K786" s="574"/>
      <c r="L786" s="574"/>
      <c r="M786" s="574"/>
      <c r="N786" s="574"/>
      <c r="O786" s="574"/>
      <c r="P786" s="574"/>
      <c r="Q786" s="574"/>
      <c r="R786" s="574"/>
      <c r="S786" s="574"/>
      <c r="T786" s="574"/>
      <c r="U786" s="574"/>
      <c r="V786" s="574"/>
      <c r="W786" s="574"/>
      <c r="X786" s="574"/>
      <c r="Y786" s="574"/>
      <c r="Z786" s="574"/>
      <c r="AA786" s="574"/>
      <c r="AB786" s="574"/>
      <c r="AC786" s="574"/>
      <c r="AD786" s="574"/>
      <c r="AE786" s="574"/>
    </row>
    <row r="787" spans="1:31" ht="16.5" customHeight="1" x14ac:dyDescent="0.85">
      <c r="A787" s="574"/>
      <c r="B787" s="574"/>
      <c r="C787" s="574"/>
      <c r="D787" s="574"/>
      <c r="E787" s="574"/>
      <c r="F787" s="574"/>
      <c r="G787" s="574"/>
      <c r="H787" s="574"/>
      <c r="I787" s="574"/>
      <c r="J787" s="574"/>
      <c r="K787" s="574"/>
      <c r="L787" s="574"/>
      <c r="M787" s="574"/>
      <c r="N787" s="574"/>
      <c r="O787" s="574"/>
      <c r="P787" s="574"/>
      <c r="Q787" s="574"/>
      <c r="R787" s="574"/>
      <c r="S787" s="574"/>
      <c r="T787" s="574"/>
      <c r="U787" s="574"/>
      <c r="V787" s="574"/>
      <c r="W787" s="574"/>
      <c r="X787" s="574"/>
      <c r="Y787" s="574"/>
      <c r="Z787" s="574"/>
      <c r="AA787" s="574"/>
      <c r="AB787" s="574"/>
      <c r="AC787" s="574"/>
      <c r="AD787" s="574"/>
      <c r="AE787" s="574"/>
    </row>
    <row r="788" spans="1:31" ht="16.5" customHeight="1" x14ac:dyDescent="0.85">
      <c r="A788" s="574"/>
      <c r="B788" s="574"/>
      <c r="C788" s="574"/>
      <c r="D788" s="574"/>
      <c r="E788" s="574"/>
      <c r="F788" s="574"/>
      <c r="G788" s="574"/>
      <c r="H788" s="574"/>
      <c r="I788" s="574"/>
      <c r="J788" s="574"/>
      <c r="K788" s="574"/>
      <c r="L788" s="574"/>
      <c r="M788" s="574"/>
      <c r="N788" s="574"/>
      <c r="O788" s="574"/>
      <c r="P788" s="574"/>
      <c r="Q788" s="574"/>
      <c r="R788" s="574"/>
      <c r="S788" s="574"/>
      <c r="T788" s="574"/>
      <c r="U788" s="574"/>
      <c r="V788" s="574"/>
      <c r="W788" s="574"/>
      <c r="X788" s="574"/>
      <c r="Y788" s="574"/>
      <c r="Z788" s="574"/>
      <c r="AA788" s="574"/>
      <c r="AB788" s="574"/>
      <c r="AC788" s="574"/>
      <c r="AD788" s="574"/>
      <c r="AE788" s="574"/>
    </row>
    <row r="789" spans="1:31" ht="16.5" customHeight="1" x14ac:dyDescent="0.85">
      <c r="A789" s="574"/>
      <c r="B789" s="574"/>
      <c r="C789" s="574"/>
      <c r="D789" s="574"/>
      <c r="E789" s="574"/>
      <c r="F789" s="574"/>
      <c r="G789" s="574"/>
      <c r="H789" s="574"/>
      <c r="I789" s="574"/>
      <c r="J789" s="574"/>
      <c r="K789" s="574"/>
      <c r="L789" s="574"/>
      <c r="M789" s="574"/>
      <c r="N789" s="574"/>
      <c r="O789" s="574"/>
      <c r="P789" s="574"/>
      <c r="Q789" s="574"/>
      <c r="R789" s="574"/>
      <c r="S789" s="574"/>
      <c r="T789" s="574"/>
      <c r="U789" s="574"/>
      <c r="V789" s="574"/>
      <c r="W789" s="574"/>
      <c r="X789" s="574"/>
      <c r="Y789" s="574"/>
      <c r="Z789" s="574"/>
      <c r="AA789" s="574"/>
      <c r="AB789" s="574"/>
      <c r="AC789" s="574"/>
      <c r="AD789" s="574"/>
      <c r="AE789" s="574"/>
    </row>
    <row r="790" spans="1:31" ht="16.5" customHeight="1" x14ac:dyDescent="0.85">
      <c r="A790" s="574"/>
      <c r="B790" s="574"/>
      <c r="C790" s="574"/>
      <c r="D790" s="574"/>
      <c r="E790" s="574"/>
      <c r="F790" s="574"/>
      <c r="G790" s="574"/>
      <c r="H790" s="574"/>
      <c r="I790" s="574"/>
      <c r="J790" s="574"/>
      <c r="K790" s="574"/>
      <c r="L790" s="574"/>
      <c r="M790" s="574"/>
      <c r="N790" s="574"/>
      <c r="O790" s="574"/>
      <c r="P790" s="574"/>
      <c r="Q790" s="574"/>
      <c r="R790" s="574"/>
      <c r="S790" s="574"/>
      <c r="T790" s="574"/>
      <c r="U790" s="574"/>
      <c r="V790" s="574"/>
      <c r="W790" s="574"/>
      <c r="X790" s="574"/>
      <c r="Y790" s="574"/>
      <c r="Z790" s="574"/>
      <c r="AA790" s="574"/>
      <c r="AB790" s="574"/>
      <c r="AC790" s="574"/>
      <c r="AD790" s="574"/>
      <c r="AE790" s="574"/>
    </row>
    <row r="791" spans="1:31" ht="16.5" customHeight="1" x14ac:dyDescent="0.85">
      <c r="A791" s="574"/>
      <c r="B791" s="574"/>
      <c r="C791" s="574"/>
      <c r="D791" s="574"/>
      <c r="E791" s="574"/>
      <c r="F791" s="574"/>
      <c r="G791" s="574"/>
      <c r="H791" s="574"/>
      <c r="I791" s="574"/>
      <c r="J791" s="574"/>
      <c r="K791" s="574"/>
      <c r="L791" s="574"/>
      <c r="M791" s="574"/>
      <c r="N791" s="574"/>
      <c r="O791" s="574"/>
      <c r="P791" s="574"/>
      <c r="Q791" s="574"/>
      <c r="R791" s="574"/>
      <c r="S791" s="574"/>
      <c r="T791" s="574"/>
      <c r="U791" s="574"/>
      <c r="V791" s="574"/>
      <c r="W791" s="574"/>
      <c r="X791" s="574"/>
      <c r="Y791" s="574"/>
      <c r="Z791" s="574"/>
      <c r="AA791" s="574"/>
      <c r="AB791" s="574"/>
      <c r="AC791" s="574"/>
      <c r="AD791" s="574"/>
      <c r="AE791" s="574"/>
    </row>
    <row r="792" spans="1:31" ht="16.5" customHeight="1" x14ac:dyDescent="0.85">
      <c r="A792" s="574"/>
      <c r="B792" s="574"/>
      <c r="C792" s="574"/>
      <c r="D792" s="574"/>
      <c r="E792" s="574"/>
      <c r="F792" s="574"/>
      <c r="G792" s="574"/>
      <c r="H792" s="574"/>
      <c r="I792" s="574"/>
      <c r="J792" s="574"/>
      <c r="K792" s="574"/>
      <c r="L792" s="574"/>
      <c r="M792" s="574"/>
      <c r="N792" s="574"/>
      <c r="O792" s="574"/>
      <c r="P792" s="574"/>
      <c r="Q792" s="574"/>
      <c r="R792" s="574"/>
      <c r="S792" s="574"/>
      <c r="T792" s="574"/>
      <c r="U792" s="574"/>
      <c r="V792" s="574"/>
      <c r="W792" s="574"/>
      <c r="X792" s="574"/>
      <c r="Y792" s="574"/>
      <c r="Z792" s="574"/>
      <c r="AA792" s="574"/>
      <c r="AB792" s="574"/>
      <c r="AC792" s="574"/>
      <c r="AD792" s="574"/>
      <c r="AE792" s="574"/>
    </row>
    <row r="793" spans="1:31" ht="16.5" customHeight="1" x14ac:dyDescent="0.85">
      <c r="A793" s="574"/>
      <c r="B793" s="574"/>
      <c r="C793" s="574"/>
      <c r="D793" s="574"/>
      <c r="E793" s="574"/>
      <c r="F793" s="574"/>
      <c r="G793" s="574"/>
      <c r="H793" s="574"/>
      <c r="I793" s="574"/>
      <c r="J793" s="574"/>
      <c r="K793" s="574"/>
      <c r="L793" s="574"/>
      <c r="M793" s="574"/>
      <c r="N793" s="574"/>
      <c r="O793" s="574"/>
      <c r="P793" s="574"/>
      <c r="Q793" s="574"/>
      <c r="R793" s="574"/>
      <c r="S793" s="574"/>
      <c r="T793" s="574"/>
      <c r="U793" s="574"/>
      <c r="V793" s="574"/>
      <c r="W793" s="574"/>
      <c r="X793" s="574"/>
      <c r="Y793" s="574"/>
      <c r="Z793" s="574"/>
      <c r="AA793" s="574"/>
      <c r="AB793" s="574"/>
      <c r="AC793" s="574"/>
      <c r="AD793" s="574"/>
      <c r="AE793" s="574"/>
    </row>
    <row r="794" spans="1:31" ht="16.5" customHeight="1" x14ac:dyDescent="0.85">
      <c r="A794" s="574"/>
      <c r="B794" s="574"/>
      <c r="C794" s="574"/>
      <c r="D794" s="574"/>
      <c r="E794" s="574"/>
      <c r="F794" s="574"/>
      <c r="G794" s="574"/>
      <c r="H794" s="574"/>
      <c r="I794" s="574"/>
      <c r="J794" s="574"/>
      <c r="K794" s="574"/>
      <c r="L794" s="574"/>
      <c r="M794" s="574"/>
      <c r="N794" s="574"/>
      <c r="O794" s="574"/>
      <c r="P794" s="574"/>
      <c r="Q794" s="574"/>
      <c r="R794" s="574"/>
      <c r="S794" s="574"/>
      <c r="T794" s="574"/>
      <c r="U794" s="574"/>
      <c r="V794" s="574"/>
      <c r="W794" s="574"/>
      <c r="X794" s="574"/>
      <c r="Y794" s="574"/>
      <c r="Z794" s="574"/>
      <c r="AA794" s="574"/>
      <c r="AB794" s="574"/>
      <c r="AC794" s="574"/>
      <c r="AD794" s="574"/>
      <c r="AE794" s="574"/>
    </row>
    <row r="795" spans="1:31" ht="16.5" customHeight="1" x14ac:dyDescent="0.85">
      <c r="A795" s="574"/>
      <c r="B795" s="574"/>
      <c r="C795" s="574"/>
      <c r="D795" s="574"/>
      <c r="E795" s="574"/>
      <c r="F795" s="574"/>
      <c r="G795" s="574"/>
      <c r="H795" s="574"/>
      <c r="I795" s="574"/>
      <c r="J795" s="574"/>
      <c r="K795" s="574"/>
      <c r="L795" s="574"/>
      <c r="M795" s="574"/>
      <c r="N795" s="574"/>
      <c r="O795" s="574"/>
      <c r="P795" s="574"/>
      <c r="Q795" s="574"/>
      <c r="R795" s="574"/>
      <c r="S795" s="574"/>
      <c r="T795" s="574"/>
      <c r="U795" s="574"/>
      <c r="V795" s="574"/>
      <c r="W795" s="574"/>
      <c r="X795" s="574"/>
      <c r="Y795" s="574"/>
      <c r="Z795" s="574"/>
      <c r="AA795" s="574"/>
      <c r="AB795" s="574"/>
      <c r="AC795" s="574"/>
      <c r="AD795" s="574"/>
      <c r="AE795" s="574"/>
    </row>
    <row r="796" spans="1:31" ht="16.5" customHeight="1" x14ac:dyDescent="0.85">
      <c r="A796" s="574"/>
      <c r="B796" s="574"/>
      <c r="C796" s="574"/>
      <c r="D796" s="574"/>
      <c r="E796" s="574"/>
      <c r="F796" s="574"/>
      <c r="G796" s="574"/>
      <c r="H796" s="574"/>
      <c r="I796" s="574"/>
      <c r="J796" s="574"/>
      <c r="K796" s="574"/>
      <c r="L796" s="574"/>
      <c r="M796" s="574"/>
      <c r="N796" s="574"/>
      <c r="O796" s="574"/>
      <c r="P796" s="574"/>
      <c r="Q796" s="574"/>
      <c r="R796" s="574"/>
      <c r="S796" s="574"/>
      <c r="T796" s="574"/>
      <c r="U796" s="574"/>
      <c r="V796" s="574"/>
      <c r="W796" s="574"/>
      <c r="X796" s="574"/>
      <c r="Y796" s="574"/>
      <c r="Z796" s="574"/>
      <c r="AA796" s="574"/>
      <c r="AB796" s="574"/>
      <c r="AC796" s="574"/>
      <c r="AD796" s="574"/>
      <c r="AE796" s="574"/>
    </row>
    <row r="797" spans="1:31" ht="16.5" customHeight="1" x14ac:dyDescent="0.85">
      <c r="A797" s="574"/>
      <c r="B797" s="574"/>
      <c r="C797" s="574"/>
      <c r="D797" s="574"/>
      <c r="E797" s="574"/>
      <c r="F797" s="574"/>
      <c r="G797" s="574"/>
      <c r="H797" s="574"/>
      <c r="I797" s="574"/>
      <c r="J797" s="574"/>
      <c r="K797" s="574"/>
      <c r="L797" s="574"/>
      <c r="M797" s="574"/>
      <c r="N797" s="574"/>
      <c r="O797" s="574"/>
      <c r="P797" s="574"/>
      <c r="Q797" s="574"/>
      <c r="R797" s="574"/>
      <c r="S797" s="574"/>
      <c r="T797" s="574"/>
      <c r="U797" s="574"/>
      <c r="V797" s="574"/>
      <c r="W797" s="574"/>
      <c r="X797" s="574"/>
      <c r="Y797" s="574"/>
      <c r="Z797" s="574"/>
      <c r="AA797" s="574"/>
      <c r="AB797" s="574"/>
      <c r="AC797" s="574"/>
      <c r="AD797" s="574"/>
      <c r="AE797" s="574"/>
    </row>
    <row r="798" spans="1:31" ht="16.5" customHeight="1" x14ac:dyDescent="0.85">
      <c r="A798" s="574"/>
      <c r="B798" s="574"/>
      <c r="C798" s="574"/>
      <c r="D798" s="574"/>
      <c r="E798" s="574"/>
      <c r="F798" s="574"/>
      <c r="G798" s="574"/>
      <c r="H798" s="574"/>
      <c r="I798" s="574"/>
      <c r="J798" s="574"/>
      <c r="K798" s="574"/>
      <c r="L798" s="574"/>
      <c r="M798" s="574"/>
      <c r="N798" s="574"/>
      <c r="O798" s="574"/>
      <c r="P798" s="574"/>
      <c r="Q798" s="574"/>
      <c r="R798" s="574"/>
      <c r="S798" s="574"/>
      <c r="T798" s="574"/>
      <c r="U798" s="574"/>
      <c r="V798" s="574"/>
      <c r="W798" s="574"/>
      <c r="X798" s="574"/>
      <c r="Y798" s="574"/>
      <c r="Z798" s="574"/>
      <c r="AA798" s="574"/>
      <c r="AB798" s="574"/>
      <c r="AC798" s="574"/>
      <c r="AD798" s="574"/>
      <c r="AE798" s="574"/>
    </row>
    <row r="799" spans="1:31" ht="16.5" customHeight="1" x14ac:dyDescent="0.85">
      <c r="A799" s="574"/>
      <c r="B799" s="574"/>
      <c r="C799" s="574"/>
      <c r="D799" s="574"/>
      <c r="E799" s="574"/>
      <c r="F799" s="574"/>
      <c r="G799" s="574"/>
      <c r="H799" s="574"/>
      <c r="I799" s="574"/>
      <c r="J799" s="574"/>
      <c r="K799" s="574"/>
      <c r="L799" s="574"/>
      <c r="M799" s="574"/>
      <c r="N799" s="574"/>
      <c r="O799" s="574"/>
      <c r="P799" s="574"/>
      <c r="Q799" s="574"/>
      <c r="R799" s="574"/>
      <c r="S799" s="574"/>
      <c r="T799" s="574"/>
      <c r="U799" s="574"/>
      <c r="V799" s="574"/>
      <c r="W799" s="574"/>
      <c r="X799" s="574"/>
      <c r="Y799" s="574"/>
      <c r="Z799" s="574"/>
      <c r="AA799" s="574"/>
      <c r="AB799" s="574"/>
      <c r="AC799" s="574"/>
      <c r="AD799" s="574"/>
      <c r="AE799" s="574"/>
    </row>
    <row r="800" spans="1:31" ht="16.5" customHeight="1" x14ac:dyDescent="0.85">
      <c r="A800" s="574"/>
      <c r="B800" s="574"/>
      <c r="C800" s="574"/>
      <c r="D800" s="574"/>
      <c r="E800" s="574"/>
      <c r="F800" s="574"/>
      <c r="G800" s="574"/>
      <c r="H800" s="574"/>
      <c r="I800" s="574"/>
      <c r="J800" s="574"/>
      <c r="K800" s="574"/>
      <c r="L800" s="574"/>
      <c r="M800" s="574"/>
      <c r="N800" s="574"/>
      <c r="O800" s="574"/>
      <c r="P800" s="574"/>
      <c r="Q800" s="574"/>
      <c r="R800" s="574"/>
      <c r="S800" s="574"/>
      <c r="T800" s="574"/>
      <c r="U800" s="574"/>
      <c r="V800" s="574"/>
      <c r="W800" s="574"/>
      <c r="X800" s="574"/>
      <c r="Y800" s="574"/>
      <c r="Z800" s="574"/>
      <c r="AA800" s="574"/>
      <c r="AB800" s="574"/>
      <c r="AC800" s="574"/>
      <c r="AD800" s="574"/>
      <c r="AE800" s="574"/>
    </row>
    <row r="801" spans="1:31" ht="16.5" customHeight="1" x14ac:dyDescent="0.85">
      <c r="A801" s="574"/>
      <c r="B801" s="574"/>
      <c r="C801" s="574"/>
      <c r="D801" s="574"/>
      <c r="E801" s="574"/>
      <c r="F801" s="574"/>
      <c r="G801" s="574"/>
      <c r="H801" s="574"/>
      <c r="I801" s="574"/>
      <c r="J801" s="574"/>
      <c r="K801" s="574"/>
      <c r="L801" s="574"/>
      <c r="M801" s="574"/>
      <c r="N801" s="574"/>
      <c r="O801" s="574"/>
      <c r="P801" s="574"/>
      <c r="Q801" s="574"/>
      <c r="R801" s="574"/>
      <c r="S801" s="574"/>
      <c r="T801" s="574"/>
      <c r="U801" s="574"/>
      <c r="V801" s="574"/>
      <c r="W801" s="574"/>
      <c r="X801" s="574"/>
      <c r="Y801" s="574"/>
      <c r="Z801" s="574"/>
      <c r="AA801" s="574"/>
      <c r="AB801" s="574"/>
      <c r="AC801" s="574"/>
      <c r="AD801" s="574"/>
      <c r="AE801" s="574"/>
    </row>
    <row r="802" spans="1:31" ht="16.5" customHeight="1" x14ac:dyDescent="0.85">
      <c r="A802" s="574"/>
      <c r="B802" s="574"/>
      <c r="C802" s="574"/>
      <c r="D802" s="574"/>
      <c r="E802" s="574"/>
      <c r="F802" s="574"/>
      <c r="G802" s="574"/>
      <c r="H802" s="574"/>
      <c r="I802" s="574"/>
      <c r="J802" s="574"/>
      <c r="K802" s="574"/>
      <c r="L802" s="574"/>
      <c r="M802" s="574"/>
      <c r="N802" s="574"/>
      <c r="O802" s="574"/>
      <c r="P802" s="574"/>
      <c r="Q802" s="574"/>
      <c r="R802" s="574"/>
      <c r="S802" s="574"/>
      <c r="T802" s="574"/>
      <c r="U802" s="574"/>
      <c r="V802" s="574"/>
      <c r="W802" s="574"/>
      <c r="X802" s="574"/>
      <c r="Y802" s="574"/>
      <c r="Z802" s="574"/>
      <c r="AA802" s="574"/>
      <c r="AB802" s="574"/>
      <c r="AC802" s="574"/>
      <c r="AD802" s="574"/>
      <c r="AE802" s="574"/>
    </row>
    <row r="803" spans="1:31" ht="16.5" customHeight="1" x14ac:dyDescent="0.85">
      <c r="A803" s="574"/>
      <c r="B803" s="574"/>
      <c r="C803" s="574"/>
      <c r="D803" s="574"/>
      <c r="E803" s="574"/>
      <c r="F803" s="574"/>
      <c r="G803" s="574"/>
      <c r="H803" s="574"/>
      <c r="I803" s="574"/>
      <c r="J803" s="574"/>
      <c r="K803" s="574"/>
      <c r="L803" s="574"/>
      <c r="M803" s="574"/>
      <c r="N803" s="574"/>
      <c r="O803" s="574"/>
      <c r="P803" s="574"/>
      <c r="Q803" s="574"/>
      <c r="R803" s="574"/>
      <c r="S803" s="574"/>
      <c r="T803" s="574"/>
      <c r="U803" s="574"/>
      <c r="V803" s="574"/>
      <c r="W803" s="574"/>
      <c r="X803" s="574"/>
      <c r="Y803" s="574"/>
      <c r="Z803" s="574"/>
      <c r="AA803" s="574"/>
      <c r="AB803" s="574"/>
      <c r="AC803" s="574"/>
      <c r="AD803" s="574"/>
      <c r="AE803" s="574"/>
    </row>
    <row r="804" spans="1:31" ht="16.5" customHeight="1" x14ac:dyDescent="0.85">
      <c r="A804" s="574"/>
      <c r="B804" s="574"/>
      <c r="C804" s="574"/>
      <c r="D804" s="574"/>
      <c r="E804" s="574"/>
      <c r="F804" s="574"/>
      <c r="G804" s="574"/>
      <c r="H804" s="574"/>
      <c r="I804" s="574"/>
      <c r="J804" s="574"/>
      <c r="K804" s="574"/>
      <c r="L804" s="574"/>
      <c r="M804" s="574"/>
      <c r="N804" s="574"/>
      <c r="O804" s="574"/>
      <c r="P804" s="574"/>
      <c r="Q804" s="574"/>
      <c r="R804" s="574"/>
      <c r="S804" s="574"/>
      <c r="T804" s="574"/>
      <c r="U804" s="574"/>
      <c r="V804" s="574"/>
      <c r="W804" s="574"/>
      <c r="X804" s="574"/>
      <c r="Y804" s="574"/>
      <c r="Z804" s="574"/>
      <c r="AA804" s="574"/>
      <c r="AB804" s="574"/>
      <c r="AC804" s="574"/>
      <c r="AD804" s="574"/>
      <c r="AE804" s="574"/>
    </row>
    <row r="805" spans="1:31" ht="16.5" customHeight="1" x14ac:dyDescent="0.85">
      <c r="A805" s="574"/>
      <c r="B805" s="574"/>
      <c r="C805" s="574"/>
      <c r="D805" s="574"/>
      <c r="E805" s="574"/>
      <c r="F805" s="574"/>
      <c r="G805" s="574"/>
      <c r="H805" s="574"/>
      <c r="I805" s="574"/>
      <c r="J805" s="574"/>
      <c r="K805" s="574"/>
      <c r="L805" s="574"/>
      <c r="M805" s="574"/>
      <c r="N805" s="574"/>
      <c r="O805" s="574"/>
      <c r="P805" s="574"/>
      <c r="Q805" s="574"/>
      <c r="R805" s="574"/>
      <c r="S805" s="574"/>
      <c r="T805" s="574"/>
      <c r="U805" s="574"/>
      <c r="V805" s="574"/>
      <c r="W805" s="574"/>
      <c r="X805" s="574"/>
      <c r="Y805" s="574"/>
      <c r="Z805" s="574"/>
      <c r="AA805" s="574"/>
      <c r="AB805" s="574"/>
      <c r="AC805" s="574"/>
      <c r="AD805" s="574"/>
      <c r="AE805" s="574"/>
    </row>
    <row r="806" spans="1:31" ht="16.5" customHeight="1" x14ac:dyDescent="0.85">
      <c r="A806" s="574"/>
      <c r="B806" s="574"/>
      <c r="C806" s="574"/>
      <c r="D806" s="574"/>
      <c r="E806" s="574"/>
      <c r="F806" s="574"/>
      <c r="G806" s="574"/>
      <c r="H806" s="574"/>
      <c r="I806" s="574"/>
      <c r="J806" s="574"/>
      <c r="K806" s="574"/>
      <c r="L806" s="574"/>
      <c r="M806" s="574"/>
      <c r="N806" s="574"/>
      <c r="O806" s="574"/>
      <c r="P806" s="574"/>
      <c r="Q806" s="574"/>
      <c r="R806" s="574"/>
      <c r="S806" s="574"/>
      <c r="T806" s="574"/>
      <c r="U806" s="574"/>
      <c r="V806" s="574"/>
      <c r="W806" s="574"/>
      <c r="X806" s="574"/>
      <c r="Y806" s="574"/>
      <c r="Z806" s="574"/>
      <c r="AA806" s="574"/>
      <c r="AB806" s="574"/>
      <c r="AC806" s="574"/>
      <c r="AD806" s="574"/>
      <c r="AE806" s="574"/>
    </row>
    <row r="807" spans="1:31" ht="16.5" customHeight="1" x14ac:dyDescent="0.85">
      <c r="A807" s="574"/>
      <c r="B807" s="574"/>
      <c r="C807" s="574"/>
      <c r="D807" s="574"/>
      <c r="E807" s="574"/>
      <c r="F807" s="574"/>
      <c r="G807" s="574"/>
      <c r="H807" s="574"/>
      <c r="I807" s="574"/>
      <c r="J807" s="574"/>
      <c r="K807" s="574"/>
      <c r="L807" s="574"/>
      <c r="M807" s="574"/>
      <c r="N807" s="574"/>
      <c r="O807" s="574"/>
      <c r="P807" s="574"/>
      <c r="Q807" s="574"/>
      <c r="R807" s="574"/>
      <c r="S807" s="574"/>
      <c r="T807" s="574"/>
      <c r="U807" s="574"/>
      <c r="V807" s="574"/>
      <c r="W807" s="574"/>
      <c r="X807" s="574"/>
      <c r="Y807" s="574"/>
      <c r="Z807" s="574"/>
      <c r="AA807" s="574"/>
      <c r="AB807" s="574"/>
      <c r="AC807" s="574"/>
      <c r="AD807" s="574"/>
      <c r="AE807" s="574"/>
    </row>
    <row r="808" spans="1:31" ht="16.5" customHeight="1" x14ac:dyDescent="0.85">
      <c r="A808" s="574"/>
      <c r="B808" s="574"/>
      <c r="C808" s="574"/>
      <c r="D808" s="574"/>
      <c r="E808" s="574"/>
      <c r="F808" s="574"/>
      <c r="G808" s="574"/>
      <c r="H808" s="574"/>
      <c r="I808" s="574"/>
      <c r="J808" s="574"/>
      <c r="K808" s="574"/>
      <c r="L808" s="574"/>
      <c r="M808" s="574"/>
      <c r="N808" s="574"/>
      <c r="O808" s="574"/>
      <c r="P808" s="574"/>
      <c r="Q808" s="574"/>
      <c r="R808" s="574"/>
      <c r="S808" s="574"/>
      <c r="T808" s="574"/>
      <c r="U808" s="574"/>
      <c r="V808" s="574"/>
      <c r="W808" s="574"/>
      <c r="X808" s="574"/>
      <c r="Y808" s="574"/>
      <c r="Z808" s="574"/>
      <c r="AA808" s="574"/>
      <c r="AB808" s="574"/>
      <c r="AC808" s="574"/>
      <c r="AD808" s="574"/>
      <c r="AE808" s="574"/>
    </row>
    <row r="809" spans="1:31" ht="16.5" customHeight="1" x14ac:dyDescent="0.85">
      <c r="A809" s="574"/>
      <c r="B809" s="574"/>
      <c r="C809" s="574"/>
      <c r="D809" s="574"/>
      <c r="E809" s="574"/>
      <c r="F809" s="574"/>
      <c r="G809" s="574"/>
      <c r="H809" s="574"/>
      <c r="I809" s="574"/>
      <c r="J809" s="574"/>
      <c r="K809" s="574"/>
      <c r="L809" s="574"/>
      <c r="M809" s="574"/>
      <c r="N809" s="574"/>
      <c r="O809" s="574"/>
      <c r="P809" s="574"/>
      <c r="Q809" s="574"/>
      <c r="R809" s="574"/>
      <c r="S809" s="574"/>
      <c r="T809" s="574"/>
      <c r="U809" s="574"/>
      <c r="V809" s="574"/>
      <c r="W809" s="574"/>
      <c r="X809" s="574"/>
      <c r="Y809" s="574"/>
      <c r="Z809" s="574"/>
      <c r="AA809" s="574"/>
      <c r="AB809" s="574"/>
      <c r="AC809" s="574"/>
      <c r="AD809" s="574"/>
      <c r="AE809" s="574"/>
    </row>
    <row r="810" spans="1:31" ht="16.5" customHeight="1" x14ac:dyDescent="0.85">
      <c r="A810" s="574"/>
      <c r="B810" s="574"/>
      <c r="C810" s="574"/>
      <c r="D810" s="574"/>
      <c r="E810" s="574"/>
      <c r="F810" s="574"/>
      <c r="G810" s="574"/>
      <c r="H810" s="574"/>
      <c r="I810" s="574"/>
      <c r="J810" s="574"/>
      <c r="K810" s="574"/>
      <c r="L810" s="574"/>
      <c r="M810" s="574"/>
      <c r="N810" s="574"/>
      <c r="O810" s="574"/>
      <c r="P810" s="574"/>
      <c r="Q810" s="574"/>
      <c r="R810" s="574"/>
      <c r="S810" s="574"/>
      <c r="T810" s="574"/>
      <c r="U810" s="574"/>
      <c r="V810" s="574"/>
      <c r="W810" s="574"/>
      <c r="X810" s="574"/>
      <c r="Y810" s="574"/>
      <c r="Z810" s="574"/>
      <c r="AA810" s="574"/>
      <c r="AB810" s="574"/>
      <c r="AC810" s="574"/>
      <c r="AD810" s="574"/>
      <c r="AE810" s="574"/>
    </row>
    <row r="811" spans="1:31" ht="16.5" customHeight="1" x14ac:dyDescent="0.85">
      <c r="A811" s="574"/>
      <c r="B811" s="574"/>
      <c r="C811" s="574"/>
      <c r="D811" s="574"/>
      <c r="E811" s="574"/>
      <c r="F811" s="574"/>
      <c r="G811" s="574"/>
      <c r="H811" s="574"/>
      <c r="I811" s="574"/>
      <c r="J811" s="574"/>
      <c r="K811" s="574"/>
      <c r="L811" s="574"/>
      <c r="M811" s="574"/>
      <c r="N811" s="574"/>
      <c r="O811" s="574"/>
      <c r="P811" s="574"/>
      <c r="Q811" s="574"/>
      <c r="R811" s="574"/>
      <c r="S811" s="574"/>
      <c r="T811" s="574"/>
      <c r="U811" s="574"/>
      <c r="V811" s="574"/>
      <c r="W811" s="574"/>
      <c r="X811" s="574"/>
      <c r="Y811" s="574"/>
      <c r="Z811" s="574"/>
      <c r="AA811" s="574"/>
      <c r="AB811" s="574"/>
      <c r="AC811" s="574"/>
      <c r="AD811" s="574"/>
      <c r="AE811" s="574"/>
    </row>
    <row r="812" spans="1:31" ht="16.5" customHeight="1" x14ac:dyDescent="0.85">
      <c r="A812" s="574"/>
      <c r="B812" s="574"/>
      <c r="C812" s="574"/>
      <c r="D812" s="574"/>
      <c r="E812" s="574"/>
      <c r="F812" s="574"/>
      <c r="G812" s="574"/>
      <c r="H812" s="574"/>
      <c r="I812" s="574"/>
      <c r="J812" s="574"/>
      <c r="K812" s="574"/>
      <c r="L812" s="574"/>
      <c r="M812" s="574"/>
      <c r="N812" s="574"/>
      <c r="O812" s="574"/>
      <c r="P812" s="574"/>
      <c r="Q812" s="574"/>
      <c r="R812" s="574"/>
      <c r="S812" s="574"/>
      <c r="T812" s="574"/>
      <c r="U812" s="574"/>
      <c r="V812" s="574"/>
      <c r="W812" s="574"/>
      <c r="X812" s="574"/>
      <c r="Y812" s="574"/>
      <c r="Z812" s="574"/>
      <c r="AA812" s="574"/>
      <c r="AB812" s="574"/>
      <c r="AC812" s="574"/>
      <c r="AD812" s="574"/>
      <c r="AE812" s="574"/>
    </row>
    <row r="813" spans="1:31" ht="16.5" customHeight="1" x14ac:dyDescent="0.85">
      <c r="A813" s="574"/>
      <c r="B813" s="574"/>
      <c r="C813" s="574"/>
      <c r="D813" s="574"/>
      <c r="E813" s="574"/>
      <c r="F813" s="574"/>
      <c r="G813" s="574"/>
      <c r="H813" s="574"/>
      <c r="I813" s="574"/>
      <c r="J813" s="574"/>
      <c r="K813" s="574"/>
      <c r="L813" s="574"/>
      <c r="M813" s="574"/>
      <c r="N813" s="574"/>
      <c r="O813" s="574"/>
      <c r="P813" s="574"/>
      <c r="Q813" s="574"/>
      <c r="R813" s="574"/>
      <c r="S813" s="574"/>
      <c r="T813" s="574"/>
      <c r="U813" s="574"/>
      <c r="V813" s="574"/>
      <c r="W813" s="574"/>
      <c r="X813" s="574"/>
      <c r="Y813" s="574"/>
      <c r="Z813" s="574"/>
      <c r="AA813" s="574"/>
      <c r="AB813" s="574"/>
      <c r="AC813" s="574"/>
      <c r="AD813" s="574"/>
      <c r="AE813" s="574"/>
    </row>
    <row r="814" spans="1:31" ht="16.5" customHeight="1" x14ac:dyDescent="0.85">
      <c r="A814" s="574"/>
      <c r="B814" s="574"/>
      <c r="C814" s="574"/>
      <c r="D814" s="574"/>
      <c r="E814" s="574"/>
      <c r="F814" s="574"/>
      <c r="G814" s="574"/>
      <c r="H814" s="574"/>
      <c r="I814" s="574"/>
      <c r="J814" s="574"/>
      <c r="K814" s="574"/>
      <c r="L814" s="574"/>
      <c r="M814" s="574"/>
      <c r="N814" s="574"/>
      <c r="O814" s="574"/>
      <c r="P814" s="574"/>
      <c r="Q814" s="574"/>
      <c r="R814" s="574"/>
      <c r="S814" s="574"/>
      <c r="T814" s="574"/>
      <c r="U814" s="574"/>
      <c r="V814" s="574"/>
      <c r="W814" s="574"/>
      <c r="X814" s="574"/>
      <c r="Y814" s="574"/>
      <c r="Z814" s="574"/>
      <c r="AA814" s="574"/>
      <c r="AB814" s="574"/>
      <c r="AC814" s="574"/>
      <c r="AD814" s="574"/>
      <c r="AE814" s="574"/>
    </row>
    <row r="815" spans="1:31" ht="16.5" customHeight="1" x14ac:dyDescent="0.85">
      <c r="A815" s="574"/>
      <c r="B815" s="574"/>
      <c r="C815" s="574"/>
      <c r="D815" s="574"/>
      <c r="E815" s="574"/>
      <c r="F815" s="574"/>
      <c r="G815" s="574"/>
      <c r="H815" s="574"/>
      <c r="I815" s="574"/>
      <c r="J815" s="574"/>
      <c r="K815" s="574"/>
      <c r="L815" s="574"/>
      <c r="M815" s="574"/>
      <c r="N815" s="574"/>
      <c r="O815" s="574"/>
      <c r="P815" s="574"/>
      <c r="Q815" s="574"/>
      <c r="R815" s="574"/>
      <c r="S815" s="574"/>
      <c r="T815" s="574"/>
      <c r="U815" s="574"/>
      <c r="V815" s="574"/>
      <c r="W815" s="574"/>
      <c r="X815" s="574"/>
      <c r="Y815" s="574"/>
      <c r="Z815" s="574"/>
      <c r="AA815" s="574"/>
      <c r="AB815" s="574"/>
      <c r="AC815" s="574"/>
      <c r="AD815" s="574"/>
      <c r="AE815" s="574"/>
    </row>
    <row r="816" spans="1:31" ht="16.5" customHeight="1" x14ac:dyDescent="0.85">
      <c r="A816" s="574"/>
      <c r="B816" s="574"/>
      <c r="C816" s="574"/>
      <c r="D816" s="574"/>
      <c r="E816" s="574"/>
      <c r="F816" s="574"/>
      <c r="G816" s="574"/>
      <c r="H816" s="574"/>
      <c r="I816" s="574"/>
      <c r="J816" s="574"/>
      <c r="K816" s="574"/>
      <c r="L816" s="574"/>
      <c r="M816" s="574"/>
      <c r="N816" s="574"/>
      <c r="O816" s="574"/>
      <c r="P816" s="574"/>
      <c r="Q816" s="574"/>
      <c r="R816" s="574"/>
      <c r="S816" s="574"/>
      <c r="T816" s="574"/>
      <c r="U816" s="574"/>
      <c r="V816" s="574"/>
      <c r="W816" s="574"/>
      <c r="X816" s="574"/>
      <c r="Y816" s="574"/>
      <c r="Z816" s="574"/>
      <c r="AA816" s="574"/>
      <c r="AB816" s="574"/>
      <c r="AC816" s="574"/>
      <c r="AD816" s="574"/>
      <c r="AE816" s="574"/>
    </row>
    <row r="817" spans="1:31" ht="16.5" customHeight="1" x14ac:dyDescent="0.85">
      <c r="A817" s="574"/>
      <c r="B817" s="574"/>
      <c r="C817" s="574"/>
      <c r="D817" s="574"/>
      <c r="E817" s="574"/>
      <c r="F817" s="574"/>
      <c r="G817" s="574"/>
      <c r="H817" s="574"/>
      <c r="I817" s="574"/>
      <c r="J817" s="574"/>
      <c r="K817" s="574"/>
      <c r="L817" s="574"/>
      <c r="M817" s="574"/>
      <c r="N817" s="574"/>
      <c r="O817" s="574"/>
      <c r="P817" s="574"/>
      <c r="Q817" s="574"/>
      <c r="R817" s="574"/>
      <c r="S817" s="574"/>
      <c r="T817" s="574"/>
      <c r="U817" s="574"/>
      <c r="V817" s="574"/>
      <c r="W817" s="574"/>
      <c r="X817" s="574"/>
      <c r="Y817" s="574"/>
      <c r="Z817" s="574"/>
      <c r="AA817" s="574"/>
      <c r="AB817" s="574"/>
      <c r="AC817" s="574"/>
      <c r="AD817" s="574"/>
      <c r="AE817" s="574"/>
    </row>
    <row r="818" spans="1:31" ht="16.5" customHeight="1" x14ac:dyDescent="0.85">
      <c r="A818" s="574"/>
      <c r="B818" s="574"/>
      <c r="C818" s="574"/>
      <c r="D818" s="574"/>
      <c r="E818" s="574"/>
      <c r="F818" s="574"/>
      <c r="G818" s="574"/>
      <c r="H818" s="574"/>
      <c r="I818" s="574"/>
      <c r="J818" s="574"/>
      <c r="K818" s="574"/>
      <c r="L818" s="574"/>
      <c r="M818" s="574"/>
      <c r="N818" s="574"/>
      <c r="O818" s="574"/>
      <c r="P818" s="574"/>
      <c r="Q818" s="574"/>
      <c r="R818" s="574"/>
      <c r="S818" s="574"/>
      <c r="T818" s="574"/>
      <c r="U818" s="574"/>
      <c r="V818" s="574"/>
      <c r="W818" s="574"/>
      <c r="X818" s="574"/>
      <c r="Y818" s="574"/>
      <c r="Z818" s="574"/>
      <c r="AA818" s="574"/>
      <c r="AB818" s="574"/>
      <c r="AC818" s="574"/>
      <c r="AD818" s="574"/>
      <c r="AE818" s="574"/>
    </row>
    <row r="819" spans="1:31" ht="16.5" customHeight="1" x14ac:dyDescent="0.85">
      <c r="A819" s="574"/>
      <c r="B819" s="574"/>
      <c r="C819" s="574"/>
      <c r="D819" s="574"/>
      <c r="E819" s="574"/>
      <c r="F819" s="574"/>
      <c r="G819" s="574"/>
      <c r="H819" s="574"/>
      <c r="I819" s="574"/>
      <c r="J819" s="574"/>
      <c r="K819" s="574"/>
      <c r="L819" s="574"/>
      <c r="M819" s="574"/>
      <c r="N819" s="574"/>
      <c r="O819" s="574"/>
      <c r="P819" s="574"/>
      <c r="Q819" s="574"/>
      <c r="R819" s="574"/>
      <c r="S819" s="574"/>
      <c r="T819" s="574"/>
      <c r="U819" s="574"/>
      <c r="V819" s="574"/>
      <c r="W819" s="574"/>
      <c r="X819" s="574"/>
      <c r="Y819" s="574"/>
      <c r="Z819" s="574"/>
      <c r="AA819" s="574"/>
      <c r="AB819" s="574"/>
      <c r="AC819" s="574"/>
      <c r="AD819" s="574"/>
      <c r="AE819" s="574"/>
    </row>
    <row r="820" spans="1:31" ht="16.5" customHeight="1" x14ac:dyDescent="0.85">
      <c r="A820" s="574"/>
      <c r="B820" s="574"/>
      <c r="C820" s="574"/>
      <c r="D820" s="574"/>
      <c r="E820" s="574"/>
      <c r="F820" s="574"/>
      <c r="G820" s="574"/>
      <c r="H820" s="574"/>
      <c r="I820" s="574"/>
      <c r="J820" s="574"/>
      <c r="K820" s="574"/>
      <c r="L820" s="574"/>
      <c r="M820" s="574"/>
      <c r="N820" s="574"/>
      <c r="O820" s="574"/>
      <c r="P820" s="574"/>
      <c r="Q820" s="574"/>
      <c r="R820" s="574"/>
      <c r="S820" s="574"/>
      <c r="T820" s="574"/>
      <c r="U820" s="574"/>
      <c r="V820" s="574"/>
      <c r="W820" s="574"/>
      <c r="X820" s="574"/>
      <c r="Y820" s="574"/>
      <c r="Z820" s="574"/>
      <c r="AA820" s="574"/>
      <c r="AB820" s="574"/>
      <c r="AC820" s="574"/>
      <c r="AD820" s="574"/>
      <c r="AE820" s="574"/>
    </row>
    <row r="821" spans="1:31" ht="16.5" customHeight="1" x14ac:dyDescent="0.85">
      <c r="A821" s="574"/>
      <c r="B821" s="574"/>
      <c r="C821" s="574"/>
      <c r="D821" s="574"/>
      <c r="E821" s="574"/>
      <c r="F821" s="574"/>
      <c r="G821" s="574"/>
      <c r="H821" s="574"/>
      <c r="I821" s="574"/>
      <c r="J821" s="574"/>
      <c r="K821" s="574"/>
      <c r="L821" s="574"/>
      <c r="M821" s="574"/>
      <c r="N821" s="574"/>
      <c r="O821" s="574"/>
      <c r="P821" s="574"/>
      <c r="Q821" s="574"/>
      <c r="R821" s="574"/>
      <c r="S821" s="574"/>
      <c r="T821" s="574"/>
      <c r="U821" s="574"/>
      <c r="V821" s="574"/>
      <c r="W821" s="574"/>
      <c r="X821" s="574"/>
      <c r="Y821" s="574"/>
      <c r="Z821" s="574"/>
      <c r="AA821" s="574"/>
      <c r="AB821" s="574"/>
      <c r="AC821" s="574"/>
      <c r="AD821" s="574"/>
      <c r="AE821" s="574"/>
    </row>
    <row r="822" spans="1:31" ht="16.5" customHeight="1" x14ac:dyDescent="0.85">
      <c r="A822" s="574"/>
      <c r="B822" s="574"/>
      <c r="C822" s="574"/>
      <c r="D822" s="574"/>
      <c r="E822" s="574"/>
      <c r="F822" s="574"/>
      <c r="G822" s="574"/>
      <c r="H822" s="574"/>
      <c r="I822" s="574"/>
      <c r="J822" s="574"/>
      <c r="K822" s="574"/>
      <c r="L822" s="574"/>
      <c r="M822" s="574"/>
      <c r="N822" s="574"/>
      <c r="O822" s="574"/>
      <c r="P822" s="574"/>
      <c r="Q822" s="574"/>
      <c r="R822" s="574"/>
      <c r="S822" s="574"/>
      <c r="T822" s="574"/>
      <c r="U822" s="574"/>
      <c r="V822" s="574"/>
      <c r="W822" s="574"/>
      <c r="X822" s="574"/>
      <c r="Y822" s="574"/>
      <c r="Z822" s="574"/>
      <c r="AA822" s="574"/>
      <c r="AB822" s="574"/>
      <c r="AC822" s="574"/>
      <c r="AD822" s="574"/>
      <c r="AE822" s="574"/>
    </row>
    <row r="823" spans="1:31" ht="16.5" customHeight="1" x14ac:dyDescent="0.85">
      <c r="A823" s="574"/>
      <c r="B823" s="574"/>
      <c r="C823" s="574"/>
      <c r="D823" s="574"/>
      <c r="E823" s="574"/>
      <c r="F823" s="574"/>
      <c r="G823" s="574"/>
      <c r="H823" s="574"/>
      <c r="I823" s="574"/>
      <c r="J823" s="574"/>
      <c r="K823" s="574"/>
      <c r="L823" s="574"/>
      <c r="M823" s="574"/>
      <c r="N823" s="574"/>
      <c r="O823" s="574"/>
      <c r="P823" s="574"/>
      <c r="Q823" s="574"/>
      <c r="R823" s="574"/>
      <c r="S823" s="574"/>
      <c r="T823" s="574"/>
      <c r="U823" s="574"/>
      <c r="V823" s="574"/>
      <c r="W823" s="574"/>
      <c r="X823" s="574"/>
      <c r="Y823" s="574"/>
      <c r="Z823" s="574"/>
      <c r="AA823" s="574"/>
      <c r="AB823" s="574"/>
      <c r="AC823" s="574"/>
      <c r="AD823" s="574"/>
      <c r="AE823" s="574"/>
    </row>
    <row r="824" spans="1:31" ht="16.5" customHeight="1" x14ac:dyDescent="0.85">
      <c r="A824" s="574"/>
      <c r="B824" s="574"/>
      <c r="C824" s="574"/>
      <c r="D824" s="574"/>
      <c r="E824" s="574"/>
      <c r="F824" s="574"/>
      <c r="G824" s="574"/>
      <c r="H824" s="574"/>
      <c r="I824" s="574"/>
      <c r="J824" s="574"/>
      <c r="K824" s="574"/>
      <c r="L824" s="574"/>
      <c r="M824" s="574"/>
      <c r="N824" s="574"/>
      <c r="O824" s="574"/>
      <c r="P824" s="574"/>
      <c r="Q824" s="574"/>
      <c r="R824" s="574"/>
      <c r="S824" s="574"/>
      <c r="T824" s="574"/>
      <c r="U824" s="574"/>
      <c r="V824" s="574"/>
      <c r="W824" s="574"/>
      <c r="X824" s="574"/>
      <c r="Y824" s="574"/>
      <c r="Z824" s="574"/>
      <c r="AA824" s="574"/>
      <c r="AB824" s="574"/>
      <c r="AC824" s="574"/>
      <c r="AD824" s="574"/>
      <c r="AE824" s="574"/>
    </row>
    <row r="825" spans="1:31" ht="16.5" customHeight="1" x14ac:dyDescent="0.85">
      <c r="A825" s="574"/>
      <c r="B825" s="574"/>
      <c r="C825" s="574"/>
      <c r="D825" s="574"/>
      <c r="E825" s="574"/>
      <c r="F825" s="574"/>
      <c r="G825" s="574"/>
      <c r="H825" s="574"/>
      <c r="I825" s="574"/>
      <c r="J825" s="574"/>
      <c r="K825" s="574"/>
      <c r="L825" s="574"/>
      <c r="M825" s="574"/>
      <c r="N825" s="574"/>
      <c r="O825" s="574"/>
      <c r="P825" s="574"/>
      <c r="Q825" s="574"/>
      <c r="R825" s="574"/>
      <c r="S825" s="574"/>
      <c r="T825" s="574"/>
      <c r="U825" s="574"/>
      <c r="V825" s="574"/>
      <c r="W825" s="574"/>
      <c r="X825" s="574"/>
      <c r="Y825" s="574"/>
      <c r="Z825" s="574"/>
      <c r="AA825" s="574"/>
      <c r="AB825" s="574"/>
      <c r="AC825" s="574"/>
      <c r="AD825" s="574"/>
      <c r="AE825" s="574"/>
    </row>
    <row r="826" spans="1:31" ht="16.5" customHeight="1" x14ac:dyDescent="0.85">
      <c r="A826" s="574"/>
      <c r="B826" s="574"/>
      <c r="C826" s="574"/>
      <c r="D826" s="574"/>
      <c r="E826" s="574"/>
      <c r="F826" s="574"/>
      <c r="G826" s="574"/>
      <c r="H826" s="574"/>
      <c r="I826" s="574"/>
      <c r="J826" s="574"/>
      <c r="K826" s="574"/>
      <c r="L826" s="574"/>
      <c r="M826" s="574"/>
      <c r="N826" s="574"/>
      <c r="O826" s="574"/>
      <c r="P826" s="574"/>
      <c r="Q826" s="574"/>
      <c r="R826" s="574"/>
      <c r="S826" s="574"/>
      <c r="T826" s="574"/>
      <c r="U826" s="574"/>
      <c r="V826" s="574"/>
      <c r="W826" s="574"/>
      <c r="X826" s="574"/>
      <c r="Y826" s="574"/>
      <c r="Z826" s="574"/>
      <c r="AA826" s="574"/>
      <c r="AB826" s="574"/>
      <c r="AC826" s="574"/>
      <c r="AD826" s="574"/>
      <c r="AE826" s="574"/>
    </row>
    <row r="827" spans="1:31" ht="16.5" customHeight="1" x14ac:dyDescent="0.85">
      <c r="A827" s="574"/>
      <c r="B827" s="574"/>
      <c r="C827" s="574"/>
      <c r="D827" s="574"/>
      <c r="E827" s="574"/>
      <c r="F827" s="574"/>
      <c r="G827" s="574"/>
      <c r="H827" s="574"/>
      <c r="I827" s="574"/>
      <c r="J827" s="574"/>
      <c r="K827" s="574"/>
      <c r="L827" s="574"/>
      <c r="M827" s="574"/>
      <c r="N827" s="574"/>
      <c r="O827" s="574"/>
      <c r="P827" s="574"/>
      <c r="Q827" s="574"/>
      <c r="R827" s="574"/>
      <c r="S827" s="574"/>
      <c r="T827" s="574"/>
      <c r="U827" s="574"/>
      <c r="V827" s="574"/>
      <c r="W827" s="574"/>
      <c r="X827" s="574"/>
      <c r="Y827" s="574"/>
      <c r="Z827" s="574"/>
      <c r="AA827" s="574"/>
      <c r="AB827" s="574"/>
      <c r="AC827" s="574"/>
      <c r="AD827" s="574"/>
      <c r="AE827" s="574"/>
    </row>
    <row r="828" spans="1:31" ht="16.5" customHeight="1" x14ac:dyDescent="0.85">
      <c r="A828" s="574"/>
      <c r="B828" s="574"/>
      <c r="C828" s="574"/>
      <c r="D828" s="574"/>
      <c r="E828" s="574"/>
      <c r="F828" s="574"/>
      <c r="G828" s="574"/>
      <c r="H828" s="574"/>
      <c r="I828" s="574"/>
      <c r="J828" s="574"/>
      <c r="K828" s="574"/>
      <c r="L828" s="574"/>
      <c r="M828" s="574"/>
      <c r="N828" s="574"/>
      <c r="O828" s="574"/>
      <c r="P828" s="574"/>
      <c r="Q828" s="574"/>
      <c r="R828" s="574"/>
      <c r="S828" s="574"/>
      <c r="T828" s="574"/>
      <c r="U828" s="574"/>
      <c r="V828" s="574"/>
      <c r="W828" s="574"/>
      <c r="X828" s="574"/>
      <c r="Y828" s="574"/>
      <c r="Z828" s="574"/>
      <c r="AA828" s="574"/>
      <c r="AB828" s="574"/>
      <c r="AC828" s="574"/>
      <c r="AD828" s="574"/>
      <c r="AE828" s="574"/>
    </row>
    <row r="829" spans="1:31" ht="16.5" customHeight="1" x14ac:dyDescent="0.85">
      <c r="A829" s="574"/>
      <c r="B829" s="574"/>
      <c r="C829" s="574"/>
      <c r="D829" s="574"/>
      <c r="E829" s="574"/>
      <c r="F829" s="574"/>
      <c r="G829" s="574"/>
      <c r="H829" s="574"/>
      <c r="I829" s="574"/>
      <c r="J829" s="574"/>
      <c r="K829" s="574"/>
      <c r="L829" s="574"/>
      <c r="M829" s="574"/>
      <c r="N829" s="574"/>
      <c r="O829" s="574"/>
      <c r="P829" s="574"/>
      <c r="Q829" s="574"/>
      <c r="R829" s="574"/>
      <c r="S829" s="574"/>
      <c r="T829" s="574"/>
      <c r="U829" s="574"/>
      <c r="V829" s="574"/>
      <c r="W829" s="574"/>
      <c r="X829" s="574"/>
      <c r="Y829" s="574"/>
      <c r="Z829" s="574"/>
      <c r="AA829" s="574"/>
      <c r="AB829" s="574"/>
      <c r="AC829" s="574"/>
      <c r="AD829" s="574"/>
      <c r="AE829" s="574"/>
    </row>
    <row r="830" spans="1:31" ht="16.5" customHeight="1" x14ac:dyDescent="0.85">
      <c r="A830" s="574"/>
      <c r="B830" s="574"/>
      <c r="C830" s="574"/>
      <c r="D830" s="574"/>
      <c r="E830" s="574"/>
      <c r="F830" s="574"/>
      <c r="G830" s="574"/>
      <c r="H830" s="574"/>
      <c r="I830" s="574"/>
      <c r="J830" s="574"/>
      <c r="K830" s="574"/>
      <c r="L830" s="574"/>
      <c r="M830" s="574"/>
      <c r="N830" s="574"/>
      <c r="O830" s="574"/>
      <c r="P830" s="574"/>
      <c r="Q830" s="574"/>
      <c r="R830" s="574"/>
      <c r="S830" s="574"/>
      <c r="T830" s="574"/>
      <c r="U830" s="574"/>
      <c r="V830" s="574"/>
      <c r="W830" s="574"/>
      <c r="X830" s="574"/>
      <c r="Y830" s="574"/>
      <c r="Z830" s="574"/>
      <c r="AA830" s="574"/>
      <c r="AB830" s="574"/>
      <c r="AC830" s="574"/>
      <c r="AD830" s="574"/>
      <c r="AE830" s="574"/>
    </row>
    <row r="831" spans="1:31" ht="16.5" customHeight="1" x14ac:dyDescent="0.85">
      <c r="A831" s="574"/>
      <c r="B831" s="574"/>
      <c r="C831" s="574"/>
      <c r="D831" s="574"/>
      <c r="E831" s="574"/>
      <c r="F831" s="574"/>
      <c r="G831" s="574"/>
      <c r="H831" s="574"/>
      <c r="I831" s="574"/>
      <c r="J831" s="574"/>
      <c r="K831" s="574"/>
      <c r="L831" s="574"/>
      <c r="M831" s="574"/>
      <c r="N831" s="574"/>
      <c r="O831" s="574"/>
      <c r="P831" s="574"/>
      <c r="Q831" s="574"/>
      <c r="R831" s="574"/>
      <c r="S831" s="574"/>
      <c r="T831" s="574"/>
      <c r="U831" s="574"/>
      <c r="V831" s="574"/>
      <c r="W831" s="574"/>
      <c r="X831" s="574"/>
      <c r="Y831" s="574"/>
      <c r="Z831" s="574"/>
      <c r="AA831" s="574"/>
      <c r="AB831" s="574"/>
      <c r="AC831" s="574"/>
      <c r="AD831" s="574"/>
      <c r="AE831" s="574"/>
    </row>
    <row r="832" spans="1:31" ht="16.5" customHeight="1" x14ac:dyDescent="0.85">
      <c r="A832" s="574"/>
      <c r="B832" s="574"/>
      <c r="C832" s="574"/>
      <c r="D832" s="574"/>
      <c r="E832" s="574"/>
      <c r="F832" s="574"/>
      <c r="G832" s="574"/>
      <c r="H832" s="574"/>
      <c r="I832" s="574"/>
      <c r="J832" s="574"/>
      <c r="K832" s="574"/>
      <c r="L832" s="574"/>
      <c r="M832" s="574"/>
      <c r="N832" s="574"/>
      <c r="O832" s="574"/>
      <c r="P832" s="574"/>
      <c r="Q832" s="574"/>
      <c r="R832" s="574"/>
      <c r="S832" s="574"/>
      <c r="T832" s="574"/>
      <c r="U832" s="574"/>
      <c r="V832" s="574"/>
      <c r="W832" s="574"/>
      <c r="X832" s="574"/>
      <c r="Y832" s="574"/>
      <c r="Z832" s="574"/>
      <c r="AA832" s="574"/>
      <c r="AB832" s="574"/>
      <c r="AC832" s="574"/>
      <c r="AD832" s="574"/>
      <c r="AE832" s="574"/>
    </row>
    <row r="833" spans="1:31" ht="16.5" customHeight="1" x14ac:dyDescent="0.85">
      <c r="A833" s="574"/>
      <c r="B833" s="574"/>
      <c r="C833" s="574"/>
      <c r="D833" s="574"/>
      <c r="E833" s="574"/>
      <c r="F833" s="574"/>
      <c r="G833" s="574"/>
      <c r="H833" s="574"/>
      <c r="I833" s="574"/>
      <c r="J833" s="574"/>
      <c r="K833" s="574"/>
      <c r="L833" s="574"/>
      <c r="M833" s="574"/>
      <c r="N833" s="574"/>
      <c r="O833" s="574"/>
      <c r="P833" s="574"/>
      <c r="Q833" s="574"/>
      <c r="R833" s="574"/>
      <c r="S833" s="574"/>
      <c r="T833" s="574"/>
      <c r="U833" s="574"/>
      <c r="V833" s="574"/>
      <c r="W833" s="574"/>
      <c r="X833" s="574"/>
      <c r="Y833" s="574"/>
      <c r="Z833" s="574"/>
      <c r="AA833" s="574"/>
      <c r="AB833" s="574"/>
      <c r="AC833" s="574"/>
      <c r="AD833" s="574"/>
      <c r="AE833" s="574"/>
    </row>
    <row r="834" spans="1:31" ht="16.5" customHeight="1" x14ac:dyDescent="0.85">
      <c r="A834" s="574"/>
      <c r="B834" s="574"/>
      <c r="C834" s="574"/>
      <c r="D834" s="574"/>
      <c r="E834" s="574"/>
      <c r="F834" s="574"/>
      <c r="G834" s="574"/>
      <c r="H834" s="574"/>
      <c r="I834" s="574"/>
      <c r="J834" s="574"/>
      <c r="K834" s="574"/>
      <c r="L834" s="574"/>
      <c r="M834" s="574"/>
      <c r="N834" s="574"/>
      <c r="O834" s="574"/>
      <c r="P834" s="574"/>
      <c r="Q834" s="574"/>
      <c r="R834" s="574"/>
      <c r="S834" s="574"/>
      <c r="T834" s="574"/>
      <c r="U834" s="574"/>
      <c r="V834" s="574"/>
      <c r="W834" s="574"/>
      <c r="X834" s="574"/>
      <c r="Y834" s="574"/>
      <c r="Z834" s="574"/>
      <c r="AA834" s="574"/>
      <c r="AB834" s="574"/>
      <c r="AC834" s="574"/>
      <c r="AD834" s="574"/>
      <c r="AE834" s="574"/>
    </row>
    <row r="835" spans="1:31" ht="16.5" customHeight="1" x14ac:dyDescent="0.85">
      <c r="A835" s="574"/>
      <c r="B835" s="574"/>
      <c r="C835" s="574"/>
      <c r="D835" s="574"/>
      <c r="E835" s="574"/>
      <c r="F835" s="574"/>
      <c r="G835" s="574"/>
      <c r="H835" s="574"/>
      <c r="I835" s="574"/>
      <c r="J835" s="574"/>
      <c r="K835" s="574"/>
      <c r="L835" s="574"/>
      <c r="M835" s="574"/>
      <c r="N835" s="574"/>
      <c r="O835" s="574"/>
      <c r="P835" s="574"/>
      <c r="Q835" s="574"/>
      <c r="R835" s="574"/>
      <c r="S835" s="574"/>
      <c r="T835" s="574"/>
      <c r="U835" s="574"/>
      <c r="V835" s="574"/>
      <c r="W835" s="574"/>
      <c r="X835" s="574"/>
      <c r="Y835" s="574"/>
      <c r="Z835" s="574"/>
      <c r="AA835" s="574"/>
      <c r="AB835" s="574"/>
      <c r="AC835" s="574"/>
      <c r="AD835" s="574"/>
      <c r="AE835" s="574"/>
    </row>
    <row r="836" spans="1:31" ht="16.5" customHeight="1" x14ac:dyDescent="0.85">
      <c r="A836" s="574"/>
      <c r="B836" s="574"/>
      <c r="C836" s="574"/>
      <c r="D836" s="574"/>
      <c r="E836" s="574"/>
      <c r="F836" s="574"/>
      <c r="G836" s="574"/>
      <c r="H836" s="574"/>
      <c r="I836" s="574"/>
      <c r="J836" s="574"/>
      <c r="K836" s="574"/>
      <c r="L836" s="574"/>
      <c r="M836" s="574"/>
      <c r="N836" s="574"/>
      <c r="O836" s="574"/>
      <c r="P836" s="574"/>
      <c r="Q836" s="574"/>
      <c r="R836" s="574"/>
      <c r="S836" s="574"/>
      <c r="T836" s="574"/>
      <c r="U836" s="574"/>
      <c r="V836" s="574"/>
      <c r="W836" s="574"/>
      <c r="X836" s="574"/>
      <c r="Y836" s="574"/>
      <c r="Z836" s="574"/>
      <c r="AA836" s="574"/>
      <c r="AB836" s="574"/>
      <c r="AC836" s="574"/>
      <c r="AD836" s="574"/>
      <c r="AE836" s="574"/>
    </row>
    <row r="837" spans="1:31" ht="16.5" customHeight="1" x14ac:dyDescent="0.85">
      <c r="A837" s="574"/>
      <c r="B837" s="574"/>
      <c r="C837" s="574"/>
      <c r="D837" s="574"/>
      <c r="E837" s="574"/>
      <c r="F837" s="574"/>
      <c r="G837" s="574"/>
      <c r="H837" s="574"/>
      <c r="I837" s="574"/>
      <c r="J837" s="574"/>
      <c r="K837" s="574"/>
      <c r="L837" s="574"/>
      <c r="M837" s="574"/>
      <c r="N837" s="574"/>
      <c r="O837" s="574"/>
      <c r="P837" s="574"/>
      <c r="Q837" s="574"/>
      <c r="R837" s="574"/>
      <c r="S837" s="574"/>
      <c r="T837" s="574"/>
      <c r="U837" s="574"/>
      <c r="V837" s="574"/>
      <c r="W837" s="574"/>
      <c r="X837" s="574"/>
      <c r="Y837" s="574"/>
      <c r="Z837" s="574"/>
      <c r="AA837" s="574"/>
      <c r="AB837" s="574"/>
      <c r="AC837" s="574"/>
      <c r="AD837" s="574"/>
      <c r="AE837" s="574"/>
    </row>
    <row r="838" spans="1:31" ht="16.5" customHeight="1" x14ac:dyDescent="0.85">
      <c r="A838" s="574"/>
      <c r="B838" s="574"/>
      <c r="C838" s="574"/>
      <c r="D838" s="574"/>
      <c r="E838" s="574"/>
      <c r="F838" s="574"/>
      <c r="G838" s="574"/>
      <c r="H838" s="574"/>
      <c r="I838" s="574"/>
      <c r="J838" s="574"/>
      <c r="K838" s="574"/>
      <c r="L838" s="574"/>
      <c r="M838" s="574"/>
      <c r="N838" s="574"/>
      <c r="O838" s="574"/>
      <c r="P838" s="574"/>
      <c r="Q838" s="574"/>
      <c r="R838" s="574"/>
      <c r="S838" s="574"/>
      <c r="T838" s="574"/>
      <c r="U838" s="574"/>
      <c r="V838" s="574"/>
      <c r="W838" s="574"/>
      <c r="X838" s="574"/>
      <c r="Y838" s="574"/>
      <c r="Z838" s="574"/>
      <c r="AA838" s="574"/>
      <c r="AB838" s="574"/>
      <c r="AC838" s="574"/>
      <c r="AD838" s="574"/>
      <c r="AE838" s="574"/>
    </row>
    <row r="839" spans="1:31" ht="16.5" customHeight="1" x14ac:dyDescent="0.85">
      <c r="A839" s="574"/>
      <c r="B839" s="574"/>
      <c r="C839" s="574"/>
      <c r="D839" s="574"/>
      <c r="E839" s="574"/>
      <c r="F839" s="574"/>
      <c r="G839" s="574"/>
      <c r="H839" s="574"/>
      <c r="I839" s="574"/>
      <c r="J839" s="574"/>
      <c r="K839" s="574"/>
      <c r="L839" s="574"/>
      <c r="M839" s="574"/>
      <c r="N839" s="574"/>
      <c r="O839" s="574"/>
      <c r="P839" s="574"/>
      <c r="Q839" s="574"/>
      <c r="R839" s="574"/>
      <c r="S839" s="574"/>
      <c r="T839" s="574"/>
      <c r="U839" s="574"/>
      <c r="V839" s="574"/>
      <c r="W839" s="574"/>
      <c r="X839" s="574"/>
      <c r="Y839" s="574"/>
      <c r="Z839" s="574"/>
      <c r="AA839" s="574"/>
      <c r="AB839" s="574"/>
      <c r="AC839" s="574"/>
      <c r="AD839" s="574"/>
      <c r="AE839" s="574"/>
    </row>
    <row r="840" spans="1:31" ht="16.5" customHeight="1" x14ac:dyDescent="0.85">
      <c r="A840" s="574"/>
      <c r="B840" s="574"/>
      <c r="C840" s="574"/>
      <c r="D840" s="574"/>
      <c r="E840" s="574"/>
      <c r="F840" s="574"/>
      <c r="G840" s="574"/>
      <c r="H840" s="574"/>
      <c r="I840" s="574"/>
      <c r="J840" s="574"/>
      <c r="K840" s="574"/>
      <c r="L840" s="574"/>
      <c r="M840" s="574"/>
      <c r="N840" s="574"/>
      <c r="O840" s="574"/>
      <c r="P840" s="574"/>
      <c r="Q840" s="574"/>
      <c r="R840" s="574"/>
      <c r="S840" s="574"/>
      <c r="T840" s="574"/>
      <c r="U840" s="574"/>
      <c r="V840" s="574"/>
      <c r="W840" s="574"/>
      <c r="X840" s="574"/>
      <c r="Y840" s="574"/>
      <c r="Z840" s="574"/>
      <c r="AA840" s="574"/>
      <c r="AB840" s="574"/>
      <c r="AC840" s="574"/>
      <c r="AD840" s="574"/>
      <c r="AE840" s="574"/>
    </row>
    <row r="841" spans="1:31" ht="16.5" customHeight="1" x14ac:dyDescent="0.85">
      <c r="A841" s="574"/>
      <c r="B841" s="574"/>
      <c r="C841" s="574"/>
      <c r="D841" s="574"/>
      <c r="E841" s="574"/>
      <c r="F841" s="574"/>
      <c r="G841" s="574"/>
      <c r="H841" s="574"/>
      <c r="I841" s="574"/>
      <c r="J841" s="574"/>
      <c r="K841" s="574"/>
      <c r="L841" s="574"/>
      <c r="M841" s="574"/>
      <c r="N841" s="574"/>
      <c r="O841" s="574"/>
      <c r="P841" s="574"/>
      <c r="Q841" s="574"/>
      <c r="R841" s="574"/>
      <c r="S841" s="574"/>
      <c r="T841" s="574"/>
      <c r="U841" s="574"/>
      <c r="V841" s="574"/>
      <c r="W841" s="574"/>
      <c r="X841" s="574"/>
      <c r="Y841" s="574"/>
      <c r="Z841" s="574"/>
      <c r="AA841" s="574"/>
      <c r="AB841" s="574"/>
      <c r="AC841" s="574"/>
      <c r="AD841" s="574"/>
      <c r="AE841" s="574"/>
    </row>
    <row r="842" spans="1:31" ht="16.5" customHeight="1" x14ac:dyDescent="0.85">
      <c r="A842" s="574"/>
      <c r="B842" s="574"/>
      <c r="C842" s="574"/>
      <c r="D842" s="574"/>
      <c r="E842" s="574"/>
      <c r="F842" s="574"/>
      <c r="G842" s="574"/>
      <c r="H842" s="574"/>
      <c r="I842" s="574"/>
      <c r="J842" s="574"/>
      <c r="K842" s="574"/>
      <c r="L842" s="574"/>
      <c r="M842" s="574"/>
      <c r="N842" s="574"/>
      <c r="O842" s="574"/>
      <c r="P842" s="574"/>
      <c r="Q842" s="574"/>
      <c r="R842" s="574"/>
      <c r="S842" s="574"/>
      <c r="T842" s="574"/>
      <c r="U842" s="574"/>
      <c r="V842" s="574"/>
      <c r="W842" s="574"/>
      <c r="X842" s="574"/>
      <c r="Y842" s="574"/>
      <c r="Z842" s="574"/>
      <c r="AA842" s="574"/>
      <c r="AB842" s="574"/>
      <c r="AC842" s="574"/>
      <c r="AD842" s="574"/>
      <c r="AE842" s="574"/>
    </row>
    <row r="843" spans="1:31" ht="16.5" customHeight="1" x14ac:dyDescent="0.85">
      <c r="A843" s="574"/>
      <c r="B843" s="574"/>
      <c r="C843" s="574"/>
      <c r="D843" s="574"/>
      <c r="E843" s="574"/>
      <c r="F843" s="574"/>
      <c r="G843" s="574"/>
      <c r="H843" s="574"/>
      <c r="I843" s="574"/>
      <c r="J843" s="574"/>
      <c r="K843" s="574"/>
      <c r="L843" s="574"/>
      <c r="M843" s="574"/>
      <c r="N843" s="574"/>
      <c r="O843" s="574"/>
      <c r="P843" s="574"/>
      <c r="Q843" s="574"/>
      <c r="R843" s="574"/>
      <c r="S843" s="574"/>
      <c r="T843" s="574"/>
      <c r="U843" s="574"/>
      <c r="V843" s="574"/>
      <c r="W843" s="574"/>
      <c r="X843" s="574"/>
      <c r="Y843" s="574"/>
      <c r="Z843" s="574"/>
      <c r="AA843" s="574"/>
      <c r="AB843" s="574"/>
      <c r="AC843" s="574"/>
      <c r="AD843" s="574"/>
      <c r="AE843" s="574"/>
    </row>
    <row r="844" spans="1:31" ht="16.5" customHeight="1" x14ac:dyDescent="0.85">
      <c r="A844" s="574"/>
      <c r="B844" s="574"/>
      <c r="C844" s="574"/>
      <c r="D844" s="574"/>
      <c r="E844" s="574"/>
      <c r="F844" s="574"/>
      <c r="G844" s="574"/>
      <c r="H844" s="574"/>
      <c r="I844" s="574"/>
      <c r="J844" s="574"/>
      <c r="K844" s="574"/>
      <c r="L844" s="574"/>
      <c r="M844" s="574"/>
      <c r="N844" s="574"/>
      <c r="O844" s="574"/>
      <c r="P844" s="574"/>
      <c r="Q844" s="574"/>
      <c r="R844" s="574"/>
      <c r="S844" s="574"/>
      <c r="T844" s="574"/>
      <c r="U844" s="574"/>
      <c r="V844" s="574"/>
      <c r="W844" s="574"/>
      <c r="X844" s="574"/>
      <c r="Y844" s="574"/>
      <c r="Z844" s="574"/>
      <c r="AA844" s="574"/>
      <c r="AB844" s="574"/>
      <c r="AC844" s="574"/>
      <c r="AD844" s="574"/>
      <c r="AE844" s="574"/>
    </row>
    <row r="845" spans="1:31" ht="16.5" customHeight="1" x14ac:dyDescent="0.85">
      <c r="A845" s="574"/>
      <c r="B845" s="574"/>
      <c r="C845" s="574"/>
      <c r="D845" s="574"/>
      <c r="E845" s="574"/>
      <c r="F845" s="574"/>
      <c r="G845" s="574"/>
      <c r="H845" s="574"/>
      <c r="I845" s="574"/>
      <c r="J845" s="574"/>
      <c r="K845" s="574"/>
      <c r="L845" s="574"/>
      <c r="M845" s="574"/>
      <c r="N845" s="574"/>
      <c r="O845" s="574"/>
      <c r="P845" s="574"/>
      <c r="Q845" s="574"/>
      <c r="R845" s="574"/>
      <c r="S845" s="574"/>
      <c r="T845" s="574"/>
      <c r="U845" s="574"/>
      <c r="V845" s="574"/>
      <c r="W845" s="574"/>
      <c r="X845" s="574"/>
      <c r="Y845" s="574"/>
      <c r="Z845" s="574"/>
      <c r="AA845" s="574"/>
      <c r="AB845" s="574"/>
      <c r="AC845" s="574"/>
      <c r="AD845" s="574"/>
      <c r="AE845" s="574"/>
    </row>
    <row r="846" spans="1:31" ht="16.5" customHeight="1" x14ac:dyDescent="0.85">
      <c r="A846" s="574"/>
      <c r="B846" s="574"/>
      <c r="C846" s="574"/>
      <c r="D846" s="574"/>
      <c r="E846" s="574"/>
      <c r="F846" s="574"/>
      <c r="G846" s="574"/>
      <c r="H846" s="574"/>
      <c r="I846" s="574"/>
      <c r="J846" s="574"/>
      <c r="K846" s="574"/>
      <c r="L846" s="574"/>
      <c r="M846" s="574"/>
      <c r="N846" s="574"/>
      <c r="O846" s="574"/>
      <c r="P846" s="574"/>
      <c r="Q846" s="574"/>
      <c r="R846" s="574"/>
      <c r="S846" s="574"/>
      <c r="T846" s="574"/>
      <c r="U846" s="574"/>
      <c r="V846" s="574"/>
      <c r="W846" s="574"/>
      <c r="X846" s="574"/>
      <c r="Y846" s="574"/>
      <c r="Z846" s="574"/>
      <c r="AA846" s="574"/>
      <c r="AB846" s="574"/>
      <c r="AC846" s="574"/>
      <c r="AD846" s="574"/>
      <c r="AE846" s="574"/>
    </row>
    <row r="847" spans="1:31" ht="16.5" customHeight="1" x14ac:dyDescent="0.85">
      <c r="A847" s="574"/>
      <c r="B847" s="574"/>
      <c r="C847" s="574"/>
      <c r="D847" s="574"/>
      <c r="E847" s="574"/>
      <c r="F847" s="574"/>
      <c r="G847" s="574"/>
      <c r="H847" s="574"/>
      <c r="I847" s="574"/>
      <c r="J847" s="574"/>
      <c r="K847" s="574"/>
      <c r="L847" s="574"/>
      <c r="M847" s="574"/>
      <c r="N847" s="574"/>
      <c r="O847" s="574"/>
      <c r="P847" s="574"/>
      <c r="Q847" s="574"/>
      <c r="R847" s="574"/>
      <c r="S847" s="574"/>
      <c r="T847" s="574"/>
      <c r="U847" s="574"/>
      <c r="V847" s="574"/>
      <c r="W847" s="574"/>
      <c r="X847" s="574"/>
      <c r="Y847" s="574"/>
      <c r="Z847" s="574"/>
      <c r="AA847" s="574"/>
      <c r="AB847" s="574"/>
      <c r="AC847" s="574"/>
      <c r="AD847" s="574"/>
      <c r="AE847" s="574"/>
    </row>
    <row r="848" spans="1:31" ht="16.5" customHeight="1" x14ac:dyDescent="0.85">
      <c r="A848" s="574"/>
      <c r="B848" s="574"/>
      <c r="C848" s="574"/>
      <c r="D848" s="574"/>
      <c r="E848" s="574"/>
      <c r="F848" s="574"/>
      <c r="G848" s="574"/>
      <c r="H848" s="574"/>
      <c r="I848" s="574"/>
      <c r="J848" s="574"/>
      <c r="K848" s="574"/>
      <c r="L848" s="574"/>
      <c r="M848" s="574"/>
      <c r="N848" s="574"/>
      <c r="O848" s="574"/>
      <c r="P848" s="574"/>
      <c r="Q848" s="574"/>
      <c r="R848" s="574"/>
      <c r="S848" s="574"/>
      <c r="T848" s="574"/>
      <c r="U848" s="574"/>
      <c r="V848" s="574"/>
      <c r="W848" s="574"/>
      <c r="X848" s="574"/>
      <c r="Y848" s="574"/>
      <c r="Z848" s="574"/>
      <c r="AA848" s="574"/>
      <c r="AB848" s="574"/>
      <c r="AC848" s="574"/>
      <c r="AD848" s="574"/>
      <c r="AE848" s="574"/>
    </row>
    <row r="849" spans="1:31" ht="16.5" customHeight="1" x14ac:dyDescent="0.85">
      <c r="A849" s="574"/>
      <c r="B849" s="574"/>
      <c r="C849" s="574"/>
      <c r="D849" s="574"/>
      <c r="E849" s="574"/>
      <c r="F849" s="574"/>
      <c r="G849" s="574"/>
      <c r="H849" s="574"/>
      <c r="I849" s="574"/>
      <c r="J849" s="574"/>
      <c r="K849" s="574"/>
      <c r="L849" s="574"/>
      <c r="M849" s="574"/>
      <c r="N849" s="574"/>
      <c r="O849" s="574"/>
      <c r="P849" s="574"/>
      <c r="Q849" s="574"/>
      <c r="R849" s="574"/>
      <c r="S849" s="574"/>
      <c r="T849" s="574"/>
      <c r="U849" s="574"/>
      <c r="V849" s="574"/>
      <c r="W849" s="574"/>
      <c r="X849" s="574"/>
      <c r="Y849" s="574"/>
      <c r="Z849" s="574"/>
      <c r="AA849" s="574"/>
      <c r="AB849" s="574"/>
      <c r="AC849" s="574"/>
      <c r="AD849" s="574"/>
      <c r="AE849" s="574"/>
    </row>
    <row r="850" spans="1:31" ht="16.5" customHeight="1" x14ac:dyDescent="0.85">
      <c r="A850" s="574"/>
      <c r="B850" s="574"/>
      <c r="C850" s="574"/>
      <c r="D850" s="574"/>
      <c r="E850" s="574"/>
      <c r="F850" s="574"/>
      <c r="G850" s="574"/>
      <c r="H850" s="574"/>
      <c r="I850" s="574"/>
      <c r="J850" s="574"/>
      <c r="K850" s="574"/>
      <c r="L850" s="574"/>
      <c r="M850" s="574"/>
      <c r="N850" s="574"/>
      <c r="O850" s="574"/>
      <c r="P850" s="574"/>
      <c r="Q850" s="574"/>
      <c r="R850" s="574"/>
      <c r="S850" s="574"/>
      <c r="T850" s="574"/>
      <c r="U850" s="574"/>
      <c r="V850" s="574"/>
      <c r="W850" s="574"/>
      <c r="X850" s="574"/>
      <c r="Y850" s="574"/>
      <c r="Z850" s="574"/>
      <c r="AA850" s="574"/>
      <c r="AB850" s="574"/>
      <c r="AC850" s="574"/>
      <c r="AD850" s="574"/>
      <c r="AE850" s="574"/>
    </row>
    <row r="851" spans="1:31" ht="16.5" customHeight="1" x14ac:dyDescent="0.85">
      <c r="A851" s="574"/>
      <c r="B851" s="574"/>
      <c r="C851" s="574"/>
      <c r="D851" s="574"/>
      <c r="E851" s="574"/>
      <c r="F851" s="574"/>
      <c r="G851" s="574"/>
      <c r="H851" s="574"/>
      <c r="I851" s="574"/>
      <c r="J851" s="574"/>
      <c r="K851" s="574"/>
      <c r="L851" s="574"/>
      <c r="M851" s="574"/>
      <c r="N851" s="574"/>
      <c r="O851" s="574"/>
      <c r="P851" s="574"/>
      <c r="Q851" s="574"/>
      <c r="R851" s="574"/>
      <c r="S851" s="574"/>
      <c r="T851" s="574"/>
      <c r="U851" s="574"/>
      <c r="V851" s="574"/>
      <c r="W851" s="574"/>
      <c r="X851" s="574"/>
      <c r="Y851" s="574"/>
      <c r="Z851" s="574"/>
      <c r="AA851" s="574"/>
      <c r="AB851" s="574"/>
      <c r="AC851" s="574"/>
      <c r="AD851" s="574"/>
      <c r="AE851" s="574"/>
    </row>
    <row r="852" spans="1:31" ht="16.5" customHeight="1" x14ac:dyDescent="0.85">
      <c r="A852" s="574"/>
      <c r="B852" s="574"/>
      <c r="C852" s="574"/>
      <c r="D852" s="574"/>
      <c r="E852" s="574"/>
      <c r="F852" s="574"/>
      <c r="G852" s="574"/>
      <c r="H852" s="574"/>
      <c r="I852" s="574"/>
      <c r="J852" s="574"/>
      <c r="K852" s="574"/>
      <c r="L852" s="574"/>
      <c r="M852" s="574"/>
      <c r="N852" s="574"/>
      <c r="O852" s="574"/>
      <c r="P852" s="574"/>
      <c r="Q852" s="574"/>
      <c r="R852" s="574"/>
      <c r="S852" s="574"/>
      <c r="T852" s="574"/>
      <c r="U852" s="574"/>
      <c r="V852" s="574"/>
      <c r="W852" s="574"/>
      <c r="X852" s="574"/>
      <c r="Y852" s="574"/>
      <c r="Z852" s="574"/>
      <c r="AA852" s="574"/>
      <c r="AB852" s="574"/>
      <c r="AC852" s="574"/>
      <c r="AD852" s="574"/>
      <c r="AE852" s="574"/>
    </row>
    <row r="853" spans="1:31" ht="16.5" customHeight="1" x14ac:dyDescent="0.85">
      <c r="A853" s="574"/>
      <c r="B853" s="574"/>
      <c r="C853" s="574"/>
      <c r="D853" s="574"/>
      <c r="E853" s="574"/>
      <c r="F853" s="574"/>
      <c r="G853" s="574"/>
      <c r="H853" s="574"/>
      <c r="I853" s="574"/>
      <c r="J853" s="574"/>
      <c r="K853" s="574"/>
      <c r="L853" s="574"/>
      <c r="M853" s="574"/>
      <c r="N853" s="574"/>
      <c r="O853" s="574"/>
      <c r="P853" s="574"/>
      <c r="Q853" s="574"/>
      <c r="R853" s="574"/>
      <c r="S853" s="574"/>
      <c r="T853" s="574"/>
      <c r="U853" s="574"/>
      <c r="V853" s="574"/>
      <c r="W853" s="574"/>
      <c r="X853" s="574"/>
      <c r="Y853" s="574"/>
      <c r="Z853" s="574"/>
      <c r="AA853" s="574"/>
      <c r="AB853" s="574"/>
      <c r="AC853" s="574"/>
      <c r="AD853" s="574"/>
      <c r="AE853" s="574"/>
    </row>
    <row r="854" spans="1:31" ht="16.5" customHeight="1" x14ac:dyDescent="0.85">
      <c r="A854" s="574"/>
      <c r="B854" s="574"/>
      <c r="C854" s="574"/>
      <c r="D854" s="574"/>
      <c r="E854" s="574"/>
      <c r="F854" s="574"/>
      <c r="G854" s="574"/>
      <c r="H854" s="574"/>
      <c r="I854" s="574"/>
      <c r="J854" s="574"/>
      <c r="K854" s="574"/>
      <c r="L854" s="574"/>
      <c r="M854" s="574"/>
      <c r="N854" s="574"/>
      <c r="O854" s="574"/>
      <c r="P854" s="574"/>
      <c r="Q854" s="574"/>
      <c r="R854" s="574"/>
      <c r="S854" s="574"/>
      <c r="T854" s="574"/>
      <c r="U854" s="574"/>
      <c r="V854" s="574"/>
      <c r="W854" s="574"/>
      <c r="X854" s="574"/>
      <c r="Y854" s="574"/>
      <c r="Z854" s="574"/>
      <c r="AA854" s="574"/>
      <c r="AB854" s="574"/>
      <c r="AC854" s="574"/>
      <c r="AD854" s="574"/>
      <c r="AE854" s="574"/>
    </row>
    <row r="855" spans="1:31" ht="16.5" customHeight="1" x14ac:dyDescent="0.85">
      <c r="A855" s="574"/>
      <c r="B855" s="574"/>
      <c r="C855" s="574"/>
      <c r="D855" s="574"/>
      <c r="E855" s="574"/>
      <c r="F855" s="574"/>
      <c r="G855" s="574"/>
      <c r="H855" s="574"/>
      <c r="I855" s="574"/>
      <c r="J855" s="574"/>
      <c r="K855" s="574"/>
      <c r="L855" s="574"/>
      <c r="M855" s="574"/>
      <c r="N855" s="574"/>
      <c r="O855" s="574"/>
      <c r="P855" s="574"/>
      <c r="Q855" s="574"/>
      <c r="R855" s="574"/>
      <c r="S855" s="574"/>
      <c r="T855" s="574"/>
      <c r="U855" s="574"/>
      <c r="V855" s="574"/>
      <c r="W855" s="574"/>
      <c r="X855" s="574"/>
      <c r="Y855" s="574"/>
      <c r="Z855" s="574"/>
      <c r="AA855" s="574"/>
      <c r="AB855" s="574"/>
      <c r="AC855" s="574"/>
      <c r="AD855" s="574"/>
      <c r="AE855" s="574"/>
    </row>
    <row r="856" spans="1:31" ht="16.5" customHeight="1" x14ac:dyDescent="0.85">
      <c r="A856" s="574"/>
      <c r="B856" s="574"/>
      <c r="C856" s="574"/>
      <c r="D856" s="574"/>
      <c r="E856" s="574"/>
      <c r="F856" s="574"/>
      <c r="G856" s="574"/>
      <c r="H856" s="574"/>
      <c r="I856" s="574"/>
      <c r="J856" s="574"/>
      <c r="K856" s="574"/>
      <c r="L856" s="574"/>
      <c r="M856" s="574"/>
      <c r="N856" s="574"/>
      <c r="O856" s="574"/>
      <c r="P856" s="574"/>
      <c r="Q856" s="574"/>
      <c r="R856" s="574"/>
      <c r="S856" s="574"/>
      <c r="T856" s="574"/>
      <c r="U856" s="574"/>
      <c r="V856" s="574"/>
      <c r="W856" s="574"/>
      <c r="X856" s="574"/>
      <c r="Y856" s="574"/>
      <c r="Z856" s="574"/>
      <c r="AA856" s="574"/>
      <c r="AB856" s="574"/>
      <c r="AC856" s="574"/>
      <c r="AD856" s="574"/>
      <c r="AE856" s="574"/>
    </row>
    <row r="857" spans="1:31" ht="16.5" customHeight="1" x14ac:dyDescent="0.85">
      <c r="A857" s="574"/>
      <c r="B857" s="574"/>
      <c r="C857" s="574"/>
      <c r="D857" s="574"/>
      <c r="E857" s="574"/>
      <c r="F857" s="574"/>
      <c r="G857" s="574"/>
      <c r="H857" s="574"/>
      <c r="I857" s="574"/>
      <c r="J857" s="574"/>
      <c r="K857" s="574"/>
      <c r="L857" s="574"/>
      <c r="M857" s="574"/>
      <c r="N857" s="574"/>
      <c r="O857" s="574"/>
      <c r="P857" s="574"/>
      <c r="Q857" s="574"/>
      <c r="R857" s="574"/>
      <c r="S857" s="574"/>
      <c r="T857" s="574"/>
      <c r="U857" s="574"/>
      <c r="V857" s="574"/>
      <c r="W857" s="574"/>
      <c r="X857" s="574"/>
      <c r="Y857" s="574"/>
      <c r="Z857" s="574"/>
      <c r="AA857" s="574"/>
      <c r="AB857" s="574"/>
      <c r="AC857" s="574"/>
      <c r="AD857" s="574"/>
      <c r="AE857" s="574"/>
    </row>
    <row r="858" spans="1:31" ht="16.5" customHeight="1" x14ac:dyDescent="0.85">
      <c r="A858" s="574"/>
      <c r="B858" s="574"/>
      <c r="C858" s="574"/>
      <c r="D858" s="574"/>
      <c r="E858" s="574"/>
      <c r="F858" s="574"/>
      <c r="G858" s="574"/>
      <c r="H858" s="574"/>
      <c r="I858" s="574"/>
      <c r="J858" s="574"/>
      <c r="K858" s="574"/>
      <c r="L858" s="574"/>
      <c r="M858" s="574"/>
      <c r="N858" s="574"/>
      <c r="O858" s="574"/>
      <c r="P858" s="574"/>
      <c r="Q858" s="574"/>
      <c r="R858" s="574"/>
      <c r="S858" s="574"/>
      <c r="T858" s="574"/>
      <c r="U858" s="574"/>
      <c r="V858" s="574"/>
      <c r="W858" s="574"/>
      <c r="X858" s="574"/>
      <c r="Y858" s="574"/>
      <c r="Z858" s="574"/>
      <c r="AA858" s="574"/>
      <c r="AB858" s="574"/>
      <c r="AC858" s="574"/>
      <c r="AD858" s="574"/>
      <c r="AE858" s="574"/>
    </row>
    <row r="859" spans="1:31" ht="16.5" customHeight="1" x14ac:dyDescent="0.85">
      <c r="A859" s="574"/>
      <c r="B859" s="574"/>
      <c r="C859" s="574"/>
      <c r="D859" s="574"/>
      <c r="E859" s="574"/>
      <c r="F859" s="574"/>
      <c r="G859" s="574"/>
      <c r="H859" s="574"/>
      <c r="I859" s="574"/>
      <c r="J859" s="574"/>
      <c r="K859" s="574"/>
      <c r="L859" s="574"/>
      <c r="M859" s="574"/>
      <c r="N859" s="574"/>
      <c r="O859" s="574"/>
      <c r="P859" s="574"/>
      <c r="Q859" s="574"/>
      <c r="R859" s="574"/>
      <c r="S859" s="574"/>
      <c r="T859" s="574"/>
      <c r="U859" s="574"/>
      <c r="V859" s="574"/>
      <c r="W859" s="574"/>
      <c r="X859" s="574"/>
      <c r="Y859" s="574"/>
      <c r="Z859" s="574"/>
      <c r="AA859" s="574"/>
      <c r="AB859" s="574"/>
      <c r="AC859" s="574"/>
      <c r="AD859" s="574"/>
      <c r="AE859" s="574"/>
    </row>
    <row r="860" spans="1:31" ht="16.5" customHeight="1" x14ac:dyDescent="0.85">
      <c r="A860" s="574"/>
      <c r="B860" s="574"/>
      <c r="C860" s="574"/>
      <c r="D860" s="574"/>
      <c r="E860" s="574"/>
      <c r="F860" s="574"/>
      <c r="G860" s="574"/>
      <c r="H860" s="574"/>
      <c r="I860" s="574"/>
      <c r="J860" s="574"/>
      <c r="K860" s="574"/>
      <c r="L860" s="574"/>
      <c r="M860" s="574"/>
      <c r="N860" s="574"/>
      <c r="O860" s="574"/>
      <c r="P860" s="574"/>
      <c r="Q860" s="574"/>
      <c r="R860" s="574"/>
      <c r="S860" s="574"/>
      <c r="T860" s="574"/>
      <c r="U860" s="574"/>
      <c r="V860" s="574"/>
      <c r="W860" s="574"/>
      <c r="X860" s="574"/>
      <c r="Y860" s="574"/>
      <c r="Z860" s="574"/>
      <c r="AA860" s="574"/>
      <c r="AB860" s="574"/>
      <c r="AC860" s="574"/>
      <c r="AD860" s="574"/>
      <c r="AE860" s="574"/>
    </row>
    <row r="861" spans="1:31" ht="16.5" customHeight="1" x14ac:dyDescent="0.85">
      <c r="A861" s="574"/>
      <c r="B861" s="574"/>
      <c r="C861" s="574"/>
      <c r="D861" s="574"/>
      <c r="E861" s="574"/>
      <c r="F861" s="574"/>
      <c r="G861" s="574"/>
      <c r="H861" s="574"/>
      <c r="I861" s="574"/>
      <c r="J861" s="574"/>
      <c r="K861" s="574"/>
      <c r="L861" s="574"/>
      <c r="M861" s="574"/>
      <c r="N861" s="574"/>
      <c r="O861" s="574"/>
      <c r="P861" s="574"/>
      <c r="Q861" s="574"/>
      <c r="R861" s="574"/>
      <c r="S861" s="574"/>
      <c r="T861" s="574"/>
      <c r="U861" s="574"/>
      <c r="V861" s="574"/>
      <c r="W861" s="574"/>
      <c r="X861" s="574"/>
      <c r="Y861" s="574"/>
      <c r="Z861" s="574"/>
      <c r="AA861" s="574"/>
      <c r="AB861" s="574"/>
      <c r="AC861" s="574"/>
      <c r="AD861" s="574"/>
      <c r="AE861" s="574"/>
    </row>
    <row r="862" spans="1:31" ht="16.5" customHeight="1" x14ac:dyDescent="0.85">
      <c r="A862" s="574"/>
      <c r="B862" s="574"/>
      <c r="C862" s="574"/>
      <c r="D862" s="574"/>
      <c r="E862" s="574"/>
      <c r="F862" s="574"/>
      <c r="G862" s="574"/>
      <c r="H862" s="574"/>
      <c r="I862" s="574"/>
      <c r="J862" s="574"/>
      <c r="K862" s="574"/>
      <c r="L862" s="574"/>
      <c r="M862" s="574"/>
      <c r="N862" s="574"/>
      <c r="O862" s="574"/>
      <c r="P862" s="574"/>
      <c r="Q862" s="574"/>
      <c r="R862" s="574"/>
      <c r="S862" s="574"/>
      <c r="T862" s="574"/>
      <c r="U862" s="574"/>
      <c r="V862" s="574"/>
      <c r="W862" s="574"/>
      <c r="X862" s="574"/>
      <c r="Y862" s="574"/>
      <c r="Z862" s="574"/>
      <c r="AA862" s="574"/>
      <c r="AB862" s="574"/>
      <c r="AC862" s="574"/>
      <c r="AD862" s="574"/>
      <c r="AE862" s="574"/>
    </row>
    <row r="863" spans="1:31" ht="16.5" customHeight="1" x14ac:dyDescent="0.85">
      <c r="A863" s="574"/>
      <c r="B863" s="574"/>
      <c r="C863" s="574"/>
      <c r="D863" s="574"/>
      <c r="E863" s="574"/>
      <c r="F863" s="574"/>
      <c r="G863" s="574"/>
      <c r="H863" s="574"/>
      <c r="I863" s="574"/>
      <c r="J863" s="574"/>
      <c r="K863" s="574"/>
      <c r="L863" s="574"/>
      <c r="M863" s="574"/>
      <c r="N863" s="574"/>
      <c r="O863" s="574"/>
      <c r="P863" s="574"/>
      <c r="Q863" s="574"/>
      <c r="R863" s="574"/>
      <c r="S863" s="574"/>
      <c r="T863" s="574"/>
      <c r="U863" s="574"/>
      <c r="V863" s="574"/>
      <c r="W863" s="574"/>
      <c r="X863" s="574"/>
      <c r="Y863" s="574"/>
      <c r="Z863" s="574"/>
      <c r="AA863" s="574"/>
      <c r="AB863" s="574"/>
      <c r="AC863" s="574"/>
      <c r="AD863" s="574"/>
      <c r="AE863" s="574"/>
    </row>
    <row r="864" spans="1:31" ht="16.5" customHeight="1" x14ac:dyDescent="0.85">
      <c r="A864" s="574"/>
      <c r="B864" s="574"/>
      <c r="C864" s="574"/>
      <c r="D864" s="574"/>
      <c r="E864" s="574"/>
      <c r="F864" s="574"/>
      <c r="G864" s="574"/>
      <c r="H864" s="574"/>
      <c r="I864" s="574"/>
      <c r="J864" s="574"/>
      <c r="K864" s="574"/>
      <c r="L864" s="574"/>
      <c r="M864" s="574"/>
      <c r="N864" s="574"/>
      <c r="O864" s="574"/>
      <c r="P864" s="574"/>
      <c r="Q864" s="574"/>
      <c r="R864" s="574"/>
      <c r="S864" s="574"/>
      <c r="T864" s="574"/>
      <c r="U864" s="574"/>
      <c r="V864" s="574"/>
      <c r="W864" s="574"/>
      <c r="X864" s="574"/>
      <c r="Y864" s="574"/>
      <c r="Z864" s="574"/>
      <c r="AA864" s="574"/>
      <c r="AB864" s="574"/>
      <c r="AC864" s="574"/>
      <c r="AD864" s="574"/>
      <c r="AE864" s="574"/>
    </row>
    <row r="865" spans="1:31" ht="16.5" customHeight="1" x14ac:dyDescent="0.85">
      <c r="A865" s="574"/>
      <c r="B865" s="574"/>
      <c r="C865" s="574"/>
      <c r="D865" s="574"/>
      <c r="E865" s="574"/>
      <c r="F865" s="574"/>
      <c r="G865" s="574"/>
      <c r="H865" s="574"/>
      <c r="I865" s="574"/>
      <c r="J865" s="574"/>
      <c r="K865" s="574"/>
      <c r="L865" s="574"/>
      <c r="M865" s="574"/>
      <c r="N865" s="574"/>
      <c r="O865" s="574"/>
      <c r="P865" s="574"/>
      <c r="Q865" s="574"/>
      <c r="R865" s="574"/>
      <c r="S865" s="574"/>
      <c r="T865" s="574"/>
      <c r="U865" s="574"/>
      <c r="V865" s="574"/>
      <c r="W865" s="574"/>
      <c r="X865" s="574"/>
      <c r="Y865" s="574"/>
      <c r="Z865" s="574"/>
      <c r="AA865" s="574"/>
      <c r="AB865" s="574"/>
      <c r="AC865" s="574"/>
      <c r="AD865" s="574"/>
      <c r="AE865" s="574"/>
    </row>
    <row r="866" spans="1:31" ht="16.5" customHeight="1" x14ac:dyDescent="0.85">
      <c r="A866" s="574"/>
      <c r="B866" s="574"/>
      <c r="C866" s="574"/>
      <c r="D866" s="574"/>
      <c r="E866" s="574"/>
      <c r="F866" s="574"/>
      <c r="G866" s="574"/>
      <c r="H866" s="574"/>
      <c r="I866" s="574"/>
      <c r="J866" s="574"/>
      <c r="K866" s="574"/>
      <c r="L866" s="574"/>
      <c r="M866" s="574"/>
      <c r="N866" s="574"/>
      <c r="O866" s="574"/>
      <c r="P866" s="574"/>
      <c r="Q866" s="574"/>
      <c r="R866" s="574"/>
      <c r="S866" s="574"/>
      <c r="T866" s="574"/>
      <c r="U866" s="574"/>
      <c r="V866" s="574"/>
      <c r="W866" s="574"/>
      <c r="X866" s="574"/>
      <c r="Y866" s="574"/>
      <c r="Z866" s="574"/>
      <c r="AA866" s="574"/>
      <c r="AB866" s="574"/>
      <c r="AC866" s="574"/>
      <c r="AD866" s="574"/>
      <c r="AE866" s="574"/>
    </row>
    <row r="867" spans="1:31" ht="16.5" customHeight="1" x14ac:dyDescent="0.85">
      <c r="A867" s="574"/>
      <c r="B867" s="574"/>
      <c r="C867" s="574"/>
      <c r="D867" s="574"/>
      <c r="E867" s="574"/>
      <c r="F867" s="574"/>
      <c r="G867" s="574"/>
      <c r="H867" s="574"/>
      <c r="I867" s="574"/>
      <c r="J867" s="574"/>
      <c r="K867" s="574"/>
      <c r="L867" s="574"/>
      <c r="M867" s="574"/>
      <c r="N867" s="574"/>
      <c r="O867" s="574"/>
      <c r="P867" s="574"/>
      <c r="Q867" s="574"/>
      <c r="R867" s="574"/>
      <c r="S867" s="574"/>
      <c r="T867" s="574"/>
      <c r="U867" s="574"/>
      <c r="V867" s="574"/>
      <c r="W867" s="574"/>
      <c r="X867" s="574"/>
      <c r="Y867" s="574"/>
      <c r="Z867" s="574"/>
      <c r="AA867" s="574"/>
      <c r="AB867" s="574"/>
      <c r="AC867" s="574"/>
      <c r="AD867" s="574"/>
      <c r="AE867" s="574"/>
    </row>
    <row r="868" spans="1:31" ht="16.5" customHeight="1" x14ac:dyDescent="0.85">
      <c r="A868" s="574"/>
      <c r="B868" s="574"/>
      <c r="C868" s="574"/>
      <c r="D868" s="574"/>
      <c r="E868" s="574"/>
      <c r="F868" s="574"/>
      <c r="G868" s="574"/>
      <c r="H868" s="574"/>
      <c r="I868" s="574"/>
      <c r="J868" s="574"/>
      <c r="K868" s="574"/>
      <c r="L868" s="574"/>
      <c r="M868" s="574"/>
      <c r="N868" s="574"/>
      <c r="O868" s="574"/>
      <c r="P868" s="574"/>
      <c r="Q868" s="574"/>
      <c r="R868" s="574"/>
      <c r="S868" s="574"/>
      <c r="T868" s="574"/>
      <c r="U868" s="574"/>
      <c r="V868" s="574"/>
      <c r="W868" s="574"/>
      <c r="X868" s="574"/>
      <c r="Y868" s="574"/>
      <c r="Z868" s="574"/>
      <c r="AA868" s="574"/>
      <c r="AB868" s="574"/>
      <c r="AC868" s="574"/>
      <c r="AD868" s="574"/>
      <c r="AE868" s="574"/>
    </row>
    <row r="869" spans="1:31" ht="16.5" customHeight="1" x14ac:dyDescent="0.85">
      <c r="A869" s="574"/>
      <c r="B869" s="574"/>
      <c r="C869" s="574"/>
      <c r="D869" s="574"/>
      <c r="E869" s="574"/>
      <c r="F869" s="574"/>
      <c r="G869" s="574"/>
      <c r="H869" s="574"/>
      <c r="I869" s="574"/>
      <c r="J869" s="574"/>
      <c r="K869" s="574"/>
      <c r="L869" s="574"/>
      <c r="M869" s="574"/>
      <c r="N869" s="574"/>
      <c r="O869" s="574"/>
      <c r="P869" s="574"/>
      <c r="Q869" s="574"/>
      <c r="R869" s="574"/>
      <c r="S869" s="574"/>
      <c r="T869" s="574"/>
      <c r="U869" s="574"/>
      <c r="V869" s="574"/>
      <c r="W869" s="574"/>
      <c r="X869" s="574"/>
      <c r="Y869" s="574"/>
      <c r="Z869" s="574"/>
      <c r="AA869" s="574"/>
      <c r="AB869" s="574"/>
      <c r="AC869" s="574"/>
      <c r="AD869" s="574"/>
      <c r="AE869" s="574"/>
    </row>
    <row r="870" spans="1:31" ht="16.5" customHeight="1" x14ac:dyDescent="0.85">
      <c r="A870" s="574"/>
      <c r="B870" s="574"/>
      <c r="C870" s="574"/>
      <c r="D870" s="574"/>
      <c r="E870" s="574"/>
      <c r="F870" s="574"/>
      <c r="G870" s="574"/>
      <c r="H870" s="574"/>
      <c r="I870" s="574"/>
      <c r="J870" s="574"/>
      <c r="K870" s="574"/>
      <c r="L870" s="574"/>
      <c r="M870" s="574"/>
      <c r="N870" s="574"/>
      <c r="O870" s="574"/>
      <c r="P870" s="574"/>
      <c r="Q870" s="574"/>
      <c r="R870" s="574"/>
      <c r="S870" s="574"/>
      <c r="T870" s="574"/>
      <c r="U870" s="574"/>
      <c r="V870" s="574"/>
      <c r="W870" s="574"/>
      <c r="X870" s="574"/>
      <c r="Y870" s="574"/>
      <c r="Z870" s="574"/>
      <c r="AA870" s="574"/>
      <c r="AB870" s="574"/>
      <c r="AC870" s="574"/>
      <c r="AD870" s="574"/>
      <c r="AE870" s="574"/>
    </row>
    <row r="871" spans="1:31" ht="16.5" customHeight="1" x14ac:dyDescent="0.85">
      <c r="A871" s="574"/>
      <c r="B871" s="574"/>
      <c r="C871" s="574"/>
      <c r="D871" s="574"/>
      <c r="E871" s="574"/>
      <c r="F871" s="574"/>
      <c r="G871" s="574"/>
      <c r="H871" s="574"/>
      <c r="I871" s="574"/>
      <c r="J871" s="574"/>
      <c r="K871" s="574"/>
      <c r="L871" s="574"/>
      <c r="M871" s="574"/>
      <c r="N871" s="574"/>
      <c r="O871" s="574"/>
      <c r="P871" s="574"/>
      <c r="Q871" s="574"/>
      <c r="R871" s="574"/>
      <c r="S871" s="574"/>
      <c r="T871" s="574"/>
      <c r="U871" s="574"/>
      <c r="V871" s="574"/>
      <c r="W871" s="574"/>
      <c r="X871" s="574"/>
      <c r="Y871" s="574"/>
      <c r="Z871" s="574"/>
      <c r="AA871" s="574"/>
      <c r="AB871" s="574"/>
      <c r="AC871" s="574"/>
      <c r="AD871" s="574"/>
      <c r="AE871" s="574"/>
    </row>
    <row r="872" spans="1:31" ht="16.5" customHeight="1" x14ac:dyDescent="0.85">
      <c r="A872" s="574"/>
      <c r="B872" s="574"/>
      <c r="C872" s="574"/>
      <c r="D872" s="574"/>
      <c r="E872" s="574"/>
      <c r="F872" s="574"/>
      <c r="G872" s="574"/>
      <c r="H872" s="574"/>
      <c r="I872" s="574"/>
      <c r="J872" s="574"/>
      <c r="K872" s="574"/>
      <c r="L872" s="574"/>
      <c r="M872" s="574"/>
      <c r="N872" s="574"/>
      <c r="O872" s="574"/>
      <c r="P872" s="574"/>
      <c r="Q872" s="574"/>
      <c r="R872" s="574"/>
      <c r="S872" s="574"/>
      <c r="T872" s="574"/>
      <c r="U872" s="574"/>
      <c r="V872" s="574"/>
      <c r="W872" s="574"/>
      <c r="X872" s="574"/>
      <c r="Y872" s="574"/>
      <c r="Z872" s="574"/>
      <c r="AA872" s="574"/>
      <c r="AB872" s="574"/>
      <c r="AC872" s="574"/>
      <c r="AD872" s="574"/>
      <c r="AE872" s="574"/>
    </row>
    <row r="873" spans="1:31" ht="16.5" customHeight="1" x14ac:dyDescent="0.85">
      <c r="A873" s="574"/>
      <c r="B873" s="574"/>
      <c r="C873" s="574"/>
      <c r="D873" s="574"/>
      <c r="E873" s="574"/>
      <c r="F873" s="574"/>
      <c r="G873" s="574"/>
      <c r="H873" s="574"/>
      <c r="I873" s="574"/>
      <c r="J873" s="574"/>
      <c r="K873" s="574"/>
      <c r="L873" s="574"/>
      <c r="M873" s="574"/>
      <c r="N873" s="574"/>
      <c r="O873" s="574"/>
      <c r="P873" s="574"/>
      <c r="Q873" s="574"/>
      <c r="R873" s="574"/>
      <c r="S873" s="574"/>
      <c r="T873" s="574"/>
      <c r="U873" s="574"/>
      <c r="V873" s="574"/>
      <c r="W873" s="574"/>
      <c r="X873" s="574"/>
      <c r="Y873" s="574"/>
      <c r="Z873" s="574"/>
      <c r="AA873" s="574"/>
      <c r="AB873" s="574"/>
      <c r="AC873" s="574"/>
      <c r="AD873" s="574"/>
      <c r="AE873" s="574"/>
    </row>
    <row r="874" spans="1:31" ht="16.5" customHeight="1" x14ac:dyDescent="0.85">
      <c r="A874" s="574"/>
      <c r="B874" s="574"/>
      <c r="C874" s="574"/>
      <c r="D874" s="574"/>
      <c r="E874" s="574"/>
      <c r="F874" s="574"/>
      <c r="G874" s="574"/>
      <c r="H874" s="574"/>
      <c r="I874" s="574"/>
      <c r="J874" s="574"/>
      <c r="K874" s="574"/>
      <c r="L874" s="574"/>
      <c r="M874" s="574"/>
      <c r="N874" s="574"/>
      <c r="O874" s="574"/>
      <c r="P874" s="574"/>
      <c r="Q874" s="574"/>
      <c r="R874" s="574"/>
      <c r="S874" s="574"/>
      <c r="T874" s="574"/>
      <c r="U874" s="574"/>
      <c r="V874" s="574"/>
      <c r="W874" s="574"/>
      <c r="X874" s="574"/>
      <c r="Y874" s="574"/>
      <c r="Z874" s="574"/>
      <c r="AA874" s="574"/>
      <c r="AB874" s="574"/>
      <c r="AC874" s="574"/>
      <c r="AD874" s="574"/>
      <c r="AE874" s="574"/>
    </row>
    <row r="875" spans="1:31" ht="16.5" customHeight="1" x14ac:dyDescent="0.85">
      <c r="A875" s="574"/>
      <c r="B875" s="574"/>
      <c r="C875" s="574"/>
      <c r="D875" s="574"/>
      <c r="E875" s="574"/>
      <c r="F875" s="574"/>
      <c r="G875" s="574"/>
      <c r="H875" s="574"/>
      <c r="I875" s="574"/>
      <c r="J875" s="574"/>
      <c r="K875" s="574"/>
      <c r="L875" s="574"/>
      <c r="M875" s="574"/>
      <c r="N875" s="574"/>
      <c r="O875" s="574"/>
      <c r="P875" s="574"/>
      <c r="Q875" s="574"/>
      <c r="R875" s="574"/>
      <c r="S875" s="574"/>
      <c r="T875" s="574"/>
      <c r="U875" s="574"/>
      <c r="V875" s="574"/>
      <c r="W875" s="574"/>
      <c r="X875" s="574"/>
      <c r="Y875" s="574"/>
      <c r="Z875" s="574"/>
      <c r="AA875" s="574"/>
      <c r="AB875" s="574"/>
      <c r="AC875" s="574"/>
      <c r="AD875" s="574"/>
      <c r="AE875" s="574"/>
    </row>
    <row r="876" spans="1:31" ht="16.5" customHeight="1" x14ac:dyDescent="0.85">
      <c r="A876" s="574"/>
      <c r="B876" s="574"/>
      <c r="C876" s="574"/>
      <c r="D876" s="574"/>
      <c r="E876" s="574"/>
      <c r="F876" s="574"/>
      <c r="G876" s="574"/>
      <c r="H876" s="574"/>
      <c r="I876" s="574"/>
      <c r="J876" s="574"/>
      <c r="K876" s="574"/>
      <c r="L876" s="574"/>
      <c r="M876" s="574"/>
      <c r="N876" s="574"/>
      <c r="O876" s="574"/>
      <c r="P876" s="574"/>
      <c r="Q876" s="574"/>
      <c r="R876" s="574"/>
      <c r="S876" s="574"/>
      <c r="T876" s="574"/>
      <c r="U876" s="574"/>
      <c r="V876" s="574"/>
      <c r="W876" s="574"/>
      <c r="X876" s="574"/>
      <c r="Y876" s="574"/>
      <c r="Z876" s="574"/>
      <c r="AA876" s="574"/>
      <c r="AB876" s="574"/>
      <c r="AC876" s="574"/>
      <c r="AD876" s="574"/>
      <c r="AE876" s="574"/>
    </row>
    <row r="877" spans="1:31" ht="16.5" customHeight="1" x14ac:dyDescent="0.85">
      <c r="A877" s="574"/>
      <c r="B877" s="574"/>
      <c r="C877" s="574"/>
      <c r="D877" s="574"/>
      <c r="E877" s="574"/>
      <c r="F877" s="574"/>
      <c r="G877" s="574"/>
      <c r="H877" s="574"/>
      <c r="I877" s="574"/>
      <c r="J877" s="574"/>
      <c r="K877" s="574"/>
      <c r="L877" s="574"/>
      <c r="M877" s="574"/>
      <c r="N877" s="574"/>
      <c r="O877" s="574"/>
      <c r="P877" s="574"/>
      <c r="Q877" s="574"/>
      <c r="R877" s="574"/>
      <c r="S877" s="574"/>
      <c r="T877" s="574"/>
      <c r="U877" s="574"/>
      <c r="V877" s="574"/>
      <c r="W877" s="574"/>
      <c r="X877" s="574"/>
      <c r="Y877" s="574"/>
      <c r="Z877" s="574"/>
      <c r="AA877" s="574"/>
      <c r="AB877" s="574"/>
      <c r="AC877" s="574"/>
      <c r="AD877" s="574"/>
      <c r="AE877" s="574"/>
    </row>
    <row r="878" spans="1:31" ht="16.5" customHeight="1" x14ac:dyDescent="0.85">
      <c r="A878" s="574"/>
      <c r="B878" s="574"/>
      <c r="C878" s="574"/>
      <c r="D878" s="574"/>
      <c r="E878" s="574"/>
      <c r="F878" s="574"/>
      <c r="G878" s="574"/>
      <c r="H878" s="574"/>
      <c r="I878" s="574"/>
      <c r="J878" s="574"/>
      <c r="K878" s="574"/>
      <c r="L878" s="574"/>
      <c r="M878" s="574"/>
      <c r="N878" s="574"/>
      <c r="O878" s="574"/>
      <c r="P878" s="574"/>
      <c r="Q878" s="574"/>
      <c r="R878" s="574"/>
      <c r="S878" s="574"/>
      <c r="T878" s="574"/>
      <c r="U878" s="574"/>
      <c r="V878" s="574"/>
      <c r="W878" s="574"/>
      <c r="X878" s="574"/>
      <c r="Y878" s="574"/>
      <c r="Z878" s="574"/>
      <c r="AA878" s="574"/>
      <c r="AB878" s="574"/>
      <c r="AC878" s="574"/>
      <c r="AD878" s="574"/>
      <c r="AE878" s="574"/>
    </row>
    <row r="879" spans="1:31" ht="16.5" customHeight="1" x14ac:dyDescent="0.85">
      <c r="A879" s="574"/>
      <c r="B879" s="574"/>
      <c r="C879" s="574"/>
      <c r="D879" s="574"/>
      <c r="E879" s="574"/>
      <c r="F879" s="574"/>
      <c r="G879" s="574"/>
      <c r="H879" s="574"/>
      <c r="I879" s="574"/>
      <c r="J879" s="574"/>
      <c r="K879" s="574"/>
      <c r="L879" s="574"/>
      <c r="M879" s="574"/>
      <c r="N879" s="574"/>
      <c r="O879" s="574"/>
      <c r="P879" s="574"/>
      <c r="Q879" s="574"/>
      <c r="R879" s="574"/>
      <c r="S879" s="574"/>
      <c r="T879" s="574"/>
      <c r="U879" s="574"/>
      <c r="V879" s="574"/>
      <c r="W879" s="574"/>
      <c r="X879" s="574"/>
      <c r="Y879" s="574"/>
      <c r="Z879" s="574"/>
      <c r="AA879" s="574"/>
      <c r="AB879" s="574"/>
      <c r="AC879" s="574"/>
      <c r="AD879" s="574"/>
      <c r="AE879" s="574"/>
    </row>
    <row r="880" spans="1:31" ht="16.5" customHeight="1" x14ac:dyDescent="0.85">
      <c r="A880" s="574"/>
      <c r="B880" s="574"/>
      <c r="C880" s="574"/>
      <c r="D880" s="574"/>
      <c r="E880" s="574"/>
      <c r="F880" s="574"/>
      <c r="G880" s="574"/>
      <c r="H880" s="574"/>
      <c r="I880" s="574"/>
      <c r="J880" s="574"/>
      <c r="K880" s="574"/>
      <c r="L880" s="574"/>
      <c r="M880" s="574"/>
      <c r="N880" s="574"/>
      <c r="O880" s="574"/>
      <c r="P880" s="574"/>
      <c r="Q880" s="574"/>
      <c r="R880" s="574"/>
      <c r="S880" s="574"/>
      <c r="T880" s="574"/>
      <c r="U880" s="574"/>
      <c r="V880" s="574"/>
      <c r="W880" s="574"/>
      <c r="X880" s="574"/>
      <c r="Y880" s="574"/>
      <c r="Z880" s="574"/>
      <c r="AA880" s="574"/>
      <c r="AB880" s="574"/>
      <c r="AC880" s="574"/>
      <c r="AD880" s="574"/>
      <c r="AE880" s="574"/>
    </row>
    <row r="881" spans="1:31" ht="16.5" customHeight="1" x14ac:dyDescent="0.85">
      <c r="A881" s="574"/>
      <c r="B881" s="574"/>
      <c r="C881" s="574"/>
      <c r="D881" s="574"/>
      <c r="E881" s="574"/>
      <c r="F881" s="574"/>
      <c r="G881" s="574"/>
      <c r="H881" s="574"/>
      <c r="I881" s="574"/>
      <c r="J881" s="574"/>
      <c r="K881" s="574"/>
      <c r="L881" s="574"/>
      <c r="M881" s="574"/>
      <c r="N881" s="574"/>
      <c r="O881" s="574"/>
      <c r="P881" s="574"/>
      <c r="Q881" s="574"/>
      <c r="R881" s="574"/>
      <c r="S881" s="574"/>
      <c r="T881" s="574"/>
      <c r="U881" s="574"/>
      <c r="V881" s="574"/>
      <c r="W881" s="574"/>
      <c r="X881" s="574"/>
      <c r="Y881" s="574"/>
      <c r="Z881" s="574"/>
      <c r="AA881" s="574"/>
      <c r="AB881" s="574"/>
      <c r="AC881" s="574"/>
      <c r="AD881" s="574"/>
      <c r="AE881" s="574"/>
    </row>
    <row r="882" spans="1:31" ht="16.5" customHeight="1" x14ac:dyDescent="0.85">
      <c r="A882" s="574"/>
      <c r="B882" s="574"/>
      <c r="C882" s="574"/>
      <c r="D882" s="574"/>
      <c r="E882" s="574"/>
      <c r="F882" s="574"/>
      <c r="G882" s="574"/>
      <c r="H882" s="574"/>
      <c r="I882" s="574"/>
      <c r="J882" s="574"/>
      <c r="K882" s="574"/>
      <c r="L882" s="574"/>
      <c r="M882" s="574"/>
      <c r="N882" s="574"/>
      <c r="O882" s="574"/>
      <c r="P882" s="574"/>
      <c r="Q882" s="574"/>
      <c r="R882" s="574"/>
      <c r="S882" s="574"/>
      <c r="T882" s="574"/>
      <c r="U882" s="574"/>
      <c r="V882" s="574"/>
      <c r="W882" s="574"/>
      <c r="X882" s="574"/>
      <c r="Y882" s="574"/>
      <c r="Z882" s="574"/>
      <c r="AA882" s="574"/>
      <c r="AB882" s="574"/>
      <c r="AC882" s="574"/>
      <c r="AD882" s="574"/>
      <c r="AE882" s="574"/>
    </row>
    <row r="883" spans="1:31" ht="16.5" customHeight="1" x14ac:dyDescent="0.85">
      <c r="A883" s="574"/>
      <c r="B883" s="574"/>
      <c r="C883" s="574"/>
      <c r="D883" s="574"/>
      <c r="E883" s="574"/>
      <c r="F883" s="574"/>
      <c r="G883" s="574"/>
      <c r="H883" s="574"/>
      <c r="I883" s="574"/>
      <c r="J883" s="574"/>
      <c r="K883" s="574"/>
      <c r="L883" s="574"/>
      <c r="M883" s="574"/>
      <c r="N883" s="574"/>
      <c r="O883" s="574"/>
      <c r="P883" s="574"/>
      <c r="Q883" s="574"/>
      <c r="R883" s="574"/>
      <c r="S883" s="574"/>
      <c r="T883" s="574"/>
      <c r="U883" s="574"/>
      <c r="V883" s="574"/>
      <c r="W883" s="574"/>
      <c r="X883" s="574"/>
      <c r="Y883" s="574"/>
      <c r="Z883" s="574"/>
      <c r="AA883" s="574"/>
      <c r="AB883" s="574"/>
      <c r="AC883" s="574"/>
      <c r="AD883" s="574"/>
      <c r="AE883" s="574"/>
    </row>
    <row r="884" spans="1:31" ht="16.5" customHeight="1" x14ac:dyDescent="0.85">
      <c r="A884" s="574"/>
      <c r="B884" s="574"/>
      <c r="C884" s="574"/>
      <c r="D884" s="574"/>
      <c r="E884" s="574"/>
      <c r="F884" s="574"/>
      <c r="G884" s="574"/>
      <c r="H884" s="574"/>
      <c r="I884" s="574"/>
      <c r="J884" s="574"/>
      <c r="K884" s="574"/>
      <c r="L884" s="574"/>
      <c r="M884" s="574"/>
      <c r="N884" s="574"/>
      <c r="O884" s="574"/>
      <c r="P884" s="574"/>
      <c r="Q884" s="574"/>
      <c r="R884" s="574"/>
      <c r="S884" s="574"/>
      <c r="T884" s="574"/>
      <c r="U884" s="574"/>
      <c r="V884" s="574"/>
      <c r="W884" s="574"/>
      <c r="X884" s="574"/>
      <c r="Y884" s="574"/>
      <c r="Z884" s="574"/>
      <c r="AA884" s="574"/>
      <c r="AB884" s="574"/>
      <c r="AC884" s="574"/>
      <c r="AD884" s="574"/>
      <c r="AE884" s="574"/>
    </row>
    <row r="885" spans="1:31" ht="16.5" customHeight="1" x14ac:dyDescent="0.85">
      <c r="A885" s="574"/>
      <c r="B885" s="574"/>
      <c r="C885" s="574"/>
      <c r="D885" s="574"/>
      <c r="E885" s="574"/>
      <c r="F885" s="574"/>
      <c r="G885" s="574"/>
      <c r="H885" s="574"/>
      <c r="I885" s="574"/>
      <c r="J885" s="574"/>
      <c r="K885" s="574"/>
      <c r="L885" s="574"/>
      <c r="M885" s="574"/>
      <c r="N885" s="574"/>
      <c r="O885" s="574"/>
      <c r="P885" s="574"/>
      <c r="Q885" s="574"/>
      <c r="R885" s="574"/>
      <c r="S885" s="574"/>
      <c r="T885" s="574"/>
      <c r="U885" s="574"/>
      <c r="V885" s="574"/>
      <c r="W885" s="574"/>
      <c r="X885" s="574"/>
      <c r="Y885" s="574"/>
      <c r="Z885" s="574"/>
      <c r="AA885" s="574"/>
      <c r="AB885" s="574"/>
      <c r="AC885" s="574"/>
      <c r="AD885" s="574"/>
      <c r="AE885" s="574"/>
    </row>
    <row r="886" spans="1:31" ht="16.5" customHeight="1" x14ac:dyDescent="0.85">
      <c r="A886" s="574"/>
      <c r="B886" s="574"/>
      <c r="C886" s="574"/>
      <c r="D886" s="574"/>
      <c r="E886" s="574"/>
      <c r="F886" s="574"/>
      <c r="G886" s="574"/>
      <c r="H886" s="574"/>
      <c r="I886" s="574"/>
      <c r="J886" s="574"/>
      <c r="K886" s="574"/>
      <c r="L886" s="574"/>
      <c r="M886" s="574"/>
      <c r="N886" s="574"/>
      <c r="O886" s="574"/>
      <c r="P886" s="574"/>
      <c r="Q886" s="574"/>
      <c r="R886" s="574"/>
      <c r="S886" s="574"/>
      <c r="T886" s="574"/>
      <c r="U886" s="574"/>
      <c r="V886" s="574"/>
      <c r="W886" s="574"/>
      <c r="X886" s="574"/>
      <c r="Y886" s="574"/>
      <c r="Z886" s="574"/>
      <c r="AA886" s="574"/>
      <c r="AB886" s="574"/>
      <c r="AC886" s="574"/>
      <c r="AD886" s="574"/>
      <c r="AE886" s="574"/>
    </row>
    <row r="887" spans="1:31" ht="16.5" customHeight="1" x14ac:dyDescent="0.85">
      <c r="A887" s="574"/>
      <c r="B887" s="574"/>
      <c r="C887" s="574"/>
      <c r="D887" s="574"/>
      <c r="E887" s="574"/>
      <c r="F887" s="574"/>
      <c r="G887" s="574"/>
      <c r="H887" s="574"/>
      <c r="I887" s="574"/>
      <c r="J887" s="574"/>
      <c r="K887" s="574"/>
      <c r="L887" s="574"/>
      <c r="M887" s="574"/>
      <c r="N887" s="574"/>
      <c r="O887" s="574"/>
      <c r="P887" s="574"/>
      <c r="Q887" s="574"/>
      <c r="R887" s="574"/>
      <c r="S887" s="574"/>
      <c r="T887" s="574"/>
      <c r="U887" s="574"/>
      <c r="V887" s="574"/>
      <c r="W887" s="574"/>
      <c r="X887" s="574"/>
      <c r="Y887" s="574"/>
      <c r="Z887" s="574"/>
      <c r="AA887" s="574"/>
      <c r="AB887" s="574"/>
      <c r="AC887" s="574"/>
      <c r="AD887" s="574"/>
      <c r="AE887" s="574"/>
    </row>
    <row r="888" spans="1:31" ht="16.5" customHeight="1" x14ac:dyDescent="0.85">
      <c r="A888" s="574"/>
      <c r="B888" s="574"/>
      <c r="C888" s="574"/>
      <c r="D888" s="574"/>
      <c r="E888" s="574"/>
      <c r="F888" s="574"/>
      <c r="G888" s="574"/>
      <c r="H888" s="574"/>
      <c r="I888" s="574"/>
      <c r="J888" s="574"/>
      <c r="K888" s="574"/>
      <c r="L888" s="574"/>
      <c r="M888" s="574"/>
      <c r="N888" s="574"/>
      <c r="O888" s="574"/>
      <c r="P888" s="574"/>
      <c r="Q888" s="574"/>
      <c r="R888" s="574"/>
      <c r="S888" s="574"/>
      <c r="T888" s="574"/>
      <c r="U888" s="574"/>
      <c r="V888" s="574"/>
      <c r="W888" s="574"/>
      <c r="X888" s="574"/>
      <c r="Y888" s="574"/>
      <c r="Z888" s="574"/>
      <c r="AA888" s="574"/>
      <c r="AB888" s="574"/>
      <c r="AC888" s="574"/>
      <c r="AD888" s="574"/>
      <c r="AE888" s="574"/>
    </row>
    <row r="889" spans="1:31" ht="16.5" customHeight="1" x14ac:dyDescent="0.85">
      <c r="A889" s="574"/>
      <c r="B889" s="574"/>
      <c r="C889" s="574"/>
      <c r="D889" s="574"/>
      <c r="E889" s="574"/>
      <c r="F889" s="574"/>
      <c r="G889" s="574"/>
      <c r="H889" s="574"/>
      <c r="I889" s="574"/>
      <c r="J889" s="574"/>
      <c r="K889" s="574"/>
      <c r="L889" s="574"/>
      <c r="M889" s="574"/>
      <c r="N889" s="574"/>
      <c r="O889" s="574"/>
      <c r="P889" s="574"/>
      <c r="Q889" s="574"/>
      <c r="R889" s="574"/>
      <c r="S889" s="574"/>
      <c r="T889" s="574"/>
      <c r="U889" s="574"/>
      <c r="V889" s="574"/>
      <c r="W889" s="574"/>
      <c r="X889" s="574"/>
      <c r="Y889" s="574"/>
      <c r="Z889" s="574"/>
      <c r="AA889" s="574"/>
      <c r="AB889" s="574"/>
      <c r="AC889" s="574"/>
      <c r="AD889" s="574"/>
      <c r="AE889" s="574"/>
    </row>
    <row r="890" spans="1:31" ht="16.5" customHeight="1" x14ac:dyDescent="0.85">
      <c r="A890" s="574"/>
      <c r="B890" s="574"/>
      <c r="C890" s="574"/>
      <c r="D890" s="574"/>
      <c r="E890" s="574"/>
      <c r="F890" s="574"/>
      <c r="G890" s="574"/>
      <c r="H890" s="574"/>
      <c r="I890" s="574"/>
      <c r="J890" s="574"/>
      <c r="K890" s="574"/>
      <c r="L890" s="574"/>
      <c r="M890" s="574"/>
      <c r="N890" s="574"/>
      <c r="O890" s="574"/>
      <c r="P890" s="574"/>
      <c r="Q890" s="574"/>
      <c r="R890" s="574"/>
      <c r="S890" s="574"/>
      <c r="T890" s="574"/>
      <c r="U890" s="574"/>
      <c r="V890" s="574"/>
      <c r="W890" s="574"/>
      <c r="X890" s="574"/>
      <c r="Y890" s="574"/>
      <c r="Z890" s="574"/>
      <c r="AA890" s="574"/>
      <c r="AB890" s="574"/>
      <c r="AC890" s="574"/>
      <c r="AD890" s="574"/>
      <c r="AE890" s="574"/>
    </row>
    <row r="891" spans="1:31" ht="16.5" customHeight="1" x14ac:dyDescent="0.85">
      <c r="A891" s="574"/>
      <c r="B891" s="574"/>
      <c r="C891" s="574"/>
      <c r="D891" s="574"/>
      <c r="E891" s="574"/>
      <c r="F891" s="574"/>
      <c r="G891" s="574"/>
      <c r="H891" s="574"/>
      <c r="I891" s="574"/>
      <c r="J891" s="574"/>
      <c r="K891" s="574"/>
      <c r="L891" s="574"/>
      <c r="M891" s="574"/>
      <c r="N891" s="574"/>
      <c r="O891" s="574"/>
      <c r="P891" s="574"/>
      <c r="Q891" s="574"/>
      <c r="R891" s="574"/>
      <c r="S891" s="574"/>
      <c r="T891" s="574"/>
      <c r="U891" s="574"/>
      <c r="V891" s="574"/>
      <c r="W891" s="574"/>
      <c r="X891" s="574"/>
      <c r="Y891" s="574"/>
      <c r="Z891" s="574"/>
      <c r="AA891" s="574"/>
      <c r="AB891" s="574"/>
      <c r="AC891" s="574"/>
      <c r="AD891" s="574"/>
      <c r="AE891" s="574"/>
    </row>
    <row r="892" spans="1:31" ht="16.5" customHeight="1" x14ac:dyDescent="0.85">
      <c r="A892" s="574"/>
      <c r="B892" s="574"/>
      <c r="C892" s="574"/>
      <c r="D892" s="574"/>
      <c r="E892" s="574"/>
      <c r="F892" s="574"/>
      <c r="G892" s="574"/>
      <c r="H892" s="574"/>
      <c r="I892" s="574"/>
      <c r="J892" s="574"/>
      <c r="K892" s="574"/>
      <c r="L892" s="574"/>
      <c r="M892" s="574"/>
      <c r="N892" s="574"/>
      <c r="O892" s="574"/>
      <c r="P892" s="574"/>
      <c r="Q892" s="574"/>
      <c r="R892" s="574"/>
      <c r="S892" s="574"/>
      <c r="T892" s="574"/>
      <c r="U892" s="574"/>
      <c r="V892" s="574"/>
      <c r="W892" s="574"/>
      <c r="X892" s="574"/>
      <c r="Y892" s="574"/>
      <c r="Z892" s="574"/>
      <c r="AA892" s="574"/>
      <c r="AB892" s="574"/>
      <c r="AC892" s="574"/>
      <c r="AD892" s="574"/>
      <c r="AE892" s="574"/>
    </row>
    <row r="893" spans="1:31" ht="16.5" customHeight="1" x14ac:dyDescent="0.85">
      <c r="A893" s="574"/>
      <c r="B893" s="574"/>
      <c r="C893" s="574"/>
      <c r="D893" s="574"/>
      <c r="E893" s="574"/>
      <c r="F893" s="574"/>
      <c r="G893" s="574"/>
      <c r="H893" s="574"/>
      <c r="I893" s="574"/>
      <c r="J893" s="574"/>
      <c r="K893" s="574"/>
      <c r="L893" s="574"/>
      <c r="M893" s="574"/>
      <c r="N893" s="574"/>
      <c r="O893" s="574"/>
      <c r="P893" s="574"/>
      <c r="Q893" s="574"/>
      <c r="R893" s="574"/>
      <c r="S893" s="574"/>
      <c r="T893" s="574"/>
      <c r="U893" s="574"/>
      <c r="V893" s="574"/>
      <c r="W893" s="574"/>
      <c r="X893" s="574"/>
      <c r="Y893" s="574"/>
      <c r="Z893" s="574"/>
      <c r="AA893" s="574"/>
      <c r="AB893" s="574"/>
      <c r="AC893" s="574"/>
      <c r="AD893" s="574"/>
      <c r="AE893" s="574"/>
    </row>
    <row r="894" spans="1:31" ht="16.5" customHeight="1" x14ac:dyDescent="0.85">
      <c r="A894" s="574"/>
      <c r="B894" s="574"/>
      <c r="C894" s="574"/>
      <c r="D894" s="574"/>
      <c r="E894" s="574"/>
      <c r="F894" s="574"/>
      <c r="G894" s="574"/>
      <c r="H894" s="574"/>
      <c r="I894" s="574"/>
      <c r="J894" s="574"/>
      <c r="K894" s="574"/>
      <c r="L894" s="574"/>
      <c r="M894" s="574"/>
      <c r="N894" s="574"/>
      <c r="O894" s="574"/>
      <c r="P894" s="574"/>
      <c r="Q894" s="574"/>
      <c r="R894" s="574"/>
      <c r="S894" s="574"/>
      <c r="T894" s="574"/>
      <c r="U894" s="574"/>
      <c r="V894" s="574"/>
      <c r="W894" s="574"/>
      <c r="X894" s="574"/>
      <c r="Y894" s="574"/>
      <c r="Z894" s="574"/>
      <c r="AA894" s="574"/>
      <c r="AB894" s="574"/>
      <c r="AC894" s="574"/>
      <c r="AD894" s="574"/>
      <c r="AE894" s="574"/>
    </row>
    <row r="895" spans="1:31" ht="16.5" customHeight="1" x14ac:dyDescent="0.85">
      <c r="A895" s="574"/>
      <c r="B895" s="574"/>
      <c r="C895" s="574"/>
      <c r="D895" s="574"/>
      <c r="E895" s="574"/>
      <c r="F895" s="574"/>
      <c r="G895" s="574"/>
      <c r="H895" s="574"/>
      <c r="I895" s="574"/>
      <c r="J895" s="574"/>
      <c r="K895" s="574"/>
      <c r="L895" s="574"/>
      <c r="M895" s="574"/>
      <c r="N895" s="574"/>
      <c r="O895" s="574"/>
      <c r="P895" s="574"/>
      <c r="Q895" s="574"/>
      <c r="R895" s="574"/>
      <c r="S895" s="574"/>
      <c r="T895" s="574"/>
      <c r="U895" s="574"/>
      <c r="V895" s="574"/>
      <c r="W895" s="574"/>
      <c r="X895" s="574"/>
      <c r="Y895" s="574"/>
      <c r="Z895" s="574"/>
      <c r="AA895" s="574"/>
      <c r="AB895" s="574"/>
      <c r="AC895" s="574"/>
      <c r="AD895" s="574"/>
      <c r="AE895" s="574"/>
    </row>
    <row r="896" spans="1:31" ht="16.5" customHeight="1" x14ac:dyDescent="0.85">
      <c r="A896" s="574"/>
      <c r="B896" s="574"/>
      <c r="C896" s="574"/>
      <c r="D896" s="574"/>
      <c r="E896" s="574"/>
      <c r="F896" s="574"/>
      <c r="G896" s="574"/>
      <c r="H896" s="574"/>
      <c r="I896" s="574"/>
      <c r="J896" s="574"/>
      <c r="K896" s="574"/>
      <c r="L896" s="574"/>
      <c r="M896" s="574"/>
      <c r="N896" s="574"/>
      <c r="O896" s="574"/>
      <c r="P896" s="574"/>
      <c r="Q896" s="574"/>
      <c r="R896" s="574"/>
      <c r="S896" s="574"/>
      <c r="T896" s="574"/>
      <c r="U896" s="574"/>
      <c r="V896" s="574"/>
      <c r="W896" s="574"/>
      <c r="X896" s="574"/>
      <c r="Y896" s="574"/>
      <c r="Z896" s="574"/>
      <c r="AA896" s="574"/>
      <c r="AB896" s="574"/>
      <c r="AC896" s="574"/>
      <c r="AD896" s="574"/>
      <c r="AE896" s="574"/>
    </row>
    <row r="897" spans="1:31" ht="16.5" customHeight="1" x14ac:dyDescent="0.85">
      <c r="A897" s="574"/>
      <c r="B897" s="574"/>
      <c r="C897" s="574"/>
      <c r="D897" s="574"/>
      <c r="E897" s="574"/>
      <c r="F897" s="574"/>
      <c r="G897" s="574"/>
      <c r="H897" s="574"/>
      <c r="I897" s="574"/>
      <c r="J897" s="574"/>
      <c r="K897" s="574"/>
      <c r="L897" s="574"/>
      <c r="M897" s="574"/>
      <c r="N897" s="574"/>
      <c r="O897" s="574"/>
      <c r="P897" s="574"/>
      <c r="Q897" s="574"/>
      <c r="R897" s="574"/>
      <c r="S897" s="574"/>
      <c r="T897" s="574"/>
      <c r="U897" s="574"/>
      <c r="V897" s="574"/>
      <c r="W897" s="574"/>
      <c r="X897" s="574"/>
      <c r="Y897" s="574"/>
      <c r="Z897" s="574"/>
      <c r="AA897" s="574"/>
      <c r="AB897" s="574"/>
      <c r="AC897" s="574"/>
      <c r="AD897" s="574"/>
      <c r="AE897" s="574"/>
    </row>
    <row r="898" spans="1:31" ht="16.5" customHeight="1" x14ac:dyDescent="0.85">
      <c r="A898" s="574"/>
      <c r="B898" s="574"/>
      <c r="C898" s="574"/>
      <c r="D898" s="574"/>
      <c r="E898" s="574"/>
      <c r="F898" s="574"/>
      <c r="G898" s="574"/>
      <c r="H898" s="574"/>
      <c r="I898" s="574"/>
      <c r="J898" s="574"/>
      <c r="K898" s="574"/>
      <c r="L898" s="574"/>
      <c r="M898" s="574"/>
      <c r="N898" s="574"/>
      <c r="O898" s="574"/>
      <c r="P898" s="574"/>
      <c r="Q898" s="574"/>
      <c r="R898" s="574"/>
      <c r="S898" s="574"/>
      <c r="T898" s="574"/>
      <c r="U898" s="574"/>
      <c r="V898" s="574"/>
      <c r="W898" s="574"/>
      <c r="X898" s="574"/>
      <c r="Y898" s="574"/>
      <c r="Z898" s="574"/>
      <c r="AA898" s="574"/>
      <c r="AB898" s="574"/>
      <c r="AC898" s="574"/>
      <c r="AD898" s="574"/>
      <c r="AE898" s="574"/>
    </row>
    <row r="899" spans="1:31" ht="16.5" customHeight="1" x14ac:dyDescent="0.85">
      <c r="A899" s="574"/>
      <c r="B899" s="574"/>
      <c r="C899" s="574"/>
      <c r="D899" s="574"/>
      <c r="E899" s="574"/>
      <c r="F899" s="574"/>
      <c r="G899" s="574"/>
      <c r="H899" s="574"/>
      <c r="I899" s="574"/>
      <c r="J899" s="574"/>
      <c r="K899" s="574"/>
      <c r="L899" s="574"/>
      <c r="M899" s="574"/>
      <c r="N899" s="574"/>
      <c r="O899" s="574"/>
      <c r="P899" s="574"/>
      <c r="Q899" s="574"/>
      <c r="R899" s="574"/>
      <c r="S899" s="574"/>
      <c r="T899" s="574"/>
      <c r="U899" s="574"/>
      <c r="V899" s="574"/>
      <c r="W899" s="574"/>
      <c r="X899" s="574"/>
      <c r="Y899" s="574"/>
      <c r="Z899" s="574"/>
      <c r="AA899" s="574"/>
      <c r="AB899" s="574"/>
      <c r="AC899" s="574"/>
      <c r="AD899" s="574"/>
      <c r="AE899" s="574"/>
    </row>
    <row r="900" spans="1:31" ht="16.5" customHeight="1" x14ac:dyDescent="0.85">
      <c r="A900" s="574"/>
      <c r="B900" s="574"/>
      <c r="C900" s="574"/>
      <c r="D900" s="574"/>
      <c r="E900" s="574"/>
      <c r="F900" s="574"/>
      <c r="G900" s="574"/>
      <c r="H900" s="574"/>
      <c r="I900" s="574"/>
      <c r="J900" s="574"/>
      <c r="K900" s="574"/>
      <c r="L900" s="574"/>
      <c r="M900" s="574"/>
      <c r="N900" s="574"/>
      <c r="O900" s="574"/>
      <c r="P900" s="574"/>
      <c r="Q900" s="574"/>
      <c r="R900" s="574"/>
      <c r="S900" s="574"/>
      <c r="T900" s="574"/>
      <c r="U900" s="574"/>
      <c r="V900" s="574"/>
      <c r="W900" s="574"/>
      <c r="X900" s="574"/>
      <c r="Y900" s="574"/>
      <c r="Z900" s="574"/>
      <c r="AA900" s="574"/>
      <c r="AB900" s="574"/>
      <c r="AC900" s="574"/>
      <c r="AD900" s="574"/>
      <c r="AE900" s="574"/>
    </row>
    <row r="901" spans="1:31" ht="16.5" customHeight="1" x14ac:dyDescent="0.85">
      <c r="A901" s="574"/>
      <c r="B901" s="574"/>
      <c r="C901" s="574"/>
      <c r="D901" s="574"/>
      <c r="E901" s="574"/>
      <c r="F901" s="574"/>
      <c r="G901" s="574"/>
      <c r="H901" s="574"/>
      <c r="I901" s="574"/>
      <c r="J901" s="574"/>
      <c r="K901" s="574"/>
      <c r="L901" s="574"/>
      <c r="M901" s="574"/>
      <c r="N901" s="574"/>
      <c r="O901" s="574"/>
      <c r="P901" s="574"/>
      <c r="Q901" s="574"/>
      <c r="R901" s="574"/>
      <c r="S901" s="574"/>
      <c r="T901" s="574"/>
      <c r="U901" s="574"/>
      <c r="V901" s="574"/>
      <c r="W901" s="574"/>
      <c r="X901" s="574"/>
      <c r="Y901" s="574"/>
      <c r="Z901" s="574"/>
      <c r="AA901" s="574"/>
      <c r="AB901" s="574"/>
      <c r="AC901" s="574"/>
      <c r="AD901" s="574"/>
      <c r="AE901" s="574"/>
    </row>
    <row r="902" spans="1:31" ht="16.5" customHeight="1" x14ac:dyDescent="0.85">
      <c r="A902" s="574"/>
      <c r="B902" s="574"/>
      <c r="C902" s="574"/>
      <c r="D902" s="574"/>
      <c r="E902" s="574"/>
      <c r="F902" s="574"/>
      <c r="G902" s="574"/>
      <c r="H902" s="574"/>
      <c r="I902" s="574"/>
      <c r="J902" s="574"/>
      <c r="K902" s="574"/>
      <c r="L902" s="574"/>
      <c r="M902" s="574"/>
      <c r="N902" s="574"/>
      <c r="O902" s="574"/>
      <c r="P902" s="574"/>
      <c r="Q902" s="574"/>
      <c r="R902" s="574"/>
      <c r="S902" s="574"/>
      <c r="T902" s="574"/>
      <c r="U902" s="574"/>
      <c r="V902" s="574"/>
      <c r="W902" s="574"/>
      <c r="X902" s="574"/>
      <c r="Y902" s="574"/>
      <c r="Z902" s="574"/>
      <c r="AA902" s="574"/>
      <c r="AB902" s="574"/>
      <c r="AC902" s="574"/>
      <c r="AD902" s="574"/>
      <c r="AE902" s="574"/>
    </row>
    <row r="903" spans="1:31" ht="16.5" customHeight="1" x14ac:dyDescent="0.85">
      <c r="A903" s="574"/>
      <c r="B903" s="574"/>
      <c r="C903" s="574"/>
      <c r="D903" s="574"/>
      <c r="E903" s="574"/>
      <c r="F903" s="574"/>
      <c r="G903" s="574"/>
      <c r="H903" s="574"/>
      <c r="I903" s="574"/>
      <c r="J903" s="574"/>
      <c r="K903" s="574"/>
      <c r="L903" s="574"/>
      <c r="M903" s="574"/>
      <c r="N903" s="574"/>
      <c r="O903" s="574"/>
      <c r="P903" s="574"/>
      <c r="Q903" s="574"/>
      <c r="R903" s="574"/>
      <c r="S903" s="574"/>
      <c r="T903" s="574"/>
      <c r="U903" s="574"/>
      <c r="V903" s="574"/>
      <c r="W903" s="574"/>
      <c r="X903" s="574"/>
      <c r="Y903" s="574"/>
      <c r="Z903" s="574"/>
      <c r="AA903" s="574"/>
      <c r="AB903" s="574"/>
      <c r="AC903" s="574"/>
      <c r="AD903" s="574"/>
      <c r="AE903" s="574"/>
    </row>
    <row r="904" spans="1:31" ht="16.5" customHeight="1" x14ac:dyDescent="0.85">
      <c r="A904" s="574"/>
      <c r="B904" s="574"/>
      <c r="C904" s="574"/>
      <c r="D904" s="574"/>
      <c r="E904" s="574"/>
      <c r="F904" s="574"/>
      <c r="G904" s="574"/>
      <c r="H904" s="574"/>
      <c r="I904" s="574"/>
      <c r="J904" s="574"/>
      <c r="K904" s="574"/>
      <c r="L904" s="574"/>
      <c r="M904" s="574"/>
      <c r="N904" s="574"/>
      <c r="O904" s="574"/>
      <c r="P904" s="574"/>
      <c r="Q904" s="574"/>
      <c r="R904" s="574"/>
      <c r="S904" s="574"/>
      <c r="T904" s="574"/>
      <c r="U904" s="574"/>
      <c r="V904" s="574"/>
      <c r="W904" s="574"/>
      <c r="X904" s="574"/>
      <c r="Y904" s="574"/>
      <c r="Z904" s="574"/>
      <c r="AA904" s="574"/>
      <c r="AB904" s="574"/>
      <c r="AC904" s="574"/>
      <c r="AD904" s="574"/>
      <c r="AE904" s="574"/>
    </row>
    <row r="905" spans="1:31" ht="16.5" customHeight="1" x14ac:dyDescent="0.85">
      <c r="A905" s="574"/>
      <c r="B905" s="574"/>
      <c r="C905" s="574"/>
      <c r="D905" s="574"/>
      <c r="E905" s="574"/>
      <c r="F905" s="574"/>
      <c r="G905" s="574"/>
      <c r="H905" s="574"/>
      <c r="I905" s="574"/>
      <c r="J905" s="574"/>
      <c r="K905" s="574"/>
      <c r="L905" s="574"/>
      <c r="M905" s="574"/>
      <c r="N905" s="574"/>
      <c r="O905" s="574"/>
      <c r="P905" s="574"/>
      <c r="Q905" s="574"/>
      <c r="R905" s="574"/>
      <c r="S905" s="574"/>
      <c r="T905" s="574"/>
      <c r="U905" s="574"/>
      <c r="V905" s="574"/>
      <c r="W905" s="574"/>
      <c r="X905" s="574"/>
      <c r="Y905" s="574"/>
      <c r="Z905" s="574"/>
      <c r="AA905" s="574"/>
      <c r="AB905" s="574"/>
      <c r="AC905" s="574"/>
      <c r="AD905" s="574"/>
      <c r="AE905" s="574"/>
    </row>
    <row r="906" spans="1:31" ht="16.5" customHeight="1" x14ac:dyDescent="0.85">
      <c r="A906" s="574"/>
      <c r="B906" s="574"/>
      <c r="C906" s="574"/>
      <c r="D906" s="574"/>
      <c r="E906" s="574"/>
      <c r="F906" s="574"/>
      <c r="G906" s="574"/>
      <c r="H906" s="574"/>
      <c r="I906" s="574"/>
      <c r="J906" s="574"/>
      <c r="K906" s="574"/>
      <c r="L906" s="574"/>
      <c r="M906" s="574"/>
      <c r="N906" s="574"/>
      <c r="O906" s="574"/>
      <c r="P906" s="574"/>
      <c r="Q906" s="574"/>
      <c r="R906" s="574"/>
      <c r="S906" s="574"/>
      <c r="T906" s="574"/>
      <c r="U906" s="574"/>
      <c r="V906" s="574"/>
      <c r="W906" s="574"/>
      <c r="X906" s="574"/>
      <c r="Y906" s="574"/>
      <c r="Z906" s="574"/>
      <c r="AA906" s="574"/>
      <c r="AB906" s="574"/>
      <c r="AC906" s="574"/>
      <c r="AD906" s="574"/>
      <c r="AE906" s="574"/>
    </row>
    <row r="907" spans="1:31" ht="16.5" customHeight="1" x14ac:dyDescent="0.85">
      <c r="A907" s="574"/>
      <c r="B907" s="574"/>
      <c r="C907" s="574"/>
      <c r="D907" s="574"/>
      <c r="E907" s="574"/>
      <c r="F907" s="574"/>
      <c r="G907" s="574"/>
      <c r="H907" s="574"/>
      <c r="I907" s="574"/>
      <c r="J907" s="574"/>
      <c r="K907" s="574"/>
      <c r="L907" s="574"/>
      <c r="M907" s="574"/>
      <c r="N907" s="574"/>
      <c r="O907" s="574"/>
      <c r="P907" s="574"/>
      <c r="Q907" s="574"/>
      <c r="R907" s="574"/>
      <c r="S907" s="574"/>
      <c r="T907" s="574"/>
      <c r="U907" s="574"/>
      <c r="V907" s="574"/>
      <c r="W907" s="574"/>
      <c r="X907" s="574"/>
      <c r="Y907" s="574"/>
      <c r="Z907" s="574"/>
      <c r="AA907" s="574"/>
      <c r="AB907" s="574"/>
      <c r="AC907" s="574"/>
      <c r="AD907" s="574"/>
      <c r="AE907" s="574"/>
    </row>
    <row r="908" spans="1:31" ht="16.5" customHeight="1" x14ac:dyDescent="0.85">
      <c r="A908" s="574"/>
      <c r="B908" s="574"/>
      <c r="C908" s="574"/>
      <c r="D908" s="574"/>
      <c r="E908" s="574"/>
      <c r="F908" s="574"/>
      <c r="G908" s="574"/>
      <c r="H908" s="574"/>
      <c r="I908" s="574"/>
      <c r="J908" s="574"/>
      <c r="K908" s="574"/>
      <c r="L908" s="574"/>
      <c r="M908" s="574"/>
      <c r="N908" s="574"/>
      <c r="O908" s="574"/>
      <c r="P908" s="574"/>
      <c r="Q908" s="574"/>
      <c r="R908" s="574"/>
      <c r="S908" s="574"/>
      <c r="T908" s="574"/>
      <c r="U908" s="574"/>
      <c r="V908" s="574"/>
      <c r="W908" s="574"/>
      <c r="X908" s="574"/>
      <c r="Y908" s="574"/>
      <c r="Z908" s="574"/>
      <c r="AA908" s="574"/>
      <c r="AB908" s="574"/>
      <c r="AC908" s="574"/>
      <c r="AD908" s="574"/>
      <c r="AE908" s="574"/>
    </row>
    <row r="909" spans="1:31" ht="16.5" customHeight="1" x14ac:dyDescent="0.85">
      <c r="A909" s="574"/>
      <c r="B909" s="574"/>
      <c r="C909" s="574"/>
      <c r="D909" s="574"/>
      <c r="E909" s="574"/>
      <c r="F909" s="574"/>
      <c r="G909" s="574"/>
      <c r="H909" s="574"/>
      <c r="I909" s="574"/>
      <c r="J909" s="574"/>
      <c r="K909" s="574"/>
      <c r="L909" s="574"/>
      <c r="M909" s="574"/>
      <c r="N909" s="574"/>
      <c r="O909" s="574"/>
      <c r="P909" s="574"/>
      <c r="Q909" s="574"/>
      <c r="R909" s="574"/>
      <c r="S909" s="574"/>
      <c r="T909" s="574"/>
      <c r="U909" s="574"/>
      <c r="V909" s="574"/>
      <c r="W909" s="574"/>
      <c r="X909" s="574"/>
      <c r="Y909" s="574"/>
      <c r="Z909" s="574"/>
      <c r="AA909" s="574"/>
      <c r="AB909" s="574"/>
      <c r="AC909" s="574"/>
      <c r="AD909" s="574"/>
      <c r="AE909" s="574"/>
    </row>
    <row r="910" spans="1:31" ht="16.5" customHeight="1" x14ac:dyDescent="0.85">
      <c r="A910" s="574"/>
      <c r="B910" s="574"/>
      <c r="C910" s="574"/>
      <c r="D910" s="574"/>
      <c r="E910" s="574"/>
      <c r="F910" s="574"/>
      <c r="G910" s="574"/>
      <c r="H910" s="574"/>
      <c r="I910" s="574"/>
      <c r="J910" s="574"/>
      <c r="K910" s="574"/>
      <c r="L910" s="574"/>
      <c r="M910" s="574"/>
      <c r="N910" s="574"/>
      <c r="O910" s="574"/>
      <c r="P910" s="574"/>
      <c r="Q910" s="574"/>
      <c r="R910" s="574"/>
      <c r="S910" s="574"/>
      <c r="T910" s="574"/>
      <c r="U910" s="574"/>
      <c r="V910" s="574"/>
      <c r="W910" s="574"/>
      <c r="X910" s="574"/>
      <c r="Y910" s="574"/>
      <c r="Z910" s="574"/>
      <c r="AA910" s="574"/>
      <c r="AB910" s="574"/>
      <c r="AC910" s="574"/>
      <c r="AD910" s="574"/>
      <c r="AE910" s="574"/>
    </row>
    <row r="911" spans="1:31" ht="16.5" customHeight="1" x14ac:dyDescent="0.85">
      <c r="A911" s="574"/>
      <c r="B911" s="574"/>
      <c r="C911" s="574"/>
      <c r="D911" s="574"/>
      <c r="E911" s="574"/>
      <c r="F911" s="574"/>
      <c r="G911" s="574"/>
      <c r="H911" s="574"/>
      <c r="I911" s="574"/>
      <c r="J911" s="574"/>
      <c r="K911" s="574"/>
      <c r="L911" s="574"/>
      <c r="M911" s="574"/>
      <c r="N911" s="574"/>
      <c r="O911" s="574"/>
      <c r="P911" s="574"/>
      <c r="Q911" s="574"/>
      <c r="R911" s="574"/>
      <c r="S911" s="574"/>
      <c r="T911" s="574"/>
      <c r="U911" s="574"/>
      <c r="V911" s="574"/>
      <c r="W911" s="574"/>
      <c r="X911" s="574"/>
      <c r="Y911" s="574"/>
      <c r="Z911" s="574"/>
      <c r="AA911" s="574"/>
      <c r="AB911" s="574"/>
      <c r="AC911" s="574"/>
      <c r="AD911" s="574"/>
      <c r="AE911" s="574"/>
    </row>
    <row r="912" spans="1:31" ht="16.5" customHeight="1" x14ac:dyDescent="0.85">
      <c r="A912" s="574"/>
      <c r="B912" s="574"/>
      <c r="C912" s="574"/>
      <c r="D912" s="574"/>
      <c r="E912" s="574"/>
      <c r="F912" s="574"/>
      <c r="G912" s="574"/>
      <c r="H912" s="574"/>
      <c r="I912" s="574"/>
      <c r="J912" s="574"/>
      <c r="K912" s="574"/>
      <c r="L912" s="574"/>
      <c r="M912" s="574"/>
      <c r="N912" s="574"/>
      <c r="O912" s="574"/>
      <c r="P912" s="574"/>
      <c r="Q912" s="574"/>
      <c r="R912" s="574"/>
      <c r="S912" s="574"/>
      <c r="T912" s="574"/>
      <c r="U912" s="574"/>
      <c r="V912" s="574"/>
      <c r="W912" s="574"/>
      <c r="X912" s="574"/>
      <c r="Y912" s="574"/>
      <c r="Z912" s="574"/>
      <c r="AA912" s="574"/>
      <c r="AB912" s="574"/>
      <c r="AC912" s="574"/>
      <c r="AD912" s="574"/>
      <c r="AE912" s="574"/>
    </row>
    <row r="913" spans="1:31" ht="16.5" customHeight="1" x14ac:dyDescent="0.85">
      <c r="A913" s="574"/>
      <c r="B913" s="574"/>
      <c r="C913" s="574"/>
      <c r="D913" s="574"/>
      <c r="E913" s="574"/>
      <c r="F913" s="574"/>
      <c r="G913" s="574"/>
      <c r="H913" s="574"/>
      <c r="I913" s="574"/>
      <c r="J913" s="574"/>
      <c r="K913" s="574"/>
      <c r="L913" s="574"/>
      <c r="M913" s="574"/>
      <c r="N913" s="574"/>
      <c r="O913" s="574"/>
      <c r="P913" s="574"/>
      <c r="Q913" s="574"/>
      <c r="R913" s="574"/>
      <c r="S913" s="574"/>
      <c r="T913" s="574"/>
      <c r="U913" s="574"/>
      <c r="V913" s="574"/>
      <c r="W913" s="574"/>
      <c r="X913" s="574"/>
      <c r="Y913" s="574"/>
      <c r="Z913" s="574"/>
      <c r="AA913" s="574"/>
      <c r="AB913" s="574"/>
      <c r="AC913" s="574"/>
      <c r="AD913" s="574"/>
      <c r="AE913" s="574"/>
    </row>
    <row r="914" spans="1:31" ht="16.5" customHeight="1" x14ac:dyDescent="0.85">
      <c r="A914" s="574"/>
      <c r="B914" s="574"/>
      <c r="C914" s="574"/>
      <c r="D914" s="574"/>
      <c r="E914" s="574"/>
      <c r="F914" s="574"/>
      <c r="G914" s="574"/>
      <c r="H914" s="574"/>
      <c r="I914" s="574"/>
      <c r="J914" s="574"/>
      <c r="K914" s="574"/>
      <c r="L914" s="574"/>
      <c r="M914" s="574"/>
      <c r="N914" s="574"/>
      <c r="O914" s="574"/>
      <c r="P914" s="574"/>
      <c r="Q914" s="574"/>
      <c r="R914" s="574"/>
      <c r="S914" s="574"/>
      <c r="T914" s="574"/>
      <c r="U914" s="574"/>
      <c r="V914" s="574"/>
      <c r="W914" s="574"/>
      <c r="X914" s="574"/>
      <c r="Y914" s="574"/>
      <c r="Z914" s="574"/>
      <c r="AA914" s="574"/>
      <c r="AB914" s="574"/>
      <c r="AC914" s="574"/>
      <c r="AD914" s="574"/>
      <c r="AE914" s="574"/>
    </row>
    <row r="915" spans="1:31" ht="16.5" customHeight="1" x14ac:dyDescent="0.85">
      <c r="A915" s="574"/>
      <c r="B915" s="574"/>
      <c r="C915" s="574"/>
      <c r="D915" s="574"/>
      <c r="E915" s="574"/>
      <c r="F915" s="574"/>
      <c r="G915" s="574"/>
      <c r="H915" s="574"/>
      <c r="I915" s="574"/>
      <c r="J915" s="574"/>
      <c r="K915" s="574"/>
      <c r="L915" s="574"/>
      <c r="M915" s="574"/>
      <c r="N915" s="574"/>
      <c r="O915" s="574"/>
      <c r="P915" s="574"/>
      <c r="Q915" s="574"/>
      <c r="R915" s="574"/>
      <c r="S915" s="574"/>
      <c r="T915" s="574"/>
      <c r="U915" s="574"/>
      <c r="V915" s="574"/>
      <c r="W915" s="574"/>
      <c r="X915" s="574"/>
      <c r="Y915" s="574"/>
      <c r="Z915" s="574"/>
      <c r="AA915" s="574"/>
      <c r="AB915" s="574"/>
      <c r="AC915" s="574"/>
      <c r="AD915" s="574"/>
      <c r="AE915" s="574"/>
    </row>
    <row r="916" spans="1:31" ht="16.5" customHeight="1" x14ac:dyDescent="0.85">
      <c r="A916" s="574"/>
      <c r="B916" s="574"/>
      <c r="C916" s="574"/>
      <c r="D916" s="574"/>
      <c r="E916" s="574"/>
      <c r="F916" s="574"/>
      <c r="G916" s="574"/>
      <c r="H916" s="574"/>
      <c r="I916" s="574"/>
      <c r="J916" s="574"/>
      <c r="K916" s="574"/>
      <c r="L916" s="574"/>
      <c r="M916" s="574"/>
      <c r="N916" s="574"/>
      <c r="O916" s="574"/>
      <c r="P916" s="574"/>
      <c r="Q916" s="574"/>
      <c r="R916" s="574"/>
      <c r="S916" s="574"/>
      <c r="T916" s="574"/>
      <c r="U916" s="574"/>
      <c r="V916" s="574"/>
      <c r="W916" s="574"/>
      <c r="X916" s="574"/>
      <c r="Y916" s="574"/>
      <c r="Z916" s="574"/>
      <c r="AA916" s="574"/>
      <c r="AB916" s="574"/>
      <c r="AC916" s="574"/>
      <c r="AD916" s="574"/>
      <c r="AE916" s="574"/>
    </row>
    <row r="917" spans="1:31" ht="16.5" customHeight="1" x14ac:dyDescent="0.85">
      <c r="A917" s="574"/>
      <c r="B917" s="574"/>
      <c r="C917" s="574"/>
      <c r="D917" s="574"/>
      <c r="E917" s="574"/>
      <c r="F917" s="574"/>
      <c r="G917" s="574"/>
      <c r="H917" s="574"/>
      <c r="I917" s="574"/>
      <c r="J917" s="574"/>
      <c r="K917" s="574"/>
      <c r="L917" s="574"/>
      <c r="M917" s="574"/>
      <c r="N917" s="574"/>
      <c r="O917" s="574"/>
      <c r="P917" s="574"/>
      <c r="Q917" s="574"/>
      <c r="R917" s="574"/>
      <c r="S917" s="574"/>
      <c r="T917" s="574"/>
      <c r="U917" s="574"/>
      <c r="V917" s="574"/>
      <c r="W917" s="574"/>
      <c r="X917" s="574"/>
      <c r="Y917" s="574"/>
      <c r="Z917" s="574"/>
      <c r="AA917" s="574"/>
      <c r="AB917" s="574"/>
      <c r="AC917" s="574"/>
      <c r="AD917" s="574"/>
      <c r="AE917" s="574"/>
    </row>
    <row r="918" spans="1:31" ht="16.5" customHeight="1" x14ac:dyDescent="0.85">
      <c r="A918" s="574"/>
      <c r="B918" s="574"/>
      <c r="C918" s="574"/>
      <c r="D918" s="574"/>
      <c r="E918" s="574"/>
      <c r="F918" s="574"/>
      <c r="G918" s="574"/>
      <c r="H918" s="574"/>
      <c r="I918" s="574"/>
      <c r="J918" s="574"/>
      <c r="K918" s="574"/>
      <c r="L918" s="574"/>
      <c r="M918" s="574"/>
      <c r="N918" s="574"/>
      <c r="O918" s="574"/>
      <c r="P918" s="574"/>
      <c r="Q918" s="574"/>
      <c r="R918" s="574"/>
      <c r="S918" s="574"/>
      <c r="T918" s="574"/>
      <c r="U918" s="574"/>
      <c r="V918" s="574"/>
      <c r="W918" s="574"/>
      <c r="X918" s="574"/>
      <c r="Y918" s="574"/>
      <c r="Z918" s="574"/>
      <c r="AA918" s="574"/>
      <c r="AB918" s="574"/>
      <c r="AC918" s="574"/>
      <c r="AD918" s="574"/>
      <c r="AE918" s="574"/>
    </row>
    <row r="919" spans="1:31" ht="16.5" customHeight="1" x14ac:dyDescent="0.85">
      <c r="A919" s="574"/>
      <c r="B919" s="574"/>
      <c r="C919" s="574"/>
      <c r="D919" s="574"/>
      <c r="E919" s="574"/>
      <c r="F919" s="574"/>
      <c r="G919" s="574"/>
      <c r="H919" s="574"/>
      <c r="I919" s="574"/>
      <c r="J919" s="574"/>
      <c r="K919" s="574"/>
      <c r="L919" s="574"/>
      <c r="M919" s="574"/>
      <c r="N919" s="574"/>
      <c r="O919" s="574"/>
      <c r="P919" s="574"/>
      <c r="Q919" s="574"/>
      <c r="R919" s="574"/>
      <c r="S919" s="574"/>
      <c r="T919" s="574"/>
      <c r="U919" s="574"/>
      <c r="V919" s="574"/>
      <c r="W919" s="574"/>
      <c r="X919" s="574"/>
      <c r="Y919" s="574"/>
      <c r="Z919" s="574"/>
      <c r="AA919" s="574"/>
      <c r="AB919" s="574"/>
      <c r="AC919" s="574"/>
      <c r="AD919" s="574"/>
      <c r="AE919" s="574"/>
    </row>
    <row r="920" spans="1:31" ht="16.5" customHeight="1" x14ac:dyDescent="0.85">
      <c r="A920" s="574"/>
      <c r="B920" s="574"/>
      <c r="C920" s="574"/>
      <c r="D920" s="574"/>
      <c r="E920" s="574"/>
      <c r="F920" s="574"/>
      <c r="G920" s="574"/>
      <c r="H920" s="574"/>
      <c r="I920" s="574"/>
      <c r="J920" s="574"/>
      <c r="K920" s="574"/>
      <c r="L920" s="574"/>
      <c r="M920" s="574"/>
      <c r="N920" s="574"/>
      <c r="O920" s="574"/>
      <c r="P920" s="574"/>
      <c r="Q920" s="574"/>
      <c r="R920" s="574"/>
      <c r="S920" s="574"/>
      <c r="T920" s="574"/>
      <c r="U920" s="574"/>
      <c r="V920" s="574"/>
      <c r="W920" s="574"/>
      <c r="X920" s="574"/>
      <c r="Y920" s="574"/>
      <c r="Z920" s="574"/>
      <c r="AA920" s="574"/>
      <c r="AB920" s="574"/>
      <c r="AC920" s="574"/>
      <c r="AD920" s="574"/>
      <c r="AE920" s="574"/>
    </row>
    <row r="921" spans="1:31" ht="16.5" customHeight="1" x14ac:dyDescent="0.85">
      <c r="A921" s="574"/>
      <c r="B921" s="574"/>
      <c r="C921" s="574"/>
      <c r="D921" s="574"/>
      <c r="E921" s="574"/>
      <c r="F921" s="574"/>
      <c r="G921" s="574"/>
      <c r="H921" s="574"/>
      <c r="I921" s="574"/>
      <c r="J921" s="574"/>
      <c r="K921" s="574"/>
      <c r="L921" s="574"/>
      <c r="M921" s="574"/>
      <c r="N921" s="574"/>
      <c r="O921" s="574"/>
      <c r="P921" s="574"/>
      <c r="Q921" s="574"/>
      <c r="R921" s="574"/>
      <c r="S921" s="574"/>
      <c r="T921" s="574"/>
      <c r="U921" s="574"/>
      <c r="V921" s="574"/>
      <c r="W921" s="574"/>
      <c r="X921" s="574"/>
      <c r="Y921" s="574"/>
      <c r="Z921" s="574"/>
      <c r="AA921" s="574"/>
      <c r="AB921" s="574"/>
      <c r="AC921" s="574"/>
      <c r="AD921" s="574"/>
      <c r="AE921" s="574"/>
    </row>
    <row r="922" spans="1:31" ht="16.5" customHeight="1" x14ac:dyDescent="0.85">
      <c r="A922" s="574"/>
      <c r="B922" s="574"/>
      <c r="C922" s="574"/>
      <c r="D922" s="574"/>
      <c r="E922" s="574"/>
      <c r="F922" s="574"/>
      <c r="G922" s="574"/>
      <c r="H922" s="574"/>
      <c r="I922" s="574"/>
      <c r="J922" s="574"/>
      <c r="K922" s="574"/>
      <c r="L922" s="574"/>
      <c r="M922" s="574"/>
      <c r="N922" s="574"/>
      <c r="O922" s="574"/>
      <c r="P922" s="574"/>
      <c r="Q922" s="574"/>
      <c r="R922" s="574"/>
      <c r="S922" s="574"/>
      <c r="T922" s="574"/>
      <c r="U922" s="574"/>
      <c r="V922" s="574"/>
      <c r="W922" s="574"/>
      <c r="X922" s="574"/>
      <c r="Y922" s="574"/>
      <c r="Z922" s="574"/>
      <c r="AA922" s="574"/>
      <c r="AB922" s="574"/>
      <c r="AC922" s="574"/>
      <c r="AD922" s="574"/>
      <c r="AE922" s="574"/>
    </row>
    <row r="923" spans="1:31" ht="16.5" customHeight="1" x14ac:dyDescent="0.85">
      <c r="A923" s="574"/>
      <c r="B923" s="574"/>
      <c r="C923" s="574"/>
      <c r="D923" s="574"/>
      <c r="E923" s="574"/>
      <c r="F923" s="574"/>
      <c r="G923" s="574"/>
      <c r="H923" s="574"/>
      <c r="I923" s="574"/>
      <c r="J923" s="574"/>
      <c r="K923" s="574"/>
      <c r="L923" s="574"/>
      <c r="M923" s="574"/>
      <c r="N923" s="574"/>
      <c r="O923" s="574"/>
      <c r="P923" s="574"/>
      <c r="Q923" s="574"/>
      <c r="R923" s="574"/>
      <c r="S923" s="574"/>
      <c r="T923" s="574"/>
      <c r="U923" s="574"/>
      <c r="V923" s="574"/>
      <c r="W923" s="574"/>
      <c r="X923" s="574"/>
      <c r="Y923" s="574"/>
      <c r="Z923" s="574"/>
      <c r="AA923" s="574"/>
      <c r="AB923" s="574"/>
      <c r="AC923" s="574"/>
      <c r="AD923" s="574"/>
      <c r="AE923" s="574"/>
    </row>
    <row r="924" spans="1:31" ht="16.5" customHeight="1" x14ac:dyDescent="0.85">
      <c r="A924" s="574"/>
      <c r="B924" s="574"/>
      <c r="C924" s="574"/>
      <c r="D924" s="574"/>
      <c r="E924" s="574"/>
      <c r="F924" s="574"/>
      <c r="G924" s="574"/>
      <c r="H924" s="574"/>
      <c r="I924" s="574"/>
      <c r="J924" s="574"/>
      <c r="K924" s="574"/>
      <c r="L924" s="574"/>
      <c r="M924" s="574"/>
      <c r="N924" s="574"/>
      <c r="O924" s="574"/>
      <c r="P924" s="574"/>
      <c r="Q924" s="574"/>
      <c r="R924" s="574"/>
      <c r="S924" s="574"/>
      <c r="T924" s="574"/>
      <c r="U924" s="574"/>
      <c r="V924" s="574"/>
      <c r="W924" s="574"/>
      <c r="X924" s="574"/>
      <c r="Y924" s="574"/>
      <c r="Z924" s="574"/>
      <c r="AA924" s="574"/>
      <c r="AB924" s="574"/>
      <c r="AC924" s="574"/>
      <c r="AD924" s="574"/>
      <c r="AE924" s="574"/>
    </row>
    <row r="925" spans="1:31" ht="16.5" customHeight="1" x14ac:dyDescent="0.85">
      <c r="A925" s="574"/>
      <c r="B925" s="574"/>
      <c r="C925" s="574"/>
      <c r="D925" s="574"/>
      <c r="E925" s="574"/>
      <c r="F925" s="574"/>
      <c r="G925" s="574"/>
      <c r="H925" s="574"/>
      <c r="I925" s="574"/>
      <c r="J925" s="574"/>
      <c r="K925" s="574"/>
      <c r="L925" s="574"/>
      <c r="M925" s="574"/>
      <c r="N925" s="574"/>
      <c r="O925" s="574"/>
      <c r="P925" s="574"/>
      <c r="Q925" s="574"/>
      <c r="R925" s="574"/>
      <c r="S925" s="574"/>
      <c r="T925" s="574"/>
      <c r="U925" s="574"/>
      <c r="V925" s="574"/>
      <c r="W925" s="574"/>
      <c r="X925" s="574"/>
      <c r="Y925" s="574"/>
      <c r="Z925" s="574"/>
      <c r="AA925" s="574"/>
      <c r="AB925" s="574"/>
      <c r="AC925" s="574"/>
      <c r="AD925" s="574"/>
      <c r="AE925" s="574"/>
    </row>
    <row r="926" spans="1:31" ht="16.5" customHeight="1" x14ac:dyDescent="0.85">
      <c r="A926" s="574"/>
      <c r="B926" s="574"/>
      <c r="C926" s="574"/>
      <c r="D926" s="574"/>
      <c r="E926" s="574"/>
      <c r="F926" s="574"/>
      <c r="G926" s="574"/>
      <c r="H926" s="574"/>
      <c r="I926" s="574"/>
      <c r="J926" s="574"/>
      <c r="K926" s="574"/>
      <c r="L926" s="574"/>
      <c r="M926" s="574"/>
      <c r="N926" s="574"/>
      <c r="O926" s="574"/>
      <c r="P926" s="574"/>
      <c r="Q926" s="574"/>
      <c r="R926" s="574"/>
      <c r="S926" s="574"/>
      <c r="T926" s="574"/>
      <c r="U926" s="574"/>
      <c r="V926" s="574"/>
      <c r="W926" s="574"/>
      <c r="X926" s="574"/>
      <c r="Y926" s="574"/>
      <c r="Z926" s="574"/>
      <c r="AA926" s="574"/>
      <c r="AB926" s="574"/>
      <c r="AC926" s="574"/>
      <c r="AD926" s="574"/>
      <c r="AE926" s="574"/>
    </row>
    <row r="927" spans="1:31" ht="16.5" customHeight="1" x14ac:dyDescent="0.85">
      <c r="A927" s="574"/>
      <c r="B927" s="574"/>
      <c r="C927" s="574"/>
      <c r="D927" s="574"/>
      <c r="E927" s="574"/>
      <c r="F927" s="574"/>
      <c r="G927" s="574"/>
      <c r="H927" s="574"/>
      <c r="I927" s="574"/>
      <c r="J927" s="574"/>
      <c r="K927" s="574"/>
      <c r="L927" s="574"/>
      <c r="M927" s="574"/>
      <c r="N927" s="574"/>
      <c r="O927" s="574"/>
      <c r="P927" s="574"/>
      <c r="Q927" s="574"/>
      <c r="R927" s="574"/>
      <c r="S927" s="574"/>
      <c r="T927" s="574"/>
      <c r="U927" s="574"/>
      <c r="V927" s="574"/>
      <c r="W927" s="574"/>
      <c r="X927" s="574"/>
      <c r="Y927" s="574"/>
      <c r="Z927" s="574"/>
      <c r="AA927" s="574"/>
      <c r="AB927" s="574"/>
      <c r="AC927" s="574"/>
      <c r="AD927" s="574"/>
      <c r="AE927" s="574"/>
    </row>
    <row r="928" spans="1:31" ht="16.5" customHeight="1" x14ac:dyDescent="0.85">
      <c r="A928" s="574"/>
      <c r="B928" s="574"/>
      <c r="C928" s="574"/>
      <c r="D928" s="574"/>
      <c r="E928" s="574"/>
      <c r="F928" s="574"/>
      <c r="G928" s="574"/>
      <c r="H928" s="574"/>
      <c r="I928" s="574"/>
      <c r="J928" s="574"/>
      <c r="K928" s="574"/>
      <c r="L928" s="574"/>
      <c r="M928" s="574"/>
      <c r="N928" s="574"/>
      <c r="O928" s="574"/>
      <c r="P928" s="574"/>
      <c r="Q928" s="574"/>
      <c r="R928" s="574"/>
      <c r="S928" s="574"/>
      <c r="T928" s="574"/>
      <c r="U928" s="574"/>
      <c r="V928" s="574"/>
      <c r="W928" s="574"/>
      <c r="X928" s="574"/>
      <c r="Y928" s="574"/>
      <c r="Z928" s="574"/>
      <c r="AA928" s="574"/>
      <c r="AB928" s="574"/>
      <c r="AC928" s="574"/>
      <c r="AD928" s="574"/>
      <c r="AE928" s="574"/>
    </row>
    <row r="929" spans="1:31" ht="16.5" customHeight="1" x14ac:dyDescent="0.85">
      <c r="A929" s="574"/>
      <c r="B929" s="574"/>
      <c r="C929" s="574"/>
      <c r="D929" s="574"/>
      <c r="E929" s="574"/>
      <c r="F929" s="574"/>
      <c r="G929" s="574"/>
      <c r="H929" s="574"/>
      <c r="I929" s="574"/>
      <c r="J929" s="574"/>
      <c r="K929" s="574"/>
      <c r="L929" s="574"/>
      <c r="M929" s="574"/>
      <c r="N929" s="574"/>
      <c r="O929" s="574"/>
      <c r="P929" s="574"/>
      <c r="Q929" s="574"/>
      <c r="R929" s="574"/>
      <c r="S929" s="574"/>
      <c r="T929" s="574"/>
      <c r="U929" s="574"/>
      <c r="V929" s="574"/>
      <c r="W929" s="574"/>
      <c r="X929" s="574"/>
      <c r="Y929" s="574"/>
      <c r="Z929" s="574"/>
      <c r="AA929" s="574"/>
      <c r="AB929" s="574"/>
      <c r="AC929" s="574"/>
      <c r="AD929" s="574"/>
      <c r="AE929" s="574"/>
    </row>
    <row r="930" spans="1:31" ht="16.5" customHeight="1" x14ac:dyDescent="0.85">
      <c r="A930" s="574"/>
      <c r="B930" s="574"/>
      <c r="C930" s="574"/>
      <c r="D930" s="574"/>
      <c r="E930" s="574"/>
      <c r="F930" s="574"/>
      <c r="G930" s="574"/>
      <c r="H930" s="574"/>
      <c r="I930" s="574"/>
      <c r="J930" s="574"/>
      <c r="K930" s="574"/>
      <c r="L930" s="574"/>
      <c r="M930" s="574"/>
      <c r="N930" s="574"/>
      <c r="O930" s="574"/>
      <c r="P930" s="574"/>
      <c r="Q930" s="574"/>
      <c r="R930" s="574"/>
      <c r="S930" s="574"/>
      <c r="T930" s="574"/>
      <c r="U930" s="574"/>
      <c r="V930" s="574"/>
      <c r="W930" s="574"/>
      <c r="X930" s="574"/>
      <c r="Y930" s="574"/>
      <c r="Z930" s="574"/>
      <c r="AA930" s="574"/>
      <c r="AB930" s="574"/>
      <c r="AC930" s="574"/>
      <c r="AD930" s="574"/>
      <c r="AE930" s="574"/>
    </row>
    <row r="931" spans="1:31" ht="16.5" customHeight="1" x14ac:dyDescent="0.85">
      <c r="A931" s="574"/>
      <c r="B931" s="574"/>
      <c r="C931" s="574"/>
      <c r="D931" s="574"/>
      <c r="E931" s="574"/>
      <c r="F931" s="574"/>
      <c r="G931" s="574"/>
      <c r="H931" s="574"/>
      <c r="I931" s="574"/>
      <c r="J931" s="574"/>
      <c r="K931" s="574"/>
      <c r="L931" s="574"/>
      <c r="M931" s="574"/>
      <c r="N931" s="574"/>
      <c r="O931" s="574"/>
      <c r="P931" s="574"/>
      <c r="Q931" s="574"/>
      <c r="R931" s="574"/>
      <c r="S931" s="574"/>
      <c r="T931" s="574"/>
      <c r="U931" s="574"/>
      <c r="V931" s="574"/>
      <c r="W931" s="574"/>
      <c r="X931" s="574"/>
      <c r="Y931" s="574"/>
      <c r="Z931" s="574"/>
      <c r="AA931" s="574"/>
      <c r="AB931" s="574"/>
      <c r="AC931" s="574"/>
      <c r="AD931" s="574"/>
      <c r="AE931" s="574"/>
    </row>
    <row r="932" spans="1:31" ht="16.5" customHeight="1" x14ac:dyDescent="0.85">
      <c r="A932" s="574"/>
      <c r="B932" s="574"/>
      <c r="C932" s="574"/>
      <c r="D932" s="574"/>
      <c r="E932" s="574"/>
      <c r="F932" s="574"/>
      <c r="G932" s="574"/>
      <c r="H932" s="574"/>
      <c r="I932" s="574"/>
      <c r="J932" s="574"/>
      <c r="K932" s="574"/>
      <c r="L932" s="574"/>
      <c r="M932" s="574"/>
      <c r="N932" s="574"/>
      <c r="O932" s="574"/>
      <c r="P932" s="574"/>
      <c r="Q932" s="574"/>
      <c r="R932" s="574"/>
      <c r="S932" s="574"/>
      <c r="T932" s="574"/>
      <c r="U932" s="574"/>
      <c r="V932" s="574"/>
      <c r="W932" s="574"/>
      <c r="X932" s="574"/>
      <c r="Y932" s="574"/>
      <c r="Z932" s="574"/>
      <c r="AA932" s="574"/>
      <c r="AB932" s="574"/>
      <c r="AC932" s="574"/>
      <c r="AD932" s="574"/>
      <c r="AE932" s="574"/>
    </row>
    <row r="933" spans="1:31" ht="16.5" customHeight="1" x14ac:dyDescent="0.85">
      <c r="A933" s="574"/>
      <c r="B933" s="574"/>
      <c r="C933" s="574"/>
      <c r="D933" s="574"/>
      <c r="E933" s="574"/>
      <c r="F933" s="574"/>
      <c r="G933" s="574"/>
      <c r="H933" s="574"/>
      <c r="I933" s="574"/>
      <c r="J933" s="574"/>
      <c r="K933" s="574"/>
      <c r="L933" s="574"/>
      <c r="M933" s="574"/>
      <c r="N933" s="574"/>
      <c r="O933" s="574"/>
      <c r="P933" s="574"/>
      <c r="Q933" s="574"/>
      <c r="R933" s="574"/>
      <c r="S933" s="574"/>
      <c r="T933" s="574"/>
      <c r="U933" s="574"/>
      <c r="V933" s="574"/>
      <c r="W933" s="574"/>
      <c r="X933" s="574"/>
      <c r="Y933" s="574"/>
      <c r="Z933" s="574"/>
      <c r="AA933" s="574"/>
      <c r="AB933" s="574"/>
      <c r="AC933" s="574"/>
      <c r="AD933" s="574"/>
      <c r="AE933" s="574"/>
    </row>
    <row r="934" spans="1:31" ht="16.5" customHeight="1" x14ac:dyDescent="0.85">
      <c r="A934" s="574"/>
      <c r="B934" s="574"/>
      <c r="C934" s="574"/>
      <c r="D934" s="574"/>
      <c r="E934" s="574"/>
      <c r="F934" s="574"/>
      <c r="G934" s="574"/>
      <c r="H934" s="574"/>
      <c r="I934" s="574"/>
      <c r="J934" s="574"/>
      <c r="K934" s="574"/>
      <c r="L934" s="574"/>
      <c r="M934" s="574"/>
      <c r="N934" s="574"/>
      <c r="O934" s="574"/>
      <c r="P934" s="574"/>
      <c r="Q934" s="574"/>
      <c r="R934" s="574"/>
      <c r="S934" s="574"/>
      <c r="T934" s="574"/>
      <c r="U934" s="574"/>
      <c r="V934" s="574"/>
      <c r="W934" s="574"/>
      <c r="X934" s="574"/>
      <c r="Y934" s="574"/>
      <c r="Z934" s="574"/>
      <c r="AA934" s="574"/>
      <c r="AB934" s="574"/>
      <c r="AC934" s="574"/>
      <c r="AD934" s="574"/>
      <c r="AE934" s="574"/>
    </row>
    <row r="935" spans="1:31" ht="16.5" customHeight="1" x14ac:dyDescent="0.85">
      <c r="A935" s="574"/>
      <c r="B935" s="574"/>
      <c r="C935" s="574"/>
      <c r="D935" s="574"/>
      <c r="E935" s="574"/>
      <c r="F935" s="574"/>
      <c r="G935" s="574"/>
      <c r="H935" s="574"/>
      <c r="I935" s="574"/>
      <c r="J935" s="574"/>
      <c r="K935" s="574"/>
      <c r="L935" s="574"/>
      <c r="M935" s="574"/>
      <c r="N935" s="574"/>
      <c r="O935" s="574"/>
      <c r="P935" s="574"/>
      <c r="Q935" s="574"/>
      <c r="R935" s="574"/>
      <c r="S935" s="574"/>
      <c r="T935" s="574"/>
      <c r="U935" s="574"/>
      <c r="V935" s="574"/>
      <c r="W935" s="574"/>
      <c r="X935" s="574"/>
      <c r="Y935" s="574"/>
      <c r="Z935" s="574"/>
      <c r="AA935" s="574"/>
      <c r="AB935" s="574"/>
      <c r="AC935" s="574"/>
      <c r="AD935" s="574"/>
      <c r="AE935" s="574"/>
    </row>
    <row r="936" spans="1:31" ht="16.5" customHeight="1" x14ac:dyDescent="0.85">
      <c r="A936" s="574"/>
      <c r="B936" s="574"/>
      <c r="C936" s="574"/>
      <c r="D936" s="574"/>
      <c r="E936" s="574"/>
      <c r="F936" s="574"/>
      <c r="G936" s="574"/>
      <c r="H936" s="574"/>
      <c r="I936" s="574"/>
      <c r="J936" s="574"/>
      <c r="K936" s="574"/>
      <c r="L936" s="574"/>
      <c r="M936" s="574"/>
      <c r="N936" s="574"/>
      <c r="O936" s="574"/>
      <c r="P936" s="574"/>
      <c r="Q936" s="574"/>
      <c r="R936" s="574"/>
      <c r="S936" s="574"/>
      <c r="T936" s="574"/>
      <c r="U936" s="574"/>
      <c r="V936" s="574"/>
      <c r="W936" s="574"/>
      <c r="X936" s="574"/>
      <c r="Y936" s="574"/>
      <c r="Z936" s="574"/>
      <c r="AA936" s="574"/>
      <c r="AB936" s="574"/>
      <c r="AC936" s="574"/>
      <c r="AD936" s="574"/>
      <c r="AE936" s="574"/>
    </row>
    <row r="937" spans="1:31" ht="16.5" customHeight="1" x14ac:dyDescent="0.85">
      <c r="A937" s="574"/>
      <c r="B937" s="574"/>
      <c r="C937" s="574"/>
      <c r="D937" s="574"/>
      <c r="E937" s="574"/>
      <c r="F937" s="574"/>
      <c r="G937" s="574"/>
      <c r="H937" s="574"/>
      <c r="I937" s="574"/>
      <c r="J937" s="574"/>
      <c r="K937" s="574"/>
      <c r="L937" s="574"/>
      <c r="M937" s="574"/>
      <c r="N937" s="574"/>
      <c r="O937" s="574"/>
      <c r="P937" s="574"/>
      <c r="Q937" s="574"/>
      <c r="R937" s="574"/>
      <c r="S937" s="574"/>
      <c r="T937" s="574"/>
      <c r="U937" s="574"/>
      <c r="V937" s="574"/>
      <c r="W937" s="574"/>
      <c r="X937" s="574"/>
      <c r="Y937" s="574"/>
      <c r="Z937" s="574"/>
      <c r="AA937" s="574"/>
      <c r="AB937" s="574"/>
      <c r="AC937" s="574"/>
      <c r="AD937" s="574"/>
      <c r="AE937" s="574"/>
    </row>
    <row r="938" spans="1:31" ht="16.5" customHeight="1" x14ac:dyDescent="0.85">
      <c r="A938" s="574"/>
      <c r="B938" s="574"/>
      <c r="C938" s="574"/>
      <c r="D938" s="574"/>
      <c r="E938" s="574"/>
      <c r="F938" s="574"/>
      <c r="G938" s="574"/>
      <c r="H938" s="574"/>
      <c r="I938" s="574"/>
      <c r="J938" s="574"/>
      <c r="K938" s="574"/>
      <c r="L938" s="574"/>
      <c r="M938" s="574"/>
      <c r="N938" s="574"/>
      <c r="O938" s="574"/>
      <c r="P938" s="574"/>
      <c r="Q938" s="574"/>
      <c r="R938" s="574"/>
      <c r="S938" s="574"/>
      <c r="T938" s="574"/>
      <c r="U938" s="574"/>
      <c r="V938" s="574"/>
      <c r="W938" s="574"/>
      <c r="X938" s="574"/>
      <c r="Y938" s="574"/>
      <c r="Z938" s="574"/>
      <c r="AA938" s="574"/>
      <c r="AB938" s="574"/>
      <c r="AC938" s="574"/>
      <c r="AD938" s="574"/>
      <c r="AE938" s="574"/>
    </row>
    <row r="939" spans="1:31" ht="16.5" customHeight="1" x14ac:dyDescent="0.85">
      <c r="A939" s="574"/>
      <c r="B939" s="574"/>
      <c r="C939" s="574"/>
      <c r="D939" s="574"/>
      <c r="E939" s="574"/>
      <c r="F939" s="574"/>
      <c r="G939" s="574"/>
      <c r="H939" s="574"/>
      <c r="I939" s="574"/>
      <c r="J939" s="574"/>
      <c r="K939" s="574"/>
      <c r="L939" s="574"/>
      <c r="M939" s="574"/>
      <c r="N939" s="574"/>
      <c r="O939" s="574"/>
      <c r="P939" s="574"/>
      <c r="Q939" s="574"/>
      <c r="R939" s="574"/>
      <c r="S939" s="574"/>
      <c r="T939" s="574"/>
      <c r="U939" s="574"/>
      <c r="V939" s="574"/>
      <c r="W939" s="574"/>
      <c r="X939" s="574"/>
      <c r="Y939" s="574"/>
      <c r="Z939" s="574"/>
      <c r="AA939" s="574"/>
      <c r="AB939" s="574"/>
      <c r="AC939" s="574"/>
      <c r="AD939" s="574"/>
      <c r="AE939" s="574"/>
    </row>
    <row r="940" spans="1:31" ht="16.5" customHeight="1" x14ac:dyDescent="0.85">
      <c r="A940" s="574"/>
      <c r="B940" s="574"/>
      <c r="C940" s="574"/>
      <c r="D940" s="574"/>
      <c r="E940" s="574"/>
      <c r="F940" s="574"/>
      <c r="G940" s="574"/>
      <c r="H940" s="574"/>
      <c r="I940" s="574"/>
      <c r="J940" s="574"/>
      <c r="K940" s="574"/>
      <c r="L940" s="574"/>
      <c r="M940" s="574"/>
      <c r="N940" s="574"/>
      <c r="O940" s="574"/>
      <c r="P940" s="574"/>
      <c r="Q940" s="574"/>
      <c r="R940" s="574"/>
      <c r="S940" s="574"/>
      <c r="T940" s="574"/>
      <c r="U940" s="574"/>
      <c r="V940" s="574"/>
      <c r="W940" s="574"/>
      <c r="X940" s="574"/>
      <c r="Y940" s="574"/>
      <c r="Z940" s="574"/>
      <c r="AA940" s="574"/>
      <c r="AB940" s="574"/>
      <c r="AC940" s="574"/>
      <c r="AD940" s="574"/>
      <c r="AE940" s="574"/>
    </row>
    <row r="941" spans="1:31" ht="16.5" customHeight="1" x14ac:dyDescent="0.85">
      <c r="A941" s="574"/>
      <c r="B941" s="574"/>
      <c r="C941" s="574"/>
      <c r="D941" s="574"/>
      <c r="E941" s="574"/>
      <c r="F941" s="574"/>
      <c r="G941" s="574"/>
      <c r="H941" s="574"/>
      <c r="I941" s="574"/>
      <c r="J941" s="574"/>
      <c r="K941" s="574"/>
      <c r="L941" s="574"/>
      <c r="M941" s="574"/>
      <c r="N941" s="574"/>
      <c r="O941" s="574"/>
      <c r="P941" s="574"/>
      <c r="Q941" s="574"/>
      <c r="R941" s="574"/>
      <c r="S941" s="574"/>
      <c r="T941" s="574"/>
      <c r="U941" s="574"/>
      <c r="V941" s="574"/>
      <c r="W941" s="574"/>
      <c r="X941" s="574"/>
      <c r="Y941" s="574"/>
      <c r="Z941" s="574"/>
      <c r="AA941" s="574"/>
      <c r="AB941" s="574"/>
      <c r="AC941" s="574"/>
      <c r="AD941" s="574"/>
      <c r="AE941" s="574"/>
    </row>
    <row r="942" spans="1:31" ht="16.5" customHeight="1" x14ac:dyDescent="0.85">
      <c r="A942" s="574"/>
      <c r="B942" s="574"/>
      <c r="C942" s="574"/>
      <c r="D942" s="574"/>
      <c r="E942" s="574"/>
      <c r="F942" s="574"/>
      <c r="G942" s="574"/>
      <c r="H942" s="574"/>
      <c r="I942" s="574"/>
      <c r="J942" s="574"/>
      <c r="K942" s="574"/>
      <c r="L942" s="574"/>
      <c r="M942" s="574"/>
      <c r="N942" s="574"/>
      <c r="O942" s="574"/>
      <c r="P942" s="574"/>
      <c r="Q942" s="574"/>
      <c r="R942" s="574"/>
      <c r="S942" s="574"/>
      <c r="T942" s="574"/>
      <c r="U942" s="574"/>
      <c r="V942" s="574"/>
      <c r="W942" s="574"/>
      <c r="X942" s="574"/>
      <c r="Y942" s="574"/>
      <c r="Z942" s="574"/>
      <c r="AA942" s="574"/>
      <c r="AB942" s="574"/>
      <c r="AC942" s="574"/>
      <c r="AD942" s="574"/>
      <c r="AE942" s="574"/>
    </row>
    <row r="943" spans="1:31" ht="16.5" customHeight="1" x14ac:dyDescent="0.85">
      <c r="A943" s="574"/>
      <c r="B943" s="574"/>
      <c r="C943" s="574"/>
      <c r="D943" s="574"/>
      <c r="E943" s="574"/>
      <c r="F943" s="574"/>
      <c r="G943" s="574"/>
      <c r="H943" s="574"/>
      <c r="I943" s="574"/>
      <c r="J943" s="574"/>
      <c r="K943" s="574"/>
      <c r="L943" s="574"/>
      <c r="M943" s="574"/>
      <c r="N943" s="574"/>
      <c r="O943" s="574"/>
      <c r="P943" s="574"/>
      <c r="Q943" s="574"/>
      <c r="R943" s="574"/>
      <c r="S943" s="574"/>
      <c r="T943" s="574"/>
      <c r="U943" s="574"/>
      <c r="V943" s="574"/>
      <c r="W943" s="574"/>
      <c r="X943" s="574"/>
      <c r="Y943" s="574"/>
      <c r="Z943" s="574"/>
      <c r="AA943" s="574"/>
      <c r="AB943" s="574"/>
      <c r="AC943" s="574"/>
      <c r="AD943" s="574"/>
      <c r="AE943" s="574"/>
    </row>
    <row r="944" spans="1:31" ht="16.5" customHeight="1" x14ac:dyDescent="0.85">
      <c r="A944" s="574"/>
      <c r="B944" s="574"/>
      <c r="C944" s="574"/>
      <c r="D944" s="574"/>
      <c r="E944" s="574"/>
      <c r="F944" s="574"/>
      <c r="G944" s="574"/>
      <c r="H944" s="574"/>
      <c r="I944" s="574"/>
      <c r="J944" s="574"/>
      <c r="K944" s="574"/>
      <c r="L944" s="574"/>
      <c r="M944" s="574"/>
      <c r="N944" s="574"/>
      <c r="O944" s="574"/>
      <c r="P944" s="574"/>
      <c r="Q944" s="574"/>
      <c r="R944" s="574"/>
      <c r="S944" s="574"/>
      <c r="T944" s="574"/>
      <c r="U944" s="574"/>
      <c r="V944" s="574"/>
      <c r="W944" s="574"/>
      <c r="X944" s="574"/>
      <c r="Y944" s="574"/>
      <c r="Z944" s="574"/>
      <c r="AA944" s="574"/>
      <c r="AB944" s="574"/>
      <c r="AC944" s="574"/>
      <c r="AD944" s="574"/>
      <c r="AE944" s="574"/>
    </row>
    <row r="945" spans="1:31" ht="16.5" customHeight="1" x14ac:dyDescent="0.85">
      <c r="A945" s="574"/>
      <c r="B945" s="574"/>
      <c r="C945" s="574"/>
      <c r="D945" s="574"/>
      <c r="E945" s="574"/>
      <c r="F945" s="574"/>
      <c r="G945" s="574"/>
      <c r="H945" s="574"/>
      <c r="I945" s="574"/>
      <c r="J945" s="574"/>
      <c r="K945" s="574"/>
      <c r="L945" s="574"/>
      <c r="M945" s="574"/>
      <c r="N945" s="574"/>
      <c r="O945" s="574"/>
      <c r="P945" s="574"/>
      <c r="Q945" s="574"/>
      <c r="R945" s="574"/>
      <c r="S945" s="574"/>
      <c r="T945" s="574"/>
      <c r="U945" s="574"/>
      <c r="V945" s="574"/>
      <c r="W945" s="574"/>
      <c r="X945" s="574"/>
      <c r="Y945" s="574"/>
      <c r="Z945" s="574"/>
      <c r="AA945" s="574"/>
      <c r="AB945" s="574"/>
      <c r="AC945" s="574"/>
      <c r="AD945" s="574"/>
      <c r="AE945" s="574"/>
    </row>
    <row r="946" spans="1:31" ht="16.5" customHeight="1" x14ac:dyDescent="0.85">
      <c r="A946" s="574"/>
      <c r="B946" s="574"/>
      <c r="C946" s="574"/>
      <c r="D946" s="574"/>
      <c r="E946" s="574"/>
      <c r="F946" s="574"/>
      <c r="G946" s="574"/>
      <c r="H946" s="574"/>
      <c r="I946" s="574"/>
      <c r="J946" s="574"/>
      <c r="K946" s="574"/>
      <c r="L946" s="574"/>
      <c r="M946" s="574"/>
      <c r="N946" s="574"/>
      <c r="O946" s="574"/>
      <c r="P946" s="574"/>
      <c r="Q946" s="574"/>
      <c r="R946" s="574"/>
      <c r="S946" s="574"/>
      <c r="T946" s="574"/>
      <c r="U946" s="574"/>
      <c r="V946" s="574"/>
      <c r="W946" s="574"/>
      <c r="X946" s="574"/>
      <c r="Y946" s="574"/>
      <c r="Z946" s="574"/>
      <c r="AA946" s="574"/>
      <c r="AB946" s="574"/>
      <c r="AC946" s="574"/>
      <c r="AD946" s="574"/>
      <c r="AE946" s="574"/>
    </row>
    <row r="947" spans="1:31" ht="16.5" customHeight="1" x14ac:dyDescent="0.85">
      <c r="A947" s="574"/>
      <c r="B947" s="574"/>
      <c r="C947" s="574"/>
      <c r="D947" s="574"/>
      <c r="E947" s="574"/>
      <c r="F947" s="574"/>
      <c r="G947" s="574"/>
      <c r="H947" s="574"/>
      <c r="I947" s="574"/>
      <c r="J947" s="574"/>
      <c r="K947" s="574"/>
      <c r="L947" s="574"/>
      <c r="M947" s="574"/>
      <c r="N947" s="574"/>
      <c r="O947" s="574"/>
      <c r="P947" s="574"/>
      <c r="Q947" s="574"/>
      <c r="R947" s="574"/>
      <c r="S947" s="574"/>
      <c r="T947" s="574"/>
      <c r="U947" s="574"/>
      <c r="V947" s="574"/>
      <c r="W947" s="574"/>
      <c r="X947" s="574"/>
      <c r="Y947" s="574"/>
      <c r="Z947" s="574"/>
      <c r="AA947" s="574"/>
      <c r="AB947" s="574"/>
      <c r="AC947" s="574"/>
      <c r="AD947" s="574"/>
      <c r="AE947" s="574"/>
    </row>
    <row r="948" spans="1:31" ht="16.5" customHeight="1" x14ac:dyDescent="0.85">
      <c r="A948" s="574"/>
      <c r="B948" s="574"/>
      <c r="C948" s="574"/>
      <c r="D948" s="574"/>
      <c r="E948" s="574"/>
      <c r="F948" s="574"/>
      <c r="G948" s="574"/>
      <c r="H948" s="574"/>
      <c r="I948" s="574"/>
      <c r="J948" s="574"/>
      <c r="K948" s="574"/>
      <c r="L948" s="574"/>
      <c r="M948" s="574"/>
      <c r="N948" s="574"/>
      <c r="O948" s="574"/>
      <c r="P948" s="574"/>
      <c r="Q948" s="574"/>
      <c r="R948" s="574"/>
      <c r="S948" s="574"/>
      <c r="T948" s="574"/>
      <c r="U948" s="574"/>
      <c r="V948" s="574"/>
      <c r="W948" s="574"/>
      <c r="X948" s="574"/>
      <c r="Y948" s="574"/>
      <c r="Z948" s="574"/>
      <c r="AA948" s="574"/>
      <c r="AB948" s="574"/>
      <c r="AC948" s="574"/>
      <c r="AD948" s="574"/>
      <c r="AE948" s="574"/>
    </row>
    <row r="949" spans="1:31" ht="16.5" customHeight="1" x14ac:dyDescent="0.85">
      <c r="A949" s="574"/>
      <c r="B949" s="574"/>
      <c r="C949" s="574"/>
      <c r="D949" s="574"/>
      <c r="E949" s="574"/>
      <c r="F949" s="574"/>
      <c r="G949" s="574"/>
      <c r="H949" s="574"/>
      <c r="I949" s="574"/>
      <c r="J949" s="574"/>
      <c r="K949" s="574"/>
      <c r="L949" s="574"/>
      <c r="M949" s="574"/>
      <c r="N949" s="574"/>
      <c r="O949" s="574"/>
      <c r="P949" s="574"/>
      <c r="Q949" s="574"/>
      <c r="R949" s="574"/>
      <c r="S949" s="574"/>
      <c r="T949" s="574"/>
      <c r="U949" s="574"/>
      <c r="V949" s="574"/>
      <c r="W949" s="574"/>
      <c r="X949" s="574"/>
      <c r="Y949" s="574"/>
      <c r="Z949" s="574"/>
      <c r="AA949" s="574"/>
      <c r="AB949" s="574"/>
      <c r="AC949" s="574"/>
      <c r="AD949" s="574"/>
      <c r="AE949" s="574"/>
    </row>
    <row r="950" spans="1:31" ht="16.5" customHeight="1" x14ac:dyDescent="0.85">
      <c r="A950" s="574"/>
      <c r="B950" s="574"/>
      <c r="C950" s="574"/>
      <c r="D950" s="574"/>
      <c r="E950" s="574"/>
      <c r="F950" s="574"/>
      <c r="G950" s="574"/>
      <c r="H950" s="574"/>
      <c r="I950" s="574"/>
      <c r="J950" s="574"/>
      <c r="K950" s="574"/>
      <c r="L950" s="574"/>
      <c r="M950" s="574"/>
      <c r="N950" s="574"/>
      <c r="O950" s="574"/>
      <c r="P950" s="574"/>
      <c r="Q950" s="574"/>
      <c r="R950" s="574"/>
      <c r="S950" s="574"/>
      <c r="T950" s="574"/>
      <c r="U950" s="574"/>
      <c r="V950" s="574"/>
      <c r="W950" s="574"/>
      <c r="X950" s="574"/>
      <c r="Y950" s="574"/>
      <c r="Z950" s="574"/>
      <c r="AA950" s="574"/>
      <c r="AB950" s="574"/>
      <c r="AC950" s="574"/>
      <c r="AD950" s="574"/>
      <c r="AE950" s="574"/>
    </row>
    <row r="951" spans="1:31" ht="16.5" customHeight="1" x14ac:dyDescent="0.85">
      <c r="A951" s="574"/>
      <c r="B951" s="574"/>
      <c r="C951" s="574"/>
      <c r="D951" s="574"/>
      <c r="E951" s="574"/>
      <c r="F951" s="574"/>
      <c r="G951" s="574"/>
      <c r="H951" s="574"/>
      <c r="I951" s="574"/>
      <c r="J951" s="574"/>
      <c r="K951" s="574"/>
      <c r="L951" s="574"/>
      <c r="M951" s="574"/>
      <c r="N951" s="574"/>
      <c r="O951" s="574"/>
      <c r="P951" s="574"/>
      <c r="Q951" s="574"/>
      <c r="R951" s="574"/>
      <c r="S951" s="574"/>
      <c r="T951" s="574"/>
      <c r="U951" s="574"/>
      <c r="V951" s="574"/>
      <c r="W951" s="574"/>
      <c r="X951" s="574"/>
      <c r="Y951" s="574"/>
      <c r="Z951" s="574"/>
      <c r="AA951" s="574"/>
      <c r="AB951" s="574"/>
      <c r="AC951" s="574"/>
      <c r="AD951" s="574"/>
      <c r="AE951" s="574"/>
    </row>
    <row r="952" spans="1:31" ht="16.5" customHeight="1" x14ac:dyDescent="0.85">
      <c r="A952" s="574"/>
      <c r="B952" s="574"/>
      <c r="C952" s="574"/>
      <c r="D952" s="574"/>
      <c r="E952" s="574"/>
      <c r="F952" s="574"/>
      <c r="G952" s="574"/>
      <c r="H952" s="574"/>
      <c r="I952" s="574"/>
      <c r="J952" s="574"/>
      <c r="K952" s="574"/>
      <c r="L952" s="574"/>
      <c r="M952" s="574"/>
      <c r="N952" s="574"/>
      <c r="O952" s="574"/>
      <c r="P952" s="574"/>
      <c r="Q952" s="574"/>
      <c r="R952" s="574"/>
      <c r="S952" s="574"/>
      <c r="T952" s="574"/>
      <c r="U952" s="574"/>
      <c r="V952" s="574"/>
      <c r="W952" s="574"/>
      <c r="X952" s="574"/>
      <c r="Y952" s="574"/>
      <c r="Z952" s="574"/>
      <c r="AA952" s="574"/>
      <c r="AB952" s="574"/>
      <c r="AC952" s="574"/>
      <c r="AD952" s="574"/>
      <c r="AE952" s="574"/>
    </row>
    <row r="953" spans="1:31" ht="16.5" customHeight="1" x14ac:dyDescent="0.85">
      <c r="A953" s="574"/>
      <c r="B953" s="574"/>
      <c r="C953" s="574"/>
      <c r="D953" s="574"/>
      <c r="E953" s="574"/>
      <c r="F953" s="574"/>
      <c r="G953" s="574"/>
      <c r="H953" s="574"/>
      <c r="I953" s="574"/>
      <c r="J953" s="574"/>
      <c r="K953" s="574"/>
      <c r="L953" s="574"/>
      <c r="M953" s="574"/>
      <c r="N953" s="574"/>
      <c r="O953" s="574"/>
      <c r="P953" s="574"/>
      <c r="Q953" s="574"/>
      <c r="R953" s="574"/>
      <c r="S953" s="574"/>
      <c r="T953" s="574"/>
      <c r="U953" s="574"/>
      <c r="V953" s="574"/>
      <c r="W953" s="574"/>
      <c r="X953" s="574"/>
      <c r="Y953" s="574"/>
      <c r="Z953" s="574"/>
      <c r="AA953" s="574"/>
      <c r="AB953" s="574"/>
      <c r="AC953" s="574"/>
      <c r="AD953" s="574"/>
      <c r="AE953" s="574"/>
    </row>
    <row r="954" spans="1:31" ht="16.5" customHeight="1" x14ac:dyDescent="0.85">
      <c r="A954" s="574"/>
      <c r="B954" s="574"/>
      <c r="C954" s="574"/>
      <c r="D954" s="574"/>
      <c r="E954" s="574"/>
      <c r="F954" s="574"/>
      <c r="G954" s="574"/>
      <c r="H954" s="574"/>
      <c r="I954" s="574"/>
      <c r="J954" s="574"/>
      <c r="K954" s="574"/>
      <c r="L954" s="574"/>
      <c r="M954" s="574"/>
      <c r="N954" s="574"/>
      <c r="O954" s="574"/>
      <c r="P954" s="574"/>
      <c r="Q954" s="574"/>
      <c r="R954" s="574"/>
      <c r="S954" s="574"/>
      <c r="T954" s="574"/>
      <c r="U954" s="574"/>
      <c r="V954" s="574"/>
      <c r="W954" s="574"/>
      <c r="X954" s="574"/>
      <c r="Y954" s="574"/>
      <c r="Z954" s="574"/>
      <c r="AA954" s="574"/>
      <c r="AB954" s="574"/>
      <c r="AC954" s="574"/>
      <c r="AD954" s="574"/>
      <c r="AE954" s="574"/>
    </row>
    <row r="955" spans="1:31" ht="16.5" customHeight="1" x14ac:dyDescent="0.85">
      <c r="A955" s="574"/>
      <c r="B955" s="574"/>
      <c r="C955" s="574"/>
      <c r="D955" s="574"/>
      <c r="E955" s="574"/>
      <c r="F955" s="574"/>
      <c r="G955" s="574"/>
      <c r="H955" s="574"/>
      <c r="I955" s="574"/>
      <c r="J955" s="574"/>
      <c r="K955" s="574"/>
      <c r="L955" s="574"/>
      <c r="M955" s="574"/>
      <c r="N955" s="574"/>
      <c r="O955" s="574"/>
      <c r="P955" s="574"/>
      <c r="Q955" s="574"/>
      <c r="R955" s="574"/>
      <c r="S955" s="574"/>
      <c r="T955" s="574"/>
      <c r="U955" s="574"/>
      <c r="V955" s="574"/>
      <c r="W955" s="574"/>
      <c r="X955" s="574"/>
      <c r="Y955" s="574"/>
      <c r="Z955" s="574"/>
      <c r="AA955" s="574"/>
      <c r="AB955" s="574"/>
      <c r="AC955" s="574"/>
      <c r="AD955" s="574"/>
      <c r="AE955" s="574"/>
    </row>
    <row r="956" spans="1:31" ht="16.5" customHeight="1" x14ac:dyDescent="0.85">
      <c r="A956" s="574"/>
      <c r="B956" s="574"/>
      <c r="C956" s="574"/>
      <c r="D956" s="574"/>
      <c r="E956" s="574"/>
      <c r="F956" s="574"/>
      <c r="G956" s="574"/>
      <c r="H956" s="574"/>
      <c r="I956" s="574"/>
      <c r="J956" s="574"/>
      <c r="K956" s="574"/>
      <c r="L956" s="574"/>
      <c r="M956" s="574"/>
      <c r="N956" s="574"/>
      <c r="O956" s="574"/>
      <c r="P956" s="574"/>
      <c r="Q956" s="574"/>
      <c r="R956" s="574"/>
      <c r="S956" s="574"/>
      <c r="T956" s="574"/>
      <c r="U956" s="574"/>
      <c r="V956" s="574"/>
      <c r="W956" s="574"/>
      <c r="X956" s="574"/>
      <c r="Y956" s="574"/>
      <c r="Z956" s="574"/>
      <c r="AA956" s="574"/>
      <c r="AB956" s="574"/>
      <c r="AC956" s="574"/>
      <c r="AD956" s="574"/>
      <c r="AE956" s="574"/>
    </row>
    <row r="957" spans="1:31" ht="16.5" customHeight="1" x14ac:dyDescent="0.85">
      <c r="A957" s="574"/>
      <c r="B957" s="574"/>
      <c r="C957" s="574"/>
      <c r="D957" s="574"/>
      <c r="E957" s="574"/>
      <c r="F957" s="574"/>
      <c r="G957" s="574"/>
      <c r="H957" s="574"/>
      <c r="I957" s="574"/>
      <c r="J957" s="574"/>
      <c r="K957" s="574"/>
      <c r="L957" s="574"/>
      <c r="M957" s="574"/>
      <c r="N957" s="574"/>
      <c r="O957" s="574"/>
      <c r="P957" s="574"/>
      <c r="Q957" s="574"/>
      <c r="R957" s="574"/>
      <c r="S957" s="574"/>
      <c r="T957" s="574"/>
      <c r="U957" s="574"/>
      <c r="V957" s="574"/>
      <c r="W957" s="574"/>
      <c r="X957" s="574"/>
      <c r="Y957" s="574"/>
      <c r="Z957" s="574"/>
      <c r="AA957" s="574"/>
      <c r="AB957" s="574"/>
      <c r="AC957" s="574"/>
      <c r="AD957" s="574"/>
      <c r="AE957" s="574"/>
    </row>
    <row r="958" spans="1:31" ht="16.5" customHeight="1" x14ac:dyDescent="0.85">
      <c r="A958" s="574"/>
      <c r="B958" s="574"/>
      <c r="C958" s="574"/>
      <c r="D958" s="574"/>
      <c r="E958" s="574"/>
      <c r="F958" s="574"/>
      <c r="G958" s="574"/>
      <c r="H958" s="574"/>
      <c r="I958" s="574"/>
      <c r="J958" s="574"/>
      <c r="K958" s="574"/>
      <c r="L958" s="574"/>
      <c r="M958" s="574"/>
      <c r="N958" s="574"/>
      <c r="O958" s="574"/>
      <c r="P958" s="574"/>
      <c r="Q958" s="574"/>
      <c r="R958" s="574"/>
      <c r="S958" s="574"/>
      <c r="T958" s="574"/>
      <c r="U958" s="574"/>
      <c r="V958" s="574"/>
      <c r="W958" s="574"/>
      <c r="X958" s="574"/>
      <c r="Y958" s="574"/>
      <c r="Z958" s="574"/>
      <c r="AA958" s="574"/>
      <c r="AB958" s="574"/>
      <c r="AC958" s="574"/>
      <c r="AD958" s="574"/>
      <c r="AE958" s="574"/>
    </row>
    <row r="959" spans="1:31" ht="16.5" customHeight="1" x14ac:dyDescent="0.85">
      <c r="A959" s="574"/>
      <c r="B959" s="574"/>
      <c r="C959" s="574"/>
      <c r="D959" s="574"/>
      <c r="E959" s="574"/>
      <c r="F959" s="574"/>
      <c r="G959" s="574"/>
      <c r="H959" s="574"/>
      <c r="I959" s="574"/>
      <c r="J959" s="574"/>
      <c r="K959" s="574"/>
      <c r="L959" s="574"/>
      <c r="M959" s="574"/>
      <c r="N959" s="574"/>
      <c r="O959" s="574"/>
      <c r="P959" s="574"/>
      <c r="Q959" s="574"/>
      <c r="R959" s="574"/>
      <c r="S959" s="574"/>
      <c r="T959" s="574"/>
      <c r="U959" s="574"/>
      <c r="V959" s="574"/>
      <c r="W959" s="574"/>
      <c r="X959" s="574"/>
      <c r="Y959" s="574"/>
      <c r="Z959" s="574"/>
      <c r="AA959" s="574"/>
      <c r="AB959" s="574"/>
      <c r="AC959" s="574"/>
      <c r="AD959" s="574"/>
      <c r="AE959" s="574"/>
    </row>
    <row r="960" spans="1:31" ht="16.5" customHeight="1" x14ac:dyDescent="0.85">
      <c r="A960" s="574"/>
      <c r="B960" s="574"/>
      <c r="C960" s="574"/>
      <c r="D960" s="574"/>
      <c r="E960" s="574"/>
      <c r="F960" s="574"/>
      <c r="G960" s="574"/>
      <c r="H960" s="574"/>
      <c r="I960" s="574"/>
      <c r="J960" s="574"/>
      <c r="K960" s="574"/>
      <c r="L960" s="574"/>
      <c r="M960" s="574"/>
      <c r="N960" s="574"/>
      <c r="O960" s="574"/>
      <c r="P960" s="574"/>
      <c r="Q960" s="574"/>
      <c r="R960" s="574"/>
      <c r="S960" s="574"/>
      <c r="T960" s="574"/>
      <c r="U960" s="574"/>
      <c r="V960" s="574"/>
      <c r="W960" s="574"/>
      <c r="X960" s="574"/>
      <c r="Y960" s="574"/>
      <c r="Z960" s="574"/>
      <c r="AA960" s="574"/>
      <c r="AB960" s="574"/>
      <c r="AC960" s="574"/>
      <c r="AD960" s="574"/>
      <c r="AE960" s="574"/>
    </row>
    <row r="961" spans="1:31" ht="16.5" customHeight="1" x14ac:dyDescent="0.85">
      <c r="A961" s="574"/>
      <c r="B961" s="574"/>
      <c r="C961" s="574"/>
      <c r="D961" s="574"/>
      <c r="E961" s="574"/>
      <c r="F961" s="574"/>
      <c r="G961" s="574"/>
      <c r="H961" s="574"/>
      <c r="I961" s="574"/>
      <c r="J961" s="574"/>
      <c r="K961" s="574"/>
      <c r="L961" s="574"/>
      <c r="M961" s="574"/>
      <c r="N961" s="574"/>
      <c r="O961" s="574"/>
      <c r="P961" s="574"/>
      <c r="Q961" s="574"/>
      <c r="R961" s="574"/>
      <c r="S961" s="574"/>
      <c r="T961" s="574"/>
      <c r="U961" s="574"/>
      <c r="V961" s="574"/>
      <c r="W961" s="574"/>
      <c r="X961" s="574"/>
      <c r="Y961" s="574"/>
      <c r="Z961" s="574"/>
      <c r="AA961" s="574"/>
      <c r="AB961" s="574"/>
      <c r="AC961" s="574"/>
      <c r="AD961" s="574"/>
      <c r="AE961" s="574"/>
    </row>
    <row r="962" spans="1:31" ht="16.5" customHeight="1" x14ac:dyDescent="0.85">
      <c r="A962" s="574"/>
      <c r="B962" s="574"/>
      <c r="C962" s="574"/>
      <c r="D962" s="574"/>
      <c r="E962" s="574"/>
      <c r="F962" s="574"/>
      <c r="G962" s="574"/>
      <c r="H962" s="574"/>
      <c r="I962" s="574"/>
      <c r="J962" s="574"/>
      <c r="K962" s="574"/>
      <c r="L962" s="574"/>
      <c r="M962" s="574"/>
      <c r="N962" s="574"/>
      <c r="O962" s="574"/>
      <c r="P962" s="574"/>
      <c r="Q962" s="574"/>
      <c r="R962" s="574"/>
      <c r="S962" s="574"/>
      <c r="T962" s="574"/>
      <c r="U962" s="574"/>
      <c r="V962" s="574"/>
      <c r="W962" s="574"/>
      <c r="X962" s="574"/>
      <c r="Y962" s="574"/>
      <c r="Z962" s="574"/>
      <c r="AA962" s="574"/>
      <c r="AB962" s="574"/>
      <c r="AC962" s="574"/>
      <c r="AD962" s="574"/>
      <c r="AE962" s="574"/>
    </row>
    <row r="963" spans="1:31" ht="16.5" customHeight="1" x14ac:dyDescent="0.85">
      <c r="A963" s="574"/>
      <c r="B963" s="574"/>
      <c r="C963" s="574"/>
      <c r="D963" s="574"/>
      <c r="E963" s="574"/>
      <c r="F963" s="574"/>
      <c r="G963" s="574"/>
      <c r="H963" s="574"/>
      <c r="I963" s="574"/>
      <c r="J963" s="574"/>
      <c r="K963" s="574"/>
      <c r="L963" s="574"/>
      <c r="M963" s="574"/>
      <c r="N963" s="574"/>
      <c r="O963" s="574"/>
      <c r="P963" s="574"/>
      <c r="Q963" s="574"/>
      <c r="R963" s="574"/>
      <c r="S963" s="574"/>
      <c r="T963" s="574"/>
      <c r="U963" s="574"/>
      <c r="V963" s="574"/>
      <c r="W963" s="574"/>
      <c r="X963" s="574"/>
      <c r="Y963" s="574"/>
      <c r="Z963" s="574"/>
      <c r="AA963" s="574"/>
      <c r="AB963" s="574"/>
      <c r="AC963" s="574"/>
      <c r="AD963" s="574"/>
      <c r="AE963" s="574"/>
    </row>
    <row r="964" spans="1:31" ht="16.5" customHeight="1" x14ac:dyDescent="0.85">
      <c r="A964" s="574"/>
      <c r="B964" s="574"/>
      <c r="C964" s="574"/>
      <c r="D964" s="574"/>
      <c r="E964" s="574"/>
      <c r="F964" s="574"/>
      <c r="G964" s="574"/>
      <c r="H964" s="574"/>
      <c r="I964" s="574"/>
      <c r="J964" s="574"/>
      <c r="K964" s="574"/>
      <c r="L964" s="574"/>
      <c r="M964" s="574"/>
      <c r="N964" s="574"/>
      <c r="O964" s="574"/>
      <c r="P964" s="574"/>
      <c r="Q964" s="574"/>
      <c r="R964" s="574"/>
      <c r="S964" s="574"/>
      <c r="T964" s="574"/>
      <c r="U964" s="574"/>
      <c r="V964" s="574"/>
      <c r="W964" s="574"/>
      <c r="X964" s="574"/>
      <c r="Y964" s="574"/>
      <c r="Z964" s="574"/>
      <c r="AA964" s="574"/>
      <c r="AB964" s="574"/>
      <c r="AC964" s="574"/>
      <c r="AD964" s="574"/>
      <c r="AE964" s="574"/>
    </row>
    <row r="965" spans="1:31" ht="16.5" customHeight="1" x14ac:dyDescent="0.85">
      <c r="A965" s="574"/>
      <c r="B965" s="574"/>
      <c r="C965" s="574"/>
      <c r="D965" s="574"/>
      <c r="E965" s="574"/>
      <c r="F965" s="574"/>
      <c r="G965" s="574"/>
      <c r="H965" s="574"/>
      <c r="I965" s="574"/>
      <c r="J965" s="574"/>
      <c r="K965" s="574"/>
      <c r="L965" s="574"/>
      <c r="M965" s="574"/>
      <c r="N965" s="574"/>
      <c r="O965" s="574"/>
      <c r="P965" s="574"/>
      <c r="Q965" s="574"/>
      <c r="R965" s="574"/>
      <c r="S965" s="574"/>
      <c r="T965" s="574"/>
      <c r="U965" s="574"/>
      <c r="V965" s="574"/>
      <c r="W965" s="574"/>
      <c r="X965" s="574"/>
      <c r="Y965" s="574"/>
      <c r="Z965" s="574"/>
      <c r="AA965" s="574"/>
      <c r="AB965" s="574"/>
      <c r="AC965" s="574"/>
      <c r="AD965" s="574"/>
      <c r="AE965" s="574"/>
    </row>
    <row r="966" spans="1:31" ht="16.5" customHeight="1" x14ac:dyDescent="0.85">
      <c r="A966" s="574"/>
      <c r="B966" s="574"/>
      <c r="C966" s="574"/>
      <c r="D966" s="574"/>
      <c r="E966" s="574"/>
      <c r="F966" s="574"/>
      <c r="G966" s="574"/>
      <c r="H966" s="574"/>
      <c r="I966" s="574"/>
      <c r="J966" s="574"/>
      <c r="K966" s="574"/>
      <c r="L966" s="574"/>
      <c r="M966" s="574"/>
      <c r="N966" s="574"/>
      <c r="O966" s="574"/>
      <c r="P966" s="574"/>
      <c r="Q966" s="574"/>
      <c r="R966" s="574"/>
      <c r="S966" s="574"/>
      <c r="T966" s="574"/>
      <c r="U966" s="574"/>
      <c r="V966" s="574"/>
      <c r="W966" s="574"/>
      <c r="X966" s="574"/>
      <c r="Y966" s="574"/>
      <c r="Z966" s="574"/>
      <c r="AA966" s="574"/>
      <c r="AB966" s="574"/>
      <c r="AC966" s="574"/>
      <c r="AD966" s="574"/>
      <c r="AE966" s="574"/>
    </row>
    <row r="967" spans="1:31" ht="16.5" customHeight="1" x14ac:dyDescent="0.85">
      <c r="A967" s="574"/>
      <c r="B967" s="574"/>
      <c r="C967" s="574"/>
      <c r="D967" s="574"/>
      <c r="E967" s="574"/>
      <c r="F967" s="574"/>
      <c r="G967" s="574"/>
      <c r="H967" s="574"/>
      <c r="I967" s="574"/>
      <c r="J967" s="574"/>
      <c r="K967" s="574"/>
      <c r="L967" s="574"/>
      <c r="M967" s="574"/>
      <c r="N967" s="574"/>
      <c r="O967" s="574"/>
      <c r="P967" s="574"/>
      <c r="Q967" s="574"/>
      <c r="R967" s="574"/>
      <c r="S967" s="574"/>
      <c r="T967" s="574"/>
      <c r="U967" s="574"/>
      <c r="V967" s="574"/>
      <c r="W967" s="574"/>
      <c r="X967" s="574"/>
      <c r="Y967" s="574"/>
      <c r="Z967" s="574"/>
      <c r="AA967" s="574"/>
      <c r="AB967" s="574"/>
      <c r="AC967" s="574"/>
      <c r="AD967" s="574"/>
      <c r="AE967" s="574"/>
    </row>
    <row r="968" spans="1:31" ht="16.5" customHeight="1" x14ac:dyDescent="0.85">
      <c r="A968" s="574"/>
      <c r="B968" s="574"/>
      <c r="C968" s="574"/>
      <c r="D968" s="574"/>
      <c r="E968" s="574"/>
      <c r="F968" s="574"/>
      <c r="G968" s="574"/>
      <c r="H968" s="574"/>
      <c r="I968" s="574"/>
      <c r="J968" s="574"/>
      <c r="K968" s="574"/>
      <c r="L968" s="574"/>
      <c r="M968" s="574"/>
      <c r="N968" s="574"/>
      <c r="O968" s="574"/>
      <c r="P968" s="574"/>
      <c r="Q968" s="574"/>
      <c r="R968" s="574"/>
      <c r="S968" s="574"/>
      <c r="T968" s="574"/>
      <c r="U968" s="574"/>
      <c r="V968" s="574"/>
      <c r="W968" s="574"/>
      <c r="X968" s="574"/>
      <c r="Y968" s="574"/>
      <c r="Z968" s="574"/>
      <c r="AA968" s="574"/>
      <c r="AB968" s="574"/>
      <c r="AC968" s="574"/>
      <c r="AD968" s="574"/>
      <c r="AE968" s="574"/>
    </row>
    <row r="969" spans="1:31" ht="16.5" customHeight="1" x14ac:dyDescent="0.85">
      <c r="A969" s="574"/>
      <c r="B969" s="574"/>
      <c r="C969" s="574"/>
      <c r="D969" s="574"/>
      <c r="E969" s="574"/>
      <c r="F969" s="574"/>
      <c r="G969" s="574"/>
      <c r="H969" s="574"/>
      <c r="I969" s="574"/>
      <c r="J969" s="574"/>
      <c r="K969" s="574"/>
      <c r="L969" s="574"/>
      <c r="M969" s="574"/>
      <c r="N969" s="574"/>
      <c r="O969" s="574"/>
      <c r="P969" s="574"/>
      <c r="Q969" s="574"/>
      <c r="R969" s="574"/>
      <c r="S969" s="574"/>
      <c r="T969" s="574"/>
      <c r="U969" s="574"/>
      <c r="V969" s="574"/>
      <c r="W969" s="574"/>
      <c r="X969" s="574"/>
      <c r="Y969" s="574"/>
      <c r="Z969" s="574"/>
      <c r="AA969" s="574"/>
      <c r="AB969" s="574"/>
      <c r="AC969" s="574"/>
      <c r="AD969" s="574"/>
      <c r="AE969" s="574"/>
    </row>
    <row r="970" spans="1:31" ht="16.5" customHeight="1" x14ac:dyDescent="0.85">
      <c r="A970" s="574"/>
      <c r="B970" s="574"/>
      <c r="C970" s="574"/>
      <c r="D970" s="574"/>
      <c r="E970" s="574"/>
      <c r="F970" s="574"/>
      <c r="G970" s="574"/>
      <c r="H970" s="574"/>
      <c r="I970" s="574"/>
      <c r="J970" s="574"/>
      <c r="K970" s="574"/>
      <c r="L970" s="574"/>
      <c r="M970" s="574"/>
      <c r="N970" s="574"/>
      <c r="O970" s="574"/>
      <c r="P970" s="574"/>
      <c r="Q970" s="574"/>
      <c r="R970" s="574"/>
      <c r="S970" s="574"/>
      <c r="T970" s="574"/>
      <c r="U970" s="574"/>
      <c r="V970" s="574"/>
      <c r="W970" s="574"/>
      <c r="X970" s="574"/>
      <c r="Y970" s="574"/>
      <c r="Z970" s="574"/>
      <c r="AA970" s="574"/>
      <c r="AB970" s="574"/>
      <c r="AC970" s="574"/>
      <c r="AD970" s="574"/>
      <c r="AE970" s="574"/>
    </row>
    <row r="971" spans="1:31" ht="16.5" customHeight="1" x14ac:dyDescent="0.85">
      <c r="A971" s="574"/>
      <c r="B971" s="574"/>
      <c r="C971" s="574"/>
      <c r="D971" s="574"/>
      <c r="E971" s="574"/>
      <c r="F971" s="574"/>
      <c r="G971" s="574"/>
      <c r="H971" s="574"/>
      <c r="I971" s="574"/>
      <c r="J971" s="574"/>
      <c r="K971" s="574"/>
      <c r="L971" s="574"/>
      <c r="M971" s="574"/>
      <c r="N971" s="574"/>
      <c r="O971" s="574"/>
      <c r="P971" s="574"/>
      <c r="Q971" s="574"/>
      <c r="R971" s="574"/>
      <c r="S971" s="574"/>
      <c r="T971" s="574"/>
      <c r="U971" s="574"/>
      <c r="V971" s="574"/>
      <c r="W971" s="574"/>
      <c r="X971" s="574"/>
      <c r="Y971" s="574"/>
      <c r="Z971" s="574"/>
      <c r="AA971" s="574"/>
      <c r="AB971" s="574"/>
      <c r="AC971" s="574"/>
      <c r="AD971" s="574"/>
      <c r="AE971" s="574"/>
    </row>
    <row r="972" spans="1:31" ht="16.5" customHeight="1" x14ac:dyDescent="0.85">
      <c r="A972" s="574"/>
      <c r="B972" s="574"/>
      <c r="C972" s="574"/>
      <c r="D972" s="574"/>
      <c r="E972" s="574"/>
      <c r="F972" s="574"/>
      <c r="G972" s="574"/>
      <c r="H972" s="574"/>
      <c r="I972" s="574"/>
      <c r="J972" s="574"/>
      <c r="K972" s="574"/>
      <c r="L972" s="574"/>
      <c r="M972" s="574"/>
      <c r="N972" s="574"/>
      <c r="O972" s="574"/>
      <c r="P972" s="574"/>
      <c r="Q972" s="574"/>
      <c r="R972" s="574"/>
      <c r="S972" s="574"/>
      <c r="T972" s="574"/>
      <c r="U972" s="574"/>
      <c r="V972" s="574"/>
      <c r="W972" s="574"/>
      <c r="X972" s="574"/>
      <c r="Y972" s="574"/>
      <c r="Z972" s="574"/>
      <c r="AA972" s="574"/>
      <c r="AB972" s="574"/>
      <c r="AC972" s="574"/>
      <c r="AD972" s="574"/>
      <c r="AE972" s="574"/>
    </row>
    <row r="973" spans="1:31" ht="16.5" customHeight="1" x14ac:dyDescent="0.85">
      <c r="A973" s="574"/>
      <c r="B973" s="574"/>
      <c r="C973" s="574"/>
      <c r="D973" s="574"/>
      <c r="E973" s="574"/>
      <c r="F973" s="574"/>
      <c r="G973" s="574"/>
      <c r="H973" s="574"/>
      <c r="I973" s="574"/>
      <c r="J973" s="574"/>
      <c r="K973" s="574"/>
      <c r="L973" s="574"/>
      <c r="M973" s="574"/>
      <c r="N973" s="574"/>
      <c r="O973" s="574"/>
      <c r="P973" s="574"/>
      <c r="Q973" s="574"/>
      <c r="R973" s="574"/>
      <c r="S973" s="574"/>
      <c r="T973" s="574"/>
      <c r="U973" s="574"/>
      <c r="V973" s="574"/>
      <c r="W973" s="574"/>
      <c r="X973" s="574"/>
      <c r="Y973" s="574"/>
      <c r="Z973" s="574"/>
      <c r="AA973" s="574"/>
      <c r="AB973" s="574"/>
      <c r="AC973" s="574"/>
      <c r="AD973" s="574"/>
      <c r="AE973" s="574"/>
    </row>
    <row r="974" spans="1:31" ht="16.5" customHeight="1" x14ac:dyDescent="0.85">
      <c r="A974" s="574"/>
      <c r="B974" s="574"/>
      <c r="C974" s="574"/>
      <c r="D974" s="574"/>
      <c r="E974" s="574"/>
      <c r="F974" s="574"/>
      <c r="G974" s="574"/>
      <c r="H974" s="574"/>
      <c r="I974" s="574"/>
      <c r="J974" s="574"/>
      <c r="K974" s="574"/>
      <c r="L974" s="574"/>
      <c r="M974" s="574"/>
      <c r="N974" s="574"/>
      <c r="O974" s="574"/>
      <c r="P974" s="574"/>
      <c r="Q974" s="574"/>
      <c r="R974" s="574"/>
      <c r="S974" s="574"/>
      <c r="T974" s="574"/>
      <c r="U974" s="574"/>
      <c r="V974" s="574"/>
      <c r="W974" s="574"/>
      <c r="X974" s="574"/>
      <c r="Y974" s="574"/>
      <c r="Z974" s="574"/>
      <c r="AA974" s="574"/>
      <c r="AB974" s="574"/>
      <c r="AC974" s="574"/>
      <c r="AD974" s="574"/>
      <c r="AE974" s="574"/>
    </row>
    <row r="975" spans="1:31" ht="16.5" customHeight="1" x14ac:dyDescent="0.85">
      <c r="A975" s="574"/>
      <c r="B975" s="574"/>
      <c r="C975" s="574"/>
      <c r="D975" s="574"/>
      <c r="E975" s="574"/>
      <c r="F975" s="574"/>
      <c r="G975" s="574"/>
      <c r="H975" s="574"/>
      <c r="I975" s="574"/>
      <c r="J975" s="574"/>
      <c r="K975" s="574"/>
      <c r="L975" s="574"/>
      <c r="M975" s="574"/>
      <c r="N975" s="574"/>
      <c r="O975" s="574"/>
      <c r="P975" s="574"/>
      <c r="Q975" s="574"/>
      <c r="R975" s="574"/>
      <c r="S975" s="574"/>
      <c r="T975" s="574"/>
      <c r="U975" s="574"/>
      <c r="V975" s="574"/>
      <c r="W975" s="574"/>
      <c r="X975" s="574"/>
      <c r="Y975" s="574"/>
      <c r="Z975" s="574"/>
      <c r="AA975" s="574"/>
      <c r="AB975" s="574"/>
      <c r="AC975" s="574"/>
      <c r="AD975" s="574"/>
      <c r="AE975" s="574"/>
    </row>
    <row r="976" spans="1:31" ht="16.5" customHeight="1" x14ac:dyDescent="0.85">
      <c r="A976" s="574"/>
      <c r="B976" s="574"/>
      <c r="C976" s="574"/>
      <c r="D976" s="574"/>
      <c r="E976" s="574"/>
      <c r="F976" s="574"/>
      <c r="G976" s="574"/>
      <c r="H976" s="574"/>
      <c r="I976" s="574"/>
      <c r="J976" s="574"/>
      <c r="K976" s="574"/>
      <c r="L976" s="574"/>
      <c r="M976" s="574"/>
      <c r="N976" s="574"/>
      <c r="O976" s="574"/>
      <c r="P976" s="574"/>
      <c r="Q976" s="574"/>
      <c r="R976" s="574"/>
      <c r="S976" s="574"/>
      <c r="T976" s="574"/>
      <c r="U976" s="574"/>
      <c r="V976" s="574"/>
      <c r="W976" s="574"/>
      <c r="X976" s="574"/>
      <c r="Y976" s="574"/>
      <c r="Z976" s="574"/>
      <c r="AA976" s="574"/>
      <c r="AB976" s="574"/>
      <c r="AC976" s="574"/>
      <c r="AD976" s="574"/>
      <c r="AE976" s="574"/>
    </row>
    <row r="977" spans="1:31" ht="16.5" customHeight="1" x14ac:dyDescent="0.85">
      <c r="A977" s="574"/>
      <c r="B977" s="574"/>
      <c r="C977" s="574"/>
      <c r="D977" s="574"/>
      <c r="E977" s="574"/>
      <c r="F977" s="574"/>
      <c r="G977" s="574"/>
      <c r="H977" s="574"/>
      <c r="I977" s="574"/>
      <c r="J977" s="574"/>
      <c r="K977" s="574"/>
      <c r="L977" s="574"/>
      <c r="M977" s="574"/>
      <c r="N977" s="574"/>
      <c r="O977" s="574"/>
      <c r="P977" s="574"/>
      <c r="Q977" s="574"/>
      <c r="R977" s="574"/>
      <c r="S977" s="574"/>
      <c r="T977" s="574"/>
      <c r="U977" s="574"/>
      <c r="V977" s="574"/>
      <c r="W977" s="574"/>
      <c r="X977" s="574"/>
      <c r="Y977" s="574"/>
      <c r="Z977" s="574"/>
      <c r="AA977" s="574"/>
      <c r="AB977" s="574"/>
      <c r="AC977" s="574"/>
      <c r="AD977" s="574"/>
      <c r="AE977" s="574"/>
    </row>
    <row r="978" spans="1:31" ht="16.5" customHeight="1" x14ac:dyDescent="0.85">
      <c r="A978" s="574"/>
      <c r="B978" s="574"/>
      <c r="C978" s="574"/>
      <c r="D978" s="574"/>
      <c r="E978" s="574"/>
      <c r="F978" s="574"/>
      <c r="G978" s="574"/>
      <c r="H978" s="574"/>
      <c r="I978" s="574"/>
      <c r="J978" s="574"/>
      <c r="K978" s="574"/>
      <c r="L978" s="574"/>
      <c r="M978" s="574"/>
      <c r="N978" s="574"/>
      <c r="O978" s="574"/>
      <c r="P978" s="574"/>
      <c r="Q978" s="574"/>
      <c r="R978" s="574"/>
      <c r="S978" s="574"/>
      <c r="T978" s="574"/>
      <c r="U978" s="574"/>
      <c r="V978" s="574"/>
      <c r="W978" s="574"/>
      <c r="X978" s="574"/>
      <c r="Y978" s="574"/>
      <c r="Z978" s="574"/>
      <c r="AA978" s="574"/>
      <c r="AB978" s="574"/>
      <c r="AC978" s="574"/>
      <c r="AD978" s="574"/>
      <c r="AE978" s="574"/>
    </row>
    <row r="979" spans="1:31" ht="16.5" customHeight="1" x14ac:dyDescent="0.85">
      <c r="A979" s="574"/>
      <c r="B979" s="574"/>
      <c r="C979" s="574"/>
      <c r="D979" s="574"/>
      <c r="E979" s="574"/>
      <c r="F979" s="574"/>
      <c r="G979" s="574"/>
      <c r="H979" s="574"/>
      <c r="I979" s="574"/>
      <c r="J979" s="574"/>
      <c r="K979" s="574"/>
      <c r="L979" s="574"/>
      <c r="M979" s="574"/>
      <c r="N979" s="574"/>
      <c r="O979" s="574"/>
      <c r="P979" s="574"/>
      <c r="Q979" s="574"/>
      <c r="R979" s="574"/>
      <c r="S979" s="574"/>
      <c r="T979" s="574"/>
      <c r="U979" s="574"/>
      <c r="V979" s="574"/>
      <c r="W979" s="574"/>
      <c r="X979" s="574"/>
      <c r="Y979" s="574"/>
      <c r="Z979" s="574"/>
      <c r="AA979" s="574"/>
      <c r="AB979" s="574"/>
      <c r="AC979" s="574"/>
      <c r="AD979" s="574"/>
      <c r="AE979" s="574"/>
    </row>
    <row r="980" spans="1:31" ht="16.5" customHeight="1" x14ac:dyDescent="0.85">
      <c r="A980" s="574"/>
      <c r="B980" s="574"/>
      <c r="C980" s="574"/>
      <c r="D980" s="574"/>
      <c r="E980" s="574"/>
      <c r="F980" s="574"/>
      <c r="G980" s="574"/>
      <c r="H980" s="574"/>
      <c r="I980" s="574"/>
      <c r="J980" s="574"/>
      <c r="K980" s="574"/>
      <c r="L980" s="574"/>
      <c r="M980" s="574"/>
      <c r="N980" s="574"/>
      <c r="O980" s="574"/>
      <c r="P980" s="574"/>
      <c r="Q980" s="574"/>
      <c r="R980" s="574"/>
      <c r="S980" s="574"/>
      <c r="T980" s="574"/>
      <c r="U980" s="574"/>
      <c r="V980" s="574"/>
      <c r="W980" s="574"/>
      <c r="X980" s="574"/>
      <c r="Y980" s="574"/>
      <c r="Z980" s="574"/>
      <c r="AA980" s="574"/>
      <c r="AB980" s="574"/>
      <c r="AC980" s="574"/>
      <c r="AD980" s="574"/>
      <c r="AE980" s="574"/>
    </row>
    <row r="981" spans="1:31" ht="16.5" customHeight="1" x14ac:dyDescent="0.85">
      <c r="A981" s="574"/>
      <c r="B981" s="574"/>
      <c r="C981" s="574"/>
      <c r="D981" s="574"/>
      <c r="E981" s="574"/>
      <c r="F981" s="574"/>
      <c r="G981" s="574"/>
      <c r="H981" s="574"/>
      <c r="I981" s="574"/>
      <c r="J981" s="574"/>
      <c r="K981" s="574"/>
      <c r="L981" s="574"/>
      <c r="M981" s="574"/>
      <c r="N981" s="574"/>
      <c r="O981" s="574"/>
      <c r="P981" s="574"/>
      <c r="Q981" s="574"/>
      <c r="R981" s="574"/>
      <c r="S981" s="574"/>
      <c r="T981" s="574"/>
      <c r="U981" s="574"/>
      <c r="V981" s="574"/>
      <c r="W981" s="574"/>
      <c r="X981" s="574"/>
      <c r="Y981" s="574"/>
      <c r="Z981" s="574"/>
      <c r="AA981" s="574"/>
      <c r="AB981" s="574"/>
      <c r="AC981" s="574"/>
      <c r="AD981" s="574"/>
      <c r="AE981" s="574"/>
    </row>
    <row r="982" spans="1:31" ht="16.5" customHeight="1" x14ac:dyDescent="0.85">
      <c r="A982" s="574"/>
      <c r="B982" s="574"/>
      <c r="C982" s="574"/>
      <c r="D982" s="574"/>
      <c r="E982" s="574"/>
      <c r="F982" s="574"/>
      <c r="G982" s="574"/>
      <c r="H982" s="574"/>
      <c r="I982" s="574"/>
      <c r="J982" s="574"/>
      <c r="K982" s="574"/>
      <c r="L982" s="574"/>
      <c r="M982" s="574"/>
      <c r="N982" s="574"/>
      <c r="O982" s="574"/>
      <c r="P982" s="574"/>
      <c r="Q982" s="574"/>
      <c r="R982" s="574"/>
      <c r="S982" s="574"/>
      <c r="T982" s="574"/>
      <c r="U982" s="574"/>
      <c r="V982" s="574"/>
      <c r="W982" s="574"/>
      <c r="X982" s="574"/>
      <c r="Y982" s="574"/>
      <c r="Z982" s="574"/>
      <c r="AA982" s="574"/>
      <c r="AB982" s="574"/>
      <c r="AC982" s="574"/>
      <c r="AD982" s="574"/>
      <c r="AE982" s="574"/>
    </row>
    <row r="983" spans="1:31" ht="16.5" customHeight="1" x14ac:dyDescent="0.85">
      <c r="A983" s="574"/>
      <c r="B983" s="574"/>
      <c r="C983" s="574"/>
      <c r="D983" s="574"/>
      <c r="E983" s="574"/>
      <c r="F983" s="574"/>
      <c r="G983" s="574"/>
      <c r="H983" s="574"/>
      <c r="I983" s="574"/>
      <c r="J983" s="574"/>
      <c r="K983" s="574"/>
      <c r="L983" s="574"/>
      <c r="M983" s="574"/>
      <c r="N983" s="574"/>
      <c r="O983" s="574"/>
      <c r="P983" s="574"/>
      <c r="Q983" s="574"/>
      <c r="R983" s="574"/>
      <c r="S983" s="574"/>
      <c r="T983" s="574"/>
      <c r="U983" s="574"/>
      <c r="V983" s="574"/>
      <c r="W983" s="574"/>
      <c r="X983" s="574"/>
      <c r="Y983" s="574"/>
      <c r="Z983" s="574"/>
      <c r="AA983" s="574"/>
      <c r="AB983" s="574"/>
      <c r="AC983" s="574"/>
      <c r="AD983" s="574"/>
      <c r="AE983" s="574"/>
    </row>
    <row r="984" spans="1:31" ht="16.5" customHeight="1" x14ac:dyDescent="0.85">
      <c r="A984" s="574"/>
      <c r="B984" s="574"/>
      <c r="C984" s="574"/>
      <c r="D984" s="574"/>
      <c r="E984" s="574"/>
      <c r="F984" s="574"/>
      <c r="G984" s="574"/>
      <c r="H984" s="574"/>
      <c r="I984" s="574"/>
      <c r="J984" s="574"/>
      <c r="K984" s="574"/>
      <c r="L984" s="574"/>
      <c r="M984" s="574"/>
      <c r="N984" s="574"/>
      <c r="O984" s="574"/>
      <c r="P984" s="574"/>
      <c r="Q984" s="574"/>
      <c r="R984" s="574"/>
      <c r="S984" s="574"/>
      <c r="T984" s="574"/>
      <c r="U984" s="574"/>
      <c r="V984" s="574"/>
      <c r="W984" s="574"/>
      <c r="X984" s="574"/>
      <c r="Y984" s="574"/>
      <c r="Z984" s="574"/>
      <c r="AA984" s="574"/>
      <c r="AB984" s="574"/>
      <c r="AC984" s="574"/>
      <c r="AD984" s="574"/>
      <c r="AE984" s="574"/>
    </row>
    <row r="985" spans="1:31" ht="16.5" customHeight="1" x14ac:dyDescent="0.85">
      <c r="A985" s="574"/>
      <c r="B985" s="574"/>
      <c r="C985" s="574"/>
      <c r="D985" s="574"/>
      <c r="E985" s="574"/>
      <c r="F985" s="574"/>
      <c r="G985" s="574"/>
      <c r="H985" s="574"/>
      <c r="I985" s="574"/>
      <c r="J985" s="574"/>
      <c r="K985" s="574"/>
      <c r="L985" s="574"/>
      <c r="M985" s="574"/>
      <c r="N985" s="574"/>
      <c r="O985" s="574"/>
      <c r="P985" s="574"/>
      <c r="Q985" s="574"/>
      <c r="R985" s="574"/>
      <c r="S985" s="574"/>
      <c r="T985" s="574"/>
      <c r="U985" s="574"/>
      <c r="V985" s="574"/>
      <c r="W985" s="574"/>
      <c r="X985" s="574"/>
      <c r="Y985" s="574"/>
      <c r="Z985" s="574"/>
      <c r="AA985" s="574"/>
      <c r="AB985" s="574"/>
      <c r="AC985" s="574"/>
      <c r="AD985" s="574"/>
      <c r="AE985" s="574"/>
    </row>
    <row r="986" spans="1:31" ht="16.5" customHeight="1" x14ac:dyDescent="0.85">
      <c r="A986" s="574"/>
      <c r="B986" s="574"/>
      <c r="C986" s="574"/>
      <c r="D986" s="574"/>
      <c r="E986" s="574"/>
      <c r="F986" s="574"/>
      <c r="G986" s="574"/>
      <c r="H986" s="574"/>
      <c r="I986" s="574"/>
      <c r="J986" s="574"/>
      <c r="K986" s="574"/>
      <c r="L986" s="574"/>
      <c r="M986" s="574"/>
      <c r="N986" s="574"/>
      <c r="O986" s="574"/>
      <c r="P986" s="574"/>
      <c r="Q986" s="574"/>
      <c r="R986" s="574"/>
      <c r="S986" s="574"/>
      <c r="T986" s="574"/>
      <c r="U986" s="574"/>
      <c r="V986" s="574"/>
      <c r="W986" s="574"/>
      <c r="X986" s="574"/>
      <c r="Y986" s="574"/>
      <c r="Z986" s="574"/>
      <c r="AA986" s="574"/>
      <c r="AB986" s="574"/>
      <c r="AC986" s="574"/>
      <c r="AD986" s="574"/>
      <c r="AE986" s="574"/>
    </row>
    <row r="987" spans="1:31" ht="16.5" customHeight="1" x14ac:dyDescent="0.85">
      <c r="A987" s="574"/>
      <c r="B987" s="574"/>
      <c r="C987" s="574"/>
      <c r="D987" s="574"/>
      <c r="E987" s="574"/>
      <c r="F987" s="574"/>
      <c r="G987" s="574"/>
      <c r="H987" s="574"/>
      <c r="I987" s="574"/>
      <c r="J987" s="574"/>
      <c r="K987" s="574"/>
      <c r="L987" s="574"/>
      <c r="M987" s="574"/>
      <c r="N987" s="574"/>
      <c r="O987" s="574"/>
      <c r="P987" s="574"/>
      <c r="Q987" s="574"/>
      <c r="R987" s="574"/>
      <c r="S987" s="574"/>
      <c r="T987" s="574"/>
      <c r="U987" s="574"/>
      <c r="V987" s="574"/>
      <c r="W987" s="574"/>
      <c r="X987" s="574"/>
      <c r="Y987" s="574"/>
      <c r="Z987" s="574"/>
      <c r="AA987" s="574"/>
      <c r="AB987" s="574"/>
      <c r="AC987" s="574"/>
      <c r="AD987" s="574"/>
      <c r="AE987" s="574"/>
    </row>
    <row r="988" spans="1:31" ht="16.5" customHeight="1" x14ac:dyDescent="0.85">
      <c r="A988" s="574"/>
      <c r="B988" s="574"/>
      <c r="C988" s="574"/>
      <c r="D988" s="574"/>
      <c r="E988" s="574"/>
      <c r="F988" s="574"/>
      <c r="G988" s="574"/>
      <c r="H988" s="574"/>
      <c r="I988" s="574"/>
      <c r="J988" s="574"/>
      <c r="K988" s="574"/>
      <c r="L988" s="574"/>
      <c r="M988" s="574"/>
      <c r="N988" s="574"/>
      <c r="O988" s="574"/>
      <c r="P988" s="574"/>
      <c r="Q988" s="574"/>
      <c r="R988" s="574"/>
      <c r="S988" s="574"/>
      <c r="T988" s="574"/>
      <c r="U988" s="574"/>
      <c r="V988" s="574"/>
      <c r="W988" s="574"/>
      <c r="X988" s="574"/>
      <c r="Y988" s="574"/>
      <c r="Z988" s="574"/>
      <c r="AA988" s="574"/>
      <c r="AB988" s="574"/>
      <c r="AC988" s="574"/>
      <c r="AD988" s="574"/>
      <c r="AE988" s="574"/>
    </row>
    <row r="989" spans="1:31" ht="16.5" customHeight="1" x14ac:dyDescent="0.85">
      <c r="A989" s="574"/>
      <c r="B989" s="574"/>
      <c r="C989" s="574"/>
      <c r="D989" s="574"/>
      <c r="E989" s="574"/>
      <c r="F989" s="574"/>
      <c r="G989" s="574"/>
      <c r="H989" s="574"/>
      <c r="I989" s="574"/>
      <c r="J989" s="574"/>
      <c r="K989" s="574"/>
      <c r="L989" s="574"/>
      <c r="M989" s="574"/>
      <c r="N989" s="574"/>
      <c r="O989" s="574"/>
      <c r="P989" s="574"/>
      <c r="Q989" s="574"/>
      <c r="R989" s="574"/>
      <c r="S989" s="574"/>
      <c r="T989" s="574"/>
      <c r="U989" s="574"/>
      <c r="V989" s="574"/>
      <c r="W989" s="574"/>
      <c r="X989" s="574"/>
      <c r="Y989" s="574"/>
      <c r="Z989" s="574"/>
      <c r="AA989" s="574"/>
      <c r="AB989" s="574"/>
      <c r="AC989" s="574"/>
      <c r="AD989" s="574"/>
      <c r="AE989" s="574"/>
    </row>
    <row r="990" spans="1:31" ht="16.5" customHeight="1" x14ac:dyDescent="0.85">
      <c r="A990" s="574"/>
      <c r="B990" s="574"/>
      <c r="C990" s="574"/>
      <c r="D990" s="574"/>
      <c r="E990" s="574"/>
      <c r="F990" s="574"/>
      <c r="G990" s="574"/>
      <c r="H990" s="574"/>
      <c r="I990" s="574"/>
      <c r="J990" s="574"/>
      <c r="K990" s="574"/>
      <c r="L990" s="574"/>
      <c r="M990" s="574"/>
      <c r="N990" s="574"/>
      <c r="O990" s="574"/>
      <c r="P990" s="574"/>
      <c r="Q990" s="574"/>
      <c r="R990" s="574"/>
      <c r="S990" s="574"/>
      <c r="T990" s="574"/>
      <c r="U990" s="574"/>
      <c r="V990" s="574"/>
      <c r="W990" s="574"/>
      <c r="X990" s="574"/>
      <c r="Y990" s="574"/>
      <c r="Z990" s="574"/>
      <c r="AA990" s="574"/>
      <c r="AB990" s="574"/>
      <c r="AC990" s="574"/>
      <c r="AD990" s="574"/>
      <c r="AE990" s="574"/>
    </row>
    <row r="991" spans="1:31" ht="16.5" customHeight="1" x14ac:dyDescent="0.85">
      <c r="A991" s="574"/>
      <c r="B991" s="574"/>
      <c r="C991" s="574"/>
      <c r="D991" s="574"/>
      <c r="E991" s="574"/>
      <c r="F991" s="574"/>
      <c r="G991" s="574"/>
      <c r="H991" s="574"/>
      <c r="I991" s="574"/>
      <c r="J991" s="574"/>
      <c r="K991" s="574"/>
      <c r="L991" s="574"/>
      <c r="M991" s="574"/>
      <c r="N991" s="574"/>
      <c r="O991" s="574"/>
      <c r="P991" s="574"/>
      <c r="Q991" s="574"/>
      <c r="R991" s="574"/>
      <c r="S991" s="574"/>
      <c r="T991" s="574"/>
      <c r="U991" s="574"/>
      <c r="V991" s="574"/>
      <c r="W991" s="574"/>
      <c r="X991" s="574"/>
      <c r="Y991" s="574"/>
      <c r="Z991" s="574"/>
      <c r="AA991" s="574"/>
      <c r="AB991" s="574"/>
      <c r="AC991" s="574"/>
      <c r="AD991" s="574"/>
      <c r="AE991" s="574"/>
    </row>
    <row r="992" spans="1:31" ht="16.5" customHeight="1" x14ac:dyDescent="0.85">
      <c r="A992" s="574"/>
      <c r="B992" s="574"/>
      <c r="C992" s="574"/>
      <c r="D992" s="574"/>
      <c r="E992" s="574"/>
      <c r="F992" s="574"/>
      <c r="G992" s="574"/>
      <c r="H992" s="574"/>
      <c r="I992" s="574"/>
      <c r="J992" s="574"/>
      <c r="K992" s="574"/>
      <c r="L992" s="574"/>
      <c r="M992" s="574"/>
      <c r="N992" s="574"/>
      <c r="O992" s="574"/>
      <c r="P992" s="574"/>
      <c r="Q992" s="574"/>
      <c r="R992" s="574"/>
      <c r="S992" s="574"/>
      <c r="T992" s="574"/>
      <c r="U992" s="574"/>
      <c r="V992" s="574"/>
      <c r="W992" s="574"/>
      <c r="X992" s="574"/>
      <c r="Y992" s="574"/>
      <c r="Z992" s="574"/>
      <c r="AA992" s="574"/>
      <c r="AB992" s="574"/>
      <c r="AC992" s="574"/>
      <c r="AD992" s="574"/>
      <c r="AE992" s="574"/>
    </row>
    <row r="993" spans="1:31" ht="16.5" customHeight="1" x14ac:dyDescent="0.85">
      <c r="A993" s="574"/>
      <c r="B993" s="574"/>
      <c r="C993" s="574"/>
      <c r="D993" s="574"/>
      <c r="E993" s="574"/>
      <c r="F993" s="574"/>
      <c r="G993" s="574"/>
      <c r="H993" s="574"/>
      <c r="I993" s="574"/>
      <c r="J993" s="574"/>
      <c r="K993" s="574"/>
      <c r="L993" s="574"/>
      <c r="M993" s="574"/>
      <c r="N993" s="574"/>
      <c r="O993" s="574"/>
      <c r="P993" s="574"/>
      <c r="Q993" s="574"/>
      <c r="R993" s="574"/>
      <c r="S993" s="574"/>
      <c r="T993" s="574"/>
      <c r="U993" s="574"/>
      <c r="V993" s="574"/>
      <c r="W993" s="574"/>
      <c r="X993" s="574"/>
      <c r="Y993" s="574"/>
      <c r="Z993" s="574"/>
      <c r="AA993" s="574"/>
      <c r="AB993" s="574"/>
      <c r="AC993" s="574"/>
      <c r="AD993" s="574"/>
      <c r="AE993" s="574"/>
    </row>
    <row r="994" spans="1:31" ht="16.5" customHeight="1" x14ac:dyDescent="0.85">
      <c r="A994" s="574"/>
      <c r="B994" s="574"/>
      <c r="C994" s="574"/>
      <c r="D994" s="574"/>
      <c r="E994" s="574"/>
      <c r="F994" s="574"/>
      <c r="G994" s="574"/>
      <c r="H994" s="574"/>
      <c r="I994" s="574"/>
      <c r="J994" s="574"/>
      <c r="K994" s="574"/>
      <c r="L994" s="574"/>
      <c r="M994" s="574"/>
      <c r="N994" s="574"/>
      <c r="O994" s="574"/>
      <c r="P994" s="574"/>
      <c r="Q994" s="574"/>
      <c r="R994" s="574"/>
      <c r="S994" s="574"/>
      <c r="T994" s="574"/>
      <c r="U994" s="574"/>
      <c r="V994" s="574"/>
      <c r="W994" s="574"/>
      <c r="X994" s="574"/>
      <c r="Y994" s="574"/>
      <c r="Z994" s="574"/>
      <c r="AA994" s="574"/>
      <c r="AB994" s="574"/>
      <c r="AC994" s="574"/>
      <c r="AD994" s="574"/>
      <c r="AE994" s="574"/>
    </row>
    <row r="995" spans="1:31" ht="16.5" customHeight="1" x14ac:dyDescent="0.85">
      <c r="A995" s="574"/>
      <c r="B995" s="574"/>
      <c r="C995" s="574"/>
      <c r="D995" s="574"/>
      <c r="E995" s="574"/>
      <c r="F995" s="574"/>
      <c r="G995" s="574"/>
      <c r="H995" s="574"/>
      <c r="I995" s="574"/>
      <c r="J995" s="574"/>
      <c r="K995" s="574"/>
      <c r="L995" s="574"/>
      <c r="M995" s="574"/>
      <c r="N995" s="574"/>
      <c r="O995" s="574"/>
      <c r="P995" s="574"/>
      <c r="Q995" s="574"/>
      <c r="R995" s="574"/>
      <c r="S995" s="574"/>
      <c r="T995" s="574"/>
      <c r="U995" s="574"/>
      <c r="V995" s="574"/>
      <c r="W995" s="574"/>
      <c r="X995" s="574"/>
      <c r="Y995" s="574"/>
      <c r="Z995" s="574"/>
      <c r="AA995" s="574"/>
      <c r="AB995" s="574"/>
      <c r="AC995" s="574"/>
      <c r="AD995" s="574"/>
      <c r="AE995" s="574"/>
    </row>
    <row r="996" spans="1:31" ht="16.5" customHeight="1" x14ac:dyDescent="0.85">
      <c r="A996" s="574"/>
      <c r="B996" s="574"/>
      <c r="C996" s="574"/>
      <c r="D996" s="574"/>
      <c r="E996" s="574"/>
      <c r="F996" s="574"/>
      <c r="G996" s="574"/>
      <c r="H996" s="574"/>
      <c r="I996" s="574"/>
      <c r="J996" s="574"/>
      <c r="K996" s="574"/>
      <c r="L996" s="574"/>
      <c r="M996" s="574"/>
      <c r="N996" s="574"/>
      <c r="O996" s="574"/>
      <c r="P996" s="574"/>
      <c r="Q996" s="574"/>
      <c r="R996" s="574"/>
      <c r="S996" s="574"/>
      <c r="T996" s="574"/>
      <c r="U996" s="574"/>
      <c r="V996" s="574"/>
      <c r="W996" s="574"/>
      <c r="X996" s="574"/>
      <c r="Y996" s="574"/>
      <c r="Z996" s="574"/>
      <c r="AA996" s="574"/>
      <c r="AB996" s="574"/>
      <c r="AC996" s="574"/>
      <c r="AD996" s="574"/>
      <c r="AE996" s="574"/>
    </row>
    <row r="997" spans="1:31" ht="16.5" customHeight="1" x14ac:dyDescent="0.85">
      <c r="A997" s="574"/>
      <c r="B997" s="574"/>
      <c r="C997" s="574"/>
      <c r="D997" s="574"/>
      <c r="E997" s="574"/>
      <c r="F997" s="574"/>
      <c r="G997" s="574"/>
      <c r="H997" s="574"/>
      <c r="I997" s="574"/>
      <c r="J997" s="574"/>
      <c r="K997" s="574"/>
      <c r="L997" s="574"/>
      <c r="M997" s="574"/>
      <c r="N997" s="574"/>
      <c r="O997" s="574"/>
      <c r="P997" s="574"/>
      <c r="Q997" s="574"/>
      <c r="R997" s="574"/>
      <c r="S997" s="574"/>
      <c r="T997" s="574"/>
      <c r="U997" s="574"/>
      <c r="V997" s="574"/>
      <c r="W997" s="574"/>
      <c r="X997" s="574"/>
      <c r="Y997" s="574"/>
      <c r="Z997" s="574"/>
      <c r="AA997" s="574"/>
      <c r="AB997" s="574"/>
      <c r="AC997" s="574"/>
      <c r="AD997" s="574"/>
      <c r="AE997" s="574"/>
    </row>
    <row r="998" spans="1:31" ht="16.5" customHeight="1" x14ac:dyDescent="0.85">
      <c r="A998" s="574"/>
      <c r="B998" s="574"/>
      <c r="C998" s="574"/>
      <c r="D998" s="574"/>
      <c r="E998" s="574"/>
      <c r="F998" s="574"/>
      <c r="G998" s="574"/>
      <c r="H998" s="574"/>
      <c r="I998" s="574"/>
      <c r="J998" s="574"/>
      <c r="K998" s="574"/>
      <c r="L998" s="574"/>
      <c r="M998" s="574"/>
      <c r="N998" s="574"/>
      <c r="O998" s="574"/>
      <c r="P998" s="574"/>
      <c r="Q998" s="574"/>
      <c r="R998" s="574"/>
      <c r="S998" s="574"/>
      <c r="T998" s="574"/>
      <c r="U998" s="574"/>
      <c r="V998" s="574"/>
      <c r="W998" s="574"/>
      <c r="X998" s="574"/>
      <c r="Y998" s="574"/>
      <c r="Z998" s="574"/>
      <c r="AA998" s="574"/>
      <c r="AB998" s="574"/>
      <c r="AC998" s="574"/>
      <c r="AD998" s="574"/>
      <c r="AE998" s="574"/>
    </row>
    <row r="999" spans="1:31" ht="16.5" customHeight="1" x14ac:dyDescent="0.85">
      <c r="A999" s="574"/>
      <c r="B999" s="574"/>
      <c r="C999" s="574"/>
      <c r="D999" s="574"/>
      <c r="E999" s="574"/>
      <c r="F999" s="574"/>
      <c r="G999" s="574"/>
      <c r="H999" s="574"/>
      <c r="I999" s="574"/>
      <c r="J999" s="574"/>
      <c r="K999" s="574"/>
      <c r="L999" s="574"/>
      <c r="M999" s="574"/>
      <c r="N999" s="574"/>
      <c r="O999" s="574"/>
      <c r="P999" s="574"/>
      <c r="Q999" s="574"/>
      <c r="R999" s="574"/>
      <c r="S999" s="574"/>
      <c r="T999" s="574"/>
      <c r="U999" s="574"/>
      <c r="V999" s="574"/>
      <c r="W999" s="574"/>
      <c r="X999" s="574"/>
      <c r="Y999" s="574"/>
      <c r="Z999" s="574"/>
      <c r="AA999" s="574"/>
      <c r="AB999" s="574"/>
      <c r="AC999" s="574"/>
      <c r="AD999" s="574"/>
      <c r="AE999" s="574"/>
    </row>
    <row r="1000" spans="1:31" ht="16.5" customHeight="1" x14ac:dyDescent="0.85">
      <c r="A1000" s="574"/>
      <c r="B1000" s="574"/>
      <c r="C1000" s="574"/>
      <c r="D1000" s="574"/>
      <c r="E1000" s="574"/>
      <c r="F1000" s="574"/>
      <c r="G1000" s="574"/>
      <c r="H1000" s="574"/>
      <c r="I1000" s="574"/>
      <c r="J1000" s="574"/>
      <c r="K1000" s="574"/>
      <c r="L1000" s="574"/>
      <c r="M1000" s="574"/>
      <c r="N1000" s="574"/>
      <c r="O1000" s="574"/>
      <c r="P1000" s="574"/>
      <c r="Q1000" s="574"/>
      <c r="R1000" s="574"/>
      <c r="S1000" s="574"/>
      <c r="T1000" s="574"/>
      <c r="U1000" s="574"/>
      <c r="V1000" s="574"/>
      <c r="W1000" s="574"/>
      <c r="X1000" s="574"/>
      <c r="Y1000" s="574"/>
      <c r="Z1000" s="574"/>
      <c r="AA1000" s="574"/>
      <c r="AB1000" s="574"/>
      <c r="AC1000" s="574"/>
      <c r="AD1000" s="574"/>
      <c r="AE1000" s="574"/>
    </row>
  </sheetData>
  <mergeCells count="18">
    <mergeCell ref="A1:K1"/>
    <mergeCell ref="A2:K2"/>
    <mergeCell ref="A11:K11"/>
    <mergeCell ref="A12:H12"/>
    <mergeCell ref="A17:K17"/>
    <mergeCell ref="A18:F18"/>
    <mergeCell ref="D19:F19"/>
    <mergeCell ref="E28:F30"/>
    <mergeCell ref="G63:H63"/>
    <mergeCell ref="B64:B70"/>
    <mergeCell ref="E64:F70"/>
    <mergeCell ref="E20:F22"/>
    <mergeCell ref="E23:F26"/>
    <mergeCell ref="E27:F27"/>
    <mergeCell ref="A31:F31"/>
    <mergeCell ref="D32:F32"/>
    <mergeCell ref="D33:F36"/>
    <mergeCell ref="A37:K37"/>
  </mergeCells>
  <pageMargins left="0.7" right="0.7" top="0.75" bottom="0.75" header="0" footer="0"/>
  <pageSetup orientation="portrai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7BC7E9"/>
  </sheetPr>
  <dimension ref="A1:AK1000"/>
  <sheetViews>
    <sheetView topLeftCell="A5" zoomScale="80" zoomScaleNormal="80" workbookViewId="0">
      <selection activeCell="B16" sqref="B16"/>
    </sheetView>
  </sheetViews>
  <sheetFormatPr defaultColWidth="11.23046875" defaultRowHeight="15" customHeight="1" outlineLevelRow="1" x14ac:dyDescent="0.85"/>
  <cols>
    <col min="1" max="1" width="46.61328125" customWidth="1"/>
    <col min="2" max="18" width="24.3828125" customWidth="1"/>
    <col min="19" max="37" width="8.61328125" customWidth="1"/>
  </cols>
  <sheetData>
    <row r="1" spans="1:37" ht="22.5" customHeight="1" x14ac:dyDescent="0.85">
      <c r="A1" s="941" t="s">
        <v>1382</v>
      </c>
      <c r="B1" s="790"/>
      <c r="C1" s="790"/>
      <c r="D1" s="790"/>
      <c r="E1" s="790"/>
      <c r="F1" s="790"/>
      <c r="G1" s="790"/>
      <c r="H1" s="790"/>
      <c r="I1" s="790"/>
      <c r="J1" s="790"/>
      <c r="K1" s="790"/>
      <c r="L1" s="790"/>
      <c r="M1" s="790"/>
      <c r="N1" s="790"/>
      <c r="O1" s="790"/>
      <c r="P1" s="790"/>
      <c r="Q1" s="790"/>
      <c r="R1" s="791"/>
      <c r="S1" s="1"/>
      <c r="T1" s="1"/>
      <c r="U1" s="1"/>
      <c r="V1" s="1"/>
      <c r="W1" s="1"/>
      <c r="X1" s="1"/>
      <c r="Y1" s="1"/>
      <c r="Z1" s="1"/>
      <c r="AA1" s="1"/>
      <c r="AB1" s="1"/>
      <c r="AC1" s="1"/>
      <c r="AD1" s="1"/>
      <c r="AE1" s="1"/>
      <c r="AF1" s="1"/>
      <c r="AG1" s="1"/>
      <c r="AH1" s="1"/>
      <c r="AI1" s="1"/>
      <c r="AJ1" s="1"/>
      <c r="AK1" s="1"/>
    </row>
    <row r="2" spans="1:37" ht="22.5" customHeight="1" x14ac:dyDescent="0.9">
      <c r="A2" s="858" t="s">
        <v>581</v>
      </c>
      <c r="B2" s="765"/>
      <c r="C2" s="765"/>
      <c r="D2" s="765"/>
      <c r="E2" s="765"/>
      <c r="F2" s="765"/>
      <c r="G2" s="765"/>
      <c r="H2" s="765"/>
      <c r="I2" s="765"/>
      <c r="J2" s="765"/>
      <c r="K2" s="765"/>
      <c r="L2" s="765"/>
      <c r="M2" s="765"/>
      <c r="N2" s="765"/>
      <c r="O2" s="765"/>
      <c r="P2" s="765"/>
      <c r="Q2" s="765"/>
      <c r="R2" s="762"/>
      <c r="S2" s="321"/>
      <c r="T2" s="321"/>
      <c r="U2" s="321"/>
      <c r="V2" s="321"/>
      <c r="W2" s="321"/>
      <c r="X2" s="321"/>
      <c r="Y2" s="321"/>
      <c r="Z2" s="321"/>
      <c r="AA2" s="321"/>
      <c r="AB2" s="321"/>
      <c r="AC2" s="321"/>
      <c r="AD2" s="321"/>
      <c r="AE2" s="321"/>
      <c r="AF2" s="321"/>
      <c r="AG2" s="321"/>
      <c r="AH2" s="321"/>
      <c r="AI2" s="321"/>
      <c r="AJ2" s="321"/>
      <c r="AK2" s="321"/>
    </row>
    <row r="3" spans="1:37" ht="45.75" customHeight="1" outlineLevel="1" x14ac:dyDescent="0.9">
      <c r="A3" s="326" t="s">
        <v>582</v>
      </c>
      <c r="B3" s="326" t="s">
        <v>118</v>
      </c>
      <c r="C3" s="72" t="s">
        <v>1383</v>
      </c>
      <c r="D3" s="326" t="s">
        <v>1223</v>
      </c>
      <c r="E3" s="326" t="s">
        <v>121</v>
      </c>
      <c r="F3" s="326" t="s">
        <v>122</v>
      </c>
      <c r="G3" s="72" t="s">
        <v>1384</v>
      </c>
      <c r="H3" s="548"/>
      <c r="I3" s="321"/>
      <c r="J3" s="321"/>
      <c r="K3" s="321"/>
      <c r="L3" s="321"/>
      <c r="M3" s="321"/>
      <c r="N3" s="321"/>
      <c r="O3" s="321"/>
      <c r="P3" s="321"/>
      <c r="Q3" s="321"/>
      <c r="R3" s="548"/>
      <c r="S3" s="548"/>
      <c r="T3" s="548"/>
      <c r="U3" s="548"/>
      <c r="V3" s="548"/>
      <c r="W3" s="548"/>
      <c r="X3" s="548"/>
      <c r="Y3" s="548"/>
      <c r="Z3" s="548"/>
      <c r="AA3" s="548"/>
      <c r="AB3" s="548"/>
      <c r="AC3" s="548"/>
      <c r="AD3" s="548"/>
      <c r="AE3" s="548"/>
      <c r="AF3" s="548"/>
      <c r="AG3" s="548"/>
      <c r="AH3" s="548"/>
      <c r="AI3" s="548"/>
      <c r="AJ3" s="548"/>
      <c r="AK3" s="548"/>
    </row>
    <row r="4" spans="1:37" ht="23.25" customHeight="1" outlineLevel="1" x14ac:dyDescent="0.9">
      <c r="A4" s="557" t="s">
        <v>105</v>
      </c>
      <c r="B4" s="103">
        <f>F22</f>
        <v>0</v>
      </c>
      <c r="C4" s="258" t="s">
        <v>106</v>
      </c>
      <c r="D4" s="39">
        <f t="shared" ref="D4:D8" si="0">B4</f>
        <v>0</v>
      </c>
      <c r="E4" s="38" t="s">
        <v>106</v>
      </c>
      <c r="F4" s="38" t="s">
        <v>106</v>
      </c>
      <c r="G4" s="39">
        <f>F48</f>
        <v>3710457.1349999998</v>
      </c>
      <c r="H4" s="548"/>
      <c r="I4" s="321"/>
      <c r="J4" s="321"/>
      <c r="K4" s="321"/>
      <c r="L4" s="321"/>
      <c r="M4" s="321"/>
      <c r="N4" s="321"/>
      <c r="O4" s="321"/>
      <c r="P4" s="321"/>
      <c r="Q4" s="321"/>
      <c r="R4" s="548"/>
      <c r="S4" s="548"/>
      <c r="T4" s="548"/>
      <c r="U4" s="548"/>
      <c r="V4" s="548"/>
      <c r="W4" s="548"/>
      <c r="X4" s="548"/>
      <c r="Y4" s="548"/>
      <c r="Z4" s="548"/>
      <c r="AA4" s="548"/>
      <c r="AB4" s="548"/>
      <c r="AC4" s="548"/>
      <c r="AD4" s="548"/>
      <c r="AE4" s="548"/>
      <c r="AF4" s="548"/>
      <c r="AG4" s="548"/>
      <c r="AH4" s="548"/>
      <c r="AI4" s="548"/>
      <c r="AJ4" s="548"/>
      <c r="AK4" s="548"/>
    </row>
    <row r="5" spans="1:37" ht="23.25" customHeight="1" outlineLevel="1" x14ac:dyDescent="0.9">
      <c r="A5" s="557" t="s">
        <v>107</v>
      </c>
      <c r="B5" s="103">
        <f>F26</f>
        <v>304217.49</v>
      </c>
      <c r="C5" s="258">
        <f t="shared" ref="C5:C8" si="1">B5/$B$10</f>
        <v>0.74059741118292433</v>
      </c>
      <c r="D5" s="39">
        <f t="shared" si="0"/>
        <v>304217.49</v>
      </c>
      <c r="E5" s="38" t="s">
        <v>106</v>
      </c>
      <c r="F5" s="38" t="s">
        <v>106</v>
      </c>
      <c r="G5" s="39">
        <f>F57</f>
        <v>4056372.59</v>
      </c>
      <c r="H5" s="548"/>
      <c r="I5" s="321"/>
      <c r="J5" s="321"/>
      <c r="K5" s="321"/>
      <c r="L5" s="321"/>
      <c r="M5" s="321"/>
      <c r="N5" s="321"/>
      <c r="O5" s="321"/>
      <c r="P5" s="321"/>
      <c r="Q5" s="321"/>
      <c r="R5" s="548"/>
      <c r="S5" s="548"/>
      <c r="T5" s="548"/>
      <c r="U5" s="548"/>
      <c r="V5" s="548"/>
      <c r="W5" s="548"/>
      <c r="X5" s="548"/>
      <c r="Y5" s="548"/>
      <c r="Z5" s="548"/>
      <c r="AA5" s="548"/>
      <c r="AB5" s="548"/>
      <c r="AC5" s="548"/>
      <c r="AD5" s="548"/>
      <c r="AE5" s="548"/>
      <c r="AF5" s="548"/>
      <c r="AG5" s="548"/>
      <c r="AH5" s="548"/>
      <c r="AI5" s="548"/>
      <c r="AJ5" s="548"/>
      <c r="AK5" s="548"/>
    </row>
    <row r="6" spans="1:37" ht="23.25" customHeight="1" outlineLevel="1" x14ac:dyDescent="0.9">
      <c r="A6" s="557" t="s">
        <v>108</v>
      </c>
      <c r="B6" s="103">
        <f>Q30+F30</f>
        <v>98640.52399999999</v>
      </c>
      <c r="C6" s="258">
        <f t="shared" si="1"/>
        <v>0.24013384868873619</v>
      </c>
      <c r="D6" s="39">
        <f t="shared" si="0"/>
        <v>98640.52399999999</v>
      </c>
      <c r="E6" s="38" t="s">
        <v>106</v>
      </c>
      <c r="F6" s="38" t="s">
        <v>106</v>
      </c>
      <c r="G6" s="39">
        <f>F62</f>
        <v>39720.375</v>
      </c>
      <c r="H6" s="603"/>
      <c r="I6" s="321"/>
      <c r="J6" s="321"/>
      <c r="K6" s="321"/>
      <c r="L6" s="321"/>
      <c r="M6" s="321"/>
      <c r="N6" s="321"/>
      <c r="O6" s="321"/>
      <c r="P6" s="321"/>
      <c r="Q6" s="321"/>
      <c r="R6" s="603"/>
      <c r="S6" s="603"/>
      <c r="T6" s="603"/>
      <c r="U6" s="603"/>
      <c r="V6" s="603"/>
      <c r="W6" s="603"/>
      <c r="X6" s="603"/>
      <c r="Y6" s="603"/>
      <c r="Z6" s="603"/>
      <c r="AA6" s="603"/>
      <c r="AB6" s="603"/>
      <c r="AC6" s="603"/>
      <c r="AD6" s="603"/>
      <c r="AE6" s="603"/>
      <c r="AF6" s="603"/>
      <c r="AG6" s="603"/>
      <c r="AH6" s="603"/>
      <c r="AI6" s="603"/>
      <c r="AJ6" s="603"/>
      <c r="AK6" s="603"/>
    </row>
    <row r="7" spans="1:37" ht="23.25" customHeight="1" outlineLevel="1" x14ac:dyDescent="0.9">
      <c r="A7" s="557" t="s">
        <v>109</v>
      </c>
      <c r="B7" s="103">
        <f>F34</f>
        <v>1325.48</v>
      </c>
      <c r="C7" s="258">
        <f t="shared" si="1"/>
        <v>3.2267936224664225E-3</v>
      </c>
      <c r="D7" s="39">
        <f t="shared" si="0"/>
        <v>1325.48</v>
      </c>
      <c r="E7" s="38" t="s">
        <v>106</v>
      </c>
      <c r="F7" s="38" t="s">
        <v>106</v>
      </c>
      <c r="G7" s="39">
        <f>F66</f>
        <v>31002.21</v>
      </c>
      <c r="H7" s="603"/>
      <c r="I7" s="321"/>
      <c r="J7" s="321"/>
      <c r="K7" s="321"/>
      <c r="L7" s="321"/>
      <c r="M7" s="321"/>
      <c r="N7" s="321"/>
      <c r="O7" s="321"/>
      <c r="P7" s="321"/>
      <c r="Q7" s="321"/>
      <c r="R7" s="603"/>
      <c r="S7" s="603"/>
      <c r="T7" s="603"/>
      <c r="U7" s="603"/>
      <c r="V7" s="603"/>
      <c r="W7" s="603"/>
      <c r="X7" s="603"/>
      <c r="Y7" s="603"/>
      <c r="Z7" s="603"/>
      <c r="AA7" s="603"/>
      <c r="AB7" s="603"/>
      <c r="AC7" s="603"/>
      <c r="AD7" s="603"/>
      <c r="AE7" s="603"/>
      <c r="AF7" s="603"/>
      <c r="AG7" s="603"/>
      <c r="AH7" s="603"/>
      <c r="AI7" s="603"/>
      <c r="AJ7" s="603"/>
      <c r="AK7" s="603"/>
    </row>
    <row r="8" spans="1:37" ht="23.25" customHeight="1" outlineLevel="1" x14ac:dyDescent="0.9">
      <c r="A8" s="37" t="s">
        <v>110</v>
      </c>
      <c r="B8" s="103">
        <f>F38</f>
        <v>6589.6</v>
      </c>
      <c r="C8" s="258">
        <f t="shared" si="1"/>
        <v>1.6041946505873147E-2</v>
      </c>
      <c r="D8" s="39">
        <f t="shared" si="0"/>
        <v>6589.6</v>
      </c>
      <c r="E8" s="38" t="s">
        <v>106</v>
      </c>
      <c r="F8" s="38" t="s">
        <v>106</v>
      </c>
      <c r="G8" s="39">
        <f>F73</f>
        <v>192744.81</v>
      </c>
      <c r="H8" s="603"/>
      <c r="I8" s="321"/>
      <c r="J8" s="321"/>
      <c r="K8" s="321"/>
      <c r="L8" s="321"/>
      <c r="M8" s="321"/>
      <c r="N8" s="321"/>
      <c r="O8" s="321"/>
      <c r="P8" s="321"/>
      <c r="Q8" s="321"/>
      <c r="R8" s="603"/>
      <c r="S8" s="603"/>
      <c r="T8" s="603"/>
      <c r="U8" s="603"/>
      <c r="V8" s="603"/>
      <c r="W8" s="603"/>
      <c r="X8" s="603"/>
      <c r="Y8" s="603"/>
      <c r="Z8" s="603"/>
      <c r="AA8" s="603"/>
      <c r="AB8" s="603"/>
      <c r="AC8" s="603"/>
      <c r="AD8" s="603"/>
      <c r="AE8" s="603"/>
      <c r="AF8" s="603"/>
      <c r="AG8" s="603"/>
      <c r="AH8" s="603"/>
      <c r="AI8" s="603"/>
      <c r="AJ8" s="603"/>
      <c r="AK8" s="603"/>
    </row>
    <row r="9" spans="1:37" ht="23.25" customHeight="1" outlineLevel="1" x14ac:dyDescent="0.9">
      <c r="A9" s="604" t="s">
        <v>590</v>
      </c>
      <c r="B9" s="605">
        <f>B4</f>
        <v>0</v>
      </c>
      <c r="C9" s="606" t="s">
        <v>106</v>
      </c>
      <c r="D9" s="605">
        <f>D4</f>
        <v>0</v>
      </c>
      <c r="E9" s="565" t="s">
        <v>106</v>
      </c>
      <c r="F9" s="565" t="s">
        <v>106</v>
      </c>
      <c r="G9" s="605">
        <f>G4</f>
        <v>3710457.1349999998</v>
      </c>
      <c r="H9" s="603"/>
      <c r="I9" s="321"/>
      <c r="J9" s="321"/>
      <c r="K9" s="321"/>
      <c r="L9" s="321"/>
      <c r="M9" s="321"/>
      <c r="N9" s="321"/>
      <c r="O9" s="321"/>
      <c r="P9" s="321"/>
      <c r="Q9" s="321"/>
      <c r="R9" s="603"/>
      <c r="S9" s="603"/>
      <c r="T9" s="603"/>
      <c r="U9" s="603"/>
      <c r="V9" s="603"/>
      <c r="W9" s="603"/>
      <c r="X9" s="603"/>
      <c r="Y9" s="603"/>
      <c r="Z9" s="603"/>
      <c r="AA9" s="603"/>
      <c r="AB9" s="603"/>
      <c r="AC9" s="603"/>
      <c r="AD9" s="603"/>
      <c r="AE9" s="603"/>
      <c r="AF9" s="603"/>
      <c r="AG9" s="603"/>
      <c r="AH9" s="603"/>
      <c r="AI9" s="603"/>
      <c r="AJ9" s="603"/>
      <c r="AK9" s="603"/>
    </row>
    <row r="10" spans="1:37" ht="23.25" customHeight="1" outlineLevel="1" x14ac:dyDescent="0.9">
      <c r="A10" s="604" t="s">
        <v>111</v>
      </c>
      <c r="B10" s="605">
        <f t="shared" ref="B10:D10" si="2">SUM(B5:B8)</f>
        <v>410773.09399999992</v>
      </c>
      <c r="C10" s="606">
        <f t="shared" si="2"/>
        <v>1.0000000000000002</v>
      </c>
      <c r="D10" s="605">
        <f t="shared" si="2"/>
        <v>410773.09399999992</v>
      </c>
      <c r="E10" s="565" t="s">
        <v>106</v>
      </c>
      <c r="F10" s="565" t="s">
        <v>106</v>
      </c>
      <c r="G10" s="605">
        <f>SUM(G5:G8)</f>
        <v>4319839.9849999994</v>
      </c>
      <c r="H10" s="30"/>
      <c r="I10" s="321"/>
      <c r="J10" s="321"/>
      <c r="K10" s="321"/>
      <c r="L10" s="321"/>
      <c r="M10" s="321"/>
      <c r="N10" s="321"/>
      <c r="O10" s="321"/>
      <c r="P10" s="321"/>
      <c r="Q10" s="321"/>
      <c r="R10" s="603"/>
      <c r="S10" s="603"/>
      <c r="T10" s="603"/>
      <c r="U10" s="603"/>
      <c r="V10" s="603"/>
      <c r="W10" s="603"/>
      <c r="X10" s="603"/>
      <c r="Y10" s="603"/>
      <c r="Z10" s="603"/>
      <c r="AA10" s="603"/>
      <c r="AB10" s="603"/>
      <c r="AC10" s="603"/>
      <c r="AD10" s="603"/>
      <c r="AE10" s="603"/>
      <c r="AF10" s="603"/>
      <c r="AG10" s="603"/>
      <c r="AH10" s="603"/>
      <c r="AI10" s="603"/>
      <c r="AJ10" s="603"/>
      <c r="AK10" s="603"/>
    </row>
    <row r="11" spans="1:37" ht="22.5" customHeight="1" x14ac:dyDescent="0.9">
      <c r="A11" s="858" t="s">
        <v>591</v>
      </c>
      <c r="B11" s="765"/>
      <c r="C11" s="765"/>
      <c r="D11" s="765"/>
      <c r="E11" s="765"/>
      <c r="F11" s="765"/>
      <c r="G11" s="765"/>
      <c r="H11" s="765"/>
      <c r="I11" s="765"/>
      <c r="J11" s="765"/>
      <c r="K11" s="765"/>
      <c r="L11" s="765"/>
      <c r="M11" s="765"/>
      <c r="N11" s="765"/>
      <c r="O11" s="765"/>
      <c r="P11" s="765"/>
      <c r="Q11" s="765"/>
      <c r="R11" s="762"/>
      <c r="S11" s="321"/>
      <c r="T11" s="321"/>
      <c r="U11" s="321"/>
      <c r="V11" s="321"/>
      <c r="W11" s="321"/>
      <c r="X11" s="321"/>
      <c r="Y11" s="321"/>
      <c r="Z11" s="321"/>
      <c r="AA11" s="321"/>
      <c r="AB11" s="321"/>
      <c r="AC11" s="321"/>
      <c r="AD11" s="321"/>
      <c r="AE11" s="321"/>
      <c r="AF11" s="321"/>
      <c r="AG11" s="321"/>
      <c r="AH11" s="321"/>
      <c r="AI11" s="321"/>
      <c r="AJ11" s="321"/>
      <c r="AK11" s="321"/>
    </row>
    <row r="12" spans="1:37" ht="22.5" customHeight="1" outlineLevel="1" x14ac:dyDescent="0.9">
      <c r="A12" s="940" t="s">
        <v>1385</v>
      </c>
      <c r="B12" s="790"/>
      <c r="C12" s="790"/>
      <c r="D12" s="790"/>
      <c r="E12" s="790"/>
      <c r="F12" s="790"/>
      <c r="G12" s="790"/>
      <c r="H12" s="791"/>
      <c r="I12" s="321"/>
      <c r="J12" s="321"/>
      <c r="K12" s="321"/>
      <c r="L12" s="321"/>
      <c r="M12" s="321"/>
      <c r="N12" s="321"/>
      <c r="O12" s="321"/>
      <c r="P12" s="321"/>
      <c r="Q12" s="321"/>
      <c r="R12" s="607"/>
      <c r="S12" s="607"/>
      <c r="T12" s="607"/>
      <c r="U12" s="607"/>
      <c r="V12" s="607"/>
      <c r="W12" s="607"/>
      <c r="X12" s="607"/>
      <c r="Y12" s="607"/>
      <c r="Z12" s="607"/>
      <c r="AA12" s="607"/>
      <c r="AB12" s="607"/>
      <c r="AC12" s="607"/>
      <c r="AD12" s="607"/>
      <c r="AE12" s="607"/>
      <c r="AF12" s="607"/>
      <c r="AG12" s="607"/>
      <c r="AH12" s="607"/>
      <c r="AI12" s="607"/>
      <c r="AJ12" s="607"/>
      <c r="AK12" s="607"/>
    </row>
    <row r="13" spans="1:37" ht="22.5" customHeight="1" outlineLevel="1" x14ac:dyDescent="0.9">
      <c r="A13" s="940" t="s">
        <v>1386</v>
      </c>
      <c r="B13" s="790"/>
      <c r="C13" s="790"/>
      <c r="D13" s="790"/>
      <c r="E13" s="790"/>
      <c r="F13" s="790"/>
      <c r="G13" s="790"/>
      <c r="H13" s="791"/>
      <c r="I13" s="321"/>
      <c r="J13" s="607"/>
      <c r="K13" s="607"/>
      <c r="L13" s="607"/>
      <c r="M13" s="607"/>
      <c r="N13" s="607"/>
      <c r="O13" s="607"/>
      <c r="P13" s="607"/>
      <c r="Q13" s="607"/>
      <c r="R13" s="607"/>
      <c r="S13" s="607"/>
      <c r="T13" s="607"/>
      <c r="U13" s="607"/>
      <c r="V13" s="607"/>
      <c r="W13" s="607"/>
      <c r="X13" s="607"/>
      <c r="Y13" s="607"/>
      <c r="Z13" s="607"/>
      <c r="AA13" s="607"/>
      <c r="AB13" s="607"/>
      <c r="AC13" s="607"/>
      <c r="AD13" s="607"/>
      <c r="AE13" s="607"/>
      <c r="AF13" s="607"/>
      <c r="AG13" s="607"/>
      <c r="AH13" s="607"/>
      <c r="AI13" s="607"/>
      <c r="AJ13" s="607"/>
      <c r="AK13" s="607"/>
    </row>
    <row r="14" spans="1:37" ht="22.5" customHeight="1" outlineLevel="1" x14ac:dyDescent="0.9">
      <c r="A14" s="940" t="s">
        <v>1387</v>
      </c>
      <c r="B14" s="790"/>
      <c r="C14" s="790"/>
      <c r="D14" s="790"/>
      <c r="E14" s="790"/>
      <c r="F14" s="790"/>
      <c r="G14" s="790"/>
      <c r="H14" s="791"/>
      <c r="I14" s="321"/>
      <c r="J14" s="607"/>
      <c r="K14" s="607"/>
      <c r="L14" s="607"/>
      <c r="M14" s="607"/>
      <c r="N14" s="607"/>
      <c r="O14" s="607"/>
      <c r="P14" s="607"/>
      <c r="Q14" s="607"/>
      <c r="R14" s="607"/>
      <c r="S14" s="607"/>
      <c r="T14" s="607"/>
      <c r="U14" s="607"/>
      <c r="V14" s="607"/>
      <c r="W14" s="607"/>
      <c r="X14" s="607"/>
      <c r="Y14" s="607"/>
      <c r="Z14" s="607"/>
      <c r="AA14" s="607"/>
      <c r="AB14" s="607"/>
      <c r="AC14" s="607"/>
      <c r="AD14" s="607"/>
      <c r="AE14" s="607"/>
      <c r="AF14" s="607"/>
      <c r="AG14" s="607"/>
      <c r="AH14" s="607"/>
      <c r="AI14" s="607"/>
      <c r="AJ14" s="607"/>
      <c r="AK14" s="607"/>
    </row>
    <row r="15" spans="1:37" ht="22.5" customHeight="1" outlineLevel="1" x14ac:dyDescent="0.9">
      <c r="A15" s="940" t="s">
        <v>1388</v>
      </c>
      <c r="B15" s="790"/>
      <c r="C15" s="790"/>
      <c r="D15" s="790"/>
      <c r="E15" s="790"/>
      <c r="F15" s="790"/>
      <c r="G15" s="790"/>
      <c r="H15" s="791"/>
      <c r="I15" s="321"/>
      <c r="J15" s="607"/>
      <c r="K15" s="607"/>
      <c r="L15" s="607"/>
      <c r="M15" s="607"/>
      <c r="N15" s="607"/>
      <c r="O15" s="607"/>
      <c r="P15" s="607"/>
      <c r="Q15" s="607"/>
      <c r="R15" s="607"/>
      <c r="S15" s="607"/>
      <c r="T15" s="607"/>
      <c r="U15" s="607"/>
      <c r="V15" s="607"/>
      <c r="W15" s="607"/>
      <c r="X15" s="607"/>
      <c r="Y15" s="607"/>
      <c r="Z15" s="607"/>
      <c r="AA15" s="607"/>
      <c r="AB15" s="607"/>
      <c r="AC15" s="607"/>
      <c r="AD15" s="607"/>
      <c r="AE15" s="607"/>
      <c r="AF15" s="607"/>
      <c r="AG15" s="607"/>
      <c r="AH15" s="607"/>
      <c r="AI15" s="607"/>
      <c r="AJ15" s="607"/>
      <c r="AK15" s="607"/>
    </row>
    <row r="16" spans="1:37" ht="22.5" customHeight="1" outlineLevel="1" x14ac:dyDescent="0.9">
      <c r="A16" s="608" t="s">
        <v>1389</v>
      </c>
      <c r="B16" s="609"/>
      <c r="C16" s="609"/>
      <c r="D16" s="609"/>
      <c r="E16" s="609"/>
      <c r="F16" s="609"/>
      <c r="G16" s="609"/>
      <c r="H16" s="609"/>
      <c r="I16" s="321"/>
      <c r="J16" s="607"/>
      <c r="K16" s="607"/>
      <c r="L16" s="607"/>
      <c r="M16" s="607"/>
      <c r="N16" s="607"/>
      <c r="O16" s="607"/>
      <c r="P16" s="607"/>
      <c r="Q16" s="607"/>
      <c r="R16" s="607"/>
      <c r="S16" s="607"/>
      <c r="T16" s="607"/>
      <c r="U16" s="607"/>
      <c r="V16" s="607"/>
      <c r="W16" s="607"/>
      <c r="X16" s="607"/>
      <c r="Y16" s="607"/>
      <c r="Z16" s="607"/>
      <c r="AA16" s="607"/>
      <c r="AB16" s="607"/>
      <c r="AC16" s="607"/>
      <c r="AD16" s="607"/>
      <c r="AE16" s="607"/>
      <c r="AF16" s="607"/>
      <c r="AG16" s="607"/>
      <c r="AH16" s="607"/>
      <c r="AI16" s="607"/>
      <c r="AJ16" s="607"/>
      <c r="AK16" s="607"/>
    </row>
    <row r="17" spans="1:37" ht="22.5" customHeight="1" x14ac:dyDescent="0.9">
      <c r="A17" s="858" t="s">
        <v>254</v>
      </c>
      <c r="B17" s="765"/>
      <c r="C17" s="765"/>
      <c r="D17" s="765"/>
      <c r="E17" s="765"/>
      <c r="F17" s="765"/>
      <c r="G17" s="765"/>
      <c r="H17" s="765"/>
      <c r="I17" s="765"/>
      <c r="J17" s="765"/>
      <c r="K17" s="765"/>
      <c r="L17" s="765"/>
      <c r="M17" s="765"/>
      <c r="N17" s="765"/>
      <c r="O17" s="765"/>
      <c r="P17" s="765"/>
      <c r="Q17" s="765"/>
      <c r="R17" s="762"/>
      <c r="S17" s="321"/>
      <c r="T17" s="321"/>
      <c r="U17" s="321"/>
      <c r="V17" s="321"/>
      <c r="W17" s="321"/>
      <c r="X17" s="321"/>
      <c r="Y17" s="321"/>
      <c r="Z17" s="321"/>
      <c r="AA17" s="321"/>
      <c r="AB17" s="321"/>
      <c r="AC17" s="321"/>
      <c r="AD17" s="321"/>
      <c r="AE17" s="321"/>
      <c r="AF17" s="321"/>
      <c r="AG17" s="321"/>
      <c r="AH17" s="321"/>
      <c r="AI17" s="321"/>
      <c r="AJ17" s="321"/>
      <c r="AK17" s="321"/>
    </row>
    <row r="18" spans="1:37" ht="22.5" customHeight="1" outlineLevel="1" x14ac:dyDescent="0.85">
      <c r="A18" s="298" t="s">
        <v>346</v>
      </c>
      <c r="B18" s="299"/>
      <c r="C18" s="299"/>
      <c r="D18" s="299"/>
      <c r="E18" s="299"/>
      <c r="F18" s="300"/>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row>
    <row r="19" spans="1:37" ht="22.5" customHeight="1" outlineLevel="1" x14ac:dyDescent="0.85">
      <c r="A19" s="610" t="s">
        <v>105</v>
      </c>
      <c r="B19" s="611"/>
      <c r="C19" s="611"/>
      <c r="D19" s="611"/>
      <c r="E19" s="611"/>
      <c r="F19" s="612"/>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row>
    <row r="20" spans="1:37" ht="22.5" customHeight="1" outlineLevel="1" x14ac:dyDescent="0.85">
      <c r="A20" s="326" t="s">
        <v>1390</v>
      </c>
      <c r="B20" s="326" t="s">
        <v>1391</v>
      </c>
      <c r="C20" s="326" t="s">
        <v>1392</v>
      </c>
      <c r="D20" s="326" t="s">
        <v>1393</v>
      </c>
      <c r="E20" s="326" t="s">
        <v>1394</v>
      </c>
      <c r="F20" s="326" t="s">
        <v>1395</v>
      </c>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row>
    <row r="21" spans="1:37" ht="22.5" customHeight="1" outlineLevel="1" x14ac:dyDescent="0.85">
      <c r="A21" s="613" t="s">
        <v>106</v>
      </c>
      <c r="B21" s="349" t="s">
        <v>106</v>
      </c>
      <c r="C21" s="409"/>
      <c r="D21" s="409"/>
      <c r="E21" s="409"/>
      <c r="F21" s="103">
        <f>C21+(D21*'Conversion Factors and GWP'!$C$31)+('Industrial Processes Data'!E21*'Conversion Factors and GWP'!$C$32)</f>
        <v>0</v>
      </c>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row>
    <row r="22" spans="1:37" ht="22.5" customHeight="1" outlineLevel="1" x14ac:dyDescent="0.85">
      <c r="A22" s="614" t="s">
        <v>398</v>
      </c>
      <c r="B22" s="293"/>
      <c r="C22" s="293">
        <f t="shared" ref="C22:F22" si="3">C21</f>
        <v>0</v>
      </c>
      <c r="D22" s="293">
        <f t="shared" si="3"/>
        <v>0</v>
      </c>
      <c r="E22" s="293">
        <f t="shared" si="3"/>
        <v>0</v>
      </c>
      <c r="F22" s="293">
        <f t="shared" si="3"/>
        <v>0</v>
      </c>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row>
    <row r="23" spans="1:37" ht="22.5" customHeight="1" outlineLevel="1" x14ac:dyDescent="0.85">
      <c r="A23" s="610" t="s">
        <v>107</v>
      </c>
      <c r="B23" s="611"/>
      <c r="C23" s="611"/>
      <c r="D23" s="611"/>
      <c r="E23" s="611"/>
      <c r="F23" s="612"/>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row>
    <row r="24" spans="1:37" ht="22.5" customHeight="1" outlineLevel="1" x14ac:dyDescent="0.85">
      <c r="A24" s="326" t="s">
        <v>1390</v>
      </c>
      <c r="B24" s="326" t="s">
        <v>1391</v>
      </c>
      <c r="C24" s="326" t="s">
        <v>1396</v>
      </c>
      <c r="D24" s="326" t="s">
        <v>1397</v>
      </c>
      <c r="E24" s="326" t="s">
        <v>1398</v>
      </c>
      <c r="F24" s="326" t="s">
        <v>1399</v>
      </c>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row>
    <row r="25" spans="1:37" ht="22.5" customHeight="1" outlineLevel="1" x14ac:dyDescent="0.85">
      <c r="A25" s="613" t="s">
        <v>353</v>
      </c>
      <c r="B25" s="349" t="s">
        <v>1400</v>
      </c>
      <c r="C25" s="409">
        <v>303873.7</v>
      </c>
      <c r="D25" s="409">
        <v>5.18</v>
      </c>
      <c r="E25" s="409">
        <v>0.75</v>
      </c>
      <c r="F25" s="103">
        <f>C25+(D25*'Conversion Factors and GWP'!$C$31)+('Industrial Processes Data'!E25*'Conversion Factors and GWP'!$C$32)</f>
        <v>304217.49</v>
      </c>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row>
    <row r="26" spans="1:37" ht="22.5" customHeight="1" outlineLevel="1" x14ac:dyDescent="0.85">
      <c r="A26" s="614" t="s">
        <v>398</v>
      </c>
      <c r="B26" s="293"/>
      <c r="C26" s="293">
        <f t="shared" ref="C26:F26" si="4">SUM(C25)</f>
        <v>303873.7</v>
      </c>
      <c r="D26" s="293">
        <f t="shared" si="4"/>
        <v>5.18</v>
      </c>
      <c r="E26" s="293">
        <f t="shared" si="4"/>
        <v>0.75</v>
      </c>
      <c r="F26" s="293">
        <f t="shared" si="4"/>
        <v>304217.49</v>
      </c>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row>
    <row r="27" spans="1:37" ht="22.5" customHeight="1" outlineLevel="1" x14ac:dyDescent="0.85">
      <c r="A27" s="615" t="s">
        <v>108</v>
      </c>
      <c r="B27" s="616"/>
      <c r="C27" s="616"/>
      <c r="D27" s="616"/>
      <c r="E27" s="616"/>
      <c r="F27" s="617"/>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row>
    <row r="28" spans="1:37" ht="22.5" customHeight="1" outlineLevel="1" x14ac:dyDescent="0.85">
      <c r="A28" s="289" t="s">
        <v>138</v>
      </c>
      <c r="B28" s="289" t="s">
        <v>1391</v>
      </c>
      <c r="C28" s="289" t="s">
        <v>1401</v>
      </c>
      <c r="D28" s="289" t="s">
        <v>1402</v>
      </c>
      <c r="E28" s="289" t="s">
        <v>1403</v>
      </c>
      <c r="F28" s="289" t="s">
        <v>1404</v>
      </c>
      <c r="G28" s="289" t="s">
        <v>1405</v>
      </c>
      <c r="H28" s="289" t="s">
        <v>1406</v>
      </c>
      <c r="I28" s="289" t="s">
        <v>1407</v>
      </c>
      <c r="J28" s="289" t="s">
        <v>1408</v>
      </c>
      <c r="K28" s="289" t="s">
        <v>1409</v>
      </c>
      <c r="L28" s="289" t="s">
        <v>1410</v>
      </c>
      <c r="M28" s="289" t="s">
        <v>1411</v>
      </c>
      <c r="N28" s="289" t="s">
        <v>1412</v>
      </c>
      <c r="O28" s="289" t="s">
        <v>1413</v>
      </c>
      <c r="P28" s="289" t="s">
        <v>1414</v>
      </c>
      <c r="Q28" s="289" t="s">
        <v>1415</v>
      </c>
      <c r="R28" s="1"/>
      <c r="S28" s="1"/>
      <c r="T28" s="1"/>
      <c r="U28" s="1"/>
      <c r="V28" s="1"/>
      <c r="W28" s="1"/>
      <c r="X28" s="1"/>
      <c r="Y28" s="1"/>
      <c r="Z28" s="1"/>
      <c r="AA28" s="1"/>
      <c r="AB28" s="1"/>
      <c r="AC28" s="1"/>
      <c r="AD28" s="1"/>
      <c r="AE28" s="1"/>
      <c r="AF28" s="1"/>
      <c r="AG28" s="1"/>
      <c r="AH28" s="1"/>
      <c r="AI28" s="1"/>
      <c r="AJ28" s="1"/>
      <c r="AK28" s="1"/>
    </row>
    <row r="29" spans="1:37" ht="22.5" customHeight="1" outlineLevel="1" x14ac:dyDescent="0.85">
      <c r="A29" s="613" t="s">
        <v>354</v>
      </c>
      <c r="B29" s="349" t="s">
        <v>1416</v>
      </c>
      <c r="C29" s="409">
        <v>0</v>
      </c>
      <c r="D29" s="409">
        <v>0</v>
      </c>
      <c r="E29" s="409">
        <v>49.332999999999998</v>
      </c>
      <c r="F29" s="103">
        <f>C29+(D29*'Conversion Factors and GWP'!$C$31)+('Industrial Processes Data'!E29*'Conversion Factors and GWP'!$C$32)</f>
        <v>13073.244999999999</v>
      </c>
      <c r="G29" s="397">
        <v>2.0049999999999999</v>
      </c>
      <c r="H29" s="618">
        <v>0.65</v>
      </c>
      <c r="I29" s="397">
        <v>0.09</v>
      </c>
      <c r="J29" s="397">
        <v>0.39100000000000001</v>
      </c>
      <c r="K29" s="397">
        <v>1.0999999999999999E-2</v>
      </c>
      <c r="L29" s="397">
        <v>1.7000000000000001E-2</v>
      </c>
      <c r="M29" s="397">
        <v>1.696</v>
      </c>
      <c r="N29" s="397">
        <v>0.65900000000000003</v>
      </c>
      <c r="O29" s="397">
        <v>0.309</v>
      </c>
      <c r="P29" s="397">
        <v>4.4999999999999998E-2</v>
      </c>
      <c r="Q29" s="103">
        <f>(G29*'Conversion Factors and GWP'!C34)+(H29*'Conversion Factors and GWP'!C35)+(I29*'Conversion Factors and GWP'!C36)+(J29*'Conversion Factors and GWP'!C35)+(K29*'Conversion Factors and GWP'!C36)+(L29*'Conversion Factors and GWP'!C37)+(M29*'Conversion Factors and GWP'!C38)+(N29*'Conversion Factors and GWP'!C39)+(O29*'Conversion Factors and GWP'!C40)+(P29*'Conversion Factors and GWP'!C43)+F29</f>
        <v>85567.278999999995</v>
      </c>
      <c r="R29" s="1"/>
      <c r="S29" s="1"/>
      <c r="T29" s="1"/>
      <c r="U29" s="1"/>
      <c r="V29" s="1"/>
      <c r="W29" s="1"/>
      <c r="X29" s="1"/>
      <c r="Y29" s="1"/>
      <c r="Z29" s="1"/>
      <c r="AA29" s="1"/>
      <c r="AB29" s="1"/>
      <c r="AC29" s="1"/>
      <c r="AD29" s="1"/>
      <c r="AE29" s="1"/>
      <c r="AF29" s="1"/>
      <c r="AG29" s="1"/>
      <c r="AH29" s="1"/>
      <c r="AI29" s="1"/>
      <c r="AJ29" s="1"/>
      <c r="AK29" s="1"/>
    </row>
    <row r="30" spans="1:37" ht="22.5" customHeight="1" outlineLevel="1" x14ac:dyDescent="0.85">
      <c r="A30" s="614" t="s">
        <v>398</v>
      </c>
      <c r="B30" s="293"/>
      <c r="C30" s="293">
        <f t="shared" ref="C30:Q30" si="5">SUM(C29)</f>
        <v>0</v>
      </c>
      <c r="D30" s="293">
        <f t="shared" si="5"/>
        <v>0</v>
      </c>
      <c r="E30" s="293">
        <f t="shared" si="5"/>
        <v>49.332999999999998</v>
      </c>
      <c r="F30" s="619">
        <f t="shared" si="5"/>
        <v>13073.244999999999</v>
      </c>
      <c r="G30" s="620">
        <f t="shared" si="5"/>
        <v>2.0049999999999999</v>
      </c>
      <c r="H30" s="621">
        <f t="shared" si="5"/>
        <v>0.65</v>
      </c>
      <c r="I30" s="620">
        <f t="shared" si="5"/>
        <v>0.09</v>
      </c>
      <c r="J30" s="620">
        <f t="shared" si="5"/>
        <v>0.39100000000000001</v>
      </c>
      <c r="K30" s="620">
        <f t="shared" si="5"/>
        <v>1.0999999999999999E-2</v>
      </c>
      <c r="L30" s="620">
        <f t="shared" si="5"/>
        <v>1.7000000000000001E-2</v>
      </c>
      <c r="M30" s="620">
        <f t="shared" si="5"/>
        <v>1.696</v>
      </c>
      <c r="N30" s="620">
        <f t="shared" si="5"/>
        <v>0.65900000000000003</v>
      </c>
      <c r="O30" s="620">
        <f t="shared" si="5"/>
        <v>0.309</v>
      </c>
      <c r="P30" s="620">
        <f t="shared" si="5"/>
        <v>4.4999999999999998E-2</v>
      </c>
      <c r="Q30" s="619">
        <f t="shared" si="5"/>
        <v>85567.278999999995</v>
      </c>
      <c r="R30" s="1"/>
      <c r="S30" s="1"/>
      <c r="T30" s="1"/>
      <c r="U30" s="1"/>
      <c r="V30" s="1"/>
      <c r="W30" s="1"/>
      <c r="X30" s="1"/>
      <c r="Y30" s="1"/>
      <c r="Z30" s="1"/>
      <c r="AA30" s="1"/>
      <c r="AB30" s="1"/>
      <c r="AC30" s="1"/>
      <c r="AD30" s="1"/>
      <c r="AE30" s="1"/>
      <c r="AF30" s="1"/>
      <c r="AG30" s="1"/>
      <c r="AH30" s="1"/>
      <c r="AI30" s="1"/>
      <c r="AJ30" s="1"/>
      <c r="AK30" s="1"/>
    </row>
    <row r="31" spans="1:37" ht="22.5" customHeight="1" outlineLevel="1" x14ac:dyDescent="0.85">
      <c r="A31" s="615" t="s">
        <v>109</v>
      </c>
      <c r="B31" s="616"/>
      <c r="C31" s="622"/>
      <c r="D31" s="622"/>
      <c r="E31" s="622"/>
      <c r="F31" s="617"/>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row>
    <row r="32" spans="1:37" ht="22.5" customHeight="1" outlineLevel="1" x14ac:dyDescent="0.85">
      <c r="A32" s="289" t="s">
        <v>138</v>
      </c>
      <c r="B32" s="289" t="s">
        <v>1391</v>
      </c>
      <c r="C32" s="289" t="s">
        <v>1417</v>
      </c>
      <c r="D32" s="289" t="s">
        <v>1418</v>
      </c>
      <c r="E32" s="289" t="s">
        <v>1419</v>
      </c>
      <c r="F32" s="289" t="s">
        <v>1420</v>
      </c>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row>
    <row r="33" spans="1:37" ht="22.5" customHeight="1" outlineLevel="1" x14ac:dyDescent="0.85">
      <c r="A33" s="623" t="s">
        <v>355</v>
      </c>
      <c r="B33" s="349" t="s">
        <v>1421</v>
      </c>
      <c r="C33" s="409">
        <v>2.2000000000000002</v>
      </c>
      <c r="D33" s="409">
        <v>47.26</v>
      </c>
      <c r="E33" s="409">
        <v>0</v>
      </c>
      <c r="F33" s="103">
        <f>C33+(D33*'Conversion Factors and GWP'!$C$31)+('Industrial Processes Data'!E33*'Conversion Factors and GWP'!$C$32)</f>
        <v>1325.48</v>
      </c>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row>
    <row r="34" spans="1:37" ht="22.5" customHeight="1" outlineLevel="1" x14ac:dyDescent="0.85">
      <c r="A34" s="614" t="s">
        <v>398</v>
      </c>
      <c r="B34" s="293"/>
      <c r="C34" s="293">
        <f t="shared" ref="C34:F34" si="6">SUM(C33)</f>
        <v>2.2000000000000002</v>
      </c>
      <c r="D34" s="293">
        <f t="shared" si="6"/>
        <v>47.26</v>
      </c>
      <c r="E34" s="293">
        <f t="shared" si="6"/>
        <v>0</v>
      </c>
      <c r="F34" s="293">
        <f t="shared" si="6"/>
        <v>1325.48</v>
      </c>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row>
    <row r="35" spans="1:37" ht="22.5" customHeight="1" outlineLevel="1" x14ac:dyDescent="0.85">
      <c r="A35" s="615" t="s">
        <v>110</v>
      </c>
      <c r="B35" s="616"/>
      <c r="C35" s="622"/>
      <c r="D35" s="622"/>
      <c r="E35" s="622"/>
      <c r="F35" s="617"/>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row>
    <row r="36" spans="1:37" ht="22.5" customHeight="1" outlineLevel="1" x14ac:dyDescent="0.85">
      <c r="A36" s="289" t="s">
        <v>138</v>
      </c>
      <c r="B36" s="289" t="s">
        <v>1391</v>
      </c>
      <c r="C36" s="289" t="s">
        <v>1422</v>
      </c>
      <c r="D36" s="289" t="s">
        <v>1423</v>
      </c>
      <c r="E36" s="289" t="s">
        <v>1424</v>
      </c>
      <c r="F36" s="289" t="s">
        <v>1425</v>
      </c>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row>
    <row r="37" spans="1:37" ht="22.5" customHeight="1" outlineLevel="1" x14ac:dyDescent="0.85">
      <c r="A37" s="623" t="s">
        <v>356</v>
      </c>
      <c r="B37" s="349" t="s">
        <v>1421</v>
      </c>
      <c r="C37" s="409">
        <v>6.8</v>
      </c>
      <c r="D37" s="409">
        <v>235.1</v>
      </c>
      <c r="E37" s="409">
        <v>0</v>
      </c>
      <c r="F37" s="103">
        <f>C37+(D37*'Conversion Factors and GWP'!$C$31)+('Industrial Processes Data'!E37*'Conversion Factors and GWP'!$C$32)</f>
        <v>6589.6</v>
      </c>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row>
    <row r="38" spans="1:37" ht="22.5" customHeight="1" outlineLevel="1" x14ac:dyDescent="0.85">
      <c r="A38" s="614" t="s">
        <v>398</v>
      </c>
      <c r="B38" s="293"/>
      <c r="C38" s="293">
        <f t="shared" ref="C38:F38" si="7">SUM(C37)</f>
        <v>6.8</v>
      </c>
      <c r="D38" s="293">
        <f t="shared" si="7"/>
        <v>235.1</v>
      </c>
      <c r="E38" s="293">
        <f t="shared" si="7"/>
        <v>0</v>
      </c>
      <c r="F38" s="293">
        <f t="shared" si="7"/>
        <v>6589.6</v>
      </c>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row>
    <row r="39" spans="1:37" ht="22.5" customHeight="1" outlineLevel="1" x14ac:dyDescent="0.8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row>
    <row r="40" spans="1:37" ht="22.5" customHeight="1" outlineLevel="1" x14ac:dyDescent="0.85">
      <c r="A40" s="334" t="s">
        <v>471</v>
      </c>
      <c r="B40" s="341"/>
      <c r="C40" s="341"/>
      <c r="D40" s="341"/>
      <c r="E40" s="341"/>
      <c r="F40" s="342"/>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row>
    <row r="41" spans="1:37" ht="22.5" customHeight="1" outlineLevel="1" x14ac:dyDescent="0.85">
      <c r="A41" s="610" t="s">
        <v>105</v>
      </c>
      <c r="B41" s="611"/>
      <c r="C41" s="611"/>
      <c r="D41" s="611"/>
      <c r="E41" s="611"/>
      <c r="F41" s="612"/>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row>
    <row r="42" spans="1:37" ht="22.5" customHeight="1" outlineLevel="1" x14ac:dyDescent="0.85">
      <c r="A42" s="326" t="s">
        <v>1390</v>
      </c>
      <c r="B42" s="326" t="s">
        <v>1391</v>
      </c>
      <c r="C42" s="326" t="s">
        <v>1426</v>
      </c>
      <c r="D42" s="326" t="s">
        <v>1427</v>
      </c>
      <c r="E42" s="326" t="s">
        <v>1428</v>
      </c>
      <c r="F42" s="326" t="s">
        <v>1429</v>
      </c>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row>
    <row r="43" spans="1:37" ht="22.5" customHeight="1" outlineLevel="1" x14ac:dyDescent="0.85">
      <c r="A43" s="623" t="s">
        <v>1430</v>
      </c>
      <c r="B43" s="349" t="s">
        <v>1431</v>
      </c>
      <c r="C43" s="409">
        <v>45989.2</v>
      </c>
      <c r="D43" s="409">
        <v>0.87</v>
      </c>
      <c r="E43" s="624">
        <v>8.6999999999999994E-2</v>
      </c>
      <c r="F43" s="103">
        <f>C43+(D43*'Conversion Factors and GWP'!$C$31)+('Industrial Processes Data'!E43*'Conversion Factors and GWP'!$C$32)</f>
        <v>46036.614999999998</v>
      </c>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row>
    <row r="44" spans="1:37" ht="22.5" customHeight="1" outlineLevel="1" x14ac:dyDescent="0.85">
      <c r="A44" s="623" t="s">
        <v>1432</v>
      </c>
      <c r="B44" s="349" t="s">
        <v>1433</v>
      </c>
      <c r="C44" s="409">
        <v>289129.8</v>
      </c>
      <c r="D44" s="409">
        <v>5.36</v>
      </c>
      <c r="E44" s="624">
        <v>0.53600000000000003</v>
      </c>
      <c r="F44" s="103">
        <f>C44+(D44*'Conversion Factors and GWP'!$C$31)+('Industrial Processes Data'!E44*'Conversion Factors and GWP'!$C$32)</f>
        <v>289421.92</v>
      </c>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row>
    <row r="45" spans="1:37" ht="22.5" customHeight="1" outlineLevel="1" x14ac:dyDescent="0.85">
      <c r="A45" s="623" t="s">
        <v>352</v>
      </c>
      <c r="B45" s="349" t="s">
        <v>1434</v>
      </c>
      <c r="C45" s="409">
        <v>3256555.4</v>
      </c>
      <c r="D45" s="409">
        <v>0</v>
      </c>
      <c r="E45" s="409">
        <v>0</v>
      </c>
      <c r="F45" s="103">
        <f>C45+(D45*'Conversion Factors and GWP'!$C$31)+('Industrial Processes Data'!E45*'Conversion Factors and GWP'!$C$32)</f>
        <v>3256555.4</v>
      </c>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row>
    <row r="46" spans="1:37" ht="22.5" customHeight="1" outlineLevel="1" x14ac:dyDescent="0.85">
      <c r="A46" s="623" t="s">
        <v>1435</v>
      </c>
      <c r="B46" s="349" t="s">
        <v>1431</v>
      </c>
      <c r="C46" s="409">
        <v>55073.7</v>
      </c>
      <c r="D46" s="409">
        <v>1.04</v>
      </c>
      <c r="E46" s="624">
        <v>0.104</v>
      </c>
      <c r="F46" s="103">
        <f>C46+(D46*'Conversion Factors and GWP'!$C$31)+('Industrial Processes Data'!E46*'Conversion Factors and GWP'!$C$32)</f>
        <v>55130.38</v>
      </c>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row>
    <row r="47" spans="1:37" ht="22.5" customHeight="1" outlineLevel="1" x14ac:dyDescent="0.85">
      <c r="A47" s="623" t="s">
        <v>352</v>
      </c>
      <c r="B47" s="349" t="s">
        <v>1421</v>
      </c>
      <c r="C47" s="409">
        <v>68.099999999999994</v>
      </c>
      <c r="D47" s="409">
        <v>2258.7399999999998</v>
      </c>
      <c r="E47" s="409">
        <v>0</v>
      </c>
      <c r="F47" s="103">
        <f>C47+(D47*'Conversion Factors and GWP'!$C$31)+('Industrial Processes Data'!E47*'Conversion Factors and GWP'!$C$32)</f>
        <v>63312.819999999992</v>
      </c>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row>
    <row r="48" spans="1:37" ht="22.5" customHeight="1" outlineLevel="1" x14ac:dyDescent="0.85">
      <c r="A48" s="614" t="s">
        <v>398</v>
      </c>
      <c r="B48" s="293"/>
      <c r="C48" s="293">
        <f t="shared" ref="C48:F48" si="8">SUM(C43:C47)</f>
        <v>3646816.2</v>
      </c>
      <c r="D48" s="293">
        <f t="shared" si="8"/>
        <v>2266.0099999999998</v>
      </c>
      <c r="E48" s="625">
        <f t="shared" si="8"/>
        <v>0.72699999999999998</v>
      </c>
      <c r="F48" s="293">
        <f t="shared" si="8"/>
        <v>3710457.1349999998</v>
      </c>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row>
    <row r="49" spans="1:37" ht="22.5" customHeight="1" outlineLevel="1" x14ac:dyDescent="0.85">
      <c r="A49" s="615" t="s">
        <v>107</v>
      </c>
      <c r="B49" s="616"/>
      <c r="C49" s="622"/>
      <c r="D49" s="622"/>
      <c r="E49" s="622"/>
      <c r="F49" s="617"/>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row>
    <row r="50" spans="1:37" ht="22.5" customHeight="1" outlineLevel="1" x14ac:dyDescent="0.85">
      <c r="A50" s="289" t="s">
        <v>138</v>
      </c>
      <c r="B50" s="289" t="s">
        <v>1391</v>
      </c>
      <c r="C50" s="289" t="s">
        <v>1436</v>
      </c>
      <c r="D50" s="289" t="s">
        <v>1437</v>
      </c>
      <c r="E50" s="289" t="s">
        <v>1438</v>
      </c>
      <c r="F50" s="289" t="s">
        <v>1439</v>
      </c>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row>
    <row r="51" spans="1:37" ht="22.5" customHeight="1" outlineLevel="1" x14ac:dyDescent="0.85">
      <c r="A51" s="623" t="s">
        <v>1430</v>
      </c>
      <c r="B51" s="349" t="s">
        <v>1431</v>
      </c>
      <c r="C51" s="409">
        <v>45989.2</v>
      </c>
      <c r="D51" s="409">
        <v>0.87</v>
      </c>
      <c r="E51" s="624">
        <v>8.6999999999999994E-2</v>
      </c>
      <c r="F51" s="103">
        <f>C51+(D51*'Conversion Factors and GWP'!$C$31)+('Industrial Processes Data'!E51*'Conversion Factors and GWP'!$C$32)</f>
        <v>46036.614999999998</v>
      </c>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row>
    <row r="52" spans="1:37" ht="22.5" customHeight="1" outlineLevel="1" x14ac:dyDescent="0.85">
      <c r="A52" s="623" t="s">
        <v>352</v>
      </c>
      <c r="B52" s="349" t="s">
        <v>1434</v>
      </c>
      <c r="C52" s="409">
        <v>3256555.4</v>
      </c>
      <c r="D52" s="409">
        <v>0</v>
      </c>
      <c r="E52" s="409">
        <v>0</v>
      </c>
      <c r="F52" s="103">
        <f>C52+(D52*'Conversion Factors and GWP'!$C$31)+('Industrial Processes Data'!E52*'Conversion Factors and GWP'!$C$32)</f>
        <v>3256555.4</v>
      </c>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row>
    <row r="53" spans="1:37" ht="22.5" customHeight="1" outlineLevel="1" x14ac:dyDescent="0.85">
      <c r="A53" s="623" t="s">
        <v>1432</v>
      </c>
      <c r="B53" s="349" t="s">
        <v>1433</v>
      </c>
      <c r="C53" s="409">
        <v>289129.8</v>
      </c>
      <c r="D53" s="409">
        <v>5.36</v>
      </c>
      <c r="E53" s="624">
        <v>0.53600000000000003</v>
      </c>
      <c r="F53" s="103">
        <f>C53+(D53*'Conversion Factors and GWP'!$C$31)+('Industrial Processes Data'!E53*'Conversion Factors and GWP'!$C$32)</f>
        <v>289421.92</v>
      </c>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row>
    <row r="54" spans="1:37" ht="22.5" customHeight="1" outlineLevel="1" x14ac:dyDescent="0.85">
      <c r="A54" s="623" t="s">
        <v>1440</v>
      </c>
      <c r="B54" s="349" t="s">
        <v>1433</v>
      </c>
      <c r="C54" s="409">
        <v>345565.3</v>
      </c>
      <c r="D54" s="409">
        <v>6.42</v>
      </c>
      <c r="E54" s="624">
        <v>0.64300000000000002</v>
      </c>
      <c r="F54" s="103">
        <f>C54+(D54*'Conversion Factors and GWP'!$C$31)+('Industrial Processes Data'!E54*'Conversion Factors and GWP'!$C$32)</f>
        <v>345915.45500000002</v>
      </c>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row>
    <row r="55" spans="1:37" ht="22.5" customHeight="1" outlineLevel="1" x14ac:dyDescent="0.85">
      <c r="A55" s="623" t="s">
        <v>1435</v>
      </c>
      <c r="B55" s="349" t="s">
        <v>1431</v>
      </c>
      <c r="C55" s="409">
        <v>55073.7</v>
      </c>
      <c r="D55" s="409">
        <v>1.04</v>
      </c>
      <c r="E55" s="624">
        <v>0.104</v>
      </c>
      <c r="F55" s="103">
        <f>C55+(D55*'Conversion Factors and GWP'!$C$31)+('Industrial Processes Data'!E55*'Conversion Factors and GWP'!$C$32)</f>
        <v>55130.38</v>
      </c>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row>
    <row r="56" spans="1:37" ht="22.5" customHeight="1" outlineLevel="1" x14ac:dyDescent="0.85">
      <c r="A56" s="623" t="s">
        <v>352</v>
      </c>
      <c r="B56" s="349" t="s">
        <v>1421</v>
      </c>
      <c r="C56" s="409">
        <v>68.099999999999994</v>
      </c>
      <c r="D56" s="409">
        <v>2258.7399999999998</v>
      </c>
      <c r="E56" s="409">
        <v>0</v>
      </c>
      <c r="F56" s="103">
        <f>C56+(D56*'Conversion Factors and GWP'!$C$31)+('Industrial Processes Data'!E56*'Conversion Factors and GWP'!$C$32)</f>
        <v>63312.819999999992</v>
      </c>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row>
    <row r="57" spans="1:37" ht="22.5" customHeight="1" outlineLevel="1" x14ac:dyDescent="0.85">
      <c r="A57" s="626" t="s">
        <v>119</v>
      </c>
      <c r="B57" s="293"/>
      <c r="C57" s="293">
        <f t="shared" ref="C57:F57" si="9">SUM(C51:C56)</f>
        <v>3992381.5</v>
      </c>
      <c r="D57" s="293">
        <f t="shared" si="9"/>
        <v>2272.4299999999998</v>
      </c>
      <c r="E57" s="293">
        <f t="shared" si="9"/>
        <v>1.37</v>
      </c>
      <c r="F57" s="293">
        <f t="shared" si="9"/>
        <v>4056372.59</v>
      </c>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row>
    <row r="58" spans="1:37" ht="22.5" customHeight="1" outlineLevel="1" x14ac:dyDescent="0.85">
      <c r="A58" s="615" t="s">
        <v>108</v>
      </c>
      <c r="B58" s="622"/>
      <c r="C58" s="622"/>
      <c r="D58" s="622"/>
      <c r="E58" s="622"/>
      <c r="F58" s="617"/>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row>
    <row r="59" spans="1:37" ht="22.5" customHeight="1" outlineLevel="1" x14ac:dyDescent="0.85">
      <c r="A59" s="289" t="s">
        <v>138</v>
      </c>
      <c r="B59" s="289" t="s">
        <v>1391</v>
      </c>
      <c r="C59" s="289" t="s">
        <v>1441</v>
      </c>
      <c r="D59" s="289" t="s">
        <v>1442</v>
      </c>
      <c r="E59" s="289" t="s">
        <v>1443</v>
      </c>
      <c r="F59" s="289" t="s">
        <v>1444</v>
      </c>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row>
    <row r="60" spans="1:37" ht="22.5" customHeight="1" outlineLevel="1" x14ac:dyDescent="0.85">
      <c r="A60" s="623" t="s">
        <v>1445</v>
      </c>
      <c r="B60" s="349" t="s">
        <v>1431</v>
      </c>
      <c r="C60" s="409">
        <v>15738.9</v>
      </c>
      <c r="D60" s="624">
        <v>0.3</v>
      </c>
      <c r="E60" s="627">
        <v>0.03</v>
      </c>
      <c r="F60" s="103">
        <f>C60+(D60*'Conversion Factors and GWP'!$C$31)+('Industrial Processes Data'!E60*'Conversion Factors and GWP'!$C$32)</f>
        <v>15755.25</v>
      </c>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row>
    <row r="61" spans="1:37" ht="22.5" customHeight="1" outlineLevel="1" x14ac:dyDescent="0.85">
      <c r="A61" s="623" t="s">
        <v>354</v>
      </c>
      <c r="B61" s="349" t="s">
        <v>1431</v>
      </c>
      <c r="C61" s="409">
        <v>23940.6</v>
      </c>
      <c r="D61" s="397">
        <v>0.45</v>
      </c>
      <c r="E61" s="627">
        <v>4.4999999999999998E-2</v>
      </c>
      <c r="F61" s="103">
        <f>C61+(D61*'Conversion Factors and GWP'!$C$31)+('Industrial Processes Data'!E61*'Conversion Factors and GWP'!$C$32)</f>
        <v>23965.124999999996</v>
      </c>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row>
    <row r="62" spans="1:37" ht="22.5" customHeight="1" outlineLevel="1" x14ac:dyDescent="0.85">
      <c r="A62" s="626" t="s">
        <v>119</v>
      </c>
      <c r="B62" s="293"/>
      <c r="C62" s="293">
        <f t="shared" ref="C62:F62" si="10">SUM(C60:C61)</f>
        <v>39679.5</v>
      </c>
      <c r="D62" s="293">
        <f t="shared" si="10"/>
        <v>0.75</v>
      </c>
      <c r="E62" s="319">
        <f t="shared" si="10"/>
        <v>7.4999999999999997E-2</v>
      </c>
      <c r="F62" s="293">
        <f t="shared" si="10"/>
        <v>39720.375</v>
      </c>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row>
    <row r="63" spans="1:37" ht="22.5" customHeight="1" outlineLevel="1" x14ac:dyDescent="0.85">
      <c r="A63" s="615" t="s">
        <v>109</v>
      </c>
      <c r="B63" s="616"/>
      <c r="C63" s="622"/>
      <c r="D63" s="622"/>
      <c r="E63" s="622"/>
      <c r="F63" s="617"/>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row>
    <row r="64" spans="1:37" ht="22.5" customHeight="1" outlineLevel="1" x14ac:dyDescent="0.85">
      <c r="A64" s="289" t="s">
        <v>138</v>
      </c>
      <c r="B64" s="289" t="s">
        <v>1391</v>
      </c>
      <c r="C64" s="289" t="s">
        <v>1446</v>
      </c>
      <c r="D64" s="289" t="s">
        <v>1447</v>
      </c>
      <c r="E64" s="289" t="s">
        <v>1448</v>
      </c>
      <c r="F64" s="289" t="s">
        <v>1449</v>
      </c>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row>
    <row r="65" spans="1:37" ht="22.5" customHeight="1" outlineLevel="1" x14ac:dyDescent="0.85">
      <c r="A65" s="623" t="s">
        <v>355</v>
      </c>
      <c r="B65" s="349" t="s">
        <v>1431</v>
      </c>
      <c r="C65" s="409">
        <v>30970.6</v>
      </c>
      <c r="D65" s="397">
        <v>0.57999999999999996</v>
      </c>
      <c r="E65" s="397">
        <v>5.8000000000000003E-2</v>
      </c>
      <c r="F65" s="103">
        <f>C65+(D65*'Conversion Factors and GWP'!$C$31)+('Industrial Processes Data'!E65*'Conversion Factors and GWP'!$C$32)</f>
        <v>31002.21</v>
      </c>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row>
    <row r="66" spans="1:37" ht="22.5" customHeight="1" outlineLevel="1" x14ac:dyDescent="0.85">
      <c r="A66" s="626" t="s">
        <v>119</v>
      </c>
      <c r="B66" s="293"/>
      <c r="C66" s="293">
        <f t="shared" ref="C66:F66" si="11">SUM(C65)</f>
        <v>30970.6</v>
      </c>
      <c r="D66" s="293">
        <f t="shared" si="11"/>
        <v>0.57999999999999996</v>
      </c>
      <c r="E66" s="319">
        <f t="shared" si="11"/>
        <v>5.8000000000000003E-2</v>
      </c>
      <c r="F66" s="293">
        <f t="shared" si="11"/>
        <v>31002.21</v>
      </c>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row>
    <row r="67" spans="1:37" ht="22.5" customHeight="1" outlineLevel="1" x14ac:dyDescent="0.85">
      <c r="A67" s="615" t="s">
        <v>110</v>
      </c>
      <c r="B67" s="616"/>
      <c r="C67" s="622"/>
      <c r="D67" s="622"/>
      <c r="E67" s="622"/>
      <c r="F67" s="617"/>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row>
    <row r="68" spans="1:37" ht="22.5" customHeight="1" outlineLevel="1" x14ac:dyDescent="0.85">
      <c r="A68" s="289" t="s">
        <v>138</v>
      </c>
      <c r="B68" s="289" t="s">
        <v>1391</v>
      </c>
      <c r="C68" s="289" t="s">
        <v>1450</v>
      </c>
      <c r="D68" s="289" t="s">
        <v>1451</v>
      </c>
      <c r="E68" s="289" t="s">
        <v>1452</v>
      </c>
      <c r="F68" s="289" t="s">
        <v>1453</v>
      </c>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row>
    <row r="69" spans="1:37" ht="22.5" customHeight="1" outlineLevel="1" x14ac:dyDescent="0.85">
      <c r="A69" s="623" t="s">
        <v>356</v>
      </c>
      <c r="B69" s="349" t="s">
        <v>1431</v>
      </c>
      <c r="C69" s="409">
        <v>9898.7999999999993</v>
      </c>
      <c r="D69" s="624">
        <v>0.19</v>
      </c>
      <c r="E69" s="397">
        <v>1.9E-2</v>
      </c>
      <c r="F69" s="103">
        <f>C69+(D69*'Conversion Factors and GWP'!$C$31)+('Industrial Processes Data'!E69*'Conversion Factors and GWP'!$C$32)</f>
        <v>9909.1549999999988</v>
      </c>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row>
    <row r="70" spans="1:37" ht="22.5" customHeight="1" outlineLevel="1" x14ac:dyDescent="0.85">
      <c r="A70" s="623" t="s">
        <v>1454</v>
      </c>
      <c r="B70" s="349" t="s">
        <v>1433</v>
      </c>
      <c r="C70" s="409">
        <v>36226.6</v>
      </c>
      <c r="D70" s="409">
        <v>0.67</v>
      </c>
      <c r="E70" s="624">
        <v>6.7000000000000004E-2</v>
      </c>
      <c r="F70" s="103">
        <f>C70+(D70*'Conversion Factors and GWP'!$C$31)+('Industrial Processes Data'!E70*'Conversion Factors and GWP'!$C$32)</f>
        <v>36263.114999999998</v>
      </c>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row>
    <row r="71" spans="1:37" ht="22.5" customHeight="1" outlineLevel="1" x14ac:dyDescent="0.85">
      <c r="A71" s="623" t="s">
        <v>1455</v>
      </c>
      <c r="B71" s="349" t="s">
        <v>1431</v>
      </c>
      <c r="C71" s="409">
        <v>516.79999999999995</v>
      </c>
      <c r="D71" s="397">
        <v>0.01</v>
      </c>
      <c r="E71" s="627">
        <v>1E-3</v>
      </c>
      <c r="F71" s="103">
        <f>C71+(D71*'Conversion Factors and GWP'!$C$31)+('Industrial Processes Data'!E71*'Conversion Factors and GWP'!$C$32)</f>
        <v>517.34499999999991</v>
      </c>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row>
    <row r="72" spans="1:37" ht="22.5" customHeight="1" outlineLevel="1" x14ac:dyDescent="0.85">
      <c r="A72" s="623" t="s">
        <v>1455</v>
      </c>
      <c r="B72" s="349" t="s">
        <v>1433</v>
      </c>
      <c r="C72" s="409">
        <v>145907.5</v>
      </c>
      <c r="D72" s="409">
        <v>2.71</v>
      </c>
      <c r="E72" s="624">
        <v>0.27100000000000002</v>
      </c>
      <c r="F72" s="103">
        <f>C72+(D72*'Conversion Factors and GWP'!$C$31)+('Industrial Processes Data'!E72*'Conversion Factors and GWP'!$C$32)</f>
        <v>146055.19500000001</v>
      </c>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row>
    <row r="73" spans="1:37" ht="22.5" customHeight="1" outlineLevel="1" x14ac:dyDescent="0.85">
      <c r="A73" s="626" t="s">
        <v>119</v>
      </c>
      <c r="B73" s="293"/>
      <c r="C73" s="293">
        <f t="shared" ref="C73:F73" si="12">SUM(C69:C72)</f>
        <v>192549.7</v>
      </c>
      <c r="D73" s="293">
        <f t="shared" si="12"/>
        <v>3.58</v>
      </c>
      <c r="E73" s="625">
        <f t="shared" si="12"/>
        <v>0.35800000000000004</v>
      </c>
      <c r="F73" s="293">
        <f t="shared" si="12"/>
        <v>192744.81</v>
      </c>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row>
    <row r="74" spans="1:37" ht="22.5" customHeight="1" x14ac:dyDescent="0.8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row>
    <row r="75" spans="1:37" ht="22.5" customHeight="1" x14ac:dyDescent="0.8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row>
    <row r="76" spans="1:37" ht="22.5" customHeight="1" x14ac:dyDescent="0.8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row>
    <row r="77" spans="1:37" ht="22.5" customHeight="1" x14ac:dyDescent="0.8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row>
    <row r="78" spans="1:37" ht="22.5" customHeight="1" x14ac:dyDescent="0.8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row>
    <row r="79" spans="1:37" ht="22.5" customHeight="1" x14ac:dyDescent="0.8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row>
    <row r="80" spans="1:37" ht="22.5" customHeight="1" x14ac:dyDescent="0.8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row>
    <row r="81" spans="1:37" ht="22.5" customHeight="1" x14ac:dyDescent="0.8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row>
    <row r="82" spans="1:37" ht="22.5" customHeight="1" x14ac:dyDescent="0.8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row>
    <row r="83" spans="1:37" ht="22.5" customHeight="1" x14ac:dyDescent="0.8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row>
    <row r="84" spans="1:37" ht="22.5" customHeight="1" x14ac:dyDescent="0.8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row>
    <row r="85" spans="1:37" ht="22.5" customHeight="1" x14ac:dyDescent="0.8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row>
    <row r="86" spans="1:37" ht="22.5" customHeight="1" x14ac:dyDescent="0.8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row>
    <row r="87" spans="1:37" ht="22.5" customHeight="1" x14ac:dyDescent="0.8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row>
    <row r="88" spans="1:37" ht="22.5" customHeight="1" x14ac:dyDescent="0.8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row>
    <row r="89" spans="1:37" ht="22.5" customHeight="1" x14ac:dyDescent="0.8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row>
    <row r="90" spans="1:37" ht="22.5" customHeight="1" x14ac:dyDescent="0.8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row>
    <row r="91" spans="1:37" ht="22.5" customHeight="1" x14ac:dyDescent="0.8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row>
    <row r="92" spans="1:37" ht="22.5" customHeight="1" x14ac:dyDescent="0.8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row>
    <row r="93" spans="1:37" ht="22.5" customHeight="1" x14ac:dyDescent="0.8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row>
    <row r="94" spans="1:37" ht="22.5" customHeight="1" x14ac:dyDescent="0.8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row>
    <row r="95" spans="1:37" ht="22.5" customHeight="1" x14ac:dyDescent="0.8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row>
    <row r="96" spans="1:37" ht="22.5" customHeight="1" x14ac:dyDescent="0.8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row>
    <row r="97" spans="1:37" ht="22.5" customHeight="1" x14ac:dyDescent="0.8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row>
    <row r="98" spans="1:37" ht="22.5" customHeight="1" x14ac:dyDescent="0.8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row>
    <row r="99" spans="1:37" ht="22.5" customHeight="1" x14ac:dyDescent="0.8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row>
    <row r="100" spans="1:37" ht="22.5" customHeight="1" x14ac:dyDescent="0.8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row>
    <row r="101" spans="1:37" ht="22.5" customHeight="1" x14ac:dyDescent="0.8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row>
    <row r="102" spans="1:37" ht="22.5" customHeight="1" x14ac:dyDescent="0.8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row>
    <row r="103" spans="1:37" ht="22.5" customHeight="1" x14ac:dyDescent="0.8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row>
    <row r="104" spans="1:37" ht="22.5" customHeight="1" x14ac:dyDescent="0.8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row>
    <row r="105" spans="1:37" ht="22.5" customHeight="1" x14ac:dyDescent="0.8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row>
    <row r="106" spans="1:37" ht="22.5" customHeight="1" x14ac:dyDescent="0.8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row>
    <row r="107" spans="1:37" ht="22.5" customHeight="1" x14ac:dyDescent="0.8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row>
    <row r="108" spans="1:37" ht="22.5" customHeight="1" x14ac:dyDescent="0.8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row>
    <row r="109" spans="1:37" ht="22.5" customHeight="1" x14ac:dyDescent="0.8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row>
    <row r="110" spans="1:37" ht="22.5" customHeight="1" x14ac:dyDescent="0.8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row>
    <row r="111" spans="1:37" ht="22.5" customHeight="1" x14ac:dyDescent="0.8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row>
    <row r="112" spans="1:37" ht="22.5" customHeight="1" x14ac:dyDescent="0.8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row>
    <row r="113" spans="1:37" ht="22.5" customHeight="1" x14ac:dyDescent="0.8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row>
    <row r="114" spans="1:37" ht="22.5" customHeight="1" x14ac:dyDescent="0.8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row>
    <row r="115" spans="1:37" ht="22.5" customHeight="1" x14ac:dyDescent="0.8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row>
    <row r="116" spans="1:37" ht="22.5" customHeight="1" x14ac:dyDescent="0.8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row>
    <row r="117" spans="1:37" ht="22.5" customHeight="1" x14ac:dyDescent="0.8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row>
    <row r="118" spans="1:37" ht="22.5" customHeight="1" x14ac:dyDescent="0.8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row>
    <row r="119" spans="1:37" ht="22.5" customHeight="1" x14ac:dyDescent="0.8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row>
    <row r="120" spans="1:37" ht="22.5" customHeight="1" x14ac:dyDescent="0.8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row>
    <row r="121" spans="1:37" ht="22.5" customHeight="1" x14ac:dyDescent="0.8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row>
    <row r="122" spans="1:37" ht="22.5" customHeight="1" x14ac:dyDescent="0.8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row>
    <row r="123" spans="1:37" ht="22.5" customHeight="1" x14ac:dyDescent="0.8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row>
    <row r="124" spans="1:37" ht="22.5" customHeight="1" x14ac:dyDescent="0.8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row>
    <row r="125" spans="1:37" ht="22.5" customHeight="1" x14ac:dyDescent="0.8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row>
    <row r="126" spans="1:37" ht="22.5" customHeight="1" x14ac:dyDescent="0.8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row>
    <row r="127" spans="1:37" ht="22.5" customHeight="1" x14ac:dyDescent="0.8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row>
    <row r="128" spans="1:37" ht="22.5" customHeight="1" x14ac:dyDescent="0.8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row>
    <row r="129" spans="1:37" ht="22.5" customHeight="1" x14ac:dyDescent="0.8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row>
    <row r="130" spans="1:37" ht="22.5" customHeight="1" x14ac:dyDescent="0.8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row>
    <row r="131" spans="1:37" ht="22.5" customHeight="1" x14ac:dyDescent="0.8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row>
    <row r="132" spans="1:37" ht="22.5" customHeight="1" x14ac:dyDescent="0.8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row>
    <row r="133" spans="1:37" ht="22.5" customHeight="1" x14ac:dyDescent="0.8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row>
    <row r="134" spans="1:37" ht="22.5" customHeight="1" x14ac:dyDescent="0.8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row>
    <row r="135" spans="1:37" ht="22.5" customHeight="1" x14ac:dyDescent="0.8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row>
    <row r="136" spans="1:37" ht="22.5" customHeight="1" x14ac:dyDescent="0.8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row>
    <row r="137" spans="1:37" ht="22.5" customHeight="1" x14ac:dyDescent="0.8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row>
    <row r="138" spans="1:37" ht="22.5" customHeight="1" x14ac:dyDescent="0.8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row>
    <row r="139" spans="1:37" ht="22.5" customHeight="1" x14ac:dyDescent="0.8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row>
    <row r="140" spans="1:37" ht="22.5" customHeight="1" x14ac:dyDescent="0.8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row>
    <row r="141" spans="1:37" ht="22.5" customHeight="1" x14ac:dyDescent="0.8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row>
    <row r="142" spans="1:37" ht="22.5" customHeight="1" x14ac:dyDescent="0.8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row>
    <row r="143" spans="1:37" ht="22.5" customHeight="1" x14ac:dyDescent="0.8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row>
    <row r="144" spans="1:37" ht="22.5" customHeight="1" x14ac:dyDescent="0.8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row>
    <row r="145" spans="1:37" ht="22.5" customHeight="1" x14ac:dyDescent="0.8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row>
    <row r="146" spans="1:37" ht="22.5" customHeight="1" x14ac:dyDescent="0.8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row>
    <row r="147" spans="1:37" ht="22.5" customHeight="1" x14ac:dyDescent="0.8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row>
    <row r="148" spans="1:37" ht="22.5" customHeight="1" x14ac:dyDescent="0.8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row>
    <row r="149" spans="1:37" ht="22.5" customHeight="1" x14ac:dyDescent="0.8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row>
    <row r="150" spans="1:37" ht="22.5" customHeight="1" x14ac:dyDescent="0.8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row>
    <row r="151" spans="1:37" ht="22.5" customHeight="1" x14ac:dyDescent="0.8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row>
    <row r="152" spans="1:37" ht="22.5" customHeight="1" x14ac:dyDescent="0.8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row>
    <row r="153" spans="1:37" ht="22.5" customHeight="1" x14ac:dyDescent="0.8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row>
    <row r="154" spans="1:37" ht="22.5" customHeight="1" x14ac:dyDescent="0.8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row>
    <row r="155" spans="1:37" ht="22.5" customHeight="1" x14ac:dyDescent="0.8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row>
    <row r="156" spans="1:37" ht="22.5" customHeight="1" x14ac:dyDescent="0.8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row>
    <row r="157" spans="1:37" ht="22.5" customHeight="1" x14ac:dyDescent="0.8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row>
    <row r="158" spans="1:37" ht="22.5" customHeight="1" x14ac:dyDescent="0.8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row>
    <row r="159" spans="1:37" ht="22.5" customHeight="1" x14ac:dyDescent="0.8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row>
    <row r="160" spans="1:37" ht="22.5" customHeight="1" x14ac:dyDescent="0.8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row>
    <row r="161" spans="1:37" ht="22.5" customHeight="1" x14ac:dyDescent="0.8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row>
    <row r="162" spans="1:37" ht="22.5" customHeight="1" x14ac:dyDescent="0.8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row>
    <row r="163" spans="1:37" ht="22.5" customHeight="1" x14ac:dyDescent="0.8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row>
    <row r="164" spans="1:37" ht="22.5" customHeight="1" x14ac:dyDescent="0.8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row>
    <row r="165" spans="1:37" ht="22.5" customHeight="1" x14ac:dyDescent="0.8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row>
    <row r="166" spans="1:37" ht="22.5" customHeight="1" x14ac:dyDescent="0.8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row>
    <row r="167" spans="1:37" ht="22.5" customHeight="1" x14ac:dyDescent="0.8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row>
    <row r="168" spans="1:37" ht="22.5" customHeight="1" x14ac:dyDescent="0.8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row>
    <row r="169" spans="1:37" ht="22.5" customHeight="1" x14ac:dyDescent="0.8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row>
    <row r="170" spans="1:37" ht="22.5" customHeight="1" x14ac:dyDescent="0.8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row>
    <row r="171" spans="1:37" ht="22.5" customHeight="1" x14ac:dyDescent="0.8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row>
    <row r="172" spans="1:37" ht="22.5" customHeight="1" x14ac:dyDescent="0.8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row>
    <row r="173" spans="1:37" ht="22.5" customHeight="1" x14ac:dyDescent="0.8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row>
    <row r="174" spans="1:37" ht="22.5" customHeight="1" x14ac:dyDescent="0.8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row>
    <row r="175" spans="1:37" ht="22.5" customHeight="1" x14ac:dyDescent="0.8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row>
    <row r="176" spans="1:37" ht="22.5" customHeight="1" x14ac:dyDescent="0.8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row>
    <row r="177" spans="1:37" ht="22.5" customHeight="1" x14ac:dyDescent="0.8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row>
    <row r="178" spans="1:37" ht="22.5" customHeight="1" x14ac:dyDescent="0.8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row>
    <row r="179" spans="1:37" ht="22.5" customHeight="1" x14ac:dyDescent="0.8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row>
    <row r="180" spans="1:37" ht="22.5" customHeight="1" x14ac:dyDescent="0.8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row>
    <row r="181" spans="1:37" ht="22.5" customHeight="1" x14ac:dyDescent="0.8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row>
    <row r="182" spans="1:37" ht="22.5" customHeight="1" x14ac:dyDescent="0.8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row>
    <row r="183" spans="1:37" ht="22.5" customHeight="1" x14ac:dyDescent="0.8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row>
    <row r="184" spans="1:37" ht="22.5" customHeight="1" x14ac:dyDescent="0.8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row>
    <row r="185" spans="1:37" ht="22.5" customHeight="1" x14ac:dyDescent="0.8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row>
    <row r="186" spans="1:37" ht="22.5" customHeight="1" x14ac:dyDescent="0.8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row>
    <row r="187" spans="1:37" ht="22.5" customHeight="1" x14ac:dyDescent="0.8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row>
    <row r="188" spans="1:37" ht="22.5" customHeight="1" x14ac:dyDescent="0.8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row>
    <row r="189" spans="1:37" ht="22.5" customHeight="1" x14ac:dyDescent="0.8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row>
    <row r="190" spans="1:37" ht="22.5" customHeight="1" x14ac:dyDescent="0.8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row>
    <row r="191" spans="1:37" ht="22.5" customHeight="1" x14ac:dyDescent="0.8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row>
    <row r="192" spans="1:37" ht="22.5" customHeight="1" x14ac:dyDescent="0.8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row>
    <row r="193" spans="1:37" ht="22.5" customHeight="1" x14ac:dyDescent="0.8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row>
    <row r="194" spans="1:37" ht="22.5" customHeight="1" x14ac:dyDescent="0.8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row>
    <row r="195" spans="1:37" ht="22.5" customHeight="1" x14ac:dyDescent="0.8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row>
    <row r="196" spans="1:37" ht="22.5" customHeight="1" x14ac:dyDescent="0.8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row>
    <row r="197" spans="1:37" ht="22.5" customHeight="1" x14ac:dyDescent="0.8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row>
    <row r="198" spans="1:37" ht="22.5" customHeight="1" x14ac:dyDescent="0.8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row>
    <row r="199" spans="1:37" ht="22.5" customHeight="1" x14ac:dyDescent="0.8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row>
    <row r="200" spans="1:37" ht="22.5" customHeight="1" x14ac:dyDescent="0.8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row>
    <row r="201" spans="1:37" ht="22.5" customHeight="1" x14ac:dyDescent="0.8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row>
    <row r="202" spans="1:37" ht="22.5" customHeight="1" x14ac:dyDescent="0.8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row>
    <row r="203" spans="1:37" ht="22.5" customHeight="1" x14ac:dyDescent="0.8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row>
    <row r="204" spans="1:37" ht="22.5" customHeight="1" x14ac:dyDescent="0.8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row>
    <row r="205" spans="1:37" ht="22.5" customHeight="1" x14ac:dyDescent="0.8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row>
    <row r="206" spans="1:37" ht="22.5" customHeight="1" x14ac:dyDescent="0.8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row>
    <row r="207" spans="1:37" ht="22.5" customHeight="1" x14ac:dyDescent="0.8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row>
    <row r="208" spans="1:37" ht="22.5" customHeight="1" x14ac:dyDescent="0.8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row>
    <row r="209" spans="1:37" ht="22.5" customHeight="1" x14ac:dyDescent="0.8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row>
    <row r="210" spans="1:37" ht="22.5" customHeight="1" x14ac:dyDescent="0.8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row>
    <row r="211" spans="1:37" ht="22.5" customHeight="1" x14ac:dyDescent="0.8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row>
    <row r="212" spans="1:37" ht="22.5" customHeight="1" x14ac:dyDescent="0.8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row>
    <row r="213" spans="1:37" ht="22.5" customHeight="1" x14ac:dyDescent="0.8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row>
    <row r="214" spans="1:37" ht="22.5" customHeight="1" x14ac:dyDescent="0.8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row>
    <row r="215" spans="1:37" ht="22.5" customHeight="1" x14ac:dyDescent="0.8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row>
    <row r="216" spans="1:37" ht="22.5" customHeight="1" x14ac:dyDescent="0.8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row>
    <row r="217" spans="1:37" ht="22.5" customHeight="1" x14ac:dyDescent="0.8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row>
    <row r="218" spans="1:37" ht="22.5" customHeight="1" x14ac:dyDescent="0.8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row>
    <row r="219" spans="1:37" ht="22.5" customHeight="1" x14ac:dyDescent="0.8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row>
    <row r="220" spans="1:37" ht="22.5" customHeight="1" x14ac:dyDescent="0.8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row>
    <row r="221" spans="1:37" ht="22.5" customHeight="1" x14ac:dyDescent="0.8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row>
    <row r="222" spans="1:37" ht="22.5" customHeight="1" x14ac:dyDescent="0.8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row>
    <row r="223" spans="1:37" ht="22.5" customHeight="1" x14ac:dyDescent="0.8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row>
    <row r="224" spans="1:37" ht="22.5" customHeight="1" x14ac:dyDescent="0.8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row>
    <row r="225" spans="1:37" ht="22.5" customHeight="1" x14ac:dyDescent="0.8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row>
    <row r="226" spans="1:37" ht="22.5" customHeight="1" x14ac:dyDescent="0.8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row>
    <row r="227" spans="1:37" ht="22.5" customHeight="1" x14ac:dyDescent="0.8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row>
    <row r="228" spans="1:37" ht="22.5" customHeight="1" x14ac:dyDescent="0.8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row>
    <row r="229" spans="1:37" ht="22.5" customHeight="1" x14ac:dyDescent="0.8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row>
    <row r="230" spans="1:37" ht="22.5" customHeight="1" x14ac:dyDescent="0.8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row>
    <row r="231" spans="1:37" ht="22.5" customHeight="1" x14ac:dyDescent="0.8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row>
    <row r="232" spans="1:37" ht="22.5" customHeight="1" x14ac:dyDescent="0.8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row>
    <row r="233" spans="1:37" ht="22.5" customHeight="1" x14ac:dyDescent="0.8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row>
    <row r="234" spans="1:37" ht="22.5" customHeight="1" x14ac:dyDescent="0.8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row>
    <row r="235" spans="1:37" ht="22.5" customHeight="1" x14ac:dyDescent="0.8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row>
    <row r="236" spans="1:37" ht="22.5" customHeight="1" x14ac:dyDescent="0.8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row>
    <row r="237" spans="1:37" ht="22.5" customHeight="1" x14ac:dyDescent="0.8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row>
    <row r="238" spans="1:37" ht="22.5" customHeight="1" x14ac:dyDescent="0.8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row>
    <row r="239" spans="1:37" ht="22.5" customHeight="1" x14ac:dyDescent="0.8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row>
    <row r="240" spans="1:37" ht="22.5" customHeight="1" x14ac:dyDescent="0.8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row>
    <row r="241" spans="1:37" ht="22.5" customHeight="1" x14ac:dyDescent="0.8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row>
    <row r="242" spans="1:37" ht="22.5" customHeight="1" x14ac:dyDescent="0.8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row>
    <row r="243" spans="1:37" ht="22.5" customHeight="1" x14ac:dyDescent="0.8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row>
    <row r="244" spans="1:37" ht="22.5" customHeight="1" x14ac:dyDescent="0.8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row>
    <row r="245" spans="1:37" ht="22.5" customHeight="1" x14ac:dyDescent="0.8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row>
    <row r="246" spans="1:37" ht="22.5" customHeight="1" x14ac:dyDescent="0.8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row>
    <row r="247" spans="1:37" ht="22.5" customHeight="1" x14ac:dyDescent="0.8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row>
    <row r="248" spans="1:37" ht="22.5" customHeight="1" x14ac:dyDescent="0.8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row>
    <row r="249" spans="1:37" ht="22.5" customHeight="1" x14ac:dyDescent="0.8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row>
    <row r="250" spans="1:37" ht="22.5" customHeight="1" x14ac:dyDescent="0.8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row>
    <row r="251" spans="1:37" ht="22.5" customHeight="1" x14ac:dyDescent="0.8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row>
    <row r="252" spans="1:37" ht="22.5" customHeight="1" x14ac:dyDescent="0.8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row>
    <row r="253" spans="1:37" ht="22.5" customHeight="1" x14ac:dyDescent="0.8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row>
    <row r="254" spans="1:37" ht="22.5" customHeight="1" x14ac:dyDescent="0.8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row>
    <row r="255" spans="1:37" ht="22.5" customHeight="1" x14ac:dyDescent="0.8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row>
    <row r="256" spans="1:37" ht="22.5" customHeight="1" x14ac:dyDescent="0.8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row>
    <row r="257" spans="1:37" ht="22.5" customHeight="1" x14ac:dyDescent="0.8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row>
    <row r="258" spans="1:37" ht="22.5" customHeight="1" x14ac:dyDescent="0.8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row>
    <row r="259" spans="1:37" ht="22.5" customHeight="1" x14ac:dyDescent="0.8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row>
    <row r="260" spans="1:37" ht="22.5" customHeight="1" x14ac:dyDescent="0.8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row>
    <row r="261" spans="1:37" ht="22.5" customHeight="1" x14ac:dyDescent="0.8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row>
    <row r="262" spans="1:37" ht="22.5" customHeight="1" x14ac:dyDescent="0.8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row>
    <row r="263" spans="1:37" ht="22.5" customHeight="1" x14ac:dyDescent="0.8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row>
    <row r="264" spans="1:37" ht="22.5" customHeight="1" x14ac:dyDescent="0.8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row>
    <row r="265" spans="1:37" ht="22.5" customHeight="1" x14ac:dyDescent="0.8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row>
    <row r="266" spans="1:37" ht="22.5" customHeight="1" x14ac:dyDescent="0.8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row>
    <row r="267" spans="1:37" ht="22.5" customHeight="1" x14ac:dyDescent="0.8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row>
    <row r="268" spans="1:37" ht="22.5" customHeight="1" x14ac:dyDescent="0.8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row>
    <row r="269" spans="1:37" ht="22.5" customHeight="1" x14ac:dyDescent="0.8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row>
    <row r="270" spans="1:37" ht="22.5" customHeight="1" x14ac:dyDescent="0.8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row>
    <row r="271" spans="1:37" ht="22.5" customHeight="1" x14ac:dyDescent="0.8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row>
    <row r="272" spans="1:37" ht="22.5" customHeight="1" x14ac:dyDescent="0.8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row>
    <row r="273" spans="1:37" ht="22.5" customHeight="1" x14ac:dyDescent="0.8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row>
    <row r="274" spans="1:37" ht="22.5" customHeight="1" x14ac:dyDescent="0.8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row>
    <row r="275" spans="1:37" ht="22.5" customHeight="1" x14ac:dyDescent="0.8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row>
    <row r="276" spans="1:37" ht="22.5" customHeight="1" x14ac:dyDescent="0.8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row>
    <row r="277" spans="1:37" ht="22.5" customHeight="1" x14ac:dyDescent="0.8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row>
    <row r="278" spans="1:37" ht="22.5" customHeight="1" x14ac:dyDescent="0.8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row>
    <row r="279" spans="1:37" ht="22.5" customHeight="1" x14ac:dyDescent="0.8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row>
    <row r="280" spans="1:37" ht="22.5" customHeight="1" x14ac:dyDescent="0.8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row>
    <row r="281" spans="1:37" ht="22.5" customHeight="1" x14ac:dyDescent="0.8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row>
    <row r="282" spans="1:37" ht="22.5" customHeight="1" x14ac:dyDescent="0.8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row>
    <row r="283" spans="1:37" ht="22.5" customHeight="1" x14ac:dyDescent="0.8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row>
    <row r="284" spans="1:37" ht="22.5" customHeight="1" x14ac:dyDescent="0.8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row>
    <row r="285" spans="1:37" ht="22.5" customHeight="1" x14ac:dyDescent="0.8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row>
    <row r="286" spans="1:37" ht="22.5" customHeight="1" x14ac:dyDescent="0.8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row>
    <row r="287" spans="1:37" ht="22.5" customHeight="1" x14ac:dyDescent="0.8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row>
    <row r="288" spans="1:37" ht="22.5" customHeight="1" x14ac:dyDescent="0.8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row>
    <row r="289" spans="1:37" ht="22.5" customHeight="1" x14ac:dyDescent="0.8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row>
    <row r="290" spans="1:37" ht="22.5" customHeight="1" x14ac:dyDescent="0.8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row>
    <row r="291" spans="1:37" ht="22.5" customHeight="1" x14ac:dyDescent="0.8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row>
    <row r="292" spans="1:37" ht="22.5" customHeight="1" x14ac:dyDescent="0.8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row>
    <row r="293" spans="1:37" ht="22.5" customHeight="1" x14ac:dyDescent="0.8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row>
    <row r="294" spans="1:37" ht="22.5" customHeight="1" x14ac:dyDescent="0.8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row>
    <row r="295" spans="1:37" ht="22.5" customHeight="1" x14ac:dyDescent="0.8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row>
    <row r="296" spans="1:37" ht="22.5" customHeight="1" x14ac:dyDescent="0.8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row>
    <row r="297" spans="1:37" ht="22.5" customHeight="1" x14ac:dyDescent="0.8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row>
    <row r="298" spans="1:37" ht="22.5" customHeight="1" x14ac:dyDescent="0.8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row>
    <row r="299" spans="1:37" ht="22.5" customHeight="1" x14ac:dyDescent="0.8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row>
    <row r="300" spans="1:37" ht="22.5" customHeight="1" x14ac:dyDescent="0.8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row>
    <row r="301" spans="1:37" ht="22.5" customHeight="1" x14ac:dyDescent="0.8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row>
    <row r="302" spans="1:37" ht="22.5" customHeight="1" x14ac:dyDescent="0.8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row>
    <row r="303" spans="1:37" ht="22.5" customHeight="1" x14ac:dyDescent="0.8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row>
    <row r="304" spans="1:37" ht="22.5" customHeight="1" x14ac:dyDescent="0.8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row>
    <row r="305" spans="1:37" ht="22.5" customHeight="1" x14ac:dyDescent="0.8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row>
    <row r="306" spans="1:37" ht="22.5" customHeight="1" x14ac:dyDescent="0.8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row>
    <row r="307" spans="1:37" ht="22.5" customHeight="1" x14ac:dyDescent="0.8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row>
    <row r="308" spans="1:37" ht="22.5" customHeight="1" x14ac:dyDescent="0.8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row>
    <row r="309" spans="1:37" ht="22.5" customHeight="1" x14ac:dyDescent="0.8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row>
    <row r="310" spans="1:37" ht="22.5" customHeight="1" x14ac:dyDescent="0.8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row>
    <row r="311" spans="1:37" ht="22.5" customHeight="1" x14ac:dyDescent="0.8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row>
    <row r="312" spans="1:37" ht="22.5" customHeight="1" x14ac:dyDescent="0.8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row>
    <row r="313" spans="1:37" ht="22.5" customHeight="1" x14ac:dyDescent="0.8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row>
    <row r="314" spans="1:37" ht="22.5" customHeight="1" x14ac:dyDescent="0.8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row>
    <row r="315" spans="1:37" ht="22.5" customHeight="1" x14ac:dyDescent="0.8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row>
    <row r="316" spans="1:37" ht="22.5" customHeight="1" x14ac:dyDescent="0.8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row>
    <row r="317" spans="1:37" ht="22.5" customHeight="1" x14ac:dyDescent="0.8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row>
    <row r="318" spans="1:37" ht="22.5" customHeight="1" x14ac:dyDescent="0.8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row>
    <row r="319" spans="1:37" ht="22.5" customHeight="1" x14ac:dyDescent="0.8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row>
    <row r="320" spans="1:37" ht="22.5" customHeight="1" x14ac:dyDescent="0.8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row>
    <row r="321" spans="1:37" ht="22.5" customHeight="1" x14ac:dyDescent="0.8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row>
    <row r="322" spans="1:37" ht="22.5" customHeight="1" x14ac:dyDescent="0.8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row>
    <row r="323" spans="1:37" ht="22.5" customHeight="1" x14ac:dyDescent="0.8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row>
    <row r="324" spans="1:37" ht="22.5" customHeight="1" x14ac:dyDescent="0.8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row>
    <row r="325" spans="1:37" ht="22.5" customHeight="1" x14ac:dyDescent="0.8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row>
    <row r="326" spans="1:37" ht="22.5" customHeight="1" x14ac:dyDescent="0.8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row>
    <row r="327" spans="1:37" ht="22.5" customHeight="1" x14ac:dyDescent="0.8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row>
    <row r="328" spans="1:37" ht="22.5" customHeight="1" x14ac:dyDescent="0.8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row>
    <row r="329" spans="1:37" ht="22.5" customHeight="1" x14ac:dyDescent="0.8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row>
    <row r="330" spans="1:37" ht="22.5" customHeight="1" x14ac:dyDescent="0.8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row>
    <row r="331" spans="1:37" ht="22.5" customHeight="1" x14ac:dyDescent="0.8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row>
    <row r="332" spans="1:37" ht="22.5" customHeight="1" x14ac:dyDescent="0.8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row>
    <row r="333" spans="1:37" ht="22.5" customHeight="1" x14ac:dyDescent="0.8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row>
    <row r="334" spans="1:37" ht="22.5" customHeight="1" x14ac:dyDescent="0.8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row>
    <row r="335" spans="1:37" ht="22.5" customHeight="1" x14ac:dyDescent="0.8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row>
    <row r="336" spans="1:37" ht="22.5" customHeight="1" x14ac:dyDescent="0.8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row>
    <row r="337" spans="1:37" ht="22.5" customHeight="1" x14ac:dyDescent="0.8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row>
    <row r="338" spans="1:37" ht="22.5" customHeight="1" x14ac:dyDescent="0.8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row>
    <row r="339" spans="1:37" ht="22.5" customHeight="1" x14ac:dyDescent="0.8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row>
    <row r="340" spans="1:37" ht="22.5" customHeight="1" x14ac:dyDescent="0.8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row>
    <row r="341" spans="1:37" ht="22.5" customHeight="1" x14ac:dyDescent="0.8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row>
    <row r="342" spans="1:37" ht="22.5" customHeight="1" x14ac:dyDescent="0.8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row>
    <row r="343" spans="1:37" ht="22.5" customHeight="1" x14ac:dyDescent="0.8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row>
    <row r="344" spans="1:37" ht="22.5" customHeight="1" x14ac:dyDescent="0.8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row>
    <row r="345" spans="1:37" ht="22.5" customHeight="1" x14ac:dyDescent="0.8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row>
    <row r="346" spans="1:37" ht="22.5" customHeight="1" x14ac:dyDescent="0.8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row>
    <row r="347" spans="1:37" ht="22.5" customHeight="1" x14ac:dyDescent="0.8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row>
    <row r="348" spans="1:37" ht="22.5" customHeight="1" x14ac:dyDescent="0.8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row>
    <row r="349" spans="1:37" ht="22.5" customHeight="1" x14ac:dyDescent="0.8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row>
    <row r="350" spans="1:37" ht="22.5" customHeight="1" x14ac:dyDescent="0.8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row>
    <row r="351" spans="1:37" ht="22.5" customHeight="1" x14ac:dyDescent="0.8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c r="AK351" s="3"/>
    </row>
    <row r="352" spans="1:37" ht="22.5" customHeight="1" x14ac:dyDescent="0.8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J352" s="3"/>
      <c r="AK352" s="3"/>
    </row>
    <row r="353" spans="1:37" ht="22.5" customHeight="1" x14ac:dyDescent="0.8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c r="AF353" s="3"/>
      <c r="AG353" s="3"/>
      <c r="AH353" s="3"/>
      <c r="AI353" s="3"/>
      <c r="AJ353" s="3"/>
      <c r="AK353" s="3"/>
    </row>
    <row r="354" spans="1:37" ht="22.5" customHeight="1" x14ac:dyDescent="0.8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c r="AI354" s="3"/>
      <c r="AJ354" s="3"/>
      <c r="AK354" s="3"/>
    </row>
    <row r="355" spans="1:37" ht="22.5" customHeight="1" x14ac:dyDescent="0.8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c r="AA355" s="3"/>
      <c r="AB355" s="3"/>
      <c r="AC355" s="3"/>
      <c r="AD355" s="3"/>
      <c r="AE355" s="3"/>
      <c r="AF355" s="3"/>
      <c r="AG355" s="3"/>
      <c r="AH355" s="3"/>
      <c r="AI355" s="3"/>
      <c r="AJ355" s="3"/>
      <c r="AK355" s="3"/>
    </row>
    <row r="356" spans="1:37" ht="22.5" customHeight="1" x14ac:dyDescent="0.8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c r="AA356" s="3"/>
      <c r="AB356" s="3"/>
      <c r="AC356" s="3"/>
      <c r="AD356" s="3"/>
      <c r="AE356" s="3"/>
      <c r="AF356" s="3"/>
      <c r="AG356" s="3"/>
      <c r="AH356" s="3"/>
      <c r="AI356" s="3"/>
      <c r="AJ356" s="3"/>
      <c r="AK356" s="3"/>
    </row>
    <row r="357" spans="1:37" ht="22.5" customHeight="1" x14ac:dyDescent="0.8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c r="AA357" s="3"/>
      <c r="AB357" s="3"/>
      <c r="AC357" s="3"/>
      <c r="AD357" s="3"/>
      <c r="AE357" s="3"/>
      <c r="AF357" s="3"/>
      <c r="AG357" s="3"/>
      <c r="AH357" s="3"/>
      <c r="AI357" s="3"/>
      <c r="AJ357" s="3"/>
      <c r="AK357" s="3"/>
    </row>
    <row r="358" spans="1:37" ht="22.5" customHeight="1" x14ac:dyDescent="0.8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c r="AF358" s="3"/>
      <c r="AG358" s="3"/>
      <c r="AH358" s="3"/>
      <c r="AI358" s="3"/>
      <c r="AJ358" s="3"/>
      <c r="AK358" s="3"/>
    </row>
    <row r="359" spans="1:37" ht="22.5" customHeight="1" x14ac:dyDescent="0.8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c r="AH359" s="3"/>
      <c r="AI359" s="3"/>
      <c r="AJ359" s="3"/>
      <c r="AK359" s="3"/>
    </row>
    <row r="360" spans="1:37" ht="22.5" customHeight="1" x14ac:dyDescent="0.8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c r="AA360" s="3"/>
      <c r="AB360" s="3"/>
      <c r="AC360" s="3"/>
      <c r="AD360" s="3"/>
      <c r="AE360" s="3"/>
      <c r="AF360" s="3"/>
      <c r="AG360" s="3"/>
      <c r="AH360" s="3"/>
      <c r="AI360" s="3"/>
      <c r="AJ360" s="3"/>
      <c r="AK360" s="3"/>
    </row>
    <row r="361" spans="1:37" ht="22.5" customHeight="1" x14ac:dyDescent="0.8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c r="AA361" s="3"/>
      <c r="AB361" s="3"/>
      <c r="AC361" s="3"/>
      <c r="AD361" s="3"/>
      <c r="AE361" s="3"/>
      <c r="AF361" s="3"/>
      <c r="AG361" s="3"/>
      <c r="AH361" s="3"/>
      <c r="AI361" s="3"/>
      <c r="AJ361" s="3"/>
      <c r="AK361" s="3"/>
    </row>
    <row r="362" spans="1:37" ht="22.5" customHeight="1" x14ac:dyDescent="0.8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c r="AA362" s="3"/>
      <c r="AB362" s="3"/>
      <c r="AC362" s="3"/>
      <c r="AD362" s="3"/>
      <c r="AE362" s="3"/>
      <c r="AF362" s="3"/>
      <c r="AG362" s="3"/>
      <c r="AH362" s="3"/>
      <c r="AI362" s="3"/>
      <c r="AJ362" s="3"/>
      <c r="AK362" s="3"/>
    </row>
    <row r="363" spans="1:37" ht="22.5" customHeight="1" x14ac:dyDescent="0.8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c r="AH363" s="3"/>
      <c r="AI363" s="3"/>
      <c r="AJ363" s="3"/>
      <c r="AK363" s="3"/>
    </row>
    <row r="364" spans="1:37" ht="22.5" customHeight="1" x14ac:dyDescent="0.8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c r="AF364" s="3"/>
      <c r="AG364" s="3"/>
      <c r="AH364" s="3"/>
      <c r="AI364" s="3"/>
      <c r="AJ364" s="3"/>
      <c r="AK364" s="3"/>
    </row>
    <row r="365" spans="1:37" ht="22.5" customHeight="1" x14ac:dyDescent="0.8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c r="AF365" s="3"/>
      <c r="AG365" s="3"/>
      <c r="AH365" s="3"/>
      <c r="AI365" s="3"/>
      <c r="AJ365" s="3"/>
      <c r="AK365" s="3"/>
    </row>
    <row r="366" spans="1:37" ht="22.5" customHeight="1" x14ac:dyDescent="0.8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c r="AA366" s="3"/>
      <c r="AB366" s="3"/>
      <c r="AC366" s="3"/>
      <c r="AD366" s="3"/>
      <c r="AE366" s="3"/>
      <c r="AF366" s="3"/>
      <c r="AG366" s="3"/>
      <c r="AH366" s="3"/>
      <c r="AI366" s="3"/>
      <c r="AJ366" s="3"/>
      <c r="AK366" s="3"/>
    </row>
    <row r="367" spans="1:37" ht="22.5" customHeight="1" x14ac:dyDescent="0.8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c r="AA367" s="3"/>
      <c r="AB367" s="3"/>
      <c r="AC367" s="3"/>
      <c r="AD367" s="3"/>
      <c r="AE367" s="3"/>
      <c r="AF367" s="3"/>
      <c r="AG367" s="3"/>
      <c r="AH367" s="3"/>
      <c r="AI367" s="3"/>
      <c r="AJ367" s="3"/>
      <c r="AK367" s="3"/>
    </row>
    <row r="368" spans="1:37" ht="22.5" customHeight="1" x14ac:dyDescent="0.8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c r="AA368" s="3"/>
      <c r="AB368" s="3"/>
      <c r="AC368" s="3"/>
      <c r="AD368" s="3"/>
      <c r="AE368" s="3"/>
      <c r="AF368" s="3"/>
      <c r="AG368" s="3"/>
      <c r="AH368" s="3"/>
      <c r="AI368" s="3"/>
      <c r="AJ368" s="3"/>
      <c r="AK368" s="3"/>
    </row>
    <row r="369" spans="1:37" ht="22.5" customHeight="1" x14ac:dyDescent="0.8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c r="AA369" s="3"/>
      <c r="AB369" s="3"/>
      <c r="AC369" s="3"/>
      <c r="AD369" s="3"/>
      <c r="AE369" s="3"/>
      <c r="AF369" s="3"/>
      <c r="AG369" s="3"/>
      <c r="AH369" s="3"/>
      <c r="AI369" s="3"/>
      <c r="AJ369" s="3"/>
      <c r="AK369" s="3"/>
    </row>
    <row r="370" spans="1:37" ht="22.5" customHeight="1" x14ac:dyDescent="0.8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c r="AF370" s="3"/>
      <c r="AG370" s="3"/>
      <c r="AH370" s="3"/>
      <c r="AI370" s="3"/>
      <c r="AJ370" s="3"/>
      <c r="AK370" s="3"/>
    </row>
    <row r="371" spans="1:37" ht="22.5" customHeight="1" x14ac:dyDescent="0.8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c r="AA371" s="3"/>
      <c r="AB371" s="3"/>
      <c r="AC371" s="3"/>
      <c r="AD371" s="3"/>
      <c r="AE371" s="3"/>
      <c r="AF371" s="3"/>
      <c r="AG371" s="3"/>
      <c r="AH371" s="3"/>
      <c r="AI371" s="3"/>
      <c r="AJ371" s="3"/>
      <c r="AK371" s="3"/>
    </row>
    <row r="372" spans="1:37" ht="22.5" customHeight="1" x14ac:dyDescent="0.8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c r="AA372" s="3"/>
      <c r="AB372" s="3"/>
      <c r="AC372" s="3"/>
      <c r="AD372" s="3"/>
      <c r="AE372" s="3"/>
      <c r="AF372" s="3"/>
      <c r="AG372" s="3"/>
      <c r="AH372" s="3"/>
      <c r="AI372" s="3"/>
      <c r="AJ372" s="3"/>
      <c r="AK372" s="3"/>
    </row>
    <row r="373" spans="1:37" ht="22.5" customHeight="1" x14ac:dyDescent="0.8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c r="AA373" s="3"/>
      <c r="AB373" s="3"/>
      <c r="AC373" s="3"/>
      <c r="AD373" s="3"/>
      <c r="AE373" s="3"/>
      <c r="AF373" s="3"/>
      <c r="AG373" s="3"/>
      <c r="AH373" s="3"/>
      <c r="AI373" s="3"/>
      <c r="AJ373" s="3"/>
      <c r="AK373" s="3"/>
    </row>
    <row r="374" spans="1:37" ht="22.5" customHeight="1" x14ac:dyDescent="0.8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c r="AA374" s="3"/>
      <c r="AB374" s="3"/>
      <c r="AC374" s="3"/>
      <c r="AD374" s="3"/>
      <c r="AE374" s="3"/>
      <c r="AF374" s="3"/>
      <c r="AG374" s="3"/>
      <c r="AH374" s="3"/>
      <c r="AI374" s="3"/>
      <c r="AJ374" s="3"/>
      <c r="AK374" s="3"/>
    </row>
    <row r="375" spans="1:37" ht="22.5" customHeight="1" x14ac:dyDescent="0.8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c r="AF375" s="3"/>
      <c r="AG375" s="3"/>
      <c r="AH375" s="3"/>
      <c r="AI375" s="3"/>
      <c r="AJ375" s="3"/>
      <c r="AK375" s="3"/>
    </row>
    <row r="376" spans="1:37" ht="22.5" customHeight="1" x14ac:dyDescent="0.8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3"/>
      <c r="AG376" s="3"/>
      <c r="AH376" s="3"/>
      <c r="AI376" s="3"/>
      <c r="AJ376" s="3"/>
      <c r="AK376" s="3"/>
    </row>
    <row r="377" spans="1:37" ht="22.5" customHeight="1" x14ac:dyDescent="0.8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c r="AF377" s="3"/>
      <c r="AG377" s="3"/>
      <c r="AH377" s="3"/>
      <c r="AI377" s="3"/>
      <c r="AJ377" s="3"/>
      <c r="AK377" s="3"/>
    </row>
    <row r="378" spans="1:37" ht="22.5" customHeight="1" x14ac:dyDescent="0.8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c r="AF378" s="3"/>
      <c r="AG378" s="3"/>
      <c r="AH378" s="3"/>
      <c r="AI378" s="3"/>
      <c r="AJ378" s="3"/>
      <c r="AK378" s="3"/>
    </row>
    <row r="379" spans="1:37" ht="22.5" customHeight="1" x14ac:dyDescent="0.8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c r="AF379" s="3"/>
      <c r="AG379" s="3"/>
      <c r="AH379" s="3"/>
      <c r="AI379" s="3"/>
      <c r="AJ379" s="3"/>
      <c r="AK379" s="3"/>
    </row>
    <row r="380" spans="1:37" ht="22.5" customHeight="1" x14ac:dyDescent="0.8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c r="AG380" s="3"/>
      <c r="AH380" s="3"/>
      <c r="AI380" s="3"/>
      <c r="AJ380" s="3"/>
      <c r="AK380" s="3"/>
    </row>
    <row r="381" spans="1:37" ht="22.5" customHeight="1" x14ac:dyDescent="0.8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
      <c r="AF381" s="3"/>
      <c r="AG381" s="3"/>
      <c r="AH381" s="3"/>
      <c r="AI381" s="3"/>
      <c r="AJ381" s="3"/>
      <c r="AK381" s="3"/>
    </row>
    <row r="382" spans="1:37" ht="22.5" customHeight="1" x14ac:dyDescent="0.8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c r="AA382" s="3"/>
      <c r="AB382" s="3"/>
      <c r="AC382" s="3"/>
      <c r="AD382" s="3"/>
      <c r="AE382" s="3"/>
      <c r="AF382" s="3"/>
      <c r="AG382" s="3"/>
      <c r="AH382" s="3"/>
      <c r="AI382" s="3"/>
      <c r="AJ382" s="3"/>
      <c r="AK382" s="3"/>
    </row>
    <row r="383" spans="1:37" ht="22.5" customHeight="1" x14ac:dyDescent="0.8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c r="AA383" s="3"/>
      <c r="AB383" s="3"/>
      <c r="AC383" s="3"/>
      <c r="AD383" s="3"/>
      <c r="AE383" s="3"/>
      <c r="AF383" s="3"/>
      <c r="AG383" s="3"/>
      <c r="AH383" s="3"/>
      <c r="AI383" s="3"/>
      <c r="AJ383" s="3"/>
      <c r="AK383" s="3"/>
    </row>
    <row r="384" spans="1:37" ht="22.5" customHeight="1" x14ac:dyDescent="0.8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c r="AA384" s="3"/>
      <c r="AB384" s="3"/>
      <c r="AC384" s="3"/>
      <c r="AD384" s="3"/>
      <c r="AE384" s="3"/>
      <c r="AF384" s="3"/>
      <c r="AG384" s="3"/>
      <c r="AH384" s="3"/>
      <c r="AI384" s="3"/>
      <c r="AJ384" s="3"/>
      <c r="AK384" s="3"/>
    </row>
    <row r="385" spans="1:37" ht="22.5" customHeight="1" x14ac:dyDescent="0.8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c r="AA385" s="3"/>
      <c r="AB385" s="3"/>
      <c r="AC385" s="3"/>
      <c r="AD385" s="3"/>
      <c r="AE385" s="3"/>
      <c r="AF385" s="3"/>
      <c r="AG385" s="3"/>
      <c r="AH385" s="3"/>
      <c r="AI385" s="3"/>
      <c r="AJ385" s="3"/>
      <c r="AK385" s="3"/>
    </row>
    <row r="386" spans="1:37" ht="22.5" customHeight="1" x14ac:dyDescent="0.8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c r="AA386" s="3"/>
      <c r="AB386" s="3"/>
      <c r="AC386" s="3"/>
      <c r="AD386" s="3"/>
      <c r="AE386" s="3"/>
      <c r="AF386" s="3"/>
      <c r="AG386" s="3"/>
      <c r="AH386" s="3"/>
      <c r="AI386" s="3"/>
      <c r="AJ386" s="3"/>
      <c r="AK386" s="3"/>
    </row>
    <row r="387" spans="1:37" ht="22.5" customHeight="1" x14ac:dyDescent="0.8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c r="AA387" s="3"/>
      <c r="AB387" s="3"/>
      <c r="AC387" s="3"/>
      <c r="AD387" s="3"/>
      <c r="AE387" s="3"/>
      <c r="AF387" s="3"/>
      <c r="AG387" s="3"/>
      <c r="AH387" s="3"/>
      <c r="AI387" s="3"/>
      <c r="AJ387" s="3"/>
      <c r="AK387" s="3"/>
    </row>
    <row r="388" spans="1:37" ht="22.5" customHeight="1" x14ac:dyDescent="0.8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c r="AH388" s="3"/>
      <c r="AI388" s="3"/>
      <c r="AJ388" s="3"/>
      <c r="AK388" s="3"/>
    </row>
    <row r="389" spans="1:37" ht="22.5" customHeight="1" x14ac:dyDescent="0.8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c r="AH389" s="3"/>
      <c r="AI389" s="3"/>
      <c r="AJ389" s="3"/>
      <c r="AK389" s="3"/>
    </row>
    <row r="390" spans="1:37" ht="22.5" customHeight="1" x14ac:dyDescent="0.8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3"/>
      <c r="AG390" s="3"/>
      <c r="AH390" s="3"/>
      <c r="AI390" s="3"/>
      <c r="AJ390" s="3"/>
      <c r="AK390" s="3"/>
    </row>
    <row r="391" spans="1:37" ht="22.5" customHeight="1" x14ac:dyDescent="0.8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c r="AF391" s="3"/>
      <c r="AG391" s="3"/>
      <c r="AH391" s="3"/>
      <c r="AI391" s="3"/>
      <c r="AJ391" s="3"/>
      <c r="AK391" s="3"/>
    </row>
    <row r="392" spans="1:37" ht="22.5" customHeight="1" x14ac:dyDescent="0.8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
      <c r="AF392" s="3"/>
      <c r="AG392" s="3"/>
      <c r="AH392" s="3"/>
      <c r="AI392" s="3"/>
      <c r="AJ392" s="3"/>
      <c r="AK392" s="3"/>
    </row>
    <row r="393" spans="1:37" ht="22.5" customHeight="1" x14ac:dyDescent="0.8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c r="AA393" s="3"/>
      <c r="AB393" s="3"/>
      <c r="AC393" s="3"/>
      <c r="AD393" s="3"/>
      <c r="AE393" s="3"/>
      <c r="AF393" s="3"/>
      <c r="AG393" s="3"/>
      <c r="AH393" s="3"/>
      <c r="AI393" s="3"/>
      <c r="AJ393" s="3"/>
      <c r="AK393" s="3"/>
    </row>
    <row r="394" spans="1:37" ht="22.5" customHeight="1" x14ac:dyDescent="0.8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c r="AA394" s="3"/>
      <c r="AB394" s="3"/>
      <c r="AC394" s="3"/>
      <c r="AD394" s="3"/>
      <c r="AE394" s="3"/>
      <c r="AF394" s="3"/>
      <c r="AG394" s="3"/>
      <c r="AH394" s="3"/>
      <c r="AI394" s="3"/>
      <c r="AJ394" s="3"/>
      <c r="AK394" s="3"/>
    </row>
    <row r="395" spans="1:37" ht="22.5" customHeight="1" x14ac:dyDescent="0.8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c r="AF395" s="3"/>
      <c r="AG395" s="3"/>
      <c r="AH395" s="3"/>
      <c r="AI395" s="3"/>
      <c r="AJ395" s="3"/>
      <c r="AK395" s="3"/>
    </row>
    <row r="396" spans="1:37" ht="22.5" customHeight="1" x14ac:dyDescent="0.8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c r="AA396" s="3"/>
      <c r="AB396" s="3"/>
      <c r="AC396" s="3"/>
      <c r="AD396" s="3"/>
      <c r="AE396" s="3"/>
      <c r="AF396" s="3"/>
      <c r="AG396" s="3"/>
      <c r="AH396" s="3"/>
      <c r="AI396" s="3"/>
      <c r="AJ396" s="3"/>
      <c r="AK396" s="3"/>
    </row>
    <row r="397" spans="1:37" ht="22.5" customHeight="1" x14ac:dyDescent="0.8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c r="AA397" s="3"/>
      <c r="AB397" s="3"/>
      <c r="AC397" s="3"/>
      <c r="AD397" s="3"/>
      <c r="AE397" s="3"/>
      <c r="AF397" s="3"/>
      <c r="AG397" s="3"/>
      <c r="AH397" s="3"/>
      <c r="AI397" s="3"/>
      <c r="AJ397" s="3"/>
      <c r="AK397" s="3"/>
    </row>
    <row r="398" spans="1:37" ht="22.5" customHeight="1" x14ac:dyDescent="0.8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c r="AA398" s="3"/>
      <c r="AB398" s="3"/>
      <c r="AC398" s="3"/>
      <c r="AD398" s="3"/>
      <c r="AE398" s="3"/>
      <c r="AF398" s="3"/>
      <c r="AG398" s="3"/>
      <c r="AH398" s="3"/>
      <c r="AI398" s="3"/>
      <c r="AJ398" s="3"/>
      <c r="AK398" s="3"/>
    </row>
    <row r="399" spans="1:37" ht="22.5" customHeight="1" x14ac:dyDescent="0.8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c r="AA399" s="3"/>
      <c r="AB399" s="3"/>
      <c r="AC399" s="3"/>
      <c r="AD399" s="3"/>
      <c r="AE399" s="3"/>
      <c r="AF399" s="3"/>
      <c r="AG399" s="3"/>
      <c r="AH399" s="3"/>
      <c r="AI399" s="3"/>
      <c r="AJ399" s="3"/>
      <c r="AK399" s="3"/>
    </row>
    <row r="400" spans="1:37" ht="22.5" customHeight="1" x14ac:dyDescent="0.8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
      <c r="AF400" s="3"/>
      <c r="AG400" s="3"/>
      <c r="AH400" s="3"/>
      <c r="AI400" s="3"/>
      <c r="AJ400" s="3"/>
      <c r="AK400" s="3"/>
    </row>
    <row r="401" spans="1:37" ht="22.5" customHeight="1" x14ac:dyDescent="0.8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c r="AA401" s="3"/>
      <c r="AB401" s="3"/>
      <c r="AC401" s="3"/>
      <c r="AD401" s="3"/>
      <c r="AE401" s="3"/>
      <c r="AF401" s="3"/>
      <c r="AG401" s="3"/>
      <c r="AH401" s="3"/>
      <c r="AI401" s="3"/>
      <c r="AJ401" s="3"/>
      <c r="AK401" s="3"/>
    </row>
    <row r="402" spans="1:37" ht="22.5" customHeight="1" x14ac:dyDescent="0.8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c r="AA402" s="3"/>
      <c r="AB402" s="3"/>
      <c r="AC402" s="3"/>
      <c r="AD402" s="3"/>
      <c r="AE402" s="3"/>
      <c r="AF402" s="3"/>
      <c r="AG402" s="3"/>
      <c r="AH402" s="3"/>
      <c r="AI402" s="3"/>
      <c r="AJ402" s="3"/>
      <c r="AK402" s="3"/>
    </row>
    <row r="403" spans="1:37" ht="22.5" customHeight="1" x14ac:dyDescent="0.8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c r="AI403" s="3"/>
      <c r="AJ403" s="3"/>
      <c r="AK403" s="3"/>
    </row>
    <row r="404" spans="1:37" ht="22.5" customHeight="1" x14ac:dyDescent="0.8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c r="AI404" s="3"/>
      <c r="AJ404" s="3"/>
      <c r="AK404" s="3"/>
    </row>
    <row r="405" spans="1:37" ht="22.5" customHeight="1" x14ac:dyDescent="0.8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J405" s="3"/>
      <c r="AK405" s="3"/>
    </row>
    <row r="406" spans="1:37" ht="22.5" customHeight="1" x14ac:dyDescent="0.8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J406" s="3"/>
      <c r="AK406" s="3"/>
    </row>
    <row r="407" spans="1:37" ht="22.5" customHeight="1" x14ac:dyDescent="0.8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c r="AI407" s="3"/>
      <c r="AJ407" s="3"/>
      <c r="AK407" s="3"/>
    </row>
    <row r="408" spans="1:37" ht="22.5" customHeight="1" x14ac:dyDescent="0.8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c r="AA408" s="3"/>
      <c r="AB408" s="3"/>
      <c r="AC408" s="3"/>
      <c r="AD408" s="3"/>
      <c r="AE408" s="3"/>
      <c r="AF408" s="3"/>
      <c r="AG408" s="3"/>
      <c r="AH408" s="3"/>
      <c r="AI408" s="3"/>
      <c r="AJ408" s="3"/>
      <c r="AK408" s="3"/>
    </row>
    <row r="409" spans="1:37" ht="22.5" customHeight="1" x14ac:dyDescent="0.8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c r="AA409" s="3"/>
      <c r="AB409" s="3"/>
      <c r="AC409" s="3"/>
      <c r="AD409" s="3"/>
      <c r="AE409" s="3"/>
      <c r="AF409" s="3"/>
      <c r="AG409" s="3"/>
      <c r="AH409" s="3"/>
      <c r="AI409" s="3"/>
      <c r="AJ409" s="3"/>
      <c r="AK409" s="3"/>
    </row>
    <row r="410" spans="1:37" ht="22.5" customHeight="1" x14ac:dyDescent="0.8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c r="AA410" s="3"/>
      <c r="AB410" s="3"/>
      <c r="AC410" s="3"/>
      <c r="AD410" s="3"/>
      <c r="AE410" s="3"/>
      <c r="AF410" s="3"/>
      <c r="AG410" s="3"/>
      <c r="AH410" s="3"/>
      <c r="AI410" s="3"/>
      <c r="AJ410" s="3"/>
      <c r="AK410" s="3"/>
    </row>
    <row r="411" spans="1:37" ht="22.5" customHeight="1" x14ac:dyDescent="0.8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c r="AA411" s="3"/>
      <c r="AB411" s="3"/>
      <c r="AC411" s="3"/>
      <c r="AD411" s="3"/>
      <c r="AE411" s="3"/>
      <c r="AF411" s="3"/>
      <c r="AG411" s="3"/>
      <c r="AH411" s="3"/>
      <c r="AI411" s="3"/>
      <c r="AJ411" s="3"/>
      <c r="AK411" s="3"/>
    </row>
    <row r="412" spans="1:37" ht="22.5" customHeight="1" x14ac:dyDescent="0.8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c r="AA412" s="3"/>
      <c r="AB412" s="3"/>
      <c r="AC412" s="3"/>
      <c r="AD412" s="3"/>
      <c r="AE412" s="3"/>
      <c r="AF412" s="3"/>
      <c r="AG412" s="3"/>
      <c r="AH412" s="3"/>
      <c r="AI412" s="3"/>
      <c r="AJ412" s="3"/>
      <c r="AK412" s="3"/>
    </row>
    <row r="413" spans="1:37" ht="22.5" customHeight="1" x14ac:dyDescent="0.8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c r="AA413" s="3"/>
      <c r="AB413" s="3"/>
      <c r="AC413" s="3"/>
      <c r="AD413" s="3"/>
      <c r="AE413" s="3"/>
      <c r="AF413" s="3"/>
      <c r="AG413" s="3"/>
      <c r="AH413" s="3"/>
      <c r="AI413" s="3"/>
      <c r="AJ413" s="3"/>
      <c r="AK413" s="3"/>
    </row>
    <row r="414" spans="1:37" ht="22.5" customHeight="1" x14ac:dyDescent="0.8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c r="AA414" s="3"/>
      <c r="AB414" s="3"/>
      <c r="AC414" s="3"/>
      <c r="AD414" s="3"/>
      <c r="AE414" s="3"/>
      <c r="AF414" s="3"/>
      <c r="AG414" s="3"/>
      <c r="AH414" s="3"/>
      <c r="AI414" s="3"/>
      <c r="AJ414" s="3"/>
      <c r="AK414" s="3"/>
    </row>
    <row r="415" spans="1:37" ht="22.5" customHeight="1" x14ac:dyDescent="0.8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c r="AA415" s="3"/>
      <c r="AB415" s="3"/>
      <c r="AC415" s="3"/>
      <c r="AD415" s="3"/>
      <c r="AE415" s="3"/>
      <c r="AF415" s="3"/>
      <c r="AG415" s="3"/>
      <c r="AH415" s="3"/>
      <c r="AI415" s="3"/>
      <c r="AJ415" s="3"/>
      <c r="AK415" s="3"/>
    </row>
    <row r="416" spans="1:37" ht="22.5" customHeight="1" x14ac:dyDescent="0.8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c r="AA416" s="3"/>
      <c r="AB416" s="3"/>
      <c r="AC416" s="3"/>
      <c r="AD416" s="3"/>
      <c r="AE416" s="3"/>
      <c r="AF416" s="3"/>
      <c r="AG416" s="3"/>
      <c r="AH416" s="3"/>
      <c r="AI416" s="3"/>
      <c r="AJ416" s="3"/>
      <c r="AK416" s="3"/>
    </row>
    <row r="417" spans="1:37" ht="22.5" customHeight="1" x14ac:dyDescent="0.8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c r="AH417" s="3"/>
      <c r="AI417" s="3"/>
      <c r="AJ417" s="3"/>
      <c r="AK417" s="3"/>
    </row>
    <row r="418" spans="1:37" ht="22.5" customHeight="1" x14ac:dyDescent="0.8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c r="AH418" s="3"/>
      <c r="AI418" s="3"/>
      <c r="AJ418" s="3"/>
      <c r="AK418" s="3"/>
    </row>
    <row r="419" spans="1:37" ht="22.5" customHeight="1" x14ac:dyDescent="0.8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c r="AH419" s="3"/>
      <c r="AI419" s="3"/>
      <c r="AJ419" s="3"/>
      <c r="AK419" s="3"/>
    </row>
    <row r="420" spans="1:37" ht="22.5" customHeight="1" x14ac:dyDescent="0.8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row>
    <row r="421" spans="1:37" ht="22.5" customHeight="1" x14ac:dyDescent="0.8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c r="AA421" s="3"/>
      <c r="AB421" s="3"/>
      <c r="AC421" s="3"/>
      <c r="AD421" s="3"/>
      <c r="AE421" s="3"/>
      <c r="AF421" s="3"/>
      <c r="AG421" s="3"/>
      <c r="AH421" s="3"/>
      <c r="AI421" s="3"/>
      <c r="AJ421" s="3"/>
      <c r="AK421" s="3"/>
    </row>
    <row r="422" spans="1:37" ht="22.5" customHeight="1" x14ac:dyDescent="0.8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c r="AA422" s="3"/>
      <c r="AB422" s="3"/>
      <c r="AC422" s="3"/>
      <c r="AD422" s="3"/>
      <c r="AE422" s="3"/>
      <c r="AF422" s="3"/>
      <c r="AG422" s="3"/>
      <c r="AH422" s="3"/>
      <c r="AI422" s="3"/>
      <c r="AJ422" s="3"/>
      <c r="AK422" s="3"/>
    </row>
    <row r="423" spans="1:37" ht="22.5" customHeight="1" x14ac:dyDescent="0.8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c r="AA423" s="3"/>
      <c r="AB423" s="3"/>
      <c r="AC423" s="3"/>
      <c r="AD423" s="3"/>
      <c r="AE423" s="3"/>
      <c r="AF423" s="3"/>
      <c r="AG423" s="3"/>
      <c r="AH423" s="3"/>
      <c r="AI423" s="3"/>
      <c r="AJ423" s="3"/>
      <c r="AK423" s="3"/>
    </row>
    <row r="424" spans="1:37" ht="22.5" customHeight="1" x14ac:dyDescent="0.8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c r="AA424" s="3"/>
      <c r="AB424" s="3"/>
      <c r="AC424" s="3"/>
      <c r="AD424" s="3"/>
      <c r="AE424" s="3"/>
      <c r="AF424" s="3"/>
      <c r="AG424" s="3"/>
      <c r="AH424" s="3"/>
      <c r="AI424" s="3"/>
      <c r="AJ424" s="3"/>
      <c r="AK424" s="3"/>
    </row>
    <row r="425" spans="1:37" ht="22.5" customHeight="1" x14ac:dyDescent="0.8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row>
    <row r="426" spans="1:37" ht="22.5" customHeight="1" x14ac:dyDescent="0.8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row>
    <row r="427" spans="1:37" ht="22.5" customHeight="1" x14ac:dyDescent="0.8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c r="AA427" s="3"/>
      <c r="AB427" s="3"/>
      <c r="AC427" s="3"/>
      <c r="AD427" s="3"/>
      <c r="AE427" s="3"/>
      <c r="AF427" s="3"/>
      <c r="AG427" s="3"/>
      <c r="AH427" s="3"/>
      <c r="AI427" s="3"/>
      <c r="AJ427" s="3"/>
      <c r="AK427" s="3"/>
    </row>
    <row r="428" spans="1:37" ht="22.5" customHeight="1" x14ac:dyDescent="0.8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row>
    <row r="429" spans="1:37" ht="22.5" customHeight="1" x14ac:dyDescent="0.8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c r="AK429" s="3"/>
    </row>
    <row r="430" spans="1:37" ht="22.5" customHeight="1" x14ac:dyDescent="0.8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row>
    <row r="431" spans="1:37" ht="22.5" customHeight="1" x14ac:dyDescent="0.8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row>
    <row r="432" spans="1:37" ht="22.5" customHeight="1" x14ac:dyDescent="0.8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row>
    <row r="433" spans="1:37" ht="22.5" customHeight="1" x14ac:dyDescent="0.8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c r="AK433" s="3"/>
    </row>
    <row r="434" spans="1:37" ht="22.5" customHeight="1" x14ac:dyDescent="0.8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c r="AK434" s="3"/>
    </row>
    <row r="435" spans="1:37" ht="22.5" customHeight="1" x14ac:dyDescent="0.8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row>
    <row r="436" spans="1:37" ht="22.5" customHeight="1" x14ac:dyDescent="0.8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c r="AK436" s="3"/>
    </row>
    <row r="437" spans="1:37" ht="22.5" customHeight="1" x14ac:dyDescent="0.8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row>
    <row r="438" spans="1:37" ht="22.5" customHeight="1" x14ac:dyDescent="0.8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row>
    <row r="439" spans="1:37" ht="22.5" customHeight="1" x14ac:dyDescent="0.8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c r="AK439" s="3"/>
    </row>
    <row r="440" spans="1:37" ht="22.5" customHeight="1" x14ac:dyDescent="0.8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c r="AK440" s="3"/>
    </row>
    <row r="441" spans="1:37" ht="22.5" customHeight="1" x14ac:dyDescent="0.8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c r="AK441" s="3"/>
    </row>
    <row r="442" spans="1:37" ht="22.5" customHeight="1" x14ac:dyDescent="0.8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c r="AK442" s="3"/>
    </row>
    <row r="443" spans="1:37" ht="22.5" customHeight="1" x14ac:dyDescent="0.8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c r="AF443" s="3"/>
      <c r="AG443" s="3"/>
      <c r="AH443" s="3"/>
      <c r="AI443" s="3"/>
      <c r="AJ443" s="3"/>
      <c r="AK443" s="3"/>
    </row>
    <row r="444" spans="1:37" ht="22.5" customHeight="1" x14ac:dyDescent="0.8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3"/>
      <c r="AK444" s="3"/>
    </row>
    <row r="445" spans="1:37" ht="22.5" customHeight="1" x14ac:dyDescent="0.8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c r="AK445" s="3"/>
    </row>
    <row r="446" spans="1:37" ht="22.5" customHeight="1" x14ac:dyDescent="0.8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3"/>
      <c r="AK446" s="3"/>
    </row>
    <row r="447" spans="1:37" ht="22.5" customHeight="1" x14ac:dyDescent="0.8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c r="AK447" s="3"/>
    </row>
    <row r="448" spans="1:37" ht="22.5" customHeight="1" x14ac:dyDescent="0.8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c r="AA448" s="3"/>
      <c r="AB448" s="3"/>
      <c r="AC448" s="3"/>
      <c r="AD448" s="3"/>
      <c r="AE448" s="3"/>
      <c r="AF448" s="3"/>
      <c r="AG448" s="3"/>
      <c r="AH448" s="3"/>
      <c r="AI448" s="3"/>
      <c r="AJ448" s="3"/>
      <c r="AK448" s="3"/>
    </row>
    <row r="449" spans="1:37" ht="22.5" customHeight="1" x14ac:dyDescent="0.8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c r="AK449" s="3"/>
    </row>
    <row r="450" spans="1:37" ht="22.5" customHeight="1" x14ac:dyDescent="0.8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c r="AK450" s="3"/>
    </row>
    <row r="451" spans="1:37" ht="22.5" customHeight="1" x14ac:dyDescent="0.8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c r="AK451" s="3"/>
    </row>
    <row r="452" spans="1:37" ht="22.5" customHeight="1" x14ac:dyDescent="0.8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3"/>
      <c r="AK452" s="3"/>
    </row>
    <row r="453" spans="1:37" ht="22.5" customHeight="1" x14ac:dyDescent="0.8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J453" s="3"/>
      <c r="AK453" s="3"/>
    </row>
    <row r="454" spans="1:37" ht="22.5" customHeight="1" x14ac:dyDescent="0.8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J454" s="3"/>
      <c r="AK454" s="3"/>
    </row>
    <row r="455" spans="1:37" ht="22.5" customHeight="1" x14ac:dyDescent="0.8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c r="AA455" s="3"/>
      <c r="AB455" s="3"/>
      <c r="AC455" s="3"/>
      <c r="AD455" s="3"/>
      <c r="AE455" s="3"/>
      <c r="AF455" s="3"/>
      <c r="AG455" s="3"/>
      <c r="AH455" s="3"/>
      <c r="AI455" s="3"/>
      <c r="AJ455" s="3"/>
      <c r="AK455" s="3"/>
    </row>
    <row r="456" spans="1:37" ht="22.5" customHeight="1" x14ac:dyDescent="0.8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c r="AA456" s="3"/>
      <c r="AB456" s="3"/>
      <c r="AC456" s="3"/>
      <c r="AD456" s="3"/>
      <c r="AE456" s="3"/>
      <c r="AF456" s="3"/>
      <c r="AG456" s="3"/>
      <c r="AH456" s="3"/>
      <c r="AI456" s="3"/>
      <c r="AJ456" s="3"/>
      <c r="AK456" s="3"/>
    </row>
    <row r="457" spans="1:37" ht="22.5" customHeight="1" x14ac:dyDescent="0.8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c r="AJ457" s="3"/>
      <c r="AK457" s="3"/>
    </row>
    <row r="458" spans="1:37" ht="22.5" customHeight="1" x14ac:dyDescent="0.8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3"/>
      <c r="AK458" s="3"/>
    </row>
    <row r="459" spans="1:37" ht="22.5" customHeight="1" x14ac:dyDescent="0.8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c r="AI459" s="3"/>
      <c r="AJ459" s="3"/>
      <c r="AK459" s="3"/>
    </row>
    <row r="460" spans="1:37" ht="22.5" customHeight="1" x14ac:dyDescent="0.8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c r="AA460" s="3"/>
      <c r="AB460" s="3"/>
      <c r="AC460" s="3"/>
      <c r="AD460" s="3"/>
      <c r="AE460" s="3"/>
      <c r="AF460" s="3"/>
      <c r="AG460" s="3"/>
      <c r="AH460" s="3"/>
      <c r="AI460" s="3"/>
      <c r="AJ460" s="3"/>
      <c r="AK460" s="3"/>
    </row>
    <row r="461" spans="1:37" ht="22.5" customHeight="1" x14ac:dyDescent="0.8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c r="AA461" s="3"/>
      <c r="AB461" s="3"/>
      <c r="AC461" s="3"/>
      <c r="AD461" s="3"/>
      <c r="AE461" s="3"/>
      <c r="AF461" s="3"/>
      <c r="AG461" s="3"/>
      <c r="AH461" s="3"/>
      <c r="AI461" s="3"/>
      <c r="AJ461" s="3"/>
      <c r="AK461" s="3"/>
    </row>
    <row r="462" spans="1:37" ht="22.5" customHeight="1" x14ac:dyDescent="0.8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c r="AI462" s="3"/>
      <c r="AJ462" s="3"/>
      <c r="AK462" s="3"/>
    </row>
    <row r="463" spans="1:37" ht="22.5" customHeight="1" x14ac:dyDescent="0.8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c r="AH463" s="3"/>
      <c r="AI463" s="3"/>
      <c r="AJ463" s="3"/>
      <c r="AK463" s="3"/>
    </row>
    <row r="464" spans="1:37" ht="22.5" customHeight="1" x14ac:dyDescent="0.8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c r="AA464" s="3"/>
      <c r="AB464" s="3"/>
      <c r="AC464" s="3"/>
      <c r="AD464" s="3"/>
      <c r="AE464" s="3"/>
      <c r="AF464" s="3"/>
      <c r="AG464" s="3"/>
      <c r="AH464" s="3"/>
      <c r="AI464" s="3"/>
      <c r="AJ464" s="3"/>
      <c r="AK464" s="3"/>
    </row>
    <row r="465" spans="1:37" ht="22.5" customHeight="1" x14ac:dyDescent="0.8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c r="AA465" s="3"/>
      <c r="AB465" s="3"/>
      <c r="AC465" s="3"/>
      <c r="AD465" s="3"/>
      <c r="AE465" s="3"/>
      <c r="AF465" s="3"/>
      <c r="AG465" s="3"/>
      <c r="AH465" s="3"/>
      <c r="AI465" s="3"/>
      <c r="AJ465" s="3"/>
      <c r="AK465" s="3"/>
    </row>
    <row r="466" spans="1:37" ht="22.5" customHeight="1" x14ac:dyDescent="0.8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c r="AA466" s="3"/>
      <c r="AB466" s="3"/>
      <c r="AC466" s="3"/>
      <c r="AD466" s="3"/>
      <c r="AE466" s="3"/>
      <c r="AF466" s="3"/>
      <c r="AG466" s="3"/>
      <c r="AH466" s="3"/>
      <c r="AI466" s="3"/>
      <c r="AJ466" s="3"/>
      <c r="AK466" s="3"/>
    </row>
    <row r="467" spans="1:37" ht="22.5" customHeight="1" x14ac:dyDescent="0.8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c r="AI467" s="3"/>
      <c r="AJ467" s="3"/>
      <c r="AK467" s="3"/>
    </row>
    <row r="468" spans="1:37" ht="22.5" customHeight="1" x14ac:dyDescent="0.8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c r="AA468" s="3"/>
      <c r="AB468" s="3"/>
      <c r="AC468" s="3"/>
      <c r="AD468" s="3"/>
      <c r="AE468" s="3"/>
      <c r="AF468" s="3"/>
      <c r="AG468" s="3"/>
      <c r="AH468" s="3"/>
      <c r="AI468" s="3"/>
      <c r="AJ468" s="3"/>
      <c r="AK468" s="3"/>
    </row>
    <row r="469" spans="1:37" ht="22.5" customHeight="1" x14ac:dyDescent="0.8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c r="AA469" s="3"/>
      <c r="AB469" s="3"/>
      <c r="AC469" s="3"/>
      <c r="AD469" s="3"/>
      <c r="AE469" s="3"/>
      <c r="AF469" s="3"/>
      <c r="AG469" s="3"/>
      <c r="AH469" s="3"/>
      <c r="AI469" s="3"/>
      <c r="AJ469" s="3"/>
      <c r="AK469" s="3"/>
    </row>
    <row r="470" spans="1:37" ht="22.5" customHeight="1" x14ac:dyDescent="0.8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c r="AH470" s="3"/>
      <c r="AI470" s="3"/>
      <c r="AJ470" s="3"/>
      <c r="AK470" s="3"/>
    </row>
    <row r="471" spans="1:37" ht="22.5" customHeight="1" x14ac:dyDescent="0.8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c r="AI471" s="3"/>
      <c r="AJ471" s="3"/>
      <c r="AK471" s="3"/>
    </row>
    <row r="472" spans="1:37" ht="22.5" customHeight="1" x14ac:dyDescent="0.8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c r="AG472" s="3"/>
      <c r="AH472" s="3"/>
      <c r="AI472" s="3"/>
      <c r="AJ472" s="3"/>
      <c r="AK472" s="3"/>
    </row>
    <row r="473" spans="1:37" ht="22.5" customHeight="1" x14ac:dyDescent="0.8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c r="AH473" s="3"/>
      <c r="AI473" s="3"/>
      <c r="AJ473" s="3"/>
      <c r="AK473" s="3"/>
    </row>
    <row r="474" spans="1:37" ht="22.5" customHeight="1" x14ac:dyDescent="0.8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c r="AA474" s="3"/>
      <c r="AB474" s="3"/>
      <c r="AC474" s="3"/>
      <c r="AD474" s="3"/>
      <c r="AE474" s="3"/>
      <c r="AF474" s="3"/>
      <c r="AG474" s="3"/>
      <c r="AH474" s="3"/>
      <c r="AI474" s="3"/>
      <c r="AJ474" s="3"/>
      <c r="AK474" s="3"/>
    </row>
    <row r="475" spans="1:37" ht="22.5" customHeight="1" x14ac:dyDescent="0.8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J475" s="3"/>
      <c r="AK475" s="3"/>
    </row>
    <row r="476" spans="1:37" ht="22.5" customHeight="1" x14ac:dyDescent="0.8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c r="AI476" s="3"/>
      <c r="AJ476" s="3"/>
      <c r="AK476" s="3"/>
    </row>
    <row r="477" spans="1:37" ht="22.5" customHeight="1" x14ac:dyDescent="0.8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c r="AI477" s="3"/>
      <c r="AJ477" s="3"/>
      <c r="AK477" s="3"/>
    </row>
    <row r="478" spans="1:37" ht="22.5" customHeight="1" x14ac:dyDescent="0.8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J478" s="3"/>
      <c r="AK478" s="3"/>
    </row>
    <row r="479" spans="1:37" ht="22.5" customHeight="1" x14ac:dyDescent="0.8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c r="AI479" s="3"/>
      <c r="AJ479" s="3"/>
      <c r="AK479" s="3"/>
    </row>
    <row r="480" spans="1:37" ht="22.5" customHeight="1" x14ac:dyDescent="0.8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c r="AH480" s="3"/>
      <c r="AI480" s="3"/>
      <c r="AJ480" s="3"/>
      <c r="AK480" s="3"/>
    </row>
    <row r="481" spans="1:37" ht="22.5" customHeight="1" x14ac:dyDescent="0.8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c r="AI481" s="3"/>
      <c r="AJ481" s="3"/>
      <c r="AK481" s="3"/>
    </row>
    <row r="482" spans="1:37" ht="22.5" customHeight="1" x14ac:dyDescent="0.8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c r="AH482" s="3"/>
      <c r="AI482" s="3"/>
      <c r="AJ482" s="3"/>
      <c r="AK482" s="3"/>
    </row>
    <row r="483" spans="1:37" ht="22.5" customHeight="1" x14ac:dyDescent="0.8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c r="AI483" s="3"/>
      <c r="AJ483" s="3"/>
      <c r="AK483" s="3"/>
    </row>
    <row r="484" spans="1:37" ht="22.5" customHeight="1" x14ac:dyDescent="0.8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c r="AI484" s="3"/>
      <c r="AJ484" s="3"/>
      <c r="AK484" s="3"/>
    </row>
    <row r="485" spans="1:37" ht="22.5" customHeight="1" x14ac:dyDescent="0.8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c r="AI485" s="3"/>
      <c r="AJ485" s="3"/>
      <c r="AK485" s="3"/>
    </row>
    <row r="486" spans="1:37" ht="22.5" customHeight="1" x14ac:dyDescent="0.8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
      <c r="AF486" s="3"/>
      <c r="AG486" s="3"/>
      <c r="AH486" s="3"/>
      <c r="AI486" s="3"/>
      <c r="AJ486" s="3"/>
      <c r="AK486" s="3"/>
    </row>
    <row r="487" spans="1:37" ht="22.5" customHeight="1" x14ac:dyDescent="0.8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c r="AH487" s="3"/>
      <c r="AI487" s="3"/>
      <c r="AJ487" s="3"/>
      <c r="AK487" s="3"/>
    </row>
    <row r="488" spans="1:37" ht="22.5" customHeight="1" x14ac:dyDescent="0.8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c r="AH488" s="3"/>
      <c r="AI488" s="3"/>
      <c r="AJ488" s="3"/>
      <c r="AK488" s="3"/>
    </row>
    <row r="489" spans="1:37" ht="22.5" customHeight="1" x14ac:dyDescent="0.8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c r="AI489" s="3"/>
      <c r="AJ489" s="3"/>
      <c r="AK489" s="3"/>
    </row>
    <row r="490" spans="1:37" ht="22.5" customHeight="1" x14ac:dyDescent="0.8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c r="AH490" s="3"/>
      <c r="AI490" s="3"/>
      <c r="AJ490" s="3"/>
      <c r="AK490" s="3"/>
    </row>
    <row r="491" spans="1:37" ht="22.5" customHeight="1" x14ac:dyDescent="0.8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c r="AH491" s="3"/>
      <c r="AI491" s="3"/>
      <c r="AJ491" s="3"/>
      <c r="AK491" s="3"/>
    </row>
    <row r="492" spans="1:37" ht="22.5" customHeight="1" x14ac:dyDescent="0.8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c r="AA492" s="3"/>
      <c r="AB492" s="3"/>
      <c r="AC492" s="3"/>
      <c r="AD492" s="3"/>
      <c r="AE492" s="3"/>
      <c r="AF492" s="3"/>
      <c r="AG492" s="3"/>
      <c r="AH492" s="3"/>
      <c r="AI492" s="3"/>
      <c r="AJ492" s="3"/>
      <c r="AK492" s="3"/>
    </row>
    <row r="493" spans="1:37" ht="22.5" customHeight="1" x14ac:dyDescent="0.8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c r="AF493" s="3"/>
      <c r="AG493" s="3"/>
      <c r="AH493" s="3"/>
      <c r="AI493" s="3"/>
      <c r="AJ493" s="3"/>
      <c r="AK493" s="3"/>
    </row>
    <row r="494" spans="1:37" ht="22.5" customHeight="1" x14ac:dyDescent="0.8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c r="AA494" s="3"/>
      <c r="AB494" s="3"/>
      <c r="AC494" s="3"/>
      <c r="AD494" s="3"/>
      <c r="AE494" s="3"/>
      <c r="AF494" s="3"/>
      <c r="AG494" s="3"/>
      <c r="AH494" s="3"/>
      <c r="AI494" s="3"/>
      <c r="AJ494" s="3"/>
      <c r="AK494" s="3"/>
    </row>
    <row r="495" spans="1:37" ht="22.5" customHeight="1" x14ac:dyDescent="0.8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c r="AA495" s="3"/>
      <c r="AB495" s="3"/>
      <c r="AC495" s="3"/>
      <c r="AD495" s="3"/>
      <c r="AE495" s="3"/>
      <c r="AF495" s="3"/>
      <c r="AG495" s="3"/>
      <c r="AH495" s="3"/>
      <c r="AI495" s="3"/>
      <c r="AJ495" s="3"/>
      <c r="AK495" s="3"/>
    </row>
    <row r="496" spans="1:37" ht="22.5" customHeight="1" x14ac:dyDescent="0.8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c r="AA496" s="3"/>
      <c r="AB496" s="3"/>
      <c r="AC496" s="3"/>
      <c r="AD496" s="3"/>
      <c r="AE496" s="3"/>
      <c r="AF496" s="3"/>
      <c r="AG496" s="3"/>
      <c r="AH496" s="3"/>
      <c r="AI496" s="3"/>
      <c r="AJ496" s="3"/>
      <c r="AK496" s="3"/>
    </row>
    <row r="497" spans="1:37" ht="22.5" customHeight="1" x14ac:dyDescent="0.8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c r="AA497" s="3"/>
      <c r="AB497" s="3"/>
      <c r="AC497" s="3"/>
      <c r="AD497" s="3"/>
      <c r="AE497" s="3"/>
      <c r="AF497" s="3"/>
      <c r="AG497" s="3"/>
      <c r="AH497" s="3"/>
      <c r="AI497" s="3"/>
      <c r="AJ497" s="3"/>
      <c r="AK497" s="3"/>
    </row>
    <row r="498" spans="1:37" ht="22.5" customHeight="1" x14ac:dyDescent="0.8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c r="AA498" s="3"/>
      <c r="AB498" s="3"/>
      <c r="AC498" s="3"/>
      <c r="AD498" s="3"/>
      <c r="AE498" s="3"/>
      <c r="AF498" s="3"/>
      <c r="AG498" s="3"/>
      <c r="AH498" s="3"/>
      <c r="AI498" s="3"/>
      <c r="AJ498" s="3"/>
      <c r="AK498" s="3"/>
    </row>
    <row r="499" spans="1:37" ht="22.5" customHeight="1" x14ac:dyDescent="0.8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c r="AA499" s="3"/>
      <c r="AB499" s="3"/>
      <c r="AC499" s="3"/>
      <c r="AD499" s="3"/>
      <c r="AE499" s="3"/>
      <c r="AF499" s="3"/>
      <c r="AG499" s="3"/>
      <c r="AH499" s="3"/>
      <c r="AI499" s="3"/>
      <c r="AJ499" s="3"/>
      <c r="AK499" s="3"/>
    </row>
    <row r="500" spans="1:37" ht="22.5" customHeight="1" x14ac:dyDescent="0.8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c r="AA500" s="3"/>
      <c r="AB500" s="3"/>
      <c r="AC500" s="3"/>
      <c r="AD500" s="3"/>
      <c r="AE500" s="3"/>
      <c r="AF500" s="3"/>
      <c r="AG500" s="3"/>
      <c r="AH500" s="3"/>
      <c r="AI500" s="3"/>
      <c r="AJ500" s="3"/>
      <c r="AK500" s="3"/>
    </row>
    <row r="501" spans="1:37" ht="22.5" customHeight="1" x14ac:dyDescent="0.8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c r="AF501" s="3"/>
      <c r="AG501" s="3"/>
      <c r="AH501" s="3"/>
      <c r="AI501" s="3"/>
      <c r="AJ501" s="3"/>
      <c r="AK501" s="3"/>
    </row>
    <row r="502" spans="1:37" ht="22.5" customHeight="1" x14ac:dyDescent="0.8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c r="AA502" s="3"/>
      <c r="AB502" s="3"/>
      <c r="AC502" s="3"/>
      <c r="AD502" s="3"/>
      <c r="AE502" s="3"/>
      <c r="AF502" s="3"/>
      <c r="AG502" s="3"/>
      <c r="AH502" s="3"/>
      <c r="AI502" s="3"/>
      <c r="AJ502" s="3"/>
      <c r="AK502" s="3"/>
    </row>
    <row r="503" spans="1:37" ht="22.5" customHeight="1" x14ac:dyDescent="0.8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c r="AA503" s="3"/>
      <c r="AB503" s="3"/>
      <c r="AC503" s="3"/>
      <c r="AD503" s="3"/>
      <c r="AE503" s="3"/>
      <c r="AF503" s="3"/>
      <c r="AG503" s="3"/>
      <c r="AH503" s="3"/>
      <c r="AI503" s="3"/>
      <c r="AJ503" s="3"/>
      <c r="AK503" s="3"/>
    </row>
    <row r="504" spans="1:37" ht="22.5" customHeight="1" x14ac:dyDescent="0.8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c r="AA504" s="3"/>
      <c r="AB504" s="3"/>
      <c r="AC504" s="3"/>
      <c r="AD504" s="3"/>
      <c r="AE504" s="3"/>
      <c r="AF504" s="3"/>
      <c r="AG504" s="3"/>
      <c r="AH504" s="3"/>
      <c r="AI504" s="3"/>
      <c r="AJ504" s="3"/>
      <c r="AK504" s="3"/>
    </row>
    <row r="505" spans="1:37" ht="22.5" customHeight="1" x14ac:dyDescent="0.8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c r="AA505" s="3"/>
      <c r="AB505" s="3"/>
      <c r="AC505" s="3"/>
      <c r="AD505" s="3"/>
      <c r="AE505" s="3"/>
      <c r="AF505" s="3"/>
      <c r="AG505" s="3"/>
      <c r="AH505" s="3"/>
      <c r="AI505" s="3"/>
      <c r="AJ505" s="3"/>
      <c r="AK505" s="3"/>
    </row>
    <row r="506" spans="1:37" ht="22.5" customHeight="1" x14ac:dyDescent="0.8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c r="AA506" s="3"/>
      <c r="AB506" s="3"/>
      <c r="AC506" s="3"/>
      <c r="AD506" s="3"/>
      <c r="AE506" s="3"/>
      <c r="AF506" s="3"/>
      <c r="AG506" s="3"/>
      <c r="AH506" s="3"/>
      <c r="AI506" s="3"/>
      <c r="AJ506" s="3"/>
      <c r="AK506" s="3"/>
    </row>
    <row r="507" spans="1:37" ht="22.5" customHeight="1" x14ac:dyDescent="0.8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c r="AA507" s="3"/>
      <c r="AB507" s="3"/>
      <c r="AC507" s="3"/>
      <c r="AD507" s="3"/>
      <c r="AE507" s="3"/>
      <c r="AF507" s="3"/>
      <c r="AG507" s="3"/>
      <c r="AH507" s="3"/>
      <c r="AI507" s="3"/>
      <c r="AJ507" s="3"/>
      <c r="AK507" s="3"/>
    </row>
    <row r="508" spans="1:37" ht="22.5" customHeight="1" x14ac:dyDescent="0.8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c r="AA508" s="3"/>
      <c r="AB508" s="3"/>
      <c r="AC508" s="3"/>
      <c r="AD508" s="3"/>
      <c r="AE508" s="3"/>
      <c r="AF508" s="3"/>
      <c r="AG508" s="3"/>
      <c r="AH508" s="3"/>
      <c r="AI508" s="3"/>
      <c r="AJ508" s="3"/>
      <c r="AK508" s="3"/>
    </row>
    <row r="509" spans="1:37" ht="22.5" customHeight="1" x14ac:dyDescent="0.8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c r="AA509" s="3"/>
      <c r="AB509" s="3"/>
      <c r="AC509" s="3"/>
      <c r="AD509" s="3"/>
      <c r="AE509" s="3"/>
      <c r="AF509" s="3"/>
      <c r="AG509" s="3"/>
      <c r="AH509" s="3"/>
      <c r="AI509" s="3"/>
      <c r="AJ509" s="3"/>
      <c r="AK509" s="3"/>
    </row>
    <row r="510" spans="1:37" ht="22.5" customHeight="1" x14ac:dyDescent="0.8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c r="AF510" s="3"/>
      <c r="AG510" s="3"/>
      <c r="AH510" s="3"/>
      <c r="AI510" s="3"/>
      <c r="AJ510" s="3"/>
      <c r="AK510" s="3"/>
    </row>
    <row r="511" spans="1:37" ht="22.5" customHeight="1" x14ac:dyDescent="0.8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c r="AA511" s="3"/>
      <c r="AB511" s="3"/>
      <c r="AC511" s="3"/>
      <c r="AD511" s="3"/>
      <c r="AE511" s="3"/>
      <c r="AF511" s="3"/>
      <c r="AG511" s="3"/>
      <c r="AH511" s="3"/>
      <c r="AI511" s="3"/>
      <c r="AJ511" s="3"/>
      <c r="AK511" s="3"/>
    </row>
    <row r="512" spans="1:37" ht="22.5" customHeight="1" x14ac:dyDescent="0.8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c r="AA512" s="3"/>
      <c r="AB512" s="3"/>
      <c r="AC512" s="3"/>
      <c r="AD512" s="3"/>
      <c r="AE512" s="3"/>
      <c r="AF512" s="3"/>
      <c r="AG512" s="3"/>
      <c r="AH512" s="3"/>
      <c r="AI512" s="3"/>
      <c r="AJ512" s="3"/>
      <c r="AK512" s="3"/>
    </row>
    <row r="513" spans="1:37" ht="22.5" customHeight="1" x14ac:dyDescent="0.8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c r="AA513" s="3"/>
      <c r="AB513" s="3"/>
      <c r="AC513" s="3"/>
      <c r="AD513" s="3"/>
      <c r="AE513" s="3"/>
      <c r="AF513" s="3"/>
      <c r="AG513" s="3"/>
      <c r="AH513" s="3"/>
      <c r="AI513" s="3"/>
      <c r="AJ513" s="3"/>
      <c r="AK513" s="3"/>
    </row>
    <row r="514" spans="1:37" ht="22.5" customHeight="1" x14ac:dyDescent="0.8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c r="AA514" s="3"/>
      <c r="AB514" s="3"/>
      <c r="AC514" s="3"/>
      <c r="AD514" s="3"/>
      <c r="AE514" s="3"/>
      <c r="AF514" s="3"/>
      <c r="AG514" s="3"/>
      <c r="AH514" s="3"/>
      <c r="AI514" s="3"/>
      <c r="AJ514" s="3"/>
      <c r="AK514" s="3"/>
    </row>
    <row r="515" spans="1:37" ht="22.5" customHeight="1" x14ac:dyDescent="0.8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c r="AA515" s="3"/>
      <c r="AB515" s="3"/>
      <c r="AC515" s="3"/>
      <c r="AD515" s="3"/>
      <c r="AE515" s="3"/>
      <c r="AF515" s="3"/>
      <c r="AG515" s="3"/>
      <c r="AH515" s="3"/>
      <c r="AI515" s="3"/>
      <c r="AJ515" s="3"/>
      <c r="AK515" s="3"/>
    </row>
    <row r="516" spans="1:37" ht="22.5" customHeight="1" x14ac:dyDescent="0.8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c r="AA516" s="3"/>
      <c r="AB516" s="3"/>
      <c r="AC516" s="3"/>
      <c r="AD516" s="3"/>
      <c r="AE516" s="3"/>
      <c r="AF516" s="3"/>
      <c r="AG516" s="3"/>
      <c r="AH516" s="3"/>
      <c r="AI516" s="3"/>
      <c r="AJ516" s="3"/>
      <c r="AK516" s="3"/>
    </row>
    <row r="517" spans="1:37" ht="22.5" customHeight="1" x14ac:dyDescent="0.8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c r="AA517" s="3"/>
      <c r="AB517" s="3"/>
      <c r="AC517" s="3"/>
      <c r="AD517" s="3"/>
      <c r="AE517" s="3"/>
      <c r="AF517" s="3"/>
      <c r="AG517" s="3"/>
      <c r="AH517" s="3"/>
      <c r="AI517" s="3"/>
      <c r="AJ517" s="3"/>
      <c r="AK517" s="3"/>
    </row>
    <row r="518" spans="1:37" ht="22.5" customHeight="1" x14ac:dyDescent="0.8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c r="AA518" s="3"/>
      <c r="AB518" s="3"/>
      <c r="AC518" s="3"/>
      <c r="AD518" s="3"/>
      <c r="AE518" s="3"/>
      <c r="AF518" s="3"/>
      <c r="AG518" s="3"/>
      <c r="AH518" s="3"/>
      <c r="AI518" s="3"/>
      <c r="AJ518" s="3"/>
      <c r="AK518" s="3"/>
    </row>
    <row r="519" spans="1:37" ht="22.5" customHeight="1" x14ac:dyDescent="0.8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c r="AA519" s="3"/>
      <c r="AB519" s="3"/>
      <c r="AC519" s="3"/>
      <c r="AD519" s="3"/>
      <c r="AE519" s="3"/>
      <c r="AF519" s="3"/>
      <c r="AG519" s="3"/>
      <c r="AH519" s="3"/>
      <c r="AI519" s="3"/>
      <c r="AJ519" s="3"/>
      <c r="AK519" s="3"/>
    </row>
    <row r="520" spans="1:37" ht="22.5" customHeight="1" x14ac:dyDescent="0.8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c r="AA520" s="3"/>
      <c r="AB520" s="3"/>
      <c r="AC520" s="3"/>
      <c r="AD520" s="3"/>
      <c r="AE520" s="3"/>
      <c r="AF520" s="3"/>
      <c r="AG520" s="3"/>
      <c r="AH520" s="3"/>
      <c r="AI520" s="3"/>
      <c r="AJ520" s="3"/>
      <c r="AK520" s="3"/>
    </row>
    <row r="521" spans="1:37" ht="22.5" customHeight="1" x14ac:dyDescent="0.8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c r="AA521" s="3"/>
      <c r="AB521" s="3"/>
      <c r="AC521" s="3"/>
      <c r="AD521" s="3"/>
      <c r="AE521" s="3"/>
      <c r="AF521" s="3"/>
      <c r="AG521" s="3"/>
      <c r="AH521" s="3"/>
      <c r="AI521" s="3"/>
      <c r="AJ521" s="3"/>
      <c r="AK521" s="3"/>
    </row>
    <row r="522" spans="1:37" ht="22.5" customHeight="1" x14ac:dyDescent="0.8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c r="AF522" s="3"/>
      <c r="AG522" s="3"/>
      <c r="AH522" s="3"/>
      <c r="AI522" s="3"/>
      <c r="AJ522" s="3"/>
      <c r="AK522" s="3"/>
    </row>
    <row r="523" spans="1:37" ht="22.5" customHeight="1" x14ac:dyDescent="0.8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c r="AA523" s="3"/>
      <c r="AB523" s="3"/>
      <c r="AC523" s="3"/>
      <c r="AD523" s="3"/>
      <c r="AE523" s="3"/>
      <c r="AF523" s="3"/>
      <c r="AG523" s="3"/>
      <c r="AH523" s="3"/>
      <c r="AI523" s="3"/>
      <c r="AJ523" s="3"/>
      <c r="AK523" s="3"/>
    </row>
    <row r="524" spans="1:37" ht="22.5" customHeight="1" x14ac:dyDescent="0.8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c r="AA524" s="3"/>
      <c r="AB524" s="3"/>
      <c r="AC524" s="3"/>
      <c r="AD524" s="3"/>
      <c r="AE524" s="3"/>
      <c r="AF524" s="3"/>
      <c r="AG524" s="3"/>
      <c r="AH524" s="3"/>
      <c r="AI524" s="3"/>
      <c r="AJ524" s="3"/>
      <c r="AK524" s="3"/>
    </row>
    <row r="525" spans="1:37" ht="22.5" customHeight="1" x14ac:dyDescent="0.8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c r="AA525" s="3"/>
      <c r="AB525" s="3"/>
      <c r="AC525" s="3"/>
      <c r="AD525" s="3"/>
      <c r="AE525" s="3"/>
      <c r="AF525" s="3"/>
      <c r="AG525" s="3"/>
      <c r="AH525" s="3"/>
      <c r="AI525" s="3"/>
      <c r="AJ525" s="3"/>
      <c r="AK525" s="3"/>
    </row>
    <row r="526" spans="1:37" ht="22.5" customHeight="1" x14ac:dyDescent="0.8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c r="AA526" s="3"/>
      <c r="AB526" s="3"/>
      <c r="AC526" s="3"/>
      <c r="AD526" s="3"/>
      <c r="AE526" s="3"/>
      <c r="AF526" s="3"/>
      <c r="AG526" s="3"/>
      <c r="AH526" s="3"/>
      <c r="AI526" s="3"/>
      <c r="AJ526" s="3"/>
      <c r="AK526" s="3"/>
    </row>
    <row r="527" spans="1:37" ht="22.5" customHeight="1" x14ac:dyDescent="0.8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c r="AA527" s="3"/>
      <c r="AB527" s="3"/>
      <c r="AC527" s="3"/>
      <c r="AD527" s="3"/>
      <c r="AE527" s="3"/>
      <c r="AF527" s="3"/>
      <c r="AG527" s="3"/>
      <c r="AH527" s="3"/>
      <c r="AI527" s="3"/>
      <c r="AJ527" s="3"/>
      <c r="AK527" s="3"/>
    </row>
    <row r="528" spans="1:37" ht="22.5" customHeight="1" x14ac:dyDescent="0.8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c r="AA528" s="3"/>
      <c r="AB528" s="3"/>
      <c r="AC528" s="3"/>
      <c r="AD528" s="3"/>
      <c r="AE528" s="3"/>
      <c r="AF528" s="3"/>
      <c r="AG528" s="3"/>
      <c r="AH528" s="3"/>
      <c r="AI528" s="3"/>
      <c r="AJ528" s="3"/>
      <c r="AK528" s="3"/>
    </row>
    <row r="529" spans="1:37" ht="22.5" customHeight="1" x14ac:dyDescent="0.8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c r="AA529" s="3"/>
      <c r="AB529" s="3"/>
      <c r="AC529" s="3"/>
      <c r="AD529" s="3"/>
      <c r="AE529" s="3"/>
      <c r="AF529" s="3"/>
      <c r="AG529" s="3"/>
      <c r="AH529" s="3"/>
      <c r="AI529" s="3"/>
      <c r="AJ529" s="3"/>
      <c r="AK529" s="3"/>
    </row>
    <row r="530" spans="1:37" ht="22.5" customHeight="1" x14ac:dyDescent="0.8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c r="AA530" s="3"/>
      <c r="AB530" s="3"/>
      <c r="AC530" s="3"/>
      <c r="AD530" s="3"/>
      <c r="AE530" s="3"/>
      <c r="AF530" s="3"/>
      <c r="AG530" s="3"/>
      <c r="AH530" s="3"/>
      <c r="AI530" s="3"/>
      <c r="AJ530" s="3"/>
      <c r="AK530" s="3"/>
    </row>
    <row r="531" spans="1:37" ht="22.5" customHeight="1" x14ac:dyDescent="0.8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c r="AA531" s="3"/>
      <c r="AB531" s="3"/>
      <c r="AC531" s="3"/>
      <c r="AD531" s="3"/>
      <c r="AE531" s="3"/>
      <c r="AF531" s="3"/>
      <c r="AG531" s="3"/>
      <c r="AH531" s="3"/>
      <c r="AI531" s="3"/>
      <c r="AJ531" s="3"/>
      <c r="AK531" s="3"/>
    </row>
    <row r="532" spans="1:37" ht="22.5" customHeight="1" x14ac:dyDescent="0.8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c r="AA532" s="3"/>
      <c r="AB532" s="3"/>
      <c r="AC532" s="3"/>
      <c r="AD532" s="3"/>
      <c r="AE532" s="3"/>
      <c r="AF532" s="3"/>
      <c r="AG532" s="3"/>
      <c r="AH532" s="3"/>
      <c r="AI532" s="3"/>
      <c r="AJ532" s="3"/>
      <c r="AK532" s="3"/>
    </row>
    <row r="533" spans="1:37" ht="22.5" customHeight="1" x14ac:dyDescent="0.8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c r="AA533" s="3"/>
      <c r="AB533" s="3"/>
      <c r="AC533" s="3"/>
      <c r="AD533" s="3"/>
      <c r="AE533" s="3"/>
      <c r="AF533" s="3"/>
      <c r="AG533" s="3"/>
      <c r="AH533" s="3"/>
      <c r="AI533" s="3"/>
      <c r="AJ533" s="3"/>
      <c r="AK533" s="3"/>
    </row>
    <row r="534" spans="1:37" ht="22.5" customHeight="1" x14ac:dyDescent="0.8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c r="AA534" s="3"/>
      <c r="AB534" s="3"/>
      <c r="AC534" s="3"/>
      <c r="AD534" s="3"/>
      <c r="AE534" s="3"/>
      <c r="AF534" s="3"/>
      <c r="AG534" s="3"/>
      <c r="AH534" s="3"/>
      <c r="AI534" s="3"/>
      <c r="AJ534" s="3"/>
      <c r="AK534" s="3"/>
    </row>
    <row r="535" spans="1:37" ht="22.5" customHeight="1" x14ac:dyDescent="0.8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c r="AA535" s="3"/>
      <c r="AB535" s="3"/>
      <c r="AC535" s="3"/>
      <c r="AD535" s="3"/>
      <c r="AE535" s="3"/>
      <c r="AF535" s="3"/>
      <c r="AG535" s="3"/>
      <c r="AH535" s="3"/>
      <c r="AI535" s="3"/>
      <c r="AJ535" s="3"/>
      <c r="AK535" s="3"/>
    </row>
    <row r="536" spans="1:37" ht="22.5" customHeight="1" x14ac:dyDescent="0.8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c r="AF536" s="3"/>
      <c r="AG536" s="3"/>
      <c r="AH536" s="3"/>
      <c r="AI536" s="3"/>
      <c r="AJ536" s="3"/>
      <c r="AK536" s="3"/>
    </row>
    <row r="537" spans="1:37" ht="22.5" customHeight="1" x14ac:dyDescent="0.8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c r="AA537" s="3"/>
      <c r="AB537" s="3"/>
      <c r="AC537" s="3"/>
      <c r="AD537" s="3"/>
      <c r="AE537" s="3"/>
      <c r="AF537" s="3"/>
      <c r="AG537" s="3"/>
      <c r="AH537" s="3"/>
      <c r="AI537" s="3"/>
      <c r="AJ537" s="3"/>
      <c r="AK537" s="3"/>
    </row>
    <row r="538" spans="1:37" ht="22.5" customHeight="1" x14ac:dyDescent="0.8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c r="AA538" s="3"/>
      <c r="AB538" s="3"/>
      <c r="AC538" s="3"/>
      <c r="AD538" s="3"/>
      <c r="AE538" s="3"/>
      <c r="AF538" s="3"/>
      <c r="AG538" s="3"/>
      <c r="AH538" s="3"/>
      <c r="AI538" s="3"/>
      <c r="AJ538" s="3"/>
      <c r="AK538" s="3"/>
    </row>
    <row r="539" spans="1:37" ht="22.5" customHeight="1" x14ac:dyDescent="0.8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c r="AA539" s="3"/>
      <c r="AB539" s="3"/>
      <c r="AC539" s="3"/>
      <c r="AD539" s="3"/>
      <c r="AE539" s="3"/>
      <c r="AF539" s="3"/>
      <c r="AG539" s="3"/>
      <c r="AH539" s="3"/>
      <c r="AI539" s="3"/>
      <c r="AJ539" s="3"/>
      <c r="AK539" s="3"/>
    </row>
    <row r="540" spans="1:37" ht="22.5" customHeight="1" x14ac:dyDescent="0.8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c r="AA540" s="3"/>
      <c r="AB540" s="3"/>
      <c r="AC540" s="3"/>
      <c r="AD540" s="3"/>
      <c r="AE540" s="3"/>
      <c r="AF540" s="3"/>
      <c r="AG540" s="3"/>
      <c r="AH540" s="3"/>
      <c r="AI540" s="3"/>
      <c r="AJ540" s="3"/>
      <c r="AK540" s="3"/>
    </row>
    <row r="541" spans="1:37" ht="22.5" customHeight="1" x14ac:dyDescent="0.8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c r="AA541" s="3"/>
      <c r="AB541" s="3"/>
      <c r="AC541" s="3"/>
      <c r="AD541" s="3"/>
      <c r="AE541" s="3"/>
      <c r="AF541" s="3"/>
      <c r="AG541" s="3"/>
      <c r="AH541" s="3"/>
      <c r="AI541" s="3"/>
      <c r="AJ541" s="3"/>
      <c r="AK541" s="3"/>
    </row>
    <row r="542" spans="1:37" ht="22.5" customHeight="1" x14ac:dyDescent="0.8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c r="AA542" s="3"/>
      <c r="AB542" s="3"/>
      <c r="AC542" s="3"/>
      <c r="AD542" s="3"/>
      <c r="AE542" s="3"/>
      <c r="AF542" s="3"/>
      <c r="AG542" s="3"/>
      <c r="AH542" s="3"/>
      <c r="AI542" s="3"/>
      <c r="AJ542" s="3"/>
      <c r="AK542" s="3"/>
    </row>
    <row r="543" spans="1:37" ht="22.5" customHeight="1" x14ac:dyDescent="0.8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c r="AF543" s="3"/>
      <c r="AG543" s="3"/>
      <c r="AH543" s="3"/>
      <c r="AI543" s="3"/>
      <c r="AJ543" s="3"/>
      <c r="AK543" s="3"/>
    </row>
    <row r="544" spans="1:37" ht="22.5" customHeight="1" x14ac:dyDescent="0.8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c r="AA544" s="3"/>
      <c r="AB544" s="3"/>
      <c r="AC544" s="3"/>
      <c r="AD544" s="3"/>
      <c r="AE544" s="3"/>
      <c r="AF544" s="3"/>
      <c r="AG544" s="3"/>
      <c r="AH544" s="3"/>
      <c r="AI544" s="3"/>
      <c r="AJ544" s="3"/>
      <c r="AK544" s="3"/>
    </row>
    <row r="545" spans="1:37" ht="22.5" customHeight="1" x14ac:dyDescent="0.8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c r="AA545" s="3"/>
      <c r="AB545" s="3"/>
      <c r="AC545" s="3"/>
      <c r="AD545" s="3"/>
      <c r="AE545" s="3"/>
      <c r="AF545" s="3"/>
      <c r="AG545" s="3"/>
      <c r="AH545" s="3"/>
      <c r="AI545" s="3"/>
      <c r="AJ545" s="3"/>
      <c r="AK545" s="3"/>
    </row>
    <row r="546" spans="1:37" ht="22.5" customHeight="1" x14ac:dyDescent="0.8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c r="AF546" s="3"/>
      <c r="AG546" s="3"/>
      <c r="AH546" s="3"/>
      <c r="AI546" s="3"/>
      <c r="AJ546" s="3"/>
      <c r="AK546" s="3"/>
    </row>
    <row r="547" spans="1:37" ht="22.5" customHeight="1" x14ac:dyDescent="0.8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c r="AA547" s="3"/>
      <c r="AB547" s="3"/>
      <c r="AC547" s="3"/>
      <c r="AD547" s="3"/>
      <c r="AE547" s="3"/>
      <c r="AF547" s="3"/>
      <c r="AG547" s="3"/>
      <c r="AH547" s="3"/>
      <c r="AI547" s="3"/>
      <c r="AJ547" s="3"/>
      <c r="AK547" s="3"/>
    </row>
    <row r="548" spans="1:37" ht="22.5" customHeight="1" x14ac:dyDescent="0.8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c r="AA548" s="3"/>
      <c r="AB548" s="3"/>
      <c r="AC548" s="3"/>
      <c r="AD548" s="3"/>
      <c r="AE548" s="3"/>
      <c r="AF548" s="3"/>
      <c r="AG548" s="3"/>
      <c r="AH548" s="3"/>
      <c r="AI548" s="3"/>
      <c r="AJ548" s="3"/>
      <c r="AK548" s="3"/>
    </row>
    <row r="549" spans="1:37" ht="22.5" customHeight="1" x14ac:dyDescent="0.8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c r="AA549" s="3"/>
      <c r="AB549" s="3"/>
      <c r="AC549" s="3"/>
      <c r="AD549" s="3"/>
      <c r="AE549" s="3"/>
      <c r="AF549" s="3"/>
      <c r="AG549" s="3"/>
      <c r="AH549" s="3"/>
      <c r="AI549" s="3"/>
      <c r="AJ549" s="3"/>
      <c r="AK549" s="3"/>
    </row>
    <row r="550" spans="1:37" ht="22.5" customHeight="1" x14ac:dyDescent="0.8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c r="AA550" s="3"/>
      <c r="AB550" s="3"/>
      <c r="AC550" s="3"/>
      <c r="AD550" s="3"/>
      <c r="AE550" s="3"/>
      <c r="AF550" s="3"/>
      <c r="AG550" s="3"/>
      <c r="AH550" s="3"/>
      <c r="AI550" s="3"/>
      <c r="AJ550" s="3"/>
      <c r="AK550" s="3"/>
    </row>
    <row r="551" spans="1:37" ht="22.5" customHeight="1" x14ac:dyDescent="0.8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c r="AA551" s="3"/>
      <c r="AB551" s="3"/>
      <c r="AC551" s="3"/>
      <c r="AD551" s="3"/>
      <c r="AE551" s="3"/>
      <c r="AF551" s="3"/>
      <c r="AG551" s="3"/>
      <c r="AH551" s="3"/>
      <c r="AI551" s="3"/>
      <c r="AJ551" s="3"/>
      <c r="AK551" s="3"/>
    </row>
    <row r="552" spans="1:37" ht="22.5" customHeight="1" x14ac:dyDescent="0.8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c r="AA552" s="3"/>
      <c r="AB552" s="3"/>
      <c r="AC552" s="3"/>
      <c r="AD552" s="3"/>
      <c r="AE552" s="3"/>
      <c r="AF552" s="3"/>
      <c r="AG552" s="3"/>
      <c r="AH552" s="3"/>
      <c r="AI552" s="3"/>
      <c r="AJ552" s="3"/>
      <c r="AK552" s="3"/>
    </row>
    <row r="553" spans="1:37" ht="22.5" customHeight="1" x14ac:dyDescent="0.8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c r="AA553" s="3"/>
      <c r="AB553" s="3"/>
      <c r="AC553" s="3"/>
      <c r="AD553" s="3"/>
      <c r="AE553" s="3"/>
      <c r="AF553" s="3"/>
      <c r="AG553" s="3"/>
      <c r="AH553" s="3"/>
      <c r="AI553" s="3"/>
      <c r="AJ553" s="3"/>
      <c r="AK553" s="3"/>
    </row>
    <row r="554" spans="1:37" ht="22.5" customHeight="1" x14ac:dyDescent="0.8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c r="AA554" s="3"/>
      <c r="AB554" s="3"/>
      <c r="AC554" s="3"/>
      <c r="AD554" s="3"/>
      <c r="AE554" s="3"/>
      <c r="AF554" s="3"/>
      <c r="AG554" s="3"/>
      <c r="AH554" s="3"/>
      <c r="AI554" s="3"/>
      <c r="AJ554" s="3"/>
      <c r="AK554" s="3"/>
    </row>
    <row r="555" spans="1:37" ht="22.5" customHeight="1" x14ac:dyDescent="0.8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c r="AA555" s="3"/>
      <c r="AB555" s="3"/>
      <c r="AC555" s="3"/>
      <c r="AD555" s="3"/>
      <c r="AE555" s="3"/>
      <c r="AF555" s="3"/>
      <c r="AG555" s="3"/>
      <c r="AH555" s="3"/>
      <c r="AI555" s="3"/>
      <c r="AJ555" s="3"/>
      <c r="AK555" s="3"/>
    </row>
    <row r="556" spans="1:37" ht="22.5" customHeight="1" x14ac:dyDescent="0.8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c r="AA556" s="3"/>
      <c r="AB556" s="3"/>
      <c r="AC556" s="3"/>
      <c r="AD556" s="3"/>
      <c r="AE556" s="3"/>
      <c r="AF556" s="3"/>
      <c r="AG556" s="3"/>
      <c r="AH556" s="3"/>
      <c r="AI556" s="3"/>
      <c r="AJ556" s="3"/>
      <c r="AK556" s="3"/>
    </row>
    <row r="557" spans="1:37" ht="22.5" customHeight="1" x14ac:dyDescent="0.8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c r="AA557" s="3"/>
      <c r="AB557" s="3"/>
      <c r="AC557" s="3"/>
      <c r="AD557" s="3"/>
      <c r="AE557" s="3"/>
      <c r="AF557" s="3"/>
      <c r="AG557" s="3"/>
      <c r="AH557" s="3"/>
      <c r="AI557" s="3"/>
      <c r="AJ557" s="3"/>
      <c r="AK557" s="3"/>
    </row>
    <row r="558" spans="1:37" ht="22.5" customHeight="1" x14ac:dyDescent="0.8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c r="AA558" s="3"/>
      <c r="AB558" s="3"/>
      <c r="AC558" s="3"/>
      <c r="AD558" s="3"/>
      <c r="AE558" s="3"/>
      <c r="AF558" s="3"/>
      <c r="AG558" s="3"/>
      <c r="AH558" s="3"/>
      <c r="AI558" s="3"/>
      <c r="AJ558" s="3"/>
      <c r="AK558" s="3"/>
    </row>
    <row r="559" spans="1:37" ht="22.5" customHeight="1" x14ac:dyDescent="0.8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c r="AA559" s="3"/>
      <c r="AB559" s="3"/>
      <c r="AC559" s="3"/>
      <c r="AD559" s="3"/>
      <c r="AE559" s="3"/>
      <c r="AF559" s="3"/>
      <c r="AG559" s="3"/>
      <c r="AH559" s="3"/>
      <c r="AI559" s="3"/>
      <c r="AJ559" s="3"/>
      <c r="AK559" s="3"/>
    </row>
    <row r="560" spans="1:37" ht="22.5" customHeight="1" x14ac:dyDescent="0.8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c r="AA560" s="3"/>
      <c r="AB560" s="3"/>
      <c r="AC560" s="3"/>
      <c r="AD560" s="3"/>
      <c r="AE560" s="3"/>
      <c r="AF560" s="3"/>
      <c r="AG560" s="3"/>
      <c r="AH560" s="3"/>
      <c r="AI560" s="3"/>
      <c r="AJ560" s="3"/>
      <c r="AK560" s="3"/>
    </row>
    <row r="561" spans="1:37" ht="22.5" customHeight="1" x14ac:dyDescent="0.8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c r="AA561" s="3"/>
      <c r="AB561" s="3"/>
      <c r="AC561" s="3"/>
      <c r="AD561" s="3"/>
      <c r="AE561" s="3"/>
      <c r="AF561" s="3"/>
      <c r="AG561" s="3"/>
      <c r="AH561" s="3"/>
      <c r="AI561" s="3"/>
      <c r="AJ561" s="3"/>
      <c r="AK561" s="3"/>
    </row>
    <row r="562" spans="1:37" ht="22.5" customHeight="1" x14ac:dyDescent="0.8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c r="AA562" s="3"/>
      <c r="AB562" s="3"/>
      <c r="AC562" s="3"/>
      <c r="AD562" s="3"/>
      <c r="AE562" s="3"/>
      <c r="AF562" s="3"/>
      <c r="AG562" s="3"/>
      <c r="AH562" s="3"/>
      <c r="AI562" s="3"/>
      <c r="AJ562" s="3"/>
      <c r="AK562" s="3"/>
    </row>
    <row r="563" spans="1:37" ht="22.5" customHeight="1" x14ac:dyDescent="0.8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c r="AA563" s="3"/>
      <c r="AB563" s="3"/>
      <c r="AC563" s="3"/>
      <c r="AD563" s="3"/>
      <c r="AE563" s="3"/>
      <c r="AF563" s="3"/>
      <c r="AG563" s="3"/>
      <c r="AH563" s="3"/>
      <c r="AI563" s="3"/>
      <c r="AJ563" s="3"/>
      <c r="AK563" s="3"/>
    </row>
    <row r="564" spans="1:37" ht="22.5" customHeight="1" x14ac:dyDescent="0.8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c r="AA564" s="3"/>
      <c r="AB564" s="3"/>
      <c r="AC564" s="3"/>
      <c r="AD564" s="3"/>
      <c r="AE564" s="3"/>
      <c r="AF564" s="3"/>
      <c r="AG564" s="3"/>
      <c r="AH564" s="3"/>
      <c r="AI564" s="3"/>
      <c r="AJ564" s="3"/>
      <c r="AK564" s="3"/>
    </row>
    <row r="565" spans="1:37" ht="22.5" customHeight="1" x14ac:dyDescent="0.8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c r="AA565" s="3"/>
      <c r="AB565" s="3"/>
      <c r="AC565" s="3"/>
      <c r="AD565" s="3"/>
      <c r="AE565" s="3"/>
      <c r="AF565" s="3"/>
      <c r="AG565" s="3"/>
      <c r="AH565" s="3"/>
      <c r="AI565" s="3"/>
      <c r="AJ565" s="3"/>
      <c r="AK565" s="3"/>
    </row>
    <row r="566" spans="1:37" ht="22.5" customHeight="1" x14ac:dyDescent="0.8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c r="AA566" s="3"/>
      <c r="AB566" s="3"/>
      <c r="AC566" s="3"/>
      <c r="AD566" s="3"/>
      <c r="AE566" s="3"/>
      <c r="AF566" s="3"/>
      <c r="AG566" s="3"/>
      <c r="AH566" s="3"/>
      <c r="AI566" s="3"/>
      <c r="AJ566" s="3"/>
      <c r="AK566" s="3"/>
    </row>
    <row r="567" spans="1:37" ht="22.5" customHeight="1" x14ac:dyDescent="0.8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c r="AA567" s="3"/>
      <c r="AB567" s="3"/>
      <c r="AC567" s="3"/>
      <c r="AD567" s="3"/>
      <c r="AE567" s="3"/>
      <c r="AF567" s="3"/>
      <c r="AG567" s="3"/>
      <c r="AH567" s="3"/>
      <c r="AI567" s="3"/>
      <c r="AJ567" s="3"/>
      <c r="AK567" s="3"/>
    </row>
    <row r="568" spans="1:37" ht="22.5" customHeight="1" x14ac:dyDescent="0.8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c r="AA568" s="3"/>
      <c r="AB568" s="3"/>
      <c r="AC568" s="3"/>
      <c r="AD568" s="3"/>
      <c r="AE568" s="3"/>
      <c r="AF568" s="3"/>
      <c r="AG568" s="3"/>
      <c r="AH568" s="3"/>
      <c r="AI568" s="3"/>
      <c r="AJ568" s="3"/>
      <c r="AK568" s="3"/>
    </row>
    <row r="569" spans="1:37" ht="22.5" customHeight="1" x14ac:dyDescent="0.8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c r="AA569" s="3"/>
      <c r="AB569" s="3"/>
      <c r="AC569" s="3"/>
      <c r="AD569" s="3"/>
      <c r="AE569" s="3"/>
      <c r="AF569" s="3"/>
      <c r="AG569" s="3"/>
      <c r="AH569" s="3"/>
      <c r="AI569" s="3"/>
      <c r="AJ569" s="3"/>
      <c r="AK569" s="3"/>
    </row>
    <row r="570" spans="1:37" ht="22.5" customHeight="1" x14ac:dyDescent="0.8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c r="AA570" s="3"/>
      <c r="AB570" s="3"/>
      <c r="AC570" s="3"/>
      <c r="AD570" s="3"/>
      <c r="AE570" s="3"/>
      <c r="AF570" s="3"/>
      <c r="AG570" s="3"/>
      <c r="AH570" s="3"/>
      <c r="AI570" s="3"/>
      <c r="AJ570" s="3"/>
      <c r="AK570" s="3"/>
    </row>
    <row r="571" spans="1:37" ht="22.5" customHeight="1" x14ac:dyDescent="0.8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c r="AA571" s="3"/>
      <c r="AB571" s="3"/>
      <c r="AC571" s="3"/>
      <c r="AD571" s="3"/>
      <c r="AE571" s="3"/>
      <c r="AF571" s="3"/>
      <c r="AG571" s="3"/>
      <c r="AH571" s="3"/>
      <c r="AI571" s="3"/>
      <c r="AJ571" s="3"/>
      <c r="AK571" s="3"/>
    </row>
    <row r="572" spans="1:37" ht="22.5" customHeight="1" x14ac:dyDescent="0.8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c r="AA572" s="3"/>
      <c r="AB572" s="3"/>
      <c r="AC572" s="3"/>
      <c r="AD572" s="3"/>
      <c r="AE572" s="3"/>
      <c r="AF572" s="3"/>
      <c r="AG572" s="3"/>
      <c r="AH572" s="3"/>
      <c r="AI572" s="3"/>
      <c r="AJ572" s="3"/>
      <c r="AK572" s="3"/>
    </row>
    <row r="573" spans="1:37" ht="22.5" customHeight="1" x14ac:dyDescent="0.8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c r="AA573" s="3"/>
      <c r="AB573" s="3"/>
      <c r="AC573" s="3"/>
      <c r="AD573" s="3"/>
      <c r="AE573" s="3"/>
      <c r="AF573" s="3"/>
      <c r="AG573" s="3"/>
      <c r="AH573" s="3"/>
      <c r="AI573" s="3"/>
      <c r="AJ573" s="3"/>
      <c r="AK573" s="3"/>
    </row>
    <row r="574" spans="1:37" ht="22.5" customHeight="1" x14ac:dyDescent="0.8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c r="AA574" s="3"/>
      <c r="AB574" s="3"/>
      <c r="AC574" s="3"/>
      <c r="AD574" s="3"/>
      <c r="AE574" s="3"/>
      <c r="AF574" s="3"/>
      <c r="AG574" s="3"/>
      <c r="AH574" s="3"/>
      <c r="AI574" s="3"/>
      <c r="AJ574" s="3"/>
      <c r="AK574" s="3"/>
    </row>
    <row r="575" spans="1:37" ht="22.5" customHeight="1" x14ac:dyDescent="0.8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c r="AA575" s="3"/>
      <c r="AB575" s="3"/>
      <c r="AC575" s="3"/>
      <c r="AD575" s="3"/>
      <c r="AE575" s="3"/>
      <c r="AF575" s="3"/>
      <c r="AG575" s="3"/>
      <c r="AH575" s="3"/>
      <c r="AI575" s="3"/>
      <c r="AJ575" s="3"/>
      <c r="AK575" s="3"/>
    </row>
    <row r="576" spans="1:37" ht="22.5" customHeight="1" x14ac:dyDescent="0.8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c r="AA576" s="3"/>
      <c r="AB576" s="3"/>
      <c r="AC576" s="3"/>
      <c r="AD576" s="3"/>
      <c r="AE576" s="3"/>
      <c r="AF576" s="3"/>
      <c r="AG576" s="3"/>
      <c r="AH576" s="3"/>
      <c r="AI576" s="3"/>
      <c r="AJ576" s="3"/>
      <c r="AK576" s="3"/>
    </row>
    <row r="577" spans="1:37" ht="22.5" customHeight="1" x14ac:dyDescent="0.8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c r="AA577" s="3"/>
      <c r="AB577" s="3"/>
      <c r="AC577" s="3"/>
      <c r="AD577" s="3"/>
      <c r="AE577" s="3"/>
      <c r="AF577" s="3"/>
      <c r="AG577" s="3"/>
      <c r="AH577" s="3"/>
      <c r="AI577" s="3"/>
      <c r="AJ577" s="3"/>
      <c r="AK577" s="3"/>
    </row>
    <row r="578" spans="1:37" ht="22.5" customHeight="1" x14ac:dyDescent="0.8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c r="AA578" s="3"/>
      <c r="AB578" s="3"/>
      <c r="AC578" s="3"/>
      <c r="AD578" s="3"/>
      <c r="AE578" s="3"/>
      <c r="AF578" s="3"/>
      <c r="AG578" s="3"/>
      <c r="AH578" s="3"/>
      <c r="AI578" s="3"/>
      <c r="AJ578" s="3"/>
      <c r="AK578" s="3"/>
    </row>
    <row r="579" spans="1:37" ht="22.5" customHeight="1" x14ac:dyDescent="0.8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c r="AA579" s="3"/>
      <c r="AB579" s="3"/>
      <c r="AC579" s="3"/>
      <c r="AD579" s="3"/>
      <c r="AE579" s="3"/>
      <c r="AF579" s="3"/>
      <c r="AG579" s="3"/>
      <c r="AH579" s="3"/>
      <c r="AI579" s="3"/>
      <c r="AJ579" s="3"/>
      <c r="AK579" s="3"/>
    </row>
    <row r="580" spans="1:37" ht="22.5" customHeight="1" x14ac:dyDescent="0.8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c r="AA580" s="3"/>
      <c r="AB580" s="3"/>
      <c r="AC580" s="3"/>
      <c r="AD580" s="3"/>
      <c r="AE580" s="3"/>
      <c r="AF580" s="3"/>
      <c r="AG580" s="3"/>
      <c r="AH580" s="3"/>
      <c r="AI580" s="3"/>
      <c r="AJ580" s="3"/>
      <c r="AK580" s="3"/>
    </row>
    <row r="581" spans="1:37" ht="22.5" customHeight="1" x14ac:dyDescent="0.8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c r="AA581" s="3"/>
      <c r="AB581" s="3"/>
      <c r="AC581" s="3"/>
      <c r="AD581" s="3"/>
      <c r="AE581" s="3"/>
      <c r="AF581" s="3"/>
      <c r="AG581" s="3"/>
      <c r="AH581" s="3"/>
      <c r="AI581" s="3"/>
      <c r="AJ581" s="3"/>
      <c r="AK581" s="3"/>
    </row>
    <row r="582" spans="1:37" ht="22.5" customHeight="1" x14ac:dyDescent="0.8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c r="AA582" s="3"/>
      <c r="AB582" s="3"/>
      <c r="AC582" s="3"/>
      <c r="AD582" s="3"/>
      <c r="AE582" s="3"/>
      <c r="AF582" s="3"/>
      <c r="AG582" s="3"/>
      <c r="AH582" s="3"/>
      <c r="AI582" s="3"/>
      <c r="AJ582" s="3"/>
      <c r="AK582" s="3"/>
    </row>
    <row r="583" spans="1:37" ht="22.5" customHeight="1" x14ac:dyDescent="0.8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c r="AA583" s="3"/>
      <c r="AB583" s="3"/>
      <c r="AC583" s="3"/>
      <c r="AD583" s="3"/>
      <c r="AE583" s="3"/>
      <c r="AF583" s="3"/>
      <c r="AG583" s="3"/>
      <c r="AH583" s="3"/>
      <c r="AI583" s="3"/>
      <c r="AJ583" s="3"/>
      <c r="AK583" s="3"/>
    </row>
    <row r="584" spans="1:37" ht="22.5" customHeight="1" x14ac:dyDescent="0.8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c r="AA584" s="3"/>
      <c r="AB584" s="3"/>
      <c r="AC584" s="3"/>
      <c r="AD584" s="3"/>
      <c r="AE584" s="3"/>
      <c r="AF584" s="3"/>
      <c r="AG584" s="3"/>
      <c r="AH584" s="3"/>
      <c r="AI584" s="3"/>
      <c r="AJ584" s="3"/>
      <c r="AK584" s="3"/>
    </row>
    <row r="585" spans="1:37" ht="22.5" customHeight="1" x14ac:dyDescent="0.8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c r="AA585" s="3"/>
      <c r="AB585" s="3"/>
      <c r="AC585" s="3"/>
      <c r="AD585" s="3"/>
      <c r="AE585" s="3"/>
      <c r="AF585" s="3"/>
      <c r="AG585" s="3"/>
      <c r="AH585" s="3"/>
      <c r="AI585" s="3"/>
      <c r="AJ585" s="3"/>
      <c r="AK585" s="3"/>
    </row>
    <row r="586" spans="1:37" ht="22.5" customHeight="1" x14ac:dyDescent="0.8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c r="AA586" s="3"/>
      <c r="AB586" s="3"/>
      <c r="AC586" s="3"/>
      <c r="AD586" s="3"/>
      <c r="AE586" s="3"/>
      <c r="AF586" s="3"/>
      <c r="AG586" s="3"/>
      <c r="AH586" s="3"/>
      <c r="AI586" s="3"/>
      <c r="AJ586" s="3"/>
      <c r="AK586" s="3"/>
    </row>
    <row r="587" spans="1:37" ht="22.5" customHeight="1" x14ac:dyDescent="0.8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c r="AA587" s="3"/>
      <c r="AB587" s="3"/>
      <c r="AC587" s="3"/>
      <c r="AD587" s="3"/>
      <c r="AE587" s="3"/>
      <c r="AF587" s="3"/>
      <c r="AG587" s="3"/>
      <c r="AH587" s="3"/>
      <c r="AI587" s="3"/>
      <c r="AJ587" s="3"/>
      <c r="AK587" s="3"/>
    </row>
    <row r="588" spans="1:37" ht="22.5" customHeight="1" x14ac:dyDescent="0.8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c r="AA588" s="3"/>
      <c r="AB588" s="3"/>
      <c r="AC588" s="3"/>
      <c r="AD588" s="3"/>
      <c r="AE588" s="3"/>
      <c r="AF588" s="3"/>
      <c r="AG588" s="3"/>
      <c r="AH588" s="3"/>
      <c r="AI588" s="3"/>
      <c r="AJ588" s="3"/>
      <c r="AK588" s="3"/>
    </row>
    <row r="589" spans="1:37" ht="22.5" customHeight="1" x14ac:dyDescent="0.8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c r="AA589" s="3"/>
      <c r="AB589" s="3"/>
      <c r="AC589" s="3"/>
      <c r="AD589" s="3"/>
      <c r="AE589" s="3"/>
      <c r="AF589" s="3"/>
      <c r="AG589" s="3"/>
      <c r="AH589" s="3"/>
      <c r="AI589" s="3"/>
      <c r="AJ589" s="3"/>
      <c r="AK589" s="3"/>
    </row>
    <row r="590" spans="1:37" ht="22.5" customHeight="1" x14ac:dyDescent="0.8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c r="AA590" s="3"/>
      <c r="AB590" s="3"/>
      <c r="AC590" s="3"/>
      <c r="AD590" s="3"/>
      <c r="AE590" s="3"/>
      <c r="AF590" s="3"/>
      <c r="AG590" s="3"/>
      <c r="AH590" s="3"/>
      <c r="AI590" s="3"/>
      <c r="AJ590" s="3"/>
      <c r="AK590" s="3"/>
    </row>
    <row r="591" spans="1:37" ht="22.5" customHeight="1" x14ac:dyDescent="0.8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c r="AA591" s="3"/>
      <c r="AB591" s="3"/>
      <c r="AC591" s="3"/>
      <c r="AD591" s="3"/>
      <c r="AE591" s="3"/>
      <c r="AF591" s="3"/>
      <c r="AG591" s="3"/>
      <c r="AH591" s="3"/>
      <c r="AI591" s="3"/>
      <c r="AJ591" s="3"/>
      <c r="AK591" s="3"/>
    </row>
    <row r="592" spans="1:37" ht="22.5" customHeight="1" x14ac:dyDescent="0.8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c r="AA592" s="3"/>
      <c r="AB592" s="3"/>
      <c r="AC592" s="3"/>
      <c r="AD592" s="3"/>
      <c r="AE592" s="3"/>
      <c r="AF592" s="3"/>
      <c r="AG592" s="3"/>
      <c r="AH592" s="3"/>
      <c r="AI592" s="3"/>
      <c r="AJ592" s="3"/>
      <c r="AK592" s="3"/>
    </row>
    <row r="593" spans="1:37" ht="22.5" customHeight="1" x14ac:dyDescent="0.8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c r="AA593" s="3"/>
      <c r="AB593" s="3"/>
      <c r="AC593" s="3"/>
      <c r="AD593" s="3"/>
      <c r="AE593" s="3"/>
      <c r="AF593" s="3"/>
      <c r="AG593" s="3"/>
      <c r="AH593" s="3"/>
      <c r="AI593" s="3"/>
      <c r="AJ593" s="3"/>
      <c r="AK593" s="3"/>
    </row>
    <row r="594" spans="1:37" ht="22.5" customHeight="1" x14ac:dyDescent="0.8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c r="AA594" s="3"/>
      <c r="AB594" s="3"/>
      <c r="AC594" s="3"/>
      <c r="AD594" s="3"/>
      <c r="AE594" s="3"/>
      <c r="AF594" s="3"/>
      <c r="AG594" s="3"/>
      <c r="AH594" s="3"/>
      <c r="AI594" s="3"/>
      <c r="AJ594" s="3"/>
      <c r="AK594" s="3"/>
    </row>
    <row r="595" spans="1:37" ht="22.5" customHeight="1" x14ac:dyDescent="0.8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c r="AA595" s="3"/>
      <c r="AB595" s="3"/>
      <c r="AC595" s="3"/>
      <c r="AD595" s="3"/>
      <c r="AE595" s="3"/>
      <c r="AF595" s="3"/>
      <c r="AG595" s="3"/>
      <c r="AH595" s="3"/>
      <c r="AI595" s="3"/>
      <c r="AJ595" s="3"/>
      <c r="AK595" s="3"/>
    </row>
    <row r="596" spans="1:37" ht="22.5" customHeight="1" x14ac:dyDescent="0.8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c r="AA596" s="3"/>
      <c r="AB596" s="3"/>
      <c r="AC596" s="3"/>
      <c r="AD596" s="3"/>
      <c r="AE596" s="3"/>
      <c r="AF596" s="3"/>
      <c r="AG596" s="3"/>
      <c r="AH596" s="3"/>
      <c r="AI596" s="3"/>
      <c r="AJ596" s="3"/>
      <c r="AK596" s="3"/>
    </row>
    <row r="597" spans="1:37" ht="22.5" customHeight="1" x14ac:dyDescent="0.8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c r="AA597" s="3"/>
      <c r="AB597" s="3"/>
      <c r="AC597" s="3"/>
      <c r="AD597" s="3"/>
      <c r="AE597" s="3"/>
      <c r="AF597" s="3"/>
      <c r="AG597" s="3"/>
      <c r="AH597" s="3"/>
      <c r="AI597" s="3"/>
      <c r="AJ597" s="3"/>
      <c r="AK597" s="3"/>
    </row>
    <row r="598" spans="1:37" ht="22.5" customHeight="1" x14ac:dyDescent="0.8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c r="AA598" s="3"/>
      <c r="AB598" s="3"/>
      <c r="AC598" s="3"/>
      <c r="AD598" s="3"/>
      <c r="AE598" s="3"/>
      <c r="AF598" s="3"/>
      <c r="AG598" s="3"/>
      <c r="AH598" s="3"/>
      <c r="AI598" s="3"/>
      <c r="AJ598" s="3"/>
      <c r="AK598" s="3"/>
    </row>
    <row r="599" spans="1:37" ht="22.5" customHeight="1" x14ac:dyDescent="0.8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c r="AA599" s="3"/>
      <c r="AB599" s="3"/>
      <c r="AC599" s="3"/>
      <c r="AD599" s="3"/>
      <c r="AE599" s="3"/>
      <c r="AF599" s="3"/>
      <c r="AG599" s="3"/>
      <c r="AH599" s="3"/>
      <c r="AI599" s="3"/>
      <c r="AJ599" s="3"/>
      <c r="AK599" s="3"/>
    </row>
    <row r="600" spans="1:37" ht="22.5" customHeight="1" x14ac:dyDescent="0.8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c r="AA600" s="3"/>
      <c r="AB600" s="3"/>
      <c r="AC600" s="3"/>
      <c r="AD600" s="3"/>
      <c r="AE600" s="3"/>
      <c r="AF600" s="3"/>
      <c r="AG600" s="3"/>
      <c r="AH600" s="3"/>
      <c r="AI600" s="3"/>
      <c r="AJ600" s="3"/>
      <c r="AK600" s="3"/>
    </row>
    <row r="601" spans="1:37" ht="22.5" customHeight="1" x14ac:dyDescent="0.8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c r="AA601" s="3"/>
      <c r="AB601" s="3"/>
      <c r="AC601" s="3"/>
      <c r="AD601" s="3"/>
      <c r="AE601" s="3"/>
      <c r="AF601" s="3"/>
      <c r="AG601" s="3"/>
      <c r="AH601" s="3"/>
      <c r="AI601" s="3"/>
      <c r="AJ601" s="3"/>
      <c r="AK601" s="3"/>
    </row>
    <row r="602" spans="1:37" ht="22.5" customHeight="1" x14ac:dyDescent="0.8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c r="AA602" s="3"/>
      <c r="AB602" s="3"/>
      <c r="AC602" s="3"/>
      <c r="AD602" s="3"/>
      <c r="AE602" s="3"/>
      <c r="AF602" s="3"/>
      <c r="AG602" s="3"/>
      <c r="AH602" s="3"/>
      <c r="AI602" s="3"/>
      <c r="AJ602" s="3"/>
      <c r="AK602" s="3"/>
    </row>
    <row r="603" spans="1:37" ht="22.5" customHeight="1" x14ac:dyDescent="0.8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c r="AA603" s="3"/>
      <c r="AB603" s="3"/>
      <c r="AC603" s="3"/>
      <c r="AD603" s="3"/>
      <c r="AE603" s="3"/>
      <c r="AF603" s="3"/>
      <c r="AG603" s="3"/>
      <c r="AH603" s="3"/>
      <c r="AI603" s="3"/>
      <c r="AJ603" s="3"/>
      <c r="AK603" s="3"/>
    </row>
    <row r="604" spans="1:37" ht="22.5" customHeight="1" x14ac:dyDescent="0.8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c r="AA604" s="3"/>
      <c r="AB604" s="3"/>
      <c r="AC604" s="3"/>
      <c r="AD604" s="3"/>
      <c r="AE604" s="3"/>
      <c r="AF604" s="3"/>
      <c r="AG604" s="3"/>
      <c r="AH604" s="3"/>
      <c r="AI604" s="3"/>
      <c r="AJ604" s="3"/>
      <c r="AK604" s="3"/>
    </row>
    <row r="605" spans="1:37" ht="22.5" customHeight="1" x14ac:dyDescent="0.8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c r="AA605" s="3"/>
      <c r="AB605" s="3"/>
      <c r="AC605" s="3"/>
      <c r="AD605" s="3"/>
      <c r="AE605" s="3"/>
      <c r="AF605" s="3"/>
      <c r="AG605" s="3"/>
      <c r="AH605" s="3"/>
      <c r="AI605" s="3"/>
      <c r="AJ605" s="3"/>
      <c r="AK605" s="3"/>
    </row>
    <row r="606" spans="1:37" ht="22.5" customHeight="1" x14ac:dyDescent="0.8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c r="AA606" s="3"/>
      <c r="AB606" s="3"/>
      <c r="AC606" s="3"/>
      <c r="AD606" s="3"/>
      <c r="AE606" s="3"/>
      <c r="AF606" s="3"/>
      <c r="AG606" s="3"/>
      <c r="AH606" s="3"/>
      <c r="AI606" s="3"/>
      <c r="AJ606" s="3"/>
      <c r="AK606" s="3"/>
    </row>
    <row r="607" spans="1:37" ht="22.5" customHeight="1" x14ac:dyDescent="0.8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c r="AA607" s="3"/>
      <c r="AB607" s="3"/>
      <c r="AC607" s="3"/>
      <c r="AD607" s="3"/>
      <c r="AE607" s="3"/>
      <c r="AF607" s="3"/>
      <c r="AG607" s="3"/>
      <c r="AH607" s="3"/>
      <c r="AI607" s="3"/>
      <c r="AJ607" s="3"/>
      <c r="AK607" s="3"/>
    </row>
    <row r="608" spans="1:37" ht="22.5" customHeight="1" x14ac:dyDescent="0.8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c r="AA608" s="3"/>
      <c r="AB608" s="3"/>
      <c r="AC608" s="3"/>
      <c r="AD608" s="3"/>
      <c r="AE608" s="3"/>
      <c r="AF608" s="3"/>
      <c r="AG608" s="3"/>
      <c r="AH608" s="3"/>
      <c r="AI608" s="3"/>
      <c r="AJ608" s="3"/>
      <c r="AK608" s="3"/>
    </row>
    <row r="609" spans="1:37" ht="22.5" customHeight="1" x14ac:dyDescent="0.8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c r="AA609" s="3"/>
      <c r="AB609" s="3"/>
      <c r="AC609" s="3"/>
      <c r="AD609" s="3"/>
      <c r="AE609" s="3"/>
      <c r="AF609" s="3"/>
      <c r="AG609" s="3"/>
      <c r="AH609" s="3"/>
      <c r="AI609" s="3"/>
      <c r="AJ609" s="3"/>
      <c r="AK609" s="3"/>
    </row>
    <row r="610" spans="1:37" ht="22.5" customHeight="1" x14ac:dyDescent="0.8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c r="AA610" s="3"/>
      <c r="AB610" s="3"/>
      <c r="AC610" s="3"/>
      <c r="AD610" s="3"/>
      <c r="AE610" s="3"/>
      <c r="AF610" s="3"/>
      <c r="AG610" s="3"/>
      <c r="AH610" s="3"/>
      <c r="AI610" s="3"/>
      <c r="AJ610" s="3"/>
      <c r="AK610" s="3"/>
    </row>
    <row r="611" spans="1:37" ht="22.5" customHeight="1" x14ac:dyDescent="0.8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c r="AA611" s="3"/>
      <c r="AB611" s="3"/>
      <c r="AC611" s="3"/>
      <c r="AD611" s="3"/>
      <c r="AE611" s="3"/>
      <c r="AF611" s="3"/>
      <c r="AG611" s="3"/>
      <c r="AH611" s="3"/>
      <c r="AI611" s="3"/>
      <c r="AJ611" s="3"/>
      <c r="AK611" s="3"/>
    </row>
    <row r="612" spans="1:37" ht="22.5" customHeight="1" x14ac:dyDescent="0.8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c r="AA612" s="3"/>
      <c r="AB612" s="3"/>
      <c r="AC612" s="3"/>
      <c r="AD612" s="3"/>
      <c r="AE612" s="3"/>
      <c r="AF612" s="3"/>
      <c r="AG612" s="3"/>
      <c r="AH612" s="3"/>
      <c r="AI612" s="3"/>
      <c r="AJ612" s="3"/>
      <c r="AK612" s="3"/>
    </row>
    <row r="613" spans="1:37" ht="22.5" customHeight="1" x14ac:dyDescent="0.8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c r="AA613" s="3"/>
      <c r="AB613" s="3"/>
      <c r="AC613" s="3"/>
      <c r="AD613" s="3"/>
      <c r="AE613" s="3"/>
      <c r="AF613" s="3"/>
      <c r="AG613" s="3"/>
      <c r="AH613" s="3"/>
      <c r="AI613" s="3"/>
      <c r="AJ613" s="3"/>
      <c r="AK613" s="3"/>
    </row>
    <row r="614" spans="1:37" ht="22.5" customHeight="1" x14ac:dyDescent="0.8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c r="AA614" s="3"/>
      <c r="AB614" s="3"/>
      <c r="AC614" s="3"/>
      <c r="AD614" s="3"/>
      <c r="AE614" s="3"/>
      <c r="AF614" s="3"/>
      <c r="AG614" s="3"/>
      <c r="AH614" s="3"/>
      <c r="AI614" s="3"/>
      <c r="AJ614" s="3"/>
      <c r="AK614" s="3"/>
    </row>
    <row r="615" spans="1:37" ht="22.5" customHeight="1" x14ac:dyDescent="0.8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c r="AA615" s="3"/>
      <c r="AB615" s="3"/>
      <c r="AC615" s="3"/>
      <c r="AD615" s="3"/>
      <c r="AE615" s="3"/>
      <c r="AF615" s="3"/>
      <c r="AG615" s="3"/>
      <c r="AH615" s="3"/>
      <c r="AI615" s="3"/>
      <c r="AJ615" s="3"/>
      <c r="AK615" s="3"/>
    </row>
    <row r="616" spans="1:37" ht="22.5" customHeight="1" x14ac:dyDescent="0.8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c r="AA616" s="3"/>
      <c r="AB616" s="3"/>
      <c r="AC616" s="3"/>
      <c r="AD616" s="3"/>
      <c r="AE616" s="3"/>
      <c r="AF616" s="3"/>
      <c r="AG616" s="3"/>
      <c r="AH616" s="3"/>
      <c r="AI616" s="3"/>
      <c r="AJ616" s="3"/>
      <c r="AK616" s="3"/>
    </row>
    <row r="617" spans="1:37" ht="22.5" customHeight="1" x14ac:dyDescent="0.8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c r="AA617" s="3"/>
      <c r="AB617" s="3"/>
      <c r="AC617" s="3"/>
      <c r="AD617" s="3"/>
      <c r="AE617" s="3"/>
      <c r="AF617" s="3"/>
      <c r="AG617" s="3"/>
      <c r="AH617" s="3"/>
      <c r="AI617" s="3"/>
      <c r="AJ617" s="3"/>
      <c r="AK617" s="3"/>
    </row>
    <row r="618" spans="1:37" ht="22.5" customHeight="1" x14ac:dyDescent="0.8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c r="AA618" s="3"/>
      <c r="AB618" s="3"/>
      <c r="AC618" s="3"/>
      <c r="AD618" s="3"/>
      <c r="AE618" s="3"/>
      <c r="AF618" s="3"/>
      <c r="AG618" s="3"/>
      <c r="AH618" s="3"/>
      <c r="AI618" s="3"/>
      <c r="AJ618" s="3"/>
      <c r="AK618" s="3"/>
    </row>
    <row r="619" spans="1:37" ht="22.5" customHeight="1" x14ac:dyDescent="0.8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c r="AA619" s="3"/>
      <c r="AB619" s="3"/>
      <c r="AC619" s="3"/>
      <c r="AD619" s="3"/>
      <c r="AE619" s="3"/>
      <c r="AF619" s="3"/>
      <c r="AG619" s="3"/>
      <c r="AH619" s="3"/>
      <c r="AI619" s="3"/>
      <c r="AJ619" s="3"/>
      <c r="AK619" s="3"/>
    </row>
    <row r="620" spans="1:37" ht="22.5" customHeight="1" x14ac:dyDescent="0.8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c r="AA620" s="3"/>
      <c r="AB620" s="3"/>
      <c r="AC620" s="3"/>
      <c r="AD620" s="3"/>
      <c r="AE620" s="3"/>
      <c r="AF620" s="3"/>
      <c r="AG620" s="3"/>
      <c r="AH620" s="3"/>
      <c r="AI620" s="3"/>
      <c r="AJ620" s="3"/>
      <c r="AK620" s="3"/>
    </row>
    <row r="621" spans="1:37" ht="22.5" customHeight="1" x14ac:dyDescent="0.8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c r="AA621" s="3"/>
      <c r="AB621" s="3"/>
      <c r="AC621" s="3"/>
      <c r="AD621" s="3"/>
      <c r="AE621" s="3"/>
      <c r="AF621" s="3"/>
      <c r="AG621" s="3"/>
      <c r="AH621" s="3"/>
      <c r="AI621" s="3"/>
      <c r="AJ621" s="3"/>
      <c r="AK621" s="3"/>
    </row>
    <row r="622" spans="1:37" ht="22.5" customHeight="1" x14ac:dyDescent="0.8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c r="AA622" s="3"/>
      <c r="AB622" s="3"/>
      <c r="AC622" s="3"/>
      <c r="AD622" s="3"/>
      <c r="AE622" s="3"/>
      <c r="AF622" s="3"/>
      <c r="AG622" s="3"/>
      <c r="AH622" s="3"/>
      <c r="AI622" s="3"/>
      <c r="AJ622" s="3"/>
      <c r="AK622" s="3"/>
    </row>
    <row r="623" spans="1:37" ht="22.5" customHeight="1" x14ac:dyDescent="0.8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c r="AA623" s="3"/>
      <c r="AB623" s="3"/>
      <c r="AC623" s="3"/>
      <c r="AD623" s="3"/>
      <c r="AE623" s="3"/>
      <c r="AF623" s="3"/>
      <c r="AG623" s="3"/>
      <c r="AH623" s="3"/>
      <c r="AI623" s="3"/>
      <c r="AJ623" s="3"/>
      <c r="AK623" s="3"/>
    </row>
    <row r="624" spans="1:37" ht="22.5" customHeight="1" x14ac:dyDescent="0.8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c r="AA624" s="3"/>
      <c r="AB624" s="3"/>
      <c r="AC624" s="3"/>
      <c r="AD624" s="3"/>
      <c r="AE624" s="3"/>
      <c r="AF624" s="3"/>
      <c r="AG624" s="3"/>
      <c r="AH624" s="3"/>
      <c r="AI624" s="3"/>
      <c r="AJ624" s="3"/>
      <c r="AK624" s="3"/>
    </row>
    <row r="625" spans="1:37" ht="22.5" customHeight="1" x14ac:dyDescent="0.8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c r="AA625" s="3"/>
      <c r="AB625" s="3"/>
      <c r="AC625" s="3"/>
      <c r="AD625" s="3"/>
      <c r="AE625" s="3"/>
      <c r="AF625" s="3"/>
      <c r="AG625" s="3"/>
      <c r="AH625" s="3"/>
      <c r="AI625" s="3"/>
      <c r="AJ625" s="3"/>
      <c r="AK625" s="3"/>
    </row>
    <row r="626" spans="1:37" ht="22.5" customHeight="1" x14ac:dyDescent="0.8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c r="AA626" s="3"/>
      <c r="AB626" s="3"/>
      <c r="AC626" s="3"/>
      <c r="AD626" s="3"/>
      <c r="AE626" s="3"/>
      <c r="AF626" s="3"/>
      <c r="AG626" s="3"/>
      <c r="AH626" s="3"/>
      <c r="AI626" s="3"/>
      <c r="AJ626" s="3"/>
      <c r="AK626" s="3"/>
    </row>
    <row r="627" spans="1:37" ht="22.5" customHeight="1" x14ac:dyDescent="0.8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c r="AA627" s="3"/>
      <c r="AB627" s="3"/>
      <c r="AC627" s="3"/>
      <c r="AD627" s="3"/>
      <c r="AE627" s="3"/>
      <c r="AF627" s="3"/>
      <c r="AG627" s="3"/>
      <c r="AH627" s="3"/>
      <c r="AI627" s="3"/>
      <c r="AJ627" s="3"/>
      <c r="AK627" s="3"/>
    </row>
    <row r="628" spans="1:37" ht="22.5" customHeight="1" x14ac:dyDescent="0.8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c r="AA628" s="3"/>
      <c r="AB628" s="3"/>
      <c r="AC628" s="3"/>
      <c r="AD628" s="3"/>
      <c r="AE628" s="3"/>
      <c r="AF628" s="3"/>
      <c r="AG628" s="3"/>
      <c r="AH628" s="3"/>
      <c r="AI628" s="3"/>
      <c r="AJ628" s="3"/>
      <c r="AK628" s="3"/>
    </row>
    <row r="629" spans="1:37" ht="22.5" customHeight="1" x14ac:dyDescent="0.8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c r="AA629" s="3"/>
      <c r="AB629" s="3"/>
      <c r="AC629" s="3"/>
      <c r="AD629" s="3"/>
      <c r="AE629" s="3"/>
      <c r="AF629" s="3"/>
      <c r="AG629" s="3"/>
      <c r="AH629" s="3"/>
      <c r="AI629" s="3"/>
      <c r="AJ629" s="3"/>
      <c r="AK629" s="3"/>
    </row>
    <row r="630" spans="1:37" ht="22.5" customHeight="1" x14ac:dyDescent="0.8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c r="AA630" s="3"/>
      <c r="AB630" s="3"/>
      <c r="AC630" s="3"/>
      <c r="AD630" s="3"/>
      <c r="AE630" s="3"/>
      <c r="AF630" s="3"/>
      <c r="AG630" s="3"/>
      <c r="AH630" s="3"/>
      <c r="AI630" s="3"/>
      <c r="AJ630" s="3"/>
      <c r="AK630" s="3"/>
    </row>
    <row r="631" spans="1:37" ht="22.5" customHeight="1" x14ac:dyDescent="0.8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c r="AA631" s="3"/>
      <c r="AB631" s="3"/>
      <c r="AC631" s="3"/>
      <c r="AD631" s="3"/>
      <c r="AE631" s="3"/>
      <c r="AF631" s="3"/>
      <c r="AG631" s="3"/>
      <c r="AH631" s="3"/>
      <c r="AI631" s="3"/>
      <c r="AJ631" s="3"/>
      <c r="AK631" s="3"/>
    </row>
    <row r="632" spans="1:37" ht="22.5" customHeight="1" x14ac:dyDescent="0.8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c r="AA632" s="3"/>
      <c r="AB632" s="3"/>
      <c r="AC632" s="3"/>
      <c r="AD632" s="3"/>
      <c r="AE632" s="3"/>
      <c r="AF632" s="3"/>
      <c r="AG632" s="3"/>
      <c r="AH632" s="3"/>
      <c r="AI632" s="3"/>
      <c r="AJ632" s="3"/>
      <c r="AK632" s="3"/>
    </row>
    <row r="633" spans="1:37" ht="22.5" customHeight="1" x14ac:dyDescent="0.8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c r="AA633" s="3"/>
      <c r="AB633" s="3"/>
      <c r="AC633" s="3"/>
      <c r="AD633" s="3"/>
      <c r="AE633" s="3"/>
      <c r="AF633" s="3"/>
      <c r="AG633" s="3"/>
      <c r="AH633" s="3"/>
      <c r="AI633" s="3"/>
      <c r="AJ633" s="3"/>
      <c r="AK633" s="3"/>
    </row>
    <row r="634" spans="1:37" ht="22.5" customHeight="1" x14ac:dyDescent="0.8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c r="AA634" s="3"/>
      <c r="AB634" s="3"/>
      <c r="AC634" s="3"/>
      <c r="AD634" s="3"/>
      <c r="AE634" s="3"/>
      <c r="AF634" s="3"/>
      <c r="AG634" s="3"/>
      <c r="AH634" s="3"/>
      <c r="AI634" s="3"/>
      <c r="AJ634" s="3"/>
      <c r="AK634" s="3"/>
    </row>
    <row r="635" spans="1:37" ht="22.5" customHeight="1" x14ac:dyDescent="0.8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c r="AA635" s="3"/>
      <c r="AB635" s="3"/>
      <c r="AC635" s="3"/>
      <c r="AD635" s="3"/>
      <c r="AE635" s="3"/>
      <c r="AF635" s="3"/>
      <c r="AG635" s="3"/>
      <c r="AH635" s="3"/>
      <c r="AI635" s="3"/>
      <c r="AJ635" s="3"/>
      <c r="AK635" s="3"/>
    </row>
    <row r="636" spans="1:37" ht="22.5" customHeight="1" x14ac:dyDescent="0.8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c r="AA636" s="3"/>
      <c r="AB636" s="3"/>
      <c r="AC636" s="3"/>
      <c r="AD636" s="3"/>
      <c r="AE636" s="3"/>
      <c r="AF636" s="3"/>
      <c r="AG636" s="3"/>
      <c r="AH636" s="3"/>
      <c r="AI636" s="3"/>
      <c r="AJ636" s="3"/>
      <c r="AK636" s="3"/>
    </row>
    <row r="637" spans="1:37" ht="22.5" customHeight="1" x14ac:dyDescent="0.8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c r="AA637" s="3"/>
      <c r="AB637" s="3"/>
      <c r="AC637" s="3"/>
      <c r="AD637" s="3"/>
      <c r="AE637" s="3"/>
      <c r="AF637" s="3"/>
      <c r="AG637" s="3"/>
      <c r="AH637" s="3"/>
      <c r="AI637" s="3"/>
      <c r="AJ637" s="3"/>
      <c r="AK637" s="3"/>
    </row>
    <row r="638" spans="1:37" ht="22.5" customHeight="1" x14ac:dyDescent="0.8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c r="AA638" s="3"/>
      <c r="AB638" s="3"/>
      <c r="AC638" s="3"/>
      <c r="AD638" s="3"/>
      <c r="AE638" s="3"/>
      <c r="AF638" s="3"/>
      <c r="AG638" s="3"/>
      <c r="AH638" s="3"/>
      <c r="AI638" s="3"/>
      <c r="AJ638" s="3"/>
      <c r="AK638" s="3"/>
    </row>
    <row r="639" spans="1:37" ht="22.5" customHeight="1" x14ac:dyDescent="0.8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c r="AA639" s="3"/>
      <c r="AB639" s="3"/>
      <c r="AC639" s="3"/>
      <c r="AD639" s="3"/>
      <c r="AE639" s="3"/>
      <c r="AF639" s="3"/>
      <c r="AG639" s="3"/>
      <c r="AH639" s="3"/>
      <c r="AI639" s="3"/>
      <c r="AJ639" s="3"/>
      <c r="AK639" s="3"/>
    </row>
    <row r="640" spans="1:37" ht="22.5" customHeight="1" x14ac:dyDescent="0.8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c r="AA640" s="3"/>
      <c r="AB640" s="3"/>
      <c r="AC640" s="3"/>
      <c r="AD640" s="3"/>
      <c r="AE640" s="3"/>
      <c r="AF640" s="3"/>
      <c r="AG640" s="3"/>
      <c r="AH640" s="3"/>
      <c r="AI640" s="3"/>
      <c r="AJ640" s="3"/>
      <c r="AK640" s="3"/>
    </row>
    <row r="641" spans="1:37" ht="22.5" customHeight="1" x14ac:dyDescent="0.8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c r="AA641" s="3"/>
      <c r="AB641" s="3"/>
      <c r="AC641" s="3"/>
      <c r="AD641" s="3"/>
      <c r="AE641" s="3"/>
      <c r="AF641" s="3"/>
      <c r="AG641" s="3"/>
      <c r="AH641" s="3"/>
      <c r="AI641" s="3"/>
      <c r="AJ641" s="3"/>
      <c r="AK641" s="3"/>
    </row>
    <row r="642" spans="1:37" ht="22.5" customHeight="1" x14ac:dyDescent="0.8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c r="AA642" s="3"/>
      <c r="AB642" s="3"/>
      <c r="AC642" s="3"/>
      <c r="AD642" s="3"/>
      <c r="AE642" s="3"/>
      <c r="AF642" s="3"/>
      <c r="AG642" s="3"/>
      <c r="AH642" s="3"/>
      <c r="AI642" s="3"/>
      <c r="AJ642" s="3"/>
      <c r="AK642" s="3"/>
    </row>
    <row r="643" spans="1:37" ht="22.5" customHeight="1" x14ac:dyDescent="0.8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c r="AA643" s="3"/>
      <c r="AB643" s="3"/>
      <c r="AC643" s="3"/>
      <c r="AD643" s="3"/>
      <c r="AE643" s="3"/>
      <c r="AF643" s="3"/>
      <c r="AG643" s="3"/>
      <c r="AH643" s="3"/>
      <c r="AI643" s="3"/>
      <c r="AJ643" s="3"/>
      <c r="AK643" s="3"/>
    </row>
    <row r="644" spans="1:37" ht="22.5" customHeight="1" x14ac:dyDescent="0.8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c r="AA644" s="3"/>
      <c r="AB644" s="3"/>
      <c r="AC644" s="3"/>
      <c r="AD644" s="3"/>
      <c r="AE644" s="3"/>
      <c r="AF644" s="3"/>
      <c r="AG644" s="3"/>
      <c r="AH644" s="3"/>
      <c r="AI644" s="3"/>
      <c r="AJ644" s="3"/>
      <c r="AK644" s="3"/>
    </row>
    <row r="645" spans="1:37" ht="22.5" customHeight="1" x14ac:dyDescent="0.8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c r="AA645" s="3"/>
      <c r="AB645" s="3"/>
      <c r="AC645" s="3"/>
      <c r="AD645" s="3"/>
      <c r="AE645" s="3"/>
      <c r="AF645" s="3"/>
      <c r="AG645" s="3"/>
      <c r="AH645" s="3"/>
      <c r="AI645" s="3"/>
      <c r="AJ645" s="3"/>
      <c r="AK645" s="3"/>
    </row>
    <row r="646" spans="1:37" ht="22.5" customHeight="1" x14ac:dyDescent="0.8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c r="AA646" s="3"/>
      <c r="AB646" s="3"/>
      <c r="AC646" s="3"/>
      <c r="AD646" s="3"/>
      <c r="AE646" s="3"/>
      <c r="AF646" s="3"/>
      <c r="AG646" s="3"/>
      <c r="AH646" s="3"/>
      <c r="AI646" s="3"/>
      <c r="AJ646" s="3"/>
      <c r="AK646" s="3"/>
    </row>
    <row r="647" spans="1:37" ht="22.5" customHeight="1" x14ac:dyDescent="0.8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c r="AA647" s="3"/>
      <c r="AB647" s="3"/>
      <c r="AC647" s="3"/>
      <c r="AD647" s="3"/>
      <c r="AE647" s="3"/>
      <c r="AF647" s="3"/>
      <c r="AG647" s="3"/>
      <c r="AH647" s="3"/>
      <c r="AI647" s="3"/>
      <c r="AJ647" s="3"/>
      <c r="AK647" s="3"/>
    </row>
    <row r="648" spans="1:37" ht="22.5" customHeight="1" x14ac:dyDescent="0.8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c r="AA648" s="3"/>
      <c r="AB648" s="3"/>
      <c r="AC648" s="3"/>
      <c r="AD648" s="3"/>
      <c r="AE648" s="3"/>
      <c r="AF648" s="3"/>
      <c r="AG648" s="3"/>
      <c r="AH648" s="3"/>
      <c r="AI648" s="3"/>
      <c r="AJ648" s="3"/>
      <c r="AK648" s="3"/>
    </row>
    <row r="649" spans="1:37" ht="22.5" customHeight="1" x14ac:dyDescent="0.8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c r="AA649" s="3"/>
      <c r="AB649" s="3"/>
      <c r="AC649" s="3"/>
      <c r="AD649" s="3"/>
      <c r="AE649" s="3"/>
      <c r="AF649" s="3"/>
      <c r="AG649" s="3"/>
      <c r="AH649" s="3"/>
      <c r="AI649" s="3"/>
      <c r="AJ649" s="3"/>
      <c r="AK649" s="3"/>
    </row>
    <row r="650" spans="1:37" ht="22.5" customHeight="1" x14ac:dyDescent="0.8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c r="AA650" s="3"/>
      <c r="AB650" s="3"/>
      <c r="AC650" s="3"/>
      <c r="AD650" s="3"/>
      <c r="AE650" s="3"/>
      <c r="AF650" s="3"/>
      <c r="AG650" s="3"/>
      <c r="AH650" s="3"/>
      <c r="AI650" s="3"/>
      <c r="AJ650" s="3"/>
      <c r="AK650" s="3"/>
    </row>
    <row r="651" spans="1:37" ht="22.5" customHeight="1" x14ac:dyDescent="0.8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c r="AA651" s="3"/>
      <c r="AB651" s="3"/>
      <c r="AC651" s="3"/>
      <c r="AD651" s="3"/>
      <c r="AE651" s="3"/>
      <c r="AF651" s="3"/>
      <c r="AG651" s="3"/>
      <c r="AH651" s="3"/>
      <c r="AI651" s="3"/>
      <c r="AJ651" s="3"/>
      <c r="AK651" s="3"/>
    </row>
    <row r="652" spans="1:37" ht="22.5" customHeight="1" x14ac:dyDescent="0.8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c r="AA652" s="3"/>
      <c r="AB652" s="3"/>
      <c r="AC652" s="3"/>
      <c r="AD652" s="3"/>
      <c r="AE652" s="3"/>
      <c r="AF652" s="3"/>
      <c r="AG652" s="3"/>
      <c r="AH652" s="3"/>
      <c r="AI652" s="3"/>
      <c r="AJ652" s="3"/>
      <c r="AK652" s="3"/>
    </row>
    <row r="653" spans="1:37" ht="22.5" customHeight="1" x14ac:dyDescent="0.8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c r="AA653" s="3"/>
      <c r="AB653" s="3"/>
      <c r="AC653" s="3"/>
      <c r="AD653" s="3"/>
      <c r="AE653" s="3"/>
      <c r="AF653" s="3"/>
      <c r="AG653" s="3"/>
      <c r="AH653" s="3"/>
      <c r="AI653" s="3"/>
      <c r="AJ653" s="3"/>
      <c r="AK653" s="3"/>
    </row>
    <row r="654" spans="1:37" ht="22.5" customHeight="1" x14ac:dyDescent="0.8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c r="AA654" s="3"/>
      <c r="AB654" s="3"/>
      <c r="AC654" s="3"/>
      <c r="AD654" s="3"/>
      <c r="AE654" s="3"/>
      <c r="AF654" s="3"/>
      <c r="AG654" s="3"/>
      <c r="AH654" s="3"/>
      <c r="AI654" s="3"/>
      <c r="AJ654" s="3"/>
      <c r="AK654" s="3"/>
    </row>
    <row r="655" spans="1:37" ht="22.5" customHeight="1" x14ac:dyDescent="0.8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c r="AA655" s="3"/>
      <c r="AB655" s="3"/>
      <c r="AC655" s="3"/>
      <c r="AD655" s="3"/>
      <c r="AE655" s="3"/>
      <c r="AF655" s="3"/>
      <c r="AG655" s="3"/>
      <c r="AH655" s="3"/>
      <c r="AI655" s="3"/>
      <c r="AJ655" s="3"/>
      <c r="AK655" s="3"/>
    </row>
    <row r="656" spans="1:37" ht="22.5" customHeight="1" x14ac:dyDescent="0.8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c r="AA656" s="3"/>
      <c r="AB656" s="3"/>
      <c r="AC656" s="3"/>
      <c r="AD656" s="3"/>
      <c r="AE656" s="3"/>
      <c r="AF656" s="3"/>
      <c r="AG656" s="3"/>
      <c r="AH656" s="3"/>
      <c r="AI656" s="3"/>
      <c r="AJ656" s="3"/>
      <c r="AK656" s="3"/>
    </row>
    <row r="657" spans="1:37" ht="22.5" customHeight="1" x14ac:dyDescent="0.8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c r="AA657" s="3"/>
      <c r="AB657" s="3"/>
      <c r="AC657" s="3"/>
      <c r="AD657" s="3"/>
      <c r="AE657" s="3"/>
      <c r="AF657" s="3"/>
      <c r="AG657" s="3"/>
      <c r="AH657" s="3"/>
      <c r="AI657" s="3"/>
      <c r="AJ657" s="3"/>
      <c r="AK657" s="3"/>
    </row>
    <row r="658" spans="1:37" ht="22.5" customHeight="1" x14ac:dyDescent="0.8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c r="AA658" s="3"/>
      <c r="AB658" s="3"/>
      <c r="AC658" s="3"/>
      <c r="AD658" s="3"/>
      <c r="AE658" s="3"/>
      <c r="AF658" s="3"/>
      <c r="AG658" s="3"/>
      <c r="AH658" s="3"/>
      <c r="AI658" s="3"/>
      <c r="AJ658" s="3"/>
      <c r="AK658" s="3"/>
    </row>
    <row r="659" spans="1:37" ht="22.5" customHeight="1" x14ac:dyDescent="0.8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c r="AA659" s="3"/>
      <c r="AB659" s="3"/>
      <c r="AC659" s="3"/>
      <c r="AD659" s="3"/>
      <c r="AE659" s="3"/>
      <c r="AF659" s="3"/>
      <c r="AG659" s="3"/>
      <c r="AH659" s="3"/>
      <c r="AI659" s="3"/>
      <c r="AJ659" s="3"/>
      <c r="AK659" s="3"/>
    </row>
    <row r="660" spans="1:37" ht="22.5" customHeight="1" x14ac:dyDescent="0.8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c r="AA660" s="3"/>
      <c r="AB660" s="3"/>
      <c r="AC660" s="3"/>
      <c r="AD660" s="3"/>
      <c r="AE660" s="3"/>
      <c r="AF660" s="3"/>
      <c r="AG660" s="3"/>
      <c r="AH660" s="3"/>
      <c r="AI660" s="3"/>
      <c r="AJ660" s="3"/>
      <c r="AK660" s="3"/>
    </row>
    <row r="661" spans="1:37" ht="22.5" customHeight="1" x14ac:dyDescent="0.8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c r="AA661" s="3"/>
      <c r="AB661" s="3"/>
      <c r="AC661" s="3"/>
      <c r="AD661" s="3"/>
      <c r="AE661" s="3"/>
      <c r="AF661" s="3"/>
      <c r="AG661" s="3"/>
      <c r="AH661" s="3"/>
      <c r="AI661" s="3"/>
      <c r="AJ661" s="3"/>
      <c r="AK661" s="3"/>
    </row>
    <row r="662" spans="1:37" ht="22.5" customHeight="1" x14ac:dyDescent="0.8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c r="AA662" s="3"/>
      <c r="AB662" s="3"/>
      <c r="AC662" s="3"/>
      <c r="AD662" s="3"/>
      <c r="AE662" s="3"/>
      <c r="AF662" s="3"/>
      <c r="AG662" s="3"/>
      <c r="AH662" s="3"/>
      <c r="AI662" s="3"/>
      <c r="AJ662" s="3"/>
      <c r="AK662" s="3"/>
    </row>
    <row r="663" spans="1:37" ht="22.5" customHeight="1" x14ac:dyDescent="0.8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c r="AA663" s="3"/>
      <c r="AB663" s="3"/>
      <c r="AC663" s="3"/>
      <c r="AD663" s="3"/>
      <c r="AE663" s="3"/>
      <c r="AF663" s="3"/>
      <c r="AG663" s="3"/>
      <c r="AH663" s="3"/>
      <c r="AI663" s="3"/>
      <c r="AJ663" s="3"/>
      <c r="AK663" s="3"/>
    </row>
    <row r="664" spans="1:37" ht="22.5" customHeight="1" x14ac:dyDescent="0.8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c r="AA664" s="3"/>
      <c r="AB664" s="3"/>
      <c r="AC664" s="3"/>
      <c r="AD664" s="3"/>
      <c r="AE664" s="3"/>
      <c r="AF664" s="3"/>
      <c r="AG664" s="3"/>
      <c r="AH664" s="3"/>
      <c r="AI664" s="3"/>
      <c r="AJ664" s="3"/>
      <c r="AK664" s="3"/>
    </row>
    <row r="665" spans="1:37" ht="22.5" customHeight="1" x14ac:dyDescent="0.8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c r="AA665" s="3"/>
      <c r="AB665" s="3"/>
      <c r="AC665" s="3"/>
      <c r="AD665" s="3"/>
      <c r="AE665" s="3"/>
      <c r="AF665" s="3"/>
      <c r="AG665" s="3"/>
      <c r="AH665" s="3"/>
      <c r="AI665" s="3"/>
      <c r="AJ665" s="3"/>
      <c r="AK665" s="3"/>
    </row>
    <row r="666" spans="1:37" ht="22.5" customHeight="1" x14ac:dyDescent="0.8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c r="AA666" s="3"/>
      <c r="AB666" s="3"/>
      <c r="AC666" s="3"/>
      <c r="AD666" s="3"/>
      <c r="AE666" s="3"/>
      <c r="AF666" s="3"/>
      <c r="AG666" s="3"/>
      <c r="AH666" s="3"/>
      <c r="AI666" s="3"/>
      <c r="AJ666" s="3"/>
      <c r="AK666" s="3"/>
    </row>
    <row r="667" spans="1:37" ht="22.5" customHeight="1" x14ac:dyDescent="0.8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c r="AA667" s="3"/>
      <c r="AB667" s="3"/>
      <c r="AC667" s="3"/>
      <c r="AD667" s="3"/>
      <c r="AE667" s="3"/>
      <c r="AF667" s="3"/>
      <c r="AG667" s="3"/>
      <c r="AH667" s="3"/>
      <c r="AI667" s="3"/>
      <c r="AJ667" s="3"/>
      <c r="AK667" s="3"/>
    </row>
    <row r="668" spans="1:37" ht="22.5" customHeight="1" x14ac:dyDescent="0.8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c r="AA668" s="3"/>
      <c r="AB668" s="3"/>
      <c r="AC668" s="3"/>
      <c r="AD668" s="3"/>
      <c r="AE668" s="3"/>
      <c r="AF668" s="3"/>
      <c r="AG668" s="3"/>
      <c r="AH668" s="3"/>
      <c r="AI668" s="3"/>
      <c r="AJ668" s="3"/>
      <c r="AK668" s="3"/>
    </row>
    <row r="669" spans="1:37" ht="22.5" customHeight="1" x14ac:dyDescent="0.8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c r="AA669" s="3"/>
      <c r="AB669" s="3"/>
      <c r="AC669" s="3"/>
      <c r="AD669" s="3"/>
      <c r="AE669" s="3"/>
      <c r="AF669" s="3"/>
      <c r="AG669" s="3"/>
      <c r="AH669" s="3"/>
      <c r="AI669" s="3"/>
      <c r="AJ669" s="3"/>
      <c r="AK669" s="3"/>
    </row>
    <row r="670" spans="1:37" ht="22.5" customHeight="1" x14ac:dyDescent="0.8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c r="AA670" s="3"/>
      <c r="AB670" s="3"/>
      <c r="AC670" s="3"/>
      <c r="AD670" s="3"/>
      <c r="AE670" s="3"/>
      <c r="AF670" s="3"/>
      <c r="AG670" s="3"/>
      <c r="AH670" s="3"/>
      <c r="AI670" s="3"/>
      <c r="AJ670" s="3"/>
      <c r="AK670" s="3"/>
    </row>
    <row r="671" spans="1:37" ht="22.5" customHeight="1" x14ac:dyDescent="0.8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c r="AA671" s="3"/>
      <c r="AB671" s="3"/>
      <c r="AC671" s="3"/>
      <c r="AD671" s="3"/>
      <c r="AE671" s="3"/>
      <c r="AF671" s="3"/>
      <c r="AG671" s="3"/>
      <c r="AH671" s="3"/>
      <c r="AI671" s="3"/>
      <c r="AJ671" s="3"/>
      <c r="AK671" s="3"/>
    </row>
    <row r="672" spans="1:37" ht="22.5" customHeight="1" x14ac:dyDescent="0.8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c r="AA672" s="3"/>
      <c r="AB672" s="3"/>
      <c r="AC672" s="3"/>
      <c r="AD672" s="3"/>
      <c r="AE672" s="3"/>
      <c r="AF672" s="3"/>
      <c r="AG672" s="3"/>
      <c r="AH672" s="3"/>
      <c r="AI672" s="3"/>
      <c r="AJ672" s="3"/>
      <c r="AK672" s="3"/>
    </row>
    <row r="673" spans="1:37" ht="22.5" customHeight="1" x14ac:dyDescent="0.8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c r="AA673" s="3"/>
      <c r="AB673" s="3"/>
      <c r="AC673" s="3"/>
      <c r="AD673" s="3"/>
      <c r="AE673" s="3"/>
      <c r="AF673" s="3"/>
      <c r="AG673" s="3"/>
      <c r="AH673" s="3"/>
      <c r="AI673" s="3"/>
      <c r="AJ673" s="3"/>
      <c r="AK673" s="3"/>
    </row>
    <row r="674" spans="1:37" ht="22.5" customHeight="1" x14ac:dyDescent="0.8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c r="AA674" s="3"/>
      <c r="AB674" s="3"/>
      <c r="AC674" s="3"/>
      <c r="AD674" s="3"/>
      <c r="AE674" s="3"/>
      <c r="AF674" s="3"/>
      <c r="AG674" s="3"/>
      <c r="AH674" s="3"/>
      <c r="AI674" s="3"/>
      <c r="AJ674" s="3"/>
      <c r="AK674" s="3"/>
    </row>
    <row r="675" spans="1:37" ht="22.5" customHeight="1" x14ac:dyDescent="0.8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c r="AA675" s="3"/>
      <c r="AB675" s="3"/>
      <c r="AC675" s="3"/>
      <c r="AD675" s="3"/>
      <c r="AE675" s="3"/>
      <c r="AF675" s="3"/>
      <c r="AG675" s="3"/>
      <c r="AH675" s="3"/>
      <c r="AI675" s="3"/>
      <c r="AJ675" s="3"/>
      <c r="AK675" s="3"/>
    </row>
    <row r="676" spans="1:37" ht="22.5" customHeight="1" x14ac:dyDescent="0.8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c r="AA676" s="3"/>
      <c r="AB676" s="3"/>
      <c r="AC676" s="3"/>
      <c r="AD676" s="3"/>
      <c r="AE676" s="3"/>
      <c r="AF676" s="3"/>
      <c r="AG676" s="3"/>
      <c r="AH676" s="3"/>
      <c r="AI676" s="3"/>
      <c r="AJ676" s="3"/>
      <c r="AK676" s="3"/>
    </row>
    <row r="677" spans="1:37" ht="22.5" customHeight="1" x14ac:dyDescent="0.8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c r="AA677" s="3"/>
      <c r="AB677" s="3"/>
      <c r="AC677" s="3"/>
      <c r="AD677" s="3"/>
      <c r="AE677" s="3"/>
      <c r="AF677" s="3"/>
      <c r="AG677" s="3"/>
      <c r="AH677" s="3"/>
      <c r="AI677" s="3"/>
      <c r="AJ677" s="3"/>
      <c r="AK677" s="3"/>
    </row>
    <row r="678" spans="1:37" ht="22.5" customHeight="1" x14ac:dyDescent="0.8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c r="AA678" s="3"/>
      <c r="AB678" s="3"/>
      <c r="AC678" s="3"/>
      <c r="AD678" s="3"/>
      <c r="AE678" s="3"/>
      <c r="AF678" s="3"/>
      <c r="AG678" s="3"/>
      <c r="AH678" s="3"/>
      <c r="AI678" s="3"/>
      <c r="AJ678" s="3"/>
      <c r="AK678" s="3"/>
    </row>
    <row r="679" spans="1:37" ht="22.5" customHeight="1" x14ac:dyDescent="0.8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c r="AA679" s="3"/>
      <c r="AB679" s="3"/>
      <c r="AC679" s="3"/>
      <c r="AD679" s="3"/>
      <c r="AE679" s="3"/>
      <c r="AF679" s="3"/>
      <c r="AG679" s="3"/>
      <c r="AH679" s="3"/>
      <c r="AI679" s="3"/>
      <c r="AJ679" s="3"/>
      <c r="AK679" s="3"/>
    </row>
    <row r="680" spans="1:37" ht="22.5" customHeight="1" x14ac:dyDescent="0.8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c r="AA680" s="3"/>
      <c r="AB680" s="3"/>
      <c r="AC680" s="3"/>
      <c r="AD680" s="3"/>
      <c r="AE680" s="3"/>
      <c r="AF680" s="3"/>
      <c r="AG680" s="3"/>
      <c r="AH680" s="3"/>
      <c r="AI680" s="3"/>
      <c r="AJ680" s="3"/>
      <c r="AK680" s="3"/>
    </row>
    <row r="681" spans="1:37" ht="22.5" customHeight="1" x14ac:dyDescent="0.8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c r="AA681" s="3"/>
      <c r="AB681" s="3"/>
      <c r="AC681" s="3"/>
      <c r="AD681" s="3"/>
      <c r="AE681" s="3"/>
      <c r="AF681" s="3"/>
      <c r="AG681" s="3"/>
      <c r="AH681" s="3"/>
      <c r="AI681" s="3"/>
      <c r="AJ681" s="3"/>
      <c r="AK681" s="3"/>
    </row>
    <row r="682" spans="1:37" ht="22.5" customHeight="1" x14ac:dyDescent="0.8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c r="AA682" s="3"/>
      <c r="AB682" s="3"/>
      <c r="AC682" s="3"/>
      <c r="AD682" s="3"/>
      <c r="AE682" s="3"/>
      <c r="AF682" s="3"/>
      <c r="AG682" s="3"/>
      <c r="AH682" s="3"/>
      <c r="AI682" s="3"/>
      <c r="AJ682" s="3"/>
      <c r="AK682" s="3"/>
    </row>
    <row r="683" spans="1:37" ht="22.5" customHeight="1" x14ac:dyDescent="0.8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c r="AA683" s="3"/>
      <c r="AB683" s="3"/>
      <c r="AC683" s="3"/>
      <c r="AD683" s="3"/>
      <c r="AE683" s="3"/>
      <c r="AF683" s="3"/>
      <c r="AG683" s="3"/>
      <c r="AH683" s="3"/>
      <c r="AI683" s="3"/>
      <c r="AJ683" s="3"/>
      <c r="AK683" s="3"/>
    </row>
    <row r="684" spans="1:37" ht="22.5" customHeight="1" x14ac:dyDescent="0.8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c r="AA684" s="3"/>
      <c r="AB684" s="3"/>
      <c r="AC684" s="3"/>
      <c r="AD684" s="3"/>
      <c r="AE684" s="3"/>
      <c r="AF684" s="3"/>
      <c r="AG684" s="3"/>
      <c r="AH684" s="3"/>
      <c r="AI684" s="3"/>
      <c r="AJ684" s="3"/>
      <c r="AK684" s="3"/>
    </row>
    <row r="685" spans="1:37" ht="22.5" customHeight="1" x14ac:dyDescent="0.8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c r="AA685" s="3"/>
      <c r="AB685" s="3"/>
      <c r="AC685" s="3"/>
      <c r="AD685" s="3"/>
      <c r="AE685" s="3"/>
      <c r="AF685" s="3"/>
      <c r="AG685" s="3"/>
      <c r="AH685" s="3"/>
      <c r="AI685" s="3"/>
      <c r="AJ685" s="3"/>
      <c r="AK685" s="3"/>
    </row>
    <row r="686" spans="1:37" ht="22.5" customHeight="1" x14ac:dyDescent="0.8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c r="AA686" s="3"/>
      <c r="AB686" s="3"/>
      <c r="AC686" s="3"/>
      <c r="AD686" s="3"/>
      <c r="AE686" s="3"/>
      <c r="AF686" s="3"/>
      <c r="AG686" s="3"/>
      <c r="AH686" s="3"/>
      <c r="AI686" s="3"/>
      <c r="AJ686" s="3"/>
      <c r="AK686" s="3"/>
    </row>
    <row r="687" spans="1:37" ht="22.5" customHeight="1" x14ac:dyDescent="0.8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c r="AA687" s="3"/>
      <c r="AB687" s="3"/>
      <c r="AC687" s="3"/>
      <c r="AD687" s="3"/>
      <c r="AE687" s="3"/>
      <c r="AF687" s="3"/>
      <c r="AG687" s="3"/>
      <c r="AH687" s="3"/>
      <c r="AI687" s="3"/>
      <c r="AJ687" s="3"/>
      <c r="AK687" s="3"/>
    </row>
    <row r="688" spans="1:37" ht="22.5" customHeight="1" x14ac:dyDescent="0.8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c r="AA688" s="3"/>
      <c r="AB688" s="3"/>
      <c r="AC688" s="3"/>
      <c r="AD688" s="3"/>
      <c r="AE688" s="3"/>
      <c r="AF688" s="3"/>
      <c r="AG688" s="3"/>
      <c r="AH688" s="3"/>
      <c r="AI688" s="3"/>
      <c r="AJ688" s="3"/>
      <c r="AK688" s="3"/>
    </row>
    <row r="689" spans="1:37" ht="22.5" customHeight="1" x14ac:dyDescent="0.8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c r="AA689" s="3"/>
      <c r="AB689" s="3"/>
      <c r="AC689" s="3"/>
      <c r="AD689" s="3"/>
      <c r="AE689" s="3"/>
      <c r="AF689" s="3"/>
      <c r="AG689" s="3"/>
      <c r="AH689" s="3"/>
      <c r="AI689" s="3"/>
      <c r="AJ689" s="3"/>
      <c r="AK689" s="3"/>
    </row>
    <row r="690" spans="1:37" ht="22.5" customHeight="1" x14ac:dyDescent="0.8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c r="AA690" s="3"/>
      <c r="AB690" s="3"/>
      <c r="AC690" s="3"/>
      <c r="AD690" s="3"/>
      <c r="AE690" s="3"/>
      <c r="AF690" s="3"/>
      <c r="AG690" s="3"/>
      <c r="AH690" s="3"/>
      <c r="AI690" s="3"/>
      <c r="AJ690" s="3"/>
      <c r="AK690" s="3"/>
    </row>
    <row r="691" spans="1:37" ht="22.5" customHeight="1" x14ac:dyDescent="0.8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c r="AA691" s="3"/>
      <c r="AB691" s="3"/>
      <c r="AC691" s="3"/>
      <c r="AD691" s="3"/>
      <c r="AE691" s="3"/>
      <c r="AF691" s="3"/>
      <c r="AG691" s="3"/>
      <c r="AH691" s="3"/>
      <c r="AI691" s="3"/>
      <c r="AJ691" s="3"/>
      <c r="AK691" s="3"/>
    </row>
    <row r="692" spans="1:37" ht="22.5" customHeight="1" x14ac:dyDescent="0.8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c r="AA692" s="3"/>
      <c r="AB692" s="3"/>
      <c r="AC692" s="3"/>
      <c r="AD692" s="3"/>
      <c r="AE692" s="3"/>
      <c r="AF692" s="3"/>
      <c r="AG692" s="3"/>
      <c r="AH692" s="3"/>
      <c r="AI692" s="3"/>
      <c r="AJ692" s="3"/>
      <c r="AK692" s="3"/>
    </row>
    <row r="693" spans="1:37" ht="22.5" customHeight="1" x14ac:dyDescent="0.8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c r="AA693" s="3"/>
      <c r="AB693" s="3"/>
      <c r="AC693" s="3"/>
      <c r="AD693" s="3"/>
      <c r="AE693" s="3"/>
      <c r="AF693" s="3"/>
      <c r="AG693" s="3"/>
      <c r="AH693" s="3"/>
      <c r="AI693" s="3"/>
      <c r="AJ693" s="3"/>
      <c r="AK693" s="3"/>
    </row>
    <row r="694" spans="1:37" ht="22.5" customHeight="1" x14ac:dyDescent="0.8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c r="AA694" s="3"/>
      <c r="AB694" s="3"/>
      <c r="AC694" s="3"/>
      <c r="AD694" s="3"/>
      <c r="AE694" s="3"/>
      <c r="AF694" s="3"/>
      <c r="AG694" s="3"/>
      <c r="AH694" s="3"/>
      <c r="AI694" s="3"/>
      <c r="AJ694" s="3"/>
      <c r="AK694" s="3"/>
    </row>
    <row r="695" spans="1:37" ht="22.5" customHeight="1" x14ac:dyDescent="0.8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c r="AA695" s="3"/>
      <c r="AB695" s="3"/>
      <c r="AC695" s="3"/>
      <c r="AD695" s="3"/>
      <c r="AE695" s="3"/>
      <c r="AF695" s="3"/>
      <c r="AG695" s="3"/>
      <c r="AH695" s="3"/>
      <c r="AI695" s="3"/>
      <c r="AJ695" s="3"/>
      <c r="AK695" s="3"/>
    </row>
    <row r="696" spans="1:37" ht="22.5" customHeight="1" x14ac:dyDescent="0.8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c r="AA696" s="3"/>
      <c r="AB696" s="3"/>
      <c r="AC696" s="3"/>
      <c r="AD696" s="3"/>
      <c r="AE696" s="3"/>
      <c r="AF696" s="3"/>
      <c r="AG696" s="3"/>
      <c r="AH696" s="3"/>
      <c r="AI696" s="3"/>
      <c r="AJ696" s="3"/>
      <c r="AK696" s="3"/>
    </row>
    <row r="697" spans="1:37" ht="22.5" customHeight="1" x14ac:dyDescent="0.8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c r="AA697" s="3"/>
      <c r="AB697" s="3"/>
      <c r="AC697" s="3"/>
      <c r="AD697" s="3"/>
      <c r="AE697" s="3"/>
      <c r="AF697" s="3"/>
      <c r="AG697" s="3"/>
      <c r="AH697" s="3"/>
      <c r="AI697" s="3"/>
      <c r="AJ697" s="3"/>
      <c r="AK697" s="3"/>
    </row>
    <row r="698" spans="1:37" ht="22.5" customHeight="1" x14ac:dyDescent="0.8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c r="AA698" s="3"/>
      <c r="AB698" s="3"/>
      <c r="AC698" s="3"/>
      <c r="AD698" s="3"/>
      <c r="AE698" s="3"/>
      <c r="AF698" s="3"/>
      <c r="AG698" s="3"/>
      <c r="AH698" s="3"/>
      <c r="AI698" s="3"/>
      <c r="AJ698" s="3"/>
      <c r="AK698" s="3"/>
    </row>
    <row r="699" spans="1:37" ht="22.5" customHeight="1" x14ac:dyDescent="0.8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c r="AA699" s="3"/>
      <c r="AB699" s="3"/>
      <c r="AC699" s="3"/>
      <c r="AD699" s="3"/>
      <c r="AE699" s="3"/>
      <c r="AF699" s="3"/>
      <c r="AG699" s="3"/>
      <c r="AH699" s="3"/>
      <c r="AI699" s="3"/>
      <c r="AJ699" s="3"/>
      <c r="AK699" s="3"/>
    </row>
    <row r="700" spans="1:37" ht="22.5" customHeight="1" x14ac:dyDescent="0.8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c r="AA700" s="3"/>
      <c r="AB700" s="3"/>
      <c r="AC700" s="3"/>
      <c r="AD700" s="3"/>
      <c r="AE700" s="3"/>
      <c r="AF700" s="3"/>
      <c r="AG700" s="3"/>
      <c r="AH700" s="3"/>
      <c r="AI700" s="3"/>
      <c r="AJ700" s="3"/>
      <c r="AK700" s="3"/>
    </row>
    <row r="701" spans="1:37" ht="22.5" customHeight="1" x14ac:dyDescent="0.8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c r="AA701" s="3"/>
      <c r="AB701" s="3"/>
      <c r="AC701" s="3"/>
      <c r="AD701" s="3"/>
      <c r="AE701" s="3"/>
      <c r="AF701" s="3"/>
      <c r="AG701" s="3"/>
      <c r="AH701" s="3"/>
      <c r="AI701" s="3"/>
      <c r="AJ701" s="3"/>
      <c r="AK701" s="3"/>
    </row>
    <row r="702" spans="1:37" ht="22.5" customHeight="1" x14ac:dyDescent="0.8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c r="AA702" s="3"/>
      <c r="AB702" s="3"/>
      <c r="AC702" s="3"/>
      <c r="AD702" s="3"/>
      <c r="AE702" s="3"/>
      <c r="AF702" s="3"/>
      <c r="AG702" s="3"/>
      <c r="AH702" s="3"/>
      <c r="AI702" s="3"/>
      <c r="AJ702" s="3"/>
      <c r="AK702" s="3"/>
    </row>
    <row r="703" spans="1:37" ht="22.5" customHeight="1" x14ac:dyDescent="0.8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c r="AA703" s="3"/>
      <c r="AB703" s="3"/>
      <c r="AC703" s="3"/>
      <c r="AD703" s="3"/>
      <c r="AE703" s="3"/>
      <c r="AF703" s="3"/>
      <c r="AG703" s="3"/>
      <c r="AH703" s="3"/>
      <c r="AI703" s="3"/>
      <c r="AJ703" s="3"/>
      <c r="AK703" s="3"/>
    </row>
    <row r="704" spans="1:37" ht="22.5" customHeight="1" x14ac:dyDescent="0.8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c r="AA704" s="3"/>
      <c r="AB704" s="3"/>
      <c r="AC704" s="3"/>
      <c r="AD704" s="3"/>
      <c r="AE704" s="3"/>
      <c r="AF704" s="3"/>
      <c r="AG704" s="3"/>
      <c r="AH704" s="3"/>
      <c r="AI704" s="3"/>
      <c r="AJ704" s="3"/>
      <c r="AK704" s="3"/>
    </row>
    <row r="705" spans="1:37" ht="22.5" customHeight="1" x14ac:dyDescent="0.8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c r="AA705" s="3"/>
      <c r="AB705" s="3"/>
      <c r="AC705" s="3"/>
      <c r="AD705" s="3"/>
      <c r="AE705" s="3"/>
      <c r="AF705" s="3"/>
      <c r="AG705" s="3"/>
      <c r="AH705" s="3"/>
      <c r="AI705" s="3"/>
      <c r="AJ705" s="3"/>
      <c r="AK705" s="3"/>
    </row>
    <row r="706" spans="1:37" ht="22.5" customHeight="1" x14ac:dyDescent="0.8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c r="AA706" s="3"/>
      <c r="AB706" s="3"/>
      <c r="AC706" s="3"/>
      <c r="AD706" s="3"/>
      <c r="AE706" s="3"/>
      <c r="AF706" s="3"/>
      <c r="AG706" s="3"/>
      <c r="AH706" s="3"/>
      <c r="AI706" s="3"/>
      <c r="AJ706" s="3"/>
      <c r="AK706" s="3"/>
    </row>
    <row r="707" spans="1:37" ht="22.5" customHeight="1" x14ac:dyDescent="0.8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c r="AA707" s="3"/>
      <c r="AB707" s="3"/>
      <c r="AC707" s="3"/>
      <c r="AD707" s="3"/>
      <c r="AE707" s="3"/>
      <c r="AF707" s="3"/>
      <c r="AG707" s="3"/>
      <c r="AH707" s="3"/>
      <c r="AI707" s="3"/>
      <c r="AJ707" s="3"/>
      <c r="AK707" s="3"/>
    </row>
    <row r="708" spans="1:37" ht="22.5" customHeight="1" x14ac:dyDescent="0.8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c r="AA708" s="3"/>
      <c r="AB708" s="3"/>
      <c r="AC708" s="3"/>
      <c r="AD708" s="3"/>
      <c r="AE708" s="3"/>
      <c r="AF708" s="3"/>
      <c r="AG708" s="3"/>
      <c r="AH708" s="3"/>
      <c r="AI708" s="3"/>
      <c r="AJ708" s="3"/>
      <c r="AK708" s="3"/>
    </row>
    <row r="709" spans="1:37" ht="22.5" customHeight="1" x14ac:dyDescent="0.8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c r="AA709" s="3"/>
      <c r="AB709" s="3"/>
      <c r="AC709" s="3"/>
      <c r="AD709" s="3"/>
      <c r="AE709" s="3"/>
      <c r="AF709" s="3"/>
      <c r="AG709" s="3"/>
      <c r="AH709" s="3"/>
      <c r="AI709" s="3"/>
      <c r="AJ709" s="3"/>
      <c r="AK709" s="3"/>
    </row>
    <row r="710" spans="1:37" ht="22.5" customHeight="1" x14ac:dyDescent="0.8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c r="AA710" s="3"/>
      <c r="AB710" s="3"/>
      <c r="AC710" s="3"/>
      <c r="AD710" s="3"/>
      <c r="AE710" s="3"/>
      <c r="AF710" s="3"/>
      <c r="AG710" s="3"/>
      <c r="AH710" s="3"/>
      <c r="AI710" s="3"/>
      <c r="AJ710" s="3"/>
      <c r="AK710" s="3"/>
    </row>
    <row r="711" spans="1:37" ht="22.5" customHeight="1" x14ac:dyDescent="0.8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c r="AA711" s="3"/>
      <c r="AB711" s="3"/>
      <c r="AC711" s="3"/>
      <c r="AD711" s="3"/>
      <c r="AE711" s="3"/>
      <c r="AF711" s="3"/>
      <c r="AG711" s="3"/>
      <c r="AH711" s="3"/>
      <c r="AI711" s="3"/>
      <c r="AJ711" s="3"/>
      <c r="AK711" s="3"/>
    </row>
    <row r="712" spans="1:37" ht="22.5" customHeight="1" x14ac:dyDescent="0.8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c r="AA712" s="3"/>
      <c r="AB712" s="3"/>
      <c r="AC712" s="3"/>
      <c r="AD712" s="3"/>
      <c r="AE712" s="3"/>
      <c r="AF712" s="3"/>
      <c r="AG712" s="3"/>
      <c r="AH712" s="3"/>
      <c r="AI712" s="3"/>
      <c r="AJ712" s="3"/>
      <c r="AK712" s="3"/>
    </row>
    <row r="713" spans="1:37" ht="22.5" customHeight="1" x14ac:dyDescent="0.8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c r="AA713" s="3"/>
      <c r="AB713" s="3"/>
      <c r="AC713" s="3"/>
      <c r="AD713" s="3"/>
      <c r="AE713" s="3"/>
      <c r="AF713" s="3"/>
      <c r="AG713" s="3"/>
      <c r="AH713" s="3"/>
      <c r="AI713" s="3"/>
      <c r="AJ713" s="3"/>
      <c r="AK713" s="3"/>
    </row>
    <row r="714" spans="1:37" ht="22.5" customHeight="1" x14ac:dyDescent="0.8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c r="AA714" s="3"/>
      <c r="AB714" s="3"/>
      <c r="AC714" s="3"/>
      <c r="AD714" s="3"/>
      <c r="AE714" s="3"/>
      <c r="AF714" s="3"/>
      <c r="AG714" s="3"/>
      <c r="AH714" s="3"/>
      <c r="AI714" s="3"/>
      <c r="AJ714" s="3"/>
      <c r="AK714" s="3"/>
    </row>
    <row r="715" spans="1:37" ht="22.5" customHeight="1" x14ac:dyDescent="0.8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c r="AA715" s="3"/>
      <c r="AB715" s="3"/>
      <c r="AC715" s="3"/>
      <c r="AD715" s="3"/>
      <c r="AE715" s="3"/>
      <c r="AF715" s="3"/>
      <c r="AG715" s="3"/>
      <c r="AH715" s="3"/>
      <c r="AI715" s="3"/>
      <c r="AJ715" s="3"/>
      <c r="AK715" s="3"/>
    </row>
    <row r="716" spans="1:37" ht="22.5" customHeight="1" x14ac:dyDescent="0.8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c r="AA716" s="3"/>
      <c r="AB716" s="3"/>
      <c r="AC716" s="3"/>
      <c r="AD716" s="3"/>
      <c r="AE716" s="3"/>
      <c r="AF716" s="3"/>
      <c r="AG716" s="3"/>
      <c r="AH716" s="3"/>
      <c r="AI716" s="3"/>
      <c r="AJ716" s="3"/>
      <c r="AK716" s="3"/>
    </row>
    <row r="717" spans="1:37" ht="22.5" customHeight="1" x14ac:dyDescent="0.8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c r="AA717" s="3"/>
      <c r="AB717" s="3"/>
      <c r="AC717" s="3"/>
      <c r="AD717" s="3"/>
      <c r="AE717" s="3"/>
      <c r="AF717" s="3"/>
      <c r="AG717" s="3"/>
      <c r="AH717" s="3"/>
      <c r="AI717" s="3"/>
      <c r="AJ717" s="3"/>
      <c r="AK717" s="3"/>
    </row>
    <row r="718" spans="1:37" ht="22.5" customHeight="1" x14ac:dyDescent="0.8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c r="AA718" s="3"/>
      <c r="AB718" s="3"/>
      <c r="AC718" s="3"/>
      <c r="AD718" s="3"/>
      <c r="AE718" s="3"/>
      <c r="AF718" s="3"/>
      <c r="AG718" s="3"/>
      <c r="AH718" s="3"/>
      <c r="AI718" s="3"/>
      <c r="AJ718" s="3"/>
      <c r="AK718" s="3"/>
    </row>
    <row r="719" spans="1:37" ht="22.5" customHeight="1" x14ac:dyDescent="0.8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c r="AA719" s="3"/>
      <c r="AB719" s="3"/>
      <c r="AC719" s="3"/>
      <c r="AD719" s="3"/>
      <c r="AE719" s="3"/>
      <c r="AF719" s="3"/>
      <c r="AG719" s="3"/>
      <c r="AH719" s="3"/>
      <c r="AI719" s="3"/>
      <c r="AJ719" s="3"/>
      <c r="AK719" s="3"/>
    </row>
    <row r="720" spans="1:37" ht="22.5" customHeight="1" x14ac:dyDescent="0.8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c r="AA720" s="3"/>
      <c r="AB720" s="3"/>
      <c r="AC720" s="3"/>
      <c r="AD720" s="3"/>
      <c r="AE720" s="3"/>
      <c r="AF720" s="3"/>
      <c r="AG720" s="3"/>
      <c r="AH720" s="3"/>
      <c r="AI720" s="3"/>
      <c r="AJ720" s="3"/>
      <c r="AK720" s="3"/>
    </row>
    <row r="721" spans="1:37" ht="22.5" customHeight="1" x14ac:dyDescent="0.8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c r="AA721" s="3"/>
      <c r="AB721" s="3"/>
      <c r="AC721" s="3"/>
      <c r="AD721" s="3"/>
      <c r="AE721" s="3"/>
      <c r="AF721" s="3"/>
      <c r="AG721" s="3"/>
      <c r="AH721" s="3"/>
      <c r="AI721" s="3"/>
      <c r="AJ721" s="3"/>
      <c r="AK721" s="3"/>
    </row>
    <row r="722" spans="1:37" ht="22.5" customHeight="1" x14ac:dyDescent="0.8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c r="AA722" s="3"/>
      <c r="AB722" s="3"/>
      <c r="AC722" s="3"/>
      <c r="AD722" s="3"/>
      <c r="AE722" s="3"/>
      <c r="AF722" s="3"/>
      <c r="AG722" s="3"/>
      <c r="AH722" s="3"/>
      <c r="AI722" s="3"/>
      <c r="AJ722" s="3"/>
      <c r="AK722" s="3"/>
    </row>
    <row r="723" spans="1:37" ht="22.5" customHeight="1" x14ac:dyDescent="0.8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c r="AA723" s="3"/>
      <c r="AB723" s="3"/>
      <c r="AC723" s="3"/>
      <c r="AD723" s="3"/>
      <c r="AE723" s="3"/>
      <c r="AF723" s="3"/>
      <c r="AG723" s="3"/>
      <c r="AH723" s="3"/>
      <c r="AI723" s="3"/>
      <c r="AJ723" s="3"/>
      <c r="AK723" s="3"/>
    </row>
    <row r="724" spans="1:37" ht="22.5" customHeight="1" x14ac:dyDescent="0.8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c r="AA724" s="3"/>
      <c r="AB724" s="3"/>
      <c r="AC724" s="3"/>
      <c r="AD724" s="3"/>
      <c r="AE724" s="3"/>
      <c r="AF724" s="3"/>
      <c r="AG724" s="3"/>
      <c r="AH724" s="3"/>
      <c r="AI724" s="3"/>
      <c r="AJ724" s="3"/>
      <c r="AK724" s="3"/>
    </row>
    <row r="725" spans="1:37" ht="22.5" customHeight="1" x14ac:dyDescent="0.8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c r="AA725" s="3"/>
      <c r="AB725" s="3"/>
      <c r="AC725" s="3"/>
      <c r="AD725" s="3"/>
      <c r="AE725" s="3"/>
      <c r="AF725" s="3"/>
      <c r="AG725" s="3"/>
      <c r="AH725" s="3"/>
      <c r="AI725" s="3"/>
      <c r="AJ725" s="3"/>
      <c r="AK725" s="3"/>
    </row>
    <row r="726" spans="1:37" ht="22.5" customHeight="1" x14ac:dyDescent="0.8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c r="AA726" s="3"/>
      <c r="AB726" s="3"/>
      <c r="AC726" s="3"/>
      <c r="AD726" s="3"/>
      <c r="AE726" s="3"/>
      <c r="AF726" s="3"/>
      <c r="AG726" s="3"/>
      <c r="AH726" s="3"/>
      <c r="AI726" s="3"/>
      <c r="AJ726" s="3"/>
      <c r="AK726" s="3"/>
    </row>
    <row r="727" spans="1:37" ht="22.5" customHeight="1" x14ac:dyDescent="0.8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c r="AA727" s="3"/>
      <c r="AB727" s="3"/>
      <c r="AC727" s="3"/>
      <c r="AD727" s="3"/>
      <c r="AE727" s="3"/>
      <c r="AF727" s="3"/>
      <c r="AG727" s="3"/>
      <c r="AH727" s="3"/>
      <c r="AI727" s="3"/>
      <c r="AJ727" s="3"/>
      <c r="AK727" s="3"/>
    </row>
    <row r="728" spans="1:37" ht="22.5" customHeight="1" x14ac:dyDescent="0.8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c r="AA728" s="3"/>
      <c r="AB728" s="3"/>
      <c r="AC728" s="3"/>
      <c r="AD728" s="3"/>
      <c r="AE728" s="3"/>
      <c r="AF728" s="3"/>
      <c r="AG728" s="3"/>
      <c r="AH728" s="3"/>
      <c r="AI728" s="3"/>
      <c r="AJ728" s="3"/>
      <c r="AK728" s="3"/>
    </row>
    <row r="729" spans="1:37" ht="22.5" customHeight="1" x14ac:dyDescent="0.8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c r="AA729" s="3"/>
      <c r="AB729" s="3"/>
      <c r="AC729" s="3"/>
      <c r="AD729" s="3"/>
      <c r="AE729" s="3"/>
      <c r="AF729" s="3"/>
      <c r="AG729" s="3"/>
      <c r="AH729" s="3"/>
      <c r="AI729" s="3"/>
      <c r="AJ729" s="3"/>
      <c r="AK729" s="3"/>
    </row>
    <row r="730" spans="1:37" ht="22.5" customHeight="1" x14ac:dyDescent="0.8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c r="AA730" s="3"/>
      <c r="AB730" s="3"/>
      <c r="AC730" s="3"/>
      <c r="AD730" s="3"/>
      <c r="AE730" s="3"/>
      <c r="AF730" s="3"/>
      <c r="AG730" s="3"/>
      <c r="AH730" s="3"/>
      <c r="AI730" s="3"/>
      <c r="AJ730" s="3"/>
      <c r="AK730" s="3"/>
    </row>
    <row r="731" spans="1:37" ht="22.5" customHeight="1" x14ac:dyDescent="0.8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c r="AA731" s="3"/>
      <c r="AB731" s="3"/>
      <c r="AC731" s="3"/>
      <c r="AD731" s="3"/>
      <c r="AE731" s="3"/>
      <c r="AF731" s="3"/>
      <c r="AG731" s="3"/>
      <c r="AH731" s="3"/>
      <c r="AI731" s="3"/>
      <c r="AJ731" s="3"/>
      <c r="AK731" s="3"/>
    </row>
    <row r="732" spans="1:37" ht="22.5" customHeight="1" x14ac:dyDescent="0.8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c r="AA732" s="3"/>
      <c r="AB732" s="3"/>
      <c r="AC732" s="3"/>
      <c r="AD732" s="3"/>
      <c r="AE732" s="3"/>
      <c r="AF732" s="3"/>
      <c r="AG732" s="3"/>
      <c r="AH732" s="3"/>
      <c r="AI732" s="3"/>
      <c r="AJ732" s="3"/>
      <c r="AK732" s="3"/>
    </row>
    <row r="733" spans="1:37" ht="22.5" customHeight="1" x14ac:dyDescent="0.8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c r="AA733" s="3"/>
      <c r="AB733" s="3"/>
      <c r="AC733" s="3"/>
      <c r="AD733" s="3"/>
      <c r="AE733" s="3"/>
      <c r="AF733" s="3"/>
      <c r="AG733" s="3"/>
      <c r="AH733" s="3"/>
      <c r="AI733" s="3"/>
      <c r="AJ733" s="3"/>
      <c r="AK733" s="3"/>
    </row>
    <row r="734" spans="1:37" ht="22.5" customHeight="1" x14ac:dyDescent="0.8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c r="AA734" s="3"/>
      <c r="AB734" s="3"/>
      <c r="AC734" s="3"/>
      <c r="AD734" s="3"/>
      <c r="AE734" s="3"/>
      <c r="AF734" s="3"/>
      <c r="AG734" s="3"/>
      <c r="AH734" s="3"/>
      <c r="AI734" s="3"/>
      <c r="AJ734" s="3"/>
      <c r="AK734" s="3"/>
    </row>
    <row r="735" spans="1:37" ht="22.5" customHeight="1" x14ac:dyDescent="0.8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c r="AA735" s="3"/>
      <c r="AB735" s="3"/>
      <c r="AC735" s="3"/>
      <c r="AD735" s="3"/>
      <c r="AE735" s="3"/>
      <c r="AF735" s="3"/>
      <c r="AG735" s="3"/>
      <c r="AH735" s="3"/>
      <c r="AI735" s="3"/>
      <c r="AJ735" s="3"/>
      <c r="AK735" s="3"/>
    </row>
    <row r="736" spans="1:37" ht="22.5" customHeight="1" x14ac:dyDescent="0.8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c r="AA736" s="3"/>
      <c r="AB736" s="3"/>
      <c r="AC736" s="3"/>
      <c r="AD736" s="3"/>
      <c r="AE736" s="3"/>
      <c r="AF736" s="3"/>
      <c r="AG736" s="3"/>
      <c r="AH736" s="3"/>
      <c r="AI736" s="3"/>
      <c r="AJ736" s="3"/>
      <c r="AK736" s="3"/>
    </row>
    <row r="737" spans="1:37" ht="22.5" customHeight="1" x14ac:dyDescent="0.8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c r="AA737" s="3"/>
      <c r="AB737" s="3"/>
      <c r="AC737" s="3"/>
      <c r="AD737" s="3"/>
      <c r="AE737" s="3"/>
      <c r="AF737" s="3"/>
      <c r="AG737" s="3"/>
      <c r="AH737" s="3"/>
      <c r="AI737" s="3"/>
      <c r="AJ737" s="3"/>
      <c r="AK737" s="3"/>
    </row>
    <row r="738" spans="1:37" ht="22.5" customHeight="1" x14ac:dyDescent="0.8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c r="AA738" s="3"/>
      <c r="AB738" s="3"/>
      <c r="AC738" s="3"/>
      <c r="AD738" s="3"/>
      <c r="AE738" s="3"/>
      <c r="AF738" s="3"/>
      <c r="AG738" s="3"/>
      <c r="AH738" s="3"/>
      <c r="AI738" s="3"/>
      <c r="AJ738" s="3"/>
      <c r="AK738" s="3"/>
    </row>
    <row r="739" spans="1:37" ht="22.5" customHeight="1" x14ac:dyDescent="0.8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c r="AA739" s="3"/>
      <c r="AB739" s="3"/>
      <c r="AC739" s="3"/>
      <c r="AD739" s="3"/>
      <c r="AE739" s="3"/>
      <c r="AF739" s="3"/>
      <c r="AG739" s="3"/>
      <c r="AH739" s="3"/>
      <c r="AI739" s="3"/>
      <c r="AJ739" s="3"/>
      <c r="AK739" s="3"/>
    </row>
    <row r="740" spans="1:37" ht="22.5" customHeight="1" x14ac:dyDescent="0.8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c r="AA740" s="3"/>
      <c r="AB740" s="3"/>
      <c r="AC740" s="3"/>
      <c r="AD740" s="3"/>
      <c r="AE740" s="3"/>
      <c r="AF740" s="3"/>
      <c r="AG740" s="3"/>
      <c r="AH740" s="3"/>
      <c r="AI740" s="3"/>
      <c r="AJ740" s="3"/>
      <c r="AK740" s="3"/>
    </row>
    <row r="741" spans="1:37" ht="22.5" customHeight="1" x14ac:dyDescent="0.8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c r="AA741" s="3"/>
      <c r="AB741" s="3"/>
      <c r="AC741" s="3"/>
      <c r="AD741" s="3"/>
      <c r="AE741" s="3"/>
      <c r="AF741" s="3"/>
      <c r="AG741" s="3"/>
      <c r="AH741" s="3"/>
      <c r="AI741" s="3"/>
      <c r="AJ741" s="3"/>
      <c r="AK741" s="3"/>
    </row>
    <row r="742" spans="1:37" ht="22.5" customHeight="1" x14ac:dyDescent="0.8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c r="AA742" s="3"/>
      <c r="AB742" s="3"/>
      <c r="AC742" s="3"/>
      <c r="AD742" s="3"/>
      <c r="AE742" s="3"/>
      <c r="AF742" s="3"/>
      <c r="AG742" s="3"/>
      <c r="AH742" s="3"/>
      <c r="AI742" s="3"/>
      <c r="AJ742" s="3"/>
      <c r="AK742" s="3"/>
    </row>
    <row r="743" spans="1:37" ht="22.5" customHeight="1" x14ac:dyDescent="0.8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c r="AA743" s="3"/>
      <c r="AB743" s="3"/>
      <c r="AC743" s="3"/>
      <c r="AD743" s="3"/>
      <c r="AE743" s="3"/>
      <c r="AF743" s="3"/>
      <c r="AG743" s="3"/>
      <c r="AH743" s="3"/>
      <c r="AI743" s="3"/>
      <c r="AJ743" s="3"/>
      <c r="AK743" s="3"/>
    </row>
    <row r="744" spans="1:37" ht="22.5" customHeight="1" x14ac:dyDescent="0.8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c r="AA744" s="3"/>
      <c r="AB744" s="3"/>
      <c r="AC744" s="3"/>
      <c r="AD744" s="3"/>
      <c r="AE744" s="3"/>
      <c r="AF744" s="3"/>
      <c r="AG744" s="3"/>
      <c r="AH744" s="3"/>
      <c r="AI744" s="3"/>
      <c r="AJ744" s="3"/>
      <c r="AK744" s="3"/>
    </row>
    <row r="745" spans="1:37" ht="22.5" customHeight="1" x14ac:dyDescent="0.8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c r="AA745" s="3"/>
      <c r="AB745" s="3"/>
      <c r="AC745" s="3"/>
      <c r="AD745" s="3"/>
      <c r="AE745" s="3"/>
      <c r="AF745" s="3"/>
      <c r="AG745" s="3"/>
      <c r="AH745" s="3"/>
      <c r="AI745" s="3"/>
      <c r="AJ745" s="3"/>
      <c r="AK745" s="3"/>
    </row>
    <row r="746" spans="1:37" ht="22.5" customHeight="1" x14ac:dyDescent="0.8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c r="AA746" s="3"/>
      <c r="AB746" s="3"/>
      <c r="AC746" s="3"/>
      <c r="AD746" s="3"/>
      <c r="AE746" s="3"/>
      <c r="AF746" s="3"/>
      <c r="AG746" s="3"/>
      <c r="AH746" s="3"/>
      <c r="AI746" s="3"/>
      <c r="AJ746" s="3"/>
      <c r="AK746" s="3"/>
    </row>
    <row r="747" spans="1:37" ht="22.5" customHeight="1" x14ac:dyDescent="0.8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c r="AA747" s="3"/>
      <c r="AB747" s="3"/>
      <c r="AC747" s="3"/>
      <c r="AD747" s="3"/>
      <c r="AE747" s="3"/>
      <c r="AF747" s="3"/>
      <c r="AG747" s="3"/>
      <c r="AH747" s="3"/>
      <c r="AI747" s="3"/>
      <c r="AJ747" s="3"/>
      <c r="AK747" s="3"/>
    </row>
    <row r="748" spans="1:37" ht="22.5" customHeight="1" x14ac:dyDescent="0.8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c r="AA748" s="3"/>
      <c r="AB748" s="3"/>
      <c r="AC748" s="3"/>
      <c r="AD748" s="3"/>
      <c r="AE748" s="3"/>
      <c r="AF748" s="3"/>
      <c r="AG748" s="3"/>
      <c r="AH748" s="3"/>
      <c r="AI748" s="3"/>
      <c r="AJ748" s="3"/>
      <c r="AK748" s="3"/>
    </row>
    <row r="749" spans="1:37" ht="22.5" customHeight="1" x14ac:dyDescent="0.8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c r="AA749" s="3"/>
      <c r="AB749" s="3"/>
      <c r="AC749" s="3"/>
      <c r="AD749" s="3"/>
      <c r="AE749" s="3"/>
      <c r="AF749" s="3"/>
      <c r="AG749" s="3"/>
      <c r="AH749" s="3"/>
      <c r="AI749" s="3"/>
      <c r="AJ749" s="3"/>
      <c r="AK749" s="3"/>
    </row>
    <row r="750" spans="1:37" ht="22.5" customHeight="1" x14ac:dyDescent="0.8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c r="AA750" s="3"/>
      <c r="AB750" s="3"/>
      <c r="AC750" s="3"/>
      <c r="AD750" s="3"/>
      <c r="AE750" s="3"/>
      <c r="AF750" s="3"/>
      <c r="AG750" s="3"/>
      <c r="AH750" s="3"/>
      <c r="AI750" s="3"/>
      <c r="AJ750" s="3"/>
      <c r="AK750" s="3"/>
    </row>
    <row r="751" spans="1:37" ht="22.5" customHeight="1" x14ac:dyDescent="0.8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c r="AA751" s="3"/>
      <c r="AB751" s="3"/>
      <c r="AC751" s="3"/>
      <c r="AD751" s="3"/>
      <c r="AE751" s="3"/>
      <c r="AF751" s="3"/>
      <c r="AG751" s="3"/>
      <c r="AH751" s="3"/>
      <c r="AI751" s="3"/>
      <c r="AJ751" s="3"/>
      <c r="AK751" s="3"/>
    </row>
    <row r="752" spans="1:37" ht="22.5" customHeight="1" x14ac:dyDescent="0.8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c r="AA752" s="3"/>
      <c r="AB752" s="3"/>
      <c r="AC752" s="3"/>
      <c r="AD752" s="3"/>
      <c r="AE752" s="3"/>
      <c r="AF752" s="3"/>
      <c r="AG752" s="3"/>
      <c r="AH752" s="3"/>
      <c r="AI752" s="3"/>
      <c r="AJ752" s="3"/>
      <c r="AK752" s="3"/>
    </row>
    <row r="753" spans="1:37" ht="22.5" customHeight="1" x14ac:dyDescent="0.8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c r="AA753" s="3"/>
      <c r="AB753" s="3"/>
      <c r="AC753" s="3"/>
      <c r="AD753" s="3"/>
      <c r="AE753" s="3"/>
      <c r="AF753" s="3"/>
      <c r="AG753" s="3"/>
      <c r="AH753" s="3"/>
      <c r="AI753" s="3"/>
      <c r="AJ753" s="3"/>
      <c r="AK753" s="3"/>
    </row>
    <row r="754" spans="1:37" ht="22.5" customHeight="1" x14ac:dyDescent="0.8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c r="AA754" s="3"/>
      <c r="AB754" s="3"/>
      <c r="AC754" s="3"/>
      <c r="AD754" s="3"/>
      <c r="AE754" s="3"/>
      <c r="AF754" s="3"/>
      <c r="AG754" s="3"/>
      <c r="AH754" s="3"/>
      <c r="AI754" s="3"/>
      <c r="AJ754" s="3"/>
      <c r="AK754" s="3"/>
    </row>
    <row r="755" spans="1:37" ht="22.5" customHeight="1" x14ac:dyDescent="0.8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c r="AA755" s="3"/>
      <c r="AB755" s="3"/>
      <c r="AC755" s="3"/>
      <c r="AD755" s="3"/>
      <c r="AE755" s="3"/>
      <c r="AF755" s="3"/>
      <c r="AG755" s="3"/>
      <c r="AH755" s="3"/>
      <c r="AI755" s="3"/>
      <c r="AJ755" s="3"/>
      <c r="AK755" s="3"/>
    </row>
    <row r="756" spans="1:37" ht="22.5" customHeight="1" x14ac:dyDescent="0.8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c r="AA756" s="3"/>
      <c r="AB756" s="3"/>
      <c r="AC756" s="3"/>
      <c r="AD756" s="3"/>
      <c r="AE756" s="3"/>
      <c r="AF756" s="3"/>
      <c r="AG756" s="3"/>
      <c r="AH756" s="3"/>
      <c r="AI756" s="3"/>
      <c r="AJ756" s="3"/>
      <c r="AK756" s="3"/>
    </row>
    <row r="757" spans="1:37" ht="22.5" customHeight="1" x14ac:dyDescent="0.8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c r="AA757" s="3"/>
      <c r="AB757" s="3"/>
      <c r="AC757" s="3"/>
      <c r="AD757" s="3"/>
      <c r="AE757" s="3"/>
      <c r="AF757" s="3"/>
      <c r="AG757" s="3"/>
      <c r="AH757" s="3"/>
      <c r="AI757" s="3"/>
      <c r="AJ757" s="3"/>
      <c r="AK757" s="3"/>
    </row>
    <row r="758" spans="1:37" ht="22.5" customHeight="1" x14ac:dyDescent="0.8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c r="AA758" s="3"/>
      <c r="AB758" s="3"/>
      <c r="AC758" s="3"/>
      <c r="AD758" s="3"/>
      <c r="AE758" s="3"/>
      <c r="AF758" s="3"/>
      <c r="AG758" s="3"/>
      <c r="AH758" s="3"/>
      <c r="AI758" s="3"/>
      <c r="AJ758" s="3"/>
      <c r="AK758" s="3"/>
    </row>
    <row r="759" spans="1:37" ht="22.5" customHeight="1" x14ac:dyDescent="0.8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c r="AA759" s="3"/>
      <c r="AB759" s="3"/>
      <c r="AC759" s="3"/>
      <c r="AD759" s="3"/>
      <c r="AE759" s="3"/>
      <c r="AF759" s="3"/>
      <c r="AG759" s="3"/>
      <c r="AH759" s="3"/>
      <c r="AI759" s="3"/>
      <c r="AJ759" s="3"/>
      <c r="AK759" s="3"/>
    </row>
    <row r="760" spans="1:37" ht="22.5" customHeight="1" x14ac:dyDescent="0.8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c r="AA760" s="3"/>
      <c r="AB760" s="3"/>
      <c r="AC760" s="3"/>
      <c r="AD760" s="3"/>
      <c r="AE760" s="3"/>
      <c r="AF760" s="3"/>
      <c r="AG760" s="3"/>
      <c r="AH760" s="3"/>
      <c r="AI760" s="3"/>
      <c r="AJ760" s="3"/>
      <c r="AK760" s="3"/>
    </row>
    <row r="761" spans="1:37" ht="22.5" customHeight="1" x14ac:dyDescent="0.8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c r="AA761" s="3"/>
      <c r="AB761" s="3"/>
      <c r="AC761" s="3"/>
      <c r="AD761" s="3"/>
      <c r="AE761" s="3"/>
      <c r="AF761" s="3"/>
      <c r="AG761" s="3"/>
      <c r="AH761" s="3"/>
      <c r="AI761" s="3"/>
      <c r="AJ761" s="3"/>
      <c r="AK761" s="3"/>
    </row>
    <row r="762" spans="1:37" ht="22.5" customHeight="1" x14ac:dyDescent="0.8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c r="AA762" s="3"/>
      <c r="AB762" s="3"/>
      <c r="AC762" s="3"/>
      <c r="AD762" s="3"/>
      <c r="AE762" s="3"/>
      <c r="AF762" s="3"/>
      <c r="AG762" s="3"/>
      <c r="AH762" s="3"/>
      <c r="AI762" s="3"/>
      <c r="AJ762" s="3"/>
      <c r="AK762" s="3"/>
    </row>
    <row r="763" spans="1:37" ht="22.5" customHeight="1" x14ac:dyDescent="0.8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c r="AA763" s="3"/>
      <c r="AB763" s="3"/>
      <c r="AC763" s="3"/>
      <c r="AD763" s="3"/>
      <c r="AE763" s="3"/>
      <c r="AF763" s="3"/>
      <c r="AG763" s="3"/>
      <c r="AH763" s="3"/>
      <c r="AI763" s="3"/>
      <c r="AJ763" s="3"/>
      <c r="AK763" s="3"/>
    </row>
    <row r="764" spans="1:37" ht="22.5" customHeight="1" x14ac:dyDescent="0.8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c r="AA764" s="3"/>
      <c r="AB764" s="3"/>
      <c r="AC764" s="3"/>
      <c r="AD764" s="3"/>
      <c r="AE764" s="3"/>
      <c r="AF764" s="3"/>
      <c r="AG764" s="3"/>
      <c r="AH764" s="3"/>
      <c r="AI764" s="3"/>
      <c r="AJ764" s="3"/>
      <c r="AK764" s="3"/>
    </row>
    <row r="765" spans="1:37" ht="22.5" customHeight="1" x14ac:dyDescent="0.8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c r="AA765" s="3"/>
      <c r="AB765" s="3"/>
      <c r="AC765" s="3"/>
      <c r="AD765" s="3"/>
      <c r="AE765" s="3"/>
      <c r="AF765" s="3"/>
      <c r="AG765" s="3"/>
      <c r="AH765" s="3"/>
      <c r="AI765" s="3"/>
      <c r="AJ765" s="3"/>
      <c r="AK765" s="3"/>
    </row>
    <row r="766" spans="1:37" ht="22.5" customHeight="1" x14ac:dyDescent="0.8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c r="AA766" s="3"/>
      <c r="AB766" s="3"/>
      <c r="AC766" s="3"/>
      <c r="AD766" s="3"/>
      <c r="AE766" s="3"/>
      <c r="AF766" s="3"/>
      <c r="AG766" s="3"/>
      <c r="AH766" s="3"/>
      <c r="AI766" s="3"/>
      <c r="AJ766" s="3"/>
      <c r="AK766" s="3"/>
    </row>
    <row r="767" spans="1:37" ht="22.5" customHeight="1" x14ac:dyDescent="0.8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c r="AA767" s="3"/>
      <c r="AB767" s="3"/>
      <c r="AC767" s="3"/>
      <c r="AD767" s="3"/>
      <c r="AE767" s="3"/>
      <c r="AF767" s="3"/>
      <c r="AG767" s="3"/>
      <c r="AH767" s="3"/>
      <c r="AI767" s="3"/>
      <c r="AJ767" s="3"/>
      <c r="AK767" s="3"/>
    </row>
    <row r="768" spans="1:37" ht="22.5" customHeight="1" x14ac:dyDescent="0.8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c r="AA768" s="3"/>
      <c r="AB768" s="3"/>
      <c r="AC768" s="3"/>
      <c r="AD768" s="3"/>
      <c r="AE768" s="3"/>
      <c r="AF768" s="3"/>
      <c r="AG768" s="3"/>
      <c r="AH768" s="3"/>
      <c r="AI768" s="3"/>
      <c r="AJ768" s="3"/>
      <c r="AK768" s="3"/>
    </row>
    <row r="769" spans="1:37" ht="22.5" customHeight="1" x14ac:dyDescent="0.8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c r="AA769" s="3"/>
      <c r="AB769" s="3"/>
      <c r="AC769" s="3"/>
      <c r="AD769" s="3"/>
      <c r="AE769" s="3"/>
      <c r="AF769" s="3"/>
      <c r="AG769" s="3"/>
      <c r="AH769" s="3"/>
      <c r="AI769" s="3"/>
      <c r="AJ769" s="3"/>
      <c r="AK769" s="3"/>
    </row>
    <row r="770" spans="1:37" ht="22.5" customHeight="1" x14ac:dyDescent="0.8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c r="AA770" s="3"/>
      <c r="AB770" s="3"/>
      <c r="AC770" s="3"/>
      <c r="AD770" s="3"/>
      <c r="AE770" s="3"/>
      <c r="AF770" s="3"/>
      <c r="AG770" s="3"/>
      <c r="AH770" s="3"/>
      <c r="AI770" s="3"/>
      <c r="AJ770" s="3"/>
      <c r="AK770" s="3"/>
    </row>
    <row r="771" spans="1:37" ht="22.5" customHeight="1" x14ac:dyDescent="0.8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c r="AA771" s="3"/>
      <c r="AB771" s="3"/>
      <c r="AC771" s="3"/>
      <c r="AD771" s="3"/>
      <c r="AE771" s="3"/>
      <c r="AF771" s="3"/>
      <c r="AG771" s="3"/>
      <c r="AH771" s="3"/>
      <c r="AI771" s="3"/>
      <c r="AJ771" s="3"/>
      <c r="AK771" s="3"/>
    </row>
    <row r="772" spans="1:37" ht="22.5" customHeight="1" x14ac:dyDescent="0.8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c r="AA772" s="3"/>
      <c r="AB772" s="3"/>
      <c r="AC772" s="3"/>
      <c r="AD772" s="3"/>
      <c r="AE772" s="3"/>
      <c r="AF772" s="3"/>
      <c r="AG772" s="3"/>
      <c r="AH772" s="3"/>
      <c r="AI772" s="3"/>
      <c r="AJ772" s="3"/>
      <c r="AK772" s="3"/>
    </row>
    <row r="773" spans="1:37" ht="22.5" customHeight="1" x14ac:dyDescent="0.8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c r="AA773" s="3"/>
      <c r="AB773" s="3"/>
      <c r="AC773" s="3"/>
      <c r="AD773" s="3"/>
      <c r="AE773" s="3"/>
      <c r="AF773" s="3"/>
      <c r="AG773" s="3"/>
      <c r="AH773" s="3"/>
      <c r="AI773" s="3"/>
      <c r="AJ773" s="3"/>
      <c r="AK773" s="3"/>
    </row>
    <row r="774" spans="1:37" ht="22.5" customHeight="1" x14ac:dyDescent="0.8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c r="AA774" s="3"/>
      <c r="AB774" s="3"/>
      <c r="AC774" s="3"/>
      <c r="AD774" s="3"/>
      <c r="AE774" s="3"/>
      <c r="AF774" s="3"/>
      <c r="AG774" s="3"/>
      <c r="AH774" s="3"/>
      <c r="AI774" s="3"/>
      <c r="AJ774" s="3"/>
      <c r="AK774" s="3"/>
    </row>
    <row r="775" spans="1:37" ht="22.5" customHeight="1" x14ac:dyDescent="0.8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c r="AA775" s="3"/>
      <c r="AB775" s="3"/>
      <c r="AC775" s="3"/>
      <c r="AD775" s="3"/>
      <c r="AE775" s="3"/>
      <c r="AF775" s="3"/>
      <c r="AG775" s="3"/>
      <c r="AH775" s="3"/>
      <c r="AI775" s="3"/>
      <c r="AJ775" s="3"/>
      <c r="AK775" s="3"/>
    </row>
    <row r="776" spans="1:37" ht="22.5" customHeight="1" x14ac:dyDescent="0.8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c r="AA776" s="3"/>
      <c r="AB776" s="3"/>
      <c r="AC776" s="3"/>
      <c r="AD776" s="3"/>
      <c r="AE776" s="3"/>
      <c r="AF776" s="3"/>
      <c r="AG776" s="3"/>
      <c r="AH776" s="3"/>
      <c r="AI776" s="3"/>
      <c r="AJ776" s="3"/>
      <c r="AK776" s="3"/>
    </row>
    <row r="777" spans="1:37" ht="22.5" customHeight="1" x14ac:dyDescent="0.8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c r="AA777" s="3"/>
      <c r="AB777" s="3"/>
      <c r="AC777" s="3"/>
      <c r="AD777" s="3"/>
      <c r="AE777" s="3"/>
      <c r="AF777" s="3"/>
      <c r="AG777" s="3"/>
      <c r="AH777" s="3"/>
      <c r="AI777" s="3"/>
      <c r="AJ777" s="3"/>
      <c r="AK777" s="3"/>
    </row>
    <row r="778" spans="1:37" ht="22.5" customHeight="1" x14ac:dyDescent="0.8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c r="AA778" s="3"/>
      <c r="AB778" s="3"/>
      <c r="AC778" s="3"/>
      <c r="AD778" s="3"/>
      <c r="AE778" s="3"/>
      <c r="AF778" s="3"/>
      <c r="AG778" s="3"/>
      <c r="AH778" s="3"/>
      <c r="AI778" s="3"/>
      <c r="AJ778" s="3"/>
      <c r="AK778" s="3"/>
    </row>
    <row r="779" spans="1:37" ht="22.5" customHeight="1" x14ac:dyDescent="0.8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c r="AA779" s="3"/>
      <c r="AB779" s="3"/>
      <c r="AC779" s="3"/>
      <c r="AD779" s="3"/>
      <c r="AE779" s="3"/>
      <c r="AF779" s="3"/>
      <c r="AG779" s="3"/>
      <c r="AH779" s="3"/>
      <c r="AI779" s="3"/>
      <c r="AJ779" s="3"/>
      <c r="AK779" s="3"/>
    </row>
    <row r="780" spans="1:37" ht="22.5" customHeight="1" x14ac:dyDescent="0.8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c r="AA780" s="3"/>
      <c r="AB780" s="3"/>
      <c r="AC780" s="3"/>
      <c r="AD780" s="3"/>
      <c r="AE780" s="3"/>
      <c r="AF780" s="3"/>
      <c r="AG780" s="3"/>
      <c r="AH780" s="3"/>
      <c r="AI780" s="3"/>
      <c r="AJ780" s="3"/>
      <c r="AK780" s="3"/>
    </row>
    <row r="781" spans="1:37" ht="22.5" customHeight="1" x14ac:dyDescent="0.8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c r="AA781" s="3"/>
      <c r="AB781" s="3"/>
      <c r="AC781" s="3"/>
      <c r="AD781" s="3"/>
      <c r="AE781" s="3"/>
      <c r="AF781" s="3"/>
      <c r="AG781" s="3"/>
      <c r="AH781" s="3"/>
      <c r="AI781" s="3"/>
      <c r="AJ781" s="3"/>
      <c r="AK781" s="3"/>
    </row>
    <row r="782" spans="1:37" ht="22.5" customHeight="1" x14ac:dyDescent="0.8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c r="AA782" s="3"/>
      <c r="AB782" s="3"/>
      <c r="AC782" s="3"/>
      <c r="AD782" s="3"/>
      <c r="AE782" s="3"/>
      <c r="AF782" s="3"/>
      <c r="AG782" s="3"/>
      <c r="AH782" s="3"/>
      <c r="AI782" s="3"/>
      <c r="AJ782" s="3"/>
      <c r="AK782" s="3"/>
    </row>
    <row r="783" spans="1:37" ht="22.5" customHeight="1" x14ac:dyDescent="0.8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c r="AA783" s="3"/>
      <c r="AB783" s="3"/>
      <c r="AC783" s="3"/>
      <c r="AD783" s="3"/>
      <c r="AE783" s="3"/>
      <c r="AF783" s="3"/>
      <c r="AG783" s="3"/>
      <c r="AH783" s="3"/>
      <c r="AI783" s="3"/>
      <c r="AJ783" s="3"/>
      <c r="AK783" s="3"/>
    </row>
    <row r="784" spans="1:37" ht="22.5" customHeight="1" x14ac:dyDescent="0.8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c r="AA784" s="3"/>
      <c r="AB784" s="3"/>
      <c r="AC784" s="3"/>
      <c r="AD784" s="3"/>
      <c r="AE784" s="3"/>
      <c r="AF784" s="3"/>
      <c r="AG784" s="3"/>
      <c r="AH784" s="3"/>
      <c r="AI784" s="3"/>
      <c r="AJ784" s="3"/>
      <c r="AK784" s="3"/>
    </row>
    <row r="785" spans="1:37" ht="22.5" customHeight="1" x14ac:dyDescent="0.8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c r="AA785" s="3"/>
      <c r="AB785" s="3"/>
      <c r="AC785" s="3"/>
      <c r="AD785" s="3"/>
      <c r="AE785" s="3"/>
      <c r="AF785" s="3"/>
      <c r="AG785" s="3"/>
      <c r="AH785" s="3"/>
      <c r="AI785" s="3"/>
      <c r="AJ785" s="3"/>
      <c r="AK785" s="3"/>
    </row>
    <row r="786" spans="1:37" ht="22.5" customHeight="1" x14ac:dyDescent="0.8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c r="AA786" s="3"/>
      <c r="AB786" s="3"/>
      <c r="AC786" s="3"/>
      <c r="AD786" s="3"/>
      <c r="AE786" s="3"/>
      <c r="AF786" s="3"/>
      <c r="AG786" s="3"/>
      <c r="AH786" s="3"/>
      <c r="AI786" s="3"/>
      <c r="AJ786" s="3"/>
      <c r="AK786" s="3"/>
    </row>
    <row r="787" spans="1:37" ht="22.5" customHeight="1" x14ac:dyDescent="0.8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c r="AA787" s="3"/>
      <c r="AB787" s="3"/>
      <c r="AC787" s="3"/>
      <c r="AD787" s="3"/>
      <c r="AE787" s="3"/>
      <c r="AF787" s="3"/>
      <c r="AG787" s="3"/>
      <c r="AH787" s="3"/>
      <c r="AI787" s="3"/>
      <c r="AJ787" s="3"/>
      <c r="AK787" s="3"/>
    </row>
    <row r="788" spans="1:37" ht="22.5" customHeight="1" x14ac:dyDescent="0.8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c r="AA788" s="3"/>
      <c r="AB788" s="3"/>
      <c r="AC788" s="3"/>
      <c r="AD788" s="3"/>
      <c r="AE788" s="3"/>
      <c r="AF788" s="3"/>
      <c r="AG788" s="3"/>
      <c r="AH788" s="3"/>
      <c r="AI788" s="3"/>
      <c r="AJ788" s="3"/>
      <c r="AK788" s="3"/>
    </row>
    <row r="789" spans="1:37" ht="22.5" customHeight="1" x14ac:dyDescent="0.8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c r="AA789" s="3"/>
      <c r="AB789" s="3"/>
      <c r="AC789" s="3"/>
      <c r="AD789" s="3"/>
      <c r="AE789" s="3"/>
      <c r="AF789" s="3"/>
      <c r="AG789" s="3"/>
      <c r="AH789" s="3"/>
      <c r="AI789" s="3"/>
      <c r="AJ789" s="3"/>
      <c r="AK789" s="3"/>
    </row>
    <row r="790" spans="1:37" ht="22.5" customHeight="1" x14ac:dyDescent="0.8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c r="AA790" s="3"/>
      <c r="AB790" s="3"/>
      <c r="AC790" s="3"/>
      <c r="AD790" s="3"/>
      <c r="AE790" s="3"/>
      <c r="AF790" s="3"/>
      <c r="AG790" s="3"/>
      <c r="AH790" s="3"/>
      <c r="AI790" s="3"/>
      <c r="AJ790" s="3"/>
      <c r="AK790" s="3"/>
    </row>
    <row r="791" spans="1:37" ht="22.5" customHeight="1" x14ac:dyDescent="0.8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c r="AA791" s="3"/>
      <c r="AB791" s="3"/>
      <c r="AC791" s="3"/>
      <c r="AD791" s="3"/>
      <c r="AE791" s="3"/>
      <c r="AF791" s="3"/>
      <c r="AG791" s="3"/>
      <c r="AH791" s="3"/>
      <c r="AI791" s="3"/>
      <c r="AJ791" s="3"/>
      <c r="AK791" s="3"/>
    </row>
    <row r="792" spans="1:37" ht="22.5" customHeight="1" x14ac:dyDescent="0.8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c r="AA792" s="3"/>
      <c r="AB792" s="3"/>
      <c r="AC792" s="3"/>
      <c r="AD792" s="3"/>
      <c r="AE792" s="3"/>
      <c r="AF792" s="3"/>
      <c r="AG792" s="3"/>
      <c r="AH792" s="3"/>
      <c r="AI792" s="3"/>
      <c r="AJ792" s="3"/>
      <c r="AK792" s="3"/>
    </row>
    <row r="793" spans="1:37" ht="22.5" customHeight="1" x14ac:dyDescent="0.8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c r="AA793" s="3"/>
      <c r="AB793" s="3"/>
      <c r="AC793" s="3"/>
      <c r="AD793" s="3"/>
      <c r="AE793" s="3"/>
      <c r="AF793" s="3"/>
      <c r="AG793" s="3"/>
      <c r="AH793" s="3"/>
      <c r="AI793" s="3"/>
      <c r="AJ793" s="3"/>
      <c r="AK793" s="3"/>
    </row>
    <row r="794" spans="1:37" ht="22.5" customHeight="1" x14ac:dyDescent="0.8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c r="AA794" s="3"/>
      <c r="AB794" s="3"/>
      <c r="AC794" s="3"/>
      <c r="AD794" s="3"/>
      <c r="AE794" s="3"/>
      <c r="AF794" s="3"/>
      <c r="AG794" s="3"/>
      <c r="AH794" s="3"/>
      <c r="AI794" s="3"/>
      <c r="AJ794" s="3"/>
      <c r="AK794" s="3"/>
    </row>
    <row r="795" spans="1:37" ht="22.5" customHeight="1" x14ac:dyDescent="0.8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c r="AA795" s="3"/>
      <c r="AB795" s="3"/>
      <c r="AC795" s="3"/>
      <c r="AD795" s="3"/>
      <c r="AE795" s="3"/>
      <c r="AF795" s="3"/>
      <c r="AG795" s="3"/>
      <c r="AH795" s="3"/>
      <c r="AI795" s="3"/>
      <c r="AJ795" s="3"/>
      <c r="AK795" s="3"/>
    </row>
    <row r="796" spans="1:37" ht="22.5" customHeight="1" x14ac:dyDescent="0.8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c r="AA796" s="3"/>
      <c r="AB796" s="3"/>
      <c r="AC796" s="3"/>
      <c r="AD796" s="3"/>
      <c r="AE796" s="3"/>
      <c r="AF796" s="3"/>
      <c r="AG796" s="3"/>
      <c r="AH796" s="3"/>
      <c r="AI796" s="3"/>
      <c r="AJ796" s="3"/>
      <c r="AK796" s="3"/>
    </row>
    <row r="797" spans="1:37" ht="22.5" customHeight="1" x14ac:dyDescent="0.8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c r="AA797" s="3"/>
      <c r="AB797" s="3"/>
      <c r="AC797" s="3"/>
      <c r="AD797" s="3"/>
      <c r="AE797" s="3"/>
      <c r="AF797" s="3"/>
      <c r="AG797" s="3"/>
      <c r="AH797" s="3"/>
      <c r="AI797" s="3"/>
      <c r="AJ797" s="3"/>
      <c r="AK797" s="3"/>
    </row>
    <row r="798" spans="1:37" ht="22.5" customHeight="1" x14ac:dyDescent="0.8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c r="AA798" s="3"/>
      <c r="AB798" s="3"/>
      <c r="AC798" s="3"/>
      <c r="AD798" s="3"/>
      <c r="AE798" s="3"/>
      <c r="AF798" s="3"/>
      <c r="AG798" s="3"/>
      <c r="AH798" s="3"/>
      <c r="AI798" s="3"/>
      <c r="AJ798" s="3"/>
      <c r="AK798" s="3"/>
    </row>
    <row r="799" spans="1:37" ht="22.5" customHeight="1" x14ac:dyDescent="0.8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c r="AA799" s="3"/>
      <c r="AB799" s="3"/>
      <c r="AC799" s="3"/>
      <c r="AD799" s="3"/>
      <c r="AE799" s="3"/>
      <c r="AF799" s="3"/>
      <c r="AG799" s="3"/>
      <c r="AH799" s="3"/>
      <c r="AI799" s="3"/>
      <c r="AJ799" s="3"/>
      <c r="AK799" s="3"/>
    </row>
    <row r="800" spans="1:37" ht="22.5" customHeight="1" x14ac:dyDescent="0.8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c r="AA800" s="3"/>
      <c r="AB800" s="3"/>
      <c r="AC800" s="3"/>
      <c r="AD800" s="3"/>
      <c r="AE800" s="3"/>
      <c r="AF800" s="3"/>
      <c r="AG800" s="3"/>
      <c r="AH800" s="3"/>
      <c r="AI800" s="3"/>
      <c r="AJ800" s="3"/>
      <c r="AK800" s="3"/>
    </row>
    <row r="801" spans="1:37" ht="22.5" customHeight="1" x14ac:dyDescent="0.8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c r="AA801" s="3"/>
      <c r="AB801" s="3"/>
      <c r="AC801" s="3"/>
      <c r="AD801" s="3"/>
      <c r="AE801" s="3"/>
      <c r="AF801" s="3"/>
      <c r="AG801" s="3"/>
      <c r="AH801" s="3"/>
      <c r="AI801" s="3"/>
      <c r="AJ801" s="3"/>
      <c r="AK801" s="3"/>
    </row>
    <row r="802" spans="1:37" ht="22.5" customHeight="1" x14ac:dyDescent="0.8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c r="AA802" s="3"/>
      <c r="AB802" s="3"/>
      <c r="AC802" s="3"/>
      <c r="AD802" s="3"/>
      <c r="AE802" s="3"/>
      <c r="AF802" s="3"/>
      <c r="AG802" s="3"/>
      <c r="AH802" s="3"/>
      <c r="AI802" s="3"/>
      <c r="AJ802" s="3"/>
      <c r="AK802" s="3"/>
    </row>
    <row r="803" spans="1:37" ht="22.5" customHeight="1" x14ac:dyDescent="0.8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c r="AA803" s="3"/>
      <c r="AB803" s="3"/>
      <c r="AC803" s="3"/>
      <c r="AD803" s="3"/>
      <c r="AE803" s="3"/>
      <c r="AF803" s="3"/>
      <c r="AG803" s="3"/>
      <c r="AH803" s="3"/>
      <c r="AI803" s="3"/>
      <c r="AJ803" s="3"/>
      <c r="AK803" s="3"/>
    </row>
    <row r="804" spans="1:37" ht="22.5" customHeight="1" x14ac:dyDescent="0.8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c r="AA804" s="3"/>
      <c r="AB804" s="3"/>
      <c r="AC804" s="3"/>
      <c r="AD804" s="3"/>
      <c r="AE804" s="3"/>
      <c r="AF804" s="3"/>
      <c r="AG804" s="3"/>
      <c r="AH804" s="3"/>
      <c r="AI804" s="3"/>
      <c r="AJ804" s="3"/>
      <c r="AK804" s="3"/>
    </row>
    <row r="805" spans="1:37" ht="22.5" customHeight="1" x14ac:dyDescent="0.8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c r="AA805" s="3"/>
      <c r="AB805" s="3"/>
      <c r="AC805" s="3"/>
      <c r="AD805" s="3"/>
      <c r="AE805" s="3"/>
      <c r="AF805" s="3"/>
      <c r="AG805" s="3"/>
      <c r="AH805" s="3"/>
      <c r="AI805" s="3"/>
      <c r="AJ805" s="3"/>
      <c r="AK805" s="3"/>
    </row>
    <row r="806" spans="1:37" ht="22.5" customHeight="1" x14ac:dyDescent="0.8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c r="AA806" s="3"/>
      <c r="AB806" s="3"/>
      <c r="AC806" s="3"/>
      <c r="AD806" s="3"/>
      <c r="AE806" s="3"/>
      <c r="AF806" s="3"/>
      <c r="AG806" s="3"/>
      <c r="AH806" s="3"/>
      <c r="AI806" s="3"/>
      <c r="AJ806" s="3"/>
      <c r="AK806" s="3"/>
    </row>
    <row r="807" spans="1:37" ht="22.5" customHeight="1" x14ac:dyDescent="0.8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c r="AA807" s="3"/>
      <c r="AB807" s="3"/>
      <c r="AC807" s="3"/>
      <c r="AD807" s="3"/>
      <c r="AE807" s="3"/>
      <c r="AF807" s="3"/>
      <c r="AG807" s="3"/>
      <c r="AH807" s="3"/>
      <c r="AI807" s="3"/>
      <c r="AJ807" s="3"/>
      <c r="AK807" s="3"/>
    </row>
    <row r="808" spans="1:37" ht="22.5" customHeight="1" x14ac:dyDescent="0.8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c r="AA808" s="3"/>
      <c r="AB808" s="3"/>
      <c r="AC808" s="3"/>
      <c r="AD808" s="3"/>
      <c r="AE808" s="3"/>
      <c r="AF808" s="3"/>
      <c r="AG808" s="3"/>
      <c r="AH808" s="3"/>
      <c r="AI808" s="3"/>
      <c r="AJ808" s="3"/>
      <c r="AK808" s="3"/>
    </row>
    <row r="809" spans="1:37" ht="22.5" customHeight="1" x14ac:dyDescent="0.8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c r="AA809" s="3"/>
      <c r="AB809" s="3"/>
      <c r="AC809" s="3"/>
      <c r="AD809" s="3"/>
      <c r="AE809" s="3"/>
      <c r="AF809" s="3"/>
      <c r="AG809" s="3"/>
      <c r="AH809" s="3"/>
      <c r="AI809" s="3"/>
      <c r="AJ809" s="3"/>
      <c r="AK809" s="3"/>
    </row>
    <row r="810" spans="1:37" ht="22.5" customHeight="1" x14ac:dyDescent="0.8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c r="AA810" s="3"/>
      <c r="AB810" s="3"/>
      <c r="AC810" s="3"/>
      <c r="AD810" s="3"/>
      <c r="AE810" s="3"/>
      <c r="AF810" s="3"/>
      <c r="AG810" s="3"/>
      <c r="AH810" s="3"/>
      <c r="AI810" s="3"/>
      <c r="AJ810" s="3"/>
      <c r="AK810" s="3"/>
    </row>
    <row r="811" spans="1:37" ht="22.5" customHeight="1" x14ac:dyDescent="0.8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c r="AA811" s="3"/>
      <c r="AB811" s="3"/>
      <c r="AC811" s="3"/>
      <c r="AD811" s="3"/>
      <c r="AE811" s="3"/>
      <c r="AF811" s="3"/>
      <c r="AG811" s="3"/>
      <c r="AH811" s="3"/>
      <c r="AI811" s="3"/>
      <c r="AJ811" s="3"/>
      <c r="AK811" s="3"/>
    </row>
    <row r="812" spans="1:37" ht="22.5" customHeight="1" x14ac:dyDescent="0.8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c r="AA812" s="3"/>
      <c r="AB812" s="3"/>
      <c r="AC812" s="3"/>
      <c r="AD812" s="3"/>
      <c r="AE812" s="3"/>
      <c r="AF812" s="3"/>
      <c r="AG812" s="3"/>
      <c r="AH812" s="3"/>
      <c r="AI812" s="3"/>
      <c r="AJ812" s="3"/>
      <c r="AK812" s="3"/>
    </row>
    <row r="813" spans="1:37" ht="22.5" customHeight="1" x14ac:dyDescent="0.8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c r="AA813" s="3"/>
      <c r="AB813" s="3"/>
      <c r="AC813" s="3"/>
      <c r="AD813" s="3"/>
      <c r="AE813" s="3"/>
      <c r="AF813" s="3"/>
      <c r="AG813" s="3"/>
      <c r="AH813" s="3"/>
      <c r="AI813" s="3"/>
      <c r="AJ813" s="3"/>
      <c r="AK813" s="3"/>
    </row>
    <row r="814" spans="1:37" ht="22.5" customHeight="1" x14ac:dyDescent="0.8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c r="AA814" s="3"/>
      <c r="AB814" s="3"/>
      <c r="AC814" s="3"/>
      <c r="AD814" s="3"/>
      <c r="AE814" s="3"/>
      <c r="AF814" s="3"/>
      <c r="AG814" s="3"/>
      <c r="AH814" s="3"/>
      <c r="AI814" s="3"/>
      <c r="AJ814" s="3"/>
      <c r="AK814" s="3"/>
    </row>
    <row r="815" spans="1:37" ht="22.5" customHeight="1" x14ac:dyDescent="0.8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c r="AA815" s="3"/>
      <c r="AB815" s="3"/>
      <c r="AC815" s="3"/>
      <c r="AD815" s="3"/>
      <c r="AE815" s="3"/>
      <c r="AF815" s="3"/>
      <c r="AG815" s="3"/>
      <c r="AH815" s="3"/>
      <c r="AI815" s="3"/>
      <c r="AJ815" s="3"/>
      <c r="AK815" s="3"/>
    </row>
    <row r="816" spans="1:37" ht="22.5" customHeight="1" x14ac:dyDescent="0.8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c r="AA816" s="3"/>
      <c r="AB816" s="3"/>
      <c r="AC816" s="3"/>
      <c r="AD816" s="3"/>
      <c r="AE816" s="3"/>
      <c r="AF816" s="3"/>
      <c r="AG816" s="3"/>
      <c r="AH816" s="3"/>
      <c r="AI816" s="3"/>
      <c r="AJ816" s="3"/>
      <c r="AK816" s="3"/>
    </row>
    <row r="817" spans="1:37" ht="22.5" customHeight="1" x14ac:dyDescent="0.8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c r="AA817" s="3"/>
      <c r="AB817" s="3"/>
      <c r="AC817" s="3"/>
      <c r="AD817" s="3"/>
      <c r="AE817" s="3"/>
      <c r="AF817" s="3"/>
      <c r="AG817" s="3"/>
      <c r="AH817" s="3"/>
      <c r="AI817" s="3"/>
      <c r="AJ817" s="3"/>
      <c r="AK817" s="3"/>
    </row>
    <row r="818" spans="1:37" ht="22.5" customHeight="1" x14ac:dyDescent="0.8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c r="AA818" s="3"/>
      <c r="AB818" s="3"/>
      <c r="AC818" s="3"/>
      <c r="AD818" s="3"/>
      <c r="AE818" s="3"/>
      <c r="AF818" s="3"/>
      <c r="AG818" s="3"/>
      <c r="AH818" s="3"/>
      <c r="AI818" s="3"/>
      <c r="AJ818" s="3"/>
      <c r="AK818" s="3"/>
    </row>
    <row r="819" spans="1:37" ht="22.5" customHeight="1" x14ac:dyDescent="0.8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c r="AA819" s="3"/>
      <c r="AB819" s="3"/>
      <c r="AC819" s="3"/>
      <c r="AD819" s="3"/>
      <c r="AE819" s="3"/>
      <c r="AF819" s="3"/>
      <c r="AG819" s="3"/>
      <c r="AH819" s="3"/>
      <c r="AI819" s="3"/>
      <c r="AJ819" s="3"/>
      <c r="AK819" s="3"/>
    </row>
    <row r="820" spans="1:37" ht="22.5" customHeight="1" x14ac:dyDescent="0.8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c r="AA820" s="3"/>
      <c r="AB820" s="3"/>
      <c r="AC820" s="3"/>
      <c r="AD820" s="3"/>
      <c r="AE820" s="3"/>
      <c r="AF820" s="3"/>
      <c r="AG820" s="3"/>
      <c r="AH820" s="3"/>
      <c r="AI820" s="3"/>
      <c r="AJ820" s="3"/>
      <c r="AK820" s="3"/>
    </row>
    <row r="821" spans="1:37" ht="22.5" customHeight="1" x14ac:dyDescent="0.8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c r="AA821" s="3"/>
      <c r="AB821" s="3"/>
      <c r="AC821" s="3"/>
      <c r="AD821" s="3"/>
      <c r="AE821" s="3"/>
      <c r="AF821" s="3"/>
      <c r="AG821" s="3"/>
      <c r="AH821" s="3"/>
      <c r="AI821" s="3"/>
      <c r="AJ821" s="3"/>
      <c r="AK821" s="3"/>
    </row>
    <row r="822" spans="1:37" ht="22.5" customHeight="1" x14ac:dyDescent="0.8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c r="AA822" s="3"/>
      <c r="AB822" s="3"/>
      <c r="AC822" s="3"/>
      <c r="AD822" s="3"/>
      <c r="AE822" s="3"/>
      <c r="AF822" s="3"/>
      <c r="AG822" s="3"/>
      <c r="AH822" s="3"/>
      <c r="AI822" s="3"/>
      <c r="AJ822" s="3"/>
      <c r="AK822" s="3"/>
    </row>
    <row r="823" spans="1:37" ht="22.5" customHeight="1" x14ac:dyDescent="0.8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c r="AA823" s="3"/>
      <c r="AB823" s="3"/>
      <c r="AC823" s="3"/>
      <c r="AD823" s="3"/>
      <c r="AE823" s="3"/>
      <c r="AF823" s="3"/>
      <c r="AG823" s="3"/>
      <c r="AH823" s="3"/>
      <c r="AI823" s="3"/>
      <c r="AJ823" s="3"/>
      <c r="AK823" s="3"/>
    </row>
    <row r="824" spans="1:37" ht="22.5" customHeight="1" x14ac:dyDescent="0.8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c r="AA824" s="3"/>
      <c r="AB824" s="3"/>
      <c r="AC824" s="3"/>
      <c r="AD824" s="3"/>
      <c r="AE824" s="3"/>
      <c r="AF824" s="3"/>
      <c r="AG824" s="3"/>
      <c r="AH824" s="3"/>
      <c r="AI824" s="3"/>
      <c r="AJ824" s="3"/>
      <c r="AK824" s="3"/>
    </row>
    <row r="825" spans="1:37" ht="22.5" customHeight="1" x14ac:dyDescent="0.8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c r="AA825" s="3"/>
      <c r="AB825" s="3"/>
      <c r="AC825" s="3"/>
      <c r="AD825" s="3"/>
      <c r="AE825" s="3"/>
      <c r="AF825" s="3"/>
      <c r="AG825" s="3"/>
      <c r="AH825" s="3"/>
      <c r="AI825" s="3"/>
      <c r="AJ825" s="3"/>
      <c r="AK825" s="3"/>
    </row>
    <row r="826" spans="1:37" ht="22.5" customHeight="1" x14ac:dyDescent="0.8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c r="AA826" s="3"/>
      <c r="AB826" s="3"/>
      <c r="AC826" s="3"/>
      <c r="AD826" s="3"/>
      <c r="AE826" s="3"/>
      <c r="AF826" s="3"/>
      <c r="AG826" s="3"/>
      <c r="AH826" s="3"/>
      <c r="AI826" s="3"/>
      <c r="AJ826" s="3"/>
      <c r="AK826" s="3"/>
    </row>
    <row r="827" spans="1:37" ht="22.5" customHeight="1" x14ac:dyDescent="0.8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c r="AA827" s="3"/>
      <c r="AB827" s="3"/>
      <c r="AC827" s="3"/>
      <c r="AD827" s="3"/>
      <c r="AE827" s="3"/>
      <c r="AF827" s="3"/>
      <c r="AG827" s="3"/>
      <c r="AH827" s="3"/>
      <c r="AI827" s="3"/>
      <c r="AJ827" s="3"/>
      <c r="AK827" s="3"/>
    </row>
    <row r="828" spans="1:37" ht="22.5" customHeight="1" x14ac:dyDescent="0.8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c r="AA828" s="3"/>
      <c r="AB828" s="3"/>
      <c r="AC828" s="3"/>
      <c r="AD828" s="3"/>
      <c r="AE828" s="3"/>
      <c r="AF828" s="3"/>
      <c r="AG828" s="3"/>
      <c r="AH828" s="3"/>
      <c r="AI828" s="3"/>
      <c r="AJ828" s="3"/>
      <c r="AK828" s="3"/>
    </row>
    <row r="829" spans="1:37" ht="22.5" customHeight="1" x14ac:dyDescent="0.8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c r="AA829" s="3"/>
      <c r="AB829" s="3"/>
      <c r="AC829" s="3"/>
      <c r="AD829" s="3"/>
      <c r="AE829" s="3"/>
      <c r="AF829" s="3"/>
      <c r="AG829" s="3"/>
      <c r="AH829" s="3"/>
      <c r="AI829" s="3"/>
      <c r="AJ829" s="3"/>
      <c r="AK829" s="3"/>
    </row>
    <row r="830" spans="1:37" ht="22.5" customHeight="1" x14ac:dyDescent="0.8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c r="AA830" s="3"/>
      <c r="AB830" s="3"/>
      <c r="AC830" s="3"/>
      <c r="AD830" s="3"/>
      <c r="AE830" s="3"/>
      <c r="AF830" s="3"/>
      <c r="AG830" s="3"/>
      <c r="AH830" s="3"/>
      <c r="AI830" s="3"/>
      <c r="AJ830" s="3"/>
      <c r="AK830" s="3"/>
    </row>
    <row r="831" spans="1:37" ht="22.5" customHeight="1" x14ac:dyDescent="0.8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c r="AA831" s="3"/>
      <c r="AB831" s="3"/>
      <c r="AC831" s="3"/>
      <c r="AD831" s="3"/>
      <c r="AE831" s="3"/>
      <c r="AF831" s="3"/>
      <c r="AG831" s="3"/>
      <c r="AH831" s="3"/>
      <c r="AI831" s="3"/>
      <c r="AJ831" s="3"/>
      <c r="AK831" s="3"/>
    </row>
    <row r="832" spans="1:37" ht="22.5" customHeight="1" x14ac:dyDescent="0.8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c r="AA832" s="3"/>
      <c r="AB832" s="3"/>
      <c r="AC832" s="3"/>
      <c r="AD832" s="3"/>
      <c r="AE832" s="3"/>
      <c r="AF832" s="3"/>
      <c r="AG832" s="3"/>
      <c r="AH832" s="3"/>
      <c r="AI832" s="3"/>
      <c r="AJ832" s="3"/>
      <c r="AK832" s="3"/>
    </row>
    <row r="833" spans="1:37" ht="22.5" customHeight="1" x14ac:dyDescent="0.8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c r="AA833" s="3"/>
      <c r="AB833" s="3"/>
      <c r="AC833" s="3"/>
      <c r="AD833" s="3"/>
      <c r="AE833" s="3"/>
      <c r="AF833" s="3"/>
      <c r="AG833" s="3"/>
      <c r="AH833" s="3"/>
      <c r="AI833" s="3"/>
      <c r="AJ833" s="3"/>
      <c r="AK833" s="3"/>
    </row>
    <row r="834" spans="1:37" ht="22.5" customHeight="1" x14ac:dyDescent="0.8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c r="AA834" s="3"/>
      <c r="AB834" s="3"/>
      <c r="AC834" s="3"/>
      <c r="AD834" s="3"/>
      <c r="AE834" s="3"/>
      <c r="AF834" s="3"/>
      <c r="AG834" s="3"/>
      <c r="AH834" s="3"/>
      <c r="AI834" s="3"/>
      <c r="AJ834" s="3"/>
      <c r="AK834" s="3"/>
    </row>
    <row r="835" spans="1:37" ht="22.5" customHeight="1" x14ac:dyDescent="0.8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c r="AA835" s="3"/>
      <c r="AB835" s="3"/>
      <c r="AC835" s="3"/>
      <c r="AD835" s="3"/>
      <c r="AE835" s="3"/>
      <c r="AF835" s="3"/>
      <c r="AG835" s="3"/>
      <c r="AH835" s="3"/>
      <c r="AI835" s="3"/>
      <c r="AJ835" s="3"/>
      <c r="AK835" s="3"/>
    </row>
    <row r="836" spans="1:37" ht="22.5" customHeight="1" x14ac:dyDescent="0.8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c r="AA836" s="3"/>
      <c r="AB836" s="3"/>
      <c r="AC836" s="3"/>
      <c r="AD836" s="3"/>
      <c r="AE836" s="3"/>
      <c r="AF836" s="3"/>
      <c r="AG836" s="3"/>
      <c r="AH836" s="3"/>
      <c r="AI836" s="3"/>
      <c r="AJ836" s="3"/>
      <c r="AK836" s="3"/>
    </row>
    <row r="837" spans="1:37" ht="22.5" customHeight="1" x14ac:dyDescent="0.8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c r="AA837" s="3"/>
      <c r="AB837" s="3"/>
      <c r="AC837" s="3"/>
      <c r="AD837" s="3"/>
      <c r="AE837" s="3"/>
      <c r="AF837" s="3"/>
      <c r="AG837" s="3"/>
      <c r="AH837" s="3"/>
      <c r="AI837" s="3"/>
      <c r="AJ837" s="3"/>
      <c r="AK837" s="3"/>
    </row>
    <row r="838" spans="1:37" ht="22.5" customHeight="1" x14ac:dyDescent="0.8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s="3"/>
    </row>
    <row r="839" spans="1:37" ht="22.5" customHeight="1" x14ac:dyDescent="0.8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c r="AA839" s="3"/>
      <c r="AB839" s="3"/>
      <c r="AC839" s="3"/>
      <c r="AD839" s="3"/>
      <c r="AE839" s="3"/>
      <c r="AF839" s="3"/>
      <c r="AG839" s="3"/>
      <c r="AH839" s="3"/>
      <c r="AI839" s="3"/>
      <c r="AJ839" s="3"/>
      <c r="AK839" s="3"/>
    </row>
    <row r="840" spans="1:37" ht="22.5" customHeight="1" x14ac:dyDescent="0.8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c r="AA840" s="3"/>
      <c r="AB840" s="3"/>
      <c r="AC840" s="3"/>
      <c r="AD840" s="3"/>
      <c r="AE840" s="3"/>
      <c r="AF840" s="3"/>
      <c r="AG840" s="3"/>
      <c r="AH840" s="3"/>
      <c r="AI840" s="3"/>
      <c r="AJ840" s="3"/>
      <c r="AK840" s="3"/>
    </row>
    <row r="841" spans="1:37" ht="22.5" customHeight="1" x14ac:dyDescent="0.8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c r="AA841" s="3"/>
      <c r="AB841" s="3"/>
      <c r="AC841" s="3"/>
      <c r="AD841" s="3"/>
      <c r="AE841" s="3"/>
      <c r="AF841" s="3"/>
      <c r="AG841" s="3"/>
      <c r="AH841" s="3"/>
      <c r="AI841" s="3"/>
      <c r="AJ841" s="3"/>
      <c r="AK841" s="3"/>
    </row>
    <row r="842" spans="1:37" ht="22.5" customHeight="1" x14ac:dyDescent="0.8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c r="AA842" s="3"/>
      <c r="AB842" s="3"/>
      <c r="AC842" s="3"/>
      <c r="AD842" s="3"/>
      <c r="AE842" s="3"/>
      <c r="AF842" s="3"/>
      <c r="AG842" s="3"/>
      <c r="AH842" s="3"/>
      <c r="AI842" s="3"/>
      <c r="AJ842" s="3"/>
      <c r="AK842" s="3"/>
    </row>
    <row r="843" spans="1:37" ht="22.5" customHeight="1" x14ac:dyDescent="0.8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c r="AA843" s="3"/>
      <c r="AB843" s="3"/>
      <c r="AC843" s="3"/>
      <c r="AD843" s="3"/>
      <c r="AE843" s="3"/>
      <c r="AF843" s="3"/>
      <c r="AG843" s="3"/>
      <c r="AH843" s="3"/>
      <c r="AI843" s="3"/>
      <c r="AJ843" s="3"/>
      <c r="AK843" s="3"/>
    </row>
    <row r="844" spans="1:37" ht="22.5" customHeight="1" x14ac:dyDescent="0.8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c r="AA844" s="3"/>
      <c r="AB844" s="3"/>
      <c r="AC844" s="3"/>
      <c r="AD844" s="3"/>
      <c r="AE844" s="3"/>
      <c r="AF844" s="3"/>
      <c r="AG844" s="3"/>
      <c r="AH844" s="3"/>
      <c r="AI844" s="3"/>
      <c r="AJ844" s="3"/>
      <c r="AK844" s="3"/>
    </row>
    <row r="845" spans="1:37" ht="22.5" customHeight="1" x14ac:dyDescent="0.8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c r="AA845" s="3"/>
      <c r="AB845" s="3"/>
      <c r="AC845" s="3"/>
      <c r="AD845" s="3"/>
      <c r="AE845" s="3"/>
      <c r="AF845" s="3"/>
      <c r="AG845" s="3"/>
      <c r="AH845" s="3"/>
      <c r="AI845" s="3"/>
      <c r="AJ845" s="3"/>
      <c r="AK845" s="3"/>
    </row>
    <row r="846" spans="1:37" ht="22.5" customHeight="1" x14ac:dyDescent="0.8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c r="AA846" s="3"/>
      <c r="AB846" s="3"/>
      <c r="AC846" s="3"/>
      <c r="AD846" s="3"/>
      <c r="AE846" s="3"/>
      <c r="AF846" s="3"/>
      <c r="AG846" s="3"/>
      <c r="AH846" s="3"/>
      <c r="AI846" s="3"/>
      <c r="AJ846" s="3"/>
      <c r="AK846" s="3"/>
    </row>
    <row r="847" spans="1:37" ht="22.5" customHeight="1" x14ac:dyDescent="0.8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c r="AA847" s="3"/>
      <c r="AB847" s="3"/>
      <c r="AC847" s="3"/>
      <c r="AD847" s="3"/>
      <c r="AE847" s="3"/>
      <c r="AF847" s="3"/>
      <c r="AG847" s="3"/>
      <c r="AH847" s="3"/>
      <c r="AI847" s="3"/>
      <c r="AJ847" s="3"/>
      <c r="AK847" s="3"/>
    </row>
    <row r="848" spans="1:37" ht="22.5" customHeight="1" x14ac:dyDescent="0.8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c r="AA848" s="3"/>
      <c r="AB848" s="3"/>
      <c r="AC848" s="3"/>
      <c r="AD848" s="3"/>
      <c r="AE848" s="3"/>
      <c r="AF848" s="3"/>
      <c r="AG848" s="3"/>
      <c r="AH848" s="3"/>
      <c r="AI848" s="3"/>
      <c r="AJ848" s="3"/>
      <c r="AK848" s="3"/>
    </row>
    <row r="849" spans="1:37" ht="22.5" customHeight="1" x14ac:dyDescent="0.8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c r="AA849" s="3"/>
      <c r="AB849" s="3"/>
      <c r="AC849" s="3"/>
      <c r="AD849" s="3"/>
      <c r="AE849" s="3"/>
      <c r="AF849" s="3"/>
      <c r="AG849" s="3"/>
      <c r="AH849" s="3"/>
      <c r="AI849" s="3"/>
      <c r="AJ849" s="3"/>
      <c r="AK849" s="3"/>
    </row>
    <row r="850" spans="1:37" ht="22.5" customHeight="1" x14ac:dyDescent="0.8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c r="AA850" s="3"/>
      <c r="AB850" s="3"/>
      <c r="AC850" s="3"/>
      <c r="AD850" s="3"/>
      <c r="AE850" s="3"/>
      <c r="AF850" s="3"/>
      <c r="AG850" s="3"/>
      <c r="AH850" s="3"/>
      <c r="AI850" s="3"/>
      <c r="AJ850" s="3"/>
      <c r="AK850" s="3"/>
    </row>
    <row r="851" spans="1:37" ht="22.5" customHeight="1" x14ac:dyDescent="0.8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c r="AA851" s="3"/>
      <c r="AB851" s="3"/>
      <c r="AC851" s="3"/>
      <c r="AD851" s="3"/>
      <c r="AE851" s="3"/>
      <c r="AF851" s="3"/>
      <c r="AG851" s="3"/>
      <c r="AH851" s="3"/>
      <c r="AI851" s="3"/>
      <c r="AJ851" s="3"/>
      <c r="AK851" s="3"/>
    </row>
    <row r="852" spans="1:37" ht="22.5" customHeight="1" x14ac:dyDescent="0.8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c r="AA852" s="3"/>
      <c r="AB852" s="3"/>
      <c r="AC852" s="3"/>
      <c r="AD852" s="3"/>
      <c r="AE852" s="3"/>
      <c r="AF852" s="3"/>
      <c r="AG852" s="3"/>
      <c r="AH852" s="3"/>
      <c r="AI852" s="3"/>
      <c r="AJ852" s="3"/>
      <c r="AK852" s="3"/>
    </row>
    <row r="853" spans="1:37" ht="22.5" customHeight="1" x14ac:dyDescent="0.8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c r="AA853" s="3"/>
      <c r="AB853" s="3"/>
      <c r="AC853" s="3"/>
      <c r="AD853" s="3"/>
      <c r="AE853" s="3"/>
      <c r="AF853" s="3"/>
      <c r="AG853" s="3"/>
      <c r="AH853" s="3"/>
      <c r="AI853" s="3"/>
      <c r="AJ853" s="3"/>
      <c r="AK853" s="3"/>
    </row>
    <row r="854" spans="1:37" ht="22.5" customHeight="1" x14ac:dyDescent="0.8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c r="AA854" s="3"/>
      <c r="AB854" s="3"/>
      <c r="AC854" s="3"/>
      <c r="AD854" s="3"/>
      <c r="AE854" s="3"/>
      <c r="AF854" s="3"/>
      <c r="AG854" s="3"/>
      <c r="AH854" s="3"/>
      <c r="AI854" s="3"/>
      <c r="AJ854" s="3"/>
      <c r="AK854" s="3"/>
    </row>
    <row r="855" spans="1:37" ht="22.5" customHeight="1" x14ac:dyDescent="0.8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c r="AA855" s="3"/>
      <c r="AB855" s="3"/>
      <c r="AC855" s="3"/>
      <c r="AD855" s="3"/>
      <c r="AE855" s="3"/>
      <c r="AF855" s="3"/>
      <c r="AG855" s="3"/>
      <c r="AH855" s="3"/>
      <c r="AI855" s="3"/>
      <c r="AJ855" s="3"/>
      <c r="AK855" s="3"/>
    </row>
    <row r="856" spans="1:37" ht="22.5" customHeight="1" x14ac:dyDescent="0.8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c r="AA856" s="3"/>
      <c r="AB856" s="3"/>
      <c r="AC856" s="3"/>
      <c r="AD856" s="3"/>
      <c r="AE856" s="3"/>
      <c r="AF856" s="3"/>
      <c r="AG856" s="3"/>
      <c r="AH856" s="3"/>
      <c r="AI856" s="3"/>
      <c r="AJ856" s="3"/>
      <c r="AK856" s="3"/>
    </row>
    <row r="857" spans="1:37" ht="22.5" customHeight="1" x14ac:dyDescent="0.8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c r="AA857" s="3"/>
      <c r="AB857" s="3"/>
      <c r="AC857" s="3"/>
      <c r="AD857" s="3"/>
      <c r="AE857" s="3"/>
      <c r="AF857" s="3"/>
      <c r="AG857" s="3"/>
      <c r="AH857" s="3"/>
      <c r="AI857" s="3"/>
      <c r="AJ857" s="3"/>
      <c r="AK857" s="3"/>
    </row>
    <row r="858" spans="1:37" ht="22.5" customHeight="1" x14ac:dyDescent="0.8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c r="AA858" s="3"/>
      <c r="AB858" s="3"/>
      <c r="AC858" s="3"/>
      <c r="AD858" s="3"/>
      <c r="AE858" s="3"/>
      <c r="AF858" s="3"/>
      <c r="AG858" s="3"/>
      <c r="AH858" s="3"/>
      <c r="AI858" s="3"/>
      <c r="AJ858" s="3"/>
      <c r="AK858" s="3"/>
    </row>
    <row r="859" spans="1:37" ht="22.5" customHeight="1" x14ac:dyDescent="0.8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c r="AA859" s="3"/>
      <c r="AB859" s="3"/>
      <c r="AC859" s="3"/>
      <c r="AD859" s="3"/>
      <c r="AE859" s="3"/>
      <c r="AF859" s="3"/>
      <c r="AG859" s="3"/>
      <c r="AH859" s="3"/>
      <c r="AI859" s="3"/>
      <c r="AJ859" s="3"/>
      <c r="AK859" s="3"/>
    </row>
    <row r="860" spans="1:37" ht="22.5" customHeight="1" x14ac:dyDescent="0.8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c r="AA860" s="3"/>
      <c r="AB860" s="3"/>
      <c r="AC860" s="3"/>
      <c r="AD860" s="3"/>
      <c r="AE860" s="3"/>
      <c r="AF860" s="3"/>
      <c r="AG860" s="3"/>
      <c r="AH860" s="3"/>
      <c r="AI860" s="3"/>
      <c r="AJ860" s="3"/>
      <c r="AK860" s="3"/>
    </row>
    <row r="861" spans="1:37" ht="22.5" customHeight="1" x14ac:dyDescent="0.8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c r="AA861" s="3"/>
      <c r="AB861" s="3"/>
      <c r="AC861" s="3"/>
      <c r="AD861" s="3"/>
      <c r="AE861" s="3"/>
      <c r="AF861" s="3"/>
      <c r="AG861" s="3"/>
      <c r="AH861" s="3"/>
      <c r="AI861" s="3"/>
      <c r="AJ861" s="3"/>
      <c r="AK861" s="3"/>
    </row>
    <row r="862" spans="1:37" ht="22.5" customHeight="1" x14ac:dyDescent="0.8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c r="AA862" s="3"/>
      <c r="AB862" s="3"/>
      <c r="AC862" s="3"/>
      <c r="AD862" s="3"/>
      <c r="AE862" s="3"/>
      <c r="AF862" s="3"/>
      <c r="AG862" s="3"/>
      <c r="AH862" s="3"/>
      <c r="AI862" s="3"/>
      <c r="AJ862" s="3"/>
      <c r="AK862" s="3"/>
    </row>
    <row r="863" spans="1:37" ht="22.5" customHeight="1" x14ac:dyDescent="0.8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c r="AA863" s="3"/>
      <c r="AB863" s="3"/>
      <c r="AC863" s="3"/>
      <c r="AD863" s="3"/>
      <c r="AE863" s="3"/>
      <c r="AF863" s="3"/>
      <c r="AG863" s="3"/>
      <c r="AH863" s="3"/>
      <c r="AI863" s="3"/>
      <c r="AJ863" s="3"/>
      <c r="AK863" s="3"/>
    </row>
    <row r="864" spans="1:37" ht="22.5" customHeight="1" x14ac:dyDescent="0.8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c r="AA864" s="3"/>
      <c r="AB864" s="3"/>
      <c r="AC864" s="3"/>
      <c r="AD864" s="3"/>
      <c r="AE864" s="3"/>
      <c r="AF864" s="3"/>
      <c r="AG864" s="3"/>
      <c r="AH864" s="3"/>
      <c r="AI864" s="3"/>
      <c r="AJ864" s="3"/>
      <c r="AK864" s="3"/>
    </row>
    <row r="865" spans="1:37" ht="22.5" customHeight="1" x14ac:dyDescent="0.8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c r="AA865" s="3"/>
      <c r="AB865" s="3"/>
      <c r="AC865" s="3"/>
      <c r="AD865" s="3"/>
      <c r="AE865" s="3"/>
      <c r="AF865" s="3"/>
      <c r="AG865" s="3"/>
      <c r="AH865" s="3"/>
      <c r="AI865" s="3"/>
      <c r="AJ865" s="3"/>
      <c r="AK865" s="3"/>
    </row>
    <row r="866" spans="1:37" ht="22.5" customHeight="1" x14ac:dyDescent="0.8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c r="AA866" s="3"/>
      <c r="AB866" s="3"/>
      <c r="AC866" s="3"/>
      <c r="AD866" s="3"/>
      <c r="AE866" s="3"/>
      <c r="AF866" s="3"/>
      <c r="AG866" s="3"/>
      <c r="AH866" s="3"/>
      <c r="AI866" s="3"/>
      <c r="AJ866" s="3"/>
      <c r="AK866" s="3"/>
    </row>
    <row r="867" spans="1:37" ht="22.5" customHeight="1" x14ac:dyDescent="0.8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c r="AA867" s="3"/>
      <c r="AB867" s="3"/>
      <c r="AC867" s="3"/>
      <c r="AD867" s="3"/>
      <c r="AE867" s="3"/>
      <c r="AF867" s="3"/>
      <c r="AG867" s="3"/>
      <c r="AH867" s="3"/>
      <c r="AI867" s="3"/>
      <c r="AJ867" s="3"/>
      <c r="AK867" s="3"/>
    </row>
    <row r="868" spans="1:37" ht="22.5" customHeight="1" x14ac:dyDescent="0.8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c r="AA868" s="3"/>
      <c r="AB868" s="3"/>
      <c r="AC868" s="3"/>
      <c r="AD868" s="3"/>
      <c r="AE868" s="3"/>
      <c r="AF868" s="3"/>
      <c r="AG868" s="3"/>
      <c r="AH868" s="3"/>
      <c r="AI868" s="3"/>
      <c r="AJ868" s="3"/>
      <c r="AK868" s="3"/>
    </row>
    <row r="869" spans="1:37" ht="22.5" customHeight="1" x14ac:dyDescent="0.8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c r="AA869" s="3"/>
      <c r="AB869" s="3"/>
      <c r="AC869" s="3"/>
      <c r="AD869" s="3"/>
      <c r="AE869" s="3"/>
      <c r="AF869" s="3"/>
      <c r="AG869" s="3"/>
      <c r="AH869" s="3"/>
      <c r="AI869" s="3"/>
      <c r="AJ869" s="3"/>
      <c r="AK869" s="3"/>
    </row>
    <row r="870" spans="1:37" ht="22.5" customHeight="1" x14ac:dyDescent="0.8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c r="AA870" s="3"/>
      <c r="AB870" s="3"/>
      <c r="AC870" s="3"/>
      <c r="AD870" s="3"/>
      <c r="AE870" s="3"/>
      <c r="AF870" s="3"/>
      <c r="AG870" s="3"/>
      <c r="AH870" s="3"/>
      <c r="AI870" s="3"/>
      <c r="AJ870" s="3"/>
      <c r="AK870" s="3"/>
    </row>
    <row r="871" spans="1:37" ht="22.5" customHeight="1" x14ac:dyDescent="0.8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c r="AA871" s="3"/>
      <c r="AB871" s="3"/>
      <c r="AC871" s="3"/>
      <c r="AD871" s="3"/>
      <c r="AE871" s="3"/>
      <c r="AF871" s="3"/>
      <c r="AG871" s="3"/>
      <c r="AH871" s="3"/>
      <c r="AI871" s="3"/>
      <c r="AJ871" s="3"/>
      <c r="AK871" s="3"/>
    </row>
    <row r="872" spans="1:37" ht="22.5" customHeight="1" x14ac:dyDescent="0.8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c r="AA872" s="3"/>
      <c r="AB872" s="3"/>
      <c r="AC872" s="3"/>
      <c r="AD872" s="3"/>
      <c r="AE872" s="3"/>
      <c r="AF872" s="3"/>
      <c r="AG872" s="3"/>
      <c r="AH872" s="3"/>
      <c r="AI872" s="3"/>
      <c r="AJ872" s="3"/>
      <c r="AK872" s="3"/>
    </row>
    <row r="873" spans="1:37" ht="22.5" customHeight="1" x14ac:dyDescent="0.8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c r="AA873" s="3"/>
      <c r="AB873" s="3"/>
      <c r="AC873" s="3"/>
      <c r="AD873" s="3"/>
      <c r="AE873" s="3"/>
      <c r="AF873" s="3"/>
      <c r="AG873" s="3"/>
      <c r="AH873" s="3"/>
      <c r="AI873" s="3"/>
      <c r="AJ873" s="3"/>
      <c r="AK873" s="3"/>
    </row>
    <row r="874" spans="1:37" ht="22.5" customHeight="1" x14ac:dyDescent="0.8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c r="AA874" s="3"/>
      <c r="AB874" s="3"/>
      <c r="AC874" s="3"/>
      <c r="AD874" s="3"/>
      <c r="AE874" s="3"/>
      <c r="AF874" s="3"/>
      <c r="AG874" s="3"/>
      <c r="AH874" s="3"/>
      <c r="AI874" s="3"/>
      <c r="AJ874" s="3"/>
      <c r="AK874" s="3"/>
    </row>
    <row r="875" spans="1:37" ht="22.5" customHeight="1" x14ac:dyDescent="0.8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c r="AA875" s="3"/>
      <c r="AB875" s="3"/>
      <c r="AC875" s="3"/>
      <c r="AD875" s="3"/>
      <c r="AE875" s="3"/>
      <c r="AF875" s="3"/>
      <c r="AG875" s="3"/>
      <c r="AH875" s="3"/>
      <c r="AI875" s="3"/>
      <c r="AJ875" s="3"/>
      <c r="AK875" s="3"/>
    </row>
    <row r="876" spans="1:37" ht="22.5" customHeight="1" x14ac:dyDescent="0.8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c r="AA876" s="3"/>
      <c r="AB876" s="3"/>
      <c r="AC876" s="3"/>
      <c r="AD876" s="3"/>
      <c r="AE876" s="3"/>
      <c r="AF876" s="3"/>
      <c r="AG876" s="3"/>
      <c r="AH876" s="3"/>
      <c r="AI876" s="3"/>
      <c r="AJ876" s="3"/>
      <c r="AK876" s="3"/>
    </row>
    <row r="877" spans="1:37" ht="22.5" customHeight="1" x14ac:dyDescent="0.8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c r="AA877" s="3"/>
      <c r="AB877" s="3"/>
      <c r="AC877" s="3"/>
      <c r="AD877" s="3"/>
      <c r="AE877" s="3"/>
      <c r="AF877" s="3"/>
      <c r="AG877" s="3"/>
      <c r="AH877" s="3"/>
      <c r="AI877" s="3"/>
      <c r="AJ877" s="3"/>
      <c r="AK877" s="3"/>
    </row>
    <row r="878" spans="1:37" ht="22.5" customHeight="1" x14ac:dyDescent="0.8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c r="AA878" s="3"/>
      <c r="AB878" s="3"/>
      <c r="AC878" s="3"/>
      <c r="AD878" s="3"/>
      <c r="AE878" s="3"/>
      <c r="AF878" s="3"/>
      <c r="AG878" s="3"/>
      <c r="AH878" s="3"/>
      <c r="AI878" s="3"/>
      <c r="AJ878" s="3"/>
      <c r="AK878" s="3"/>
    </row>
    <row r="879" spans="1:37" ht="22.5" customHeight="1" x14ac:dyDescent="0.8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c r="AA879" s="3"/>
      <c r="AB879" s="3"/>
      <c r="AC879" s="3"/>
      <c r="AD879" s="3"/>
      <c r="AE879" s="3"/>
      <c r="AF879" s="3"/>
      <c r="AG879" s="3"/>
      <c r="AH879" s="3"/>
      <c r="AI879" s="3"/>
      <c r="AJ879" s="3"/>
      <c r="AK879" s="3"/>
    </row>
    <row r="880" spans="1:37" ht="22.5" customHeight="1" x14ac:dyDescent="0.8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c r="AA880" s="3"/>
      <c r="AB880" s="3"/>
      <c r="AC880" s="3"/>
      <c r="AD880" s="3"/>
      <c r="AE880" s="3"/>
      <c r="AF880" s="3"/>
      <c r="AG880" s="3"/>
      <c r="AH880" s="3"/>
      <c r="AI880" s="3"/>
      <c r="AJ880" s="3"/>
      <c r="AK880" s="3"/>
    </row>
    <row r="881" spans="1:37" ht="22.5" customHeight="1" x14ac:dyDescent="0.8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c r="AA881" s="3"/>
      <c r="AB881" s="3"/>
      <c r="AC881" s="3"/>
      <c r="AD881" s="3"/>
      <c r="AE881" s="3"/>
      <c r="AF881" s="3"/>
      <c r="AG881" s="3"/>
      <c r="AH881" s="3"/>
      <c r="AI881" s="3"/>
      <c r="AJ881" s="3"/>
      <c r="AK881" s="3"/>
    </row>
    <row r="882" spans="1:37" ht="22.5" customHeight="1" x14ac:dyDescent="0.8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c r="AA882" s="3"/>
      <c r="AB882" s="3"/>
      <c r="AC882" s="3"/>
      <c r="AD882" s="3"/>
      <c r="AE882" s="3"/>
      <c r="AF882" s="3"/>
      <c r="AG882" s="3"/>
      <c r="AH882" s="3"/>
      <c r="AI882" s="3"/>
      <c r="AJ882" s="3"/>
      <c r="AK882" s="3"/>
    </row>
    <row r="883" spans="1:37" ht="22.5" customHeight="1" x14ac:dyDescent="0.8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c r="AA883" s="3"/>
      <c r="AB883" s="3"/>
      <c r="AC883" s="3"/>
      <c r="AD883" s="3"/>
      <c r="AE883" s="3"/>
      <c r="AF883" s="3"/>
      <c r="AG883" s="3"/>
      <c r="AH883" s="3"/>
      <c r="AI883" s="3"/>
      <c r="AJ883" s="3"/>
      <c r="AK883" s="3"/>
    </row>
    <row r="884" spans="1:37" ht="22.5" customHeight="1" x14ac:dyDescent="0.8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c r="AA884" s="3"/>
      <c r="AB884" s="3"/>
      <c r="AC884" s="3"/>
      <c r="AD884" s="3"/>
      <c r="AE884" s="3"/>
      <c r="AF884" s="3"/>
      <c r="AG884" s="3"/>
      <c r="AH884" s="3"/>
      <c r="AI884" s="3"/>
      <c r="AJ884" s="3"/>
      <c r="AK884" s="3"/>
    </row>
    <row r="885" spans="1:37" ht="22.5" customHeight="1" x14ac:dyDescent="0.8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c r="AA885" s="3"/>
      <c r="AB885" s="3"/>
      <c r="AC885" s="3"/>
      <c r="AD885" s="3"/>
      <c r="AE885" s="3"/>
      <c r="AF885" s="3"/>
      <c r="AG885" s="3"/>
      <c r="AH885" s="3"/>
      <c r="AI885" s="3"/>
      <c r="AJ885" s="3"/>
      <c r="AK885" s="3"/>
    </row>
    <row r="886" spans="1:37" ht="22.5" customHeight="1" x14ac:dyDescent="0.8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c r="AA886" s="3"/>
      <c r="AB886" s="3"/>
      <c r="AC886" s="3"/>
      <c r="AD886" s="3"/>
      <c r="AE886" s="3"/>
      <c r="AF886" s="3"/>
      <c r="AG886" s="3"/>
      <c r="AH886" s="3"/>
      <c r="AI886" s="3"/>
      <c r="AJ886" s="3"/>
      <c r="AK886" s="3"/>
    </row>
    <row r="887" spans="1:37" ht="22.5" customHeight="1" x14ac:dyDescent="0.8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c r="AA887" s="3"/>
      <c r="AB887" s="3"/>
      <c r="AC887" s="3"/>
      <c r="AD887" s="3"/>
      <c r="AE887" s="3"/>
      <c r="AF887" s="3"/>
      <c r="AG887" s="3"/>
      <c r="AH887" s="3"/>
      <c r="AI887" s="3"/>
      <c r="AJ887" s="3"/>
      <c r="AK887" s="3"/>
    </row>
    <row r="888" spans="1:37" ht="22.5" customHeight="1" x14ac:dyDescent="0.8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c r="AA888" s="3"/>
      <c r="AB888" s="3"/>
      <c r="AC888" s="3"/>
      <c r="AD888" s="3"/>
      <c r="AE888" s="3"/>
      <c r="AF888" s="3"/>
      <c r="AG888" s="3"/>
      <c r="AH888" s="3"/>
      <c r="AI888" s="3"/>
      <c r="AJ888" s="3"/>
      <c r="AK888" s="3"/>
    </row>
    <row r="889" spans="1:37" ht="22.5" customHeight="1" x14ac:dyDescent="0.8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c r="AA889" s="3"/>
      <c r="AB889" s="3"/>
      <c r="AC889" s="3"/>
      <c r="AD889" s="3"/>
      <c r="AE889" s="3"/>
      <c r="AF889" s="3"/>
      <c r="AG889" s="3"/>
      <c r="AH889" s="3"/>
      <c r="AI889" s="3"/>
      <c r="AJ889" s="3"/>
      <c r="AK889" s="3"/>
    </row>
    <row r="890" spans="1:37" ht="22.5" customHeight="1" x14ac:dyDescent="0.8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c r="AA890" s="3"/>
      <c r="AB890" s="3"/>
      <c r="AC890" s="3"/>
      <c r="AD890" s="3"/>
      <c r="AE890" s="3"/>
      <c r="AF890" s="3"/>
      <c r="AG890" s="3"/>
      <c r="AH890" s="3"/>
      <c r="AI890" s="3"/>
      <c r="AJ890" s="3"/>
      <c r="AK890" s="3"/>
    </row>
    <row r="891" spans="1:37" ht="22.5" customHeight="1" x14ac:dyDescent="0.8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c r="AA891" s="3"/>
      <c r="AB891" s="3"/>
      <c r="AC891" s="3"/>
      <c r="AD891" s="3"/>
      <c r="AE891" s="3"/>
      <c r="AF891" s="3"/>
      <c r="AG891" s="3"/>
      <c r="AH891" s="3"/>
      <c r="AI891" s="3"/>
      <c r="AJ891" s="3"/>
      <c r="AK891" s="3"/>
    </row>
    <row r="892" spans="1:37" ht="22.5" customHeight="1" x14ac:dyDescent="0.8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c r="AA892" s="3"/>
      <c r="AB892" s="3"/>
      <c r="AC892" s="3"/>
      <c r="AD892" s="3"/>
      <c r="AE892" s="3"/>
      <c r="AF892" s="3"/>
      <c r="AG892" s="3"/>
      <c r="AH892" s="3"/>
      <c r="AI892" s="3"/>
      <c r="AJ892" s="3"/>
      <c r="AK892" s="3"/>
    </row>
    <row r="893" spans="1:37" ht="22.5" customHeight="1" x14ac:dyDescent="0.8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c r="AA893" s="3"/>
      <c r="AB893" s="3"/>
      <c r="AC893" s="3"/>
      <c r="AD893" s="3"/>
      <c r="AE893" s="3"/>
      <c r="AF893" s="3"/>
      <c r="AG893" s="3"/>
      <c r="AH893" s="3"/>
      <c r="AI893" s="3"/>
      <c r="AJ893" s="3"/>
      <c r="AK893" s="3"/>
    </row>
    <row r="894" spans="1:37" ht="22.5" customHeight="1" x14ac:dyDescent="0.8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c r="AA894" s="3"/>
      <c r="AB894" s="3"/>
      <c r="AC894" s="3"/>
      <c r="AD894" s="3"/>
      <c r="AE894" s="3"/>
      <c r="AF894" s="3"/>
      <c r="AG894" s="3"/>
      <c r="AH894" s="3"/>
      <c r="AI894" s="3"/>
      <c r="AJ894" s="3"/>
      <c r="AK894" s="3"/>
    </row>
    <row r="895" spans="1:37" ht="22.5" customHeight="1" x14ac:dyDescent="0.8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c r="AA895" s="3"/>
      <c r="AB895" s="3"/>
      <c r="AC895" s="3"/>
      <c r="AD895" s="3"/>
      <c r="AE895" s="3"/>
      <c r="AF895" s="3"/>
      <c r="AG895" s="3"/>
      <c r="AH895" s="3"/>
      <c r="AI895" s="3"/>
      <c r="AJ895" s="3"/>
      <c r="AK895" s="3"/>
    </row>
    <row r="896" spans="1:37" ht="22.5" customHeight="1" x14ac:dyDescent="0.8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c r="AA896" s="3"/>
      <c r="AB896" s="3"/>
      <c r="AC896" s="3"/>
      <c r="AD896" s="3"/>
      <c r="AE896" s="3"/>
      <c r="AF896" s="3"/>
      <c r="AG896" s="3"/>
      <c r="AH896" s="3"/>
      <c r="AI896" s="3"/>
      <c r="AJ896" s="3"/>
      <c r="AK896" s="3"/>
    </row>
    <row r="897" spans="1:37" ht="22.5" customHeight="1" x14ac:dyDescent="0.8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c r="AA897" s="3"/>
      <c r="AB897" s="3"/>
      <c r="AC897" s="3"/>
      <c r="AD897" s="3"/>
      <c r="AE897" s="3"/>
      <c r="AF897" s="3"/>
      <c r="AG897" s="3"/>
      <c r="AH897" s="3"/>
      <c r="AI897" s="3"/>
      <c r="AJ897" s="3"/>
      <c r="AK897" s="3"/>
    </row>
    <row r="898" spans="1:37" ht="22.5" customHeight="1" x14ac:dyDescent="0.8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c r="AA898" s="3"/>
      <c r="AB898" s="3"/>
      <c r="AC898" s="3"/>
      <c r="AD898" s="3"/>
      <c r="AE898" s="3"/>
      <c r="AF898" s="3"/>
      <c r="AG898" s="3"/>
      <c r="AH898" s="3"/>
      <c r="AI898" s="3"/>
      <c r="AJ898" s="3"/>
      <c r="AK898" s="3"/>
    </row>
    <row r="899" spans="1:37" ht="22.5" customHeight="1" x14ac:dyDescent="0.8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c r="AA899" s="3"/>
      <c r="AB899" s="3"/>
      <c r="AC899" s="3"/>
      <c r="AD899" s="3"/>
      <c r="AE899" s="3"/>
      <c r="AF899" s="3"/>
      <c r="AG899" s="3"/>
      <c r="AH899" s="3"/>
      <c r="AI899" s="3"/>
      <c r="AJ899" s="3"/>
      <c r="AK899" s="3"/>
    </row>
    <row r="900" spans="1:37" ht="22.5" customHeight="1" x14ac:dyDescent="0.8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c r="AA900" s="3"/>
      <c r="AB900" s="3"/>
      <c r="AC900" s="3"/>
      <c r="AD900" s="3"/>
      <c r="AE900" s="3"/>
      <c r="AF900" s="3"/>
      <c r="AG900" s="3"/>
      <c r="AH900" s="3"/>
      <c r="AI900" s="3"/>
      <c r="AJ900" s="3"/>
      <c r="AK900" s="3"/>
    </row>
    <row r="901" spans="1:37" ht="22.5" customHeight="1" x14ac:dyDescent="0.8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row>
    <row r="902" spans="1:37" ht="22.5" customHeight="1" x14ac:dyDescent="0.8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c r="AA902" s="3"/>
      <c r="AB902" s="3"/>
      <c r="AC902" s="3"/>
      <c r="AD902" s="3"/>
      <c r="AE902" s="3"/>
      <c r="AF902" s="3"/>
      <c r="AG902" s="3"/>
      <c r="AH902" s="3"/>
      <c r="AI902" s="3"/>
      <c r="AJ902" s="3"/>
      <c r="AK902" s="3"/>
    </row>
    <row r="903" spans="1:37" ht="22.5" customHeight="1" x14ac:dyDescent="0.8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c r="AA903" s="3"/>
      <c r="AB903" s="3"/>
      <c r="AC903" s="3"/>
      <c r="AD903" s="3"/>
      <c r="AE903" s="3"/>
      <c r="AF903" s="3"/>
      <c r="AG903" s="3"/>
      <c r="AH903" s="3"/>
      <c r="AI903" s="3"/>
      <c r="AJ903" s="3"/>
      <c r="AK903" s="3"/>
    </row>
    <row r="904" spans="1:37" ht="22.5" customHeight="1" x14ac:dyDescent="0.8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c r="AA904" s="3"/>
      <c r="AB904" s="3"/>
      <c r="AC904" s="3"/>
      <c r="AD904" s="3"/>
      <c r="AE904" s="3"/>
      <c r="AF904" s="3"/>
      <c r="AG904" s="3"/>
      <c r="AH904" s="3"/>
      <c r="AI904" s="3"/>
      <c r="AJ904" s="3"/>
      <c r="AK904" s="3"/>
    </row>
    <row r="905" spans="1:37" ht="22.5" customHeight="1" x14ac:dyDescent="0.8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c r="AA905" s="3"/>
      <c r="AB905" s="3"/>
      <c r="AC905" s="3"/>
      <c r="AD905" s="3"/>
      <c r="AE905" s="3"/>
      <c r="AF905" s="3"/>
      <c r="AG905" s="3"/>
      <c r="AH905" s="3"/>
      <c r="AI905" s="3"/>
      <c r="AJ905" s="3"/>
      <c r="AK905" s="3"/>
    </row>
    <row r="906" spans="1:37" ht="22.5" customHeight="1" x14ac:dyDescent="0.8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c r="AA906" s="3"/>
      <c r="AB906" s="3"/>
      <c r="AC906" s="3"/>
      <c r="AD906" s="3"/>
      <c r="AE906" s="3"/>
      <c r="AF906" s="3"/>
      <c r="AG906" s="3"/>
      <c r="AH906" s="3"/>
      <c r="AI906" s="3"/>
      <c r="AJ906" s="3"/>
      <c r="AK906" s="3"/>
    </row>
    <row r="907" spans="1:37" ht="22.5" customHeight="1" x14ac:dyDescent="0.8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c r="AA907" s="3"/>
      <c r="AB907" s="3"/>
      <c r="AC907" s="3"/>
      <c r="AD907" s="3"/>
      <c r="AE907" s="3"/>
      <c r="AF907" s="3"/>
      <c r="AG907" s="3"/>
      <c r="AH907" s="3"/>
      <c r="AI907" s="3"/>
      <c r="AJ907" s="3"/>
      <c r="AK907" s="3"/>
    </row>
    <row r="908" spans="1:37" ht="22.5" customHeight="1" x14ac:dyDescent="0.8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c r="AA908" s="3"/>
      <c r="AB908" s="3"/>
      <c r="AC908" s="3"/>
      <c r="AD908" s="3"/>
      <c r="AE908" s="3"/>
      <c r="AF908" s="3"/>
      <c r="AG908" s="3"/>
      <c r="AH908" s="3"/>
      <c r="AI908" s="3"/>
      <c r="AJ908" s="3"/>
      <c r="AK908" s="3"/>
    </row>
    <row r="909" spans="1:37" ht="22.5" customHeight="1" x14ac:dyDescent="0.8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c r="AA909" s="3"/>
      <c r="AB909" s="3"/>
      <c r="AC909" s="3"/>
      <c r="AD909" s="3"/>
      <c r="AE909" s="3"/>
      <c r="AF909" s="3"/>
      <c r="AG909" s="3"/>
      <c r="AH909" s="3"/>
      <c r="AI909" s="3"/>
      <c r="AJ909" s="3"/>
      <c r="AK909" s="3"/>
    </row>
    <row r="910" spans="1:37" ht="22.5" customHeight="1" x14ac:dyDescent="0.8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c r="AA910" s="3"/>
      <c r="AB910" s="3"/>
      <c r="AC910" s="3"/>
      <c r="AD910" s="3"/>
      <c r="AE910" s="3"/>
      <c r="AF910" s="3"/>
      <c r="AG910" s="3"/>
      <c r="AH910" s="3"/>
      <c r="AI910" s="3"/>
      <c r="AJ910" s="3"/>
      <c r="AK910" s="3"/>
    </row>
    <row r="911" spans="1:37" ht="22.5" customHeight="1" x14ac:dyDescent="0.8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c r="AA911" s="3"/>
      <c r="AB911" s="3"/>
      <c r="AC911" s="3"/>
      <c r="AD911" s="3"/>
      <c r="AE911" s="3"/>
      <c r="AF911" s="3"/>
      <c r="AG911" s="3"/>
      <c r="AH911" s="3"/>
      <c r="AI911" s="3"/>
      <c r="AJ911" s="3"/>
      <c r="AK911" s="3"/>
    </row>
    <row r="912" spans="1:37" ht="22.5" customHeight="1" x14ac:dyDescent="0.8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row>
    <row r="913" spans="1:37" ht="22.5" customHeight="1" x14ac:dyDescent="0.8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row>
    <row r="914" spans="1:37" ht="22.5" customHeight="1" x14ac:dyDescent="0.8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row>
    <row r="915" spans="1:37" ht="22.5" customHeight="1" x14ac:dyDescent="0.8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c r="AA915" s="3"/>
      <c r="AB915" s="3"/>
      <c r="AC915" s="3"/>
      <c r="AD915" s="3"/>
      <c r="AE915" s="3"/>
      <c r="AF915" s="3"/>
      <c r="AG915" s="3"/>
      <c r="AH915" s="3"/>
      <c r="AI915" s="3"/>
      <c r="AJ915" s="3"/>
      <c r="AK915" s="3"/>
    </row>
    <row r="916" spans="1:37" ht="22.5" customHeight="1" x14ac:dyDescent="0.8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c r="AA916" s="3"/>
      <c r="AB916" s="3"/>
      <c r="AC916" s="3"/>
      <c r="AD916" s="3"/>
      <c r="AE916" s="3"/>
      <c r="AF916" s="3"/>
      <c r="AG916" s="3"/>
      <c r="AH916" s="3"/>
      <c r="AI916" s="3"/>
      <c r="AJ916" s="3"/>
      <c r="AK916" s="3"/>
    </row>
    <row r="917" spans="1:37" ht="22.5" customHeight="1" x14ac:dyDescent="0.8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c r="AA917" s="3"/>
      <c r="AB917" s="3"/>
      <c r="AC917" s="3"/>
      <c r="AD917" s="3"/>
      <c r="AE917" s="3"/>
      <c r="AF917" s="3"/>
      <c r="AG917" s="3"/>
      <c r="AH917" s="3"/>
      <c r="AI917" s="3"/>
      <c r="AJ917" s="3"/>
      <c r="AK917" s="3"/>
    </row>
    <row r="918" spans="1:37" ht="22.5" customHeight="1" x14ac:dyDescent="0.8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c r="AA918" s="3"/>
      <c r="AB918" s="3"/>
      <c r="AC918" s="3"/>
      <c r="AD918" s="3"/>
      <c r="AE918" s="3"/>
      <c r="AF918" s="3"/>
      <c r="AG918" s="3"/>
      <c r="AH918" s="3"/>
      <c r="AI918" s="3"/>
      <c r="AJ918" s="3"/>
      <c r="AK918" s="3"/>
    </row>
    <row r="919" spans="1:37" ht="22.5" customHeight="1" x14ac:dyDescent="0.8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c r="AA919" s="3"/>
      <c r="AB919" s="3"/>
      <c r="AC919" s="3"/>
      <c r="AD919" s="3"/>
      <c r="AE919" s="3"/>
      <c r="AF919" s="3"/>
      <c r="AG919" s="3"/>
      <c r="AH919" s="3"/>
      <c r="AI919" s="3"/>
      <c r="AJ919" s="3"/>
      <c r="AK919" s="3"/>
    </row>
    <row r="920" spans="1:37" ht="22.5" customHeight="1" x14ac:dyDescent="0.8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c r="AA920" s="3"/>
      <c r="AB920" s="3"/>
      <c r="AC920" s="3"/>
      <c r="AD920" s="3"/>
      <c r="AE920" s="3"/>
      <c r="AF920" s="3"/>
      <c r="AG920" s="3"/>
      <c r="AH920" s="3"/>
      <c r="AI920" s="3"/>
      <c r="AJ920" s="3"/>
      <c r="AK920" s="3"/>
    </row>
    <row r="921" spans="1:37" ht="22.5" customHeight="1" x14ac:dyDescent="0.8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c r="AA921" s="3"/>
      <c r="AB921" s="3"/>
      <c r="AC921" s="3"/>
      <c r="AD921" s="3"/>
      <c r="AE921" s="3"/>
      <c r="AF921" s="3"/>
      <c r="AG921" s="3"/>
      <c r="AH921" s="3"/>
      <c r="AI921" s="3"/>
      <c r="AJ921" s="3"/>
      <c r="AK921" s="3"/>
    </row>
    <row r="922" spans="1:37" ht="22.5" customHeight="1" x14ac:dyDescent="0.8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c r="AA922" s="3"/>
      <c r="AB922" s="3"/>
      <c r="AC922" s="3"/>
      <c r="AD922" s="3"/>
      <c r="AE922" s="3"/>
      <c r="AF922" s="3"/>
      <c r="AG922" s="3"/>
      <c r="AH922" s="3"/>
      <c r="AI922" s="3"/>
      <c r="AJ922" s="3"/>
      <c r="AK922" s="3"/>
    </row>
    <row r="923" spans="1:37" ht="22.5" customHeight="1" x14ac:dyDescent="0.8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c r="AA923" s="3"/>
      <c r="AB923" s="3"/>
      <c r="AC923" s="3"/>
      <c r="AD923" s="3"/>
      <c r="AE923" s="3"/>
      <c r="AF923" s="3"/>
      <c r="AG923" s="3"/>
      <c r="AH923" s="3"/>
      <c r="AI923" s="3"/>
      <c r="AJ923" s="3"/>
      <c r="AK923" s="3"/>
    </row>
    <row r="924" spans="1:37" ht="22.5" customHeight="1" x14ac:dyDescent="0.8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c r="AA924" s="3"/>
      <c r="AB924" s="3"/>
      <c r="AC924" s="3"/>
      <c r="AD924" s="3"/>
      <c r="AE924" s="3"/>
      <c r="AF924" s="3"/>
      <c r="AG924" s="3"/>
      <c r="AH924" s="3"/>
      <c r="AI924" s="3"/>
      <c r="AJ924" s="3"/>
      <c r="AK924" s="3"/>
    </row>
    <row r="925" spans="1:37" ht="22.5" customHeight="1" x14ac:dyDescent="0.8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c r="AA925" s="3"/>
      <c r="AB925" s="3"/>
      <c r="AC925" s="3"/>
      <c r="AD925" s="3"/>
      <c r="AE925" s="3"/>
      <c r="AF925" s="3"/>
      <c r="AG925" s="3"/>
      <c r="AH925" s="3"/>
      <c r="AI925" s="3"/>
      <c r="AJ925" s="3"/>
      <c r="AK925" s="3"/>
    </row>
    <row r="926" spans="1:37" ht="22.5" customHeight="1" x14ac:dyDescent="0.8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c r="AA926" s="3"/>
      <c r="AB926" s="3"/>
      <c r="AC926" s="3"/>
      <c r="AD926" s="3"/>
      <c r="AE926" s="3"/>
      <c r="AF926" s="3"/>
      <c r="AG926" s="3"/>
      <c r="AH926" s="3"/>
      <c r="AI926" s="3"/>
      <c r="AJ926" s="3"/>
      <c r="AK926" s="3"/>
    </row>
    <row r="927" spans="1:37" ht="22.5" customHeight="1" x14ac:dyDescent="0.8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c r="AA927" s="3"/>
      <c r="AB927" s="3"/>
      <c r="AC927" s="3"/>
      <c r="AD927" s="3"/>
      <c r="AE927" s="3"/>
      <c r="AF927" s="3"/>
      <c r="AG927" s="3"/>
      <c r="AH927" s="3"/>
      <c r="AI927" s="3"/>
      <c r="AJ927" s="3"/>
      <c r="AK927" s="3"/>
    </row>
    <row r="928" spans="1:37" ht="22.5" customHeight="1" x14ac:dyDescent="0.8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c r="AA928" s="3"/>
      <c r="AB928" s="3"/>
      <c r="AC928" s="3"/>
      <c r="AD928" s="3"/>
      <c r="AE928" s="3"/>
      <c r="AF928" s="3"/>
      <c r="AG928" s="3"/>
      <c r="AH928" s="3"/>
      <c r="AI928" s="3"/>
      <c r="AJ928" s="3"/>
      <c r="AK928" s="3"/>
    </row>
    <row r="929" spans="1:37" ht="22.5" customHeight="1" x14ac:dyDescent="0.8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row>
    <row r="930" spans="1:37" ht="22.5" customHeight="1" x14ac:dyDescent="0.8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c r="AA930" s="3"/>
      <c r="AB930" s="3"/>
      <c r="AC930" s="3"/>
      <c r="AD930" s="3"/>
      <c r="AE930" s="3"/>
      <c r="AF930" s="3"/>
      <c r="AG930" s="3"/>
      <c r="AH930" s="3"/>
      <c r="AI930" s="3"/>
      <c r="AJ930" s="3"/>
      <c r="AK930" s="3"/>
    </row>
    <row r="931" spans="1:37" ht="22.5" customHeight="1" x14ac:dyDescent="0.8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c r="AA931" s="3"/>
      <c r="AB931" s="3"/>
      <c r="AC931" s="3"/>
      <c r="AD931" s="3"/>
      <c r="AE931" s="3"/>
      <c r="AF931" s="3"/>
      <c r="AG931" s="3"/>
      <c r="AH931" s="3"/>
      <c r="AI931" s="3"/>
      <c r="AJ931" s="3"/>
      <c r="AK931" s="3"/>
    </row>
    <row r="932" spans="1:37" ht="22.5" customHeight="1" x14ac:dyDescent="0.8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c r="AA932" s="3"/>
      <c r="AB932" s="3"/>
      <c r="AC932" s="3"/>
      <c r="AD932" s="3"/>
      <c r="AE932" s="3"/>
      <c r="AF932" s="3"/>
      <c r="AG932" s="3"/>
      <c r="AH932" s="3"/>
      <c r="AI932" s="3"/>
      <c r="AJ932" s="3"/>
      <c r="AK932" s="3"/>
    </row>
    <row r="933" spans="1:37" ht="22.5" customHeight="1" x14ac:dyDescent="0.8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c r="AA933" s="3"/>
      <c r="AB933" s="3"/>
      <c r="AC933" s="3"/>
      <c r="AD933" s="3"/>
      <c r="AE933" s="3"/>
      <c r="AF933" s="3"/>
      <c r="AG933" s="3"/>
      <c r="AH933" s="3"/>
      <c r="AI933" s="3"/>
      <c r="AJ933" s="3"/>
      <c r="AK933" s="3"/>
    </row>
    <row r="934" spans="1:37" ht="22.5" customHeight="1" x14ac:dyDescent="0.8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c r="AA934" s="3"/>
      <c r="AB934" s="3"/>
      <c r="AC934" s="3"/>
      <c r="AD934" s="3"/>
      <c r="AE934" s="3"/>
      <c r="AF934" s="3"/>
      <c r="AG934" s="3"/>
      <c r="AH934" s="3"/>
      <c r="AI934" s="3"/>
      <c r="AJ934" s="3"/>
      <c r="AK934" s="3"/>
    </row>
    <row r="935" spans="1:37" ht="22.5" customHeight="1" x14ac:dyDescent="0.8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c r="AA935" s="3"/>
      <c r="AB935" s="3"/>
      <c r="AC935" s="3"/>
      <c r="AD935" s="3"/>
      <c r="AE935" s="3"/>
      <c r="AF935" s="3"/>
      <c r="AG935" s="3"/>
      <c r="AH935" s="3"/>
      <c r="AI935" s="3"/>
      <c r="AJ935" s="3"/>
      <c r="AK935" s="3"/>
    </row>
    <row r="936" spans="1:37" ht="22.5" customHeight="1" x14ac:dyDescent="0.8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c r="AA936" s="3"/>
      <c r="AB936" s="3"/>
      <c r="AC936" s="3"/>
      <c r="AD936" s="3"/>
      <c r="AE936" s="3"/>
      <c r="AF936" s="3"/>
      <c r="AG936" s="3"/>
      <c r="AH936" s="3"/>
      <c r="AI936" s="3"/>
      <c r="AJ936" s="3"/>
      <c r="AK936" s="3"/>
    </row>
    <row r="937" spans="1:37" ht="22.5" customHeight="1" x14ac:dyDescent="0.8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c r="AF937" s="3"/>
      <c r="AG937" s="3"/>
      <c r="AH937" s="3"/>
      <c r="AI937" s="3"/>
      <c r="AJ937" s="3"/>
      <c r="AK937" s="3"/>
    </row>
    <row r="938" spans="1:37" ht="22.5" customHeight="1" x14ac:dyDescent="0.8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c r="AA938" s="3"/>
      <c r="AB938" s="3"/>
      <c r="AC938" s="3"/>
      <c r="AD938" s="3"/>
      <c r="AE938" s="3"/>
      <c r="AF938" s="3"/>
      <c r="AG938" s="3"/>
      <c r="AH938" s="3"/>
      <c r="AI938" s="3"/>
      <c r="AJ938" s="3"/>
      <c r="AK938" s="3"/>
    </row>
    <row r="939" spans="1:37" ht="22.5" customHeight="1" x14ac:dyDescent="0.8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c r="AA939" s="3"/>
      <c r="AB939" s="3"/>
      <c r="AC939" s="3"/>
      <c r="AD939" s="3"/>
      <c r="AE939" s="3"/>
      <c r="AF939" s="3"/>
      <c r="AG939" s="3"/>
      <c r="AH939" s="3"/>
      <c r="AI939" s="3"/>
      <c r="AJ939" s="3"/>
      <c r="AK939" s="3"/>
    </row>
    <row r="940" spans="1:37" ht="22.5" customHeight="1" x14ac:dyDescent="0.8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c r="AK940" s="3"/>
    </row>
    <row r="941" spans="1:37" ht="22.5" customHeight="1" x14ac:dyDescent="0.8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row>
    <row r="942" spans="1:37" ht="22.5" customHeight="1" x14ac:dyDescent="0.8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c r="AK942" s="3"/>
    </row>
    <row r="943" spans="1:37" ht="22.5" customHeight="1" x14ac:dyDescent="0.8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c r="AA943" s="3"/>
      <c r="AB943" s="3"/>
      <c r="AC943" s="3"/>
      <c r="AD943" s="3"/>
      <c r="AE943" s="3"/>
      <c r="AF943" s="3"/>
      <c r="AG943" s="3"/>
      <c r="AH943" s="3"/>
      <c r="AI943" s="3"/>
      <c r="AJ943" s="3"/>
      <c r="AK943" s="3"/>
    </row>
    <row r="944" spans="1:37" ht="22.5" customHeight="1" x14ac:dyDescent="0.8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c r="AA944" s="3"/>
      <c r="AB944" s="3"/>
      <c r="AC944" s="3"/>
      <c r="AD944" s="3"/>
      <c r="AE944" s="3"/>
      <c r="AF944" s="3"/>
      <c r="AG944" s="3"/>
      <c r="AH944" s="3"/>
      <c r="AI944" s="3"/>
      <c r="AJ944" s="3"/>
      <c r="AK944" s="3"/>
    </row>
    <row r="945" spans="1:37" ht="22.5" customHeight="1" x14ac:dyDescent="0.8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c r="AA945" s="3"/>
      <c r="AB945" s="3"/>
      <c r="AC945" s="3"/>
      <c r="AD945" s="3"/>
      <c r="AE945" s="3"/>
      <c r="AF945" s="3"/>
      <c r="AG945" s="3"/>
      <c r="AH945" s="3"/>
      <c r="AI945" s="3"/>
      <c r="AJ945" s="3"/>
      <c r="AK945" s="3"/>
    </row>
    <row r="946" spans="1:37" ht="22.5" customHeight="1" x14ac:dyDescent="0.8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c r="AA946" s="3"/>
      <c r="AB946" s="3"/>
      <c r="AC946" s="3"/>
      <c r="AD946" s="3"/>
      <c r="AE946" s="3"/>
      <c r="AF946" s="3"/>
      <c r="AG946" s="3"/>
      <c r="AH946" s="3"/>
      <c r="AI946" s="3"/>
      <c r="AJ946" s="3"/>
      <c r="AK946" s="3"/>
    </row>
    <row r="947" spans="1:37" ht="22.5" customHeight="1" x14ac:dyDescent="0.8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c r="AA947" s="3"/>
      <c r="AB947" s="3"/>
      <c r="AC947" s="3"/>
      <c r="AD947" s="3"/>
      <c r="AE947" s="3"/>
      <c r="AF947" s="3"/>
      <c r="AG947" s="3"/>
      <c r="AH947" s="3"/>
      <c r="AI947" s="3"/>
      <c r="AJ947" s="3"/>
      <c r="AK947" s="3"/>
    </row>
    <row r="948" spans="1:37" ht="22.5" customHeight="1" x14ac:dyDescent="0.8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c r="AA948" s="3"/>
      <c r="AB948" s="3"/>
      <c r="AC948" s="3"/>
      <c r="AD948" s="3"/>
      <c r="AE948" s="3"/>
      <c r="AF948" s="3"/>
      <c r="AG948" s="3"/>
      <c r="AH948" s="3"/>
      <c r="AI948" s="3"/>
      <c r="AJ948" s="3"/>
      <c r="AK948" s="3"/>
    </row>
    <row r="949" spans="1:37" ht="22.5" customHeight="1" x14ac:dyDescent="0.8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row>
    <row r="950" spans="1:37" ht="22.5" customHeight="1" x14ac:dyDescent="0.8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row>
    <row r="951" spans="1:37" ht="22.5" customHeight="1" x14ac:dyDescent="0.8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c r="AA951" s="3"/>
      <c r="AB951" s="3"/>
      <c r="AC951" s="3"/>
      <c r="AD951" s="3"/>
      <c r="AE951" s="3"/>
      <c r="AF951" s="3"/>
      <c r="AG951" s="3"/>
      <c r="AH951" s="3"/>
      <c r="AI951" s="3"/>
      <c r="AJ951" s="3"/>
      <c r="AK951" s="3"/>
    </row>
    <row r="952" spans="1:37" ht="22.5" customHeight="1" x14ac:dyDescent="0.8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c r="AA952" s="3"/>
      <c r="AB952" s="3"/>
      <c r="AC952" s="3"/>
      <c r="AD952" s="3"/>
      <c r="AE952" s="3"/>
      <c r="AF952" s="3"/>
      <c r="AG952" s="3"/>
      <c r="AH952" s="3"/>
      <c r="AI952" s="3"/>
      <c r="AJ952" s="3"/>
      <c r="AK952" s="3"/>
    </row>
    <row r="953" spans="1:37" ht="22.5" customHeight="1" x14ac:dyDescent="0.8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c r="AA953" s="3"/>
      <c r="AB953" s="3"/>
      <c r="AC953" s="3"/>
      <c r="AD953" s="3"/>
      <c r="AE953" s="3"/>
      <c r="AF953" s="3"/>
      <c r="AG953" s="3"/>
      <c r="AH953" s="3"/>
      <c r="AI953" s="3"/>
      <c r="AJ953" s="3"/>
      <c r="AK953" s="3"/>
    </row>
    <row r="954" spans="1:37" ht="22.5" customHeight="1" x14ac:dyDescent="0.8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c r="AA954" s="3"/>
      <c r="AB954" s="3"/>
      <c r="AC954" s="3"/>
      <c r="AD954" s="3"/>
      <c r="AE954" s="3"/>
      <c r="AF954" s="3"/>
      <c r="AG954" s="3"/>
      <c r="AH954" s="3"/>
      <c r="AI954" s="3"/>
      <c r="AJ954" s="3"/>
      <c r="AK954" s="3"/>
    </row>
    <row r="955" spans="1:37" ht="22.5" customHeight="1" x14ac:dyDescent="0.8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c r="AA955" s="3"/>
      <c r="AB955" s="3"/>
      <c r="AC955" s="3"/>
      <c r="AD955" s="3"/>
      <c r="AE955" s="3"/>
      <c r="AF955" s="3"/>
      <c r="AG955" s="3"/>
      <c r="AH955" s="3"/>
      <c r="AI955" s="3"/>
      <c r="AJ955" s="3"/>
      <c r="AK955" s="3"/>
    </row>
    <row r="956" spans="1:37" ht="22.5" customHeight="1" x14ac:dyDescent="0.8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c r="AA956" s="3"/>
      <c r="AB956" s="3"/>
      <c r="AC956" s="3"/>
      <c r="AD956" s="3"/>
      <c r="AE956" s="3"/>
      <c r="AF956" s="3"/>
      <c r="AG956" s="3"/>
      <c r="AH956" s="3"/>
      <c r="AI956" s="3"/>
      <c r="AJ956" s="3"/>
      <c r="AK956" s="3"/>
    </row>
    <row r="957" spans="1:37" ht="22.5" customHeight="1" x14ac:dyDescent="0.8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c r="AA957" s="3"/>
      <c r="AB957" s="3"/>
      <c r="AC957" s="3"/>
      <c r="AD957" s="3"/>
      <c r="AE957" s="3"/>
      <c r="AF957" s="3"/>
      <c r="AG957" s="3"/>
      <c r="AH957" s="3"/>
      <c r="AI957" s="3"/>
      <c r="AJ957" s="3"/>
      <c r="AK957" s="3"/>
    </row>
    <row r="958" spans="1:37" ht="22.5" customHeight="1" x14ac:dyDescent="0.8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c r="AA958" s="3"/>
      <c r="AB958" s="3"/>
      <c r="AC958" s="3"/>
      <c r="AD958" s="3"/>
      <c r="AE958" s="3"/>
      <c r="AF958" s="3"/>
      <c r="AG958" s="3"/>
      <c r="AH958" s="3"/>
      <c r="AI958" s="3"/>
      <c r="AJ958" s="3"/>
      <c r="AK958" s="3"/>
    </row>
    <row r="959" spans="1:37" ht="22.5" customHeight="1" x14ac:dyDescent="0.8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c r="AA959" s="3"/>
      <c r="AB959" s="3"/>
      <c r="AC959" s="3"/>
      <c r="AD959" s="3"/>
      <c r="AE959" s="3"/>
      <c r="AF959" s="3"/>
      <c r="AG959" s="3"/>
      <c r="AH959" s="3"/>
      <c r="AI959" s="3"/>
      <c r="AJ959" s="3"/>
      <c r="AK959" s="3"/>
    </row>
    <row r="960" spans="1:37" ht="22.5" customHeight="1" x14ac:dyDescent="0.8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c r="AA960" s="3"/>
      <c r="AB960" s="3"/>
      <c r="AC960" s="3"/>
      <c r="AD960" s="3"/>
      <c r="AE960" s="3"/>
      <c r="AF960" s="3"/>
      <c r="AG960" s="3"/>
      <c r="AH960" s="3"/>
      <c r="AI960" s="3"/>
      <c r="AJ960" s="3"/>
      <c r="AK960" s="3"/>
    </row>
    <row r="961" spans="1:37" ht="22.5" customHeight="1" x14ac:dyDescent="0.8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c r="AA961" s="3"/>
      <c r="AB961" s="3"/>
      <c r="AC961" s="3"/>
      <c r="AD961" s="3"/>
      <c r="AE961" s="3"/>
      <c r="AF961" s="3"/>
      <c r="AG961" s="3"/>
      <c r="AH961" s="3"/>
      <c r="AI961" s="3"/>
      <c r="AJ961" s="3"/>
      <c r="AK961" s="3"/>
    </row>
    <row r="962" spans="1:37" ht="22.5" customHeight="1" x14ac:dyDescent="0.8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c r="AA962" s="3"/>
      <c r="AB962" s="3"/>
      <c r="AC962" s="3"/>
      <c r="AD962" s="3"/>
      <c r="AE962" s="3"/>
      <c r="AF962" s="3"/>
      <c r="AG962" s="3"/>
      <c r="AH962" s="3"/>
      <c r="AI962" s="3"/>
      <c r="AJ962" s="3"/>
      <c r="AK962" s="3"/>
    </row>
    <row r="963" spans="1:37" ht="22.5" customHeight="1" x14ac:dyDescent="0.8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c r="AA963" s="3"/>
      <c r="AB963" s="3"/>
      <c r="AC963" s="3"/>
      <c r="AD963" s="3"/>
      <c r="AE963" s="3"/>
      <c r="AF963" s="3"/>
      <c r="AG963" s="3"/>
      <c r="AH963" s="3"/>
      <c r="AI963" s="3"/>
      <c r="AJ963" s="3"/>
      <c r="AK963" s="3"/>
    </row>
    <row r="964" spans="1:37" ht="22.5" customHeight="1" x14ac:dyDescent="0.8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c r="AA964" s="3"/>
      <c r="AB964" s="3"/>
      <c r="AC964" s="3"/>
      <c r="AD964" s="3"/>
      <c r="AE964" s="3"/>
      <c r="AF964" s="3"/>
      <c r="AG964" s="3"/>
      <c r="AH964" s="3"/>
      <c r="AI964" s="3"/>
      <c r="AJ964" s="3"/>
      <c r="AK964" s="3"/>
    </row>
    <row r="965" spans="1:37" ht="22.5" customHeight="1" x14ac:dyDescent="0.8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c r="AA965" s="3"/>
      <c r="AB965" s="3"/>
      <c r="AC965" s="3"/>
      <c r="AD965" s="3"/>
      <c r="AE965" s="3"/>
      <c r="AF965" s="3"/>
      <c r="AG965" s="3"/>
      <c r="AH965" s="3"/>
      <c r="AI965" s="3"/>
      <c r="AJ965" s="3"/>
      <c r="AK965" s="3"/>
    </row>
    <row r="966" spans="1:37" ht="22.5" customHeight="1" x14ac:dyDescent="0.8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c r="AA966" s="3"/>
      <c r="AB966" s="3"/>
      <c r="AC966" s="3"/>
      <c r="AD966" s="3"/>
      <c r="AE966" s="3"/>
      <c r="AF966" s="3"/>
      <c r="AG966" s="3"/>
      <c r="AH966" s="3"/>
      <c r="AI966" s="3"/>
      <c r="AJ966" s="3"/>
      <c r="AK966" s="3"/>
    </row>
    <row r="967" spans="1:37" ht="22.5" customHeight="1" x14ac:dyDescent="0.8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c r="AA967" s="3"/>
      <c r="AB967" s="3"/>
      <c r="AC967" s="3"/>
      <c r="AD967" s="3"/>
      <c r="AE967" s="3"/>
      <c r="AF967" s="3"/>
      <c r="AG967" s="3"/>
      <c r="AH967" s="3"/>
      <c r="AI967" s="3"/>
      <c r="AJ967" s="3"/>
      <c r="AK967" s="3"/>
    </row>
    <row r="968" spans="1:37" ht="22.5" customHeight="1" x14ac:dyDescent="0.8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c r="AA968" s="3"/>
      <c r="AB968" s="3"/>
      <c r="AC968" s="3"/>
      <c r="AD968" s="3"/>
      <c r="AE968" s="3"/>
      <c r="AF968" s="3"/>
      <c r="AG968" s="3"/>
      <c r="AH968" s="3"/>
      <c r="AI968" s="3"/>
      <c r="AJ968" s="3"/>
      <c r="AK968" s="3"/>
    </row>
    <row r="969" spans="1:37" ht="22.5" customHeight="1" x14ac:dyDescent="0.8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c r="AA969" s="3"/>
      <c r="AB969" s="3"/>
      <c r="AC969" s="3"/>
      <c r="AD969" s="3"/>
      <c r="AE969" s="3"/>
      <c r="AF969" s="3"/>
      <c r="AG969" s="3"/>
      <c r="AH969" s="3"/>
      <c r="AI969" s="3"/>
      <c r="AJ969" s="3"/>
      <c r="AK969" s="3"/>
    </row>
    <row r="970" spans="1:37" ht="22.5" customHeight="1" x14ac:dyDescent="0.8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c r="AA970" s="3"/>
      <c r="AB970" s="3"/>
      <c r="AC970" s="3"/>
      <c r="AD970" s="3"/>
      <c r="AE970" s="3"/>
      <c r="AF970" s="3"/>
      <c r="AG970" s="3"/>
      <c r="AH970" s="3"/>
      <c r="AI970" s="3"/>
      <c r="AJ970" s="3"/>
      <c r="AK970" s="3"/>
    </row>
    <row r="971" spans="1:37" ht="22.5" customHeight="1" x14ac:dyDescent="0.8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c r="AA971" s="3"/>
      <c r="AB971" s="3"/>
      <c r="AC971" s="3"/>
      <c r="AD971" s="3"/>
      <c r="AE971" s="3"/>
      <c r="AF971" s="3"/>
      <c r="AG971" s="3"/>
      <c r="AH971" s="3"/>
      <c r="AI971" s="3"/>
      <c r="AJ971" s="3"/>
      <c r="AK971" s="3"/>
    </row>
    <row r="972" spans="1:37" ht="22.5" customHeight="1" x14ac:dyDescent="0.8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c r="AA972" s="3"/>
      <c r="AB972" s="3"/>
      <c r="AC972" s="3"/>
      <c r="AD972" s="3"/>
      <c r="AE972" s="3"/>
      <c r="AF972" s="3"/>
      <c r="AG972" s="3"/>
      <c r="AH972" s="3"/>
      <c r="AI972" s="3"/>
      <c r="AJ972" s="3"/>
      <c r="AK972" s="3"/>
    </row>
    <row r="973" spans="1:37" ht="22.5" customHeight="1" x14ac:dyDescent="0.8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c r="AA973" s="3"/>
      <c r="AB973" s="3"/>
      <c r="AC973" s="3"/>
      <c r="AD973" s="3"/>
      <c r="AE973" s="3"/>
      <c r="AF973" s="3"/>
      <c r="AG973" s="3"/>
      <c r="AH973" s="3"/>
      <c r="AI973" s="3"/>
      <c r="AJ973" s="3"/>
      <c r="AK973" s="3"/>
    </row>
    <row r="974" spans="1:37" ht="22.5" customHeight="1" x14ac:dyDescent="0.8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c r="AA974" s="3"/>
      <c r="AB974" s="3"/>
      <c r="AC974" s="3"/>
      <c r="AD974" s="3"/>
      <c r="AE974" s="3"/>
      <c r="AF974" s="3"/>
      <c r="AG974" s="3"/>
      <c r="AH974" s="3"/>
      <c r="AI974" s="3"/>
      <c r="AJ974" s="3"/>
      <c r="AK974" s="3"/>
    </row>
    <row r="975" spans="1:37" ht="22.5" customHeight="1" x14ac:dyDescent="0.8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c r="AA975" s="3"/>
      <c r="AB975" s="3"/>
      <c r="AC975" s="3"/>
      <c r="AD975" s="3"/>
      <c r="AE975" s="3"/>
      <c r="AF975" s="3"/>
      <c r="AG975" s="3"/>
      <c r="AH975" s="3"/>
      <c r="AI975" s="3"/>
      <c r="AJ975" s="3"/>
      <c r="AK975" s="3"/>
    </row>
    <row r="976" spans="1:37" ht="22.5" customHeight="1" x14ac:dyDescent="0.8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c r="AA976" s="3"/>
      <c r="AB976" s="3"/>
      <c r="AC976" s="3"/>
      <c r="AD976" s="3"/>
      <c r="AE976" s="3"/>
      <c r="AF976" s="3"/>
      <c r="AG976" s="3"/>
      <c r="AH976" s="3"/>
      <c r="AI976" s="3"/>
      <c r="AJ976" s="3"/>
      <c r="AK976" s="3"/>
    </row>
    <row r="977" spans="1:37" ht="22.5" customHeight="1" x14ac:dyDescent="0.8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c r="AA977" s="3"/>
      <c r="AB977" s="3"/>
      <c r="AC977" s="3"/>
      <c r="AD977" s="3"/>
      <c r="AE977" s="3"/>
      <c r="AF977" s="3"/>
      <c r="AG977" s="3"/>
      <c r="AH977" s="3"/>
      <c r="AI977" s="3"/>
      <c r="AJ977" s="3"/>
      <c r="AK977" s="3"/>
    </row>
    <row r="978" spans="1:37" ht="22.5" customHeight="1" x14ac:dyDescent="0.8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c r="AA978" s="3"/>
      <c r="AB978" s="3"/>
      <c r="AC978" s="3"/>
      <c r="AD978" s="3"/>
      <c r="AE978" s="3"/>
      <c r="AF978" s="3"/>
      <c r="AG978" s="3"/>
      <c r="AH978" s="3"/>
      <c r="AI978" s="3"/>
      <c r="AJ978" s="3"/>
      <c r="AK978" s="3"/>
    </row>
    <row r="979" spans="1:37" ht="22.5" customHeight="1" x14ac:dyDescent="0.8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c r="AA979" s="3"/>
      <c r="AB979" s="3"/>
      <c r="AC979" s="3"/>
      <c r="AD979" s="3"/>
      <c r="AE979" s="3"/>
      <c r="AF979" s="3"/>
      <c r="AG979" s="3"/>
      <c r="AH979" s="3"/>
      <c r="AI979" s="3"/>
      <c r="AJ979" s="3"/>
      <c r="AK979" s="3"/>
    </row>
    <row r="980" spans="1:37" ht="22.5" customHeight="1" x14ac:dyDescent="0.8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c r="AA980" s="3"/>
      <c r="AB980" s="3"/>
      <c r="AC980" s="3"/>
      <c r="AD980" s="3"/>
      <c r="AE980" s="3"/>
      <c r="AF980" s="3"/>
      <c r="AG980" s="3"/>
      <c r="AH980" s="3"/>
      <c r="AI980" s="3"/>
      <c r="AJ980" s="3"/>
      <c r="AK980" s="3"/>
    </row>
    <row r="981" spans="1:37" ht="22.5" customHeight="1" x14ac:dyDescent="0.8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c r="AA981" s="3"/>
      <c r="AB981" s="3"/>
      <c r="AC981" s="3"/>
      <c r="AD981" s="3"/>
      <c r="AE981" s="3"/>
      <c r="AF981" s="3"/>
      <c r="AG981" s="3"/>
      <c r="AH981" s="3"/>
      <c r="AI981" s="3"/>
      <c r="AJ981" s="3"/>
      <c r="AK981" s="3"/>
    </row>
    <row r="982" spans="1:37" ht="22.5" customHeight="1" x14ac:dyDescent="0.8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c r="AA982" s="3"/>
      <c r="AB982" s="3"/>
      <c r="AC982" s="3"/>
      <c r="AD982" s="3"/>
      <c r="AE982" s="3"/>
      <c r="AF982" s="3"/>
      <c r="AG982" s="3"/>
      <c r="AH982" s="3"/>
      <c r="AI982" s="3"/>
      <c r="AJ982" s="3"/>
      <c r="AK982" s="3"/>
    </row>
    <row r="983" spans="1:37" ht="22.5" customHeight="1" x14ac:dyDescent="0.8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c r="AA983" s="3"/>
      <c r="AB983" s="3"/>
      <c r="AC983" s="3"/>
      <c r="AD983" s="3"/>
      <c r="AE983" s="3"/>
      <c r="AF983" s="3"/>
      <c r="AG983" s="3"/>
      <c r="AH983" s="3"/>
      <c r="AI983" s="3"/>
      <c r="AJ983" s="3"/>
      <c r="AK983" s="3"/>
    </row>
    <row r="984" spans="1:37" ht="22.5" customHeight="1" x14ac:dyDescent="0.8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c r="AA984" s="3"/>
      <c r="AB984" s="3"/>
      <c r="AC984" s="3"/>
      <c r="AD984" s="3"/>
      <c r="AE984" s="3"/>
      <c r="AF984" s="3"/>
      <c r="AG984" s="3"/>
      <c r="AH984" s="3"/>
      <c r="AI984" s="3"/>
      <c r="AJ984" s="3"/>
      <c r="AK984" s="3"/>
    </row>
    <row r="985" spans="1:37" ht="22.5" customHeight="1" x14ac:dyDescent="0.8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c r="AA985" s="3"/>
      <c r="AB985" s="3"/>
      <c r="AC985" s="3"/>
      <c r="AD985" s="3"/>
      <c r="AE985" s="3"/>
      <c r="AF985" s="3"/>
      <c r="AG985" s="3"/>
      <c r="AH985" s="3"/>
      <c r="AI985" s="3"/>
      <c r="AJ985" s="3"/>
      <c r="AK985" s="3"/>
    </row>
    <row r="986" spans="1:37" ht="22.5" customHeight="1" x14ac:dyDescent="0.8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c r="AA986" s="3"/>
      <c r="AB986" s="3"/>
      <c r="AC986" s="3"/>
      <c r="AD986" s="3"/>
      <c r="AE986" s="3"/>
      <c r="AF986" s="3"/>
      <c r="AG986" s="3"/>
      <c r="AH986" s="3"/>
      <c r="AI986" s="3"/>
      <c r="AJ986" s="3"/>
      <c r="AK986" s="3"/>
    </row>
    <row r="987" spans="1:37" ht="22.5" customHeight="1" x14ac:dyDescent="0.8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c r="AA987" s="3"/>
      <c r="AB987" s="3"/>
      <c r="AC987" s="3"/>
      <c r="AD987" s="3"/>
      <c r="AE987" s="3"/>
      <c r="AF987" s="3"/>
      <c r="AG987" s="3"/>
      <c r="AH987" s="3"/>
      <c r="AI987" s="3"/>
      <c r="AJ987" s="3"/>
      <c r="AK987" s="3"/>
    </row>
    <row r="988" spans="1:37" ht="22.5" customHeight="1" x14ac:dyDescent="0.8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c r="AA988" s="3"/>
      <c r="AB988" s="3"/>
      <c r="AC988" s="3"/>
      <c r="AD988" s="3"/>
      <c r="AE988" s="3"/>
      <c r="AF988" s="3"/>
      <c r="AG988" s="3"/>
      <c r="AH988" s="3"/>
      <c r="AI988" s="3"/>
      <c r="AJ988" s="3"/>
      <c r="AK988" s="3"/>
    </row>
    <row r="989" spans="1:37" ht="22.5" customHeight="1" x14ac:dyDescent="0.8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c r="AA989" s="3"/>
      <c r="AB989" s="3"/>
      <c r="AC989" s="3"/>
      <c r="AD989" s="3"/>
      <c r="AE989" s="3"/>
      <c r="AF989" s="3"/>
      <c r="AG989" s="3"/>
      <c r="AH989" s="3"/>
      <c r="AI989" s="3"/>
      <c r="AJ989" s="3"/>
      <c r="AK989" s="3"/>
    </row>
    <row r="990" spans="1:37" ht="22.5" customHeight="1" x14ac:dyDescent="0.8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c r="AA990" s="3"/>
      <c r="AB990" s="3"/>
      <c r="AC990" s="3"/>
      <c r="AD990" s="3"/>
      <c r="AE990" s="3"/>
      <c r="AF990" s="3"/>
      <c r="AG990" s="3"/>
      <c r="AH990" s="3"/>
      <c r="AI990" s="3"/>
      <c r="AJ990" s="3"/>
      <c r="AK990" s="3"/>
    </row>
    <row r="991" spans="1:37" ht="22.5" customHeight="1" x14ac:dyDescent="0.8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c r="AA991" s="3"/>
      <c r="AB991" s="3"/>
      <c r="AC991" s="3"/>
      <c r="AD991" s="3"/>
      <c r="AE991" s="3"/>
      <c r="AF991" s="3"/>
      <c r="AG991" s="3"/>
      <c r="AH991" s="3"/>
      <c r="AI991" s="3"/>
      <c r="AJ991" s="3"/>
      <c r="AK991" s="3"/>
    </row>
    <row r="992" spans="1:37" ht="22.5" customHeight="1" x14ac:dyDescent="0.8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c r="AA992" s="3"/>
      <c r="AB992" s="3"/>
      <c r="AC992" s="3"/>
      <c r="AD992" s="3"/>
      <c r="AE992" s="3"/>
      <c r="AF992" s="3"/>
      <c r="AG992" s="3"/>
      <c r="AH992" s="3"/>
      <c r="AI992" s="3"/>
      <c r="AJ992" s="3"/>
      <c r="AK992" s="3"/>
    </row>
    <row r="993" spans="1:37" ht="22.5" customHeight="1" x14ac:dyDescent="0.8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c r="AA993" s="3"/>
      <c r="AB993" s="3"/>
      <c r="AC993" s="3"/>
      <c r="AD993" s="3"/>
      <c r="AE993" s="3"/>
      <c r="AF993" s="3"/>
      <c r="AG993" s="3"/>
      <c r="AH993" s="3"/>
      <c r="AI993" s="3"/>
      <c r="AJ993" s="3"/>
      <c r="AK993" s="3"/>
    </row>
    <row r="994" spans="1:37" ht="22.5" customHeight="1" x14ac:dyDescent="0.8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c r="AA994" s="3"/>
      <c r="AB994" s="3"/>
      <c r="AC994" s="3"/>
      <c r="AD994" s="3"/>
      <c r="AE994" s="3"/>
      <c r="AF994" s="3"/>
      <c r="AG994" s="3"/>
      <c r="AH994" s="3"/>
      <c r="AI994" s="3"/>
      <c r="AJ994" s="3"/>
      <c r="AK994" s="3"/>
    </row>
    <row r="995" spans="1:37" ht="22.5" customHeight="1" x14ac:dyDescent="0.8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c r="AA995" s="3"/>
      <c r="AB995" s="3"/>
      <c r="AC995" s="3"/>
      <c r="AD995" s="3"/>
      <c r="AE995" s="3"/>
      <c r="AF995" s="3"/>
      <c r="AG995" s="3"/>
      <c r="AH995" s="3"/>
      <c r="AI995" s="3"/>
      <c r="AJ995" s="3"/>
      <c r="AK995" s="3"/>
    </row>
    <row r="996" spans="1:37" ht="22.5" customHeight="1" x14ac:dyDescent="0.8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c r="AA996" s="3"/>
      <c r="AB996" s="3"/>
      <c r="AC996" s="3"/>
      <c r="AD996" s="3"/>
      <c r="AE996" s="3"/>
      <c r="AF996" s="3"/>
      <c r="AG996" s="3"/>
      <c r="AH996" s="3"/>
      <c r="AI996" s="3"/>
      <c r="AJ996" s="3"/>
      <c r="AK996" s="3"/>
    </row>
    <row r="997" spans="1:37" ht="22.5" customHeight="1" x14ac:dyDescent="0.8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c r="AA997" s="3"/>
      <c r="AB997" s="3"/>
      <c r="AC997" s="3"/>
      <c r="AD997" s="3"/>
      <c r="AE997" s="3"/>
      <c r="AF997" s="3"/>
      <c r="AG997" s="3"/>
      <c r="AH997" s="3"/>
      <c r="AI997" s="3"/>
      <c r="AJ997" s="3"/>
      <c r="AK997" s="3"/>
    </row>
    <row r="998" spans="1:37" ht="22.5" customHeight="1" x14ac:dyDescent="0.8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c r="AA998" s="3"/>
      <c r="AB998" s="3"/>
      <c r="AC998" s="3"/>
      <c r="AD998" s="3"/>
      <c r="AE998" s="3"/>
      <c r="AF998" s="3"/>
      <c r="AG998" s="3"/>
      <c r="AH998" s="3"/>
      <c r="AI998" s="3"/>
      <c r="AJ998" s="3"/>
      <c r="AK998" s="3"/>
    </row>
    <row r="999" spans="1:37" ht="22.5" customHeight="1" x14ac:dyDescent="0.8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c r="AA999" s="3"/>
      <c r="AB999" s="3"/>
      <c r="AC999" s="3"/>
      <c r="AD999" s="3"/>
      <c r="AE999" s="3"/>
      <c r="AF999" s="3"/>
      <c r="AG999" s="3"/>
      <c r="AH999" s="3"/>
      <c r="AI999" s="3"/>
      <c r="AJ999" s="3"/>
      <c r="AK999" s="3"/>
    </row>
    <row r="1000" spans="1:37" ht="22.5" customHeight="1" x14ac:dyDescent="0.8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c r="AA1000" s="3"/>
      <c r="AB1000" s="3"/>
      <c r="AC1000" s="3"/>
      <c r="AD1000" s="3"/>
      <c r="AE1000" s="3"/>
      <c r="AF1000" s="3"/>
      <c r="AG1000" s="3"/>
      <c r="AH1000" s="3"/>
      <c r="AI1000" s="3"/>
      <c r="AJ1000" s="3"/>
      <c r="AK1000" s="3"/>
    </row>
  </sheetData>
  <mergeCells count="8">
    <mergeCell ref="A14:H14"/>
    <mergeCell ref="A15:H15"/>
    <mergeCell ref="A17:R17"/>
    <mergeCell ref="A1:R1"/>
    <mergeCell ref="A2:R2"/>
    <mergeCell ref="A11:R11"/>
    <mergeCell ref="A12:H12"/>
    <mergeCell ref="A13:H13"/>
  </mergeCells>
  <pageMargins left="0.7" right="0.7" top="0.75" bottom="0.75" header="0" footer="0"/>
  <pageSetup orientation="portrai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7BC7E9"/>
  </sheetPr>
  <dimension ref="A1:AA1000"/>
  <sheetViews>
    <sheetView workbookViewId="0"/>
  </sheetViews>
  <sheetFormatPr defaultColWidth="11.23046875" defaultRowHeight="15" customHeight="1" outlineLevelRow="1" x14ac:dyDescent="0.85"/>
  <cols>
    <col min="1" max="1" width="24.3046875" customWidth="1"/>
    <col min="2" max="6" width="19.3828125" customWidth="1"/>
    <col min="7" max="7" width="27.921875" customWidth="1"/>
    <col min="8" max="8" width="19.3828125" customWidth="1"/>
    <col min="9" max="9" width="15.23046875" customWidth="1"/>
    <col min="10" max="11" width="17.61328125" customWidth="1"/>
    <col min="12" max="12" width="69" customWidth="1"/>
    <col min="13" max="27" width="8.61328125" customWidth="1"/>
  </cols>
  <sheetData>
    <row r="1" spans="1:27" ht="37.5" customHeight="1" x14ac:dyDescent="0.85">
      <c r="A1" s="786" t="s">
        <v>81</v>
      </c>
      <c r="B1" s="765"/>
      <c r="C1" s="765"/>
      <c r="D1" s="765"/>
      <c r="E1" s="765"/>
      <c r="F1" s="765"/>
      <c r="G1" s="765"/>
      <c r="H1" s="762"/>
      <c r="I1" s="628"/>
      <c r="J1" s="628"/>
      <c r="K1" s="628"/>
      <c r="L1" s="628"/>
      <c r="M1" s="628"/>
      <c r="N1" s="628"/>
      <c r="O1" s="629"/>
      <c r="P1" s="629"/>
      <c r="Q1" s="629"/>
      <c r="R1" s="629"/>
      <c r="S1" s="629"/>
      <c r="T1" s="629"/>
      <c r="U1" s="629"/>
      <c r="V1" s="629"/>
      <c r="W1" s="629"/>
      <c r="X1" s="629"/>
      <c r="Y1" s="629"/>
      <c r="Z1" s="629"/>
      <c r="AA1" s="629"/>
    </row>
    <row r="2" spans="1:27" ht="22.5" customHeight="1" x14ac:dyDescent="0.9">
      <c r="A2" s="858" t="s">
        <v>581</v>
      </c>
      <c r="B2" s="765"/>
      <c r="C2" s="765"/>
      <c r="D2" s="765"/>
      <c r="E2" s="765"/>
      <c r="F2" s="765"/>
      <c r="G2" s="765"/>
      <c r="H2" s="762"/>
      <c r="I2" s="628"/>
      <c r="J2" s="628"/>
      <c r="K2" s="628"/>
      <c r="L2" s="628"/>
      <c r="M2" s="628"/>
      <c r="N2" s="628"/>
      <c r="O2" s="321"/>
      <c r="P2" s="321"/>
      <c r="Q2" s="321"/>
      <c r="R2" s="321"/>
      <c r="S2" s="321"/>
      <c r="T2" s="321"/>
      <c r="U2" s="321"/>
      <c r="V2" s="321"/>
      <c r="W2" s="321"/>
      <c r="X2" s="321"/>
      <c r="Y2" s="321"/>
      <c r="Z2" s="321"/>
      <c r="AA2" s="321"/>
    </row>
    <row r="3" spans="1:27" ht="22.5" hidden="1" customHeight="1" outlineLevel="1" x14ac:dyDescent="0.85">
      <c r="A3" s="72" t="s">
        <v>582</v>
      </c>
      <c r="B3" s="72" t="s">
        <v>412</v>
      </c>
      <c r="C3" s="72" t="s">
        <v>1456</v>
      </c>
      <c r="D3" s="72" t="s">
        <v>1223</v>
      </c>
      <c r="E3" s="72" t="s">
        <v>121</v>
      </c>
      <c r="F3" s="72" t="s">
        <v>122</v>
      </c>
      <c r="G3" s="628"/>
      <c r="H3" s="142"/>
      <c r="I3" s="628"/>
      <c r="J3" s="628"/>
      <c r="K3" s="628"/>
      <c r="L3" s="628"/>
      <c r="M3" s="628"/>
      <c r="N3" s="628"/>
      <c r="O3" s="628"/>
      <c r="P3" s="628"/>
      <c r="Q3" s="628"/>
      <c r="R3" s="628"/>
      <c r="S3" s="628"/>
      <c r="T3" s="628"/>
      <c r="U3" s="628"/>
      <c r="V3" s="628"/>
      <c r="W3" s="628"/>
      <c r="X3" s="628"/>
      <c r="Y3" s="628"/>
      <c r="Z3" s="628"/>
      <c r="AA3" s="628"/>
    </row>
    <row r="4" spans="1:27" ht="22.5" hidden="1" customHeight="1" outlineLevel="1" x14ac:dyDescent="0.85">
      <c r="A4" s="557" t="s">
        <v>105</v>
      </c>
      <c r="B4" s="103">
        <f t="shared" ref="B4:B8" si="0">G27+G37</f>
        <v>110903.37603337824</v>
      </c>
      <c r="C4" s="258" t="s">
        <v>106</v>
      </c>
      <c r="D4" s="39">
        <f t="shared" ref="D4:D9" si="1">B4</f>
        <v>110903.37603337824</v>
      </c>
      <c r="E4" s="38" t="s">
        <v>106</v>
      </c>
      <c r="F4" s="38" t="s">
        <v>106</v>
      </c>
      <c r="G4" s="628"/>
      <c r="H4" s="142"/>
      <c r="I4" s="628"/>
      <c r="J4" s="628"/>
      <c r="K4" s="628"/>
      <c r="L4" s="628"/>
      <c r="M4" s="628"/>
      <c r="N4" s="628"/>
      <c r="O4" s="628"/>
      <c r="P4" s="628"/>
      <c r="Q4" s="628"/>
      <c r="R4" s="628"/>
      <c r="S4" s="628"/>
      <c r="T4" s="628"/>
      <c r="U4" s="628"/>
      <c r="V4" s="628"/>
      <c r="W4" s="628"/>
      <c r="X4" s="628"/>
      <c r="Y4" s="628"/>
      <c r="Z4" s="628"/>
      <c r="AA4" s="628"/>
    </row>
    <row r="5" spans="1:27" ht="23.25" hidden="1" customHeight="1" outlineLevel="1" x14ac:dyDescent="0.85">
      <c r="A5" s="557" t="s">
        <v>126</v>
      </c>
      <c r="B5" s="103">
        <f t="shared" si="0"/>
        <v>206786.03498723448</v>
      </c>
      <c r="C5" s="258">
        <f t="shared" ref="C5:C8" si="2">B5/$B$10</f>
        <v>0.73347883555615567</v>
      </c>
      <c r="D5" s="39">
        <f t="shared" si="1"/>
        <v>206786.03498723448</v>
      </c>
      <c r="E5" s="38" t="s">
        <v>106</v>
      </c>
      <c r="F5" s="38" t="s">
        <v>106</v>
      </c>
      <c r="G5" s="603"/>
      <c r="H5" s="142"/>
      <c r="I5" s="603"/>
      <c r="J5" s="603"/>
      <c r="K5" s="603"/>
      <c r="L5" s="603"/>
      <c r="M5" s="603"/>
      <c r="N5" s="603"/>
      <c r="O5" s="603"/>
      <c r="P5" s="603"/>
      <c r="Q5" s="603"/>
      <c r="R5" s="603"/>
      <c r="S5" s="603"/>
      <c r="T5" s="603"/>
      <c r="U5" s="603"/>
      <c r="V5" s="603"/>
      <c r="W5" s="603"/>
      <c r="X5" s="603"/>
      <c r="Y5" s="603"/>
      <c r="Z5" s="603"/>
      <c r="AA5" s="603"/>
    </row>
    <row r="6" spans="1:27" ht="23.25" hidden="1" customHeight="1" outlineLevel="1" x14ac:dyDescent="0.85">
      <c r="A6" s="557" t="s">
        <v>127</v>
      </c>
      <c r="B6" s="103">
        <f t="shared" si="0"/>
        <v>47409.608328488859</v>
      </c>
      <c r="C6" s="258">
        <f t="shared" si="2"/>
        <v>0.16816389130484621</v>
      </c>
      <c r="D6" s="39">
        <f t="shared" si="1"/>
        <v>47409.608328488859</v>
      </c>
      <c r="E6" s="38" t="s">
        <v>106</v>
      </c>
      <c r="F6" s="38" t="s">
        <v>106</v>
      </c>
      <c r="G6" s="603"/>
      <c r="H6" s="142"/>
      <c r="I6" s="603"/>
      <c r="J6" s="603"/>
      <c r="K6" s="603"/>
      <c r="L6" s="603"/>
      <c r="M6" s="603"/>
      <c r="N6" s="603"/>
      <c r="O6" s="603"/>
      <c r="P6" s="603"/>
      <c r="Q6" s="603"/>
      <c r="R6" s="603"/>
      <c r="S6" s="603"/>
      <c r="T6" s="603"/>
      <c r="U6" s="603"/>
      <c r="V6" s="603"/>
      <c r="W6" s="603"/>
      <c r="X6" s="603"/>
      <c r="Y6" s="603"/>
      <c r="Z6" s="603"/>
      <c r="AA6" s="603"/>
    </row>
    <row r="7" spans="1:27" ht="23.25" hidden="1" customHeight="1" outlineLevel="1" x14ac:dyDescent="0.85">
      <c r="A7" s="557" t="s">
        <v>128</v>
      </c>
      <c r="B7" s="103">
        <f t="shared" si="0"/>
        <v>4485.459148537544</v>
      </c>
      <c r="C7" s="258">
        <f t="shared" si="2"/>
        <v>1.5910113820825106E-2</v>
      </c>
      <c r="D7" s="39">
        <f t="shared" si="1"/>
        <v>4485.459148537544</v>
      </c>
      <c r="E7" s="38" t="s">
        <v>106</v>
      </c>
      <c r="F7" s="38" t="s">
        <v>106</v>
      </c>
      <c r="G7" s="603"/>
      <c r="H7" s="142"/>
      <c r="I7" s="603"/>
      <c r="J7" s="603"/>
      <c r="K7" s="603"/>
      <c r="L7" s="603"/>
      <c r="M7" s="603"/>
      <c r="N7" s="603"/>
      <c r="O7" s="603"/>
      <c r="P7" s="603"/>
      <c r="Q7" s="603"/>
      <c r="R7" s="603"/>
      <c r="S7" s="603"/>
      <c r="T7" s="603"/>
      <c r="U7" s="603"/>
      <c r="V7" s="603"/>
      <c r="W7" s="603"/>
      <c r="X7" s="603"/>
      <c r="Y7" s="603"/>
      <c r="Z7" s="603"/>
      <c r="AA7" s="603"/>
    </row>
    <row r="8" spans="1:27" ht="23.25" hidden="1" customHeight="1" outlineLevel="1" x14ac:dyDescent="0.85">
      <c r="A8" s="37" t="s">
        <v>129</v>
      </c>
      <c r="B8" s="103">
        <f t="shared" si="0"/>
        <v>23243.916995149011</v>
      </c>
      <c r="C8" s="258">
        <f t="shared" si="2"/>
        <v>8.2447159318173077E-2</v>
      </c>
      <c r="D8" s="39">
        <f t="shared" si="1"/>
        <v>23243.916995149011</v>
      </c>
      <c r="E8" s="38" t="s">
        <v>106</v>
      </c>
      <c r="F8" s="38" t="s">
        <v>106</v>
      </c>
      <c r="G8" s="603"/>
      <c r="H8" s="603"/>
      <c r="I8" s="603"/>
      <c r="J8" s="603"/>
      <c r="K8" s="603"/>
      <c r="L8" s="603"/>
      <c r="M8" s="603"/>
      <c r="N8" s="603"/>
      <c r="O8" s="603"/>
      <c r="P8" s="603"/>
      <c r="Q8" s="603"/>
      <c r="R8" s="603"/>
      <c r="S8" s="603"/>
      <c r="T8" s="603"/>
      <c r="U8" s="603"/>
      <c r="V8" s="603"/>
      <c r="W8" s="603"/>
      <c r="X8" s="603"/>
      <c r="Y8" s="603"/>
      <c r="Z8" s="603"/>
      <c r="AA8" s="603"/>
    </row>
    <row r="9" spans="1:27" ht="23.25" hidden="1" customHeight="1" outlineLevel="1" x14ac:dyDescent="0.85">
      <c r="A9" s="549" t="s">
        <v>590</v>
      </c>
      <c r="B9" s="336">
        <f>B4</f>
        <v>110903.37603337824</v>
      </c>
      <c r="C9" s="336" t="s">
        <v>106</v>
      </c>
      <c r="D9" s="336">
        <f t="shared" si="1"/>
        <v>110903.37603337824</v>
      </c>
      <c r="E9" s="630" t="s">
        <v>106</v>
      </c>
      <c r="F9" s="630" t="s">
        <v>106</v>
      </c>
      <c r="G9" s="603"/>
      <c r="H9" s="603"/>
      <c r="I9" s="603"/>
      <c r="J9" s="603"/>
      <c r="K9" s="603"/>
      <c r="L9" s="603"/>
      <c r="M9" s="603"/>
      <c r="N9" s="603"/>
      <c r="O9" s="603"/>
      <c r="P9" s="603"/>
      <c r="Q9" s="603"/>
      <c r="R9" s="603"/>
      <c r="S9" s="603"/>
      <c r="T9" s="603"/>
      <c r="U9" s="603"/>
      <c r="V9" s="603"/>
      <c r="W9" s="603"/>
      <c r="X9" s="603"/>
      <c r="Y9" s="603"/>
      <c r="Z9" s="603"/>
      <c r="AA9" s="603"/>
    </row>
    <row r="10" spans="1:27" ht="23.25" hidden="1" customHeight="1" outlineLevel="1" x14ac:dyDescent="0.85">
      <c r="A10" s="549" t="s">
        <v>111</v>
      </c>
      <c r="B10" s="336">
        <f>SUM(B5:B8)</f>
        <v>281925.01945940987</v>
      </c>
      <c r="C10" s="367">
        <f>SUM(C5:C9)</f>
        <v>1</v>
      </c>
      <c r="D10" s="336">
        <f>SUM(D5:D8)</f>
        <v>281925.01945940987</v>
      </c>
      <c r="E10" s="630" t="s">
        <v>106</v>
      </c>
      <c r="F10" s="630" t="s">
        <v>106</v>
      </c>
      <c r="G10" s="274"/>
      <c r="H10" s="2"/>
      <c r="I10" s="573"/>
      <c r="J10" s="548"/>
      <c r="K10" s="548"/>
      <c r="L10" s="548"/>
      <c r="M10" s="548"/>
      <c r="N10" s="548"/>
      <c r="O10" s="548"/>
      <c r="P10" s="548"/>
      <c r="Q10" s="548"/>
      <c r="R10" s="548"/>
      <c r="S10" s="548"/>
      <c r="T10" s="548"/>
      <c r="U10" s="548"/>
      <c r="V10" s="548"/>
      <c r="W10" s="548"/>
      <c r="X10" s="548"/>
      <c r="Y10" s="548"/>
      <c r="Z10" s="548"/>
      <c r="AA10" s="548"/>
    </row>
    <row r="11" spans="1:27" ht="22.5" customHeight="1" collapsed="1" x14ac:dyDescent="0.9">
      <c r="A11" s="858" t="s">
        <v>591</v>
      </c>
      <c r="B11" s="765"/>
      <c r="C11" s="765"/>
      <c r="D11" s="765"/>
      <c r="E11" s="765"/>
      <c r="F11" s="765"/>
      <c r="G11" s="765"/>
      <c r="H11" s="762"/>
      <c r="I11" s="142"/>
      <c r="J11" s="142"/>
      <c r="K11" s="142"/>
      <c r="L11" s="142"/>
      <c r="M11" s="142"/>
      <c r="N11" s="142"/>
      <c r="O11" s="321"/>
      <c r="P11" s="321"/>
      <c r="Q11" s="321"/>
      <c r="R11" s="321"/>
      <c r="S11" s="321"/>
      <c r="T11" s="321"/>
      <c r="U11" s="321"/>
      <c r="V11" s="321"/>
      <c r="W11" s="321"/>
      <c r="X11" s="321"/>
      <c r="Y11" s="321"/>
      <c r="Z11" s="321"/>
      <c r="AA11" s="321"/>
    </row>
    <row r="12" spans="1:27" ht="22.5" hidden="1" customHeight="1" outlineLevel="1" x14ac:dyDescent="0.85">
      <c r="A12" s="869" t="s">
        <v>1457</v>
      </c>
      <c r="B12" s="790"/>
      <c r="C12" s="790"/>
      <c r="D12" s="790"/>
      <c r="E12" s="790"/>
      <c r="F12" s="790"/>
      <c r="G12" s="791"/>
      <c r="H12" s="76"/>
      <c r="I12" s="276"/>
      <c r="J12" s="276"/>
      <c r="K12" s="276"/>
      <c r="L12" s="276"/>
      <c r="M12" s="276"/>
      <c r="N12" s="276"/>
      <c r="O12" s="15"/>
      <c r="P12" s="15"/>
      <c r="Q12" s="15"/>
      <c r="R12" s="15"/>
      <c r="S12" s="15"/>
      <c r="T12" s="15"/>
      <c r="U12" s="15"/>
      <c r="V12" s="15"/>
      <c r="W12" s="15"/>
      <c r="X12" s="15"/>
      <c r="Y12" s="15"/>
      <c r="Z12" s="15"/>
      <c r="AA12" s="15"/>
    </row>
    <row r="13" spans="1:27" ht="42" hidden="1" customHeight="1" outlineLevel="1" x14ac:dyDescent="0.85">
      <c r="A13" s="869" t="s">
        <v>1458</v>
      </c>
      <c r="B13" s="790"/>
      <c r="C13" s="790"/>
      <c r="D13" s="790"/>
      <c r="E13" s="790"/>
      <c r="F13" s="790"/>
      <c r="G13" s="791"/>
      <c r="H13" s="142"/>
      <c r="I13" s="276"/>
      <c r="J13" s="276"/>
      <c r="K13" s="276"/>
      <c r="L13" s="276"/>
      <c r="M13" s="276"/>
      <c r="N13" s="276"/>
      <c r="O13" s="15"/>
      <c r="P13" s="15"/>
      <c r="Q13" s="15"/>
      <c r="R13" s="15"/>
      <c r="S13" s="15"/>
      <c r="T13" s="15"/>
      <c r="U13" s="15"/>
      <c r="V13" s="15"/>
      <c r="W13" s="15"/>
      <c r="X13" s="15"/>
      <c r="Y13" s="15"/>
      <c r="Z13" s="15"/>
      <c r="AA13" s="15"/>
    </row>
    <row r="14" spans="1:27" ht="57.75" hidden="1" customHeight="1" outlineLevel="1" x14ac:dyDescent="0.85">
      <c r="A14" s="869" t="s">
        <v>1459</v>
      </c>
      <c r="B14" s="790"/>
      <c r="C14" s="790"/>
      <c r="D14" s="790"/>
      <c r="E14" s="790"/>
      <c r="F14" s="790"/>
      <c r="G14" s="791"/>
      <c r="H14" s="142"/>
      <c r="I14" s="276"/>
      <c r="J14" s="276"/>
      <c r="K14" s="276"/>
      <c r="L14" s="276"/>
      <c r="M14" s="276"/>
      <c r="N14" s="276"/>
      <c r="O14" s="15"/>
      <c r="P14" s="15"/>
      <c r="Q14" s="15"/>
      <c r="R14" s="15"/>
      <c r="S14" s="15"/>
      <c r="T14" s="15"/>
      <c r="U14" s="15"/>
      <c r="V14" s="15"/>
      <c r="W14" s="15"/>
      <c r="X14" s="15"/>
      <c r="Y14" s="15"/>
      <c r="Z14" s="15"/>
      <c r="AA14" s="15"/>
    </row>
    <row r="15" spans="1:27" ht="44.25" hidden="1" customHeight="1" outlineLevel="1" x14ac:dyDescent="0.85">
      <c r="A15" s="869" t="s">
        <v>1460</v>
      </c>
      <c r="B15" s="790"/>
      <c r="C15" s="790"/>
      <c r="D15" s="790"/>
      <c r="E15" s="790"/>
      <c r="F15" s="790"/>
      <c r="G15" s="791"/>
      <c r="H15" s="142"/>
      <c r="I15" s="276"/>
      <c r="J15" s="276"/>
      <c r="K15" s="276"/>
      <c r="L15" s="276"/>
      <c r="M15" s="276"/>
      <c r="N15" s="276"/>
      <c r="O15" s="15"/>
      <c r="P15" s="15"/>
      <c r="Q15" s="15"/>
      <c r="R15" s="15"/>
      <c r="S15" s="15"/>
      <c r="T15" s="15"/>
      <c r="U15" s="15"/>
      <c r="V15" s="15"/>
      <c r="W15" s="15"/>
      <c r="X15" s="15"/>
      <c r="Y15" s="15"/>
      <c r="Z15" s="15"/>
      <c r="AA15" s="15"/>
    </row>
    <row r="16" spans="1:27" ht="42" hidden="1" customHeight="1" outlineLevel="1" x14ac:dyDescent="0.85">
      <c r="A16" s="942" t="s">
        <v>1461</v>
      </c>
      <c r="B16" s="813"/>
      <c r="C16" s="813"/>
      <c r="D16" s="813"/>
      <c r="E16" s="813"/>
      <c r="F16" s="813"/>
      <c r="G16" s="813"/>
      <c r="H16" s="943"/>
      <c r="I16" s="276"/>
      <c r="J16" s="276"/>
      <c r="K16" s="276"/>
      <c r="L16" s="276"/>
      <c r="M16" s="276"/>
      <c r="N16" s="276"/>
      <c r="O16" s="15"/>
      <c r="P16" s="15"/>
      <c r="Q16" s="15"/>
      <c r="R16" s="15"/>
      <c r="S16" s="15"/>
      <c r="T16" s="15"/>
      <c r="U16" s="15"/>
      <c r="V16" s="15"/>
      <c r="W16" s="15"/>
      <c r="X16" s="15"/>
      <c r="Y16" s="15"/>
      <c r="Z16" s="15"/>
      <c r="AA16" s="15"/>
    </row>
    <row r="17" spans="1:27" ht="22.5" customHeight="1" collapsed="1" x14ac:dyDescent="0.9">
      <c r="A17" s="944" t="s">
        <v>1462</v>
      </c>
      <c r="B17" s="765"/>
      <c r="C17" s="765"/>
      <c r="D17" s="765"/>
      <c r="E17" s="765"/>
      <c r="F17" s="765"/>
      <c r="G17" s="765"/>
      <c r="H17" s="762"/>
      <c r="I17" s="276"/>
      <c r="J17" s="276"/>
      <c r="K17" s="276"/>
      <c r="L17" s="276"/>
      <c r="M17" s="276"/>
      <c r="N17" s="276"/>
      <c r="O17" s="15"/>
      <c r="P17" s="15"/>
      <c r="Q17" s="15"/>
      <c r="R17" s="15"/>
      <c r="S17" s="15"/>
      <c r="T17" s="15"/>
      <c r="U17" s="15"/>
      <c r="V17" s="15"/>
      <c r="W17" s="15"/>
      <c r="X17" s="15"/>
      <c r="Y17" s="15"/>
      <c r="Z17" s="15"/>
      <c r="AA17" s="15"/>
    </row>
    <row r="18" spans="1:27" ht="22.5" hidden="1" customHeight="1" outlineLevel="1" x14ac:dyDescent="0.85">
      <c r="A18" s="839" t="s">
        <v>1463</v>
      </c>
      <c r="B18" s="813"/>
      <c r="C18" s="814"/>
      <c r="D18" s="15"/>
      <c r="E18" s="839" t="s">
        <v>1464</v>
      </c>
      <c r="F18" s="813"/>
      <c r="G18" s="814"/>
      <c r="H18" s="142"/>
      <c r="I18" s="276"/>
      <c r="J18" s="276"/>
      <c r="K18" s="276"/>
      <c r="L18" s="276"/>
      <c r="M18" s="276"/>
      <c r="N18" s="276"/>
      <c r="O18" s="15"/>
      <c r="P18" s="15"/>
      <c r="Q18" s="15"/>
      <c r="R18" s="15"/>
      <c r="S18" s="15"/>
      <c r="T18" s="15"/>
      <c r="U18" s="15"/>
      <c r="V18" s="15"/>
      <c r="W18" s="15"/>
      <c r="X18" s="15"/>
      <c r="Y18" s="15"/>
      <c r="Z18" s="15"/>
      <c r="AA18" s="15"/>
    </row>
    <row r="19" spans="1:27" ht="22.5" hidden="1" customHeight="1" outlineLevel="1" x14ac:dyDescent="0.85">
      <c r="A19" s="631">
        <v>0.8</v>
      </c>
      <c r="B19" s="945" t="s">
        <v>1465</v>
      </c>
      <c r="C19" s="762"/>
      <c r="D19" s="15"/>
      <c r="E19" s="631">
        <v>0.84966397255040649</v>
      </c>
      <c r="F19" s="945" t="s">
        <v>1466</v>
      </c>
      <c r="G19" s="762"/>
      <c r="H19" s="142"/>
      <c r="I19" s="276"/>
      <c r="J19" s="276"/>
      <c r="K19" s="276"/>
      <c r="L19" s="276"/>
      <c r="M19" s="276"/>
      <c r="N19" s="276"/>
      <c r="O19" s="15"/>
      <c r="P19" s="15"/>
      <c r="Q19" s="15"/>
      <c r="R19" s="15"/>
      <c r="S19" s="15"/>
      <c r="T19" s="15"/>
      <c r="U19" s="15"/>
      <c r="V19" s="15"/>
      <c r="W19" s="15"/>
      <c r="X19" s="15"/>
      <c r="Y19" s="15"/>
      <c r="Z19" s="15"/>
      <c r="AA19" s="15"/>
    </row>
    <row r="20" spans="1:27" ht="22.5" hidden="1" customHeight="1" outlineLevel="1" x14ac:dyDescent="0.85">
      <c r="A20" s="632">
        <v>300</v>
      </c>
      <c r="B20" s="946" t="s">
        <v>1467</v>
      </c>
      <c r="C20" s="762"/>
      <c r="D20" s="633"/>
      <c r="E20" s="632">
        <v>525</v>
      </c>
      <c r="F20" s="634" t="s">
        <v>1467</v>
      </c>
      <c r="G20" s="634"/>
      <c r="H20" s="142"/>
      <c r="I20" s="276"/>
      <c r="J20" s="276"/>
      <c r="K20" s="276"/>
      <c r="L20" s="276"/>
      <c r="M20" s="276"/>
      <c r="N20" s="276"/>
      <c r="O20" s="15"/>
      <c r="P20" s="15"/>
      <c r="Q20" s="15"/>
      <c r="R20" s="15"/>
      <c r="S20" s="15"/>
      <c r="T20" s="15"/>
      <c r="U20" s="15"/>
      <c r="V20" s="15"/>
      <c r="W20" s="15"/>
      <c r="X20" s="15"/>
      <c r="Y20" s="15"/>
      <c r="Z20" s="15"/>
      <c r="AA20" s="15"/>
    </row>
    <row r="21" spans="1:27" ht="22.5" hidden="1" customHeight="1" outlineLevel="1" x14ac:dyDescent="0.85">
      <c r="A21" s="556">
        <v>1</v>
      </c>
      <c r="B21" s="946" t="s">
        <v>1468</v>
      </c>
      <c r="C21" s="762"/>
      <c r="D21" s="15"/>
      <c r="E21" s="286">
        <v>1.3607800000000001</v>
      </c>
      <c r="F21" s="635" t="s">
        <v>1468</v>
      </c>
      <c r="G21" s="636"/>
      <c r="H21" s="142"/>
      <c r="I21" s="276"/>
      <c r="J21" s="276"/>
      <c r="K21" s="276"/>
      <c r="L21" s="276"/>
      <c r="M21" s="276"/>
      <c r="N21" s="276"/>
      <c r="O21" s="15"/>
      <c r="P21" s="15"/>
      <c r="Q21" s="15"/>
      <c r="R21" s="15"/>
      <c r="S21" s="15"/>
      <c r="T21" s="15"/>
      <c r="U21" s="15"/>
      <c r="V21" s="15"/>
      <c r="W21" s="15"/>
      <c r="X21" s="15"/>
      <c r="Y21" s="15"/>
      <c r="Z21" s="15"/>
      <c r="AA21" s="15"/>
    </row>
    <row r="22" spans="1:27" ht="22.5" hidden="1" customHeight="1" outlineLevel="1" x14ac:dyDescent="0.85">
      <c r="A22" s="558">
        <v>0.05</v>
      </c>
      <c r="B22" s="946" t="s">
        <v>1469</v>
      </c>
      <c r="C22" s="762"/>
      <c r="D22" s="1"/>
      <c r="E22" s="558">
        <v>3.6757848177937633E-2</v>
      </c>
      <c r="F22" s="635" t="s">
        <v>1469</v>
      </c>
      <c r="G22" s="636"/>
      <c r="H22" s="142"/>
      <c r="I22" s="276"/>
      <c r="J22" s="276"/>
      <c r="K22" s="276"/>
      <c r="L22" s="276"/>
      <c r="M22" s="276"/>
      <c r="N22" s="276"/>
      <c r="O22" s="15"/>
      <c r="P22" s="15"/>
      <c r="Q22" s="15"/>
      <c r="R22" s="15"/>
      <c r="S22" s="15"/>
      <c r="T22" s="15"/>
      <c r="U22" s="15"/>
      <c r="V22" s="15"/>
      <c r="W22" s="15"/>
      <c r="X22" s="15"/>
      <c r="Y22" s="15"/>
      <c r="Z22" s="15"/>
      <c r="AA22" s="15"/>
    </row>
    <row r="23" spans="1:27" ht="22.5" hidden="1" customHeight="1" outlineLevel="1" x14ac:dyDescent="0.85">
      <c r="A23" s="1"/>
      <c r="B23" s="637"/>
      <c r="C23" s="637"/>
      <c r="D23" s="1"/>
      <c r="E23" s="15"/>
      <c r="F23" s="15"/>
      <c r="G23" s="15"/>
      <c r="H23" s="142"/>
      <c r="I23" s="276"/>
      <c r="J23" s="276"/>
      <c r="K23" s="276"/>
      <c r="L23" s="276"/>
      <c r="M23" s="276"/>
      <c r="N23" s="276"/>
      <c r="O23" s="15"/>
      <c r="P23" s="15"/>
      <c r="Q23" s="15"/>
      <c r="R23" s="15"/>
      <c r="S23" s="15"/>
      <c r="T23" s="15"/>
      <c r="U23" s="15"/>
      <c r="V23" s="15"/>
      <c r="W23" s="15"/>
      <c r="X23" s="15"/>
      <c r="Y23" s="15"/>
      <c r="Z23" s="15"/>
      <c r="AA23" s="15"/>
    </row>
    <row r="24" spans="1:27" ht="22.5" customHeight="1" collapsed="1" x14ac:dyDescent="0.9">
      <c r="A24" s="858" t="s">
        <v>254</v>
      </c>
      <c r="B24" s="765"/>
      <c r="C24" s="765"/>
      <c r="D24" s="765"/>
      <c r="E24" s="765"/>
      <c r="F24" s="765"/>
      <c r="G24" s="765"/>
      <c r="H24" s="762"/>
      <c r="I24" s="276"/>
      <c r="J24" s="321"/>
      <c r="K24" s="321"/>
      <c r="L24" s="321"/>
      <c r="M24" s="321"/>
      <c r="N24" s="321"/>
      <c r="O24" s="321"/>
      <c r="P24" s="321"/>
      <c r="Q24" s="321"/>
      <c r="R24" s="321"/>
      <c r="S24" s="321"/>
      <c r="T24" s="321"/>
      <c r="U24" s="321"/>
      <c r="V24" s="321"/>
      <c r="W24" s="321"/>
      <c r="X24" s="321"/>
      <c r="Y24" s="321"/>
      <c r="Z24" s="321"/>
      <c r="AA24" s="321"/>
    </row>
    <row r="25" spans="1:27" ht="22.5" hidden="1" customHeight="1" outlineLevel="1" x14ac:dyDescent="0.85">
      <c r="A25" s="779" t="s">
        <v>1470</v>
      </c>
      <c r="B25" s="765"/>
      <c r="C25" s="765"/>
      <c r="D25" s="765"/>
      <c r="E25" s="765"/>
      <c r="F25" s="765"/>
      <c r="G25" s="762"/>
      <c r="H25" s="3"/>
      <c r="I25" s="276"/>
      <c r="J25" s="1"/>
      <c r="K25" s="1"/>
      <c r="L25" s="1"/>
      <c r="M25" s="1"/>
      <c r="N25" s="1"/>
      <c r="O25" s="1"/>
      <c r="P25" s="1"/>
      <c r="Q25" s="1"/>
      <c r="R25" s="1"/>
      <c r="S25" s="1"/>
      <c r="T25" s="1"/>
      <c r="U25" s="1"/>
      <c r="V25" s="1"/>
      <c r="W25" s="1"/>
      <c r="X25" s="1"/>
      <c r="Y25" s="1"/>
      <c r="Z25" s="1"/>
      <c r="AA25" s="1"/>
    </row>
    <row r="26" spans="1:27" ht="99" hidden="1" customHeight="1" outlineLevel="1" x14ac:dyDescent="0.85">
      <c r="A26" s="357" t="s">
        <v>102</v>
      </c>
      <c r="B26" s="357" t="s">
        <v>1471</v>
      </c>
      <c r="C26" s="357" t="s">
        <v>1472</v>
      </c>
      <c r="D26" s="357" t="s">
        <v>1473</v>
      </c>
      <c r="E26" s="357" t="s">
        <v>1474</v>
      </c>
      <c r="F26" s="357" t="s">
        <v>1475</v>
      </c>
      <c r="G26" s="357" t="s">
        <v>1476</v>
      </c>
      <c r="H26" s="3"/>
      <c r="I26" s="276"/>
      <c r="J26" s="1"/>
      <c r="K26" s="1"/>
      <c r="L26" s="1"/>
      <c r="M26" s="1"/>
      <c r="N26" s="1"/>
      <c r="O26" s="1"/>
      <c r="P26" s="1"/>
      <c r="Q26" s="1"/>
      <c r="R26" s="1"/>
      <c r="S26" s="1"/>
      <c r="T26" s="1"/>
      <c r="U26" s="1"/>
      <c r="V26" s="1"/>
      <c r="W26" s="1"/>
      <c r="X26" s="1"/>
      <c r="Y26" s="1"/>
      <c r="Z26" s="1"/>
      <c r="AA26" s="1"/>
    </row>
    <row r="27" spans="1:27" ht="22.5" hidden="1" customHeight="1" outlineLevel="1" x14ac:dyDescent="0.85">
      <c r="A27" s="557" t="s">
        <v>105</v>
      </c>
      <c r="B27" s="307">
        <f>'City of Albuquerque Data'!B9</f>
        <v>151351197.90000001</v>
      </c>
      <c r="C27" s="150">
        <f t="shared" ref="C27:C31" si="3">B27*$A$19</f>
        <v>121080958.32000001</v>
      </c>
      <c r="D27" s="402">
        <f>C27/'Refrigerants Data'!$A$20</f>
        <v>403603.19440000004</v>
      </c>
      <c r="E27" s="402">
        <f>'Refrigerants Data'!$A$21*D27</f>
        <v>403603.19440000004</v>
      </c>
      <c r="F27" s="402">
        <f>E27*'Refrigerants Data'!$A$22</f>
        <v>20180.159720000003</v>
      </c>
      <c r="G27" s="402">
        <f>(F27*'Conversion Factors and GWP'!$C$33)/'Conversion Factors and GWP'!$A$7</f>
        <v>26234.207636000003</v>
      </c>
      <c r="H27" s="3"/>
      <c r="I27" s="276"/>
      <c r="J27" s="1"/>
      <c r="K27" s="1"/>
      <c r="L27" s="1"/>
      <c r="M27" s="1"/>
      <c r="N27" s="1"/>
      <c r="O27" s="1"/>
      <c r="P27" s="1"/>
      <c r="Q27" s="1"/>
      <c r="R27" s="1"/>
      <c r="S27" s="1"/>
      <c r="T27" s="1"/>
      <c r="U27" s="1"/>
      <c r="V27" s="1"/>
      <c r="W27" s="1"/>
      <c r="X27" s="1"/>
      <c r="Y27" s="1"/>
      <c r="Z27" s="1"/>
      <c r="AA27" s="1"/>
    </row>
    <row r="28" spans="1:27" ht="22.5" hidden="1" customHeight="1" outlineLevel="1" x14ac:dyDescent="0.85">
      <c r="A28" s="557" t="str">
        <f t="shared" ref="A28:A31" si="4">A5</f>
        <v>Bernalillo County</v>
      </c>
      <c r="B28" s="307">
        <f>'Bernalillo County Data'!B9</f>
        <v>511874210</v>
      </c>
      <c r="C28" s="150">
        <f t="shared" si="3"/>
        <v>409499368</v>
      </c>
      <c r="D28" s="402">
        <f>C28/'Refrigerants Data'!$A$20</f>
        <v>1364997.8933333333</v>
      </c>
      <c r="E28" s="402">
        <f>'Refrigerants Data'!$A$21*D28</f>
        <v>1364997.8933333333</v>
      </c>
      <c r="F28" s="402">
        <f>E28*'Refrigerants Data'!$A$22</f>
        <v>68249.894666666674</v>
      </c>
      <c r="G28" s="402">
        <f>(F28*'Conversion Factors and GWP'!$C$33)/'Conversion Factors and GWP'!$A$7</f>
        <v>88724.863066666672</v>
      </c>
      <c r="H28" s="533"/>
      <c r="I28" s="276"/>
      <c r="J28" s="76"/>
      <c r="K28" s="15"/>
      <c r="L28" s="15"/>
      <c r="M28" s="15"/>
      <c r="N28" s="15"/>
      <c r="O28" s="15"/>
      <c r="P28" s="15"/>
      <c r="Q28" s="15"/>
      <c r="R28" s="15"/>
      <c r="S28" s="15"/>
      <c r="T28" s="15"/>
      <c r="U28" s="15"/>
      <c r="V28" s="15"/>
      <c r="W28" s="15"/>
      <c r="X28" s="15"/>
      <c r="Y28" s="15"/>
      <c r="Z28" s="15"/>
      <c r="AA28" s="15"/>
    </row>
    <row r="29" spans="1:27" ht="22.5" hidden="1" customHeight="1" outlineLevel="1" x14ac:dyDescent="0.85">
      <c r="A29" s="557" t="str">
        <f t="shared" si="4"/>
        <v>Sandoval County</v>
      </c>
      <c r="B29" s="307">
        <f>'Sandoval County Data'!B9</f>
        <v>57654240</v>
      </c>
      <c r="C29" s="150">
        <f t="shared" si="3"/>
        <v>46123392</v>
      </c>
      <c r="D29" s="402">
        <f>C29/'Refrigerants Data'!$A$20</f>
        <v>153744.64000000001</v>
      </c>
      <c r="E29" s="402">
        <f>'Refrigerants Data'!$A$21*D29</f>
        <v>153744.64000000001</v>
      </c>
      <c r="F29" s="402">
        <f>E29*'Refrigerants Data'!$A$22</f>
        <v>7687.2320000000009</v>
      </c>
      <c r="G29" s="402">
        <f>(F29*'Conversion Factors and GWP'!$C$33)/'Conversion Factors and GWP'!$A$7</f>
        <v>9993.4016000000011</v>
      </c>
      <c r="H29" s="533"/>
      <c r="I29" s="276"/>
      <c r="J29" s="76"/>
      <c r="K29" s="15"/>
      <c r="L29" s="15"/>
      <c r="M29" s="15"/>
      <c r="N29" s="15"/>
      <c r="O29" s="15"/>
      <c r="P29" s="15"/>
      <c r="Q29" s="15"/>
      <c r="R29" s="15"/>
      <c r="S29" s="15"/>
      <c r="T29" s="15"/>
      <c r="U29" s="15"/>
      <c r="V29" s="15"/>
      <c r="W29" s="15"/>
      <c r="X29" s="15"/>
      <c r="Y29" s="15"/>
      <c r="Z29" s="15"/>
      <c r="AA29" s="15"/>
    </row>
    <row r="30" spans="1:27" ht="22.5" hidden="1" customHeight="1" outlineLevel="1" x14ac:dyDescent="0.85">
      <c r="A30" s="557" t="str">
        <f t="shared" si="4"/>
        <v>Torrance County</v>
      </c>
      <c r="B30" s="307">
        <f>'Torrance County Data'!B9</f>
        <v>4206930</v>
      </c>
      <c r="C30" s="150">
        <f t="shared" si="3"/>
        <v>3365544</v>
      </c>
      <c r="D30" s="402">
        <f>C30/'Refrigerants Data'!$A$20</f>
        <v>11218.48</v>
      </c>
      <c r="E30" s="402">
        <f>'Refrigerants Data'!$A$21*D30</f>
        <v>11218.48</v>
      </c>
      <c r="F30" s="402">
        <f>E30*'Refrigerants Data'!$A$22</f>
        <v>560.92399999999998</v>
      </c>
      <c r="G30" s="402">
        <f>(F30*'Conversion Factors and GWP'!$C$33)/'Conversion Factors and GWP'!$A$7</f>
        <v>729.20119999999997</v>
      </c>
      <c r="H30" s="533"/>
      <c r="I30" s="276"/>
      <c r="J30" s="15"/>
      <c r="K30" s="15"/>
      <c r="L30" s="15"/>
      <c r="M30" s="15"/>
      <c r="N30" s="15"/>
      <c r="O30" s="15"/>
      <c r="P30" s="15"/>
      <c r="Q30" s="15"/>
      <c r="R30" s="15"/>
      <c r="S30" s="15"/>
      <c r="T30" s="15"/>
      <c r="U30" s="15"/>
      <c r="V30" s="15"/>
      <c r="W30" s="15"/>
      <c r="X30" s="15"/>
      <c r="Y30" s="15"/>
      <c r="Z30" s="15"/>
      <c r="AA30" s="15"/>
    </row>
    <row r="31" spans="1:27" ht="22.5" hidden="1" customHeight="1" outlineLevel="1" x14ac:dyDescent="0.85">
      <c r="A31" s="557" t="str">
        <f t="shared" si="4"/>
        <v>Valencia County</v>
      </c>
      <c r="B31" s="307">
        <f>'Valencia County Data'!B9</f>
        <v>35044790</v>
      </c>
      <c r="C31" s="150">
        <f t="shared" si="3"/>
        <v>28035832</v>
      </c>
      <c r="D31" s="402">
        <f>C31/'Refrigerants Data'!$A$20</f>
        <v>93452.773333333331</v>
      </c>
      <c r="E31" s="402">
        <f>'Refrigerants Data'!$A$21*D31</f>
        <v>93452.773333333331</v>
      </c>
      <c r="F31" s="402">
        <f>E31*'Refrigerants Data'!$A$22</f>
        <v>4672.6386666666667</v>
      </c>
      <c r="G31" s="402">
        <f>(F31*'Conversion Factors and GWP'!$C$33)/'Conversion Factors and GWP'!$A$7</f>
        <v>6074.4302666666663</v>
      </c>
      <c r="H31" s="533"/>
      <c r="I31" s="276"/>
      <c r="J31" s="15"/>
      <c r="K31" s="15"/>
      <c r="L31" s="15"/>
      <c r="M31" s="15"/>
      <c r="N31" s="15"/>
      <c r="O31" s="15"/>
      <c r="P31" s="15"/>
      <c r="Q31" s="15"/>
      <c r="R31" s="15"/>
      <c r="S31" s="15"/>
      <c r="T31" s="15"/>
      <c r="U31" s="15"/>
      <c r="V31" s="15"/>
      <c r="W31" s="15"/>
      <c r="X31" s="15"/>
      <c r="Y31" s="15"/>
      <c r="Z31" s="15"/>
      <c r="AA31" s="15"/>
    </row>
    <row r="32" spans="1:27" ht="22.5" hidden="1" customHeight="1" outlineLevel="1" x14ac:dyDescent="0.85">
      <c r="A32" s="292" t="s">
        <v>590</v>
      </c>
      <c r="B32" s="293">
        <f t="shared" ref="B32:G32" si="5">B27</f>
        <v>151351197.90000001</v>
      </c>
      <c r="C32" s="293">
        <f t="shared" si="5"/>
        <v>121080958.32000001</v>
      </c>
      <c r="D32" s="293">
        <f t="shared" si="5"/>
        <v>403603.19440000004</v>
      </c>
      <c r="E32" s="293">
        <f t="shared" si="5"/>
        <v>403603.19440000004</v>
      </c>
      <c r="F32" s="293">
        <f t="shared" si="5"/>
        <v>20180.159720000003</v>
      </c>
      <c r="G32" s="293">
        <f t="shared" si="5"/>
        <v>26234.207636000003</v>
      </c>
      <c r="H32" s="3"/>
      <c r="I32" s="276"/>
      <c r="J32" s="15"/>
      <c r="K32" s="15"/>
      <c r="L32" s="15"/>
      <c r="M32" s="15"/>
      <c r="N32" s="15"/>
      <c r="O32" s="15"/>
      <c r="P32" s="15"/>
      <c r="Q32" s="15"/>
      <c r="R32" s="15"/>
      <c r="S32" s="15"/>
      <c r="T32" s="15"/>
      <c r="U32" s="15"/>
      <c r="V32" s="15"/>
      <c r="W32" s="15"/>
      <c r="X32" s="15"/>
      <c r="Y32" s="15"/>
      <c r="Z32" s="15"/>
      <c r="AA32" s="15"/>
    </row>
    <row r="33" spans="1:27" ht="22.5" hidden="1" customHeight="1" outlineLevel="1" x14ac:dyDescent="0.85">
      <c r="A33" s="292" t="s">
        <v>111</v>
      </c>
      <c r="B33" s="293">
        <f t="shared" ref="B33:G33" si="6">SUM(B28:B31)</f>
        <v>608780170</v>
      </c>
      <c r="C33" s="293">
        <f t="shared" si="6"/>
        <v>487024136</v>
      </c>
      <c r="D33" s="293">
        <f t="shared" si="6"/>
        <v>1623413.7866666666</v>
      </c>
      <c r="E33" s="293">
        <f t="shared" si="6"/>
        <v>1623413.7866666666</v>
      </c>
      <c r="F33" s="293">
        <f t="shared" si="6"/>
        <v>81170.689333333343</v>
      </c>
      <c r="G33" s="293">
        <f t="shared" si="6"/>
        <v>105521.89613333333</v>
      </c>
      <c r="H33" s="3"/>
      <c r="I33" s="276"/>
      <c r="J33" s="15"/>
      <c r="K33" s="15"/>
      <c r="L33" s="15"/>
      <c r="M33" s="15"/>
      <c r="N33" s="15"/>
      <c r="O33" s="15"/>
      <c r="P33" s="15"/>
      <c r="Q33" s="15"/>
      <c r="R33" s="15"/>
      <c r="S33" s="15"/>
      <c r="T33" s="15"/>
      <c r="U33" s="15"/>
      <c r="V33" s="15"/>
      <c r="W33" s="15"/>
      <c r="X33" s="15"/>
      <c r="Y33" s="15"/>
      <c r="Z33" s="15"/>
      <c r="AA33" s="15"/>
    </row>
    <row r="34" spans="1:27" ht="22.5" hidden="1" customHeight="1" outlineLevel="1" x14ac:dyDescent="0.85">
      <c r="A34" s="1"/>
      <c r="B34" s="1"/>
      <c r="C34" s="1"/>
      <c r="D34" s="1"/>
      <c r="E34" s="1"/>
      <c r="F34" s="1"/>
      <c r="G34" s="1"/>
      <c r="H34" s="1"/>
      <c r="I34" s="1"/>
      <c r="J34" s="1"/>
      <c r="K34" s="1"/>
      <c r="L34" s="1"/>
      <c r="M34" s="1"/>
      <c r="N34" s="1"/>
      <c r="O34" s="1"/>
      <c r="P34" s="1"/>
      <c r="Q34" s="1"/>
      <c r="R34" s="1"/>
      <c r="S34" s="1"/>
      <c r="T34" s="1"/>
      <c r="U34" s="1"/>
      <c r="V34" s="1"/>
      <c r="W34" s="1"/>
      <c r="X34" s="1"/>
      <c r="Y34" s="1"/>
      <c r="Z34" s="1"/>
      <c r="AA34" s="1"/>
    </row>
    <row r="35" spans="1:27" ht="22.5" hidden="1" customHeight="1" outlineLevel="1" x14ac:dyDescent="0.85">
      <c r="A35" s="779" t="s">
        <v>1477</v>
      </c>
      <c r="B35" s="765"/>
      <c r="C35" s="765"/>
      <c r="D35" s="765"/>
      <c r="E35" s="765"/>
      <c r="F35" s="765"/>
      <c r="G35" s="762"/>
      <c r="H35" s="1"/>
      <c r="I35" s="1"/>
      <c r="J35" s="1"/>
      <c r="K35" s="1"/>
      <c r="L35" s="1"/>
      <c r="M35" s="1"/>
      <c r="N35" s="1"/>
      <c r="O35" s="1"/>
      <c r="P35" s="1"/>
      <c r="Q35" s="1"/>
      <c r="R35" s="1"/>
      <c r="S35" s="1"/>
      <c r="T35" s="1"/>
      <c r="U35" s="1"/>
      <c r="V35" s="1"/>
      <c r="W35" s="1"/>
      <c r="X35" s="1"/>
      <c r="Y35" s="1"/>
      <c r="Z35" s="1"/>
      <c r="AA35" s="1"/>
    </row>
    <row r="36" spans="1:27" ht="97.5" hidden="1" customHeight="1" outlineLevel="1" x14ac:dyDescent="0.85">
      <c r="A36" s="357" t="s">
        <v>102</v>
      </c>
      <c r="B36" s="357" t="s">
        <v>1478</v>
      </c>
      <c r="C36" s="357" t="s">
        <v>1479</v>
      </c>
      <c r="D36" s="357" t="s">
        <v>1473</v>
      </c>
      <c r="E36" s="357" t="s">
        <v>1474</v>
      </c>
      <c r="F36" s="357" t="s">
        <v>1480</v>
      </c>
      <c r="G36" s="357" t="s">
        <v>1481</v>
      </c>
      <c r="H36" s="1"/>
      <c r="I36" s="1"/>
      <c r="J36" s="1"/>
      <c r="K36" s="1"/>
      <c r="L36" s="1"/>
      <c r="M36" s="1"/>
      <c r="N36" s="1"/>
      <c r="O36" s="1"/>
      <c r="P36" s="1"/>
      <c r="Q36" s="1"/>
      <c r="R36" s="1"/>
      <c r="S36" s="1"/>
      <c r="T36" s="1"/>
      <c r="U36" s="1"/>
      <c r="V36" s="1"/>
      <c r="W36" s="1"/>
      <c r="X36" s="1"/>
      <c r="Y36" s="1"/>
      <c r="Z36" s="1"/>
      <c r="AA36" s="1"/>
    </row>
    <row r="37" spans="1:27" ht="22.5" hidden="1" customHeight="1" outlineLevel="1" x14ac:dyDescent="0.85">
      <c r="A37" s="557" t="s">
        <v>105</v>
      </c>
      <c r="B37" s="307">
        <f>'City of Albuquerque Data'!B10</f>
        <v>543759936.29999995</v>
      </c>
      <c r="C37" s="150">
        <f t="shared" ref="C37:C41" si="7">B37*$E$19</f>
        <v>462013227.59041393</v>
      </c>
      <c r="D37" s="402">
        <f>C37/'Refrigerants Data'!$E$20</f>
        <v>880025.19541031227</v>
      </c>
      <c r="E37" s="402">
        <f>'Refrigerants Data'!$E$21*D37</f>
        <v>1197520.6854104449</v>
      </c>
      <c r="F37" s="402">
        <f>E37*'Refrigerants Data'!$E$22</f>
        <v>44018.283544256949</v>
      </c>
      <c r="G37" s="402">
        <f>(F37*'Conversion Factors and GWP'!$C$44)/'Conversion Factors and GWP'!$A$7</f>
        <v>84669.168397378235</v>
      </c>
      <c r="H37" s="1"/>
      <c r="I37" s="1"/>
      <c r="J37" s="1"/>
      <c r="K37" s="1"/>
      <c r="L37" s="1"/>
      <c r="M37" s="1"/>
      <c r="N37" s="1"/>
      <c r="O37" s="1"/>
      <c r="P37" s="1"/>
      <c r="Q37" s="1"/>
      <c r="R37" s="1"/>
      <c r="S37" s="1"/>
      <c r="T37" s="1"/>
      <c r="U37" s="1"/>
      <c r="V37" s="1"/>
      <c r="W37" s="1"/>
      <c r="X37" s="1"/>
      <c r="Y37" s="1"/>
      <c r="Z37" s="1"/>
      <c r="AA37" s="1"/>
    </row>
    <row r="38" spans="1:27" ht="22.5" hidden="1" customHeight="1" outlineLevel="1" x14ac:dyDescent="0.85">
      <c r="A38" s="557" t="s">
        <v>126</v>
      </c>
      <c r="B38" s="307">
        <f>'Bernalillo County Data'!B10</f>
        <v>758209116</v>
      </c>
      <c r="C38" s="150">
        <f t="shared" si="7"/>
        <v>644222969.52449203</v>
      </c>
      <c r="D38" s="402">
        <f>C38/'Refrigerants Data'!$E$20</f>
        <v>1227091.370522842</v>
      </c>
      <c r="E38" s="402">
        <f>'Refrigerants Data'!$E$21*D38</f>
        <v>1669801.3951800731</v>
      </c>
      <c r="F38" s="402">
        <f>E38*'Refrigerants Data'!$E$22</f>
        <v>61378.306171337565</v>
      </c>
      <c r="G38" s="402">
        <f>(F38*'Conversion Factors and GWP'!$C$44)/'Conversion Factors and GWP'!$A$7</f>
        <v>118061.17192056781</v>
      </c>
      <c r="H38" s="533"/>
      <c r="I38" s="1"/>
      <c r="J38" s="1"/>
      <c r="K38" s="1"/>
      <c r="L38" s="1"/>
      <c r="M38" s="1"/>
      <c r="N38" s="1"/>
      <c r="O38" s="1"/>
      <c r="P38" s="1"/>
      <c r="Q38" s="1"/>
      <c r="R38" s="1"/>
      <c r="S38" s="1"/>
      <c r="T38" s="1"/>
      <c r="U38" s="1"/>
      <c r="V38" s="1"/>
      <c r="W38" s="1"/>
      <c r="X38" s="1"/>
      <c r="Y38" s="1"/>
      <c r="Z38" s="1"/>
      <c r="AA38" s="1"/>
    </row>
    <row r="39" spans="1:27" ht="22.5" hidden="1" customHeight="1" outlineLevel="1" x14ac:dyDescent="0.85">
      <c r="A39" s="557" t="s">
        <v>127</v>
      </c>
      <c r="B39" s="307">
        <f>'Sandoval County Data'!B10</f>
        <v>240293303.59999999</v>
      </c>
      <c r="C39" s="150">
        <f t="shared" si="7"/>
        <v>204168562.9140369</v>
      </c>
      <c r="D39" s="402">
        <f>C39/'Refrigerants Data'!$E$20</f>
        <v>388892.50078864169</v>
      </c>
      <c r="E39" s="402">
        <f>'Refrigerants Data'!$E$21*D39</f>
        <v>529197.13722316793</v>
      </c>
      <c r="F39" s="402">
        <f>E39*'Refrigerants Data'!$E$22</f>
        <v>19452.148026248433</v>
      </c>
      <c r="G39" s="402">
        <f>(F39*'Conversion Factors and GWP'!$C$44)/'Conversion Factors and GWP'!$A$7</f>
        <v>37416.206728488862</v>
      </c>
      <c r="H39" s="533"/>
      <c r="I39" s="1"/>
      <c r="J39" s="1"/>
      <c r="K39" s="1"/>
      <c r="L39" s="1"/>
      <c r="M39" s="1"/>
      <c r="N39" s="1"/>
      <c r="O39" s="1"/>
      <c r="P39" s="1"/>
      <c r="Q39" s="1"/>
      <c r="R39" s="1"/>
      <c r="S39" s="1"/>
      <c r="T39" s="1"/>
      <c r="U39" s="1"/>
      <c r="V39" s="1"/>
      <c r="W39" s="1"/>
      <c r="X39" s="1"/>
      <c r="Y39" s="1"/>
      <c r="Z39" s="1"/>
      <c r="AA39" s="1"/>
    </row>
    <row r="40" spans="1:27" ht="22.5" hidden="1" customHeight="1" outlineLevel="1" x14ac:dyDescent="0.85">
      <c r="A40" s="557" t="s">
        <v>128</v>
      </c>
      <c r="B40" s="307">
        <f>'Torrance County Data'!B10</f>
        <v>24123333.457546853</v>
      </c>
      <c r="C40" s="150">
        <f t="shared" si="7"/>
        <v>20496727.336697392</v>
      </c>
      <c r="D40" s="402">
        <f>C40/'Refrigerants Data'!$E$20</f>
        <v>39041.385403233129</v>
      </c>
      <c r="E40" s="402">
        <f>'Refrigerants Data'!$E$21*D40</f>
        <v>53126.73642901158</v>
      </c>
      <c r="F40" s="402">
        <f>E40*'Refrigerants Data'!$E$22</f>
        <v>1952.8245118469163</v>
      </c>
      <c r="G40" s="402">
        <f>(F40*'Conversion Factors and GWP'!$C$44)/'Conversion Factors and GWP'!$A$7</f>
        <v>3756.2579485375436</v>
      </c>
      <c r="H40" s="533"/>
      <c r="I40" s="1"/>
      <c r="J40" s="1"/>
      <c r="K40" s="1"/>
      <c r="L40" s="1"/>
      <c r="M40" s="1"/>
      <c r="N40" s="1"/>
      <c r="O40" s="1"/>
      <c r="P40" s="1"/>
      <c r="Q40" s="1"/>
      <c r="R40" s="1"/>
      <c r="S40" s="1"/>
      <c r="T40" s="1"/>
      <c r="U40" s="1"/>
      <c r="V40" s="1"/>
      <c r="W40" s="1"/>
      <c r="X40" s="1"/>
      <c r="Y40" s="1"/>
      <c r="Z40" s="1"/>
      <c r="AA40" s="1"/>
    </row>
    <row r="41" spans="1:27" ht="22.5" hidden="1" customHeight="1" outlineLevel="1" x14ac:dyDescent="0.85">
      <c r="A41" s="557" t="s">
        <v>129</v>
      </c>
      <c r="B41" s="307">
        <f>'Valencia County Data'!B10</f>
        <v>110265391.59999999</v>
      </c>
      <c r="C41" s="150">
        <f t="shared" si="7"/>
        <v>93688530.661682218</v>
      </c>
      <c r="D41" s="402">
        <f>C41/'Refrigerants Data'!$E$20</f>
        <v>178454.34411748993</v>
      </c>
      <c r="E41" s="402">
        <f>'Refrigerants Data'!$E$21*D41</f>
        <v>242837.10238819796</v>
      </c>
      <c r="F41" s="402">
        <f>E41*'Refrigerants Data'!$E$22</f>
        <v>8926.1693415556765</v>
      </c>
      <c r="G41" s="402">
        <f>(F41*'Conversion Factors and GWP'!$C$44)/'Conversion Factors and GWP'!$A$7</f>
        <v>17169.486728482345</v>
      </c>
      <c r="H41" s="533"/>
      <c r="I41" s="1"/>
      <c r="J41" s="1"/>
      <c r="K41" s="1"/>
      <c r="L41" s="1"/>
      <c r="M41" s="1"/>
      <c r="N41" s="1"/>
      <c r="O41" s="1"/>
      <c r="P41" s="1"/>
      <c r="Q41" s="1"/>
      <c r="R41" s="1"/>
      <c r="S41" s="1"/>
      <c r="T41" s="1"/>
      <c r="U41" s="1"/>
      <c r="V41" s="1"/>
      <c r="W41" s="1"/>
      <c r="X41" s="1"/>
      <c r="Y41" s="1"/>
      <c r="Z41" s="1"/>
      <c r="AA41" s="1"/>
    </row>
    <row r="42" spans="1:27" ht="22.5" hidden="1" customHeight="1" outlineLevel="1" x14ac:dyDescent="0.85">
      <c r="A42" s="292" t="s">
        <v>590</v>
      </c>
      <c r="B42" s="293">
        <f t="shared" ref="B42:G42" si="8">B37</f>
        <v>543759936.29999995</v>
      </c>
      <c r="C42" s="293">
        <f t="shared" si="8"/>
        <v>462013227.59041393</v>
      </c>
      <c r="D42" s="293">
        <f t="shared" si="8"/>
        <v>880025.19541031227</v>
      </c>
      <c r="E42" s="293">
        <f t="shared" si="8"/>
        <v>1197520.6854104449</v>
      </c>
      <c r="F42" s="293">
        <f t="shared" si="8"/>
        <v>44018.283544256949</v>
      </c>
      <c r="G42" s="293">
        <f t="shared" si="8"/>
        <v>84669.168397378235</v>
      </c>
      <c r="H42" s="3"/>
      <c r="I42" s="3"/>
      <c r="J42" s="3"/>
      <c r="K42" s="3"/>
      <c r="L42" s="3"/>
      <c r="M42" s="3"/>
      <c r="N42" s="3"/>
      <c r="O42" s="3"/>
      <c r="P42" s="3"/>
      <c r="Q42" s="3"/>
      <c r="R42" s="3"/>
      <c r="S42" s="3"/>
      <c r="T42" s="3"/>
      <c r="U42" s="3"/>
      <c r="V42" s="3"/>
      <c r="W42" s="3"/>
      <c r="X42" s="3"/>
      <c r="Y42" s="3"/>
      <c r="Z42" s="3"/>
      <c r="AA42" s="3"/>
    </row>
    <row r="43" spans="1:27" ht="22.5" hidden="1" customHeight="1" outlineLevel="1" x14ac:dyDescent="0.85">
      <c r="A43" s="292" t="s">
        <v>111</v>
      </c>
      <c r="B43" s="293">
        <f t="shared" ref="B43:G43" si="9">SUM(B38:B41)</f>
        <v>1132891144.6575468</v>
      </c>
      <c r="C43" s="293">
        <f t="shared" si="9"/>
        <v>962576790.43690848</v>
      </c>
      <c r="D43" s="293">
        <f t="shared" si="9"/>
        <v>1833479.6008322067</v>
      </c>
      <c r="E43" s="293">
        <f t="shared" si="9"/>
        <v>2494962.3712204504</v>
      </c>
      <c r="F43" s="293">
        <f t="shared" si="9"/>
        <v>91709.448050988591</v>
      </c>
      <c r="G43" s="293">
        <f t="shared" si="9"/>
        <v>176403.12332607654</v>
      </c>
      <c r="H43" s="3"/>
      <c r="I43" s="3"/>
      <c r="J43" s="3"/>
      <c r="K43" s="3"/>
      <c r="L43" s="3"/>
      <c r="M43" s="3"/>
      <c r="N43" s="3"/>
      <c r="O43" s="3"/>
      <c r="P43" s="3"/>
      <c r="Q43" s="3"/>
      <c r="R43" s="3"/>
      <c r="S43" s="3"/>
      <c r="T43" s="3"/>
      <c r="U43" s="3"/>
      <c r="V43" s="3"/>
      <c r="W43" s="3"/>
      <c r="X43" s="3"/>
      <c r="Y43" s="3"/>
      <c r="Z43" s="3"/>
      <c r="AA43" s="3"/>
    </row>
    <row r="44" spans="1:27" ht="22.5" customHeight="1" collapsed="1" x14ac:dyDescent="0.85">
      <c r="A44" s="3"/>
      <c r="B44" s="3"/>
      <c r="C44" s="3"/>
      <c r="D44" s="3"/>
      <c r="E44" s="3"/>
      <c r="F44" s="3"/>
      <c r="G44" s="3"/>
      <c r="H44" s="3"/>
      <c r="I44" s="3"/>
      <c r="J44" s="3"/>
      <c r="K44" s="3"/>
      <c r="L44" s="3"/>
      <c r="M44" s="3"/>
      <c r="N44" s="3"/>
      <c r="O44" s="3"/>
      <c r="P44" s="3"/>
      <c r="Q44" s="3"/>
      <c r="R44" s="3"/>
      <c r="S44" s="3"/>
      <c r="T44" s="3"/>
      <c r="U44" s="3"/>
      <c r="V44" s="3"/>
      <c r="W44" s="3"/>
      <c r="X44" s="3"/>
      <c r="Y44" s="3"/>
      <c r="Z44" s="3"/>
      <c r="AA44" s="3"/>
    </row>
    <row r="45" spans="1:27" ht="22.5" customHeight="1" x14ac:dyDescent="0.85">
      <c r="A45" s="3"/>
      <c r="B45" s="3"/>
      <c r="C45" s="3"/>
      <c r="D45" s="3"/>
      <c r="E45" s="3"/>
      <c r="F45" s="3"/>
      <c r="G45" s="3"/>
      <c r="H45" s="3"/>
      <c r="I45" s="3"/>
      <c r="J45" s="3"/>
      <c r="K45" s="3"/>
      <c r="L45" s="3"/>
      <c r="M45" s="3"/>
      <c r="N45" s="3"/>
      <c r="O45" s="3"/>
      <c r="P45" s="3"/>
      <c r="Q45" s="3"/>
      <c r="R45" s="3"/>
      <c r="S45" s="3"/>
      <c r="T45" s="3"/>
      <c r="U45" s="3"/>
      <c r="V45" s="3"/>
      <c r="W45" s="3"/>
      <c r="X45" s="3"/>
      <c r="Y45" s="3"/>
      <c r="Z45" s="3"/>
      <c r="AA45" s="3"/>
    </row>
    <row r="46" spans="1:27" ht="22.5" customHeight="1" x14ac:dyDescent="0.85">
      <c r="A46" s="3"/>
      <c r="B46" s="3"/>
      <c r="C46" s="3"/>
      <c r="D46" s="3"/>
      <c r="E46" s="3"/>
      <c r="F46" s="3"/>
      <c r="G46" s="3"/>
      <c r="H46" s="3"/>
      <c r="I46" s="3"/>
      <c r="J46" s="3"/>
      <c r="K46" s="3"/>
      <c r="L46" s="3"/>
      <c r="M46" s="3"/>
      <c r="N46" s="3"/>
      <c r="O46" s="3"/>
      <c r="P46" s="3"/>
      <c r="Q46" s="3"/>
      <c r="R46" s="3"/>
      <c r="S46" s="3"/>
      <c r="T46" s="3"/>
      <c r="U46" s="3"/>
      <c r="V46" s="3"/>
      <c r="W46" s="3"/>
      <c r="X46" s="3"/>
      <c r="Y46" s="3"/>
      <c r="Z46" s="3"/>
      <c r="AA46" s="3"/>
    </row>
    <row r="47" spans="1:27" ht="22.5" customHeight="1" x14ac:dyDescent="0.85">
      <c r="A47" s="3"/>
      <c r="B47" s="3"/>
      <c r="C47" s="3"/>
      <c r="D47" s="3"/>
      <c r="E47" s="3"/>
      <c r="F47" s="3"/>
      <c r="G47" s="3"/>
      <c r="H47" s="3"/>
      <c r="I47" s="3"/>
      <c r="J47" s="3"/>
      <c r="K47" s="3"/>
      <c r="L47" s="3"/>
      <c r="M47" s="3"/>
      <c r="N47" s="3"/>
      <c r="O47" s="3"/>
      <c r="P47" s="3"/>
      <c r="Q47" s="3"/>
      <c r="R47" s="3"/>
      <c r="S47" s="3"/>
      <c r="T47" s="3"/>
      <c r="U47" s="3"/>
      <c r="V47" s="3"/>
      <c r="W47" s="3"/>
      <c r="X47" s="3"/>
      <c r="Y47" s="3"/>
      <c r="Z47" s="3"/>
      <c r="AA47" s="3"/>
    </row>
    <row r="48" spans="1:27" ht="22.5" customHeight="1" x14ac:dyDescent="0.85">
      <c r="A48" s="3"/>
      <c r="B48" s="3"/>
      <c r="C48" s="3"/>
      <c r="D48" s="3"/>
      <c r="E48" s="3"/>
      <c r="F48" s="3"/>
      <c r="G48" s="3"/>
      <c r="H48" s="3"/>
      <c r="I48" s="3"/>
      <c r="J48" s="3"/>
      <c r="K48" s="3"/>
      <c r="L48" s="3"/>
      <c r="M48" s="3"/>
      <c r="N48" s="3"/>
      <c r="O48" s="3"/>
      <c r="P48" s="3"/>
      <c r="Q48" s="3"/>
      <c r="R48" s="3"/>
      <c r="S48" s="3"/>
      <c r="T48" s="3"/>
      <c r="U48" s="3"/>
      <c r="V48" s="3"/>
      <c r="W48" s="3"/>
      <c r="X48" s="3"/>
      <c r="Y48" s="3"/>
      <c r="Z48" s="3"/>
      <c r="AA48" s="3"/>
    </row>
    <row r="49" spans="1:27" ht="22.5" customHeight="1" x14ac:dyDescent="0.85">
      <c r="A49" s="3"/>
      <c r="B49" s="3"/>
      <c r="C49" s="3"/>
      <c r="D49" s="3"/>
      <c r="E49" s="3"/>
      <c r="F49" s="3"/>
      <c r="G49" s="3"/>
      <c r="H49" s="3"/>
      <c r="I49" s="3"/>
      <c r="J49" s="3"/>
      <c r="K49" s="3"/>
      <c r="L49" s="3"/>
      <c r="M49" s="3"/>
      <c r="N49" s="3"/>
      <c r="O49" s="3"/>
      <c r="P49" s="3"/>
      <c r="Q49" s="3"/>
      <c r="R49" s="3"/>
      <c r="S49" s="3"/>
      <c r="T49" s="3"/>
      <c r="U49" s="3"/>
      <c r="V49" s="3"/>
      <c r="W49" s="3"/>
      <c r="X49" s="3"/>
      <c r="Y49" s="3"/>
      <c r="Z49" s="3"/>
      <c r="AA49" s="3"/>
    </row>
    <row r="50" spans="1:27" ht="22.5" customHeight="1" x14ac:dyDescent="0.85">
      <c r="A50" s="3"/>
      <c r="B50" s="3"/>
      <c r="C50" s="3"/>
      <c r="D50" s="3"/>
      <c r="E50" s="3"/>
      <c r="F50" s="3"/>
      <c r="G50" s="3"/>
      <c r="H50" s="3"/>
      <c r="I50" s="3"/>
      <c r="J50" s="3"/>
      <c r="K50" s="3"/>
      <c r="L50" s="3"/>
      <c r="M50" s="3"/>
      <c r="N50" s="3"/>
      <c r="O50" s="3"/>
      <c r="P50" s="3"/>
      <c r="Q50" s="3"/>
      <c r="R50" s="3"/>
      <c r="S50" s="3"/>
      <c r="T50" s="3"/>
      <c r="U50" s="3"/>
      <c r="V50" s="3"/>
      <c r="W50" s="3"/>
      <c r="X50" s="3"/>
      <c r="Y50" s="3"/>
      <c r="Z50" s="3"/>
      <c r="AA50" s="3"/>
    </row>
    <row r="51" spans="1:27" ht="22.5" customHeight="1" x14ac:dyDescent="0.85">
      <c r="A51" s="3"/>
      <c r="B51" s="3"/>
      <c r="C51" s="3"/>
      <c r="D51" s="3"/>
      <c r="E51" s="3"/>
      <c r="F51" s="3"/>
      <c r="G51" s="3"/>
      <c r="H51" s="3"/>
      <c r="I51" s="3"/>
      <c r="J51" s="3"/>
      <c r="K51" s="3"/>
      <c r="L51" s="3"/>
      <c r="M51" s="3"/>
      <c r="N51" s="3"/>
      <c r="O51" s="3"/>
      <c r="P51" s="3"/>
      <c r="Q51" s="3"/>
      <c r="R51" s="3"/>
      <c r="S51" s="3"/>
      <c r="T51" s="3"/>
      <c r="U51" s="3"/>
      <c r="V51" s="3"/>
      <c r="W51" s="3"/>
      <c r="X51" s="3"/>
      <c r="Y51" s="3"/>
      <c r="Z51" s="3"/>
      <c r="AA51" s="3"/>
    </row>
    <row r="52" spans="1:27" ht="22.5" customHeight="1" x14ac:dyDescent="0.85">
      <c r="A52" s="3"/>
      <c r="B52" s="3"/>
      <c r="C52" s="3"/>
      <c r="D52" s="3"/>
      <c r="E52" s="3"/>
      <c r="F52" s="3"/>
      <c r="G52" s="3"/>
      <c r="H52" s="3"/>
      <c r="I52" s="3"/>
      <c r="J52" s="3"/>
      <c r="K52" s="3"/>
      <c r="L52" s="3"/>
      <c r="M52" s="3"/>
      <c r="N52" s="3"/>
      <c r="O52" s="3"/>
      <c r="P52" s="3"/>
      <c r="Q52" s="3"/>
      <c r="R52" s="3"/>
      <c r="S52" s="3"/>
      <c r="T52" s="3"/>
      <c r="U52" s="3"/>
      <c r="V52" s="3"/>
      <c r="W52" s="3"/>
      <c r="X52" s="3"/>
      <c r="Y52" s="3"/>
      <c r="Z52" s="3"/>
      <c r="AA52" s="3"/>
    </row>
    <row r="53" spans="1:27" ht="22.5" customHeight="1" x14ac:dyDescent="0.85">
      <c r="A53" s="3"/>
      <c r="B53" s="3"/>
      <c r="C53" s="3"/>
      <c r="D53" s="3"/>
      <c r="E53" s="3"/>
      <c r="F53" s="3"/>
      <c r="G53" s="3"/>
      <c r="H53" s="3"/>
      <c r="I53" s="3"/>
      <c r="J53" s="3"/>
      <c r="K53" s="3"/>
      <c r="L53" s="3"/>
      <c r="M53" s="3"/>
      <c r="N53" s="3"/>
      <c r="O53" s="3"/>
      <c r="P53" s="3"/>
      <c r="Q53" s="3"/>
      <c r="R53" s="3"/>
      <c r="S53" s="3"/>
      <c r="T53" s="3"/>
      <c r="U53" s="3"/>
      <c r="V53" s="3"/>
      <c r="W53" s="3"/>
      <c r="X53" s="3"/>
      <c r="Y53" s="3"/>
      <c r="Z53" s="3"/>
      <c r="AA53" s="3"/>
    </row>
    <row r="54" spans="1:27" ht="22.5" customHeight="1" x14ac:dyDescent="0.85">
      <c r="A54" s="3"/>
      <c r="B54" s="3"/>
      <c r="C54" s="3"/>
      <c r="D54" s="3"/>
      <c r="E54" s="3"/>
      <c r="F54" s="3"/>
      <c r="G54" s="3"/>
      <c r="H54" s="3"/>
      <c r="I54" s="3"/>
      <c r="J54" s="3"/>
      <c r="K54" s="3"/>
      <c r="L54" s="3"/>
      <c r="M54" s="3"/>
      <c r="N54" s="3"/>
      <c r="O54" s="3"/>
      <c r="P54" s="3"/>
      <c r="Q54" s="3"/>
      <c r="R54" s="3"/>
      <c r="S54" s="3"/>
      <c r="T54" s="3"/>
      <c r="U54" s="3"/>
      <c r="V54" s="3"/>
      <c r="W54" s="3"/>
      <c r="X54" s="3"/>
      <c r="Y54" s="3"/>
      <c r="Z54" s="3"/>
      <c r="AA54" s="3"/>
    </row>
    <row r="55" spans="1:27" ht="22.5" customHeight="1" x14ac:dyDescent="0.85">
      <c r="A55" s="3"/>
      <c r="B55" s="3"/>
      <c r="C55" s="3"/>
      <c r="D55" s="3"/>
      <c r="E55" s="3"/>
      <c r="F55" s="3"/>
      <c r="G55" s="3"/>
      <c r="H55" s="3"/>
      <c r="I55" s="3"/>
      <c r="J55" s="3"/>
      <c r="K55" s="3"/>
      <c r="L55" s="3"/>
      <c r="M55" s="3"/>
      <c r="N55" s="3"/>
      <c r="O55" s="3"/>
      <c r="P55" s="3"/>
      <c r="Q55" s="3"/>
      <c r="R55" s="3"/>
      <c r="S55" s="3"/>
      <c r="T55" s="3"/>
      <c r="U55" s="3"/>
      <c r="V55" s="3"/>
      <c r="W55" s="3"/>
      <c r="X55" s="3"/>
      <c r="Y55" s="3"/>
      <c r="Z55" s="3"/>
      <c r="AA55" s="3"/>
    </row>
    <row r="56" spans="1:27" ht="22.5" customHeight="1" x14ac:dyDescent="0.85">
      <c r="A56" s="3"/>
      <c r="B56" s="3"/>
      <c r="C56" s="3"/>
      <c r="D56" s="3"/>
      <c r="E56" s="3"/>
      <c r="F56" s="3"/>
      <c r="G56" s="3"/>
      <c r="H56" s="3"/>
      <c r="I56" s="3"/>
      <c r="J56" s="3"/>
      <c r="K56" s="3"/>
      <c r="L56" s="3"/>
      <c r="M56" s="3"/>
      <c r="N56" s="3"/>
      <c r="O56" s="3"/>
      <c r="P56" s="3"/>
      <c r="Q56" s="3"/>
      <c r="R56" s="3"/>
      <c r="S56" s="3"/>
      <c r="T56" s="3"/>
      <c r="U56" s="3"/>
      <c r="V56" s="3"/>
      <c r="W56" s="3"/>
      <c r="X56" s="3"/>
      <c r="Y56" s="3"/>
      <c r="Z56" s="3"/>
      <c r="AA56" s="3"/>
    </row>
    <row r="57" spans="1:27" ht="22.5" customHeight="1" x14ac:dyDescent="0.85">
      <c r="A57" s="3"/>
      <c r="B57" s="3"/>
      <c r="C57" s="3"/>
      <c r="D57" s="3"/>
      <c r="E57" s="3"/>
      <c r="F57" s="3"/>
      <c r="G57" s="3"/>
      <c r="H57" s="3"/>
      <c r="I57" s="3"/>
      <c r="J57" s="3"/>
      <c r="K57" s="3"/>
      <c r="L57" s="3"/>
      <c r="M57" s="3"/>
      <c r="N57" s="3"/>
      <c r="O57" s="3"/>
      <c r="P57" s="3"/>
      <c r="Q57" s="3"/>
      <c r="R57" s="3"/>
      <c r="S57" s="3"/>
      <c r="T57" s="3"/>
      <c r="U57" s="3"/>
      <c r="V57" s="3"/>
      <c r="W57" s="3"/>
      <c r="X57" s="3"/>
      <c r="Y57" s="3"/>
      <c r="Z57" s="3"/>
      <c r="AA57" s="3"/>
    </row>
    <row r="58" spans="1:27" ht="22.5" customHeight="1" x14ac:dyDescent="0.85">
      <c r="A58" s="3"/>
      <c r="B58" s="3"/>
      <c r="C58" s="3"/>
      <c r="D58" s="3"/>
      <c r="E58" s="3"/>
      <c r="F58" s="3"/>
      <c r="G58" s="3"/>
      <c r="H58" s="3"/>
      <c r="I58" s="3"/>
      <c r="J58" s="3"/>
      <c r="K58" s="3"/>
      <c r="L58" s="3"/>
      <c r="M58" s="3"/>
      <c r="N58" s="3"/>
      <c r="O58" s="3"/>
      <c r="P58" s="3"/>
      <c r="Q58" s="3"/>
      <c r="R58" s="3"/>
      <c r="S58" s="3"/>
      <c r="T58" s="3"/>
      <c r="U58" s="3"/>
      <c r="V58" s="3"/>
      <c r="W58" s="3"/>
      <c r="X58" s="3"/>
      <c r="Y58" s="3"/>
      <c r="Z58" s="3"/>
      <c r="AA58" s="3"/>
    </row>
    <row r="59" spans="1:27" ht="22.5" customHeight="1" x14ac:dyDescent="0.85">
      <c r="A59" s="3"/>
      <c r="B59" s="3"/>
      <c r="C59" s="3"/>
      <c r="D59" s="3"/>
      <c r="E59" s="3"/>
      <c r="F59" s="3"/>
      <c r="G59" s="3"/>
      <c r="H59" s="3"/>
      <c r="I59" s="3"/>
      <c r="J59" s="3"/>
      <c r="K59" s="3"/>
      <c r="L59" s="3"/>
      <c r="M59" s="3"/>
      <c r="N59" s="3"/>
      <c r="O59" s="3"/>
      <c r="P59" s="3"/>
      <c r="Q59" s="3"/>
      <c r="R59" s="3"/>
      <c r="S59" s="3"/>
      <c r="T59" s="3"/>
      <c r="U59" s="3"/>
      <c r="V59" s="3"/>
      <c r="W59" s="3"/>
      <c r="X59" s="3"/>
      <c r="Y59" s="3"/>
      <c r="Z59" s="3"/>
      <c r="AA59" s="3"/>
    </row>
    <row r="60" spans="1:27" ht="22.5" customHeight="1" x14ac:dyDescent="0.85">
      <c r="A60" s="3"/>
      <c r="B60" s="3"/>
      <c r="C60" s="3"/>
      <c r="D60" s="3"/>
      <c r="E60" s="3"/>
      <c r="F60" s="3"/>
      <c r="G60" s="3"/>
      <c r="H60" s="3"/>
      <c r="I60" s="3"/>
      <c r="J60" s="3"/>
      <c r="K60" s="3"/>
      <c r="L60" s="3"/>
      <c r="M60" s="3"/>
      <c r="N60" s="3"/>
      <c r="O60" s="3"/>
      <c r="P60" s="3"/>
      <c r="Q60" s="3"/>
      <c r="R60" s="3"/>
      <c r="S60" s="3"/>
      <c r="T60" s="3"/>
      <c r="U60" s="3"/>
      <c r="V60" s="3"/>
      <c r="W60" s="3"/>
      <c r="X60" s="3"/>
      <c r="Y60" s="3"/>
      <c r="Z60" s="3"/>
      <c r="AA60" s="3"/>
    </row>
    <row r="61" spans="1:27" ht="22.5" customHeight="1" x14ac:dyDescent="0.85">
      <c r="A61" s="3"/>
      <c r="B61" s="3"/>
      <c r="C61" s="3"/>
      <c r="D61" s="3"/>
      <c r="E61" s="3"/>
      <c r="F61" s="3"/>
      <c r="G61" s="3"/>
      <c r="H61" s="3"/>
      <c r="I61" s="3"/>
      <c r="J61" s="3"/>
      <c r="K61" s="3"/>
      <c r="L61" s="3"/>
      <c r="M61" s="3"/>
      <c r="N61" s="3"/>
      <c r="O61" s="3"/>
      <c r="P61" s="3"/>
      <c r="Q61" s="3"/>
      <c r="R61" s="3"/>
      <c r="S61" s="3"/>
      <c r="T61" s="3"/>
      <c r="U61" s="3"/>
      <c r="V61" s="3"/>
      <c r="W61" s="3"/>
      <c r="X61" s="3"/>
      <c r="Y61" s="3"/>
      <c r="Z61" s="3"/>
      <c r="AA61" s="3"/>
    </row>
    <row r="62" spans="1:27" ht="22.5" customHeight="1" x14ac:dyDescent="0.85">
      <c r="A62" s="3"/>
      <c r="B62" s="3"/>
      <c r="C62" s="3"/>
      <c r="D62" s="3"/>
      <c r="E62" s="3"/>
      <c r="F62" s="3"/>
      <c r="G62" s="3"/>
      <c r="H62" s="3"/>
      <c r="I62" s="3"/>
      <c r="J62" s="3"/>
      <c r="K62" s="3"/>
      <c r="L62" s="3"/>
      <c r="M62" s="3"/>
      <c r="N62" s="3"/>
      <c r="O62" s="3"/>
      <c r="P62" s="3"/>
      <c r="Q62" s="3"/>
      <c r="R62" s="3"/>
      <c r="S62" s="3"/>
      <c r="T62" s="3"/>
      <c r="U62" s="3"/>
      <c r="V62" s="3"/>
      <c r="W62" s="3"/>
      <c r="X62" s="3"/>
      <c r="Y62" s="3"/>
      <c r="Z62" s="3"/>
      <c r="AA62" s="3"/>
    </row>
    <row r="63" spans="1:27" ht="22.5" customHeight="1" x14ac:dyDescent="0.85">
      <c r="A63" s="3"/>
      <c r="B63" s="3"/>
      <c r="C63" s="3"/>
      <c r="D63" s="3"/>
      <c r="E63" s="3"/>
      <c r="F63" s="3"/>
      <c r="G63" s="3"/>
      <c r="H63" s="3"/>
      <c r="I63" s="3"/>
      <c r="J63" s="3"/>
      <c r="K63" s="3"/>
      <c r="L63" s="3"/>
      <c r="M63" s="3"/>
      <c r="N63" s="3"/>
      <c r="O63" s="3"/>
      <c r="P63" s="3"/>
      <c r="Q63" s="3"/>
      <c r="R63" s="3"/>
      <c r="S63" s="3"/>
      <c r="T63" s="3"/>
      <c r="U63" s="3"/>
      <c r="V63" s="3"/>
      <c r="W63" s="3"/>
      <c r="X63" s="3"/>
      <c r="Y63" s="3"/>
      <c r="Z63" s="3"/>
      <c r="AA63" s="3"/>
    </row>
    <row r="64" spans="1:27" ht="22.5" customHeight="1" x14ac:dyDescent="0.85">
      <c r="A64" s="3"/>
      <c r="B64" s="3"/>
      <c r="C64" s="3"/>
      <c r="D64" s="3"/>
      <c r="E64" s="3"/>
      <c r="F64" s="3"/>
      <c r="G64" s="3"/>
      <c r="H64" s="3"/>
      <c r="I64" s="3"/>
      <c r="J64" s="3"/>
      <c r="K64" s="3"/>
      <c r="L64" s="3"/>
      <c r="M64" s="3"/>
      <c r="N64" s="3"/>
      <c r="O64" s="3"/>
      <c r="P64" s="3"/>
      <c r="Q64" s="3"/>
      <c r="R64" s="3"/>
      <c r="S64" s="3"/>
      <c r="T64" s="3"/>
      <c r="U64" s="3"/>
      <c r="V64" s="3"/>
      <c r="W64" s="3"/>
      <c r="X64" s="3"/>
      <c r="Y64" s="3"/>
      <c r="Z64" s="3"/>
      <c r="AA64" s="3"/>
    </row>
    <row r="65" spans="1:27" ht="22.5" customHeight="1" x14ac:dyDescent="0.85">
      <c r="A65" s="3"/>
      <c r="B65" s="3"/>
      <c r="C65" s="3"/>
      <c r="D65" s="3"/>
      <c r="E65" s="3"/>
      <c r="F65" s="3"/>
      <c r="G65" s="3"/>
      <c r="H65" s="3"/>
      <c r="I65" s="3"/>
      <c r="J65" s="3"/>
      <c r="K65" s="3"/>
      <c r="L65" s="3"/>
      <c r="M65" s="3"/>
      <c r="N65" s="3"/>
      <c r="O65" s="3"/>
      <c r="P65" s="3"/>
      <c r="Q65" s="3"/>
      <c r="R65" s="3"/>
      <c r="S65" s="3"/>
      <c r="T65" s="3"/>
      <c r="U65" s="3"/>
      <c r="V65" s="3"/>
      <c r="W65" s="3"/>
      <c r="X65" s="3"/>
      <c r="Y65" s="3"/>
      <c r="Z65" s="3"/>
      <c r="AA65" s="3"/>
    </row>
    <row r="66" spans="1:27" ht="22.5" customHeight="1" x14ac:dyDescent="0.85">
      <c r="A66" s="3"/>
      <c r="B66" s="3"/>
      <c r="C66" s="3"/>
      <c r="D66" s="3"/>
      <c r="E66" s="3"/>
      <c r="F66" s="3"/>
      <c r="G66" s="3"/>
      <c r="H66" s="3"/>
      <c r="I66" s="3"/>
      <c r="J66" s="3"/>
      <c r="K66" s="3"/>
      <c r="L66" s="3"/>
      <c r="M66" s="3"/>
      <c r="N66" s="3"/>
      <c r="O66" s="3"/>
      <c r="P66" s="3"/>
      <c r="Q66" s="3"/>
      <c r="R66" s="3"/>
      <c r="S66" s="3"/>
      <c r="T66" s="3"/>
      <c r="U66" s="3"/>
      <c r="V66" s="3"/>
      <c r="W66" s="3"/>
      <c r="X66" s="3"/>
      <c r="Y66" s="3"/>
      <c r="Z66" s="3"/>
      <c r="AA66" s="3"/>
    </row>
    <row r="67" spans="1:27" ht="22.5" customHeight="1" x14ac:dyDescent="0.85">
      <c r="A67" s="3"/>
      <c r="B67" s="3"/>
      <c r="C67" s="3"/>
      <c r="D67" s="3"/>
      <c r="E67" s="3"/>
      <c r="F67" s="3"/>
      <c r="G67" s="3"/>
      <c r="H67" s="3"/>
      <c r="I67" s="3"/>
      <c r="J67" s="3"/>
      <c r="K67" s="3"/>
      <c r="L67" s="3"/>
      <c r="M67" s="3"/>
      <c r="N67" s="3"/>
      <c r="O67" s="3"/>
      <c r="P67" s="3"/>
      <c r="Q67" s="3"/>
      <c r="R67" s="3"/>
      <c r="S67" s="3"/>
      <c r="T67" s="3"/>
      <c r="U67" s="3"/>
      <c r="V67" s="3"/>
      <c r="W67" s="3"/>
      <c r="X67" s="3"/>
      <c r="Y67" s="3"/>
      <c r="Z67" s="3"/>
      <c r="AA67" s="3"/>
    </row>
    <row r="68" spans="1:27" ht="22.5" customHeight="1" x14ac:dyDescent="0.85">
      <c r="A68" s="3"/>
      <c r="B68" s="3"/>
      <c r="C68" s="3"/>
      <c r="D68" s="3"/>
      <c r="E68" s="3"/>
      <c r="F68" s="3"/>
      <c r="G68" s="3"/>
      <c r="H68" s="3"/>
      <c r="I68" s="3"/>
      <c r="J68" s="3"/>
      <c r="K68" s="3"/>
      <c r="L68" s="3"/>
      <c r="M68" s="3"/>
      <c r="N68" s="3"/>
      <c r="O68" s="3"/>
      <c r="P68" s="3"/>
      <c r="Q68" s="3"/>
      <c r="R68" s="3"/>
      <c r="S68" s="3"/>
      <c r="T68" s="3"/>
      <c r="U68" s="3"/>
      <c r="V68" s="3"/>
      <c r="W68" s="3"/>
      <c r="X68" s="3"/>
      <c r="Y68" s="3"/>
      <c r="Z68" s="3"/>
      <c r="AA68" s="3"/>
    </row>
    <row r="69" spans="1:27" ht="22.5" customHeight="1" x14ac:dyDescent="0.85">
      <c r="A69" s="3"/>
      <c r="B69" s="3"/>
      <c r="C69" s="3"/>
      <c r="D69" s="3"/>
      <c r="E69" s="3"/>
      <c r="F69" s="3"/>
      <c r="G69" s="3"/>
      <c r="H69" s="3"/>
      <c r="I69" s="3"/>
      <c r="J69" s="3"/>
      <c r="K69" s="3"/>
      <c r="L69" s="3"/>
      <c r="M69" s="3"/>
      <c r="N69" s="3"/>
      <c r="O69" s="3"/>
      <c r="P69" s="3"/>
      <c r="Q69" s="3"/>
      <c r="R69" s="3"/>
      <c r="S69" s="3"/>
      <c r="T69" s="3"/>
      <c r="U69" s="3"/>
      <c r="V69" s="3"/>
      <c r="W69" s="3"/>
      <c r="X69" s="3"/>
      <c r="Y69" s="3"/>
      <c r="Z69" s="3"/>
      <c r="AA69" s="3"/>
    </row>
    <row r="70" spans="1:27" ht="22.5" customHeight="1" x14ac:dyDescent="0.85">
      <c r="A70" s="3"/>
      <c r="B70" s="3"/>
      <c r="C70" s="3"/>
      <c r="D70" s="3"/>
      <c r="E70" s="3"/>
      <c r="F70" s="3"/>
      <c r="G70" s="3"/>
      <c r="H70" s="3"/>
      <c r="I70" s="3"/>
      <c r="J70" s="3"/>
      <c r="K70" s="3"/>
      <c r="L70" s="3"/>
      <c r="M70" s="3"/>
      <c r="N70" s="3"/>
      <c r="O70" s="3"/>
      <c r="P70" s="3"/>
      <c r="Q70" s="3"/>
      <c r="R70" s="3"/>
      <c r="S70" s="3"/>
      <c r="T70" s="3"/>
      <c r="U70" s="3"/>
      <c r="V70" s="3"/>
      <c r="W70" s="3"/>
      <c r="X70" s="3"/>
      <c r="Y70" s="3"/>
      <c r="Z70" s="3"/>
      <c r="AA70" s="3"/>
    </row>
    <row r="71" spans="1:27" ht="22.5" customHeight="1" x14ac:dyDescent="0.85">
      <c r="A71" s="3"/>
      <c r="B71" s="3"/>
      <c r="C71" s="3"/>
      <c r="D71" s="3"/>
      <c r="E71" s="3"/>
      <c r="F71" s="3"/>
      <c r="G71" s="3"/>
      <c r="H71" s="3"/>
      <c r="I71" s="3"/>
      <c r="J71" s="3"/>
      <c r="K71" s="3"/>
      <c r="L71" s="3"/>
      <c r="M71" s="3"/>
      <c r="N71" s="3"/>
      <c r="O71" s="3"/>
      <c r="P71" s="3"/>
      <c r="Q71" s="3"/>
      <c r="R71" s="3"/>
      <c r="S71" s="3"/>
      <c r="T71" s="3"/>
      <c r="U71" s="3"/>
      <c r="V71" s="3"/>
      <c r="W71" s="3"/>
      <c r="X71" s="3"/>
      <c r="Y71" s="3"/>
      <c r="Z71" s="3"/>
      <c r="AA71" s="3"/>
    </row>
    <row r="72" spans="1:27" ht="22.5" customHeight="1" x14ac:dyDescent="0.85">
      <c r="A72" s="3"/>
      <c r="B72" s="3"/>
      <c r="C72" s="3"/>
      <c r="D72" s="3"/>
      <c r="E72" s="3"/>
      <c r="F72" s="3"/>
      <c r="G72" s="3"/>
      <c r="H72" s="3"/>
      <c r="I72" s="3"/>
      <c r="J72" s="3"/>
      <c r="K72" s="3"/>
      <c r="L72" s="3"/>
      <c r="M72" s="3"/>
      <c r="N72" s="3"/>
      <c r="O72" s="3"/>
      <c r="P72" s="3"/>
      <c r="Q72" s="3"/>
      <c r="R72" s="3"/>
      <c r="S72" s="3"/>
      <c r="T72" s="3"/>
      <c r="U72" s="3"/>
      <c r="V72" s="3"/>
      <c r="W72" s="3"/>
      <c r="X72" s="3"/>
      <c r="Y72" s="3"/>
      <c r="Z72" s="3"/>
      <c r="AA72" s="3"/>
    </row>
    <row r="73" spans="1:27" ht="22.5" customHeight="1" x14ac:dyDescent="0.85">
      <c r="A73" s="3"/>
      <c r="B73" s="3"/>
      <c r="C73" s="3"/>
      <c r="D73" s="3"/>
      <c r="E73" s="3"/>
      <c r="F73" s="3"/>
      <c r="G73" s="3"/>
      <c r="H73" s="3"/>
      <c r="I73" s="3"/>
      <c r="J73" s="3"/>
      <c r="K73" s="3"/>
      <c r="L73" s="3"/>
      <c r="M73" s="3"/>
      <c r="N73" s="3"/>
      <c r="O73" s="3"/>
      <c r="P73" s="3"/>
      <c r="Q73" s="3"/>
      <c r="R73" s="3"/>
      <c r="S73" s="3"/>
      <c r="T73" s="3"/>
      <c r="U73" s="3"/>
      <c r="V73" s="3"/>
      <c r="W73" s="3"/>
      <c r="X73" s="3"/>
      <c r="Y73" s="3"/>
      <c r="Z73" s="3"/>
      <c r="AA73" s="3"/>
    </row>
    <row r="74" spans="1:27" ht="22.5" customHeight="1" x14ac:dyDescent="0.85">
      <c r="A74" s="3"/>
      <c r="B74" s="3"/>
      <c r="C74" s="3"/>
      <c r="D74" s="3"/>
      <c r="E74" s="3"/>
      <c r="F74" s="3"/>
      <c r="G74" s="3"/>
      <c r="H74" s="3"/>
      <c r="I74" s="3"/>
      <c r="J74" s="3"/>
      <c r="K74" s="3"/>
      <c r="L74" s="3"/>
      <c r="M74" s="3"/>
      <c r="N74" s="3"/>
      <c r="O74" s="3"/>
      <c r="P74" s="3"/>
      <c r="Q74" s="3"/>
      <c r="R74" s="3"/>
      <c r="S74" s="3"/>
      <c r="T74" s="3"/>
      <c r="U74" s="3"/>
      <c r="V74" s="3"/>
      <c r="W74" s="3"/>
      <c r="X74" s="3"/>
      <c r="Y74" s="3"/>
      <c r="Z74" s="3"/>
      <c r="AA74" s="3"/>
    </row>
    <row r="75" spans="1:27" ht="22.5" customHeight="1" x14ac:dyDescent="0.85">
      <c r="A75" s="3"/>
      <c r="B75" s="3"/>
      <c r="C75" s="3"/>
      <c r="D75" s="3"/>
      <c r="E75" s="3"/>
      <c r="F75" s="3"/>
      <c r="G75" s="3"/>
      <c r="H75" s="3"/>
      <c r="I75" s="3"/>
      <c r="J75" s="3"/>
      <c r="K75" s="3"/>
      <c r="L75" s="3"/>
      <c r="M75" s="3"/>
      <c r="N75" s="3"/>
      <c r="O75" s="3"/>
      <c r="P75" s="3"/>
      <c r="Q75" s="3"/>
      <c r="R75" s="3"/>
      <c r="S75" s="3"/>
      <c r="T75" s="3"/>
      <c r="U75" s="3"/>
      <c r="V75" s="3"/>
      <c r="W75" s="3"/>
      <c r="X75" s="3"/>
      <c r="Y75" s="3"/>
      <c r="Z75" s="3"/>
      <c r="AA75" s="3"/>
    </row>
    <row r="76" spans="1:27" ht="22.5" customHeight="1" x14ac:dyDescent="0.85">
      <c r="A76" s="3"/>
      <c r="B76" s="3"/>
      <c r="C76" s="3"/>
      <c r="D76" s="3"/>
      <c r="E76" s="3"/>
      <c r="F76" s="3"/>
      <c r="G76" s="3"/>
      <c r="H76" s="3"/>
      <c r="I76" s="3"/>
      <c r="J76" s="3"/>
      <c r="K76" s="3"/>
      <c r="L76" s="3"/>
      <c r="M76" s="3"/>
      <c r="N76" s="3"/>
      <c r="O76" s="3"/>
      <c r="P76" s="3"/>
      <c r="Q76" s="3"/>
      <c r="R76" s="3"/>
      <c r="S76" s="3"/>
      <c r="T76" s="3"/>
      <c r="U76" s="3"/>
      <c r="V76" s="3"/>
      <c r="W76" s="3"/>
      <c r="X76" s="3"/>
      <c r="Y76" s="3"/>
      <c r="Z76" s="3"/>
      <c r="AA76" s="3"/>
    </row>
    <row r="77" spans="1:27" ht="22.5" customHeight="1" x14ac:dyDescent="0.85">
      <c r="A77" s="3"/>
      <c r="B77" s="3"/>
      <c r="C77" s="3"/>
      <c r="D77" s="3"/>
      <c r="E77" s="3"/>
      <c r="F77" s="3"/>
      <c r="G77" s="3"/>
      <c r="H77" s="3"/>
      <c r="I77" s="3"/>
      <c r="J77" s="3"/>
      <c r="K77" s="3"/>
      <c r="L77" s="3"/>
      <c r="M77" s="3"/>
      <c r="N77" s="3"/>
      <c r="O77" s="3"/>
      <c r="P77" s="3"/>
      <c r="Q77" s="3"/>
      <c r="R77" s="3"/>
      <c r="S77" s="3"/>
      <c r="T77" s="3"/>
      <c r="U77" s="3"/>
      <c r="V77" s="3"/>
      <c r="W77" s="3"/>
      <c r="X77" s="3"/>
      <c r="Y77" s="3"/>
      <c r="Z77" s="3"/>
      <c r="AA77" s="3"/>
    </row>
    <row r="78" spans="1:27" ht="22.5" customHeight="1" x14ac:dyDescent="0.85">
      <c r="A78" s="3"/>
      <c r="B78" s="3"/>
      <c r="C78" s="3"/>
      <c r="D78" s="3"/>
      <c r="E78" s="3"/>
      <c r="F78" s="3"/>
      <c r="G78" s="3"/>
      <c r="H78" s="3"/>
      <c r="I78" s="3"/>
      <c r="J78" s="3"/>
      <c r="K78" s="3"/>
      <c r="L78" s="3"/>
      <c r="M78" s="3"/>
      <c r="N78" s="3"/>
      <c r="O78" s="3"/>
      <c r="P78" s="3"/>
      <c r="Q78" s="3"/>
      <c r="R78" s="3"/>
      <c r="S78" s="3"/>
      <c r="T78" s="3"/>
      <c r="U78" s="3"/>
      <c r="V78" s="3"/>
      <c r="W78" s="3"/>
      <c r="X78" s="3"/>
      <c r="Y78" s="3"/>
      <c r="Z78" s="3"/>
      <c r="AA78" s="3"/>
    </row>
    <row r="79" spans="1:27" ht="22.5" customHeight="1" x14ac:dyDescent="0.85">
      <c r="A79" s="3"/>
      <c r="B79" s="3"/>
      <c r="C79" s="3"/>
      <c r="D79" s="3"/>
      <c r="E79" s="3"/>
      <c r="F79" s="3"/>
      <c r="G79" s="3"/>
      <c r="H79" s="3"/>
      <c r="I79" s="3"/>
      <c r="J79" s="3"/>
      <c r="K79" s="3"/>
      <c r="L79" s="3"/>
      <c r="M79" s="3"/>
      <c r="N79" s="3"/>
      <c r="O79" s="3"/>
      <c r="P79" s="3"/>
      <c r="Q79" s="3"/>
      <c r="R79" s="3"/>
      <c r="S79" s="3"/>
      <c r="T79" s="3"/>
      <c r="U79" s="3"/>
      <c r="V79" s="3"/>
      <c r="W79" s="3"/>
      <c r="X79" s="3"/>
      <c r="Y79" s="3"/>
      <c r="Z79" s="3"/>
      <c r="AA79" s="3"/>
    </row>
    <row r="80" spans="1:27" ht="22.5" customHeight="1" x14ac:dyDescent="0.85">
      <c r="A80" s="3"/>
      <c r="B80" s="3"/>
      <c r="C80" s="3"/>
      <c r="D80" s="3"/>
      <c r="E80" s="3"/>
      <c r="F80" s="3"/>
      <c r="G80" s="3"/>
      <c r="H80" s="3"/>
      <c r="I80" s="3"/>
      <c r="J80" s="3"/>
      <c r="K80" s="3"/>
      <c r="L80" s="3"/>
      <c r="M80" s="3"/>
      <c r="N80" s="3"/>
      <c r="O80" s="3"/>
      <c r="P80" s="3"/>
      <c r="Q80" s="3"/>
      <c r="R80" s="3"/>
      <c r="S80" s="3"/>
      <c r="T80" s="3"/>
      <c r="U80" s="3"/>
      <c r="V80" s="3"/>
      <c r="W80" s="3"/>
      <c r="X80" s="3"/>
      <c r="Y80" s="3"/>
      <c r="Z80" s="3"/>
      <c r="AA80" s="3"/>
    </row>
    <row r="81" spans="1:27" ht="22.5" customHeight="1" x14ac:dyDescent="0.85">
      <c r="A81" s="3"/>
      <c r="B81" s="3"/>
      <c r="C81" s="3"/>
      <c r="D81" s="3"/>
      <c r="E81" s="3"/>
      <c r="F81" s="3"/>
      <c r="G81" s="3"/>
      <c r="H81" s="3"/>
      <c r="I81" s="3"/>
      <c r="J81" s="3"/>
      <c r="K81" s="3"/>
      <c r="L81" s="3"/>
      <c r="M81" s="3"/>
      <c r="N81" s="3"/>
      <c r="O81" s="3"/>
      <c r="P81" s="3"/>
      <c r="Q81" s="3"/>
      <c r="R81" s="3"/>
      <c r="S81" s="3"/>
      <c r="T81" s="3"/>
      <c r="U81" s="3"/>
      <c r="V81" s="3"/>
      <c r="W81" s="3"/>
      <c r="X81" s="3"/>
      <c r="Y81" s="3"/>
      <c r="Z81" s="3"/>
      <c r="AA81" s="3"/>
    </row>
    <row r="82" spans="1:27" ht="22.5" customHeight="1" x14ac:dyDescent="0.85">
      <c r="A82" s="3"/>
      <c r="B82" s="3"/>
      <c r="C82" s="3"/>
      <c r="D82" s="3"/>
      <c r="E82" s="3"/>
      <c r="F82" s="3"/>
      <c r="G82" s="3"/>
      <c r="H82" s="3"/>
      <c r="I82" s="3"/>
      <c r="J82" s="3"/>
      <c r="K82" s="3"/>
      <c r="L82" s="3"/>
      <c r="M82" s="3"/>
      <c r="N82" s="3"/>
      <c r="O82" s="3"/>
      <c r="P82" s="3"/>
      <c r="Q82" s="3"/>
      <c r="R82" s="3"/>
      <c r="S82" s="3"/>
      <c r="T82" s="3"/>
      <c r="U82" s="3"/>
      <c r="V82" s="3"/>
      <c r="W82" s="3"/>
      <c r="X82" s="3"/>
      <c r="Y82" s="3"/>
      <c r="Z82" s="3"/>
      <c r="AA82" s="3"/>
    </row>
    <row r="83" spans="1:27" ht="22.5" customHeight="1" x14ac:dyDescent="0.85">
      <c r="A83" s="3"/>
      <c r="B83" s="3"/>
      <c r="C83" s="3"/>
      <c r="D83" s="3"/>
      <c r="E83" s="3"/>
      <c r="F83" s="3"/>
      <c r="G83" s="3"/>
      <c r="H83" s="3"/>
      <c r="I83" s="3"/>
      <c r="J83" s="3"/>
      <c r="K83" s="3"/>
      <c r="L83" s="3"/>
      <c r="M83" s="3"/>
      <c r="N83" s="3"/>
      <c r="O83" s="3"/>
      <c r="P83" s="3"/>
      <c r="Q83" s="3"/>
      <c r="R83" s="3"/>
      <c r="S83" s="3"/>
      <c r="T83" s="3"/>
      <c r="U83" s="3"/>
      <c r="V83" s="3"/>
      <c r="W83" s="3"/>
      <c r="X83" s="3"/>
      <c r="Y83" s="3"/>
      <c r="Z83" s="3"/>
      <c r="AA83" s="3"/>
    </row>
    <row r="84" spans="1:27" ht="22.5" customHeight="1" x14ac:dyDescent="0.85">
      <c r="A84" s="3"/>
      <c r="B84" s="3"/>
      <c r="C84" s="3"/>
      <c r="D84" s="3"/>
      <c r="E84" s="3"/>
      <c r="F84" s="3"/>
      <c r="G84" s="3"/>
      <c r="H84" s="3"/>
      <c r="I84" s="3"/>
      <c r="J84" s="3"/>
      <c r="K84" s="3"/>
      <c r="L84" s="3"/>
      <c r="M84" s="3"/>
      <c r="N84" s="3"/>
      <c r="O84" s="3"/>
      <c r="P84" s="3"/>
      <c r="Q84" s="3"/>
      <c r="R84" s="3"/>
      <c r="S84" s="3"/>
      <c r="T84" s="3"/>
      <c r="U84" s="3"/>
      <c r="V84" s="3"/>
      <c r="W84" s="3"/>
      <c r="X84" s="3"/>
      <c r="Y84" s="3"/>
      <c r="Z84" s="3"/>
      <c r="AA84" s="3"/>
    </row>
    <row r="85" spans="1:27" ht="22.5" customHeight="1" x14ac:dyDescent="0.85">
      <c r="A85" s="3"/>
      <c r="B85" s="3"/>
      <c r="C85" s="3"/>
      <c r="D85" s="3"/>
      <c r="E85" s="3"/>
      <c r="F85" s="3"/>
      <c r="G85" s="3"/>
      <c r="H85" s="3"/>
      <c r="I85" s="3"/>
      <c r="J85" s="3"/>
      <c r="K85" s="3"/>
      <c r="L85" s="3"/>
      <c r="M85" s="3"/>
      <c r="N85" s="3"/>
      <c r="O85" s="3"/>
      <c r="P85" s="3"/>
      <c r="Q85" s="3"/>
      <c r="R85" s="3"/>
      <c r="S85" s="3"/>
      <c r="T85" s="3"/>
      <c r="U85" s="3"/>
      <c r="V85" s="3"/>
      <c r="W85" s="3"/>
      <c r="X85" s="3"/>
      <c r="Y85" s="3"/>
      <c r="Z85" s="3"/>
      <c r="AA85" s="3"/>
    </row>
    <row r="86" spans="1:27" ht="22.5" customHeight="1" x14ac:dyDescent="0.85">
      <c r="A86" s="3"/>
      <c r="B86" s="3"/>
      <c r="C86" s="3"/>
      <c r="D86" s="3"/>
      <c r="E86" s="3"/>
      <c r="F86" s="3"/>
      <c r="G86" s="3"/>
      <c r="H86" s="3"/>
      <c r="I86" s="3"/>
      <c r="J86" s="3"/>
      <c r="K86" s="3"/>
      <c r="L86" s="3"/>
      <c r="M86" s="3"/>
      <c r="N86" s="3"/>
      <c r="O86" s="3"/>
      <c r="P86" s="3"/>
      <c r="Q86" s="3"/>
      <c r="R86" s="3"/>
      <c r="S86" s="3"/>
      <c r="T86" s="3"/>
      <c r="U86" s="3"/>
      <c r="V86" s="3"/>
      <c r="W86" s="3"/>
      <c r="X86" s="3"/>
      <c r="Y86" s="3"/>
      <c r="Z86" s="3"/>
      <c r="AA86" s="3"/>
    </row>
    <row r="87" spans="1:27" ht="22.5" customHeight="1" x14ac:dyDescent="0.85">
      <c r="A87" s="3"/>
      <c r="B87" s="3"/>
      <c r="C87" s="3"/>
      <c r="D87" s="3"/>
      <c r="E87" s="3"/>
      <c r="F87" s="3"/>
      <c r="G87" s="3"/>
      <c r="H87" s="3"/>
      <c r="I87" s="3"/>
      <c r="J87" s="3"/>
      <c r="K87" s="3"/>
      <c r="L87" s="3"/>
      <c r="M87" s="3"/>
      <c r="N87" s="3"/>
      <c r="O87" s="3"/>
      <c r="P87" s="3"/>
      <c r="Q87" s="3"/>
      <c r="R87" s="3"/>
      <c r="S87" s="3"/>
      <c r="T87" s="3"/>
      <c r="U87" s="3"/>
      <c r="V87" s="3"/>
      <c r="W87" s="3"/>
      <c r="X87" s="3"/>
      <c r="Y87" s="3"/>
      <c r="Z87" s="3"/>
      <c r="AA87" s="3"/>
    </row>
    <row r="88" spans="1:27" ht="22.5" customHeight="1" x14ac:dyDescent="0.85">
      <c r="A88" s="3"/>
      <c r="B88" s="3"/>
      <c r="C88" s="3"/>
      <c r="D88" s="3"/>
      <c r="E88" s="3"/>
      <c r="F88" s="3"/>
      <c r="G88" s="3"/>
      <c r="H88" s="3"/>
      <c r="I88" s="3"/>
      <c r="J88" s="3"/>
      <c r="K88" s="3"/>
      <c r="L88" s="3"/>
      <c r="M88" s="3"/>
      <c r="N88" s="3"/>
      <c r="O88" s="3"/>
      <c r="P88" s="3"/>
      <c r="Q88" s="3"/>
      <c r="R88" s="3"/>
      <c r="S88" s="3"/>
      <c r="T88" s="3"/>
      <c r="U88" s="3"/>
      <c r="V88" s="3"/>
      <c r="W88" s="3"/>
      <c r="X88" s="3"/>
      <c r="Y88" s="3"/>
      <c r="Z88" s="3"/>
      <c r="AA88" s="3"/>
    </row>
    <row r="89" spans="1:27" ht="22.5" customHeight="1" x14ac:dyDescent="0.85">
      <c r="A89" s="3"/>
      <c r="B89" s="3"/>
      <c r="C89" s="3"/>
      <c r="D89" s="3"/>
      <c r="E89" s="3"/>
      <c r="F89" s="3"/>
      <c r="G89" s="3"/>
      <c r="H89" s="3"/>
      <c r="I89" s="3"/>
      <c r="J89" s="3"/>
      <c r="K89" s="3"/>
      <c r="L89" s="3"/>
      <c r="M89" s="3"/>
      <c r="N89" s="3"/>
      <c r="O89" s="3"/>
      <c r="P89" s="3"/>
      <c r="Q89" s="3"/>
      <c r="R89" s="3"/>
      <c r="S89" s="3"/>
      <c r="T89" s="3"/>
      <c r="U89" s="3"/>
      <c r="V89" s="3"/>
      <c r="W89" s="3"/>
      <c r="X89" s="3"/>
      <c r="Y89" s="3"/>
      <c r="Z89" s="3"/>
      <c r="AA89" s="3"/>
    </row>
    <row r="90" spans="1:27" ht="22.5" customHeight="1" x14ac:dyDescent="0.85">
      <c r="A90" s="3"/>
      <c r="B90" s="3"/>
      <c r="C90" s="3"/>
      <c r="D90" s="3"/>
      <c r="E90" s="3"/>
      <c r="F90" s="3"/>
      <c r="G90" s="3"/>
      <c r="H90" s="3"/>
      <c r="I90" s="3"/>
      <c r="J90" s="3"/>
      <c r="K90" s="3"/>
      <c r="L90" s="3"/>
      <c r="M90" s="3"/>
      <c r="N90" s="3"/>
      <c r="O90" s="3"/>
      <c r="P90" s="3"/>
      <c r="Q90" s="3"/>
      <c r="R90" s="3"/>
      <c r="S90" s="3"/>
      <c r="T90" s="3"/>
      <c r="U90" s="3"/>
      <c r="V90" s="3"/>
      <c r="W90" s="3"/>
      <c r="X90" s="3"/>
      <c r="Y90" s="3"/>
      <c r="Z90" s="3"/>
      <c r="AA90" s="3"/>
    </row>
    <row r="91" spans="1:27" ht="22.5" customHeight="1" x14ac:dyDescent="0.85">
      <c r="A91" s="3"/>
      <c r="B91" s="3"/>
      <c r="C91" s="3"/>
      <c r="D91" s="3"/>
      <c r="E91" s="3"/>
      <c r="F91" s="3"/>
      <c r="G91" s="3"/>
      <c r="H91" s="3"/>
      <c r="I91" s="3"/>
      <c r="J91" s="3"/>
      <c r="K91" s="3"/>
      <c r="L91" s="3"/>
      <c r="M91" s="3"/>
      <c r="N91" s="3"/>
      <c r="O91" s="3"/>
      <c r="P91" s="3"/>
      <c r="Q91" s="3"/>
      <c r="R91" s="3"/>
      <c r="S91" s="3"/>
      <c r="T91" s="3"/>
      <c r="U91" s="3"/>
      <c r="V91" s="3"/>
      <c r="W91" s="3"/>
      <c r="X91" s="3"/>
      <c r="Y91" s="3"/>
      <c r="Z91" s="3"/>
      <c r="AA91" s="3"/>
    </row>
    <row r="92" spans="1:27" ht="22.5" customHeight="1" x14ac:dyDescent="0.85">
      <c r="A92" s="3"/>
      <c r="B92" s="3"/>
      <c r="C92" s="3"/>
      <c r="D92" s="3"/>
      <c r="E92" s="3"/>
      <c r="F92" s="3"/>
      <c r="G92" s="3"/>
      <c r="H92" s="3"/>
      <c r="I92" s="3"/>
      <c r="J92" s="3"/>
      <c r="K92" s="3"/>
      <c r="L92" s="3"/>
      <c r="M92" s="3"/>
      <c r="N92" s="3"/>
      <c r="O92" s="3"/>
      <c r="P92" s="3"/>
      <c r="Q92" s="3"/>
      <c r="R92" s="3"/>
      <c r="S92" s="3"/>
      <c r="T92" s="3"/>
      <c r="U92" s="3"/>
      <c r="V92" s="3"/>
      <c r="W92" s="3"/>
      <c r="X92" s="3"/>
      <c r="Y92" s="3"/>
      <c r="Z92" s="3"/>
      <c r="AA92" s="3"/>
    </row>
    <row r="93" spans="1:27" ht="22.5" customHeight="1" x14ac:dyDescent="0.85">
      <c r="A93" s="3"/>
      <c r="B93" s="3"/>
      <c r="C93" s="3"/>
      <c r="D93" s="3"/>
      <c r="E93" s="3"/>
      <c r="F93" s="3"/>
      <c r="G93" s="3"/>
      <c r="H93" s="3"/>
      <c r="I93" s="3"/>
      <c r="J93" s="3"/>
      <c r="K93" s="3"/>
      <c r="L93" s="3"/>
      <c r="M93" s="3"/>
      <c r="N93" s="3"/>
      <c r="O93" s="3"/>
      <c r="P93" s="3"/>
      <c r="Q93" s="3"/>
      <c r="R93" s="3"/>
      <c r="S93" s="3"/>
      <c r="T93" s="3"/>
      <c r="U93" s="3"/>
      <c r="V93" s="3"/>
      <c r="W93" s="3"/>
      <c r="X93" s="3"/>
      <c r="Y93" s="3"/>
      <c r="Z93" s="3"/>
      <c r="AA93" s="3"/>
    </row>
    <row r="94" spans="1:27" ht="22.5" customHeight="1" x14ac:dyDescent="0.85">
      <c r="A94" s="3"/>
      <c r="B94" s="3"/>
      <c r="C94" s="3"/>
      <c r="D94" s="3"/>
      <c r="E94" s="3"/>
      <c r="F94" s="3"/>
      <c r="G94" s="3"/>
      <c r="H94" s="3"/>
      <c r="I94" s="3"/>
      <c r="J94" s="3"/>
      <c r="K94" s="3"/>
      <c r="L94" s="3"/>
      <c r="M94" s="3"/>
      <c r="N94" s="3"/>
      <c r="O94" s="3"/>
      <c r="P94" s="3"/>
      <c r="Q94" s="3"/>
      <c r="R94" s="3"/>
      <c r="S94" s="3"/>
      <c r="T94" s="3"/>
      <c r="U94" s="3"/>
      <c r="V94" s="3"/>
      <c r="W94" s="3"/>
      <c r="X94" s="3"/>
      <c r="Y94" s="3"/>
      <c r="Z94" s="3"/>
      <c r="AA94" s="3"/>
    </row>
    <row r="95" spans="1:27" ht="22.5" customHeight="1" x14ac:dyDescent="0.85">
      <c r="A95" s="3"/>
      <c r="B95" s="3"/>
      <c r="C95" s="3"/>
      <c r="D95" s="3"/>
      <c r="E95" s="3"/>
      <c r="F95" s="3"/>
      <c r="G95" s="3"/>
      <c r="H95" s="3"/>
      <c r="I95" s="3"/>
      <c r="J95" s="3"/>
      <c r="K95" s="3"/>
      <c r="L95" s="3"/>
      <c r="M95" s="3"/>
      <c r="N95" s="3"/>
      <c r="O95" s="3"/>
      <c r="P95" s="3"/>
      <c r="Q95" s="3"/>
      <c r="R95" s="3"/>
      <c r="S95" s="3"/>
      <c r="T95" s="3"/>
      <c r="U95" s="3"/>
      <c r="V95" s="3"/>
      <c r="W95" s="3"/>
      <c r="X95" s="3"/>
      <c r="Y95" s="3"/>
      <c r="Z95" s="3"/>
      <c r="AA95" s="3"/>
    </row>
    <row r="96" spans="1:27" ht="22.5" customHeight="1" x14ac:dyDescent="0.85">
      <c r="A96" s="3"/>
      <c r="B96" s="3"/>
      <c r="C96" s="3"/>
      <c r="D96" s="3"/>
      <c r="E96" s="3"/>
      <c r="F96" s="3"/>
      <c r="G96" s="3"/>
      <c r="H96" s="3"/>
      <c r="I96" s="3"/>
      <c r="J96" s="3"/>
      <c r="K96" s="3"/>
      <c r="L96" s="3"/>
      <c r="M96" s="3"/>
      <c r="N96" s="3"/>
      <c r="O96" s="3"/>
      <c r="P96" s="3"/>
      <c r="Q96" s="3"/>
      <c r="R96" s="3"/>
      <c r="S96" s="3"/>
      <c r="T96" s="3"/>
      <c r="U96" s="3"/>
      <c r="V96" s="3"/>
      <c r="W96" s="3"/>
      <c r="X96" s="3"/>
      <c r="Y96" s="3"/>
      <c r="Z96" s="3"/>
      <c r="AA96" s="3"/>
    </row>
    <row r="97" spans="1:27" ht="22.5" customHeight="1" x14ac:dyDescent="0.85">
      <c r="A97" s="3"/>
      <c r="B97" s="3"/>
      <c r="C97" s="3"/>
      <c r="D97" s="3"/>
      <c r="E97" s="3"/>
      <c r="F97" s="3"/>
      <c r="G97" s="3"/>
      <c r="H97" s="3"/>
      <c r="I97" s="3"/>
      <c r="J97" s="3"/>
      <c r="K97" s="3"/>
      <c r="L97" s="3"/>
      <c r="M97" s="3"/>
      <c r="N97" s="3"/>
      <c r="O97" s="3"/>
      <c r="P97" s="3"/>
      <c r="Q97" s="3"/>
      <c r="R97" s="3"/>
      <c r="S97" s="3"/>
      <c r="T97" s="3"/>
      <c r="U97" s="3"/>
      <c r="V97" s="3"/>
      <c r="W97" s="3"/>
      <c r="X97" s="3"/>
      <c r="Y97" s="3"/>
      <c r="Z97" s="3"/>
      <c r="AA97" s="3"/>
    </row>
    <row r="98" spans="1:27" ht="22.5" customHeight="1" x14ac:dyDescent="0.85">
      <c r="A98" s="3"/>
      <c r="B98" s="3"/>
      <c r="C98" s="3"/>
      <c r="D98" s="3"/>
      <c r="E98" s="3"/>
      <c r="F98" s="3"/>
      <c r="G98" s="3"/>
      <c r="H98" s="3"/>
      <c r="I98" s="3"/>
      <c r="J98" s="3"/>
      <c r="K98" s="3"/>
      <c r="L98" s="3"/>
      <c r="M98" s="3"/>
      <c r="N98" s="3"/>
      <c r="O98" s="3"/>
      <c r="P98" s="3"/>
      <c r="Q98" s="3"/>
      <c r="R98" s="3"/>
      <c r="S98" s="3"/>
      <c r="T98" s="3"/>
      <c r="U98" s="3"/>
      <c r="V98" s="3"/>
      <c r="W98" s="3"/>
      <c r="X98" s="3"/>
      <c r="Y98" s="3"/>
      <c r="Z98" s="3"/>
      <c r="AA98" s="3"/>
    </row>
    <row r="99" spans="1:27" ht="22.5" customHeight="1" x14ac:dyDescent="0.85">
      <c r="A99" s="3"/>
      <c r="B99" s="3"/>
      <c r="C99" s="3"/>
      <c r="D99" s="3"/>
      <c r="E99" s="3"/>
      <c r="F99" s="3"/>
      <c r="G99" s="3"/>
      <c r="H99" s="3"/>
      <c r="I99" s="3"/>
      <c r="J99" s="3"/>
      <c r="K99" s="3"/>
      <c r="L99" s="3"/>
      <c r="M99" s="3"/>
      <c r="N99" s="3"/>
      <c r="O99" s="3"/>
      <c r="P99" s="3"/>
      <c r="Q99" s="3"/>
      <c r="R99" s="3"/>
      <c r="S99" s="3"/>
      <c r="T99" s="3"/>
      <c r="U99" s="3"/>
      <c r="V99" s="3"/>
      <c r="W99" s="3"/>
      <c r="X99" s="3"/>
      <c r="Y99" s="3"/>
      <c r="Z99" s="3"/>
      <c r="AA99" s="3"/>
    </row>
    <row r="100" spans="1:27" ht="22.5" customHeight="1" x14ac:dyDescent="0.8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row>
    <row r="101" spans="1:27" ht="22.5" customHeight="1" x14ac:dyDescent="0.8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row>
    <row r="102" spans="1:27" ht="22.5" customHeight="1" x14ac:dyDescent="0.8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row>
    <row r="103" spans="1:27" ht="22.5" customHeight="1" x14ac:dyDescent="0.8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row>
    <row r="104" spans="1:27" ht="22.5" customHeight="1" x14ac:dyDescent="0.8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row>
    <row r="105" spans="1:27" ht="22.5" customHeight="1" x14ac:dyDescent="0.8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row>
    <row r="106" spans="1:27" ht="22.5" customHeight="1" x14ac:dyDescent="0.8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row>
    <row r="107" spans="1:27" ht="22.5" customHeight="1" x14ac:dyDescent="0.8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row>
    <row r="108" spans="1:27" ht="22.5" customHeight="1" x14ac:dyDescent="0.8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row>
    <row r="109" spans="1:27" ht="22.5" customHeight="1" x14ac:dyDescent="0.8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row>
    <row r="110" spans="1:27" ht="22.5" customHeight="1" x14ac:dyDescent="0.8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row>
    <row r="111" spans="1:27" ht="22.5" customHeight="1" x14ac:dyDescent="0.8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row>
    <row r="112" spans="1:27" ht="22.5" customHeight="1" x14ac:dyDescent="0.8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row>
    <row r="113" spans="1:27" ht="22.5" customHeight="1" x14ac:dyDescent="0.8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row>
    <row r="114" spans="1:27" ht="22.5" customHeight="1" x14ac:dyDescent="0.8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row>
    <row r="115" spans="1:27" ht="22.5" customHeight="1" x14ac:dyDescent="0.8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row>
    <row r="116" spans="1:27" ht="22.5" customHeight="1" x14ac:dyDescent="0.8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row>
    <row r="117" spans="1:27" ht="22.5" customHeight="1" x14ac:dyDescent="0.8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row>
    <row r="118" spans="1:27" ht="22.5" customHeight="1" x14ac:dyDescent="0.8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row>
    <row r="119" spans="1:27" ht="22.5" customHeight="1" x14ac:dyDescent="0.8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row>
    <row r="120" spans="1:27" ht="22.5" customHeight="1" x14ac:dyDescent="0.8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row>
    <row r="121" spans="1:27" ht="22.5" customHeight="1" x14ac:dyDescent="0.8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row>
    <row r="122" spans="1:27" ht="22.5" customHeight="1" x14ac:dyDescent="0.8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row>
    <row r="123" spans="1:27" ht="22.5" customHeight="1" x14ac:dyDescent="0.8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row>
    <row r="124" spans="1:27" ht="22.5" customHeight="1" x14ac:dyDescent="0.8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row>
    <row r="125" spans="1:27" ht="22.5" customHeight="1" x14ac:dyDescent="0.8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row>
    <row r="126" spans="1:27" ht="22.5" customHeight="1" x14ac:dyDescent="0.8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row>
    <row r="127" spans="1:27" ht="22.5" customHeight="1" x14ac:dyDescent="0.8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row>
    <row r="128" spans="1:27" ht="22.5" customHeight="1" x14ac:dyDescent="0.8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row>
    <row r="129" spans="1:27" ht="22.5" customHeight="1" x14ac:dyDescent="0.8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row>
    <row r="130" spans="1:27" ht="22.5" customHeight="1" x14ac:dyDescent="0.8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row>
    <row r="131" spans="1:27" ht="22.5" customHeight="1" x14ac:dyDescent="0.8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row>
    <row r="132" spans="1:27" ht="22.5" customHeight="1" x14ac:dyDescent="0.8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row>
    <row r="133" spans="1:27" ht="22.5" customHeight="1" x14ac:dyDescent="0.8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row>
    <row r="134" spans="1:27" ht="22.5" customHeight="1" x14ac:dyDescent="0.8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row>
    <row r="135" spans="1:27" ht="22.5" customHeight="1" x14ac:dyDescent="0.8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row>
    <row r="136" spans="1:27" ht="22.5" customHeight="1" x14ac:dyDescent="0.8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row>
    <row r="137" spans="1:27" ht="22.5" customHeight="1" x14ac:dyDescent="0.8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row>
    <row r="138" spans="1:27" ht="22.5" customHeight="1" x14ac:dyDescent="0.8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row>
    <row r="139" spans="1:27" ht="22.5" customHeight="1" x14ac:dyDescent="0.8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row>
    <row r="140" spans="1:27" ht="22.5" customHeight="1" x14ac:dyDescent="0.8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row>
    <row r="141" spans="1:27" ht="22.5" customHeight="1" x14ac:dyDescent="0.8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row>
    <row r="142" spans="1:27" ht="22.5" customHeight="1" x14ac:dyDescent="0.8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row>
    <row r="143" spans="1:27" ht="22.5" customHeight="1" x14ac:dyDescent="0.8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row>
    <row r="144" spans="1:27" ht="22.5" customHeight="1" x14ac:dyDescent="0.8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row>
    <row r="145" spans="1:27" ht="22.5" customHeight="1" x14ac:dyDescent="0.8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row>
    <row r="146" spans="1:27" ht="22.5" customHeight="1" x14ac:dyDescent="0.8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row>
    <row r="147" spans="1:27" ht="22.5" customHeight="1" x14ac:dyDescent="0.8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row>
    <row r="148" spans="1:27" ht="22.5" customHeight="1" x14ac:dyDescent="0.8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row>
    <row r="149" spans="1:27" ht="22.5" customHeight="1" x14ac:dyDescent="0.8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row>
    <row r="150" spans="1:27" ht="22.5" customHeight="1" x14ac:dyDescent="0.8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row>
    <row r="151" spans="1:27" ht="22.5" customHeight="1" x14ac:dyDescent="0.8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row>
    <row r="152" spans="1:27" ht="22.5" customHeight="1" x14ac:dyDescent="0.8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row>
    <row r="153" spans="1:27" ht="22.5" customHeight="1" x14ac:dyDescent="0.8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row>
    <row r="154" spans="1:27" ht="22.5" customHeight="1" x14ac:dyDescent="0.8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row>
    <row r="155" spans="1:27" ht="22.5" customHeight="1" x14ac:dyDescent="0.8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row>
    <row r="156" spans="1:27" ht="22.5" customHeight="1" x14ac:dyDescent="0.8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row>
    <row r="157" spans="1:27" ht="22.5" customHeight="1" x14ac:dyDescent="0.8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row>
    <row r="158" spans="1:27" ht="22.5" customHeight="1" x14ac:dyDescent="0.8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row>
    <row r="159" spans="1:27" ht="22.5" customHeight="1" x14ac:dyDescent="0.8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row>
    <row r="160" spans="1:27" ht="22.5" customHeight="1" x14ac:dyDescent="0.8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row>
    <row r="161" spans="1:27" ht="22.5" customHeight="1" x14ac:dyDescent="0.8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row>
    <row r="162" spans="1:27" ht="22.5" customHeight="1" x14ac:dyDescent="0.8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row>
    <row r="163" spans="1:27" ht="22.5" customHeight="1" x14ac:dyDescent="0.8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row>
    <row r="164" spans="1:27" ht="22.5" customHeight="1" x14ac:dyDescent="0.8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row>
    <row r="165" spans="1:27" ht="22.5" customHeight="1" x14ac:dyDescent="0.8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row>
    <row r="166" spans="1:27" ht="22.5" customHeight="1" x14ac:dyDescent="0.8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row>
    <row r="167" spans="1:27" ht="22.5" customHeight="1" x14ac:dyDescent="0.8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row>
    <row r="168" spans="1:27" ht="22.5" customHeight="1" x14ac:dyDescent="0.8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row>
    <row r="169" spans="1:27" ht="22.5" customHeight="1" x14ac:dyDescent="0.8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row>
    <row r="170" spans="1:27" ht="22.5" customHeight="1" x14ac:dyDescent="0.8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row>
    <row r="171" spans="1:27" ht="22.5" customHeight="1" x14ac:dyDescent="0.8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row>
    <row r="172" spans="1:27" ht="22.5" customHeight="1" x14ac:dyDescent="0.8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row>
    <row r="173" spans="1:27" ht="22.5" customHeight="1" x14ac:dyDescent="0.8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row>
    <row r="174" spans="1:27" ht="22.5" customHeight="1" x14ac:dyDescent="0.8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row>
    <row r="175" spans="1:27" ht="22.5" customHeight="1" x14ac:dyDescent="0.8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row>
    <row r="176" spans="1:27" ht="22.5" customHeight="1" x14ac:dyDescent="0.8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row>
    <row r="177" spans="1:27" ht="22.5" customHeight="1" x14ac:dyDescent="0.8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row>
    <row r="178" spans="1:27" ht="22.5" customHeight="1" x14ac:dyDescent="0.8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row>
    <row r="179" spans="1:27" ht="22.5" customHeight="1" x14ac:dyDescent="0.8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row>
    <row r="180" spans="1:27" ht="22.5" customHeight="1" x14ac:dyDescent="0.8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row>
    <row r="181" spans="1:27" ht="22.5" customHeight="1" x14ac:dyDescent="0.8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row>
    <row r="182" spans="1:27" ht="22.5" customHeight="1" x14ac:dyDescent="0.8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row>
    <row r="183" spans="1:27" ht="22.5" customHeight="1" x14ac:dyDescent="0.8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row>
    <row r="184" spans="1:27" ht="22.5" customHeight="1" x14ac:dyDescent="0.8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row>
    <row r="185" spans="1:27" ht="22.5" customHeight="1" x14ac:dyDescent="0.8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row>
    <row r="186" spans="1:27" ht="22.5" customHeight="1" x14ac:dyDescent="0.8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row>
    <row r="187" spans="1:27" ht="22.5" customHeight="1" x14ac:dyDescent="0.8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row>
    <row r="188" spans="1:27" ht="22.5" customHeight="1" x14ac:dyDescent="0.8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row>
    <row r="189" spans="1:27" ht="22.5" customHeight="1" x14ac:dyDescent="0.8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row>
    <row r="190" spans="1:27" ht="22.5" customHeight="1" x14ac:dyDescent="0.8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row>
    <row r="191" spans="1:27" ht="22.5" customHeight="1" x14ac:dyDescent="0.8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row>
    <row r="192" spans="1:27" ht="22.5" customHeight="1" x14ac:dyDescent="0.8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row>
    <row r="193" spans="1:27" ht="22.5" customHeight="1" x14ac:dyDescent="0.8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row>
    <row r="194" spans="1:27" ht="22.5" customHeight="1" x14ac:dyDescent="0.8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row>
    <row r="195" spans="1:27" ht="22.5" customHeight="1" x14ac:dyDescent="0.8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row>
    <row r="196" spans="1:27" ht="22.5" customHeight="1" x14ac:dyDescent="0.8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row>
    <row r="197" spans="1:27" ht="22.5" customHeight="1" x14ac:dyDescent="0.8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row>
    <row r="198" spans="1:27" ht="22.5" customHeight="1" x14ac:dyDescent="0.8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row>
    <row r="199" spans="1:27" ht="22.5" customHeight="1" x14ac:dyDescent="0.8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row>
    <row r="200" spans="1:27" ht="22.5" customHeight="1" x14ac:dyDescent="0.8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row>
    <row r="201" spans="1:27" ht="22.5" customHeight="1" x14ac:dyDescent="0.8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row>
    <row r="202" spans="1:27" ht="22.5" customHeight="1" x14ac:dyDescent="0.8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row>
    <row r="203" spans="1:27" ht="22.5" customHeight="1" x14ac:dyDescent="0.8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row>
    <row r="204" spans="1:27" ht="22.5" customHeight="1" x14ac:dyDescent="0.8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row>
    <row r="205" spans="1:27" ht="22.5" customHeight="1" x14ac:dyDescent="0.8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row>
    <row r="206" spans="1:27" ht="22.5" customHeight="1" x14ac:dyDescent="0.8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row>
    <row r="207" spans="1:27" ht="22.5" customHeight="1" x14ac:dyDescent="0.8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row>
    <row r="208" spans="1:27" ht="22.5" customHeight="1" x14ac:dyDescent="0.8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row>
    <row r="209" spans="1:27" ht="22.5" customHeight="1" x14ac:dyDescent="0.8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row>
    <row r="210" spans="1:27" ht="22.5" customHeight="1" x14ac:dyDescent="0.8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row>
    <row r="211" spans="1:27" ht="22.5" customHeight="1" x14ac:dyDescent="0.8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row>
    <row r="212" spans="1:27" ht="22.5" customHeight="1" x14ac:dyDescent="0.8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row>
    <row r="213" spans="1:27" ht="22.5" customHeight="1" x14ac:dyDescent="0.8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row>
    <row r="214" spans="1:27" ht="22.5" customHeight="1" x14ac:dyDescent="0.8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row>
    <row r="215" spans="1:27" ht="22.5" customHeight="1" x14ac:dyDescent="0.8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row>
    <row r="216" spans="1:27" ht="22.5" customHeight="1" x14ac:dyDescent="0.8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row>
    <row r="217" spans="1:27" ht="22.5" customHeight="1" x14ac:dyDescent="0.8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row>
    <row r="218" spans="1:27" ht="22.5" customHeight="1" x14ac:dyDescent="0.8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row>
    <row r="219" spans="1:27" ht="22.5" customHeight="1" x14ac:dyDescent="0.8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row>
    <row r="220" spans="1:27" ht="22.5" customHeight="1" x14ac:dyDescent="0.8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row>
    <row r="221" spans="1:27" ht="22.5" customHeight="1" x14ac:dyDescent="0.8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row>
    <row r="222" spans="1:27" ht="22.5" customHeight="1" x14ac:dyDescent="0.8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row>
    <row r="223" spans="1:27" ht="22.5" customHeight="1" x14ac:dyDescent="0.8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row>
    <row r="224" spans="1:27" ht="22.5" customHeight="1" x14ac:dyDescent="0.8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row>
    <row r="225" spans="1:27" ht="22.5" customHeight="1" x14ac:dyDescent="0.8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row>
    <row r="226" spans="1:27" ht="22.5" customHeight="1" x14ac:dyDescent="0.8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row>
    <row r="227" spans="1:27" ht="22.5" customHeight="1" x14ac:dyDescent="0.8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row>
    <row r="228" spans="1:27" ht="22.5" customHeight="1" x14ac:dyDescent="0.8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row>
    <row r="229" spans="1:27" ht="22.5" customHeight="1" x14ac:dyDescent="0.8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row>
    <row r="230" spans="1:27" ht="22.5" customHeight="1" x14ac:dyDescent="0.8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row>
    <row r="231" spans="1:27" ht="22.5" customHeight="1" x14ac:dyDescent="0.8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row>
    <row r="232" spans="1:27" ht="22.5" customHeight="1" x14ac:dyDescent="0.8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row>
    <row r="233" spans="1:27" ht="22.5" customHeight="1" x14ac:dyDescent="0.8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row>
    <row r="234" spans="1:27" ht="22.5" customHeight="1" x14ac:dyDescent="0.8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row>
    <row r="235" spans="1:27" ht="22.5" customHeight="1" x14ac:dyDescent="0.8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row>
    <row r="236" spans="1:27" ht="22.5" customHeight="1" x14ac:dyDescent="0.8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row>
    <row r="237" spans="1:27" ht="22.5" customHeight="1" x14ac:dyDescent="0.8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row>
    <row r="238" spans="1:27" ht="22.5" customHeight="1" x14ac:dyDescent="0.8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row>
    <row r="239" spans="1:27" ht="22.5" customHeight="1" x14ac:dyDescent="0.8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row>
    <row r="240" spans="1:27" ht="22.5" customHeight="1" x14ac:dyDescent="0.8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row>
    <row r="241" spans="1:27" ht="22.5" customHeight="1" x14ac:dyDescent="0.8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row>
    <row r="242" spans="1:27" ht="22.5" customHeight="1" x14ac:dyDescent="0.8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row>
    <row r="243" spans="1:27" ht="22.5" customHeight="1" x14ac:dyDescent="0.8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row>
    <row r="244" spans="1:27" ht="22.5" customHeight="1" x14ac:dyDescent="0.8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row>
    <row r="245" spans="1:27" ht="22.5" customHeight="1" x14ac:dyDescent="0.8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row>
    <row r="246" spans="1:27" ht="22.5" customHeight="1" x14ac:dyDescent="0.8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row>
    <row r="247" spans="1:27" ht="22.5" customHeight="1" x14ac:dyDescent="0.8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row>
    <row r="248" spans="1:27" ht="22.5" customHeight="1" x14ac:dyDescent="0.8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row>
    <row r="249" spans="1:27" ht="22.5" customHeight="1" x14ac:dyDescent="0.8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row>
    <row r="250" spans="1:27" ht="22.5" customHeight="1" x14ac:dyDescent="0.8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row>
    <row r="251" spans="1:27" ht="22.5" customHeight="1" x14ac:dyDescent="0.8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row>
    <row r="252" spans="1:27" ht="22.5" customHeight="1" x14ac:dyDescent="0.8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row>
    <row r="253" spans="1:27" ht="22.5" customHeight="1" x14ac:dyDescent="0.8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row>
    <row r="254" spans="1:27" ht="22.5" customHeight="1" x14ac:dyDescent="0.8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row>
    <row r="255" spans="1:27" ht="22.5" customHeight="1" x14ac:dyDescent="0.8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row>
    <row r="256" spans="1:27" ht="22.5" customHeight="1" x14ac:dyDescent="0.8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row>
    <row r="257" spans="1:27" ht="22.5" customHeight="1" x14ac:dyDescent="0.8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row>
    <row r="258" spans="1:27" ht="22.5" customHeight="1" x14ac:dyDescent="0.8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row>
    <row r="259" spans="1:27" ht="22.5" customHeight="1" x14ac:dyDescent="0.8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row>
    <row r="260" spans="1:27" ht="22.5" customHeight="1" x14ac:dyDescent="0.8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row>
    <row r="261" spans="1:27" ht="22.5" customHeight="1" x14ac:dyDescent="0.8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row>
    <row r="262" spans="1:27" ht="22.5" customHeight="1" x14ac:dyDescent="0.8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row>
    <row r="263" spans="1:27" ht="22.5" customHeight="1" x14ac:dyDescent="0.8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row>
    <row r="264" spans="1:27" ht="22.5" customHeight="1" x14ac:dyDescent="0.8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row>
    <row r="265" spans="1:27" ht="22.5" customHeight="1" x14ac:dyDescent="0.8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row>
    <row r="266" spans="1:27" ht="22.5" customHeight="1" x14ac:dyDescent="0.8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row>
    <row r="267" spans="1:27" ht="22.5" customHeight="1" x14ac:dyDescent="0.8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row>
    <row r="268" spans="1:27" ht="22.5" customHeight="1" x14ac:dyDescent="0.8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row>
    <row r="269" spans="1:27" ht="22.5" customHeight="1" x14ac:dyDescent="0.8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row>
    <row r="270" spans="1:27" ht="22.5" customHeight="1" x14ac:dyDescent="0.8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row>
    <row r="271" spans="1:27" ht="22.5" customHeight="1" x14ac:dyDescent="0.8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row>
    <row r="272" spans="1:27" ht="22.5" customHeight="1" x14ac:dyDescent="0.8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row>
    <row r="273" spans="1:27" ht="22.5" customHeight="1" x14ac:dyDescent="0.8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row>
    <row r="274" spans="1:27" ht="22.5" customHeight="1" x14ac:dyDescent="0.8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row>
    <row r="275" spans="1:27" ht="22.5" customHeight="1" x14ac:dyDescent="0.8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row>
    <row r="276" spans="1:27" ht="22.5" customHeight="1" x14ac:dyDescent="0.8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row>
    <row r="277" spans="1:27" ht="22.5" customHeight="1" x14ac:dyDescent="0.8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row>
    <row r="278" spans="1:27" ht="22.5" customHeight="1" x14ac:dyDescent="0.8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row>
    <row r="279" spans="1:27" ht="22.5" customHeight="1" x14ac:dyDescent="0.8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row>
    <row r="280" spans="1:27" ht="22.5" customHeight="1" x14ac:dyDescent="0.8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row>
    <row r="281" spans="1:27" ht="22.5" customHeight="1" x14ac:dyDescent="0.8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row>
    <row r="282" spans="1:27" ht="22.5" customHeight="1" x14ac:dyDescent="0.8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row>
    <row r="283" spans="1:27" ht="22.5" customHeight="1" x14ac:dyDescent="0.8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row>
    <row r="284" spans="1:27" ht="22.5" customHeight="1" x14ac:dyDescent="0.8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row>
    <row r="285" spans="1:27" ht="22.5" customHeight="1" x14ac:dyDescent="0.8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row>
    <row r="286" spans="1:27" ht="22.5" customHeight="1" x14ac:dyDescent="0.8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row>
    <row r="287" spans="1:27" ht="22.5" customHeight="1" x14ac:dyDescent="0.8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row>
    <row r="288" spans="1:27" ht="22.5" customHeight="1" x14ac:dyDescent="0.8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row>
    <row r="289" spans="1:27" ht="22.5" customHeight="1" x14ac:dyDescent="0.8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row>
    <row r="290" spans="1:27" ht="22.5" customHeight="1" x14ac:dyDescent="0.8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row>
    <row r="291" spans="1:27" ht="22.5" customHeight="1" x14ac:dyDescent="0.8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row>
    <row r="292" spans="1:27" ht="22.5" customHeight="1" x14ac:dyDescent="0.8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row>
    <row r="293" spans="1:27" ht="22.5" customHeight="1" x14ac:dyDescent="0.8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row>
    <row r="294" spans="1:27" ht="22.5" customHeight="1" x14ac:dyDescent="0.8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row>
    <row r="295" spans="1:27" ht="22.5" customHeight="1" x14ac:dyDescent="0.8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row>
    <row r="296" spans="1:27" ht="22.5" customHeight="1" x14ac:dyDescent="0.8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row>
    <row r="297" spans="1:27" ht="22.5" customHeight="1" x14ac:dyDescent="0.8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row>
    <row r="298" spans="1:27" ht="22.5" customHeight="1" x14ac:dyDescent="0.8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row>
    <row r="299" spans="1:27" ht="22.5" customHeight="1" x14ac:dyDescent="0.8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row>
    <row r="300" spans="1:27" ht="22.5" customHeight="1" x14ac:dyDescent="0.8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row>
    <row r="301" spans="1:27" ht="22.5" customHeight="1" x14ac:dyDescent="0.8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row>
    <row r="302" spans="1:27" ht="22.5" customHeight="1" x14ac:dyDescent="0.8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row>
    <row r="303" spans="1:27" ht="22.5" customHeight="1" x14ac:dyDescent="0.8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row>
    <row r="304" spans="1:27" ht="22.5" customHeight="1" x14ac:dyDescent="0.8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row>
    <row r="305" spans="1:27" ht="22.5" customHeight="1" x14ac:dyDescent="0.8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row>
    <row r="306" spans="1:27" ht="22.5" customHeight="1" x14ac:dyDescent="0.8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row>
    <row r="307" spans="1:27" ht="22.5" customHeight="1" x14ac:dyDescent="0.8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row>
    <row r="308" spans="1:27" ht="22.5" customHeight="1" x14ac:dyDescent="0.8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row>
    <row r="309" spans="1:27" ht="22.5" customHeight="1" x14ac:dyDescent="0.8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row>
    <row r="310" spans="1:27" ht="22.5" customHeight="1" x14ac:dyDescent="0.8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row>
    <row r="311" spans="1:27" ht="22.5" customHeight="1" x14ac:dyDescent="0.8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row>
    <row r="312" spans="1:27" ht="22.5" customHeight="1" x14ac:dyDescent="0.8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row>
    <row r="313" spans="1:27" ht="22.5" customHeight="1" x14ac:dyDescent="0.8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row>
    <row r="314" spans="1:27" ht="22.5" customHeight="1" x14ac:dyDescent="0.8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row>
    <row r="315" spans="1:27" ht="22.5" customHeight="1" x14ac:dyDescent="0.8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row>
    <row r="316" spans="1:27" ht="22.5" customHeight="1" x14ac:dyDescent="0.8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row>
    <row r="317" spans="1:27" ht="22.5" customHeight="1" x14ac:dyDescent="0.8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row>
    <row r="318" spans="1:27" ht="22.5" customHeight="1" x14ac:dyDescent="0.8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row>
    <row r="319" spans="1:27" ht="22.5" customHeight="1" x14ac:dyDescent="0.8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row>
    <row r="320" spans="1:27" ht="22.5" customHeight="1" x14ac:dyDescent="0.8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row>
    <row r="321" spans="1:27" ht="22.5" customHeight="1" x14ac:dyDescent="0.8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row>
    <row r="322" spans="1:27" ht="22.5" customHeight="1" x14ac:dyDescent="0.8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row>
    <row r="323" spans="1:27" ht="22.5" customHeight="1" x14ac:dyDescent="0.8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row>
    <row r="324" spans="1:27" ht="22.5" customHeight="1" x14ac:dyDescent="0.8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row>
    <row r="325" spans="1:27" ht="22.5" customHeight="1" x14ac:dyDescent="0.8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row>
    <row r="326" spans="1:27" ht="22.5" customHeight="1" x14ac:dyDescent="0.8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row>
    <row r="327" spans="1:27" ht="22.5" customHeight="1" x14ac:dyDescent="0.8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row>
    <row r="328" spans="1:27" ht="22.5" customHeight="1" x14ac:dyDescent="0.8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row>
    <row r="329" spans="1:27" ht="22.5" customHeight="1" x14ac:dyDescent="0.8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row>
    <row r="330" spans="1:27" ht="22.5" customHeight="1" x14ac:dyDescent="0.8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row>
    <row r="331" spans="1:27" ht="22.5" customHeight="1" x14ac:dyDescent="0.8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row>
    <row r="332" spans="1:27" ht="22.5" customHeight="1" x14ac:dyDescent="0.8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row>
    <row r="333" spans="1:27" ht="22.5" customHeight="1" x14ac:dyDescent="0.8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row>
    <row r="334" spans="1:27" ht="22.5" customHeight="1" x14ac:dyDescent="0.8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row>
    <row r="335" spans="1:27" ht="22.5" customHeight="1" x14ac:dyDescent="0.8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row>
    <row r="336" spans="1:27" ht="22.5" customHeight="1" x14ac:dyDescent="0.8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row>
    <row r="337" spans="1:27" ht="22.5" customHeight="1" x14ac:dyDescent="0.8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row>
    <row r="338" spans="1:27" ht="22.5" customHeight="1" x14ac:dyDescent="0.8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row>
    <row r="339" spans="1:27" ht="22.5" customHeight="1" x14ac:dyDescent="0.8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row>
    <row r="340" spans="1:27" ht="22.5" customHeight="1" x14ac:dyDescent="0.8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row>
    <row r="341" spans="1:27" ht="22.5" customHeight="1" x14ac:dyDescent="0.8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row>
    <row r="342" spans="1:27" ht="22.5" customHeight="1" x14ac:dyDescent="0.8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row>
    <row r="343" spans="1:27" ht="22.5" customHeight="1" x14ac:dyDescent="0.8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row>
    <row r="344" spans="1:27" ht="22.5" customHeight="1" x14ac:dyDescent="0.8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row>
    <row r="345" spans="1:27" ht="22.5" customHeight="1" x14ac:dyDescent="0.8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row>
    <row r="346" spans="1:27" ht="22.5" customHeight="1" x14ac:dyDescent="0.8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row>
    <row r="347" spans="1:27" ht="22.5" customHeight="1" x14ac:dyDescent="0.8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row>
    <row r="348" spans="1:27" ht="22.5" customHeight="1" x14ac:dyDescent="0.8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row>
    <row r="349" spans="1:27" ht="22.5" customHeight="1" x14ac:dyDescent="0.8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c r="AA349" s="3"/>
    </row>
    <row r="350" spans="1:27" ht="22.5" customHeight="1" x14ac:dyDescent="0.8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c r="AA350" s="3"/>
    </row>
    <row r="351" spans="1:27" ht="22.5" customHeight="1" x14ac:dyDescent="0.8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c r="AA351" s="3"/>
    </row>
    <row r="352" spans="1:27" ht="22.5" customHeight="1" x14ac:dyDescent="0.8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c r="AA352" s="3"/>
    </row>
    <row r="353" spans="1:27" ht="22.5" customHeight="1" x14ac:dyDescent="0.8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c r="AA353" s="3"/>
    </row>
    <row r="354" spans="1:27" ht="22.5" customHeight="1" x14ac:dyDescent="0.8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c r="AA354" s="3"/>
    </row>
    <row r="355" spans="1:27" ht="22.5" customHeight="1" x14ac:dyDescent="0.8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c r="AA355" s="3"/>
    </row>
    <row r="356" spans="1:27" ht="22.5" customHeight="1" x14ac:dyDescent="0.8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c r="AA356" s="3"/>
    </row>
    <row r="357" spans="1:27" ht="22.5" customHeight="1" x14ac:dyDescent="0.8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c r="AA357" s="3"/>
    </row>
    <row r="358" spans="1:27" ht="22.5" customHeight="1" x14ac:dyDescent="0.8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c r="AA358" s="3"/>
    </row>
    <row r="359" spans="1:27" ht="22.5" customHeight="1" x14ac:dyDescent="0.8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c r="AA359" s="3"/>
    </row>
    <row r="360" spans="1:27" ht="22.5" customHeight="1" x14ac:dyDescent="0.8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c r="AA360" s="3"/>
    </row>
    <row r="361" spans="1:27" ht="22.5" customHeight="1" x14ac:dyDescent="0.8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c r="AA361" s="3"/>
    </row>
    <row r="362" spans="1:27" ht="22.5" customHeight="1" x14ac:dyDescent="0.8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c r="AA362" s="3"/>
    </row>
    <row r="363" spans="1:27" ht="22.5" customHeight="1" x14ac:dyDescent="0.8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c r="AA363" s="3"/>
    </row>
    <row r="364" spans="1:27" ht="22.5" customHeight="1" x14ac:dyDescent="0.8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c r="AA364" s="3"/>
    </row>
    <row r="365" spans="1:27" ht="22.5" customHeight="1" x14ac:dyDescent="0.8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c r="AA365" s="3"/>
    </row>
    <row r="366" spans="1:27" ht="22.5" customHeight="1" x14ac:dyDescent="0.8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c r="AA366" s="3"/>
    </row>
    <row r="367" spans="1:27" ht="22.5" customHeight="1" x14ac:dyDescent="0.8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c r="AA367" s="3"/>
    </row>
    <row r="368" spans="1:27" ht="22.5" customHeight="1" x14ac:dyDescent="0.8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c r="AA368" s="3"/>
    </row>
    <row r="369" spans="1:27" ht="22.5" customHeight="1" x14ac:dyDescent="0.8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c r="AA369" s="3"/>
    </row>
    <row r="370" spans="1:27" ht="22.5" customHeight="1" x14ac:dyDescent="0.8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c r="AA370" s="3"/>
    </row>
    <row r="371" spans="1:27" ht="22.5" customHeight="1" x14ac:dyDescent="0.8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c r="AA371" s="3"/>
    </row>
    <row r="372" spans="1:27" ht="22.5" customHeight="1" x14ac:dyDescent="0.8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c r="AA372" s="3"/>
    </row>
    <row r="373" spans="1:27" ht="22.5" customHeight="1" x14ac:dyDescent="0.8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c r="AA373" s="3"/>
    </row>
    <row r="374" spans="1:27" ht="22.5" customHeight="1" x14ac:dyDescent="0.8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c r="AA374" s="3"/>
    </row>
    <row r="375" spans="1:27" ht="22.5" customHeight="1" x14ac:dyDescent="0.8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c r="AA375" s="3"/>
    </row>
    <row r="376" spans="1:27" ht="22.5" customHeight="1" x14ac:dyDescent="0.8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c r="AA376" s="3"/>
    </row>
    <row r="377" spans="1:27" ht="22.5" customHeight="1" x14ac:dyDescent="0.8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c r="AA377" s="3"/>
    </row>
    <row r="378" spans="1:27" ht="22.5" customHeight="1" x14ac:dyDescent="0.8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c r="AA378" s="3"/>
    </row>
    <row r="379" spans="1:27" ht="22.5" customHeight="1" x14ac:dyDescent="0.8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c r="AA379" s="3"/>
    </row>
    <row r="380" spans="1:27" ht="22.5" customHeight="1" x14ac:dyDescent="0.8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c r="AA380" s="3"/>
    </row>
    <row r="381" spans="1:27" ht="22.5" customHeight="1" x14ac:dyDescent="0.8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c r="AA381" s="3"/>
    </row>
    <row r="382" spans="1:27" ht="22.5" customHeight="1" x14ac:dyDescent="0.8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c r="AA382" s="3"/>
    </row>
    <row r="383" spans="1:27" ht="22.5" customHeight="1" x14ac:dyDescent="0.8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c r="AA383" s="3"/>
    </row>
    <row r="384" spans="1:27" ht="22.5" customHeight="1" x14ac:dyDescent="0.8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c r="AA384" s="3"/>
    </row>
    <row r="385" spans="1:27" ht="22.5" customHeight="1" x14ac:dyDescent="0.8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c r="AA385" s="3"/>
    </row>
    <row r="386" spans="1:27" ht="22.5" customHeight="1" x14ac:dyDescent="0.8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c r="AA386" s="3"/>
    </row>
    <row r="387" spans="1:27" ht="22.5" customHeight="1" x14ac:dyDescent="0.8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c r="AA387" s="3"/>
    </row>
    <row r="388" spans="1:27" ht="22.5" customHeight="1" x14ac:dyDescent="0.8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c r="AA388" s="3"/>
    </row>
    <row r="389" spans="1:27" ht="22.5" customHeight="1" x14ac:dyDescent="0.8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c r="AA389" s="3"/>
    </row>
    <row r="390" spans="1:27" ht="22.5" customHeight="1" x14ac:dyDescent="0.8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c r="AA390" s="3"/>
    </row>
    <row r="391" spans="1:27" ht="22.5" customHeight="1" x14ac:dyDescent="0.8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c r="AA391" s="3"/>
    </row>
    <row r="392" spans="1:27" ht="22.5" customHeight="1" x14ac:dyDescent="0.8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c r="AA392" s="3"/>
    </row>
    <row r="393" spans="1:27" ht="22.5" customHeight="1" x14ac:dyDescent="0.8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c r="AA393" s="3"/>
    </row>
    <row r="394" spans="1:27" ht="22.5" customHeight="1" x14ac:dyDescent="0.8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c r="AA394" s="3"/>
    </row>
    <row r="395" spans="1:27" ht="22.5" customHeight="1" x14ac:dyDescent="0.8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c r="AA395" s="3"/>
    </row>
    <row r="396" spans="1:27" ht="22.5" customHeight="1" x14ac:dyDescent="0.8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c r="AA396" s="3"/>
    </row>
    <row r="397" spans="1:27" ht="22.5" customHeight="1" x14ac:dyDescent="0.8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c r="AA397" s="3"/>
    </row>
    <row r="398" spans="1:27" ht="22.5" customHeight="1" x14ac:dyDescent="0.8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c r="AA398" s="3"/>
    </row>
    <row r="399" spans="1:27" ht="22.5" customHeight="1" x14ac:dyDescent="0.8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c r="AA399" s="3"/>
    </row>
    <row r="400" spans="1:27" ht="22.5" customHeight="1" x14ac:dyDescent="0.8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c r="AA400" s="3"/>
    </row>
    <row r="401" spans="1:27" ht="22.5" customHeight="1" x14ac:dyDescent="0.8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c r="AA401" s="3"/>
    </row>
    <row r="402" spans="1:27" ht="22.5" customHeight="1" x14ac:dyDescent="0.8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c r="AA402" s="3"/>
    </row>
    <row r="403" spans="1:27" ht="22.5" customHeight="1" x14ac:dyDescent="0.8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c r="AA403" s="3"/>
    </row>
    <row r="404" spans="1:27" ht="22.5" customHeight="1" x14ac:dyDescent="0.8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c r="AA404" s="3"/>
    </row>
    <row r="405" spans="1:27" ht="22.5" customHeight="1" x14ac:dyDescent="0.8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c r="AA405" s="3"/>
    </row>
    <row r="406" spans="1:27" ht="22.5" customHeight="1" x14ac:dyDescent="0.8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c r="AA406" s="3"/>
    </row>
    <row r="407" spans="1:27" ht="22.5" customHeight="1" x14ac:dyDescent="0.8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c r="AA407" s="3"/>
    </row>
    <row r="408" spans="1:27" ht="22.5" customHeight="1" x14ac:dyDescent="0.8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c r="AA408" s="3"/>
    </row>
    <row r="409" spans="1:27" ht="22.5" customHeight="1" x14ac:dyDescent="0.8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c r="AA409" s="3"/>
    </row>
    <row r="410" spans="1:27" ht="22.5" customHeight="1" x14ac:dyDescent="0.8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c r="AA410" s="3"/>
    </row>
    <row r="411" spans="1:27" ht="22.5" customHeight="1" x14ac:dyDescent="0.8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c r="AA411" s="3"/>
    </row>
    <row r="412" spans="1:27" ht="22.5" customHeight="1" x14ac:dyDescent="0.8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c r="AA412" s="3"/>
    </row>
    <row r="413" spans="1:27" ht="22.5" customHeight="1" x14ac:dyDescent="0.8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c r="AA413" s="3"/>
    </row>
    <row r="414" spans="1:27" ht="22.5" customHeight="1" x14ac:dyDescent="0.8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c r="AA414" s="3"/>
    </row>
    <row r="415" spans="1:27" ht="22.5" customHeight="1" x14ac:dyDescent="0.8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c r="AA415" s="3"/>
    </row>
    <row r="416" spans="1:27" ht="22.5" customHeight="1" x14ac:dyDescent="0.8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c r="AA416" s="3"/>
    </row>
    <row r="417" spans="1:27" ht="22.5" customHeight="1" x14ac:dyDescent="0.8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c r="AA417" s="3"/>
    </row>
    <row r="418" spans="1:27" ht="22.5" customHeight="1" x14ac:dyDescent="0.8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c r="AA418" s="3"/>
    </row>
    <row r="419" spans="1:27" ht="22.5" customHeight="1" x14ac:dyDescent="0.8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c r="AA419" s="3"/>
    </row>
    <row r="420" spans="1:27" ht="22.5" customHeight="1" x14ac:dyDescent="0.8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c r="AA420" s="3"/>
    </row>
    <row r="421" spans="1:27" ht="22.5" customHeight="1" x14ac:dyDescent="0.8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c r="AA421" s="3"/>
    </row>
    <row r="422" spans="1:27" ht="22.5" customHeight="1" x14ac:dyDescent="0.8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c r="AA422" s="3"/>
    </row>
    <row r="423" spans="1:27" ht="22.5" customHeight="1" x14ac:dyDescent="0.8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c r="AA423" s="3"/>
    </row>
    <row r="424" spans="1:27" ht="22.5" customHeight="1" x14ac:dyDescent="0.8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c r="AA424" s="3"/>
    </row>
    <row r="425" spans="1:27" ht="22.5" customHeight="1" x14ac:dyDescent="0.8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c r="AA425" s="3"/>
    </row>
    <row r="426" spans="1:27" ht="22.5" customHeight="1" x14ac:dyDescent="0.8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c r="AA426" s="3"/>
    </row>
    <row r="427" spans="1:27" ht="22.5" customHeight="1" x14ac:dyDescent="0.8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c r="AA427" s="3"/>
    </row>
    <row r="428" spans="1:27" ht="22.5" customHeight="1" x14ac:dyDescent="0.8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c r="AA428" s="3"/>
    </row>
    <row r="429" spans="1:27" ht="22.5" customHeight="1" x14ac:dyDescent="0.8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c r="AA429" s="3"/>
    </row>
    <row r="430" spans="1:27" ht="22.5" customHeight="1" x14ac:dyDescent="0.8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c r="AA430" s="3"/>
    </row>
    <row r="431" spans="1:27" ht="22.5" customHeight="1" x14ac:dyDescent="0.8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c r="AA431" s="3"/>
    </row>
    <row r="432" spans="1:27" ht="22.5" customHeight="1" x14ac:dyDescent="0.8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c r="AA432" s="3"/>
    </row>
    <row r="433" spans="1:27" ht="22.5" customHeight="1" x14ac:dyDescent="0.8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c r="AA433" s="3"/>
    </row>
    <row r="434" spans="1:27" ht="22.5" customHeight="1" x14ac:dyDescent="0.8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c r="AA434" s="3"/>
    </row>
    <row r="435" spans="1:27" ht="22.5" customHeight="1" x14ac:dyDescent="0.8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c r="AA435" s="3"/>
    </row>
    <row r="436" spans="1:27" ht="22.5" customHeight="1" x14ac:dyDescent="0.8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c r="AA436" s="3"/>
    </row>
    <row r="437" spans="1:27" ht="22.5" customHeight="1" x14ac:dyDescent="0.8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c r="AA437" s="3"/>
    </row>
    <row r="438" spans="1:27" ht="22.5" customHeight="1" x14ac:dyDescent="0.8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c r="AA438" s="3"/>
    </row>
    <row r="439" spans="1:27" ht="22.5" customHeight="1" x14ac:dyDescent="0.8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c r="AA439" s="3"/>
    </row>
    <row r="440" spans="1:27" ht="22.5" customHeight="1" x14ac:dyDescent="0.8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c r="AA440" s="3"/>
    </row>
    <row r="441" spans="1:27" ht="22.5" customHeight="1" x14ac:dyDescent="0.8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c r="AA441" s="3"/>
    </row>
    <row r="442" spans="1:27" ht="22.5" customHeight="1" x14ac:dyDescent="0.8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c r="AA442" s="3"/>
    </row>
    <row r="443" spans="1:27" ht="22.5" customHeight="1" x14ac:dyDescent="0.8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c r="AA443" s="3"/>
    </row>
    <row r="444" spans="1:27" ht="22.5" customHeight="1" x14ac:dyDescent="0.8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c r="AA444" s="3"/>
    </row>
    <row r="445" spans="1:27" ht="22.5" customHeight="1" x14ac:dyDescent="0.8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c r="AA445" s="3"/>
    </row>
    <row r="446" spans="1:27" ht="22.5" customHeight="1" x14ac:dyDescent="0.8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c r="AA446" s="3"/>
    </row>
    <row r="447" spans="1:27" ht="22.5" customHeight="1" x14ac:dyDescent="0.8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c r="AA447" s="3"/>
    </row>
    <row r="448" spans="1:27" ht="22.5" customHeight="1" x14ac:dyDescent="0.8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c r="AA448" s="3"/>
    </row>
    <row r="449" spans="1:27" ht="22.5" customHeight="1" x14ac:dyDescent="0.8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c r="AA449" s="3"/>
    </row>
    <row r="450" spans="1:27" ht="22.5" customHeight="1" x14ac:dyDescent="0.8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c r="AA450" s="3"/>
    </row>
    <row r="451" spans="1:27" ht="22.5" customHeight="1" x14ac:dyDescent="0.8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c r="AA451" s="3"/>
    </row>
    <row r="452" spans="1:27" ht="22.5" customHeight="1" x14ac:dyDescent="0.8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c r="AA452" s="3"/>
    </row>
    <row r="453" spans="1:27" ht="22.5" customHeight="1" x14ac:dyDescent="0.8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c r="AA453" s="3"/>
    </row>
    <row r="454" spans="1:27" ht="22.5" customHeight="1" x14ac:dyDescent="0.8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c r="AA454" s="3"/>
    </row>
    <row r="455" spans="1:27" ht="22.5" customHeight="1" x14ac:dyDescent="0.8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c r="AA455" s="3"/>
    </row>
    <row r="456" spans="1:27" ht="22.5" customHeight="1" x14ac:dyDescent="0.8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c r="AA456" s="3"/>
    </row>
    <row r="457" spans="1:27" ht="22.5" customHeight="1" x14ac:dyDescent="0.8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c r="AA457" s="3"/>
    </row>
    <row r="458" spans="1:27" ht="22.5" customHeight="1" x14ac:dyDescent="0.8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c r="AA458" s="3"/>
    </row>
    <row r="459" spans="1:27" ht="22.5" customHeight="1" x14ac:dyDescent="0.8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c r="AA459" s="3"/>
    </row>
    <row r="460" spans="1:27" ht="22.5" customHeight="1" x14ac:dyDescent="0.8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c r="AA460" s="3"/>
    </row>
    <row r="461" spans="1:27" ht="22.5" customHeight="1" x14ac:dyDescent="0.8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c r="AA461" s="3"/>
    </row>
    <row r="462" spans="1:27" ht="22.5" customHeight="1" x14ac:dyDescent="0.8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c r="AA462" s="3"/>
    </row>
    <row r="463" spans="1:27" ht="22.5" customHeight="1" x14ac:dyDescent="0.8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c r="AA463" s="3"/>
    </row>
    <row r="464" spans="1:27" ht="22.5" customHeight="1" x14ac:dyDescent="0.8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c r="AA464" s="3"/>
    </row>
    <row r="465" spans="1:27" ht="22.5" customHeight="1" x14ac:dyDescent="0.8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c r="AA465" s="3"/>
    </row>
    <row r="466" spans="1:27" ht="22.5" customHeight="1" x14ac:dyDescent="0.8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c r="AA466" s="3"/>
    </row>
    <row r="467" spans="1:27" ht="22.5" customHeight="1" x14ac:dyDescent="0.8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c r="AA467" s="3"/>
    </row>
    <row r="468" spans="1:27" ht="22.5" customHeight="1" x14ac:dyDescent="0.8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c r="AA468" s="3"/>
    </row>
    <row r="469" spans="1:27" ht="22.5" customHeight="1" x14ac:dyDescent="0.8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c r="AA469" s="3"/>
    </row>
    <row r="470" spans="1:27" ht="22.5" customHeight="1" x14ac:dyDescent="0.8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c r="AA470" s="3"/>
    </row>
    <row r="471" spans="1:27" ht="22.5" customHeight="1" x14ac:dyDescent="0.8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c r="AA471" s="3"/>
    </row>
    <row r="472" spans="1:27" ht="22.5" customHeight="1" x14ac:dyDescent="0.8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c r="AA472" s="3"/>
    </row>
    <row r="473" spans="1:27" ht="22.5" customHeight="1" x14ac:dyDescent="0.8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c r="AA473" s="3"/>
    </row>
    <row r="474" spans="1:27" ht="22.5" customHeight="1" x14ac:dyDescent="0.8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c r="AA474" s="3"/>
    </row>
    <row r="475" spans="1:27" ht="22.5" customHeight="1" x14ac:dyDescent="0.8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c r="AA475" s="3"/>
    </row>
    <row r="476" spans="1:27" ht="22.5" customHeight="1" x14ac:dyDescent="0.8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c r="AA476" s="3"/>
    </row>
    <row r="477" spans="1:27" ht="22.5" customHeight="1" x14ac:dyDescent="0.8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c r="AA477" s="3"/>
    </row>
    <row r="478" spans="1:27" ht="22.5" customHeight="1" x14ac:dyDescent="0.8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c r="AA478" s="3"/>
    </row>
    <row r="479" spans="1:27" ht="22.5" customHeight="1" x14ac:dyDescent="0.8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c r="AA479" s="3"/>
    </row>
    <row r="480" spans="1:27" ht="22.5" customHeight="1" x14ac:dyDescent="0.8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c r="AA480" s="3"/>
    </row>
    <row r="481" spans="1:27" ht="22.5" customHeight="1" x14ac:dyDescent="0.8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c r="AA481" s="3"/>
    </row>
    <row r="482" spans="1:27" ht="22.5" customHeight="1" x14ac:dyDescent="0.8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c r="AA482" s="3"/>
    </row>
    <row r="483" spans="1:27" ht="22.5" customHeight="1" x14ac:dyDescent="0.8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c r="AA483" s="3"/>
    </row>
    <row r="484" spans="1:27" ht="22.5" customHeight="1" x14ac:dyDescent="0.8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c r="AA484" s="3"/>
    </row>
    <row r="485" spans="1:27" ht="22.5" customHeight="1" x14ac:dyDescent="0.8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c r="AA485" s="3"/>
    </row>
    <row r="486" spans="1:27" ht="22.5" customHeight="1" x14ac:dyDescent="0.8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c r="AA486" s="3"/>
    </row>
    <row r="487" spans="1:27" ht="22.5" customHeight="1" x14ac:dyDescent="0.8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c r="AA487" s="3"/>
    </row>
    <row r="488" spans="1:27" ht="22.5" customHeight="1" x14ac:dyDescent="0.8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c r="AA488" s="3"/>
    </row>
    <row r="489" spans="1:27" ht="22.5" customHeight="1" x14ac:dyDescent="0.8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c r="AA489" s="3"/>
    </row>
    <row r="490" spans="1:27" ht="22.5" customHeight="1" x14ac:dyDescent="0.8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c r="AA490" s="3"/>
    </row>
    <row r="491" spans="1:27" ht="22.5" customHeight="1" x14ac:dyDescent="0.8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c r="AA491" s="3"/>
    </row>
    <row r="492" spans="1:27" ht="22.5" customHeight="1" x14ac:dyDescent="0.8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c r="AA492" s="3"/>
    </row>
    <row r="493" spans="1:27" ht="22.5" customHeight="1" x14ac:dyDescent="0.8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c r="AA493" s="3"/>
    </row>
    <row r="494" spans="1:27" ht="22.5" customHeight="1" x14ac:dyDescent="0.8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c r="AA494" s="3"/>
    </row>
    <row r="495" spans="1:27" ht="22.5" customHeight="1" x14ac:dyDescent="0.8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c r="AA495" s="3"/>
    </row>
    <row r="496" spans="1:27" ht="22.5" customHeight="1" x14ac:dyDescent="0.8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c r="AA496" s="3"/>
    </row>
    <row r="497" spans="1:27" ht="22.5" customHeight="1" x14ac:dyDescent="0.8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c r="AA497" s="3"/>
    </row>
    <row r="498" spans="1:27" ht="22.5" customHeight="1" x14ac:dyDescent="0.8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c r="AA498" s="3"/>
    </row>
    <row r="499" spans="1:27" ht="22.5" customHeight="1" x14ac:dyDescent="0.8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c r="AA499" s="3"/>
    </row>
    <row r="500" spans="1:27" ht="22.5" customHeight="1" x14ac:dyDescent="0.8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c r="AA500" s="3"/>
    </row>
    <row r="501" spans="1:27" ht="22.5" customHeight="1" x14ac:dyDescent="0.8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c r="AA501" s="3"/>
    </row>
    <row r="502" spans="1:27" ht="22.5" customHeight="1" x14ac:dyDescent="0.8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c r="AA502" s="3"/>
    </row>
    <row r="503" spans="1:27" ht="22.5" customHeight="1" x14ac:dyDescent="0.8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c r="AA503" s="3"/>
    </row>
    <row r="504" spans="1:27" ht="22.5" customHeight="1" x14ac:dyDescent="0.8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c r="AA504" s="3"/>
    </row>
    <row r="505" spans="1:27" ht="22.5" customHeight="1" x14ac:dyDescent="0.8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c r="AA505" s="3"/>
    </row>
    <row r="506" spans="1:27" ht="22.5" customHeight="1" x14ac:dyDescent="0.8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c r="AA506" s="3"/>
    </row>
    <row r="507" spans="1:27" ht="22.5" customHeight="1" x14ac:dyDescent="0.8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c r="AA507" s="3"/>
    </row>
    <row r="508" spans="1:27" ht="22.5" customHeight="1" x14ac:dyDescent="0.8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c r="AA508" s="3"/>
    </row>
    <row r="509" spans="1:27" ht="22.5" customHeight="1" x14ac:dyDescent="0.8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c r="AA509" s="3"/>
    </row>
    <row r="510" spans="1:27" ht="22.5" customHeight="1" x14ac:dyDescent="0.8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c r="AA510" s="3"/>
    </row>
    <row r="511" spans="1:27" ht="22.5" customHeight="1" x14ac:dyDescent="0.8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c r="AA511" s="3"/>
    </row>
    <row r="512" spans="1:27" ht="22.5" customHeight="1" x14ac:dyDescent="0.8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c r="AA512" s="3"/>
    </row>
    <row r="513" spans="1:27" ht="22.5" customHeight="1" x14ac:dyDescent="0.8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c r="AA513" s="3"/>
    </row>
    <row r="514" spans="1:27" ht="22.5" customHeight="1" x14ac:dyDescent="0.8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c r="AA514" s="3"/>
    </row>
    <row r="515" spans="1:27" ht="22.5" customHeight="1" x14ac:dyDescent="0.8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c r="AA515" s="3"/>
    </row>
    <row r="516" spans="1:27" ht="22.5" customHeight="1" x14ac:dyDescent="0.8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c r="AA516" s="3"/>
    </row>
    <row r="517" spans="1:27" ht="22.5" customHeight="1" x14ac:dyDescent="0.8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c r="AA517" s="3"/>
    </row>
    <row r="518" spans="1:27" ht="22.5" customHeight="1" x14ac:dyDescent="0.8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c r="AA518" s="3"/>
    </row>
    <row r="519" spans="1:27" ht="22.5" customHeight="1" x14ac:dyDescent="0.8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c r="AA519" s="3"/>
    </row>
    <row r="520" spans="1:27" ht="22.5" customHeight="1" x14ac:dyDescent="0.8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c r="AA520" s="3"/>
    </row>
    <row r="521" spans="1:27" ht="22.5" customHeight="1" x14ac:dyDescent="0.8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c r="AA521" s="3"/>
    </row>
    <row r="522" spans="1:27" ht="22.5" customHeight="1" x14ac:dyDescent="0.8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c r="AA522" s="3"/>
    </row>
    <row r="523" spans="1:27" ht="22.5" customHeight="1" x14ac:dyDescent="0.8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c r="AA523" s="3"/>
    </row>
    <row r="524" spans="1:27" ht="22.5" customHeight="1" x14ac:dyDescent="0.8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c r="AA524" s="3"/>
    </row>
    <row r="525" spans="1:27" ht="22.5" customHeight="1" x14ac:dyDescent="0.8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c r="AA525" s="3"/>
    </row>
    <row r="526" spans="1:27" ht="22.5" customHeight="1" x14ac:dyDescent="0.8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c r="AA526" s="3"/>
    </row>
    <row r="527" spans="1:27" ht="22.5" customHeight="1" x14ac:dyDescent="0.8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c r="AA527" s="3"/>
    </row>
    <row r="528" spans="1:27" ht="22.5" customHeight="1" x14ac:dyDescent="0.8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c r="AA528" s="3"/>
    </row>
    <row r="529" spans="1:27" ht="22.5" customHeight="1" x14ac:dyDescent="0.8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c r="AA529" s="3"/>
    </row>
    <row r="530" spans="1:27" ht="22.5" customHeight="1" x14ac:dyDescent="0.8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c r="AA530" s="3"/>
    </row>
    <row r="531" spans="1:27" ht="22.5" customHeight="1" x14ac:dyDescent="0.8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c r="AA531" s="3"/>
    </row>
    <row r="532" spans="1:27" ht="22.5" customHeight="1" x14ac:dyDescent="0.8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c r="AA532" s="3"/>
    </row>
    <row r="533" spans="1:27" ht="22.5" customHeight="1" x14ac:dyDescent="0.8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c r="AA533" s="3"/>
    </row>
    <row r="534" spans="1:27" ht="22.5" customHeight="1" x14ac:dyDescent="0.8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c r="AA534" s="3"/>
    </row>
    <row r="535" spans="1:27" ht="22.5" customHeight="1" x14ac:dyDescent="0.8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c r="AA535" s="3"/>
    </row>
    <row r="536" spans="1:27" ht="22.5" customHeight="1" x14ac:dyDescent="0.8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c r="AA536" s="3"/>
    </row>
    <row r="537" spans="1:27" ht="22.5" customHeight="1" x14ac:dyDescent="0.8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c r="AA537" s="3"/>
    </row>
    <row r="538" spans="1:27" ht="22.5" customHeight="1" x14ac:dyDescent="0.8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c r="AA538" s="3"/>
    </row>
    <row r="539" spans="1:27" ht="22.5" customHeight="1" x14ac:dyDescent="0.8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c r="AA539" s="3"/>
    </row>
    <row r="540" spans="1:27" ht="22.5" customHeight="1" x14ac:dyDescent="0.8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c r="AA540" s="3"/>
    </row>
    <row r="541" spans="1:27" ht="22.5" customHeight="1" x14ac:dyDescent="0.8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c r="AA541" s="3"/>
    </row>
    <row r="542" spans="1:27" ht="22.5" customHeight="1" x14ac:dyDescent="0.8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c r="AA542" s="3"/>
    </row>
    <row r="543" spans="1:27" ht="22.5" customHeight="1" x14ac:dyDescent="0.8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c r="AA543" s="3"/>
    </row>
    <row r="544" spans="1:27" ht="22.5" customHeight="1" x14ac:dyDescent="0.8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c r="AA544" s="3"/>
    </row>
    <row r="545" spans="1:27" ht="22.5" customHeight="1" x14ac:dyDescent="0.8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c r="AA545" s="3"/>
    </row>
    <row r="546" spans="1:27" ht="22.5" customHeight="1" x14ac:dyDescent="0.8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c r="AA546" s="3"/>
    </row>
    <row r="547" spans="1:27" ht="22.5" customHeight="1" x14ac:dyDescent="0.8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c r="AA547" s="3"/>
    </row>
    <row r="548" spans="1:27" ht="22.5" customHeight="1" x14ac:dyDescent="0.8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c r="AA548" s="3"/>
    </row>
    <row r="549" spans="1:27" ht="22.5" customHeight="1" x14ac:dyDescent="0.8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c r="AA549" s="3"/>
    </row>
    <row r="550" spans="1:27" ht="22.5" customHeight="1" x14ac:dyDescent="0.8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c r="AA550" s="3"/>
    </row>
    <row r="551" spans="1:27" ht="22.5" customHeight="1" x14ac:dyDescent="0.8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c r="AA551" s="3"/>
    </row>
    <row r="552" spans="1:27" ht="22.5" customHeight="1" x14ac:dyDescent="0.8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c r="AA552" s="3"/>
    </row>
    <row r="553" spans="1:27" ht="22.5" customHeight="1" x14ac:dyDescent="0.8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c r="AA553" s="3"/>
    </row>
    <row r="554" spans="1:27" ht="22.5" customHeight="1" x14ac:dyDescent="0.8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c r="AA554" s="3"/>
    </row>
    <row r="555" spans="1:27" ht="22.5" customHeight="1" x14ac:dyDescent="0.8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c r="AA555" s="3"/>
    </row>
    <row r="556" spans="1:27" ht="22.5" customHeight="1" x14ac:dyDescent="0.8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c r="AA556" s="3"/>
    </row>
    <row r="557" spans="1:27" ht="22.5" customHeight="1" x14ac:dyDescent="0.8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c r="AA557" s="3"/>
    </row>
    <row r="558" spans="1:27" ht="22.5" customHeight="1" x14ac:dyDescent="0.8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c r="AA558" s="3"/>
    </row>
    <row r="559" spans="1:27" ht="22.5" customHeight="1" x14ac:dyDescent="0.8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c r="AA559" s="3"/>
    </row>
    <row r="560" spans="1:27" ht="22.5" customHeight="1" x14ac:dyDescent="0.8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c r="AA560" s="3"/>
    </row>
    <row r="561" spans="1:27" ht="22.5" customHeight="1" x14ac:dyDescent="0.8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c r="AA561" s="3"/>
    </row>
    <row r="562" spans="1:27" ht="22.5" customHeight="1" x14ac:dyDescent="0.8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c r="AA562" s="3"/>
    </row>
    <row r="563" spans="1:27" ht="22.5" customHeight="1" x14ac:dyDescent="0.8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c r="AA563" s="3"/>
    </row>
    <row r="564" spans="1:27" ht="22.5" customHeight="1" x14ac:dyDescent="0.8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c r="AA564" s="3"/>
    </row>
    <row r="565" spans="1:27" ht="22.5" customHeight="1" x14ac:dyDescent="0.8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c r="AA565" s="3"/>
    </row>
    <row r="566" spans="1:27" ht="22.5" customHeight="1" x14ac:dyDescent="0.8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c r="AA566" s="3"/>
    </row>
    <row r="567" spans="1:27" ht="22.5" customHeight="1" x14ac:dyDescent="0.8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c r="AA567" s="3"/>
    </row>
    <row r="568" spans="1:27" ht="22.5" customHeight="1" x14ac:dyDescent="0.8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c r="AA568" s="3"/>
    </row>
    <row r="569" spans="1:27" ht="22.5" customHeight="1" x14ac:dyDescent="0.8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c r="AA569" s="3"/>
    </row>
    <row r="570" spans="1:27" ht="22.5" customHeight="1" x14ac:dyDescent="0.8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c r="AA570" s="3"/>
    </row>
    <row r="571" spans="1:27" ht="22.5" customHeight="1" x14ac:dyDescent="0.8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c r="AA571" s="3"/>
    </row>
    <row r="572" spans="1:27" ht="22.5" customHeight="1" x14ac:dyDescent="0.8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c r="AA572" s="3"/>
    </row>
    <row r="573" spans="1:27" ht="22.5" customHeight="1" x14ac:dyDescent="0.8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c r="AA573" s="3"/>
    </row>
    <row r="574" spans="1:27" ht="22.5" customHeight="1" x14ac:dyDescent="0.8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c r="AA574" s="3"/>
    </row>
    <row r="575" spans="1:27" ht="22.5" customHeight="1" x14ac:dyDescent="0.8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c r="AA575" s="3"/>
    </row>
    <row r="576" spans="1:27" ht="22.5" customHeight="1" x14ac:dyDescent="0.8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c r="AA576" s="3"/>
    </row>
    <row r="577" spans="1:27" ht="22.5" customHeight="1" x14ac:dyDescent="0.8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c r="AA577" s="3"/>
    </row>
    <row r="578" spans="1:27" ht="22.5" customHeight="1" x14ac:dyDescent="0.8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c r="AA578" s="3"/>
    </row>
    <row r="579" spans="1:27" ht="22.5" customHeight="1" x14ac:dyDescent="0.8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c r="AA579" s="3"/>
    </row>
    <row r="580" spans="1:27" ht="22.5" customHeight="1" x14ac:dyDescent="0.8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c r="AA580" s="3"/>
    </row>
    <row r="581" spans="1:27" ht="22.5" customHeight="1" x14ac:dyDescent="0.8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c r="AA581" s="3"/>
    </row>
    <row r="582" spans="1:27" ht="22.5" customHeight="1" x14ac:dyDescent="0.8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c r="AA582" s="3"/>
    </row>
    <row r="583" spans="1:27" ht="22.5" customHeight="1" x14ac:dyDescent="0.8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c r="AA583" s="3"/>
    </row>
    <row r="584" spans="1:27" ht="22.5" customHeight="1" x14ac:dyDescent="0.8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c r="AA584" s="3"/>
    </row>
    <row r="585" spans="1:27" ht="22.5" customHeight="1" x14ac:dyDescent="0.8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c r="AA585" s="3"/>
    </row>
    <row r="586" spans="1:27" ht="22.5" customHeight="1" x14ac:dyDescent="0.8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c r="AA586" s="3"/>
    </row>
    <row r="587" spans="1:27" ht="22.5" customHeight="1" x14ac:dyDescent="0.8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c r="AA587" s="3"/>
    </row>
    <row r="588" spans="1:27" ht="22.5" customHeight="1" x14ac:dyDescent="0.8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c r="AA588" s="3"/>
    </row>
    <row r="589" spans="1:27" ht="22.5" customHeight="1" x14ac:dyDescent="0.8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c r="AA589" s="3"/>
    </row>
    <row r="590" spans="1:27" ht="22.5" customHeight="1" x14ac:dyDescent="0.8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c r="AA590" s="3"/>
    </row>
    <row r="591" spans="1:27" ht="22.5" customHeight="1" x14ac:dyDescent="0.8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c r="AA591" s="3"/>
    </row>
    <row r="592" spans="1:27" ht="22.5" customHeight="1" x14ac:dyDescent="0.8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c r="AA592" s="3"/>
    </row>
    <row r="593" spans="1:27" ht="22.5" customHeight="1" x14ac:dyDescent="0.8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c r="AA593" s="3"/>
    </row>
    <row r="594" spans="1:27" ht="22.5" customHeight="1" x14ac:dyDescent="0.8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c r="AA594" s="3"/>
    </row>
    <row r="595" spans="1:27" ht="22.5" customHeight="1" x14ac:dyDescent="0.8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c r="AA595" s="3"/>
    </row>
    <row r="596" spans="1:27" ht="22.5" customHeight="1" x14ac:dyDescent="0.8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c r="AA596" s="3"/>
    </row>
    <row r="597" spans="1:27" ht="22.5" customHeight="1" x14ac:dyDescent="0.8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c r="AA597" s="3"/>
    </row>
    <row r="598" spans="1:27" ht="22.5" customHeight="1" x14ac:dyDescent="0.8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c r="AA598" s="3"/>
    </row>
    <row r="599" spans="1:27" ht="22.5" customHeight="1" x14ac:dyDescent="0.8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c r="AA599" s="3"/>
    </row>
    <row r="600" spans="1:27" ht="22.5" customHeight="1" x14ac:dyDescent="0.8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c r="AA600" s="3"/>
    </row>
    <row r="601" spans="1:27" ht="22.5" customHeight="1" x14ac:dyDescent="0.8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c r="AA601" s="3"/>
    </row>
    <row r="602" spans="1:27" ht="22.5" customHeight="1" x14ac:dyDescent="0.8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c r="AA602" s="3"/>
    </row>
    <row r="603" spans="1:27" ht="22.5" customHeight="1" x14ac:dyDescent="0.8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c r="AA603" s="3"/>
    </row>
    <row r="604" spans="1:27" ht="22.5" customHeight="1" x14ac:dyDescent="0.8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c r="AA604" s="3"/>
    </row>
    <row r="605" spans="1:27" ht="22.5" customHeight="1" x14ac:dyDescent="0.8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c r="AA605" s="3"/>
    </row>
    <row r="606" spans="1:27" ht="22.5" customHeight="1" x14ac:dyDescent="0.8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c r="AA606" s="3"/>
    </row>
    <row r="607" spans="1:27" ht="22.5" customHeight="1" x14ac:dyDescent="0.8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c r="AA607" s="3"/>
    </row>
    <row r="608" spans="1:27" ht="22.5" customHeight="1" x14ac:dyDescent="0.8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c r="AA608" s="3"/>
    </row>
    <row r="609" spans="1:27" ht="22.5" customHeight="1" x14ac:dyDescent="0.8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c r="AA609" s="3"/>
    </row>
    <row r="610" spans="1:27" ht="22.5" customHeight="1" x14ac:dyDescent="0.8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c r="AA610" s="3"/>
    </row>
    <row r="611" spans="1:27" ht="22.5" customHeight="1" x14ac:dyDescent="0.8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c r="AA611" s="3"/>
    </row>
    <row r="612" spans="1:27" ht="22.5" customHeight="1" x14ac:dyDescent="0.8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c r="AA612" s="3"/>
    </row>
    <row r="613" spans="1:27" ht="22.5" customHeight="1" x14ac:dyDescent="0.8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c r="AA613" s="3"/>
    </row>
    <row r="614" spans="1:27" ht="22.5" customHeight="1" x14ac:dyDescent="0.8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c r="AA614" s="3"/>
    </row>
    <row r="615" spans="1:27" ht="22.5" customHeight="1" x14ac:dyDescent="0.8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c r="AA615" s="3"/>
    </row>
    <row r="616" spans="1:27" ht="22.5" customHeight="1" x14ac:dyDescent="0.8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c r="AA616" s="3"/>
    </row>
    <row r="617" spans="1:27" ht="22.5" customHeight="1" x14ac:dyDescent="0.8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c r="AA617" s="3"/>
    </row>
    <row r="618" spans="1:27" ht="22.5" customHeight="1" x14ac:dyDescent="0.8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c r="AA618" s="3"/>
    </row>
    <row r="619" spans="1:27" ht="22.5" customHeight="1" x14ac:dyDescent="0.8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c r="AA619" s="3"/>
    </row>
    <row r="620" spans="1:27" ht="22.5" customHeight="1" x14ac:dyDescent="0.8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c r="AA620" s="3"/>
    </row>
    <row r="621" spans="1:27" ht="22.5" customHeight="1" x14ac:dyDescent="0.8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c r="AA621" s="3"/>
    </row>
    <row r="622" spans="1:27" ht="22.5" customHeight="1" x14ac:dyDescent="0.8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c r="AA622" s="3"/>
    </row>
    <row r="623" spans="1:27" ht="22.5" customHeight="1" x14ac:dyDescent="0.8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c r="AA623" s="3"/>
    </row>
    <row r="624" spans="1:27" ht="22.5" customHeight="1" x14ac:dyDescent="0.8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c r="AA624" s="3"/>
    </row>
    <row r="625" spans="1:27" ht="22.5" customHeight="1" x14ac:dyDescent="0.8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c r="AA625" s="3"/>
    </row>
    <row r="626" spans="1:27" ht="22.5" customHeight="1" x14ac:dyDescent="0.8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c r="AA626" s="3"/>
    </row>
    <row r="627" spans="1:27" ht="22.5" customHeight="1" x14ac:dyDescent="0.8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c r="AA627" s="3"/>
    </row>
    <row r="628" spans="1:27" ht="22.5" customHeight="1" x14ac:dyDescent="0.8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c r="AA628" s="3"/>
    </row>
    <row r="629" spans="1:27" ht="22.5" customHeight="1" x14ac:dyDescent="0.8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c r="AA629" s="3"/>
    </row>
    <row r="630" spans="1:27" ht="22.5" customHeight="1" x14ac:dyDescent="0.8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c r="AA630" s="3"/>
    </row>
    <row r="631" spans="1:27" ht="22.5" customHeight="1" x14ac:dyDescent="0.8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c r="AA631" s="3"/>
    </row>
    <row r="632" spans="1:27" ht="22.5" customHeight="1" x14ac:dyDescent="0.8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c r="AA632" s="3"/>
    </row>
    <row r="633" spans="1:27" ht="22.5" customHeight="1" x14ac:dyDescent="0.8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c r="AA633" s="3"/>
    </row>
    <row r="634" spans="1:27" ht="22.5" customHeight="1" x14ac:dyDescent="0.8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c r="AA634" s="3"/>
    </row>
    <row r="635" spans="1:27" ht="22.5" customHeight="1" x14ac:dyDescent="0.8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c r="AA635" s="3"/>
    </row>
    <row r="636" spans="1:27" ht="22.5" customHeight="1" x14ac:dyDescent="0.8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c r="AA636" s="3"/>
    </row>
    <row r="637" spans="1:27" ht="22.5" customHeight="1" x14ac:dyDescent="0.8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c r="AA637" s="3"/>
    </row>
    <row r="638" spans="1:27" ht="22.5" customHeight="1" x14ac:dyDescent="0.8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c r="AA638" s="3"/>
    </row>
    <row r="639" spans="1:27" ht="22.5" customHeight="1" x14ac:dyDescent="0.8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c r="AA639" s="3"/>
    </row>
    <row r="640" spans="1:27" ht="22.5" customHeight="1" x14ac:dyDescent="0.8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c r="AA640" s="3"/>
    </row>
    <row r="641" spans="1:27" ht="22.5" customHeight="1" x14ac:dyDescent="0.8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c r="AA641" s="3"/>
    </row>
    <row r="642" spans="1:27" ht="22.5" customHeight="1" x14ac:dyDescent="0.8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c r="AA642" s="3"/>
    </row>
    <row r="643" spans="1:27" ht="22.5" customHeight="1" x14ac:dyDescent="0.8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c r="AA643" s="3"/>
    </row>
    <row r="644" spans="1:27" ht="22.5" customHeight="1" x14ac:dyDescent="0.8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c r="AA644" s="3"/>
    </row>
    <row r="645" spans="1:27" ht="22.5" customHeight="1" x14ac:dyDescent="0.8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c r="AA645" s="3"/>
    </row>
    <row r="646" spans="1:27" ht="22.5" customHeight="1" x14ac:dyDescent="0.8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c r="AA646" s="3"/>
    </row>
    <row r="647" spans="1:27" ht="22.5" customHeight="1" x14ac:dyDescent="0.8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c r="AA647" s="3"/>
    </row>
    <row r="648" spans="1:27" ht="22.5" customHeight="1" x14ac:dyDescent="0.8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c r="AA648" s="3"/>
    </row>
    <row r="649" spans="1:27" ht="22.5" customHeight="1" x14ac:dyDescent="0.8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c r="AA649" s="3"/>
    </row>
    <row r="650" spans="1:27" ht="22.5" customHeight="1" x14ac:dyDescent="0.8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c r="AA650" s="3"/>
    </row>
    <row r="651" spans="1:27" ht="22.5" customHeight="1" x14ac:dyDescent="0.8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c r="AA651" s="3"/>
    </row>
    <row r="652" spans="1:27" ht="22.5" customHeight="1" x14ac:dyDescent="0.8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c r="AA652" s="3"/>
    </row>
    <row r="653" spans="1:27" ht="22.5" customHeight="1" x14ac:dyDescent="0.8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c r="AA653" s="3"/>
    </row>
    <row r="654" spans="1:27" ht="22.5" customHeight="1" x14ac:dyDescent="0.8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c r="AA654" s="3"/>
    </row>
    <row r="655" spans="1:27" ht="22.5" customHeight="1" x14ac:dyDescent="0.8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c r="AA655" s="3"/>
    </row>
    <row r="656" spans="1:27" ht="22.5" customHeight="1" x14ac:dyDescent="0.8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c r="AA656" s="3"/>
    </row>
    <row r="657" spans="1:27" ht="22.5" customHeight="1" x14ac:dyDescent="0.8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c r="AA657" s="3"/>
    </row>
    <row r="658" spans="1:27" ht="22.5" customHeight="1" x14ac:dyDescent="0.8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c r="AA658" s="3"/>
    </row>
    <row r="659" spans="1:27" ht="22.5" customHeight="1" x14ac:dyDescent="0.8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c r="AA659" s="3"/>
    </row>
    <row r="660" spans="1:27" ht="22.5" customHeight="1" x14ac:dyDescent="0.8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c r="AA660" s="3"/>
    </row>
    <row r="661" spans="1:27" ht="22.5" customHeight="1" x14ac:dyDescent="0.8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c r="AA661" s="3"/>
    </row>
    <row r="662" spans="1:27" ht="22.5" customHeight="1" x14ac:dyDescent="0.8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c r="AA662" s="3"/>
    </row>
    <row r="663" spans="1:27" ht="22.5" customHeight="1" x14ac:dyDescent="0.8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c r="AA663" s="3"/>
    </row>
    <row r="664" spans="1:27" ht="22.5" customHeight="1" x14ac:dyDescent="0.8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c r="AA664" s="3"/>
    </row>
    <row r="665" spans="1:27" ht="22.5" customHeight="1" x14ac:dyDescent="0.8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c r="AA665" s="3"/>
    </row>
    <row r="666" spans="1:27" ht="22.5" customHeight="1" x14ac:dyDescent="0.8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c r="AA666" s="3"/>
    </row>
    <row r="667" spans="1:27" ht="22.5" customHeight="1" x14ac:dyDescent="0.8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c r="AA667" s="3"/>
    </row>
    <row r="668" spans="1:27" ht="22.5" customHeight="1" x14ac:dyDescent="0.8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c r="AA668" s="3"/>
    </row>
    <row r="669" spans="1:27" ht="22.5" customHeight="1" x14ac:dyDescent="0.8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c r="AA669" s="3"/>
    </row>
    <row r="670" spans="1:27" ht="22.5" customHeight="1" x14ac:dyDescent="0.8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c r="AA670" s="3"/>
    </row>
    <row r="671" spans="1:27" ht="22.5" customHeight="1" x14ac:dyDescent="0.8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c r="AA671" s="3"/>
    </row>
    <row r="672" spans="1:27" ht="22.5" customHeight="1" x14ac:dyDescent="0.8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c r="AA672" s="3"/>
    </row>
    <row r="673" spans="1:27" ht="22.5" customHeight="1" x14ac:dyDescent="0.8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c r="AA673" s="3"/>
    </row>
    <row r="674" spans="1:27" ht="22.5" customHeight="1" x14ac:dyDescent="0.8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c r="AA674" s="3"/>
    </row>
    <row r="675" spans="1:27" ht="22.5" customHeight="1" x14ac:dyDescent="0.8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c r="AA675" s="3"/>
    </row>
    <row r="676" spans="1:27" ht="22.5" customHeight="1" x14ac:dyDescent="0.8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c r="AA676" s="3"/>
    </row>
    <row r="677" spans="1:27" ht="22.5" customHeight="1" x14ac:dyDescent="0.8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c r="AA677" s="3"/>
    </row>
    <row r="678" spans="1:27" ht="22.5" customHeight="1" x14ac:dyDescent="0.8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c r="AA678" s="3"/>
    </row>
    <row r="679" spans="1:27" ht="22.5" customHeight="1" x14ac:dyDescent="0.8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c r="AA679" s="3"/>
    </row>
    <row r="680" spans="1:27" ht="22.5" customHeight="1" x14ac:dyDescent="0.8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c r="AA680" s="3"/>
    </row>
    <row r="681" spans="1:27" ht="22.5" customHeight="1" x14ac:dyDescent="0.8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c r="AA681" s="3"/>
    </row>
    <row r="682" spans="1:27" ht="22.5" customHeight="1" x14ac:dyDescent="0.8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c r="AA682" s="3"/>
    </row>
    <row r="683" spans="1:27" ht="22.5" customHeight="1" x14ac:dyDescent="0.8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c r="AA683" s="3"/>
    </row>
    <row r="684" spans="1:27" ht="22.5" customHeight="1" x14ac:dyDescent="0.8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c r="AA684" s="3"/>
    </row>
    <row r="685" spans="1:27" ht="22.5" customHeight="1" x14ac:dyDescent="0.8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c r="AA685" s="3"/>
    </row>
    <row r="686" spans="1:27" ht="22.5" customHeight="1" x14ac:dyDescent="0.8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c r="AA686" s="3"/>
    </row>
    <row r="687" spans="1:27" ht="22.5" customHeight="1" x14ac:dyDescent="0.8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c r="AA687" s="3"/>
    </row>
    <row r="688" spans="1:27" ht="22.5" customHeight="1" x14ac:dyDescent="0.8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c r="AA688" s="3"/>
    </row>
    <row r="689" spans="1:27" ht="22.5" customHeight="1" x14ac:dyDescent="0.8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c r="AA689" s="3"/>
    </row>
    <row r="690" spans="1:27" ht="22.5" customHeight="1" x14ac:dyDescent="0.8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c r="AA690" s="3"/>
    </row>
    <row r="691" spans="1:27" ht="22.5" customHeight="1" x14ac:dyDescent="0.8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c r="AA691" s="3"/>
    </row>
    <row r="692" spans="1:27" ht="22.5" customHeight="1" x14ac:dyDescent="0.8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c r="AA692" s="3"/>
    </row>
    <row r="693" spans="1:27" ht="22.5" customHeight="1" x14ac:dyDescent="0.8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c r="AA693" s="3"/>
    </row>
    <row r="694" spans="1:27" ht="22.5" customHeight="1" x14ac:dyDescent="0.8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c r="AA694" s="3"/>
    </row>
    <row r="695" spans="1:27" ht="22.5" customHeight="1" x14ac:dyDescent="0.8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c r="AA695" s="3"/>
    </row>
    <row r="696" spans="1:27" ht="22.5" customHeight="1" x14ac:dyDescent="0.8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c r="AA696" s="3"/>
    </row>
    <row r="697" spans="1:27" ht="22.5" customHeight="1" x14ac:dyDescent="0.8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c r="AA697" s="3"/>
    </row>
    <row r="698" spans="1:27" ht="22.5" customHeight="1" x14ac:dyDescent="0.8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c r="AA698" s="3"/>
    </row>
    <row r="699" spans="1:27" ht="22.5" customHeight="1" x14ac:dyDescent="0.8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c r="AA699" s="3"/>
    </row>
    <row r="700" spans="1:27" ht="22.5" customHeight="1" x14ac:dyDescent="0.8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c r="AA700" s="3"/>
    </row>
    <row r="701" spans="1:27" ht="22.5" customHeight="1" x14ac:dyDescent="0.8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c r="AA701" s="3"/>
    </row>
    <row r="702" spans="1:27" ht="22.5" customHeight="1" x14ac:dyDescent="0.8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c r="AA702" s="3"/>
    </row>
    <row r="703" spans="1:27" ht="22.5" customHeight="1" x14ac:dyDescent="0.8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c r="AA703" s="3"/>
    </row>
    <row r="704" spans="1:27" ht="22.5" customHeight="1" x14ac:dyDescent="0.8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c r="AA704" s="3"/>
    </row>
    <row r="705" spans="1:27" ht="22.5" customHeight="1" x14ac:dyDescent="0.8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c r="AA705" s="3"/>
    </row>
    <row r="706" spans="1:27" ht="22.5" customHeight="1" x14ac:dyDescent="0.8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c r="AA706" s="3"/>
    </row>
    <row r="707" spans="1:27" ht="22.5" customHeight="1" x14ac:dyDescent="0.8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c r="AA707" s="3"/>
    </row>
    <row r="708" spans="1:27" ht="22.5" customHeight="1" x14ac:dyDescent="0.8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c r="AA708" s="3"/>
    </row>
    <row r="709" spans="1:27" ht="22.5" customHeight="1" x14ac:dyDescent="0.8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c r="AA709" s="3"/>
    </row>
    <row r="710" spans="1:27" ht="22.5" customHeight="1" x14ac:dyDescent="0.8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c r="AA710" s="3"/>
    </row>
    <row r="711" spans="1:27" ht="22.5" customHeight="1" x14ac:dyDescent="0.8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c r="AA711" s="3"/>
    </row>
    <row r="712" spans="1:27" ht="22.5" customHeight="1" x14ac:dyDescent="0.8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c r="AA712" s="3"/>
    </row>
    <row r="713" spans="1:27" ht="22.5" customHeight="1" x14ac:dyDescent="0.8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c r="AA713" s="3"/>
    </row>
    <row r="714" spans="1:27" ht="22.5" customHeight="1" x14ac:dyDescent="0.8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c r="AA714" s="3"/>
    </row>
    <row r="715" spans="1:27" ht="22.5" customHeight="1" x14ac:dyDescent="0.8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c r="AA715" s="3"/>
    </row>
    <row r="716" spans="1:27" ht="22.5" customHeight="1" x14ac:dyDescent="0.8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c r="AA716" s="3"/>
    </row>
    <row r="717" spans="1:27" ht="22.5" customHeight="1" x14ac:dyDescent="0.8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c r="AA717" s="3"/>
    </row>
    <row r="718" spans="1:27" ht="22.5" customHeight="1" x14ac:dyDescent="0.8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c r="AA718" s="3"/>
    </row>
    <row r="719" spans="1:27" ht="22.5" customHeight="1" x14ac:dyDescent="0.8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c r="AA719" s="3"/>
    </row>
    <row r="720" spans="1:27" ht="22.5" customHeight="1" x14ac:dyDescent="0.8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c r="AA720" s="3"/>
    </row>
    <row r="721" spans="1:27" ht="22.5" customHeight="1" x14ac:dyDescent="0.8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c r="AA721" s="3"/>
    </row>
    <row r="722" spans="1:27" ht="22.5" customHeight="1" x14ac:dyDescent="0.8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c r="AA722" s="3"/>
    </row>
    <row r="723" spans="1:27" ht="22.5" customHeight="1" x14ac:dyDescent="0.8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c r="AA723" s="3"/>
    </row>
    <row r="724" spans="1:27" ht="22.5" customHeight="1" x14ac:dyDescent="0.8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c r="AA724" s="3"/>
    </row>
    <row r="725" spans="1:27" ht="22.5" customHeight="1" x14ac:dyDescent="0.8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c r="AA725" s="3"/>
    </row>
    <row r="726" spans="1:27" ht="22.5" customHeight="1" x14ac:dyDescent="0.8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c r="AA726" s="3"/>
    </row>
    <row r="727" spans="1:27" ht="22.5" customHeight="1" x14ac:dyDescent="0.8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c r="AA727" s="3"/>
    </row>
    <row r="728" spans="1:27" ht="22.5" customHeight="1" x14ac:dyDescent="0.8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c r="AA728" s="3"/>
    </row>
    <row r="729" spans="1:27" ht="22.5" customHeight="1" x14ac:dyDescent="0.8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c r="AA729" s="3"/>
    </row>
    <row r="730" spans="1:27" ht="22.5" customHeight="1" x14ac:dyDescent="0.8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c r="AA730" s="3"/>
    </row>
    <row r="731" spans="1:27" ht="22.5" customHeight="1" x14ac:dyDescent="0.8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c r="AA731" s="3"/>
    </row>
    <row r="732" spans="1:27" ht="22.5" customHeight="1" x14ac:dyDescent="0.8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c r="AA732" s="3"/>
    </row>
    <row r="733" spans="1:27" ht="22.5" customHeight="1" x14ac:dyDescent="0.8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c r="AA733" s="3"/>
    </row>
    <row r="734" spans="1:27" ht="22.5" customHeight="1" x14ac:dyDescent="0.8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c r="AA734" s="3"/>
    </row>
    <row r="735" spans="1:27" ht="22.5" customHeight="1" x14ac:dyDescent="0.8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c r="AA735" s="3"/>
    </row>
    <row r="736" spans="1:27" ht="22.5" customHeight="1" x14ac:dyDescent="0.8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c r="AA736" s="3"/>
    </row>
    <row r="737" spans="1:27" ht="22.5" customHeight="1" x14ac:dyDescent="0.8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c r="AA737" s="3"/>
    </row>
    <row r="738" spans="1:27" ht="22.5" customHeight="1" x14ac:dyDescent="0.8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c r="AA738" s="3"/>
    </row>
    <row r="739" spans="1:27" ht="22.5" customHeight="1" x14ac:dyDescent="0.8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c r="AA739" s="3"/>
    </row>
    <row r="740" spans="1:27" ht="22.5" customHeight="1" x14ac:dyDescent="0.8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c r="AA740" s="3"/>
    </row>
    <row r="741" spans="1:27" ht="22.5" customHeight="1" x14ac:dyDescent="0.8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c r="AA741" s="3"/>
    </row>
    <row r="742" spans="1:27" ht="22.5" customHeight="1" x14ac:dyDescent="0.8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c r="AA742" s="3"/>
    </row>
    <row r="743" spans="1:27" ht="22.5" customHeight="1" x14ac:dyDescent="0.8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c r="AA743" s="3"/>
    </row>
    <row r="744" spans="1:27" ht="22.5" customHeight="1" x14ac:dyDescent="0.8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c r="AA744" s="3"/>
    </row>
    <row r="745" spans="1:27" ht="22.5" customHeight="1" x14ac:dyDescent="0.8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c r="AA745" s="3"/>
    </row>
    <row r="746" spans="1:27" ht="22.5" customHeight="1" x14ac:dyDescent="0.8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c r="AA746" s="3"/>
    </row>
    <row r="747" spans="1:27" ht="22.5" customHeight="1" x14ac:dyDescent="0.8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c r="AA747" s="3"/>
    </row>
    <row r="748" spans="1:27" ht="22.5" customHeight="1" x14ac:dyDescent="0.8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c r="AA748" s="3"/>
    </row>
    <row r="749" spans="1:27" ht="22.5" customHeight="1" x14ac:dyDescent="0.8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c r="AA749" s="3"/>
    </row>
    <row r="750" spans="1:27" ht="22.5" customHeight="1" x14ac:dyDescent="0.8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c r="AA750" s="3"/>
    </row>
    <row r="751" spans="1:27" ht="22.5" customHeight="1" x14ac:dyDescent="0.8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c r="AA751" s="3"/>
    </row>
    <row r="752" spans="1:27" ht="22.5" customHeight="1" x14ac:dyDescent="0.8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c r="AA752" s="3"/>
    </row>
    <row r="753" spans="1:27" ht="22.5" customHeight="1" x14ac:dyDescent="0.8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c r="AA753" s="3"/>
    </row>
    <row r="754" spans="1:27" ht="22.5" customHeight="1" x14ac:dyDescent="0.8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c r="AA754" s="3"/>
    </row>
    <row r="755" spans="1:27" ht="22.5" customHeight="1" x14ac:dyDescent="0.8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c r="AA755" s="3"/>
    </row>
    <row r="756" spans="1:27" ht="22.5" customHeight="1" x14ac:dyDescent="0.8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c r="AA756" s="3"/>
    </row>
    <row r="757" spans="1:27" ht="22.5" customHeight="1" x14ac:dyDescent="0.8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c r="AA757" s="3"/>
    </row>
    <row r="758" spans="1:27" ht="22.5" customHeight="1" x14ac:dyDescent="0.8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c r="AA758" s="3"/>
    </row>
    <row r="759" spans="1:27" ht="22.5" customHeight="1" x14ac:dyDescent="0.8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c r="AA759" s="3"/>
    </row>
    <row r="760" spans="1:27" ht="22.5" customHeight="1" x14ac:dyDescent="0.8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c r="AA760" s="3"/>
    </row>
    <row r="761" spans="1:27" ht="22.5" customHeight="1" x14ac:dyDescent="0.8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c r="AA761" s="3"/>
    </row>
    <row r="762" spans="1:27" ht="22.5" customHeight="1" x14ac:dyDescent="0.8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c r="AA762" s="3"/>
    </row>
    <row r="763" spans="1:27" ht="22.5" customHeight="1" x14ac:dyDescent="0.8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c r="AA763" s="3"/>
    </row>
    <row r="764" spans="1:27" ht="22.5" customHeight="1" x14ac:dyDescent="0.8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c r="AA764" s="3"/>
    </row>
    <row r="765" spans="1:27" ht="22.5" customHeight="1" x14ac:dyDescent="0.8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c r="AA765" s="3"/>
    </row>
    <row r="766" spans="1:27" ht="22.5" customHeight="1" x14ac:dyDescent="0.8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c r="AA766" s="3"/>
    </row>
    <row r="767" spans="1:27" ht="22.5" customHeight="1" x14ac:dyDescent="0.8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c r="AA767" s="3"/>
    </row>
    <row r="768" spans="1:27" ht="22.5" customHeight="1" x14ac:dyDescent="0.8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c r="AA768" s="3"/>
    </row>
    <row r="769" spans="1:27" ht="22.5" customHeight="1" x14ac:dyDescent="0.8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c r="AA769" s="3"/>
    </row>
    <row r="770" spans="1:27" ht="22.5" customHeight="1" x14ac:dyDescent="0.8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c r="AA770" s="3"/>
    </row>
    <row r="771" spans="1:27" ht="22.5" customHeight="1" x14ac:dyDescent="0.8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c r="AA771" s="3"/>
    </row>
    <row r="772" spans="1:27" ht="22.5" customHeight="1" x14ac:dyDescent="0.8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c r="AA772" s="3"/>
    </row>
    <row r="773" spans="1:27" ht="22.5" customHeight="1" x14ac:dyDescent="0.8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c r="AA773" s="3"/>
    </row>
    <row r="774" spans="1:27" ht="22.5" customHeight="1" x14ac:dyDescent="0.8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c r="AA774" s="3"/>
    </row>
    <row r="775" spans="1:27" ht="22.5" customHeight="1" x14ac:dyDescent="0.8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c r="AA775" s="3"/>
    </row>
    <row r="776" spans="1:27" ht="22.5" customHeight="1" x14ac:dyDescent="0.8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c r="AA776" s="3"/>
    </row>
    <row r="777" spans="1:27" ht="22.5" customHeight="1" x14ac:dyDescent="0.8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c r="AA777" s="3"/>
    </row>
    <row r="778" spans="1:27" ht="22.5" customHeight="1" x14ac:dyDescent="0.8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c r="AA778" s="3"/>
    </row>
    <row r="779" spans="1:27" ht="22.5" customHeight="1" x14ac:dyDescent="0.8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c r="AA779" s="3"/>
    </row>
    <row r="780" spans="1:27" ht="22.5" customHeight="1" x14ac:dyDescent="0.8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c r="AA780" s="3"/>
    </row>
    <row r="781" spans="1:27" ht="22.5" customHeight="1" x14ac:dyDescent="0.8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c r="AA781" s="3"/>
    </row>
    <row r="782" spans="1:27" ht="22.5" customHeight="1" x14ac:dyDescent="0.8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c r="AA782" s="3"/>
    </row>
    <row r="783" spans="1:27" ht="22.5" customHeight="1" x14ac:dyDescent="0.8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c r="AA783" s="3"/>
    </row>
    <row r="784" spans="1:27" ht="22.5" customHeight="1" x14ac:dyDescent="0.8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c r="AA784" s="3"/>
    </row>
    <row r="785" spans="1:27" ht="22.5" customHeight="1" x14ac:dyDescent="0.8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c r="AA785" s="3"/>
    </row>
    <row r="786" spans="1:27" ht="22.5" customHeight="1" x14ac:dyDescent="0.8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c r="AA786" s="3"/>
    </row>
    <row r="787" spans="1:27" ht="22.5" customHeight="1" x14ac:dyDescent="0.8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c r="AA787" s="3"/>
    </row>
    <row r="788" spans="1:27" ht="22.5" customHeight="1" x14ac:dyDescent="0.8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c r="AA788" s="3"/>
    </row>
    <row r="789" spans="1:27" ht="22.5" customHeight="1" x14ac:dyDescent="0.8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c r="AA789" s="3"/>
    </row>
    <row r="790" spans="1:27" ht="22.5" customHeight="1" x14ac:dyDescent="0.8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c r="AA790" s="3"/>
    </row>
    <row r="791" spans="1:27" ht="22.5" customHeight="1" x14ac:dyDescent="0.8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c r="AA791" s="3"/>
    </row>
    <row r="792" spans="1:27" ht="22.5" customHeight="1" x14ac:dyDescent="0.8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c r="AA792" s="3"/>
    </row>
    <row r="793" spans="1:27" ht="22.5" customHeight="1" x14ac:dyDescent="0.8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c r="AA793" s="3"/>
    </row>
    <row r="794" spans="1:27" ht="22.5" customHeight="1" x14ac:dyDescent="0.8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c r="AA794" s="3"/>
    </row>
    <row r="795" spans="1:27" ht="22.5" customHeight="1" x14ac:dyDescent="0.8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c r="AA795" s="3"/>
    </row>
    <row r="796" spans="1:27" ht="22.5" customHeight="1" x14ac:dyDescent="0.8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c r="AA796" s="3"/>
    </row>
    <row r="797" spans="1:27" ht="22.5" customHeight="1" x14ac:dyDescent="0.8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c r="AA797" s="3"/>
    </row>
    <row r="798" spans="1:27" ht="22.5" customHeight="1" x14ac:dyDescent="0.8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c r="AA798" s="3"/>
    </row>
    <row r="799" spans="1:27" ht="22.5" customHeight="1" x14ac:dyDescent="0.8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c r="AA799" s="3"/>
    </row>
    <row r="800" spans="1:27" ht="22.5" customHeight="1" x14ac:dyDescent="0.8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c r="AA800" s="3"/>
    </row>
    <row r="801" spans="1:27" ht="22.5" customHeight="1" x14ac:dyDescent="0.8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c r="AA801" s="3"/>
    </row>
    <row r="802" spans="1:27" ht="22.5" customHeight="1" x14ac:dyDescent="0.8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c r="AA802" s="3"/>
    </row>
    <row r="803" spans="1:27" ht="22.5" customHeight="1" x14ac:dyDescent="0.8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c r="AA803" s="3"/>
    </row>
    <row r="804" spans="1:27" ht="22.5" customHeight="1" x14ac:dyDescent="0.8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c r="AA804" s="3"/>
    </row>
    <row r="805" spans="1:27" ht="22.5" customHeight="1" x14ac:dyDescent="0.8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c r="AA805" s="3"/>
    </row>
    <row r="806" spans="1:27" ht="22.5" customHeight="1" x14ac:dyDescent="0.8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c r="AA806" s="3"/>
    </row>
    <row r="807" spans="1:27" ht="22.5" customHeight="1" x14ac:dyDescent="0.8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c r="AA807" s="3"/>
    </row>
    <row r="808" spans="1:27" ht="22.5" customHeight="1" x14ac:dyDescent="0.8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c r="AA808" s="3"/>
    </row>
    <row r="809" spans="1:27" ht="22.5" customHeight="1" x14ac:dyDescent="0.8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c r="AA809" s="3"/>
    </row>
    <row r="810" spans="1:27" ht="22.5" customHeight="1" x14ac:dyDescent="0.8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c r="AA810" s="3"/>
    </row>
    <row r="811" spans="1:27" ht="22.5" customHeight="1" x14ac:dyDescent="0.8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c r="AA811" s="3"/>
    </row>
    <row r="812" spans="1:27" ht="22.5" customHeight="1" x14ac:dyDescent="0.8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c r="AA812" s="3"/>
    </row>
    <row r="813" spans="1:27" ht="22.5" customHeight="1" x14ac:dyDescent="0.8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c r="AA813" s="3"/>
    </row>
    <row r="814" spans="1:27" ht="22.5" customHeight="1" x14ac:dyDescent="0.8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c r="AA814" s="3"/>
    </row>
    <row r="815" spans="1:27" ht="22.5" customHeight="1" x14ac:dyDescent="0.8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c r="AA815" s="3"/>
    </row>
    <row r="816" spans="1:27" ht="22.5" customHeight="1" x14ac:dyDescent="0.8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c r="AA816" s="3"/>
    </row>
    <row r="817" spans="1:27" ht="22.5" customHeight="1" x14ac:dyDescent="0.8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c r="AA817" s="3"/>
    </row>
    <row r="818" spans="1:27" ht="22.5" customHeight="1" x14ac:dyDescent="0.8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c r="AA818" s="3"/>
    </row>
    <row r="819" spans="1:27" ht="22.5" customHeight="1" x14ac:dyDescent="0.8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c r="AA819" s="3"/>
    </row>
    <row r="820" spans="1:27" ht="22.5" customHeight="1" x14ac:dyDescent="0.8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c r="AA820" s="3"/>
    </row>
    <row r="821" spans="1:27" ht="22.5" customHeight="1" x14ac:dyDescent="0.8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c r="AA821" s="3"/>
    </row>
    <row r="822" spans="1:27" ht="22.5" customHeight="1" x14ac:dyDescent="0.8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c r="AA822" s="3"/>
    </row>
    <row r="823" spans="1:27" ht="22.5" customHeight="1" x14ac:dyDescent="0.8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c r="AA823" s="3"/>
    </row>
    <row r="824" spans="1:27" ht="22.5" customHeight="1" x14ac:dyDescent="0.8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c r="AA824" s="3"/>
    </row>
    <row r="825" spans="1:27" ht="22.5" customHeight="1" x14ac:dyDescent="0.8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c r="AA825" s="3"/>
    </row>
    <row r="826" spans="1:27" ht="22.5" customHeight="1" x14ac:dyDescent="0.8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c r="AA826" s="3"/>
    </row>
    <row r="827" spans="1:27" ht="22.5" customHeight="1" x14ac:dyDescent="0.8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c r="AA827" s="3"/>
    </row>
    <row r="828" spans="1:27" ht="22.5" customHeight="1" x14ac:dyDescent="0.8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c r="AA828" s="3"/>
    </row>
    <row r="829" spans="1:27" ht="22.5" customHeight="1" x14ac:dyDescent="0.8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c r="AA829" s="3"/>
    </row>
    <row r="830" spans="1:27" ht="22.5" customHeight="1" x14ac:dyDescent="0.8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c r="AA830" s="3"/>
    </row>
    <row r="831" spans="1:27" ht="22.5" customHeight="1" x14ac:dyDescent="0.8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c r="AA831" s="3"/>
    </row>
    <row r="832" spans="1:27" ht="22.5" customHeight="1" x14ac:dyDescent="0.8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c r="AA832" s="3"/>
    </row>
    <row r="833" spans="1:27" ht="22.5" customHeight="1" x14ac:dyDescent="0.8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c r="AA833" s="3"/>
    </row>
    <row r="834" spans="1:27" ht="22.5" customHeight="1" x14ac:dyDescent="0.8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c r="AA834" s="3"/>
    </row>
    <row r="835" spans="1:27" ht="22.5" customHeight="1" x14ac:dyDescent="0.8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c r="AA835" s="3"/>
    </row>
    <row r="836" spans="1:27" ht="22.5" customHeight="1" x14ac:dyDescent="0.8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c r="AA836" s="3"/>
    </row>
    <row r="837" spans="1:27" ht="22.5" customHeight="1" x14ac:dyDescent="0.8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c r="AA837" s="3"/>
    </row>
    <row r="838" spans="1:27" ht="22.5" customHeight="1" x14ac:dyDescent="0.8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c r="AA838" s="3"/>
    </row>
    <row r="839" spans="1:27" ht="22.5" customHeight="1" x14ac:dyDescent="0.8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c r="AA839" s="3"/>
    </row>
    <row r="840" spans="1:27" ht="22.5" customHeight="1" x14ac:dyDescent="0.8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c r="AA840" s="3"/>
    </row>
    <row r="841" spans="1:27" ht="22.5" customHeight="1" x14ac:dyDescent="0.8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c r="AA841" s="3"/>
    </row>
    <row r="842" spans="1:27" ht="22.5" customHeight="1" x14ac:dyDescent="0.8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c r="AA842" s="3"/>
    </row>
    <row r="843" spans="1:27" ht="22.5" customHeight="1" x14ac:dyDescent="0.8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c r="AA843" s="3"/>
    </row>
    <row r="844" spans="1:27" ht="22.5" customHeight="1" x14ac:dyDescent="0.8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c r="AA844" s="3"/>
    </row>
    <row r="845" spans="1:27" ht="22.5" customHeight="1" x14ac:dyDescent="0.8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c r="AA845" s="3"/>
    </row>
    <row r="846" spans="1:27" ht="22.5" customHeight="1" x14ac:dyDescent="0.8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c r="AA846" s="3"/>
    </row>
    <row r="847" spans="1:27" ht="22.5" customHeight="1" x14ac:dyDescent="0.8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c r="AA847" s="3"/>
    </row>
    <row r="848" spans="1:27" ht="22.5" customHeight="1" x14ac:dyDescent="0.8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c r="AA848" s="3"/>
    </row>
    <row r="849" spans="1:27" ht="22.5" customHeight="1" x14ac:dyDescent="0.8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c r="AA849" s="3"/>
    </row>
    <row r="850" spans="1:27" ht="22.5" customHeight="1" x14ac:dyDescent="0.8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c r="AA850" s="3"/>
    </row>
    <row r="851" spans="1:27" ht="22.5" customHeight="1" x14ac:dyDescent="0.8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c r="AA851" s="3"/>
    </row>
    <row r="852" spans="1:27" ht="22.5" customHeight="1" x14ac:dyDescent="0.8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c r="AA852" s="3"/>
    </row>
    <row r="853" spans="1:27" ht="22.5" customHeight="1" x14ac:dyDescent="0.8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c r="AA853" s="3"/>
    </row>
    <row r="854" spans="1:27" ht="22.5" customHeight="1" x14ac:dyDescent="0.8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c r="AA854" s="3"/>
    </row>
    <row r="855" spans="1:27" ht="22.5" customHeight="1" x14ac:dyDescent="0.8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c r="AA855" s="3"/>
    </row>
    <row r="856" spans="1:27" ht="22.5" customHeight="1" x14ac:dyDescent="0.8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c r="AA856" s="3"/>
    </row>
    <row r="857" spans="1:27" ht="22.5" customHeight="1" x14ac:dyDescent="0.8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c r="AA857" s="3"/>
    </row>
    <row r="858" spans="1:27" ht="22.5" customHeight="1" x14ac:dyDescent="0.8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c r="AA858" s="3"/>
    </row>
    <row r="859" spans="1:27" ht="22.5" customHeight="1" x14ac:dyDescent="0.8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c r="AA859" s="3"/>
    </row>
    <row r="860" spans="1:27" ht="22.5" customHeight="1" x14ac:dyDescent="0.8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c r="AA860" s="3"/>
    </row>
    <row r="861" spans="1:27" ht="22.5" customHeight="1" x14ac:dyDescent="0.8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c r="AA861" s="3"/>
    </row>
    <row r="862" spans="1:27" ht="22.5" customHeight="1" x14ac:dyDescent="0.8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c r="AA862" s="3"/>
    </row>
    <row r="863" spans="1:27" ht="22.5" customHeight="1" x14ac:dyDescent="0.8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c r="AA863" s="3"/>
    </row>
    <row r="864" spans="1:27" ht="22.5" customHeight="1" x14ac:dyDescent="0.8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c r="AA864" s="3"/>
    </row>
    <row r="865" spans="1:27" ht="22.5" customHeight="1" x14ac:dyDescent="0.8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c r="AA865" s="3"/>
    </row>
    <row r="866" spans="1:27" ht="22.5" customHeight="1" x14ac:dyDescent="0.8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c r="AA866" s="3"/>
    </row>
    <row r="867" spans="1:27" ht="22.5" customHeight="1" x14ac:dyDescent="0.8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c r="AA867" s="3"/>
    </row>
    <row r="868" spans="1:27" ht="22.5" customHeight="1" x14ac:dyDescent="0.8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c r="AA868" s="3"/>
    </row>
    <row r="869" spans="1:27" ht="22.5" customHeight="1" x14ac:dyDescent="0.8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c r="AA869" s="3"/>
    </row>
    <row r="870" spans="1:27" ht="22.5" customHeight="1" x14ac:dyDescent="0.8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c r="AA870" s="3"/>
    </row>
    <row r="871" spans="1:27" ht="22.5" customHeight="1" x14ac:dyDescent="0.8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c r="AA871" s="3"/>
    </row>
    <row r="872" spans="1:27" ht="22.5" customHeight="1" x14ac:dyDescent="0.8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c r="AA872" s="3"/>
    </row>
    <row r="873" spans="1:27" ht="22.5" customHeight="1" x14ac:dyDescent="0.8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c r="AA873" s="3"/>
    </row>
    <row r="874" spans="1:27" ht="22.5" customHeight="1" x14ac:dyDescent="0.8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c r="AA874" s="3"/>
    </row>
    <row r="875" spans="1:27" ht="22.5" customHeight="1" x14ac:dyDescent="0.8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c r="AA875" s="3"/>
    </row>
    <row r="876" spans="1:27" ht="22.5" customHeight="1" x14ac:dyDescent="0.8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c r="AA876" s="3"/>
    </row>
    <row r="877" spans="1:27" ht="22.5" customHeight="1" x14ac:dyDescent="0.8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c r="AA877" s="3"/>
    </row>
    <row r="878" spans="1:27" ht="22.5" customHeight="1" x14ac:dyDescent="0.8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c r="AA878" s="3"/>
    </row>
    <row r="879" spans="1:27" ht="22.5" customHeight="1" x14ac:dyDescent="0.8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c r="AA879" s="3"/>
    </row>
    <row r="880" spans="1:27" ht="22.5" customHeight="1" x14ac:dyDescent="0.8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c r="AA880" s="3"/>
    </row>
    <row r="881" spans="1:27" ht="22.5" customHeight="1" x14ac:dyDescent="0.8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c r="AA881" s="3"/>
    </row>
    <row r="882" spans="1:27" ht="22.5" customHeight="1" x14ac:dyDescent="0.8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c r="AA882" s="3"/>
    </row>
    <row r="883" spans="1:27" ht="22.5" customHeight="1" x14ac:dyDescent="0.8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c r="AA883" s="3"/>
    </row>
    <row r="884" spans="1:27" ht="22.5" customHeight="1" x14ac:dyDescent="0.8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c r="AA884" s="3"/>
    </row>
    <row r="885" spans="1:27" ht="22.5" customHeight="1" x14ac:dyDescent="0.8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c r="AA885" s="3"/>
    </row>
    <row r="886" spans="1:27" ht="22.5" customHeight="1" x14ac:dyDescent="0.8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c r="AA886" s="3"/>
    </row>
    <row r="887" spans="1:27" ht="22.5" customHeight="1" x14ac:dyDescent="0.8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c r="AA887" s="3"/>
    </row>
    <row r="888" spans="1:27" ht="22.5" customHeight="1" x14ac:dyDescent="0.8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c r="AA888" s="3"/>
    </row>
    <row r="889" spans="1:27" ht="22.5" customHeight="1" x14ac:dyDescent="0.8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c r="AA889" s="3"/>
    </row>
    <row r="890" spans="1:27" ht="22.5" customHeight="1" x14ac:dyDescent="0.8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c r="AA890" s="3"/>
    </row>
    <row r="891" spans="1:27" ht="22.5" customHeight="1" x14ac:dyDescent="0.8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c r="AA891" s="3"/>
    </row>
    <row r="892" spans="1:27" ht="22.5" customHeight="1" x14ac:dyDescent="0.8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c r="AA892" s="3"/>
    </row>
    <row r="893" spans="1:27" ht="22.5" customHeight="1" x14ac:dyDescent="0.8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c r="AA893" s="3"/>
    </row>
    <row r="894" spans="1:27" ht="22.5" customHeight="1" x14ac:dyDescent="0.8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c r="AA894" s="3"/>
    </row>
    <row r="895" spans="1:27" ht="22.5" customHeight="1" x14ac:dyDescent="0.8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c r="AA895" s="3"/>
    </row>
    <row r="896" spans="1:27" ht="22.5" customHeight="1" x14ac:dyDescent="0.8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c r="AA896" s="3"/>
    </row>
    <row r="897" spans="1:27" ht="22.5" customHeight="1" x14ac:dyDescent="0.8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c r="AA897" s="3"/>
    </row>
    <row r="898" spans="1:27" ht="22.5" customHeight="1" x14ac:dyDescent="0.8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c r="AA898" s="3"/>
    </row>
    <row r="899" spans="1:27" ht="22.5" customHeight="1" x14ac:dyDescent="0.8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c r="AA899" s="3"/>
    </row>
    <row r="900" spans="1:27" ht="22.5" customHeight="1" x14ac:dyDescent="0.8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c r="AA900" s="3"/>
    </row>
    <row r="901" spans="1:27" ht="22.5" customHeight="1" x14ac:dyDescent="0.8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c r="AA901" s="3"/>
    </row>
    <row r="902" spans="1:27" ht="22.5" customHeight="1" x14ac:dyDescent="0.8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c r="AA902" s="3"/>
    </row>
    <row r="903" spans="1:27" ht="22.5" customHeight="1" x14ac:dyDescent="0.8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c r="AA903" s="3"/>
    </row>
    <row r="904" spans="1:27" ht="22.5" customHeight="1" x14ac:dyDescent="0.8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c r="AA904" s="3"/>
    </row>
    <row r="905" spans="1:27" ht="22.5" customHeight="1" x14ac:dyDescent="0.8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c r="AA905" s="3"/>
    </row>
    <row r="906" spans="1:27" ht="22.5" customHeight="1" x14ac:dyDescent="0.8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c r="AA906" s="3"/>
    </row>
    <row r="907" spans="1:27" ht="22.5" customHeight="1" x14ac:dyDescent="0.8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c r="AA907" s="3"/>
    </row>
    <row r="908" spans="1:27" ht="22.5" customHeight="1" x14ac:dyDescent="0.8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c r="AA908" s="3"/>
    </row>
    <row r="909" spans="1:27" ht="22.5" customHeight="1" x14ac:dyDescent="0.8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c r="AA909" s="3"/>
    </row>
    <row r="910" spans="1:27" ht="22.5" customHeight="1" x14ac:dyDescent="0.8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c r="AA910" s="3"/>
    </row>
    <row r="911" spans="1:27" ht="22.5" customHeight="1" x14ac:dyDescent="0.8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c r="AA911" s="3"/>
    </row>
    <row r="912" spans="1:27" ht="22.5" customHeight="1" x14ac:dyDescent="0.8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c r="AA912" s="3"/>
    </row>
    <row r="913" spans="1:27" ht="22.5" customHeight="1" x14ac:dyDescent="0.8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c r="AA913" s="3"/>
    </row>
    <row r="914" spans="1:27" ht="22.5" customHeight="1" x14ac:dyDescent="0.8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c r="AA914" s="3"/>
    </row>
    <row r="915" spans="1:27" ht="22.5" customHeight="1" x14ac:dyDescent="0.8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c r="AA915" s="3"/>
    </row>
    <row r="916" spans="1:27" ht="22.5" customHeight="1" x14ac:dyDescent="0.8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c r="AA916" s="3"/>
    </row>
    <row r="917" spans="1:27" ht="22.5" customHeight="1" x14ac:dyDescent="0.8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c r="AA917" s="3"/>
    </row>
    <row r="918" spans="1:27" ht="22.5" customHeight="1" x14ac:dyDescent="0.8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c r="AA918" s="3"/>
    </row>
    <row r="919" spans="1:27" ht="22.5" customHeight="1" x14ac:dyDescent="0.8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c r="AA919" s="3"/>
    </row>
    <row r="920" spans="1:27" ht="22.5" customHeight="1" x14ac:dyDescent="0.8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c r="AA920" s="3"/>
    </row>
    <row r="921" spans="1:27" ht="22.5" customHeight="1" x14ac:dyDescent="0.8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c r="AA921" s="3"/>
    </row>
    <row r="922" spans="1:27" ht="22.5" customHeight="1" x14ac:dyDescent="0.8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c r="AA922" s="3"/>
    </row>
    <row r="923" spans="1:27" ht="22.5" customHeight="1" x14ac:dyDescent="0.8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c r="AA923" s="3"/>
    </row>
    <row r="924" spans="1:27" ht="22.5" customHeight="1" x14ac:dyDescent="0.8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c r="AA924" s="3"/>
    </row>
    <row r="925" spans="1:27" ht="22.5" customHeight="1" x14ac:dyDescent="0.8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c r="AA925" s="3"/>
    </row>
    <row r="926" spans="1:27" ht="22.5" customHeight="1" x14ac:dyDescent="0.8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c r="AA926" s="3"/>
    </row>
    <row r="927" spans="1:27" ht="22.5" customHeight="1" x14ac:dyDescent="0.8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c r="AA927" s="3"/>
    </row>
    <row r="928" spans="1:27" ht="22.5" customHeight="1" x14ac:dyDescent="0.8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c r="AA928" s="3"/>
    </row>
    <row r="929" spans="1:27" ht="22.5" customHeight="1" x14ac:dyDescent="0.8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c r="AA929" s="3"/>
    </row>
    <row r="930" spans="1:27" ht="22.5" customHeight="1" x14ac:dyDescent="0.8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c r="AA930" s="3"/>
    </row>
    <row r="931" spans="1:27" ht="22.5" customHeight="1" x14ac:dyDescent="0.8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c r="AA931" s="3"/>
    </row>
    <row r="932" spans="1:27" ht="22.5" customHeight="1" x14ac:dyDescent="0.8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c r="AA932" s="3"/>
    </row>
    <row r="933" spans="1:27" ht="22.5" customHeight="1" x14ac:dyDescent="0.8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c r="AA933" s="3"/>
    </row>
    <row r="934" spans="1:27" ht="22.5" customHeight="1" x14ac:dyDescent="0.8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c r="AA934" s="3"/>
    </row>
    <row r="935" spans="1:27" ht="22.5" customHeight="1" x14ac:dyDescent="0.8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c r="AA935" s="3"/>
    </row>
    <row r="936" spans="1:27" ht="22.5" customHeight="1" x14ac:dyDescent="0.8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c r="AA936" s="3"/>
    </row>
    <row r="937" spans="1:27" ht="22.5" customHeight="1" x14ac:dyDescent="0.8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c r="AA937" s="3"/>
    </row>
    <row r="938" spans="1:27" ht="22.5" customHeight="1" x14ac:dyDescent="0.8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c r="AA938" s="3"/>
    </row>
    <row r="939" spans="1:27" ht="22.5" customHeight="1" x14ac:dyDescent="0.8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c r="AA939" s="3"/>
    </row>
    <row r="940" spans="1:27" ht="22.5" customHeight="1" x14ac:dyDescent="0.8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c r="AA940" s="3"/>
    </row>
    <row r="941" spans="1:27" ht="22.5" customHeight="1" x14ac:dyDescent="0.8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c r="AA941" s="3"/>
    </row>
    <row r="942" spans="1:27" ht="22.5" customHeight="1" x14ac:dyDescent="0.8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c r="AA942" s="3"/>
    </row>
    <row r="943" spans="1:27" ht="22.5" customHeight="1" x14ac:dyDescent="0.8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c r="AA943" s="3"/>
    </row>
    <row r="944" spans="1:27" ht="22.5" customHeight="1" x14ac:dyDescent="0.8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c r="AA944" s="3"/>
    </row>
    <row r="945" spans="1:27" ht="22.5" customHeight="1" x14ac:dyDescent="0.8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c r="AA945" s="3"/>
    </row>
    <row r="946" spans="1:27" ht="22.5" customHeight="1" x14ac:dyDescent="0.8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c r="AA946" s="3"/>
    </row>
    <row r="947" spans="1:27" ht="22.5" customHeight="1" x14ac:dyDescent="0.8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c r="AA947" s="3"/>
    </row>
    <row r="948" spans="1:27" ht="22.5" customHeight="1" x14ac:dyDescent="0.8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c r="AA948" s="3"/>
    </row>
    <row r="949" spans="1:27" ht="22.5" customHeight="1" x14ac:dyDescent="0.8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c r="AA949" s="3"/>
    </row>
    <row r="950" spans="1:27" ht="22.5" customHeight="1" x14ac:dyDescent="0.8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c r="AA950" s="3"/>
    </row>
    <row r="951" spans="1:27" ht="22.5" customHeight="1" x14ac:dyDescent="0.8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c r="AA951" s="3"/>
    </row>
    <row r="952" spans="1:27" ht="22.5" customHeight="1" x14ac:dyDescent="0.8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c r="AA952" s="3"/>
    </row>
    <row r="953" spans="1:27" ht="22.5" customHeight="1" x14ac:dyDescent="0.8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c r="AA953" s="3"/>
    </row>
    <row r="954" spans="1:27" ht="22.5" customHeight="1" x14ac:dyDescent="0.8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c r="AA954" s="3"/>
    </row>
    <row r="955" spans="1:27" ht="22.5" customHeight="1" x14ac:dyDescent="0.8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c r="AA955" s="3"/>
    </row>
    <row r="956" spans="1:27" ht="22.5" customHeight="1" x14ac:dyDescent="0.8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c r="AA956" s="3"/>
    </row>
    <row r="957" spans="1:27" ht="22.5" customHeight="1" x14ac:dyDescent="0.8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c r="AA957" s="3"/>
    </row>
    <row r="958" spans="1:27" ht="22.5" customHeight="1" x14ac:dyDescent="0.8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c r="AA958" s="3"/>
    </row>
    <row r="959" spans="1:27" ht="22.5" customHeight="1" x14ac:dyDescent="0.8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c r="AA959" s="3"/>
    </row>
    <row r="960" spans="1:27" ht="22.5" customHeight="1" x14ac:dyDescent="0.8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c r="AA960" s="3"/>
    </row>
    <row r="961" spans="1:27" ht="22.5" customHeight="1" x14ac:dyDescent="0.8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c r="AA961" s="3"/>
    </row>
    <row r="962" spans="1:27" ht="22.5" customHeight="1" x14ac:dyDescent="0.8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c r="AA962" s="3"/>
    </row>
    <row r="963" spans="1:27" ht="22.5" customHeight="1" x14ac:dyDescent="0.8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c r="AA963" s="3"/>
    </row>
    <row r="964" spans="1:27" ht="22.5" customHeight="1" x14ac:dyDescent="0.8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c r="AA964" s="3"/>
    </row>
    <row r="965" spans="1:27" ht="22.5" customHeight="1" x14ac:dyDescent="0.8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c r="AA965" s="3"/>
    </row>
    <row r="966" spans="1:27" ht="22.5" customHeight="1" x14ac:dyDescent="0.8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c r="AA966" s="3"/>
    </row>
    <row r="967" spans="1:27" ht="22.5" customHeight="1" x14ac:dyDescent="0.8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c r="AA967" s="3"/>
    </row>
    <row r="968" spans="1:27" ht="22.5" customHeight="1" x14ac:dyDescent="0.8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c r="AA968" s="3"/>
    </row>
    <row r="969" spans="1:27" ht="22.5" customHeight="1" x14ac:dyDescent="0.8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c r="AA969" s="3"/>
    </row>
    <row r="970" spans="1:27" ht="22.5" customHeight="1" x14ac:dyDescent="0.8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c r="AA970" s="3"/>
    </row>
    <row r="971" spans="1:27" ht="22.5" customHeight="1" x14ac:dyDescent="0.8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c r="AA971" s="3"/>
    </row>
    <row r="972" spans="1:27" ht="22.5" customHeight="1" x14ac:dyDescent="0.8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c r="AA972" s="3"/>
    </row>
    <row r="973" spans="1:27" ht="22.5" customHeight="1" x14ac:dyDescent="0.8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c r="AA973" s="3"/>
    </row>
    <row r="974" spans="1:27" ht="22.5" customHeight="1" x14ac:dyDescent="0.8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c r="AA974" s="3"/>
    </row>
    <row r="975" spans="1:27" ht="22.5" customHeight="1" x14ac:dyDescent="0.8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c r="AA975" s="3"/>
    </row>
    <row r="976" spans="1:27" ht="22.5" customHeight="1" x14ac:dyDescent="0.8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c r="AA976" s="3"/>
    </row>
    <row r="977" spans="1:27" ht="22.5" customHeight="1" x14ac:dyDescent="0.8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c r="AA977" s="3"/>
    </row>
    <row r="978" spans="1:27" ht="22.5" customHeight="1" x14ac:dyDescent="0.8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c r="AA978" s="3"/>
    </row>
    <row r="979" spans="1:27" ht="22.5" customHeight="1" x14ac:dyDescent="0.8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c r="AA979" s="3"/>
    </row>
    <row r="980" spans="1:27" ht="22.5" customHeight="1" x14ac:dyDescent="0.8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c r="AA980" s="3"/>
    </row>
    <row r="981" spans="1:27" ht="22.5" customHeight="1" x14ac:dyDescent="0.8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c r="AA981" s="3"/>
    </row>
    <row r="982" spans="1:27" ht="22.5" customHeight="1" x14ac:dyDescent="0.8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c r="AA982" s="3"/>
    </row>
    <row r="983" spans="1:27" ht="22.5" customHeight="1" x14ac:dyDescent="0.8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c r="AA983" s="3"/>
    </row>
    <row r="984" spans="1:27" ht="22.5" customHeight="1" x14ac:dyDescent="0.8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c r="AA984" s="3"/>
    </row>
    <row r="985" spans="1:27" ht="22.5" customHeight="1" x14ac:dyDescent="0.8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c r="AA985" s="3"/>
    </row>
    <row r="986" spans="1:27" ht="22.5" customHeight="1" x14ac:dyDescent="0.8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c r="AA986" s="3"/>
    </row>
    <row r="987" spans="1:27" ht="22.5" customHeight="1" x14ac:dyDescent="0.8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c r="AA987" s="3"/>
    </row>
    <row r="988" spans="1:27" ht="22.5" customHeight="1" x14ac:dyDescent="0.8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c r="AA988" s="3"/>
    </row>
    <row r="989" spans="1:27" ht="22.5" customHeight="1" x14ac:dyDescent="0.8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c r="AA989" s="3"/>
    </row>
    <row r="990" spans="1:27" ht="22.5" customHeight="1" x14ac:dyDescent="0.8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c r="AA990" s="3"/>
    </row>
    <row r="991" spans="1:27" ht="22.5" customHeight="1" x14ac:dyDescent="0.8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c r="AA991" s="3"/>
    </row>
    <row r="992" spans="1:27" ht="22.5" customHeight="1" x14ac:dyDescent="0.8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c r="AA992" s="3"/>
    </row>
    <row r="993" spans="1:27" ht="22.5" customHeight="1" x14ac:dyDescent="0.8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c r="AA993" s="3"/>
    </row>
    <row r="994" spans="1:27" ht="22.5" customHeight="1" x14ac:dyDescent="0.8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c r="AA994" s="3"/>
    </row>
    <row r="995" spans="1:27" ht="22.5" customHeight="1" x14ac:dyDescent="0.8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c r="AA995" s="3"/>
    </row>
    <row r="996" spans="1:27" ht="22.5" customHeight="1" x14ac:dyDescent="0.8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c r="AA996" s="3"/>
    </row>
    <row r="997" spans="1:27" ht="22.5" customHeight="1" x14ac:dyDescent="0.8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c r="AA997" s="3"/>
    </row>
    <row r="998" spans="1:27" ht="22.5" customHeight="1" x14ac:dyDescent="0.8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c r="AA998" s="3"/>
    </row>
    <row r="999" spans="1:27" ht="22.5" customHeight="1" x14ac:dyDescent="0.8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c r="AA999" s="3"/>
    </row>
    <row r="1000" spans="1:27" ht="22.5" customHeight="1" x14ac:dyDescent="0.8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c r="AA1000" s="3"/>
    </row>
  </sheetData>
  <mergeCells count="19">
    <mergeCell ref="A1:H1"/>
    <mergeCell ref="A2:H2"/>
    <mergeCell ref="A11:H11"/>
    <mergeCell ref="A12:G12"/>
    <mergeCell ref="A13:G13"/>
    <mergeCell ref="A14:G14"/>
    <mergeCell ref="A15:G15"/>
    <mergeCell ref="B21:C21"/>
    <mergeCell ref="B22:C22"/>
    <mergeCell ref="A24:H24"/>
    <mergeCell ref="A25:G25"/>
    <mergeCell ref="A35:G35"/>
    <mergeCell ref="A16:H16"/>
    <mergeCell ref="A17:H17"/>
    <mergeCell ref="A18:C18"/>
    <mergeCell ref="E18:G18"/>
    <mergeCell ref="B19:C19"/>
    <mergeCell ref="F19:G19"/>
    <mergeCell ref="B20:C20"/>
  </mergeCells>
  <pageMargins left="0.7" right="0.7" top="0.75" bottom="0.75" header="0" footer="0"/>
  <pageSetup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B7DCEB"/>
  </sheetPr>
  <dimension ref="A1:Z1000"/>
  <sheetViews>
    <sheetView workbookViewId="0"/>
  </sheetViews>
  <sheetFormatPr defaultColWidth="11.23046875" defaultRowHeight="15" customHeight="1" outlineLevelRow="1" x14ac:dyDescent="0.85"/>
  <cols>
    <col min="1" max="1" width="41" customWidth="1"/>
    <col min="2" max="2" width="16.3828125" customWidth="1"/>
    <col min="3" max="3" width="17.3828125" customWidth="1"/>
    <col min="4" max="8" width="16.3828125" customWidth="1"/>
    <col min="9" max="9" width="17.61328125" customWidth="1"/>
    <col min="10" max="10" width="16.3828125" customWidth="1"/>
    <col min="11" max="11" width="41.765625" customWidth="1"/>
    <col min="12" max="16" width="8.61328125" customWidth="1"/>
    <col min="17" max="17" width="11.23046875" customWidth="1"/>
    <col min="18" max="26" width="8.61328125" customWidth="1"/>
  </cols>
  <sheetData>
    <row r="1" spans="1:26" ht="22.5" customHeight="1" x14ac:dyDescent="0.85">
      <c r="A1" s="786" t="s">
        <v>83</v>
      </c>
      <c r="B1" s="765"/>
      <c r="C1" s="765"/>
      <c r="D1" s="765"/>
      <c r="E1" s="765"/>
      <c r="F1" s="765"/>
      <c r="G1" s="765"/>
      <c r="H1" s="765"/>
      <c r="I1" s="765"/>
      <c r="J1" s="765"/>
      <c r="K1" s="765"/>
      <c r="L1" s="765"/>
      <c r="M1" s="765"/>
      <c r="N1" s="765"/>
      <c r="O1" s="765"/>
      <c r="P1" s="765"/>
      <c r="Q1" s="765"/>
      <c r="R1" s="765"/>
      <c r="S1" s="765"/>
      <c r="T1" s="765"/>
      <c r="U1" s="762"/>
      <c r="V1" s="534"/>
      <c r="W1" s="534"/>
      <c r="X1" s="534"/>
      <c r="Y1" s="534"/>
      <c r="Z1" s="534"/>
    </row>
    <row r="2" spans="1:26" ht="22.5" customHeight="1" x14ac:dyDescent="0.9">
      <c r="A2" s="858" t="s">
        <v>393</v>
      </c>
      <c r="B2" s="765"/>
      <c r="C2" s="765"/>
      <c r="D2" s="765"/>
      <c r="E2" s="765"/>
      <c r="F2" s="765"/>
      <c r="G2" s="765"/>
      <c r="H2" s="765"/>
      <c r="I2" s="765"/>
      <c r="J2" s="765"/>
      <c r="K2" s="765"/>
      <c r="L2" s="765"/>
      <c r="M2" s="765"/>
      <c r="N2" s="765"/>
      <c r="O2" s="765"/>
      <c r="P2" s="765"/>
      <c r="Q2" s="765"/>
      <c r="R2" s="765"/>
      <c r="S2" s="765"/>
      <c r="T2" s="765"/>
      <c r="U2" s="762"/>
      <c r="V2" s="321"/>
      <c r="W2" s="321"/>
      <c r="X2" s="321"/>
      <c r="Y2" s="321"/>
      <c r="Z2" s="321"/>
    </row>
    <row r="3" spans="1:26" ht="22.5" customHeight="1" outlineLevel="1" x14ac:dyDescent="0.85">
      <c r="A3" s="326" t="s">
        <v>102</v>
      </c>
      <c r="B3" s="326" t="s">
        <v>1482</v>
      </c>
      <c r="C3" s="326" t="s">
        <v>1483</v>
      </c>
      <c r="D3" s="326" t="s">
        <v>1223</v>
      </c>
      <c r="E3" s="326" t="s">
        <v>121</v>
      </c>
      <c r="F3" s="326" t="s">
        <v>122</v>
      </c>
      <c r="G3" s="638"/>
      <c r="H3" s="639"/>
      <c r="I3" s="326" t="s">
        <v>1302</v>
      </c>
      <c r="J3" s="326" t="s">
        <v>1484</v>
      </c>
      <c r="K3" s="638"/>
      <c r="L3" s="638"/>
      <c r="M3" s="638"/>
      <c r="N3" s="638"/>
      <c r="O3" s="638"/>
      <c r="P3" s="638"/>
      <c r="Q3" s="638"/>
      <c r="R3" s="638"/>
      <c r="S3" s="638"/>
      <c r="T3" s="638"/>
      <c r="U3" s="638"/>
      <c r="V3" s="638"/>
      <c r="W3" s="638"/>
      <c r="X3" s="638"/>
      <c r="Y3" s="638"/>
      <c r="Z3" s="638"/>
    </row>
    <row r="4" spans="1:26" ht="22.5" customHeight="1" outlineLevel="1" x14ac:dyDescent="0.85">
      <c r="A4" s="557" t="s">
        <v>105</v>
      </c>
      <c r="B4" s="640">
        <f>E115+I131+(0.05*O67)+(0.05*J80)</f>
        <v>96.599597381866147</v>
      </c>
      <c r="C4" s="258" t="s">
        <v>106</v>
      </c>
      <c r="D4" s="39">
        <f t="shared" ref="D4:D8" si="0">B4</f>
        <v>96.599597381866147</v>
      </c>
      <c r="E4" s="38" t="s">
        <v>106</v>
      </c>
      <c r="F4" s="38" t="s">
        <v>106</v>
      </c>
      <c r="G4" s="638"/>
      <c r="H4" s="639"/>
      <c r="I4" s="557" t="s">
        <v>402</v>
      </c>
      <c r="J4" s="259">
        <f>Q67+Q68+Q69+Q70</f>
        <v>181035.22676951959</v>
      </c>
      <c r="K4" s="638"/>
      <c r="L4" s="638"/>
      <c r="M4" s="638"/>
      <c r="N4" s="638"/>
      <c r="O4" s="638"/>
      <c r="P4" s="638"/>
      <c r="Q4" s="638"/>
      <c r="R4" s="638"/>
      <c r="S4" s="638"/>
      <c r="T4" s="638"/>
      <c r="U4" s="638"/>
      <c r="V4" s="638"/>
      <c r="W4" s="638"/>
      <c r="X4" s="638"/>
      <c r="Y4" s="638"/>
      <c r="Z4" s="638"/>
    </row>
    <row r="5" spans="1:26" ht="22.5" customHeight="1" outlineLevel="1" x14ac:dyDescent="0.85">
      <c r="A5" s="557" t="s">
        <v>107</v>
      </c>
      <c r="B5" s="640">
        <f>J81+Q67+E118+I134</f>
        <v>20934.274860335296</v>
      </c>
      <c r="C5" s="258">
        <f t="shared" ref="C5:C8" si="1">B5/$B$10</f>
        <v>6.0017452944946252E-2</v>
      </c>
      <c r="D5" s="39">
        <f t="shared" si="0"/>
        <v>20934.274860335296</v>
      </c>
      <c r="E5" s="38" t="s">
        <v>106</v>
      </c>
      <c r="F5" s="38" t="s">
        <v>106</v>
      </c>
      <c r="G5" s="15"/>
      <c r="H5" s="641"/>
      <c r="I5" s="557" t="s">
        <v>1485</v>
      </c>
      <c r="J5" s="259">
        <f>J81+J91+J101+J111</f>
        <v>164677.87016939695</v>
      </c>
      <c r="K5" s="15"/>
      <c r="L5" s="15"/>
      <c r="M5" s="15"/>
      <c r="N5" s="15"/>
      <c r="O5" s="15"/>
      <c r="P5" s="15"/>
      <c r="Q5" s="15"/>
      <c r="R5" s="15"/>
      <c r="S5" s="15"/>
      <c r="T5" s="15"/>
      <c r="U5" s="15"/>
      <c r="V5" s="15"/>
      <c r="W5" s="15"/>
      <c r="X5" s="15"/>
      <c r="Y5" s="15"/>
      <c r="Z5" s="15"/>
    </row>
    <row r="6" spans="1:26" ht="22.5" customHeight="1" outlineLevel="1" x14ac:dyDescent="0.85">
      <c r="A6" s="557" t="s">
        <v>108</v>
      </c>
      <c r="B6" s="640">
        <f>J91+Q68+E121+I137</f>
        <v>65257.014649739183</v>
      </c>
      <c r="C6" s="258">
        <f t="shared" si="1"/>
        <v>0.18708839127211402</v>
      </c>
      <c r="D6" s="39">
        <f t="shared" si="0"/>
        <v>65257.014649739183</v>
      </c>
      <c r="E6" s="38" t="s">
        <v>106</v>
      </c>
      <c r="F6" s="38" t="s">
        <v>106</v>
      </c>
      <c r="G6" s="15"/>
      <c r="H6" s="15"/>
      <c r="I6" s="37" t="s">
        <v>404</v>
      </c>
      <c r="J6" s="259">
        <f>E118+E121+E124+E127</f>
        <v>589.4321176447412</v>
      </c>
      <c r="K6" s="15"/>
      <c r="L6" s="15"/>
      <c r="M6" s="15"/>
      <c r="N6" s="15"/>
      <c r="O6" s="15"/>
      <c r="P6" s="15"/>
      <c r="Q6" s="15"/>
      <c r="R6" s="15"/>
      <c r="S6" s="15"/>
      <c r="T6" s="15"/>
      <c r="U6" s="15"/>
      <c r="V6" s="15"/>
      <c r="W6" s="15"/>
      <c r="X6" s="15"/>
      <c r="Y6" s="15"/>
      <c r="Z6" s="15"/>
    </row>
    <row r="7" spans="1:26" ht="22.5" customHeight="1" outlineLevel="1" x14ac:dyDescent="0.85">
      <c r="A7" s="557" t="s">
        <v>109</v>
      </c>
      <c r="B7" s="640">
        <f>J101+Q69+E124+I140</f>
        <v>172567.74836889049</v>
      </c>
      <c r="C7" s="258">
        <f t="shared" si="1"/>
        <v>0.49474255911147075</v>
      </c>
      <c r="D7" s="39">
        <f t="shared" si="0"/>
        <v>172567.74836889049</v>
      </c>
      <c r="E7" s="38" t="s">
        <v>106</v>
      </c>
      <c r="F7" s="38" t="s">
        <v>106</v>
      </c>
      <c r="G7" s="15"/>
      <c r="H7" s="15"/>
      <c r="I7" s="557" t="s">
        <v>405</v>
      </c>
      <c r="J7" s="259">
        <f>I134+I137+I140+I143</f>
        <v>2500.5912547624171</v>
      </c>
      <c r="K7" s="15"/>
      <c r="L7" s="15"/>
      <c r="M7" s="15"/>
      <c r="N7" s="15"/>
      <c r="O7" s="15"/>
      <c r="P7" s="15"/>
      <c r="Q7" s="15"/>
      <c r="R7" s="15"/>
      <c r="S7" s="15"/>
      <c r="T7" s="15"/>
      <c r="U7" s="15"/>
      <c r="V7" s="15"/>
      <c r="W7" s="15"/>
      <c r="X7" s="15"/>
      <c r="Y7" s="15"/>
      <c r="Z7" s="15"/>
    </row>
    <row r="8" spans="1:26" ht="22.5" customHeight="1" outlineLevel="1" x14ac:dyDescent="0.85">
      <c r="A8" s="37" t="s">
        <v>110</v>
      </c>
      <c r="B8" s="640">
        <f>J111+Q70+E127+I143</f>
        <v>90044.082432358715</v>
      </c>
      <c r="C8" s="258">
        <f t="shared" si="1"/>
        <v>0.25815159667146903</v>
      </c>
      <c r="D8" s="39">
        <f t="shared" si="0"/>
        <v>90044.082432358715</v>
      </c>
      <c r="E8" s="38" t="s">
        <v>106</v>
      </c>
      <c r="F8" s="38" t="s">
        <v>106</v>
      </c>
      <c r="G8" s="15"/>
      <c r="H8" s="641"/>
      <c r="I8" s="292" t="s">
        <v>111</v>
      </c>
      <c r="J8" s="293">
        <f>SUM(J4:J7)</f>
        <v>348803.12031132373</v>
      </c>
      <c r="K8" s="15"/>
      <c r="L8" s="15"/>
      <c r="M8" s="15"/>
      <c r="N8" s="15"/>
      <c r="O8" s="15"/>
      <c r="P8" s="15"/>
      <c r="Q8" s="15"/>
      <c r="R8" s="15"/>
      <c r="S8" s="15"/>
      <c r="T8" s="15"/>
      <c r="U8" s="15"/>
      <c r="V8" s="15"/>
      <c r="W8" s="15"/>
      <c r="X8" s="15"/>
      <c r="Y8" s="15"/>
      <c r="Z8" s="15"/>
    </row>
    <row r="9" spans="1:26" ht="22.5" customHeight="1" outlineLevel="1" x14ac:dyDescent="0.85">
      <c r="A9" s="549" t="s">
        <v>590</v>
      </c>
      <c r="B9" s="293">
        <f>B4</f>
        <v>96.599597381866147</v>
      </c>
      <c r="C9" s="294" t="s">
        <v>106</v>
      </c>
      <c r="D9" s="293">
        <f>D4</f>
        <v>96.599597381866147</v>
      </c>
      <c r="E9" s="642" t="s">
        <v>106</v>
      </c>
      <c r="F9" s="642" t="s">
        <v>106</v>
      </c>
      <c r="G9" s="15"/>
      <c r="H9" s="641"/>
      <c r="I9" s="641"/>
      <c r="J9" s="641"/>
      <c r="K9" s="15"/>
      <c r="L9" s="15"/>
      <c r="M9" s="15"/>
      <c r="N9" s="15"/>
      <c r="O9" s="15"/>
      <c r="P9" s="15"/>
      <c r="Q9" s="15"/>
      <c r="R9" s="15"/>
      <c r="S9" s="15"/>
      <c r="T9" s="15"/>
      <c r="U9" s="15"/>
      <c r="V9" s="15"/>
      <c r="W9" s="15"/>
      <c r="X9" s="15"/>
      <c r="Y9" s="15"/>
      <c r="Z9" s="15"/>
    </row>
    <row r="10" spans="1:26" ht="22.5" customHeight="1" outlineLevel="1" x14ac:dyDescent="0.85">
      <c r="A10" s="292" t="s">
        <v>111</v>
      </c>
      <c r="B10" s="293">
        <f t="shared" ref="B10:D10" si="2">SUM(B5:B8)</f>
        <v>348803.12031132367</v>
      </c>
      <c r="C10" s="294">
        <f t="shared" si="2"/>
        <v>1</v>
      </c>
      <c r="D10" s="293">
        <f t="shared" si="2"/>
        <v>348803.12031132367</v>
      </c>
      <c r="E10" s="642" t="s">
        <v>106</v>
      </c>
      <c r="F10" s="642" t="s">
        <v>106</v>
      </c>
      <c r="G10" s="15"/>
      <c r="H10" s="641"/>
      <c r="I10" s="15"/>
      <c r="J10" s="15"/>
      <c r="K10" s="15"/>
      <c r="L10" s="15"/>
      <c r="M10" s="15"/>
      <c r="N10" s="15"/>
      <c r="O10" s="15"/>
      <c r="P10" s="15"/>
      <c r="Q10" s="15"/>
      <c r="R10" s="15"/>
      <c r="S10" s="15"/>
      <c r="T10" s="15"/>
      <c r="U10" s="15"/>
      <c r="V10" s="15"/>
      <c r="W10" s="15"/>
      <c r="X10" s="15"/>
      <c r="Y10" s="15"/>
      <c r="Z10" s="15"/>
    </row>
    <row r="11" spans="1:26" ht="22.5" customHeight="1" outlineLevel="1" x14ac:dyDescent="0.85">
      <c r="A11" s="638"/>
      <c r="B11" s="638"/>
      <c r="C11" s="638"/>
      <c r="D11" s="638"/>
      <c r="E11" s="638"/>
      <c r="F11" s="638"/>
      <c r="G11" s="638"/>
      <c r="H11" s="638"/>
      <c r="I11" s="638"/>
      <c r="J11" s="638"/>
      <c r="K11" s="638"/>
      <c r="L11" s="638"/>
      <c r="M11" s="638"/>
      <c r="N11" s="638"/>
      <c r="O11" s="638"/>
      <c r="P11" s="638"/>
      <c r="Q11" s="638"/>
      <c r="R11" s="638"/>
      <c r="S11" s="638"/>
      <c r="T11" s="638"/>
      <c r="U11" s="638"/>
      <c r="V11" s="638"/>
      <c r="W11" s="638"/>
      <c r="X11" s="638"/>
      <c r="Y11" s="638"/>
      <c r="Z11" s="638"/>
    </row>
    <row r="12" spans="1:26" ht="22.5" customHeight="1" x14ac:dyDescent="0.9">
      <c r="A12" s="858" t="s">
        <v>591</v>
      </c>
      <c r="B12" s="765"/>
      <c r="C12" s="765"/>
      <c r="D12" s="765"/>
      <c r="E12" s="765"/>
      <c r="F12" s="765"/>
      <c r="G12" s="765"/>
      <c r="H12" s="765"/>
      <c r="I12" s="765"/>
      <c r="J12" s="765"/>
      <c r="K12" s="765"/>
      <c r="L12" s="765"/>
      <c r="M12" s="765"/>
      <c r="N12" s="765"/>
      <c r="O12" s="765"/>
      <c r="P12" s="765"/>
      <c r="Q12" s="765"/>
      <c r="R12" s="765"/>
      <c r="S12" s="765"/>
      <c r="T12" s="765"/>
      <c r="U12" s="762"/>
      <c r="V12" s="321"/>
      <c r="W12" s="321"/>
      <c r="X12" s="321"/>
      <c r="Y12" s="321"/>
      <c r="Z12" s="321"/>
    </row>
    <row r="13" spans="1:26" ht="39.75" hidden="1" customHeight="1" outlineLevel="1" x14ac:dyDescent="0.85">
      <c r="A13" s="960" t="s">
        <v>1486</v>
      </c>
      <c r="B13" s="769"/>
      <c r="C13" s="769"/>
      <c r="D13" s="769"/>
      <c r="E13" s="769"/>
      <c r="F13" s="769"/>
      <c r="G13" s="769"/>
      <c r="H13" s="769"/>
      <c r="I13" s="795"/>
      <c r="J13" s="325"/>
      <c r="K13" s="325"/>
      <c r="L13" s="325"/>
      <c r="M13" s="15"/>
      <c r="N13" s="15"/>
      <c r="O13" s="15"/>
      <c r="P13" s="15"/>
      <c r="Q13" s="15"/>
      <c r="R13" s="15"/>
      <c r="S13" s="15"/>
      <c r="T13" s="15"/>
      <c r="U13" s="15"/>
      <c r="V13" s="15"/>
      <c r="W13" s="15"/>
      <c r="X13" s="15"/>
      <c r="Y13" s="15"/>
      <c r="Z13" s="15"/>
    </row>
    <row r="14" spans="1:26" ht="22.5" hidden="1" customHeight="1" outlineLevel="1" x14ac:dyDescent="0.85">
      <c r="A14" s="957" t="s">
        <v>1487</v>
      </c>
      <c r="B14" s="790"/>
      <c r="C14" s="790"/>
      <c r="D14" s="790"/>
      <c r="E14" s="790"/>
      <c r="F14" s="790"/>
      <c r="G14" s="790"/>
      <c r="H14" s="790"/>
      <c r="I14" s="791"/>
      <c r="J14" s="325"/>
      <c r="K14" s="325"/>
      <c r="L14" s="325"/>
      <c r="M14" s="15"/>
      <c r="N14" s="15"/>
      <c r="O14" s="15"/>
      <c r="P14" s="15"/>
      <c r="Q14" s="15"/>
      <c r="R14" s="15"/>
      <c r="S14" s="15"/>
      <c r="T14" s="15"/>
      <c r="U14" s="15"/>
      <c r="V14" s="15"/>
      <c r="W14" s="15"/>
      <c r="X14" s="15"/>
      <c r="Y14" s="15"/>
      <c r="Z14" s="15"/>
    </row>
    <row r="15" spans="1:26" ht="36.75" hidden="1" customHeight="1" outlineLevel="1" x14ac:dyDescent="0.85">
      <c r="A15" s="957" t="s">
        <v>1488</v>
      </c>
      <c r="B15" s="790"/>
      <c r="C15" s="790"/>
      <c r="D15" s="790"/>
      <c r="E15" s="790"/>
      <c r="F15" s="790"/>
      <c r="G15" s="790"/>
      <c r="H15" s="790"/>
      <c r="I15" s="791"/>
      <c r="J15" s="325"/>
      <c r="K15" s="325"/>
      <c r="L15" s="325"/>
      <c r="M15" s="15"/>
      <c r="N15" s="15"/>
      <c r="O15" s="15"/>
      <c r="P15" s="15"/>
      <c r="Q15" s="15"/>
      <c r="R15" s="15"/>
      <c r="S15" s="15"/>
      <c r="T15" s="15"/>
      <c r="U15" s="15"/>
      <c r="V15" s="15"/>
      <c r="W15" s="15"/>
      <c r="X15" s="15"/>
      <c r="Y15" s="15"/>
      <c r="Z15" s="15"/>
    </row>
    <row r="16" spans="1:26" ht="45" hidden="1" customHeight="1" outlineLevel="1" x14ac:dyDescent="0.85">
      <c r="A16" s="957" t="s">
        <v>1489</v>
      </c>
      <c r="B16" s="790"/>
      <c r="C16" s="790"/>
      <c r="D16" s="790"/>
      <c r="E16" s="790"/>
      <c r="F16" s="790"/>
      <c r="G16" s="790"/>
      <c r="H16" s="790"/>
      <c r="I16" s="791"/>
      <c r="J16" s="325"/>
      <c r="K16" s="325"/>
      <c r="L16" s="325"/>
      <c r="M16" s="15"/>
      <c r="N16" s="15"/>
      <c r="O16" s="15"/>
      <c r="P16" s="15"/>
      <c r="Q16" s="15"/>
      <c r="R16" s="15"/>
      <c r="S16" s="15"/>
      <c r="T16" s="15"/>
      <c r="U16" s="15"/>
      <c r="V16" s="15"/>
      <c r="W16" s="15"/>
      <c r="X16" s="15"/>
      <c r="Y16" s="15"/>
      <c r="Z16" s="15"/>
    </row>
    <row r="17" spans="1:26" ht="22.5" hidden="1" customHeight="1" outlineLevel="1" x14ac:dyDescent="0.85">
      <c r="A17" s="957" t="s">
        <v>1490</v>
      </c>
      <c r="B17" s="790"/>
      <c r="C17" s="790"/>
      <c r="D17" s="790"/>
      <c r="E17" s="790"/>
      <c r="F17" s="790"/>
      <c r="G17" s="790"/>
      <c r="H17" s="790"/>
      <c r="I17" s="791"/>
      <c r="J17" s="325"/>
      <c r="K17" s="325"/>
      <c r="L17" s="325"/>
      <c r="M17" s="15"/>
      <c r="N17" s="15"/>
      <c r="O17" s="15"/>
      <c r="P17" s="15"/>
      <c r="Q17" s="15"/>
      <c r="R17" s="15"/>
      <c r="S17" s="15"/>
      <c r="T17" s="15"/>
      <c r="U17" s="15"/>
      <c r="V17" s="15"/>
      <c r="W17" s="15"/>
      <c r="X17" s="15"/>
      <c r="Y17" s="15"/>
      <c r="Z17" s="15"/>
    </row>
    <row r="18" spans="1:26" ht="22.5" hidden="1" customHeight="1" outlineLevel="1" x14ac:dyDescent="0.85">
      <c r="A18" s="957" t="s">
        <v>1491</v>
      </c>
      <c r="B18" s="790"/>
      <c r="C18" s="790"/>
      <c r="D18" s="790"/>
      <c r="E18" s="790"/>
      <c r="F18" s="790"/>
      <c r="G18" s="790"/>
      <c r="H18" s="790"/>
      <c r="I18" s="791"/>
      <c r="J18" s="325"/>
      <c r="K18" s="325"/>
      <c r="L18" s="325"/>
      <c r="M18" s="15"/>
      <c r="N18" s="15"/>
      <c r="O18" s="15"/>
      <c r="P18" s="15"/>
      <c r="Q18" s="15"/>
      <c r="R18" s="15"/>
      <c r="S18" s="15"/>
      <c r="T18" s="15"/>
      <c r="U18" s="15"/>
      <c r="V18" s="15"/>
      <c r="W18" s="15"/>
      <c r="X18" s="15"/>
      <c r="Y18" s="15"/>
      <c r="Z18" s="15"/>
    </row>
    <row r="19" spans="1:26" ht="22.5" hidden="1" customHeight="1" outlineLevel="1" x14ac:dyDescent="0.85">
      <c r="A19" s="957" t="s">
        <v>1492</v>
      </c>
      <c r="B19" s="790"/>
      <c r="C19" s="790"/>
      <c r="D19" s="790"/>
      <c r="E19" s="790"/>
      <c r="F19" s="790"/>
      <c r="G19" s="790"/>
      <c r="H19" s="790"/>
      <c r="I19" s="791"/>
      <c r="J19" s="325"/>
      <c r="K19" s="325"/>
      <c r="L19" s="325"/>
      <c r="M19" s="15"/>
      <c r="N19" s="15"/>
      <c r="O19" s="15"/>
      <c r="P19" s="15"/>
      <c r="Q19" s="15"/>
      <c r="R19" s="15"/>
      <c r="S19" s="15"/>
      <c r="T19" s="15"/>
      <c r="U19" s="15"/>
      <c r="V19" s="15"/>
      <c r="W19" s="15"/>
      <c r="X19" s="15"/>
      <c r="Y19" s="15"/>
      <c r="Z19" s="15"/>
    </row>
    <row r="20" spans="1:26" ht="22.5" hidden="1" customHeight="1" outlineLevel="1" x14ac:dyDescent="0.85">
      <c r="A20" s="957" t="s">
        <v>1493</v>
      </c>
      <c r="B20" s="790"/>
      <c r="C20" s="790"/>
      <c r="D20" s="790"/>
      <c r="E20" s="790"/>
      <c r="F20" s="790"/>
      <c r="G20" s="790"/>
      <c r="H20" s="790"/>
      <c r="I20" s="791"/>
      <c r="J20" s="325"/>
      <c r="K20" s="325"/>
      <c r="L20" s="325"/>
      <c r="M20" s="15"/>
      <c r="N20" s="15"/>
      <c r="O20" s="15"/>
      <c r="P20" s="15"/>
      <c r="Q20" s="15"/>
      <c r="R20" s="15"/>
      <c r="S20" s="15"/>
      <c r="T20" s="15"/>
      <c r="U20" s="15"/>
      <c r="V20" s="15"/>
      <c r="W20" s="15"/>
      <c r="X20" s="15"/>
      <c r="Y20" s="15"/>
      <c r="Z20" s="15"/>
    </row>
    <row r="21" spans="1:26" ht="22.5" hidden="1" customHeight="1" outlineLevel="1" x14ac:dyDescent="0.85">
      <c r="A21" s="957" t="s">
        <v>1494</v>
      </c>
      <c r="B21" s="790"/>
      <c r="C21" s="790"/>
      <c r="D21" s="790"/>
      <c r="E21" s="790"/>
      <c r="F21" s="790"/>
      <c r="G21" s="790"/>
      <c r="H21" s="790"/>
      <c r="I21" s="791"/>
      <c r="J21" s="325"/>
      <c r="K21" s="325"/>
      <c r="L21" s="325"/>
      <c r="M21" s="15"/>
      <c r="N21" s="15"/>
      <c r="O21" s="15"/>
      <c r="P21" s="15"/>
      <c r="Q21" s="15"/>
      <c r="R21" s="15"/>
      <c r="S21" s="15"/>
      <c r="T21" s="15"/>
      <c r="U21" s="15"/>
      <c r="V21" s="15"/>
      <c r="W21" s="15"/>
      <c r="X21" s="15"/>
      <c r="Y21" s="15"/>
      <c r="Z21" s="15"/>
    </row>
    <row r="22" spans="1:26" ht="22.5" hidden="1" customHeight="1" outlineLevel="1" x14ac:dyDescent="0.85">
      <c r="A22" s="957" t="s">
        <v>1495</v>
      </c>
      <c r="B22" s="790"/>
      <c r="C22" s="790"/>
      <c r="D22" s="790"/>
      <c r="E22" s="790"/>
      <c r="F22" s="790"/>
      <c r="G22" s="790"/>
      <c r="H22" s="790"/>
      <c r="I22" s="791"/>
      <c r="J22" s="325"/>
      <c r="K22" s="325"/>
      <c r="L22" s="325"/>
      <c r="M22" s="15"/>
      <c r="N22" s="15"/>
      <c r="O22" s="15"/>
      <c r="P22" s="15"/>
      <c r="Q22" s="15"/>
      <c r="R22" s="15"/>
      <c r="S22" s="15"/>
      <c r="T22" s="15"/>
      <c r="U22" s="15"/>
      <c r="V22" s="15"/>
      <c r="W22" s="15"/>
      <c r="X22" s="15"/>
      <c r="Y22" s="15"/>
      <c r="Z22" s="15"/>
    </row>
    <row r="23" spans="1:26" ht="22.5" hidden="1" customHeight="1" outlineLevel="1" x14ac:dyDescent="0.85">
      <c r="A23" s="957" t="s">
        <v>1496</v>
      </c>
      <c r="B23" s="790"/>
      <c r="C23" s="790"/>
      <c r="D23" s="790"/>
      <c r="E23" s="790"/>
      <c r="F23" s="790"/>
      <c r="G23" s="790"/>
      <c r="H23" s="790"/>
      <c r="I23" s="791"/>
      <c r="J23" s="494"/>
      <c r="K23" s="494"/>
      <c r="L23" s="494"/>
      <c r="M23" s="15"/>
      <c r="N23" s="15"/>
      <c r="O23" s="15"/>
      <c r="P23" s="15"/>
      <c r="Q23" s="15"/>
      <c r="R23" s="15"/>
      <c r="S23" s="15"/>
      <c r="T23" s="15"/>
      <c r="U23" s="15"/>
      <c r="V23" s="15"/>
      <c r="W23" s="15"/>
      <c r="X23" s="15"/>
      <c r="Y23" s="15"/>
      <c r="Z23" s="15"/>
    </row>
    <row r="24" spans="1:26" ht="22.5" customHeight="1" collapsed="1" x14ac:dyDescent="0.85">
      <c r="A24" s="858" t="s">
        <v>183</v>
      </c>
      <c r="B24" s="765"/>
      <c r="C24" s="765"/>
      <c r="D24" s="765"/>
      <c r="E24" s="765"/>
      <c r="F24" s="765"/>
      <c r="G24" s="765"/>
      <c r="H24" s="765"/>
      <c r="I24" s="765"/>
      <c r="J24" s="765"/>
      <c r="K24" s="765"/>
      <c r="L24" s="765"/>
      <c r="M24" s="765"/>
      <c r="N24" s="765"/>
      <c r="O24" s="765"/>
      <c r="P24" s="765"/>
      <c r="Q24" s="765"/>
      <c r="R24" s="765"/>
      <c r="S24" s="765"/>
      <c r="T24" s="765"/>
      <c r="U24" s="762"/>
      <c r="V24" s="638"/>
      <c r="W24" s="638"/>
      <c r="X24" s="638"/>
      <c r="Y24" s="638"/>
      <c r="Z24" s="638"/>
    </row>
    <row r="25" spans="1:26" ht="22.5" hidden="1" customHeight="1" outlineLevel="1" x14ac:dyDescent="0.85">
      <c r="A25" s="839" t="s">
        <v>1497</v>
      </c>
      <c r="B25" s="813"/>
      <c r="C25" s="813"/>
      <c r="D25" s="813"/>
      <c r="E25" s="813"/>
      <c r="F25" s="813"/>
      <c r="G25" s="814"/>
      <c r="H25" s="638"/>
      <c r="I25" s="931" t="s">
        <v>1498</v>
      </c>
      <c r="J25" s="813"/>
      <c r="K25" s="813"/>
      <c r="L25" s="814"/>
      <c r="M25" s="638"/>
      <c r="N25" s="638"/>
      <c r="O25" s="638"/>
      <c r="P25" s="638"/>
      <c r="Q25" s="638"/>
      <c r="R25" s="638"/>
      <c r="S25" s="638"/>
      <c r="T25" s="638"/>
      <c r="U25" s="638"/>
      <c r="V25" s="638"/>
      <c r="W25" s="638"/>
      <c r="X25" s="638"/>
      <c r="Y25" s="638"/>
      <c r="Z25" s="638"/>
    </row>
    <row r="26" spans="1:26" ht="22.5" hidden="1" customHeight="1" outlineLevel="1" x14ac:dyDescent="0.85">
      <c r="A26" s="400" t="s">
        <v>1499</v>
      </c>
      <c r="B26" s="400" t="s">
        <v>1500</v>
      </c>
      <c r="C26" s="958" t="s">
        <v>1501</v>
      </c>
      <c r="D26" s="765"/>
      <c r="E26" s="765"/>
      <c r="F26" s="765"/>
      <c r="G26" s="762"/>
      <c r="H26" s="638"/>
      <c r="I26" s="289" t="s">
        <v>1502</v>
      </c>
      <c r="J26" s="289" t="s">
        <v>251</v>
      </c>
      <c r="K26" s="289" t="s">
        <v>608</v>
      </c>
      <c r="L26" s="289" t="s">
        <v>1501</v>
      </c>
      <c r="M26" s="638"/>
      <c r="N26" s="638"/>
      <c r="O26" s="638"/>
      <c r="P26" s="638"/>
      <c r="Q26" s="638"/>
      <c r="R26" s="638"/>
      <c r="S26" s="638"/>
      <c r="T26" s="638"/>
      <c r="U26" s="638"/>
      <c r="V26" s="638"/>
      <c r="W26" s="638"/>
      <c r="X26" s="638"/>
      <c r="Y26" s="638"/>
      <c r="Z26" s="638"/>
    </row>
    <row r="27" spans="1:26" ht="22.5" hidden="1" customHeight="1" outlineLevel="1" x14ac:dyDescent="0.85">
      <c r="A27" s="162" t="s">
        <v>1503</v>
      </c>
      <c r="B27" s="643">
        <v>138</v>
      </c>
      <c r="C27" s="932" t="s">
        <v>1504</v>
      </c>
      <c r="D27" s="828"/>
      <c r="E27" s="828"/>
      <c r="F27" s="828"/>
      <c r="G27" s="825"/>
      <c r="H27" s="638"/>
      <c r="I27" s="175" t="s">
        <v>1505</v>
      </c>
      <c r="J27" s="644">
        <f>(42.2+14.3)/2</f>
        <v>28.25</v>
      </c>
      <c r="K27" s="176" t="s">
        <v>1506</v>
      </c>
      <c r="L27" s="959" t="s">
        <v>1507</v>
      </c>
      <c r="M27" s="638"/>
      <c r="N27" s="638"/>
      <c r="O27" s="638"/>
      <c r="P27" s="638"/>
      <c r="Q27" s="638"/>
      <c r="R27" s="638"/>
      <c r="S27" s="638"/>
      <c r="T27" s="638"/>
      <c r="U27" s="638"/>
      <c r="V27" s="638"/>
      <c r="W27" s="638"/>
      <c r="X27" s="638"/>
      <c r="Y27" s="638"/>
      <c r="Z27" s="638"/>
    </row>
    <row r="28" spans="1:26" ht="22.5" hidden="1" customHeight="1" outlineLevel="1" x14ac:dyDescent="0.85">
      <c r="A28" s="162" t="s">
        <v>1508</v>
      </c>
      <c r="B28" s="643">
        <v>64</v>
      </c>
      <c r="C28" s="809"/>
      <c r="D28" s="785"/>
      <c r="E28" s="785"/>
      <c r="F28" s="785"/>
      <c r="G28" s="826"/>
      <c r="H28" s="638"/>
      <c r="I28" s="175" t="s">
        <v>1509</v>
      </c>
      <c r="J28" s="645">
        <f>AVERAGE(0.55,0.72)</f>
        <v>0.63500000000000001</v>
      </c>
      <c r="K28" s="176" t="s">
        <v>1510</v>
      </c>
      <c r="L28" s="855"/>
      <c r="M28" s="638"/>
      <c r="N28" s="638"/>
      <c r="O28" s="638"/>
      <c r="P28" s="638"/>
      <c r="Q28" s="638"/>
      <c r="R28" s="638"/>
      <c r="S28" s="638"/>
      <c r="T28" s="638"/>
      <c r="U28" s="638"/>
      <c r="V28" s="638"/>
      <c r="W28" s="638"/>
      <c r="X28" s="638"/>
      <c r="Y28" s="638"/>
      <c r="Z28" s="638"/>
    </row>
    <row r="29" spans="1:26" ht="22.5" hidden="1" customHeight="1" outlineLevel="1" x14ac:dyDescent="0.85">
      <c r="A29" s="162" t="s">
        <v>1511</v>
      </c>
      <c r="B29" s="643">
        <f t="shared" ref="B29:B30" si="3">AVERAGE(9,5)</f>
        <v>7</v>
      </c>
      <c r="C29" s="809"/>
      <c r="D29" s="785"/>
      <c r="E29" s="785"/>
      <c r="F29" s="785"/>
      <c r="G29" s="826"/>
      <c r="H29" s="638"/>
      <c r="I29" s="175" t="s">
        <v>1512</v>
      </c>
      <c r="J29" s="643">
        <v>1550</v>
      </c>
      <c r="K29" s="176" t="s">
        <v>1513</v>
      </c>
      <c r="L29" s="855"/>
      <c r="M29" s="638"/>
      <c r="N29" s="638"/>
      <c r="O29" s="638"/>
      <c r="P29" s="638"/>
      <c r="Q29" s="638"/>
      <c r="R29" s="638"/>
      <c r="S29" s="638"/>
      <c r="T29" s="638"/>
      <c r="U29" s="638"/>
      <c r="V29" s="638"/>
      <c r="W29" s="638"/>
      <c r="X29" s="638"/>
      <c r="Y29" s="638"/>
      <c r="Z29" s="638"/>
    </row>
    <row r="30" spans="1:26" ht="22.5" hidden="1" customHeight="1" outlineLevel="1" x14ac:dyDescent="0.85">
      <c r="A30" s="162" t="s">
        <v>1514</v>
      </c>
      <c r="B30" s="643">
        <f t="shared" si="3"/>
        <v>7</v>
      </c>
      <c r="C30" s="809"/>
      <c r="D30" s="785"/>
      <c r="E30" s="785"/>
      <c r="F30" s="785"/>
      <c r="G30" s="826"/>
      <c r="H30" s="638"/>
      <c r="I30" s="175" t="s">
        <v>1512</v>
      </c>
      <c r="J30" s="644">
        <v>6.1</v>
      </c>
      <c r="K30" s="176" t="s">
        <v>1515</v>
      </c>
      <c r="L30" s="855"/>
      <c r="M30" s="638"/>
      <c r="N30" s="638"/>
      <c r="O30" s="638"/>
      <c r="P30" s="638"/>
      <c r="Q30" s="638"/>
      <c r="R30" s="638"/>
      <c r="S30" s="638"/>
      <c r="T30" s="638"/>
      <c r="U30" s="638"/>
      <c r="V30" s="638"/>
      <c r="W30" s="638"/>
      <c r="X30" s="638"/>
      <c r="Y30" s="638"/>
      <c r="Z30" s="638"/>
    </row>
    <row r="31" spans="1:26" ht="22.5" hidden="1" customHeight="1" outlineLevel="1" x14ac:dyDescent="0.85">
      <c r="A31" s="162" t="s">
        <v>1516</v>
      </c>
      <c r="B31" s="643">
        <v>55</v>
      </c>
      <c r="C31" s="809"/>
      <c r="D31" s="785"/>
      <c r="E31" s="785"/>
      <c r="F31" s="785"/>
      <c r="G31" s="826"/>
      <c r="H31" s="638"/>
      <c r="I31" s="175" t="s">
        <v>1512</v>
      </c>
      <c r="J31" s="645">
        <v>0.06</v>
      </c>
      <c r="K31" s="176" t="s">
        <v>1517</v>
      </c>
      <c r="L31" s="797"/>
      <c r="M31" s="638"/>
      <c r="N31" s="638"/>
      <c r="O31" s="638"/>
      <c r="P31" s="638"/>
      <c r="Q31" s="638"/>
      <c r="R31" s="638"/>
      <c r="S31" s="638"/>
      <c r="T31" s="638"/>
      <c r="U31" s="638"/>
      <c r="V31" s="638"/>
      <c r="W31" s="638"/>
      <c r="X31" s="638"/>
      <c r="Y31" s="638"/>
      <c r="Z31" s="638"/>
    </row>
    <row r="32" spans="1:26" ht="22.5" hidden="1" customHeight="1" outlineLevel="1" x14ac:dyDescent="0.85">
      <c r="A32" s="162" t="s">
        <v>1518</v>
      </c>
      <c r="B32" s="643">
        <f>AVERAGE(1.5,1)</f>
        <v>1.25</v>
      </c>
      <c r="C32" s="809"/>
      <c r="D32" s="785"/>
      <c r="E32" s="785"/>
      <c r="F32" s="785"/>
      <c r="G32" s="826"/>
      <c r="H32" s="638"/>
      <c r="I32" s="638"/>
      <c r="J32" s="638"/>
      <c r="K32" s="638"/>
      <c r="L32" s="638"/>
      <c r="M32" s="638"/>
      <c r="N32" s="638"/>
      <c r="O32" s="638"/>
      <c r="P32" s="638"/>
      <c r="Q32" s="638"/>
      <c r="R32" s="638"/>
      <c r="S32" s="638"/>
      <c r="T32" s="638"/>
      <c r="U32" s="638"/>
      <c r="V32" s="638"/>
      <c r="W32" s="638"/>
      <c r="X32" s="638"/>
      <c r="Y32" s="638"/>
      <c r="Z32" s="638"/>
    </row>
    <row r="33" spans="1:26" ht="22.5" hidden="1" customHeight="1" outlineLevel="1" x14ac:dyDescent="0.85">
      <c r="A33" s="162" t="s">
        <v>1519</v>
      </c>
      <c r="B33" s="643">
        <v>18</v>
      </c>
      <c r="C33" s="809"/>
      <c r="D33" s="785"/>
      <c r="E33" s="785"/>
      <c r="F33" s="785"/>
      <c r="G33" s="826"/>
      <c r="H33" s="638"/>
      <c r="I33" s="638"/>
      <c r="J33" s="638"/>
      <c r="K33" s="638"/>
      <c r="L33" s="638"/>
      <c r="M33" s="638"/>
      <c r="N33" s="638"/>
      <c r="O33" s="638"/>
      <c r="P33" s="638"/>
      <c r="Q33" s="638"/>
      <c r="R33" s="638"/>
      <c r="S33" s="638"/>
      <c r="T33" s="638"/>
      <c r="U33" s="638"/>
      <c r="V33" s="638"/>
      <c r="W33" s="638"/>
      <c r="X33" s="638"/>
      <c r="Y33" s="638"/>
      <c r="Z33" s="638"/>
    </row>
    <row r="34" spans="1:26" ht="22.5" hidden="1" customHeight="1" outlineLevel="1" x14ac:dyDescent="0.85">
      <c r="A34" s="162" t="s">
        <v>1520</v>
      </c>
      <c r="B34" s="643">
        <v>0</v>
      </c>
      <c r="C34" s="810"/>
      <c r="D34" s="830"/>
      <c r="E34" s="830"/>
      <c r="F34" s="830"/>
      <c r="G34" s="767"/>
      <c r="H34" s="638"/>
      <c r="I34" s="638"/>
      <c r="J34" s="638"/>
      <c r="K34" s="638"/>
      <c r="L34" s="638"/>
      <c r="M34" s="638"/>
      <c r="N34" s="638"/>
      <c r="O34" s="638"/>
      <c r="P34" s="638"/>
      <c r="Q34" s="638"/>
      <c r="R34" s="638"/>
      <c r="S34" s="638"/>
      <c r="T34" s="638"/>
      <c r="U34" s="638"/>
      <c r="V34" s="638"/>
      <c r="W34" s="638"/>
      <c r="X34" s="638"/>
      <c r="Y34" s="638"/>
      <c r="Z34" s="638"/>
    </row>
    <row r="35" spans="1:26" ht="22.5" hidden="1" customHeight="1" outlineLevel="1" x14ac:dyDescent="0.85">
      <c r="A35" s="34"/>
      <c r="B35" s="143"/>
      <c r="C35" s="143"/>
      <c r="D35" s="143"/>
      <c r="E35" s="143"/>
      <c r="F35" s="143"/>
      <c r="G35" s="143"/>
      <c r="H35" s="646"/>
      <c r="I35" s="30"/>
      <c r="J35" s="30"/>
      <c r="K35" s="30"/>
      <c r="L35" s="30"/>
      <c r="M35" s="638"/>
      <c r="N35" s="638"/>
      <c r="O35" s="638"/>
      <c r="P35" s="638"/>
      <c r="Q35" s="638"/>
      <c r="R35" s="638"/>
      <c r="S35" s="638"/>
      <c r="T35" s="638"/>
      <c r="U35" s="638"/>
      <c r="V35" s="638"/>
      <c r="W35" s="638"/>
      <c r="X35" s="638"/>
      <c r="Y35" s="638"/>
      <c r="Z35" s="638"/>
    </row>
    <row r="36" spans="1:26" ht="22.5" hidden="1" customHeight="1" outlineLevel="1" x14ac:dyDescent="0.85">
      <c r="A36" s="937" t="s">
        <v>1521</v>
      </c>
      <c r="B36" s="765"/>
      <c r="C36" s="765"/>
      <c r="D36" s="765"/>
      <c r="E36" s="765"/>
      <c r="F36" s="762"/>
      <c r="G36" s="15"/>
      <c r="H36" s="15"/>
      <c r="I36" s="937" t="s">
        <v>404</v>
      </c>
      <c r="J36" s="765"/>
      <c r="K36" s="765"/>
      <c r="L36" s="762"/>
      <c r="M36" s="638"/>
      <c r="N36" s="638"/>
      <c r="O36" s="638"/>
      <c r="P36" s="638"/>
      <c r="Q36" s="638"/>
      <c r="R36" s="638"/>
      <c r="S36" s="638"/>
      <c r="T36" s="638"/>
      <c r="U36" s="638"/>
      <c r="V36" s="638"/>
      <c r="W36" s="638"/>
      <c r="X36" s="638"/>
      <c r="Y36" s="638"/>
      <c r="Z36" s="638"/>
    </row>
    <row r="37" spans="1:26" ht="22.5" hidden="1" customHeight="1" outlineLevel="1" x14ac:dyDescent="0.85">
      <c r="A37" s="400" t="s">
        <v>1499</v>
      </c>
      <c r="B37" s="400" t="s">
        <v>1522</v>
      </c>
      <c r="C37" s="400" t="s">
        <v>1523</v>
      </c>
      <c r="D37" s="400" t="s">
        <v>1524</v>
      </c>
      <c r="E37" s="400" t="s">
        <v>1525</v>
      </c>
      <c r="F37" s="400" t="s">
        <v>1526</v>
      </c>
      <c r="G37" s="15"/>
      <c r="H37" s="15"/>
      <c r="I37" s="289" t="s">
        <v>1502</v>
      </c>
      <c r="J37" s="289" t="s">
        <v>251</v>
      </c>
      <c r="K37" s="289" t="s">
        <v>608</v>
      </c>
      <c r="L37" s="289" t="s">
        <v>1501</v>
      </c>
      <c r="M37" s="638"/>
      <c r="N37" s="638"/>
      <c r="O37" s="638"/>
      <c r="P37" s="638"/>
      <c r="Q37" s="638"/>
      <c r="R37" s="638"/>
      <c r="S37" s="638"/>
      <c r="T37" s="638"/>
      <c r="U37" s="638"/>
      <c r="V37" s="638"/>
      <c r="W37" s="638"/>
      <c r="X37" s="638"/>
      <c r="Y37" s="638"/>
      <c r="Z37" s="638"/>
    </row>
    <row r="38" spans="1:26" ht="22.5" hidden="1" customHeight="1" outlineLevel="1" x14ac:dyDescent="0.85">
      <c r="A38" s="647" t="s">
        <v>1503</v>
      </c>
      <c r="B38" s="643" t="s">
        <v>258</v>
      </c>
      <c r="C38" s="643">
        <v>2936.8549536230198</v>
      </c>
      <c r="D38" s="645">
        <v>0.24</v>
      </c>
      <c r="E38" s="645">
        <v>0.25111780931537803</v>
      </c>
      <c r="F38" s="361">
        <v>365</v>
      </c>
      <c r="G38" s="15"/>
      <c r="H38" s="15"/>
      <c r="I38" s="175" t="s">
        <v>1237</v>
      </c>
      <c r="J38" s="644">
        <v>0.2</v>
      </c>
      <c r="K38" s="176" t="s">
        <v>1527</v>
      </c>
      <c r="L38" s="956" t="s">
        <v>1528</v>
      </c>
      <c r="M38" s="638"/>
      <c r="N38" s="638"/>
      <c r="O38" s="638"/>
      <c r="P38" s="638"/>
      <c r="Q38" s="638"/>
      <c r="R38" s="638"/>
      <c r="S38" s="638"/>
      <c r="T38" s="638"/>
      <c r="U38" s="638"/>
      <c r="V38" s="638"/>
      <c r="W38" s="638"/>
      <c r="X38" s="638"/>
      <c r="Y38" s="638"/>
      <c r="Z38" s="638"/>
    </row>
    <row r="39" spans="1:26" ht="22.5" hidden="1" customHeight="1" outlineLevel="1" x14ac:dyDescent="0.85">
      <c r="A39" s="647" t="s">
        <v>1529</v>
      </c>
      <c r="B39" s="643" t="s">
        <v>258</v>
      </c>
      <c r="C39" s="643">
        <v>1889.5007220426601</v>
      </c>
      <c r="D39" s="645">
        <v>0.17</v>
      </c>
      <c r="E39" s="645">
        <v>1.2E-2</v>
      </c>
      <c r="F39" s="361"/>
      <c r="G39" s="15"/>
      <c r="H39" s="15"/>
      <c r="I39" s="175" t="s">
        <v>1335</v>
      </c>
      <c r="J39" s="644">
        <f>44/12</f>
        <v>3.6666666666666665</v>
      </c>
      <c r="K39" s="176" t="s">
        <v>1530</v>
      </c>
      <c r="L39" s="797"/>
      <c r="M39" s="638"/>
      <c r="N39" s="638"/>
      <c r="O39" s="638"/>
      <c r="P39" s="638"/>
      <c r="Q39" s="638"/>
      <c r="R39" s="638"/>
      <c r="S39" s="638"/>
      <c r="T39" s="638"/>
      <c r="U39" s="638"/>
      <c r="V39" s="638"/>
      <c r="W39" s="638"/>
      <c r="X39" s="638"/>
      <c r="Y39" s="638"/>
      <c r="Z39" s="638"/>
    </row>
    <row r="40" spans="1:26" ht="22.5" hidden="1" customHeight="1" outlineLevel="1" x14ac:dyDescent="0.85">
      <c r="A40" s="647" t="s">
        <v>1531</v>
      </c>
      <c r="B40" s="643">
        <v>40.6</v>
      </c>
      <c r="C40" s="643">
        <v>5.4</v>
      </c>
      <c r="D40" s="645">
        <v>0.48</v>
      </c>
      <c r="E40" s="645">
        <v>0.2442396939461926</v>
      </c>
      <c r="F40" s="361"/>
      <c r="G40" s="15"/>
      <c r="H40" s="15"/>
      <c r="I40" s="15"/>
      <c r="J40" s="274"/>
      <c r="K40" s="251"/>
      <c r="L40" s="251"/>
      <c r="M40" s="638"/>
      <c r="N40" s="638"/>
      <c r="O40" s="638"/>
      <c r="P40" s="638"/>
      <c r="Q40" s="638"/>
      <c r="R40" s="638"/>
      <c r="S40" s="638"/>
      <c r="T40" s="638"/>
      <c r="U40" s="638"/>
      <c r="V40" s="638"/>
      <c r="W40" s="638"/>
      <c r="X40" s="638"/>
      <c r="Y40" s="638"/>
      <c r="Z40" s="638"/>
    </row>
    <row r="41" spans="1:26" ht="22.5" hidden="1" customHeight="1" outlineLevel="1" x14ac:dyDescent="0.85">
      <c r="A41" s="647" t="s">
        <v>1532</v>
      </c>
      <c r="B41" s="643">
        <v>1.8</v>
      </c>
      <c r="C41" s="643">
        <v>11</v>
      </c>
      <c r="D41" s="645">
        <v>0.39</v>
      </c>
      <c r="E41" s="645">
        <v>0.43382078349764386</v>
      </c>
      <c r="F41" s="361"/>
      <c r="G41" s="15"/>
      <c r="H41" s="15"/>
      <c r="I41" s="15"/>
      <c r="J41" s="15"/>
      <c r="K41" s="15"/>
      <c r="L41" s="15"/>
      <c r="M41" s="638"/>
      <c r="N41" s="638"/>
      <c r="O41" s="638"/>
      <c r="P41" s="638"/>
      <c r="Q41" s="638"/>
      <c r="R41" s="638"/>
      <c r="S41" s="638"/>
      <c r="T41" s="638"/>
      <c r="U41" s="638"/>
      <c r="V41" s="638"/>
      <c r="W41" s="638"/>
      <c r="X41" s="638"/>
      <c r="Y41" s="638"/>
      <c r="Z41" s="638"/>
    </row>
    <row r="42" spans="1:26" ht="22.5" hidden="1" customHeight="1" outlineLevel="1" x14ac:dyDescent="0.85">
      <c r="A42" s="647" t="s">
        <v>1533</v>
      </c>
      <c r="B42" s="643">
        <v>25</v>
      </c>
      <c r="C42" s="643">
        <v>8.3000000000000007</v>
      </c>
      <c r="D42" s="645">
        <v>0.36</v>
      </c>
      <c r="E42" s="645">
        <v>1.2785301605866006E-2</v>
      </c>
      <c r="F42" s="361"/>
      <c r="G42" s="15"/>
      <c r="H42" s="15"/>
      <c r="I42" s="15"/>
      <c r="J42" s="15"/>
      <c r="K42" s="15"/>
      <c r="L42" s="15"/>
      <c r="M42" s="638"/>
      <c r="N42" s="638"/>
      <c r="O42" s="638"/>
      <c r="P42" s="638"/>
      <c r="Q42" s="638"/>
      <c r="R42" s="638"/>
      <c r="S42" s="638"/>
      <c r="T42" s="638"/>
      <c r="U42" s="638"/>
      <c r="V42" s="638"/>
      <c r="W42" s="638"/>
      <c r="X42" s="638"/>
      <c r="Y42" s="638"/>
      <c r="Z42" s="638"/>
    </row>
    <row r="43" spans="1:26" ht="22.5" hidden="1" customHeight="1" outlineLevel="1" x14ac:dyDescent="0.85">
      <c r="A43" s="647" t="s">
        <v>1534</v>
      </c>
      <c r="B43" s="643">
        <v>64</v>
      </c>
      <c r="C43" s="643">
        <v>9.5</v>
      </c>
      <c r="D43" s="645">
        <v>0.17</v>
      </c>
      <c r="E43" s="645">
        <v>1.2E-2</v>
      </c>
      <c r="F43" s="361"/>
      <c r="G43" s="15"/>
      <c r="H43" s="15"/>
      <c r="I43" s="15"/>
      <c r="J43" s="15"/>
      <c r="K43" s="15"/>
      <c r="L43" s="15"/>
      <c r="M43" s="638"/>
      <c r="N43" s="638"/>
      <c r="O43" s="638"/>
      <c r="P43" s="638"/>
      <c r="Q43" s="638"/>
      <c r="R43" s="638"/>
      <c r="S43" s="638"/>
      <c r="T43" s="638"/>
      <c r="U43" s="638"/>
      <c r="V43" s="638"/>
      <c r="W43" s="638"/>
      <c r="X43" s="638"/>
      <c r="Y43" s="638"/>
      <c r="Z43" s="638"/>
    </row>
    <row r="44" spans="1:26" ht="22.5" hidden="1" customHeight="1" outlineLevel="1" x14ac:dyDescent="0.85">
      <c r="A44" s="647" t="s">
        <v>1535</v>
      </c>
      <c r="B44" s="643">
        <v>450</v>
      </c>
      <c r="C44" s="643">
        <v>6.1</v>
      </c>
      <c r="D44" s="645">
        <v>0.33</v>
      </c>
      <c r="E44" s="645">
        <v>1.2E-2</v>
      </c>
      <c r="F44" s="361"/>
      <c r="G44" s="15"/>
      <c r="H44" s="15"/>
      <c r="I44" s="15"/>
      <c r="J44" s="15"/>
      <c r="K44" s="15"/>
      <c r="L44" s="15"/>
      <c r="M44" s="638"/>
      <c r="N44" s="638"/>
      <c r="O44" s="638"/>
      <c r="P44" s="638"/>
      <c r="Q44" s="638"/>
      <c r="R44" s="638"/>
      <c r="S44" s="638"/>
      <c r="T44" s="638"/>
      <c r="U44" s="638"/>
      <c r="V44" s="638"/>
      <c r="W44" s="638"/>
      <c r="X44" s="638"/>
      <c r="Y44" s="638"/>
      <c r="Z44" s="638"/>
    </row>
    <row r="45" spans="1:26" ht="22.5" hidden="1" customHeight="1" outlineLevel="1" x14ac:dyDescent="0.85">
      <c r="A45" s="648"/>
      <c r="B45" s="648"/>
      <c r="C45" s="648"/>
      <c r="D45" s="648"/>
      <c r="E45" s="648"/>
      <c r="F45" s="648"/>
      <c r="G45" s="15"/>
      <c r="H45" s="15"/>
      <c r="I45" s="15"/>
      <c r="J45" s="15"/>
      <c r="K45" s="15"/>
      <c r="L45" s="15"/>
      <c r="M45" s="638"/>
      <c r="N45" s="638"/>
      <c r="O45" s="638"/>
      <c r="P45" s="638"/>
      <c r="Q45" s="638"/>
      <c r="R45" s="638"/>
      <c r="S45" s="638"/>
      <c r="T45" s="638"/>
      <c r="U45" s="638"/>
      <c r="V45" s="638"/>
      <c r="W45" s="638"/>
      <c r="X45" s="638"/>
      <c r="Y45" s="638"/>
      <c r="Z45" s="638"/>
    </row>
    <row r="46" spans="1:26" ht="22.5" hidden="1" customHeight="1" outlineLevel="1" x14ac:dyDescent="0.85">
      <c r="A46" s="953" t="s">
        <v>1536</v>
      </c>
      <c r="B46" s="769"/>
      <c r="C46" s="769"/>
      <c r="D46" s="769"/>
      <c r="E46" s="769"/>
      <c r="F46" s="769"/>
      <c r="G46" s="769"/>
      <c r="H46" s="769"/>
      <c r="I46" s="770"/>
      <c r="J46" s="407"/>
      <c r="K46" s="407"/>
      <c r="L46" s="407"/>
      <c r="M46" s="638"/>
      <c r="N46" s="638"/>
      <c r="O46" s="638"/>
      <c r="P46" s="638"/>
      <c r="Q46" s="638"/>
      <c r="R46" s="638"/>
      <c r="S46" s="638"/>
      <c r="T46" s="638"/>
      <c r="U46" s="638"/>
      <c r="V46" s="638"/>
      <c r="W46" s="638"/>
      <c r="X46" s="638"/>
      <c r="Y46" s="638"/>
      <c r="Z46" s="638"/>
    </row>
    <row r="47" spans="1:26" ht="22.5" hidden="1" customHeight="1" outlineLevel="1" x14ac:dyDescent="0.85">
      <c r="A47" s="649"/>
      <c r="B47" s="954" t="s">
        <v>107</v>
      </c>
      <c r="C47" s="955"/>
      <c r="D47" s="954" t="s">
        <v>108</v>
      </c>
      <c r="E47" s="955"/>
      <c r="F47" s="954" t="s">
        <v>109</v>
      </c>
      <c r="G47" s="955"/>
      <c r="H47" s="954" t="s">
        <v>110</v>
      </c>
      <c r="I47" s="955"/>
      <c r="J47" s="407"/>
      <c r="K47" s="407"/>
      <c r="L47" s="407"/>
      <c r="M47" s="638"/>
      <c r="N47" s="638"/>
      <c r="O47" s="638"/>
      <c r="P47" s="638"/>
      <c r="Q47" s="638"/>
      <c r="R47" s="638"/>
      <c r="S47" s="638"/>
      <c r="T47" s="638"/>
      <c r="U47" s="638"/>
      <c r="V47" s="638"/>
      <c r="W47" s="638"/>
      <c r="X47" s="638"/>
      <c r="Y47" s="638"/>
      <c r="Z47" s="638"/>
    </row>
    <row r="48" spans="1:26" ht="22.5" hidden="1" customHeight="1" outlineLevel="1" x14ac:dyDescent="0.85">
      <c r="A48" s="650" t="s">
        <v>1499</v>
      </c>
      <c r="B48" s="651" t="s">
        <v>1537</v>
      </c>
      <c r="C48" s="652" t="s">
        <v>1538</v>
      </c>
      <c r="D48" s="651" t="s">
        <v>1537</v>
      </c>
      <c r="E48" s="652" t="s">
        <v>1538</v>
      </c>
      <c r="F48" s="651" t="s">
        <v>1537</v>
      </c>
      <c r="G48" s="652" t="s">
        <v>1538</v>
      </c>
      <c r="H48" s="651" t="s">
        <v>1537</v>
      </c>
      <c r="I48" s="652" t="s">
        <v>1538</v>
      </c>
      <c r="J48" s="653"/>
      <c r="K48" s="653"/>
      <c r="L48" s="653"/>
      <c r="M48" s="638"/>
      <c r="N48" s="638"/>
      <c r="O48" s="638"/>
      <c r="P48" s="638"/>
      <c r="Q48" s="638"/>
      <c r="R48" s="638"/>
      <c r="S48" s="638"/>
      <c r="T48" s="638"/>
      <c r="U48" s="638"/>
      <c r="V48" s="638"/>
      <c r="W48" s="638"/>
      <c r="X48" s="638"/>
      <c r="Y48" s="638"/>
      <c r="Z48" s="638"/>
    </row>
    <row r="49" spans="1:26" ht="22.5" hidden="1" customHeight="1" outlineLevel="1" x14ac:dyDescent="0.85">
      <c r="A49" s="654" t="s">
        <v>1503</v>
      </c>
      <c r="B49" s="655">
        <v>129.17396804115492</v>
      </c>
      <c r="C49" s="656">
        <v>3178.2394218209638</v>
      </c>
      <c r="D49" s="655">
        <v>2186.4636015874771</v>
      </c>
      <c r="E49" s="656">
        <v>53796.480191178904</v>
      </c>
      <c r="F49" s="655">
        <v>1166.4207929310878</v>
      </c>
      <c r="G49" s="656">
        <v>28699.006485146805</v>
      </c>
      <c r="H49" s="655">
        <v>577.91685300906897</v>
      </c>
      <c r="I49" s="656">
        <v>14219.259132636866</v>
      </c>
      <c r="J49" s="30"/>
      <c r="K49" s="30"/>
      <c r="L49" s="30"/>
      <c r="M49" s="15"/>
      <c r="N49" s="15"/>
      <c r="O49" s="15"/>
      <c r="P49" s="15"/>
      <c r="Q49" s="15"/>
      <c r="R49" s="15"/>
      <c r="S49" s="15"/>
      <c r="T49" s="15"/>
      <c r="U49" s="15"/>
      <c r="V49" s="15"/>
      <c r="W49" s="15"/>
      <c r="X49" s="15"/>
      <c r="Y49" s="15"/>
      <c r="Z49" s="15"/>
    </row>
    <row r="50" spans="1:26" ht="22.5" hidden="1" customHeight="1" outlineLevel="1" x14ac:dyDescent="0.85">
      <c r="A50" s="654" t="s">
        <v>1529</v>
      </c>
      <c r="B50" s="655"/>
      <c r="C50" s="656"/>
      <c r="D50" s="655"/>
      <c r="E50" s="656"/>
      <c r="F50" s="655"/>
      <c r="G50" s="656"/>
      <c r="H50" s="655"/>
      <c r="I50" s="656"/>
      <c r="J50" s="30"/>
      <c r="K50" s="30"/>
      <c r="L50" s="30"/>
      <c r="M50" s="15"/>
      <c r="N50" s="15"/>
      <c r="O50" s="15"/>
      <c r="P50" s="15"/>
      <c r="Q50" s="15"/>
      <c r="R50" s="15"/>
      <c r="S50" s="15"/>
      <c r="T50" s="15"/>
      <c r="U50" s="15"/>
      <c r="V50" s="15"/>
      <c r="W50" s="15"/>
      <c r="X50" s="15"/>
      <c r="Y50" s="15"/>
      <c r="Z50" s="15"/>
    </row>
    <row r="51" spans="1:26" ht="22.5" hidden="1" customHeight="1" outlineLevel="1" x14ac:dyDescent="0.85">
      <c r="A51" s="654" t="s">
        <v>1531</v>
      </c>
      <c r="B51" s="657">
        <v>0.48384053728730664</v>
      </c>
      <c r="C51" s="656"/>
      <c r="D51" s="655">
        <v>206.53160113560207</v>
      </c>
      <c r="E51" s="656"/>
      <c r="F51" s="657">
        <v>0.24179309401241222</v>
      </c>
      <c r="G51" s="656"/>
      <c r="H51" s="657">
        <v>0.18386349857193846</v>
      </c>
      <c r="I51" s="656"/>
      <c r="J51" s="30"/>
      <c r="K51" s="30"/>
      <c r="L51" s="30"/>
      <c r="M51" s="15"/>
      <c r="N51" s="15"/>
      <c r="O51" s="15"/>
      <c r="P51" s="15"/>
      <c r="Q51" s="15"/>
      <c r="R51" s="15"/>
      <c r="S51" s="15"/>
      <c r="T51" s="15"/>
      <c r="U51" s="15"/>
      <c r="V51" s="15"/>
      <c r="W51" s="15"/>
      <c r="X51" s="15"/>
      <c r="Y51" s="15"/>
      <c r="Z51" s="15"/>
    </row>
    <row r="52" spans="1:26" ht="22.5" hidden="1" customHeight="1" outlineLevel="1" x14ac:dyDescent="0.85">
      <c r="A52" s="654" t="s">
        <v>1532</v>
      </c>
      <c r="B52" s="655">
        <v>2.8519187400000003</v>
      </c>
      <c r="C52" s="656">
        <v>9.5063958</v>
      </c>
      <c r="D52" s="655">
        <v>1125.6775200000002</v>
      </c>
      <c r="E52" s="656">
        <v>3752.2584000000011</v>
      </c>
      <c r="F52" s="655">
        <v>0.66560670000000011</v>
      </c>
      <c r="G52" s="656">
        <v>2.2186890000000004</v>
      </c>
      <c r="H52" s="655">
        <v>2483.7753600000001</v>
      </c>
      <c r="I52" s="656">
        <v>8279.2512000000006</v>
      </c>
      <c r="J52" s="30"/>
      <c r="K52" s="30"/>
      <c r="L52" s="30"/>
      <c r="M52" s="15"/>
      <c r="N52" s="15"/>
      <c r="O52" s="15"/>
      <c r="P52" s="15"/>
      <c r="Q52" s="15"/>
      <c r="R52" s="15"/>
      <c r="S52" s="15"/>
      <c r="T52" s="15"/>
      <c r="U52" s="15"/>
      <c r="V52" s="15"/>
      <c r="W52" s="15"/>
      <c r="X52" s="15"/>
      <c r="Y52" s="15"/>
      <c r="Z52" s="15"/>
    </row>
    <row r="53" spans="1:26" ht="22.5" hidden="1" customHeight="1" outlineLevel="1" x14ac:dyDescent="0.85">
      <c r="A53" s="654" t="s">
        <v>1533</v>
      </c>
      <c r="B53" s="655"/>
      <c r="C53" s="656">
        <v>79.197274300783846</v>
      </c>
      <c r="D53" s="655"/>
      <c r="E53" s="656">
        <v>55850.846534591874</v>
      </c>
      <c r="F53" s="655"/>
      <c r="G53" s="656">
        <v>265.19478169773873</v>
      </c>
      <c r="H53" s="655"/>
      <c r="I53" s="656">
        <v>63.654486754783122</v>
      </c>
      <c r="J53" s="30"/>
      <c r="K53" s="30"/>
      <c r="L53" s="30"/>
      <c r="M53" s="15"/>
      <c r="N53" s="15"/>
      <c r="O53" s="15"/>
      <c r="P53" s="15"/>
      <c r="Q53" s="15"/>
      <c r="R53" s="15"/>
      <c r="S53" s="15"/>
      <c r="T53" s="15"/>
      <c r="U53" s="15"/>
      <c r="V53" s="15"/>
      <c r="W53" s="15"/>
      <c r="X53" s="15"/>
      <c r="Y53" s="15"/>
      <c r="Z53" s="15"/>
    </row>
    <row r="54" spans="1:26" ht="22.5" hidden="1" customHeight="1" outlineLevel="1" x14ac:dyDescent="0.85">
      <c r="A54" s="654" t="s">
        <v>1534</v>
      </c>
      <c r="B54" s="655"/>
      <c r="C54" s="656"/>
      <c r="D54" s="655"/>
      <c r="E54" s="656"/>
      <c r="F54" s="655"/>
      <c r="G54" s="656"/>
      <c r="H54" s="655"/>
      <c r="I54" s="656"/>
      <c r="J54" s="30"/>
      <c r="K54" s="30"/>
      <c r="L54" s="30"/>
      <c r="M54" s="15"/>
      <c r="N54" s="15"/>
      <c r="O54" s="15"/>
      <c r="P54" s="15"/>
      <c r="Q54" s="15"/>
      <c r="R54" s="15"/>
      <c r="S54" s="15"/>
      <c r="T54" s="15"/>
      <c r="U54" s="15"/>
      <c r="V54" s="15"/>
      <c r="W54" s="15"/>
      <c r="X54" s="15"/>
      <c r="Y54" s="15"/>
      <c r="Z54" s="15"/>
    </row>
    <row r="55" spans="1:26" ht="22.5" hidden="1" customHeight="1" outlineLevel="1" x14ac:dyDescent="0.85">
      <c r="A55" s="658" t="s">
        <v>1535</v>
      </c>
      <c r="B55" s="659"/>
      <c r="C55" s="660"/>
      <c r="D55" s="659"/>
      <c r="E55" s="660"/>
      <c r="F55" s="659"/>
      <c r="G55" s="660"/>
      <c r="H55" s="659"/>
      <c r="I55" s="660"/>
      <c r="J55" s="30"/>
      <c r="K55" s="30"/>
      <c r="L55" s="30"/>
      <c r="M55" s="15"/>
      <c r="N55" s="15"/>
      <c r="O55" s="15"/>
      <c r="P55" s="15"/>
      <c r="Q55" s="15"/>
      <c r="R55" s="15"/>
      <c r="S55" s="15"/>
      <c r="T55" s="15"/>
      <c r="U55" s="15"/>
      <c r="V55" s="15"/>
      <c r="W55" s="15"/>
      <c r="X55" s="15"/>
      <c r="Y55" s="15"/>
      <c r="Z55" s="15"/>
    </row>
    <row r="56" spans="1:26" ht="22.5" customHeight="1" collapsed="1" x14ac:dyDescent="0.9">
      <c r="A56" s="952" t="s">
        <v>1539</v>
      </c>
      <c r="B56" s="813"/>
      <c r="C56" s="813"/>
      <c r="D56" s="813"/>
      <c r="E56" s="813"/>
      <c r="F56" s="813"/>
      <c r="G56" s="813"/>
      <c r="H56" s="813"/>
      <c r="I56" s="813"/>
      <c r="J56" s="813"/>
      <c r="K56" s="813"/>
      <c r="L56" s="813"/>
      <c r="M56" s="813"/>
      <c r="N56" s="813"/>
      <c r="O56" s="813"/>
      <c r="P56" s="813"/>
      <c r="Q56" s="813"/>
      <c r="R56" s="813"/>
      <c r="S56" s="813"/>
      <c r="T56" s="813"/>
      <c r="U56" s="814"/>
      <c r="V56" s="321"/>
      <c r="W56" s="321"/>
      <c r="X56" s="321"/>
      <c r="Y56" s="321"/>
      <c r="Z56" s="321"/>
    </row>
    <row r="57" spans="1:26" ht="22.5" customHeight="1" outlineLevel="1" x14ac:dyDescent="0.85">
      <c r="A57" s="804" t="s">
        <v>1540</v>
      </c>
      <c r="B57" s="765"/>
      <c r="C57" s="765"/>
      <c r="D57" s="765"/>
      <c r="E57" s="765"/>
      <c r="F57" s="765"/>
      <c r="G57" s="765"/>
      <c r="H57" s="765"/>
      <c r="I57" s="765"/>
      <c r="J57" s="765"/>
      <c r="K57" s="765"/>
      <c r="L57" s="765"/>
      <c r="M57" s="765"/>
      <c r="N57" s="765"/>
      <c r="O57" s="765"/>
      <c r="P57" s="765"/>
      <c r="Q57" s="765"/>
      <c r="R57" s="765"/>
      <c r="S57" s="765"/>
      <c r="T57" s="765"/>
      <c r="U57" s="762"/>
      <c r="V57" s="587"/>
      <c r="W57" s="587"/>
      <c r="X57" s="587"/>
      <c r="Y57" s="587"/>
      <c r="Z57" s="587"/>
    </row>
    <row r="58" spans="1:26" ht="22.5" customHeight="1" outlineLevel="1" x14ac:dyDescent="0.85">
      <c r="A58" s="326" t="s">
        <v>1541</v>
      </c>
      <c r="B58" s="864" t="s">
        <v>1542</v>
      </c>
      <c r="C58" s="765"/>
      <c r="D58" s="765"/>
      <c r="E58" s="765"/>
      <c r="F58" s="765"/>
      <c r="G58" s="765"/>
      <c r="H58" s="765"/>
      <c r="I58" s="762"/>
      <c r="J58" s="661"/>
      <c r="K58" s="661"/>
      <c r="L58" s="661"/>
      <c r="M58" s="661"/>
      <c r="N58" s="661"/>
      <c r="O58" s="661"/>
      <c r="P58" s="661"/>
      <c r="Q58" s="661"/>
      <c r="R58" s="661"/>
      <c r="S58" s="661"/>
      <c r="T58" s="15"/>
      <c r="U58" s="407"/>
      <c r="V58" s="638"/>
      <c r="W58" s="638"/>
      <c r="X58" s="638"/>
      <c r="Y58" s="638"/>
      <c r="Z58" s="638"/>
    </row>
    <row r="59" spans="1:26" ht="22.5" customHeight="1" outlineLevel="1" x14ac:dyDescent="0.85">
      <c r="A59" s="662" t="s">
        <v>1543</v>
      </c>
      <c r="B59" s="663" t="s">
        <v>1544</v>
      </c>
      <c r="C59" s="663" t="s">
        <v>1503</v>
      </c>
      <c r="D59" s="664" t="s">
        <v>1545</v>
      </c>
      <c r="E59" s="664" t="s">
        <v>1511</v>
      </c>
      <c r="F59" s="664" t="s">
        <v>1514</v>
      </c>
      <c r="G59" s="664" t="s">
        <v>1518</v>
      </c>
      <c r="H59" s="664" t="s">
        <v>1519</v>
      </c>
      <c r="I59" s="664" t="s">
        <v>1520</v>
      </c>
      <c r="J59" s="665"/>
      <c r="K59" s="864" t="s">
        <v>1546</v>
      </c>
      <c r="L59" s="765"/>
      <c r="M59" s="762"/>
      <c r="N59" s="665"/>
      <c r="O59" s="665"/>
      <c r="P59" s="665"/>
      <c r="Q59" s="665"/>
      <c r="R59" s="665"/>
      <c r="S59" s="76"/>
      <c r="T59" s="418"/>
      <c r="U59" s="666"/>
      <c r="V59" s="666"/>
      <c r="W59" s="666"/>
      <c r="X59" s="666"/>
      <c r="Y59" s="666"/>
      <c r="Z59" s="666"/>
    </row>
    <row r="60" spans="1:26" ht="22.5" customHeight="1" outlineLevel="1" x14ac:dyDescent="0.85">
      <c r="A60" s="667" t="s">
        <v>126</v>
      </c>
      <c r="B60" s="668">
        <v>3627</v>
      </c>
      <c r="C60" s="669">
        <f>$B$60*M60</f>
        <v>2244.7521327170321</v>
      </c>
      <c r="D60" s="669">
        <f>$B$60*M61</f>
        <v>1382.2478672829679</v>
      </c>
      <c r="E60" s="668">
        <v>1228</v>
      </c>
      <c r="F60" s="668">
        <v>882</v>
      </c>
      <c r="G60" s="668">
        <v>115</v>
      </c>
      <c r="H60" s="668">
        <v>1589</v>
      </c>
      <c r="I60" s="668">
        <v>6577</v>
      </c>
      <c r="J60" s="670"/>
      <c r="K60" s="671" t="s">
        <v>1503</v>
      </c>
      <c r="L60" s="672">
        <v>732811</v>
      </c>
      <c r="M60" s="673">
        <f t="shared" ref="M60:M61" si="4">L60/($L$60+$L$61)</f>
        <v>0.61890050529832696</v>
      </c>
      <c r="N60" s="670"/>
      <c r="O60" s="670"/>
      <c r="P60" s="670"/>
      <c r="Q60" s="670"/>
      <c r="R60" s="670"/>
      <c r="S60" s="15"/>
      <c r="T60" s="30"/>
      <c r="U60" s="76"/>
      <c r="V60" s="76"/>
      <c r="W60" s="76"/>
      <c r="X60" s="76"/>
      <c r="Y60" s="76"/>
      <c r="Z60" s="76"/>
    </row>
    <row r="61" spans="1:26" ht="22.5" customHeight="1" outlineLevel="1" x14ac:dyDescent="0.85">
      <c r="A61" s="149" t="s">
        <v>127</v>
      </c>
      <c r="B61" s="307">
        <f>C61+D61</f>
        <v>8145</v>
      </c>
      <c r="C61" s="674">
        <v>38</v>
      </c>
      <c r="D61" s="668">
        <v>8107</v>
      </c>
      <c r="E61" s="668">
        <v>866</v>
      </c>
      <c r="F61" s="668">
        <v>353</v>
      </c>
      <c r="G61" s="668">
        <v>82</v>
      </c>
      <c r="H61" s="668">
        <v>1357</v>
      </c>
      <c r="I61" s="668">
        <v>2596</v>
      </c>
      <c r="J61" s="670"/>
      <c r="K61" s="37" t="s">
        <v>1545</v>
      </c>
      <c r="L61" s="675">
        <v>451242</v>
      </c>
      <c r="M61" s="41">
        <f t="shared" si="4"/>
        <v>0.38109949470167298</v>
      </c>
      <c r="N61" s="670"/>
      <c r="O61" s="670"/>
      <c r="P61" s="670"/>
      <c r="Q61" s="670"/>
      <c r="R61" s="670"/>
      <c r="S61" s="15"/>
      <c r="T61" s="30"/>
      <c r="U61" s="76"/>
      <c r="V61" s="76"/>
      <c r="W61" s="76"/>
      <c r="X61" s="76"/>
      <c r="Y61" s="76"/>
      <c r="Z61" s="76"/>
    </row>
    <row r="62" spans="1:26" ht="22.5" customHeight="1" outlineLevel="1" x14ac:dyDescent="0.85">
      <c r="A62" s="149" t="s">
        <v>128</v>
      </c>
      <c r="B62" s="668">
        <v>32755</v>
      </c>
      <c r="C62" s="669">
        <f>$B$62*M60</f>
        <v>20272.086051046699</v>
      </c>
      <c r="D62" s="669">
        <f>$B$62*M61</f>
        <v>12482.913948953299</v>
      </c>
      <c r="E62" s="668">
        <v>4112</v>
      </c>
      <c r="F62" s="668">
        <v>644</v>
      </c>
      <c r="G62" s="668">
        <v>96</v>
      </c>
      <c r="H62" s="668">
        <v>1005</v>
      </c>
      <c r="I62" s="668">
        <v>1535</v>
      </c>
      <c r="J62" s="670"/>
      <c r="K62" s="670"/>
      <c r="L62" s="670"/>
      <c r="M62" s="670"/>
      <c r="N62" s="670"/>
      <c r="O62" s="670"/>
      <c r="P62" s="670"/>
      <c r="Q62" s="670"/>
      <c r="R62" s="670"/>
      <c r="S62" s="15"/>
      <c r="T62" s="30"/>
      <c r="U62" s="76"/>
      <c r="V62" s="76"/>
      <c r="W62" s="76"/>
      <c r="X62" s="76"/>
      <c r="Y62" s="76"/>
      <c r="Z62" s="76"/>
    </row>
    <row r="63" spans="1:26" ht="22.5" customHeight="1" outlineLevel="1" x14ac:dyDescent="0.85">
      <c r="A63" s="149" t="s">
        <v>129</v>
      </c>
      <c r="B63" s="668">
        <v>16228</v>
      </c>
      <c r="C63" s="669">
        <f>$B$63*M60</f>
        <v>10043.51739998125</v>
      </c>
      <c r="D63" s="669">
        <f>$B$63*M61</f>
        <v>6184.4826000187495</v>
      </c>
      <c r="E63" s="668">
        <v>987</v>
      </c>
      <c r="F63" s="668">
        <v>1150</v>
      </c>
      <c r="G63" s="668">
        <v>73</v>
      </c>
      <c r="H63" s="668">
        <v>1212</v>
      </c>
      <c r="I63" s="668">
        <v>5728</v>
      </c>
      <c r="J63" s="670"/>
      <c r="K63" s="670"/>
      <c r="L63" s="670"/>
      <c r="M63" s="670"/>
      <c r="N63" s="670"/>
      <c r="O63" s="670"/>
      <c r="P63" s="670"/>
      <c r="Q63" s="670"/>
      <c r="R63" s="670"/>
      <c r="S63" s="15"/>
      <c r="T63" s="30"/>
      <c r="U63" s="76"/>
      <c r="V63" s="76"/>
      <c r="W63" s="76"/>
      <c r="X63" s="76"/>
      <c r="Y63" s="76"/>
      <c r="Z63" s="76"/>
    </row>
    <row r="64" spans="1:26" ht="22.5" customHeight="1" outlineLevel="1" x14ac:dyDescent="0.85">
      <c r="A64" s="937" t="s">
        <v>1497</v>
      </c>
      <c r="B64" s="765"/>
      <c r="C64" s="765"/>
      <c r="D64" s="765"/>
      <c r="E64" s="765"/>
      <c r="F64" s="765"/>
      <c r="G64" s="765"/>
      <c r="H64" s="765"/>
      <c r="I64" s="765"/>
      <c r="J64" s="765"/>
      <c r="K64" s="765"/>
      <c r="L64" s="765"/>
      <c r="M64" s="765"/>
      <c r="N64" s="765"/>
      <c r="O64" s="765"/>
      <c r="P64" s="765"/>
      <c r="Q64" s="765"/>
      <c r="R64" s="765"/>
      <c r="S64" s="765"/>
      <c r="T64" s="765"/>
      <c r="U64" s="762"/>
      <c r="V64" s="666"/>
      <c r="W64" s="666"/>
      <c r="X64" s="666"/>
      <c r="Y64" s="666"/>
      <c r="Z64" s="666"/>
    </row>
    <row r="65" spans="1:26" ht="22.5" customHeight="1" outlineLevel="1" x14ac:dyDescent="0.85">
      <c r="A65" s="948" t="s">
        <v>1543</v>
      </c>
      <c r="B65" s="949" t="s">
        <v>1547</v>
      </c>
      <c r="C65" s="765"/>
      <c r="D65" s="765"/>
      <c r="E65" s="765"/>
      <c r="F65" s="765"/>
      <c r="G65" s="765"/>
      <c r="H65" s="762"/>
      <c r="I65" s="676" t="s">
        <v>1548</v>
      </c>
      <c r="J65" s="950" t="s">
        <v>1549</v>
      </c>
      <c r="K65" s="765"/>
      <c r="L65" s="765"/>
      <c r="M65" s="765"/>
      <c r="N65" s="765"/>
      <c r="O65" s="765"/>
      <c r="P65" s="951"/>
      <c r="Q65" s="677" t="s">
        <v>1550</v>
      </c>
      <c r="R65" s="15"/>
      <c r="S65" s="407"/>
      <c r="T65" s="666"/>
      <c r="U65" s="666"/>
      <c r="V65" s="666"/>
      <c r="W65" s="666"/>
      <c r="X65" s="666"/>
      <c r="Y65" s="666"/>
      <c r="Z65" s="666"/>
    </row>
    <row r="66" spans="1:26" ht="22.5" customHeight="1" outlineLevel="1" x14ac:dyDescent="0.85">
      <c r="A66" s="797"/>
      <c r="B66" s="678" t="s">
        <v>1503</v>
      </c>
      <c r="C66" s="678" t="s">
        <v>1545</v>
      </c>
      <c r="D66" s="678" t="s">
        <v>1511</v>
      </c>
      <c r="E66" s="678" t="s">
        <v>1514</v>
      </c>
      <c r="F66" s="678" t="s">
        <v>1518</v>
      </c>
      <c r="G66" s="678" t="s">
        <v>1519</v>
      </c>
      <c r="H66" s="678" t="s">
        <v>1520</v>
      </c>
      <c r="I66" s="678" t="s">
        <v>1551</v>
      </c>
      <c r="J66" s="678" t="s">
        <v>1503</v>
      </c>
      <c r="K66" s="678" t="s">
        <v>1545</v>
      </c>
      <c r="L66" s="678" t="s">
        <v>1511</v>
      </c>
      <c r="M66" s="678" t="s">
        <v>1514</v>
      </c>
      <c r="N66" s="678" t="s">
        <v>1518</v>
      </c>
      <c r="O66" s="678" t="s">
        <v>1519</v>
      </c>
      <c r="P66" s="678" t="s">
        <v>1520</v>
      </c>
      <c r="Q66" s="664" t="s">
        <v>1551</v>
      </c>
      <c r="R66" s="15"/>
      <c r="S66" s="407"/>
      <c r="T66" s="666"/>
      <c r="U66" s="666"/>
      <c r="V66" s="666"/>
      <c r="W66" s="666"/>
      <c r="X66" s="666"/>
      <c r="Y66" s="666"/>
      <c r="Z66" s="666"/>
    </row>
    <row r="67" spans="1:26" ht="22.5" customHeight="1" outlineLevel="1" x14ac:dyDescent="0.85">
      <c r="A67" s="162" t="s">
        <v>126</v>
      </c>
      <c r="B67" s="207">
        <f>C60*$B$27/'Conversion Factors and GWP'!$A$7</f>
        <v>309.77579431495042</v>
      </c>
      <c r="C67" s="207">
        <f>D60*$B$28/'Conversion Factors and GWP'!$A$7</f>
        <v>88.463863506109945</v>
      </c>
      <c r="D67" s="207">
        <f>E60*$B$29/'Conversion Factors and GWP'!$A$7</f>
        <v>8.5960000000000001</v>
      </c>
      <c r="E67" s="207">
        <f>F60*$B$30/'Conversion Factors and GWP'!$A$7</f>
        <v>6.1740000000000004</v>
      </c>
      <c r="F67" s="679">
        <f>G60*$B$32/'Conversion Factors and GWP'!$A$7</f>
        <v>0.14374999999999999</v>
      </c>
      <c r="G67" s="207">
        <f>H60*$B$33/'Conversion Factors and GWP'!$A$7</f>
        <v>28.602</v>
      </c>
      <c r="H67" s="207">
        <f>I60*$B$34/'Conversion Factors and GWP'!$A$7</f>
        <v>0</v>
      </c>
      <c r="I67" s="207">
        <f t="shared" ref="I67:I70" si="5">SUM(B67:H67)</f>
        <v>441.75540782106032</v>
      </c>
      <c r="J67" s="207">
        <f>B67*'Conversion Factors and GWP'!$C$31</f>
        <v>8673.7222408186117</v>
      </c>
      <c r="K67" s="207">
        <f>C67*'Conversion Factors and GWP'!$C$31</f>
        <v>2476.9881781710783</v>
      </c>
      <c r="L67" s="207">
        <f>D67*'Conversion Factors and GWP'!$C$31</f>
        <v>240.68799999999999</v>
      </c>
      <c r="M67" s="207">
        <f>E67*'Conversion Factors and GWP'!$C$31</f>
        <v>172.87200000000001</v>
      </c>
      <c r="N67" s="207">
        <f>F67*'Conversion Factors and GWP'!$C$31</f>
        <v>4.0249999999999995</v>
      </c>
      <c r="O67" s="207">
        <f>G67*'Conversion Factors and GWP'!$C$31</f>
        <v>800.85599999999999</v>
      </c>
      <c r="P67" s="207" t="s">
        <v>258</v>
      </c>
      <c r="Q67" s="680">
        <f t="shared" ref="Q67:Q70" si="6">SUM(J67:P67)</f>
        <v>12369.151418989688</v>
      </c>
      <c r="R67" s="76"/>
      <c r="S67" s="418"/>
      <c r="T67" s="666"/>
      <c r="U67" s="666"/>
      <c r="V67" s="666"/>
      <c r="W67" s="666"/>
      <c r="X67" s="666"/>
      <c r="Y67" s="666"/>
      <c r="Z67" s="666"/>
    </row>
    <row r="68" spans="1:26" ht="22.5" customHeight="1" outlineLevel="1" x14ac:dyDescent="0.85">
      <c r="A68" s="162" t="s">
        <v>127</v>
      </c>
      <c r="B68" s="207">
        <f>C61*$B$27/'Conversion Factors and GWP'!$A$7</f>
        <v>5.2439999999999998</v>
      </c>
      <c r="C68" s="207">
        <f>D61*$B$28/'Conversion Factors and GWP'!$A$7</f>
        <v>518.84799999999996</v>
      </c>
      <c r="D68" s="207">
        <f>E61*$B$29/'Conversion Factors and GWP'!$A$7</f>
        <v>6.0620000000000003</v>
      </c>
      <c r="E68" s="207">
        <f>F61*$B$30/'Conversion Factors and GWP'!$A$7</f>
        <v>2.4710000000000001</v>
      </c>
      <c r="F68" s="679">
        <f>G61*$B$32/'Conversion Factors and GWP'!$A$7</f>
        <v>0.10249999999999999</v>
      </c>
      <c r="G68" s="207">
        <f>H61*$B$33/'Conversion Factors and GWP'!$A$7</f>
        <v>24.425999999999998</v>
      </c>
      <c r="H68" s="207">
        <f>I61*$B$34/'Conversion Factors and GWP'!$A$7</f>
        <v>0</v>
      </c>
      <c r="I68" s="207">
        <f t="shared" si="5"/>
        <v>557.15350000000001</v>
      </c>
      <c r="J68" s="207">
        <f>B68*'Conversion Factors and GWP'!$C$31</f>
        <v>146.83199999999999</v>
      </c>
      <c r="K68" s="207">
        <f>C68*'Conversion Factors and GWP'!$C$31</f>
        <v>14527.743999999999</v>
      </c>
      <c r="L68" s="207">
        <f>D68*'Conversion Factors and GWP'!$C$31</f>
        <v>169.73600000000002</v>
      </c>
      <c r="M68" s="207">
        <f>E68*'Conversion Factors and GWP'!$C$31</f>
        <v>69.188000000000002</v>
      </c>
      <c r="N68" s="207">
        <f>F68*'Conversion Factors and GWP'!$C$31</f>
        <v>2.8699999999999997</v>
      </c>
      <c r="O68" s="207">
        <f>G68*'Conversion Factors and GWP'!$C$31</f>
        <v>683.928</v>
      </c>
      <c r="P68" s="207" t="s">
        <v>258</v>
      </c>
      <c r="Q68" s="680">
        <f t="shared" si="6"/>
        <v>15600.298000000001</v>
      </c>
      <c r="R68" s="76"/>
      <c r="S68" s="418"/>
      <c r="T68" s="666"/>
      <c r="U68" s="666"/>
      <c r="V68" s="666"/>
      <c r="W68" s="666"/>
      <c r="X68" s="666"/>
      <c r="Y68" s="666"/>
      <c r="Z68" s="666"/>
    </row>
    <row r="69" spans="1:26" ht="22.5" customHeight="1" outlineLevel="1" x14ac:dyDescent="0.85">
      <c r="A69" s="162" t="s">
        <v>128</v>
      </c>
      <c r="B69" s="207">
        <f>C62*$B$27/'Conversion Factors and GWP'!$A$7</f>
        <v>2797.5478750444445</v>
      </c>
      <c r="C69" s="207">
        <f>D62*$B$28/'Conversion Factors and GWP'!$A$7</f>
        <v>798.90649273301119</v>
      </c>
      <c r="D69" s="207">
        <f>E62*$B$29/'Conversion Factors and GWP'!$A$7</f>
        <v>28.783999999999999</v>
      </c>
      <c r="E69" s="207">
        <f>F62*$B$30/'Conversion Factors and GWP'!$A$7</f>
        <v>4.508</v>
      </c>
      <c r="F69" s="679">
        <f>G62*$B$32/'Conversion Factors and GWP'!$A$7</f>
        <v>0.12</v>
      </c>
      <c r="G69" s="207">
        <f>H62*$B$33/'Conversion Factors and GWP'!$A$7</f>
        <v>18.09</v>
      </c>
      <c r="H69" s="207">
        <f>I62*$B$34/'Conversion Factors and GWP'!$A$7</f>
        <v>0</v>
      </c>
      <c r="I69" s="207">
        <f t="shared" si="5"/>
        <v>3647.9563677774554</v>
      </c>
      <c r="J69" s="207">
        <f>B69*'Conversion Factors and GWP'!$C$31</f>
        <v>78331.340501244442</v>
      </c>
      <c r="K69" s="207">
        <f>C69*'Conversion Factors and GWP'!$C$31</f>
        <v>22369.381796524314</v>
      </c>
      <c r="L69" s="207">
        <f>D69*'Conversion Factors and GWP'!$C$31</f>
        <v>805.952</v>
      </c>
      <c r="M69" s="207">
        <f>E69*'Conversion Factors and GWP'!$C$31</f>
        <v>126.224</v>
      </c>
      <c r="N69" s="207">
        <f>F69*'Conversion Factors and GWP'!$C$31</f>
        <v>3.36</v>
      </c>
      <c r="O69" s="207">
        <f>G69*'Conversion Factors and GWP'!$C$31</f>
        <v>506.52</v>
      </c>
      <c r="P69" s="207" t="s">
        <v>258</v>
      </c>
      <c r="Q69" s="680">
        <f t="shared" si="6"/>
        <v>102142.77829776876</v>
      </c>
      <c r="R69" s="76"/>
      <c r="S69" s="418"/>
      <c r="T69" s="666"/>
      <c r="U69" s="666"/>
      <c r="V69" s="666"/>
      <c r="W69" s="666"/>
      <c r="X69" s="666"/>
      <c r="Y69" s="666"/>
      <c r="Z69" s="666"/>
    </row>
    <row r="70" spans="1:26" ht="22.5" customHeight="1" outlineLevel="1" x14ac:dyDescent="0.85">
      <c r="A70" s="162" t="s">
        <v>129</v>
      </c>
      <c r="B70" s="207">
        <f>C63*$B$27/'Conversion Factors and GWP'!$A$7</f>
        <v>1386.0054011974125</v>
      </c>
      <c r="C70" s="207">
        <f>D63*$B$28/'Conversion Factors and GWP'!$A$7</f>
        <v>395.80688640119996</v>
      </c>
      <c r="D70" s="207">
        <f>E63*$B$29/'Conversion Factors and GWP'!$A$7</f>
        <v>6.9089999999999998</v>
      </c>
      <c r="E70" s="207">
        <f>F63*$B$30/'Conversion Factors and GWP'!$A$7</f>
        <v>8.0500000000000007</v>
      </c>
      <c r="F70" s="679">
        <f>G63*$B$32/'Conversion Factors and GWP'!$A$7</f>
        <v>9.1249999999999998E-2</v>
      </c>
      <c r="G70" s="207">
        <f>H63*$B$33/'Conversion Factors and GWP'!$A$7</f>
        <v>21.815999999999999</v>
      </c>
      <c r="H70" s="207">
        <f>I63*$B$34/'Conversion Factors and GWP'!$A$7</f>
        <v>0</v>
      </c>
      <c r="I70" s="207">
        <f t="shared" si="5"/>
        <v>1818.6785375986126</v>
      </c>
      <c r="J70" s="207">
        <f>B70*'Conversion Factors and GWP'!$C$31</f>
        <v>38808.151233527547</v>
      </c>
      <c r="K70" s="207">
        <f>C70*'Conversion Factors and GWP'!$C$31</f>
        <v>11082.5928192336</v>
      </c>
      <c r="L70" s="207">
        <f>D70*'Conversion Factors and GWP'!$C$31</f>
        <v>193.452</v>
      </c>
      <c r="M70" s="207">
        <f>E70*'Conversion Factors and GWP'!$C$31</f>
        <v>225.40000000000003</v>
      </c>
      <c r="N70" s="207">
        <f>F70*'Conversion Factors and GWP'!$C$31</f>
        <v>2.5549999999999997</v>
      </c>
      <c r="O70" s="207">
        <f>G70*'Conversion Factors and GWP'!$C$31</f>
        <v>610.84799999999996</v>
      </c>
      <c r="P70" s="207" t="s">
        <v>258</v>
      </c>
      <c r="Q70" s="680">
        <f t="shared" si="6"/>
        <v>50922.999052761144</v>
      </c>
      <c r="R70" s="76"/>
      <c r="S70" s="418"/>
      <c r="T70" s="666"/>
      <c r="U70" s="666"/>
      <c r="V70" s="666"/>
      <c r="W70" s="666"/>
      <c r="X70" s="666"/>
      <c r="Y70" s="666"/>
      <c r="Z70" s="666"/>
    </row>
    <row r="71" spans="1:26" ht="22.5" customHeight="1" outlineLevel="1" x14ac:dyDescent="0.85">
      <c r="A71" s="937" t="s">
        <v>1552</v>
      </c>
      <c r="B71" s="765"/>
      <c r="C71" s="765"/>
      <c r="D71" s="765"/>
      <c r="E71" s="765"/>
      <c r="F71" s="765"/>
      <c r="G71" s="765"/>
      <c r="H71" s="765"/>
      <c r="I71" s="765"/>
      <c r="J71" s="765"/>
      <c r="K71" s="765"/>
      <c r="L71" s="765"/>
      <c r="M71" s="765"/>
      <c r="N71" s="765"/>
      <c r="O71" s="765"/>
      <c r="P71" s="765"/>
      <c r="Q71" s="765"/>
      <c r="R71" s="765"/>
      <c r="S71" s="765"/>
      <c r="T71" s="765"/>
      <c r="U71" s="762"/>
      <c r="V71" s="681"/>
      <c r="W71" s="681"/>
      <c r="X71" s="681"/>
      <c r="Y71" s="681"/>
      <c r="Z71" s="681"/>
    </row>
    <row r="72" spans="1:26" ht="22.5" customHeight="1" outlineLevel="1" x14ac:dyDescent="0.85">
      <c r="A72" s="947" t="s">
        <v>126</v>
      </c>
      <c r="B72" s="765"/>
      <c r="C72" s="765"/>
      <c r="D72" s="765"/>
      <c r="E72" s="765"/>
      <c r="F72" s="765"/>
      <c r="G72" s="765"/>
      <c r="H72" s="765"/>
      <c r="I72" s="765"/>
      <c r="J72" s="765"/>
      <c r="K72" s="765"/>
      <c r="L72" s="765"/>
      <c r="M72" s="765"/>
      <c r="N72" s="765"/>
      <c r="O72" s="765"/>
      <c r="P72" s="765"/>
      <c r="Q72" s="765"/>
      <c r="R72" s="765"/>
      <c r="S72" s="765"/>
      <c r="T72" s="765"/>
      <c r="U72" s="762"/>
      <c r="V72" s="681"/>
      <c r="W72" s="681"/>
      <c r="X72" s="681"/>
      <c r="Y72" s="681"/>
      <c r="Z72" s="681"/>
    </row>
    <row r="73" spans="1:26" ht="22.5" customHeight="1" outlineLevel="1" x14ac:dyDescent="0.85">
      <c r="A73" s="662" t="s">
        <v>1499</v>
      </c>
      <c r="B73" s="662" t="s">
        <v>1553</v>
      </c>
      <c r="C73" s="662" t="s">
        <v>1554</v>
      </c>
      <c r="D73" s="662" t="s">
        <v>1555</v>
      </c>
      <c r="E73" s="676" t="s">
        <v>1556</v>
      </c>
      <c r="F73" s="676" t="s">
        <v>1557</v>
      </c>
      <c r="G73" s="662" t="s">
        <v>1558</v>
      </c>
      <c r="H73" s="676" t="s">
        <v>1559</v>
      </c>
      <c r="I73" s="676" t="s">
        <v>1560</v>
      </c>
      <c r="J73" s="682" t="s">
        <v>1561</v>
      </c>
      <c r="K73" s="653"/>
      <c r="L73" s="653"/>
      <c r="M73" s="653"/>
      <c r="N73" s="653"/>
      <c r="O73" s="653"/>
      <c r="P73" s="653"/>
      <c r="Q73" s="653"/>
      <c r="R73" s="653"/>
      <c r="S73" s="653"/>
      <c r="T73" s="653"/>
      <c r="U73" s="587"/>
      <c r="V73" s="587"/>
      <c r="W73" s="587"/>
      <c r="X73" s="587"/>
      <c r="Y73" s="587"/>
      <c r="Z73" s="587"/>
    </row>
    <row r="74" spans="1:26" ht="22.5" customHeight="1" outlineLevel="1" x14ac:dyDescent="0.85">
      <c r="A74" s="392" t="s">
        <v>1503</v>
      </c>
      <c r="B74" s="207">
        <f>C60</f>
        <v>2244.7521327170321</v>
      </c>
      <c r="C74" s="178">
        <f>B74*$C$38</f>
        <v>6592511.4206258543</v>
      </c>
      <c r="D74" s="207">
        <f t="shared" ref="D74:D80" si="7">(C74*D38)*E38</f>
        <v>397319.28620020201</v>
      </c>
      <c r="E74" s="207">
        <f>D74*'Conversion Factors and GWP'!$C$17/'Conversion Factors and GWP'!$A$7</f>
        <v>218.52560741011112</v>
      </c>
      <c r="F74" s="207">
        <f>E74*'Conversion Factors and GWP'!$C$31</f>
        <v>6118.717007483111</v>
      </c>
      <c r="G74" s="679">
        <f t="shared" ref="G74:G80" si="8">B49+C49*(44/28)</f>
        <v>5123.5502023312401</v>
      </c>
      <c r="H74" s="679">
        <f>G74/'Conversion Factors and GWP'!$A$7</f>
        <v>5.1235502023312405</v>
      </c>
      <c r="I74" s="679">
        <f>H74*'Conversion Factors and GWP'!$C$32</f>
        <v>1357.7408036177787</v>
      </c>
      <c r="J74" s="207">
        <f t="shared" ref="J74:J80" si="9">F74+I74</f>
        <v>7476.4578111008896</v>
      </c>
      <c r="K74" s="418"/>
      <c r="L74" s="418"/>
      <c r="M74" s="418"/>
      <c r="N74" s="418"/>
      <c r="O74" s="418"/>
      <c r="P74" s="418"/>
      <c r="Q74" s="418"/>
      <c r="R74" s="418"/>
      <c r="S74" s="418"/>
      <c r="T74" s="418"/>
      <c r="U74" s="587"/>
      <c r="V74" s="587"/>
      <c r="W74" s="587"/>
      <c r="X74" s="587"/>
      <c r="Y74" s="587"/>
      <c r="Z74" s="587"/>
    </row>
    <row r="75" spans="1:26" ht="22.5" customHeight="1" outlineLevel="1" x14ac:dyDescent="0.85">
      <c r="A75" s="392" t="s">
        <v>1529</v>
      </c>
      <c r="B75" s="207">
        <f>D60</f>
        <v>1382.2478672829679</v>
      </c>
      <c r="C75" s="178">
        <f>B75*$C$39</f>
        <v>2611758.3432730949</v>
      </c>
      <c r="D75" s="207">
        <f t="shared" si="7"/>
        <v>5327.9870202771144</v>
      </c>
      <c r="E75" s="207">
        <f>D75*'Conversion Factors and GWP'!$C$17/'Conversion Factors and GWP'!$A$7</f>
        <v>2.9303928611524133</v>
      </c>
      <c r="F75" s="207">
        <f>E75*'Conversion Factors and GWP'!$C$31</f>
        <v>82.051000112267573</v>
      </c>
      <c r="G75" s="207">
        <f t="shared" si="8"/>
        <v>0</v>
      </c>
      <c r="H75" s="207">
        <f>G75/'Conversion Factors and GWP'!$A$7</f>
        <v>0</v>
      </c>
      <c r="I75" s="679">
        <f>H75*'Conversion Factors and GWP'!$C$32</f>
        <v>0</v>
      </c>
      <c r="J75" s="207">
        <f t="shared" si="9"/>
        <v>82.051000112267573</v>
      </c>
      <c r="K75" s="418"/>
      <c r="L75" s="418"/>
      <c r="M75" s="418"/>
      <c r="N75" s="418"/>
      <c r="O75" s="418"/>
      <c r="P75" s="418"/>
      <c r="Q75" s="418"/>
      <c r="R75" s="418"/>
      <c r="S75" s="418"/>
      <c r="T75" s="418"/>
      <c r="U75" s="666"/>
      <c r="V75" s="666"/>
      <c r="W75" s="666"/>
      <c r="X75" s="666"/>
      <c r="Y75" s="666"/>
      <c r="Z75" s="666"/>
    </row>
    <row r="76" spans="1:26" ht="22.5" customHeight="1" outlineLevel="1" x14ac:dyDescent="0.85">
      <c r="A76" s="392" t="s">
        <v>1531</v>
      </c>
      <c r="B76" s="207">
        <f>G60</f>
        <v>115</v>
      </c>
      <c r="C76" s="178">
        <f>B76*$B$40*$C$40</f>
        <v>25212.600000000002</v>
      </c>
      <c r="D76" s="207">
        <f t="shared" si="7"/>
        <v>2955.8004996421323</v>
      </c>
      <c r="E76" s="207">
        <f>D76*'Conversion Factors and GWP'!$C$17/'Conversion Factors and GWP'!$A$7</f>
        <v>1.625690274803173</v>
      </c>
      <c r="F76" s="207">
        <f>E76*'Conversion Factors and GWP'!$C$31</f>
        <v>45.519327694488844</v>
      </c>
      <c r="G76" s="679">
        <f t="shared" si="8"/>
        <v>0.48384053728730664</v>
      </c>
      <c r="H76" s="683">
        <f>G76/'Conversion Factors and GWP'!$A$7</f>
        <v>4.8384053728730663E-4</v>
      </c>
      <c r="I76" s="679">
        <f>H76*'Conversion Factors and GWP'!$C$32</f>
        <v>0.12821774238113626</v>
      </c>
      <c r="J76" s="207">
        <f t="shared" si="9"/>
        <v>45.647545436869983</v>
      </c>
      <c r="K76" s="418"/>
      <c r="L76" s="418"/>
      <c r="M76" s="418"/>
      <c r="N76" s="418"/>
      <c r="O76" s="418"/>
      <c r="P76" s="418"/>
      <c r="Q76" s="418"/>
      <c r="R76" s="418"/>
      <c r="S76" s="418"/>
      <c r="T76" s="418"/>
      <c r="U76" s="666"/>
      <c r="V76" s="666"/>
      <c r="W76" s="666"/>
      <c r="X76" s="666"/>
      <c r="Y76" s="666"/>
      <c r="Z76" s="666"/>
    </row>
    <row r="77" spans="1:26" ht="22.5" customHeight="1" outlineLevel="1" x14ac:dyDescent="0.85">
      <c r="A77" s="392" t="s">
        <v>1532</v>
      </c>
      <c r="B77" s="207">
        <f>I60</f>
        <v>6577</v>
      </c>
      <c r="C77" s="178">
        <f>B77*$B$41*$C$41</f>
        <v>130224.6</v>
      </c>
      <c r="D77" s="207">
        <f t="shared" si="7"/>
        <v>22032.713821040237</v>
      </c>
      <c r="E77" s="207">
        <f>D77*'Conversion Factors and GWP'!$C$17/'Conversion Factors and GWP'!$A$7</f>
        <v>12.117992601572132</v>
      </c>
      <c r="F77" s="207">
        <f>E77*'Conversion Factors and GWP'!$C$31</f>
        <v>339.30379284401971</v>
      </c>
      <c r="G77" s="679">
        <f t="shared" si="8"/>
        <v>17.790540711428569</v>
      </c>
      <c r="H77" s="683">
        <f>G77/'Conversion Factors and GWP'!$A$7</f>
        <v>1.7790540711428569E-2</v>
      </c>
      <c r="I77" s="679">
        <f>H77*'Conversion Factors and GWP'!$C$32</f>
        <v>4.7144932885285709</v>
      </c>
      <c r="J77" s="207">
        <f t="shared" si="9"/>
        <v>344.01828613254827</v>
      </c>
      <c r="K77" s="418"/>
      <c r="L77" s="418"/>
      <c r="M77" s="418"/>
      <c r="N77" s="418"/>
      <c r="O77" s="418"/>
      <c r="P77" s="418"/>
      <c r="Q77" s="418"/>
      <c r="R77" s="418"/>
      <c r="S77" s="418"/>
      <c r="T77" s="418"/>
      <c r="U77" s="666"/>
      <c r="V77" s="666"/>
      <c r="W77" s="666"/>
      <c r="X77" s="666"/>
      <c r="Y77" s="666"/>
      <c r="Z77" s="666"/>
    </row>
    <row r="78" spans="1:26" ht="22.5" customHeight="1" outlineLevel="1" x14ac:dyDescent="0.85">
      <c r="A78" s="392" t="s">
        <v>1533</v>
      </c>
      <c r="B78" s="207">
        <f>E60</f>
        <v>1228</v>
      </c>
      <c r="C78" s="178">
        <f>B78*$B$42*$C$42</f>
        <v>254810.00000000003</v>
      </c>
      <c r="D78" s="207">
        <f t="shared" si="7"/>
        <v>1172.8161727886582</v>
      </c>
      <c r="E78" s="207">
        <f>D78*'Conversion Factors and GWP'!$C$17/'Conversion Factors and GWP'!$A$7</f>
        <v>0.64504889503376206</v>
      </c>
      <c r="F78" s="207">
        <f>E78*'Conversion Factors and GWP'!$C$31</f>
        <v>18.061369060945339</v>
      </c>
      <c r="G78" s="679">
        <f t="shared" si="8"/>
        <v>124.45285961551747</v>
      </c>
      <c r="H78" s="679">
        <f>G78/'Conversion Factors and GWP'!$A$7</f>
        <v>0.12445285961551747</v>
      </c>
      <c r="I78" s="679">
        <f>H78*'Conversion Factors and GWP'!$C$32</f>
        <v>32.980007798112126</v>
      </c>
      <c r="J78" s="207">
        <f t="shared" si="9"/>
        <v>51.041376859057465</v>
      </c>
      <c r="K78" s="418"/>
      <c r="L78" s="418"/>
      <c r="M78" s="418"/>
      <c r="N78" s="418"/>
      <c r="O78" s="418"/>
      <c r="P78" s="418"/>
      <c r="Q78" s="418"/>
      <c r="R78" s="418"/>
      <c r="S78" s="418"/>
      <c r="T78" s="418"/>
      <c r="U78" s="666"/>
      <c r="V78" s="666"/>
      <c r="W78" s="666"/>
      <c r="X78" s="666"/>
      <c r="Y78" s="666"/>
      <c r="Z78" s="666"/>
    </row>
    <row r="79" spans="1:26" ht="22.5" customHeight="1" outlineLevel="1" x14ac:dyDescent="0.85">
      <c r="A79" s="392" t="s">
        <v>1534</v>
      </c>
      <c r="B79" s="207">
        <f>F60</f>
        <v>882</v>
      </c>
      <c r="C79" s="178">
        <f>B79*$B$43*$C$43</f>
        <v>536256</v>
      </c>
      <c r="D79" s="207">
        <f t="shared" si="7"/>
        <v>1093.9622400000001</v>
      </c>
      <c r="E79" s="207">
        <f>D79*'Conversion Factors and GWP'!$C$17/'Conversion Factors and GWP'!$A$7</f>
        <v>0.60167923200000006</v>
      </c>
      <c r="F79" s="207">
        <f>E79*'Conversion Factors and GWP'!$C$31</f>
        <v>16.847018496</v>
      </c>
      <c r="G79" s="207">
        <f t="shared" si="8"/>
        <v>0</v>
      </c>
      <c r="H79" s="207">
        <f>G79/'Conversion Factors and GWP'!$A$7</f>
        <v>0</v>
      </c>
      <c r="I79" s="207">
        <f>H79*'Conversion Factors and GWP'!$C$32</f>
        <v>0</v>
      </c>
      <c r="J79" s="207">
        <f t="shared" si="9"/>
        <v>16.847018496</v>
      </c>
      <c r="K79" s="418"/>
      <c r="L79" s="418"/>
      <c r="M79" s="418"/>
      <c r="N79" s="418"/>
      <c r="O79" s="418"/>
      <c r="P79" s="418"/>
      <c r="Q79" s="418"/>
      <c r="R79" s="418"/>
      <c r="S79" s="418"/>
      <c r="T79" s="418"/>
      <c r="U79" s="666"/>
      <c r="V79" s="666"/>
      <c r="W79" s="666"/>
      <c r="X79" s="666"/>
      <c r="Y79" s="666"/>
      <c r="Z79" s="666"/>
    </row>
    <row r="80" spans="1:26" ht="22.5" customHeight="1" outlineLevel="1" x14ac:dyDescent="0.85">
      <c r="A80" s="392" t="s">
        <v>1535</v>
      </c>
      <c r="B80" s="207">
        <f>H60</f>
        <v>1589</v>
      </c>
      <c r="C80" s="178">
        <f>B80*$B$44*$C$44</f>
        <v>4361805</v>
      </c>
      <c r="D80" s="207">
        <f t="shared" si="7"/>
        <v>17272.747800000001</v>
      </c>
      <c r="E80" s="207">
        <f>D80*'Conversion Factors and GWP'!$C$17/'Conversion Factors and GWP'!$A$7</f>
        <v>9.5000112900000016</v>
      </c>
      <c r="F80" s="207">
        <f>E80*'Conversion Factors and GWP'!$C$31</f>
        <v>266.00031612000004</v>
      </c>
      <c r="G80" s="207">
        <f t="shared" si="8"/>
        <v>0</v>
      </c>
      <c r="H80" s="207">
        <f>G80/'Conversion Factors and GWP'!$A$7</f>
        <v>0</v>
      </c>
      <c r="I80" s="207">
        <f>H80*'Conversion Factors and GWP'!$C$32</f>
        <v>0</v>
      </c>
      <c r="J80" s="207">
        <f t="shared" si="9"/>
        <v>266.00031612000004</v>
      </c>
      <c r="K80" s="418"/>
      <c r="L80" s="418"/>
      <c r="M80" s="418"/>
      <c r="N80" s="418"/>
      <c r="O80" s="418"/>
      <c r="P80" s="418"/>
      <c r="Q80" s="418"/>
      <c r="R80" s="418"/>
      <c r="S80" s="418"/>
      <c r="T80" s="418"/>
      <c r="U80" s="666"/>
      <c r="V80" s="666"/>
      <c r="W80" s="666"/>
      <c r="X80" s="666"/>
      <c r="Y80" s="666"/>
      <c r="Z80" s="666"/>
    </row>
    <row r="81" spans="1:26" ht="22.5" customHeight="1" outlineLevel="1" x14ac:dyDescent="0.85">
      <c r="A81" s="684" t="s">
        <v>398</v>
      </c>
      <c r="B81" s="685">
        <f t="shared" ref="B81:J81" si="10">SUM(B74:B80)</f>
        <v>14018</v>
      </c>
      <c r="C81" s="685">
        <f t="shared" si="10"/>
        <v>14512577.963898949</v>
      </c>
      <c r="D81" s="685">
        <f t="shared" si="10"/>
        <v>447175.31375395023</v>
      </c>
      <c r="E81" s="685">
        <f t="shared" si="10"/>
        <v>245.94642256467262</v>
      </c>
      <c r="F81" s="685">
        <f t="shared" si="10"/>
        <v>6886.4998318108328</v>
      </c>
      <c r="G81" s="685">
        <f t="shared" si="10"/>
        <v>5266.277443195474</v>
      </c>
      <c r="H81" s="686">
        <f t="shared" si="10"/>
        <v>5.2662774431954729</v>
      </c>
      <c r="I81" s="685">
        <f t="shared" si="10"/>
        <v>1395.5635224468006</v>
      </c>
      <c r="J81" s="685">
        <f t="shared" si="10"/>
        <v>8282.0633542576325</v>
      </c>
      <c r="K81" s="407"/>
      <c r="L81" s="407"/>
      <c r="M81" s="407"/>
      <c r="N81" s="407"/>
      <c r="O81" s="407"/>
      <c r="P81" s="407"/>
      <c r="Q81" s="407"/>
      <c r="R81" s="407"/>
      <c r="S81" s="407"/>
      <c r="T81" s="407"/>
      <c r="U81" s="666"/>
      <c r="V81" s="666"/>
      <c r="W81" s="666"/>
      <c r="X81" s="666"/>
      <c r="Y81" s="666"/>
      <c r="Z81" s="666"/>
    </row>
    <row r="82" spans="1:26" ht="22.5" customHeight="1" outlineLevel="1" x14ac:dyDescent="0.85">
      <c r="A82" s="947" t="s">
        <v>127</v>
      </c>
      <c r="B82" s="765"/>
      <c r="C82" s="765"/>
      <c r="D82" s="765"/>
      <c r="E82" s="765"/>
      <c r="F82" s="765"/>
      <c r="G82" s="765"/>
      <c r="H82" s="765"/>
      <c r="I82" s="765"/>
      <c r="J82" s="765"/>
      <c r="K82" s="765"/>
      <c r="L82" s="765"/>
      <c r="M82" s="765"/>
      <c r="N82" s="765"/>
      <c r="O82" s="765"/>
      <c r="P82" s="765"/>
      <c r="Q82" s="765"/>
      <c r="R82" s="765"/>
      <c r="S82" s="765"/>
      <c r="T82" s="765"/>
      <c r="U82" s="762"/>
      <c r="V82" s="681"/>
      <c r="W82" s="681"/>
      <c r="X82" s="681"/>
      <c r="Y82" s="681"/>
      <c r="Z82" s="681"/>
    </row>
    <row r="83" spans="1:26" ht="22.5" customHeight="1" outlineLevel="1" x14ac:dyDescent="0.85">
      <c r="A83" s="662" t="s">
        <v>1499</v>
      </c>
      <c r="B83" s="662" t="s">
        <v>1553</v>
      </c>
      <c r="C83" s="662" t="s">
        <v>1554</v>
      </c>
      <c r="D83" s="662" t="s">
        <v>1562</v>
      </c>
      <c r="E83" s="676" t="s">
        <v>1563</v>
      </c>
      <c r="F83" s="676" t="s">
        <v>1564</v>
      </c>
      <c r="G83" s="662" t="s">
        <v>1565</v>
      </c>
      <c r="H83" s="676" t="s">
        <v>1566</v>
      </c>
      <c r="I83" s="676" t="s">
        <v>1567</v>
      </c>
      <c r="J83" s="682" t="s">
        <v>1568</v>
      </c>
      <c r="K83" s="653"/>
      <c r="L83" s="653"/>
      <c r="M83" s="653"/>
      <c r="N83" s="653"/>
      <c r="O83" s="653"/>
      <c r="P83" s="653"/>
      <c r="Q83" s="653"/>
      <c r="R83" s="653"/>
      <c r="S83" s="653"/>
      <c r="T83" s="653"/>
      <c r="U83" s="587"/>
      <c r="V83" s="587"/>
      <c r="W83" s="587"/>
      <c r="X83" s="587"/>
      <c r="Y83" s="587"/>
      <c r="Z83" s="587"/>
    </row>
    <row r="84" spans="1:26" ht="22.5" customHeight="1" outlineLevel="1" x14ac:dyDescent="0.85">
      <c r="A84" s="392" t="s">
        <v>1503</v>
      </c>
      <c r="B84" s="207">
        <f>C61</f>
        <v>38</v>
      </c>
      <c r="C84" s="178">
        <f>B84*$C$38</f>
        <v>111600.48823767476</v>
      </c>
      <c r="D84" s="207">
        <f t="shared" ref="D84:D90" si="11">(C84*D38)*E38</f>
        <v>6725.9688299451591</v>
      </c>
      <c r="E84" s="207">
        <f>D84*'Conversion Factors and GWP'!$C$17/'Conversion Factors and GWP'!$A$7</f>
        <v>3.6992828564698379</v>
      </c>
      <c r="F84" s="207">
        <f>E84*'Conversion Factors and GWP'!$C$31</f>
        <v>103.57991998115546</v>
      </c>
      <c r="G84" s="178">
        <f t="shared" ref="G84:G90" si="12">D49+E49*(44/28)</f>
        <v>86723.789616297174</v>
      </c>
      <c r="H84" s="679">
        <f>G84/'Conversion Factors and GWP'!$A$7</f>
        <v>86.723789616297168</v>
      </c>
      <c r="I84" s="679">
        <f>H84*'Conversion Factors and GWP'!$C$32</f>
        <v>22981.804248318749</v>
      </c>
      <c r="J84" s="207">
        <f t="shared" ref="J84:J90" si="13">F84+I84</f>
        <v>23085.384168299905</v>
      </c>
      <c r="K84" s="418"/>
      <c r="L84" s="418"/>
      <c r="M84" s="418"/>
      <c r="N84" s="418"/>
      <c r="O84" s="418"/>
      <c r="P84" s="418"/>
      <c r="Q84" s="418"/>
      <c r="R84" s="418"/>
      <c r="S84" s="418"/>
      <c r="T84" s="418"/>
      <c r="U84" s="587"/>
      <c r="V84" s="587"/>
      <c r="W84" s="587"/>
      <c r="X84" s="587"/>
      <c r="Y84" s="587"/>
      <c r="Z84" s="587"/>
    </row>
    <row r="85" spans="1:26" ht="22.5" customHeight="1" outlineLevel="1" x14ac:dyDescent="0.85">
      <c r="A85" s="392" t="s">
        <v>1529</v>
      </c>
      <c r="B85" s="207">
        <f>D61</f>
        <v>8107</v>
      </c>
      <c r="C85" s="178">
        <f>B85*$C$39</f>
        <v>15318182.353599845</v>
      </c>
      <c r="D85" s="207">
        <f t="shared" si="11"/>
        <v>31249.092001343688</v>
      </c>
      <c r="E85" s="207">
        <f>D85*'Conversion Factors and GWP'!$C$17/'Conversion Factors and GWP'!$A$7</f>
        <v>17.187000600739029</v>
      </c>
      <c r="F85" s="207">
        <f>E85*'Conversion Factors and GWP'!$C$31</f>
        <v>481.23601682069284</v>
      </c>
      <c r="G85" s="178">
        <f t="shared" si="12"/>
        <v>0</v>
      </c>
      <c r="H85" s="207">
        <f>G85/'Conversion Factors and GWP'!$A$7</f>
        <v>0</v>
      </c>
      <c r="I85" s="679">
        <f>H85*'Conversion Factors and GWP'!$C$32</f>
        <v>0</v>
      </c>
      <c r="J85" s="207">
        <f t="shared" si="13"/>
        <v>481.23601682069284</v>
      </c>
      <c r="K85" s="418"/>
      <c r="L85" s="418"/>
      <c r="M85" s="418"/>
      <c r="N85" s="418"/>
      <c r="O85" s="418"/>
      <c r="P85" s="418"/>
      <c r="Q85" s="418"/>
      <c r="R85" s="418"/>
      <c r="S85" s="418"/>
      <c r="T85" s="418"/>
      <c r="U85" s="666"/>
      <c r="V85" s="666"/>
      <c r="W85" s="666"/>
      <c r="X85" s="666"/>
      <c r="Y85" s="666"/>
      <c r="Z85" s="666"/>
    </row>
    <row r="86" spans="1:26" ht="22.5" customHeight="1" outlineLevel="1" x14ac:dyDescent="0.85">
      <c r="A86" s="392" t="s">
        <v>1531</v>
      </c>
      <c r="B86" s="207">
        <f>G61</f>
        <v>82</v>
      </c>
      <c r="C86" s="178">
        <f>B86*$B$40*$C$40</f>
        <v>17977.680000000004</v>
      </c>
      <c r="D86" s="207">
        <f t="shared" si="11"/>
        <v>2107.6142693100423</v>
      </c>
      <c r="E86" s="207">
        <f>D86*'Conversion Factors and GWP'!$C$17/'Conversion Factors and GWP'!$A$7</f>
        <v>1.1591878481205233</v>
      </c>
      <c r="F86" s="207">
        <f>E86*'Conversion Factors and GWP'!$C$31</f>
        <v>32.45725974737465</v>
      </c>
      <c r="G86" s="178">
        <f t="shared" si="12"/>
        <v>206.53160113560207</v>
      </c>
      <c r="H86" s="683">
        <f>G86/'Conversion Factors and GWP'!$A$7</f>
        <v>0.20653160113560207</v>
      </c>
      <c r="I86" s="679">
        <f>H86*'Conversion Factors and GWP'!$C$32</f>
        <v>54.730874300934545</v>
      </c>
      <c r="J86" s="207">
        <f t="shared" si="13"/>
        <v>87.188134048309195</v>
      </c>
      <c r="K86" s="418"/>
      <c r="L86" s="418"/>
      <c r="M86" s="418"/>
      <c r="N86" s="418"/>
      <c r="O86" s="418"/>
      <c r="P86" s="418"/>
      <c r="Q86" s="418"/>
      <c r="R86" s="418"/>
      <c r="S86" s="418"/>
      <c r="T86" s="418"/>
      <c r="U86" s="666"/>
      <c r="V86" s="666"/>
      <c r="W86" s="666"/>
      <c r="X86" s="666"/>
      <c r="Y86" s="666"/>
      <c r="Z86" s="666"/>
    </row>
    <row r="87" spans="1:26" ht="22.5" customHeight="1" outlineLevel="1" x14ac:dyDescent="0.85">
      <c r="A87" s="392" t="s">
        <v>1532</v>
      </c>
      <c r="B87" s="207">
        <f>I61</f>
        <v>2596</v>
      </c>
      <c r="C87" s="178">
        <f>B87*$B$41*$C$41</f>
        <v>51400.800000000003</v>
      </c>
      <c r="D87" s="207">
        <f t="shared" si="11"/>
        <v>8696.506778078221</v>
      </c>
      <c r="E87" s="207">
        <f>D87*'Conversion Factors and GWP'!$C$17/'Conversion Factors and GWP'!$A$7</f>
        <v>4.783078727943022</v>
      </c>
      <c r="F87" s="207">
        <f>E87*'Conversion Factors and GWP'!$C$31</f>
        <v>133.92620438240462</v>
      </c>
      <c r="G87" s="178">
        <f t="shared" si="12"/>
        <v>7022.0835771428592</v>
      </c>
      <c r="H87" s="683">
        <f>G87/'Conversion Factors and GWP'!$A$7</f>
        <v>7.0220835771428591</v>
      </c>
      <c r="I87" s="679">
        <f>H87*'Conversion Factors and GWP'!$C$32</f>
        <v>1860.8521479428578</v>
      </c>
      <c r="J87" s="207">
        <f t="shared" si="13"/>
        <v>1994.7783523252624</v>
      </c>
      <c r="K87" s="418"/>
      <c r="L87" s="418"/>
      <c r="M87" s="418"/>
      <c r="N87" s="418"/>
      <c r="O87" s="418"/>
      <c r="P87" s="418"/>
      <c r="Q87" s="418"/>
      <c r="R87" s="418"/>
      <c r="S87" s="418"/>
      <c r="T87" s="418"/>
      <c r="U87" s="666"/>
      <c r="V87" s="666"/>
      <c r="W87" s="666"/>
      <c r="X87" s="666"/>
      <c r="Y87" s="666"/>
      <c r="Z87" s="666"/>
    </row>
    <row r="88" spans="1:26" ht="22.5" customHeight="1" outlineLevel="1" x14ac:dyDescent="0.85">
      <c r="A88" s="392" t="s">
        <v>1533</v>
      </c>
      <c r="B88" s="207">
        <f>E61</f>
        <v>866</v>
      </c>
      <c r="C88" s="178">
        <f>B88*$B$42*$C$42</f>
        <v>179695.00000000003</v>
      </c>
      <c r="D88" s="207">
        <f t="shared" si="11"/>
        <v>827.0837179437932</v>
      </c>
      <c r="E88" s="207">
        <f>D88*'Conversion Factors and GWP'!$C$17/'Conversion Factors and GWP'!$A$7</f>
        <v>0.4548960448690863</v>
      </c>
      <c r="F88" s="207">
        <f>E88*'Conversion Factors and GWP'!$C$31</f>
        <v>12.737089256334416</v>
      </c>
      <c r="G88" s="178">
        <f t="shared" si="12"/>
        <v>87765.615982930089</v>
      </c>
      <c r="H88" s="679">
        <f>G88/'Conversion Factors and GWP'!$A$7</f>
        <v>87.765615982930086</v>
      </c>
      <c r="I88" s="679">
        <f>H88*'Conversion Factors and GWP'!$C$32</f>
        <v>23257.888235476472</v>
      </c>
      <c r="J88" s="207">
        <f t="shared" si="13"/>
        <v>23270.625324732806</v>
      </c>
      <c r="K88" s="418"/>
      <c r="L88" s="418"/>
      <c r="M88" s="418"/>
      <c r="N88" s="418"/>
      <c r="O88" s="418"/>
      <c r="P88" s="418"/>
      <c r="Q88" s="418"/>
      <c r="R88" s="418"/>
      <c r="S88" s="418"/>
      <c r="T88" s="418"/>
      <c r="U88" s="666"/>
      <c r="V88" s="666"/>
      <c r="W88" s="666"/>
      <c r="X88" s="666"/>
      <c r="Y88" s="666"/>
      <c r="Z88" s="666"/>
    </row>
    <row r="89" spans="1:26" ht="22.5" customHeight="1" outlineLevel="1" x14ac:dyDescent="0.85">
      <c r="A89" s="392" t="s">
        <v>1534</v>
      </c>
      <c r="B89" s="207">
        <f>F61</f>
        <v>353</v>
      </c>
      <c r="C89" s="178">
        <f>B89*$B$43*$C$43</f>
        <v>214624</v>
      </c>
      <c r="D89" s="207">
        <f t="shared" si="11"/>
        <v>437.83296000000001</v>
      </c>
      <c r="E89" s="207">
        <f>D89*'Conversion Factors and GWP'!$C$17/'Conversion Factors and GWP'!$A$7</f>
        <v>0.24080812800000004</v>
      </c>
      <c r="F89" s="207">
        <f>E89*'Conversion Factors and GWP'!$C$31</f>
        <v>6.742627584000001</v>
      </c>
      <c r="G89" s="178">
        <f t="shared" si="12"/>
        <v>0</v>
      </c>
      <c r="H89" s="207">
        <f>G89/'Conversion Factors and GWP'!$A$7</f>
        <v>0</v>
      </c>
      <c r="I89" s="207">
        <f>H89*'Conversion Factors and GWP'!$C$32</f>
        <v>0</v>
      </c>
      <c r="J89" s="207">
        <f t="shared" si="13"/>
        <v>6.742627584000001</v>
      </c>
      <c r="K89" s="418"/>
      <c r="L89" s="418"/>
      <c r="M89" s="418"/>
      <c r="N89" s="418"/>
      <c r="O89" s="418"/>
      <c r="P89" s="418"/>
      <c r="Q89" s="418"/>
      <c r="R89" s="418"/>
      <c r="S89" s="418"/>
      <c r="T89" s="418"/>
      <c r="U89" s="666"/>
      <c r="V89" s="666"/>
      <c r="W89" s="666"/>
      <c r="X89" s="666"/>
      <c r="Y89" s="666"/>
      <c r="Z89" s="666"/>
    </row>
    <row r="90" spans="1:26" ht="22.5" customHeight="1" outlineLevel="1" x14ac:dyDescent="0.85">
      <c r="A90" s="392" t="s">
        <v>1535</v>
      </c>
      <c r="B90" s="207">
        <f>H61</f>
        <v>1357</v>
      </c>
      <c r="C90" s="178">
        <f>B90*$B$44*$C$44</f>
        <v>3724965</v>
      </c>
      <c r="D90" s="207">
        <f t="shared" si="11"/>
        <v>14750.8614</v>
      </c>
      <c r="E90" s="207">
        <f>D90*'Conversion Factors and GWP'!$C$17/'Conversion Factors and GWP'!$A$7</f>
        <v>8.11297377</v>
      </c>
      <c r="F90" s="207">
        <f>E90*'Conversion Factors and GWP'!$C$31</f>
        <v>227.16326556000001</v>
      </c>
      <c r="G90" s="178">
        <f t="shared" si="12"/>
        <v>0</v>
      </c>
      <c r="H90" s="207">
        <f>G90/'Conversion Factors and GWP'!$A$7</f>
        <v>0</v>
      </c>
      <c r="I90" s="207">
        <f>H90*'Conversion Factors and GWP'!$C$32</f>
        <v>0</v>
      </c>
      <c r="J90" s="207">
        <f t="shared" si="13"/>
        <v>227.16326556000001</v>
      </c>
      <c r="K90" s="418"/>
      <c r="L90" s="418"/>
      <c r="M90" s="418"/>
      <c r="N90" s="418"/>
      <c r="O90" s="418"/>
      <c r="P90" s="418"/>
      <c r="Q90" s="418"/>
      <c r="R90" s="418"/>
      <c r="S90" s="418"/>
      <c r="T90" s="418"/>
      <c r="U90" s="666"/>
      <c r="V90" s="666"/>
      <c r="W90" s="666"/>
      <c r="X90" s="666"/>
      <c r="Y90" s="666"/>
      <c r="Z90" s="666"/>
    </row>
    <row r="91" spans="1:26" ht="22.5" customHeight="1" outlineLevel="1" x14ac:dyDescent="0.85">
      <c r="A91" s="684" t="s">
        <v>398</v>
      </c>
      <c r="B91" s="685">
        <f t="shared" ref="B91:J91" si="14">SUM(B84:B90)</f>
        <v>13399</v>
      </c>
      <c r="C91" s="685">
        <f t="shared" si="14"/>
        <v>19618445.321837522</v>
      </c>
      <c r="D91" s="685">
        <f t="shared" si="14"/>
        <v>64794.959956620907</v>
      </c>
      <c r="E91" s="685">
        <f t="shared" si="14"/>
        <v>35.637227976141503</v>
      </c>
      <c r="F91" s="685">
        <f t="shared" si="14"/>
        <v>997.84238333196208</v>
      </c>
      <c r="G91" s="685">
        <f t="shared" si="14"/>
        <v>181718.02077750571</v>
      </c>
      <c r="H91" s="686">
        <f t="shared" si="14"/>
        <v>181.71802077750573</v>
      </c>
      <c r="I91" s="685">
        <f t="shared" si="14"/>
        <v>48155.275506039012</v>
      </c>
      <c r="J91" s="685">
        <f t="shared" si="14"/>
        <v>49153.117889370973</v>
      </c>
      <c r="K91" s="407"/>
      <c r="L91" s="407"/>
      <c r="M91" s="407"/>
      <c r="N91" s="407"/>
      <c r="O91" s="407"/>
      <c r="P91" s="407"/>
      <c r="Q91" s="407"/>
      <c r="R91" s="407"/>
      <c r="S91" s="407"/>
      <c r="T91" s="407"/>
      <c r="U91" s="666"/>
      <c r="V91" s="666"/>
      <c r="W91" s="666"/>
      <c r="X91" s="666"/>
      <c r="Y91" s="666"/>
      <c r="Z91" s="666"/>
    </row>
    <row r="92" spans="1:26" ht="22.5" customHeight="1" outlineLevel="1" x14ac:dyDescent="0.85">
      <c r="A92" s="947" t="s">
        <v>128</v>
      </c>
      <c r="B92" s="765"/>
      <c r="C92" s="765"/>
      <c r="D92" s="765"/>
      <c r="E92" s="765"/>
      <c r="F92" s="765"/>
      <c r="G92" s="765"/>
      <c r="H92" s="765"/>
      <c r="I92" s="765"/>
      <c r="J92" s="765"/>
      <c r="K92" s="765"/>
      <c r="L92" s="765"/>
      <c r="M92" s="765"/>
      <c r="N92" s="765"/>
      <c r="O92" s="765"/>
      <c r="P92" s="765"/>
      <c r="Q92" s="765"/>
      <c r="R92" s="765"/>
      <c r="S92" s="765"/>
      <c r="T92" s="765"/>
      <c r="U92" s="762"/>
      <c r="V92" s="681"/>
      <c r="W92" s="681"/>
      <c r="X92" s="681"/>
      <c r="Y92" s="681"/>
      <c r="Z92" s="681"/>
    </row>
    <row r="93" spans="1:26" ht="22.5" customHeight="1" outlineLevel="1" x14ac:dyDescent="0.85">
      <c r="A93" s="662" t="s">
        <v>1499</v>
      </c>
      <c r="B93" s="662" t="s">
        <v>1553</v>
      </c>
      <c r="C93" s="662" t="s">
        <v>1554</v>
      </c>
      <c r="D93" s="662" t="s">
        <v>1569</v>
      </c>
      <c r="E93" s="676" t="s">
        <v>1570</v>
      </c>
      <c r="F93" s="676" t="s">
        <v>1571</v>
      </c>
      <c r="G93" s="662" t="s">
        <v>1572</v>
      </c>
      <c r="H93" s="676" t="s">
        <v>1573</v>
      </c>
      <c r="I93" s="676" t="s">
        <v>1574</v>
      </c>
      <c r="J93" s="682" t="s">
        <v>1575</v>
      </c>
      <c r="K93" s="653"/>
      <c r="L93" s="653"/>
      <c r="M93" s="653"/>
      <c r="N93" s="653"/>
      <c r="O93" s="653"/>
      <c r="P93" s="653"/>
      <c r="Q93" s="653"/>
      <c r="R93" s="653"/>
      <c r="S93" s="653"/>
      <c r="T93" s="653"/>
      <c r="U93" s="587"/>
      <c r="V93" s="587"/>
      <c r="W93" s="587"/>
      <c r="X93" s="587"/>
      <c r="Y93" s="587"/>
      <c r="Z93" s="587"/>
    </row>
    <row r="94" spans="1:26" ht="22.5" customHeight="1" outlineLevel="1" x14ac:dyDescent="0.85">
      <c r="A94" s="392" t="s">
        <v>1503</v>
      </c>
      <c r="B94" s="207">
        <f>C62</f>
        <v>20272.086051046699</v>
      </c>
      <c r="C94" s="178">
        <f>B94*$C$38</f>
        <v>59536176.339288622</v>
      </c>
      <c r="D94" s="207">
        <f t="shared" ref="D94:D100" si="15">(C94*D38)*E38</f>
        <v>3588142.6025606883</v>
      </c>
      <c r="E94" s="207">
        <f>D94*'Conversion Factors and GWP'!$C$17/'Conversion Factors and GWP'!$A$7</f>
        <v>1973.4784314083788</v>
      </c>
      <c r="F94" s="207">
        <f>E94*'Conversion Factors and GWP'!$C$31</f>
        <v>55257.396079434606</v>
      </c>
      <c r="G94" s="309">
        <f t="shared" ref="G94:G100" si="16">F49+G49*(44/28)</f>
        <v>46264.85955530464</v>
      </c>
      <c r="H94" s="679">
        <f>G94/'Conversion Factors and GWP'!$A$7</f>
        <v>46.264859555304639</v>
      </c>
      <c r="I94" s="679">
        <f>H94*'Conversion Factors and GWP'!$C$32</f>
        <v>12260.18778215573</v>
      </c>
      <c r="J94" s="207">
        <f t="shared" ref="J94:J100" si="17">F94+I94</f>
        <v>67517.583861590334</v>
      </c>
      <c r="K94" s="418"/>
      <c r="L94" s="418"/>
      <c r="M94" s="418"/>
      <c r="N94" s="418"/>
      <c r="O94" s="418"/>
      <c r="P94" s="418"/>
      <c r="Q94" s="418"/>
      <c r="R94" s="418"/>
      <c r="S94" s="418"/>
      <c r="T94" s="418"/>
      <c r="U94" s="587"/>
      <c r="V94" s="587"/>
      <c r="W94" s="587"/>
      <c r="X94" s="587"/>
      <c r="Y94" s="587"/>
      <c r="Z94" s="587"/>
    </row>
    <row r="95" spans="1:26" ht="22.5" customHeight="1" outlineLevel="1" x14ac:dyDescent="0.85">
      <c r="A95" s="392" t="s">
        <v>1529</v>
      </c>
      <c r="B95" s="207">
        <f>D62</f>
        <v>12482.913948953299</v>
      </c>
      <c r="C95" s="178">
        <f>B95*$C$39</f>
        <v>23586474.919743653</v>
      </c>
      <c r="D95" s="207">
        <f t="shared" si="15"/>
        <v>48116.408836277056</v>
      </c>
      <c r="E95" s="207">
        <f>D95*'Conversion Factors and GWP'!$C$17/'Conversion Factors and GWP'!$A$7</f>
        <v>26.464024859952385</v>
      </c>
      <c r="F95" s="207">
        <f>E95*'Conversion Factors and GWP'!$C$31</f>
        <v>740.99269607866677</v>
      </c>
      <c r="G95" s="309">
        <f t="shared" si="16"/>
        <v>0</v>
      </c>
      <c r="H95" s="207">
        <f>G95/'Conversion Factors and GWP'!$A$7</f>
        <v>0</v>
      </c>
      <c r="I95" s="679">
        <f>H95*'Conversion Factors and GWP'!$C$32</f>
        <v>0</v>
      </c>
      <c r="J95" s="207">
        <f t="shared" si="17"/>
        <v>740.99269607866677</v>
      </c>
      <c r="K95" s="418"/>
      <c r="L95" s="418"/>
      <c r="M95" s="418"/>
      <c r="N95" s="418"/>
      <c r="O95" s="418"/>
      <c r="P95" s="418"/>
      <c r="Q95" s="418"/>
      <c r="R95" s="418"/>
      <c r="S95" s="418"/>
      <c r="T95" s="418"/>
      <c r="U95" s="666"/>
      <c r="V95" s="666"/>
      <c r="W95" s="666"/>
      <c r="X95" s="666"/>
      <c r="Y95" s="666"/>
      <c r="Z95" s="666"/>
    </row>
    <row r="96" spans="1:26" ht="22.5" customHeight="1" outlineLevel="1" x14ac:dyDescent="0.85">
      <c r="A96" s="392" t="s">
        <v>1531</v>
      </c>
      <c r="B96" s="207">
        <f>G62</f>
        <v>96</v>
      </c>
      <c r="C96" s="178">
        <f>B96*$B$40*$C$40</f>
        <v>21047.040000000005</v>
      </c>
      <c r="D96" s="207">
        <f t="shared" si="15"/>
        <v>2467.4508518751718</v>
      </c>
      <c r="E96" s="207">
        <f>D96*'Conversion Factors and GWP'!$C$17/'Conversion Factors and GWP'!$A$7</f>
        <v>1.3570979685313447</v>
      </c>
      <c r="F96" s="207">
        <f>E96*'Conversion Factors and GWP'!$C$31</f>
        <v>37.998743118877648</v>
      </c>
      <c r="G96" s="309">
        <f t="shared" si="16"/>
        <v>0.24179309401241222</v>
      </c>
      <c r="H96" s="683">
        <f>G96/'Conversion Factors and GWP'!$A$7</f>
        <v>2.4179309401241222E-4</v>
      </c>
      <c r="I96" s="679">
        <f>H96*'Conversion Factors and GWP'!$C$32</f>
        <v>6.4075169913289237E-2</v>
      </c>
      <c r="J96" s="207">
        <f t="shared" si="17"/>
        <v>38.062818288790936</v>
      </c>
      <c r="K96" s="418"/>
      <c r="L96" s="418"/>
      <c r="M96" s="418"/>
      <c r="N96" s="418"/>
      <c r="O96" s="418"/>
      <c r="P96" s="418"/>
      <c r="Q96" s="418"/>
      <c r="R96" s="418"/>
      <c r="S96" s="418"/>
      <c r="T96" s="418"/>
      <c r="U96" s="666"/>
      <c r="V96" s="666"/>
      <c r="W96" s="666"/>
      <c r="X96" s="666"/>
      <c r="Y96" s="666"/>
      <c r="Z96" s="666"/>
    </row>
    <row r="97" spans="1:26" ht="22.5" customHeight="1" outlineLevel="1" x14ac:dyDescent="0.85">
      <c r="A97" s="392" t="s">
        <v>1532</v>
      </c>
      <c r="B97" s="207">
        <f>I62</f>
        <v>1535</v>
      </c>
      <c r="C97" s="178">
        <f>B97*$B$41*$C$41</f>
        <v>30393</v>
      </c>
      <c r="D97" s="207">
        <f t="shared" si="15"/>
        <v>5142.1948784091173</v>
      </c>
      <c r="E97" s="207">
        <f>D97*'Conversion Factors and GWP'!$C$17/'Conversion Factors and GWP'!$A$7</f>
        <v>2.8282071831250146</v>
      </c>
      <c r="F97" s="207">
        <f>E97*'Conversion Factors and GWP'!$C$31</f>
        <v>79.189801127500402</v>
      </c>
      <c r="G97" s="309">
        <f t="shared" si="16"/>
        <v>4.1521179857142858</v>
      </c>
      <c r="H97" s="683">
        <f>G97/'Conversion Factors and GWP'!$A$7</f>
        <v>4.1521179857142857E-3</v>
      </c>
      <c r="I97" s="679">
        <f>H97*'Conversion Factors and GWP'!$C$32</f>
        <v>1.1003112662142858</v>
      </c>
      <c r="J97" s="207">
        <f t="shared" si="17"/>
        <v>80.290112393714693</v>
      </c>
      <c r="K97" s="418"/>
      <c r="L97" s="418"/>
      <c r="M97" s="418"/>
      <c r="N97" s="418"/>
      <c r="O97" s="418"/>
      <c r="P97" s="418"/>
      <c r="Q97" s="418"/>
      <c r="R97" s="418"/>
      <c r="S97" s="418"/>
      <c r="T97" s="418"/>
      <c r="U97" s="666"/>
      <c r="V97" s="666"/>
      <c r="W97" s="666"/>
      <c r="X97" s="666"/>
      <c r="Y97" s="666"/>
      <c r="Z97" s="666"/>
    </row>
    <row r="98" spans="1:26" ht="22.5" customHeight="1" outlineLevel="1" x14ac:dyDescent="0.85">
      <c r="A98" s="392" t="s">
        <v>1533</v>
      </c>
      <c r="B98" s="207">
        <f>E62</f>
        <v>4112</v>
      </c>
      <c r="C98" s="178">
        <f>B98*$B$42*$C$42</f>
        <v>853240.00000000012</v>
      </c>
      <c r="D98" s="207">
        <f t="shared" si="15"/>
        <v>3927.21506718808</v>
      </c>
      <c r="E98" s="207">
        <f>D98*'Conversion Factors and GWP'!$C$17/'Conversion Factors and GWP'!$A$7</f>
        <v>2.1599682869534442</v>
      </c>
      <c r="F98" s="207">
        <f>E98*'Conversion Factors and GWP'!$C$31</f>
        <v>60.479112034696442</v>
      </c>
      <c r="G98" s="309">
        <f t="shared" si="16"/>
        <v>416.73465695358942</v>
      </c>
      <c r="H98" s="679">
        <f>G98/'Conversion Factors and GWP'!$A$7</f>
        <v>0.41673465695358941</v>
      </c>
      <c r="I98" s="679">
        <f>H98*'Conversion Factors and GWP'!$C$32</f>
        <v>110.43468409270119</v>
      </c>
      <c r="J98" s="207">
        <f t="shared" si="17"/>
        <v>170.91379612739763</v>
      </c>
      <c r="K98" s="418"/>
      <c r="L98" s="418"/>
      <c r="M98" s="418"/>
      <c r="N98" s="418"/>
      <c r="O98" s="418"/>
      <c r="P98" s="418"/>
      <c r="Q98" s="418"/>
      <c r="R98" s="418"/>
      <c r="S98" s="418"/>
      <c r="T98" s="418"/>
      <c r="U98" s="666"/>
      <c r="V98" s="666"/>
      <c r="W98" s="666"/>
      <c r="X98" s="666"/>
      <c r="Y98" s="666"/>
      <c r="Z98" s="666"/>
    </row>
    <row r="99" spans="1:26" ht="22.5" customHeight="1" outlineLevel="1" x14ac:dyDescent="0.85">
      <c r="A99" s="392" t="s">
        <v>1534</v>
      </c>
      <c r="B99" s="207">
        <f>F62</f>
        <v>644</v>
      </c>
      <c r="C99" s="178">
        <f>B99*$B$43*$C$43</f>
        <v>391552</v>
      </c>
      <c r="D99" s="207">
        <f t="shared" si="15"/>
        <v>798.7660800000001</v>
      </c>
      <c r="E99" s="207">
        <f>D99*'Conversion Factors and GWP'!$C$17/'Conversion Factors and GWP'!$A$7</f>
        <v>0.43932134400000006</v>
      </c>
      <c r="F99" s="207">
        <f>E99*'Conversion Factors and GWP'!$C$31</f>
        <v>12.300997632000001</v>
      </c>
      <c r="G99" s="309">
        <f t="shared" si="16"/>
        <v>0</v>
      </c>
      <c r="H99" s="207">
        <f>G99/'Conversion Factors and GWP'!$A$7</f>
        <v>0</v>
      </c>
      <c r="I99" s="207">
        <f>H99*'Conversion Factors and GWP'!$C$32</f>
        <v>0</v>
      </c>
      <c r="J99" s="207">
        <f t="shared" si="17"/>
        <v>12.300997632000001</v>
      </c>
      <c r="K99" s="418"/>
      <c r="L99" s="418"/>
      <c r="M99" s="418"/>
      <c r="N99" s="418"/>
      <c r="O99" s="418"/>
      <c r="P99" s="418"/>
      <c r="Q99" s="418"/>
      <c r="R99" s="418"/>
      <c r="S99" s="418"/>
      <c r="T99" s="418"/>
      <c r="U99" s="666"/>
      <c r="V99" s="666"/>
      <c r="W99" s="666"/>
      <c r="X99" s="666"/>
      <c r="Y99" s="666"/>
      <c r="Z99" s="666"/>
    </row>
    <row r="100" spans="1:26" ht="22.5" customHeight="1" outlineLevel="1" x14ac:dyDescent="0.85">
      <c r="A100" s="392" t="s">
        <v>1535</v>
      </c>
      <c r="B100" s="207">
        <f>H62</f>
        <v>1005</v>
      </c>
      <c r="C100" s="178">
        <f>B100*$B$44*$C$44</f>
        <v>2758725</v>
      </c>
      <c r="D100" s="207">
        <f t="shared" si="15"/>
        <v>10924.550999999999</v>
      </c>
      <c r="E100" s="207">
        <f>D100*'Conversion Factors and GWP'!$C$17/'Conversion Factors and GWP'!$A$7</f>
        <v>6.0085030499999998</v>
      </c>
      <c r="F100" s="207">
        <f>E100*'Conversion Factors and GWP'!$C$31</f>
        <v>168.23808539999999</v>
      </c>
      <c r="G100" s="309">
        <f t="shared" si="16"/>
        <v>0</v>
      </c>
      <c r="H100" s="207">
        <f>G100/'Conversion Factors and GWP'!$A$7</f>
        <v>0</v>
      </c>
      <c r="I100" s="207">
        <f>H100*'Conversion Factors and GWP'!$C$32</f>
        <v>0</v>
      </c>
      <c r="J100" s="207">
        <f t="shared" si="17"/>
        <v>168.23808539999999</v>
      </c>
      <c r="K100" s="418"/>
      <c r="L100" s="418"/>
      <c r="M100" s="418"/>
      <c r="N100" s="418"/>
      <c r="O100" s="418"/>
      <c r="P100" s="418"/>
      <c r="Q100" s="418"/>
      <c r="R100" s="418"/>
      <c r="S100" s="418"/>
      <c r="T100" s="418"/>
      <c r="U100" s="666"/>
      <c r="V100" s="666"/>
      <c r="W100" s="666"/>
      <c r="X100" s="666"/>
      <c r="Y100" s="666"/>
      <c r="Z100" s="666"/>
    </row>
    <row r="101" spans="1:26" ht="22.5" customHeight="1" outlineLevel="1" x14ac:dyDescent="0.85">
      <c r="A101" s="684" t="s">
        <v>398</v>
      </c>
      <c r="B101" s="685">
        <f t="shared" ref="B101:J101" si="18">SUM(B94:B100)</f>
        <v>40147</v>
      </c>
      <c r="C101" s="685">
        <f t="shared" si="18"/>
        <v>87177608.299032286</v>
      </c>
      <c r="D101" s="685">
        <f t="shared" si="18"/>
        <v>3659519.1892744382</v>
      </c>
      <c r="E101" s="685">
        <f t="shared" si="18"/>
        <v>2012.735554100941</v>
      </c>
      <c r="F101" s="685">
        <f t="shared" si="18"/>
        <v>56356.595514826353</v>
      </c>
      <c r="G101" s="685">
        <f t="shared" si="18"/>
        <v>46685.988123337956</v>
      </c>
      <c r="H101" s="686">
        <f t="shared" si="18"/>
        <v>46.68598812333795</v>
      </c>
      <c r="I101" s="685">
        <f t="shared" si="18"/>
        <v>12371.78685268456</v>
      </c>
      <c r="J101" s="685">
        <f t="shared" si="18"/>
        <v>68728.382367510902</v>
      </c>
      <c r="K101" s="407"/>
      <c r="L101" s="407"/>
      <c r="M101" s="407"/>
      <c r="N101" s="407"/>
      <c r="O101" s="407"/>
      <c r="P101" s="407"/>
      <c r="Q101" s="407"/>
      <c r="R101" s="407"/>
      <c r="S101" s="407"/>
      <c r="T101" s="407"/>
      <c r="U101" s="666"/>
      <c r="V101" s="666"/>
      <c r="W101" s="666"/>
      <c r="X101" s="666"/>
      <c r="Y101" s="666"/>
      <c r="Z101" s="666"/>
    </row>
    <row r="102" spans="1:26" ht="22.5" customHeight="1" outlineLevel="1" x14ac:dyDescent="0.85">
      <c r="A102" s="947" t="s">
        <v>129</v>
      </c>
      <c r="B102" s="765"/>
      <c r="C102" s="765"/>
      <c r="D102" s="765"/>
      <c r="E102" s="765"/>
      <c r="F102" s="765"/>
      <c r="G102" s="765"/>
      <c r="H102" s="765"/>
      <c r="I102" s="765"/>
      <c r="J102" s="765"/>
      <c r="K102" s="765"/>
      <c r="L102" s="765"/>
      <c r="M102" s="765"/>
      <c r="N102" s="765"/>
      <c r="O102" s="765"/>
      <c r="P102" s="765"/>
      <c r="Q102" s="765"/>
      <c r="R102" s="765"/>
      <c r="S102" s="765"/>
      <c r="T102" s="765"/>
      <c r="U102" s="762"/>
      <c r="V102" s="681"/>
      <c r="W102" s="681"/>
      <c r="X102" s="681"/>
      <c r="Y102" s="681"/>
      <c r="Z102" s="681"/>
    </row>
    <row r="103" spans="1:26" ht="22.5" customHeight="1" outlineLevel="1" x14ac:dyDescent="0.85">
      <c r="A103" s="662" t="s">
        <v>1499</v>
      </c>
      <c r="B103" s="662" t="s">
        <v>1553</v>
      </c>
      <c r="C103" s="662" t="s">
        <v>1554</v>
      </c>
      <c r="D103" s="662" t="s">
        <v>1576</v>
      </c>
      <c r="E103" s="676" t="s">
        <v>1577</v>
      </c>
      <c r="F103" s="676" t="s">
        <v>1578</v>
      </c>
      <c r="G103" s="662" t="s">
        <v>1579</v>
      </c>
      <c r="H103" s="676" t="s">
        <v>1580</v>
      </c>
      <c r="I103" s="676" t="s">
        <v>1581</v>
      </c>
      <c r="J103" s="682" t="s">
        <v>1582</v>
      </c>
      <c r="K103" s="653"/>
      <c r="L103" s="653"/>
      <c r="M103" s="653"/>
      <c r="N103" s="653"/>
      <c r="O103" s="653"/>
      <c r="P103" s="653"/>
      <c r="Q103" s="653"/>
      <c r="R103" s="653"/>
      <c r="S103" s="653"/>
      <c r="T103" s="653"/>
      <c r="U103" s="587"/>
      <c r="V103" s="587"/>
      <c r="W103" s="587"/>
      <c r="X103" s="587"/>
      <c r="Y103" s="587"/>
      <c r="Z103" s="587"/>
    </row>
    <row r="104" spans="1:26" ht="22.5" customHeight="1" outlineLevel="1" x14ac:dyDescent="0.85">
      <c r="A104" s="392" t="s">
        <v>1503</v>
      </c>
      <c r="B104" s="687">
        <f>C63</f>
        <v>10043.51739998125</v>
      </c>
      <c r="C104" s="178">
        <f>B104*$C$38</f>
        <v>29496353.827933926</v>
      </c>
      <c r="D104" s="207">
        <f t="shared" ref="D104:D110" si="19">(C104*D38)*E38</f>
        <v>1777694.3414548878</v>
      </c>
      <c r="E104" s="207">
        <f>D104*'Conversion Factors and GWP'!$C$17/'Conversion Factors and GWP'!$A$7</f>
        <v>977.73188780018836</v>
      </c>
      <c r="F104" s="207">
        <f>E104*'Conversion Factors and GWP'!$C$31</f>
        <v>27376.492858405276</v>
      </c>
      <c r="G104" s="309">
        <f t="shared" ref="G104:G110" si="20">H49+I49*(44/28)</f>
        <v>22922.466918581285</v>
      </c>
      <c r="H104" s="679">
        <f>G104/'Conversion Factors and GWP'!$A$7</f>
        <v>22.922466918581286</v>
      </c>
      <c r="I104" s="679">
        <f>H104*'Conversion Factors and GWP'!$C$32</f>
        <v>6074.4537334240404</v>
      </c>
      <c r="J104" s="207">
        <f t="shared" ref="J104:J110" si="21">F104+I104</f>
        <v>33450.946591829314</v>
      </c>
      <c r="K104" s="418"/>
      <c r="L104" s="418"/>
      <c r="M104" s="418"/>
      <c r="N104" s="418"/>
      <c r="O104" s="418"/>
      <c r="P104" s="418"/>
      <c r="Q104" s="418"/>
      <c r="R104" s="418"/>
      <c r="S104" s="418"/>
      <c r="T104" s="418"/>
      <c r="U104" s="587"/>
      <c r="V104" s="587"/>
      <c r="W104" s="587"/>
      <c r="X104" s="587"/>
      <c r="Y104" s="587"/>
      <c r="Z104" s="587"/>
    </row>
    <row r="105" spans="1:26" ht="22.5" customHeight="1" outlineLevel="1" x14ac:dyDescent="0.85">
      <c r="A105" s="392" t="s">
        <v>1529</v>
      </c>
      <c r="B105" s="687">
        <f>D63</f>
        <v>6184.4826000187495</v>
      </c>
      <c r="C105" s="178">
        <f>B105*$C$39</f>
        <v>11685584.338195695</v>
      </c>
      <c r="D105" s="207">
        <f t="shared" si="19"/>
        <v>23838.592049919222</v>
      </c>
      <c r="E105" s="207">
        <f>D105*'Conversion Factors and GWP'!$C$17/'Conversion Factors and GWP'!$A$7</f>
        <v>13.111225627455573</v>
      </c>
      <c r="F105" s="207">
        <f>E105*'Conversion Factors and GWP'!$C$31</f>
        <v>367.11431756875606</v>
      </c>
      <c r="G105" s="309">
        <f t="shared" si="20"/>
        <v>0</v>
      </c>
      <c r="H105" s="207">
        <f>G105/'Conversion Factors and GWP'!$A$7</f>
        <v>0</v>
      </c>
      <c r="I105" s="679">
        <f>H105*'Conversion Factors and GWP'!$C$32</f>
        <v>0</v>
      </c>
      <c r="J105" s="207">
        <f t="shared" si="21"/>
        <v>367.11431756875606</v>
      </c>
      <c r="K105" s="418"/>
      <c r="L105" s="418"/>
      <c r="M105" s="418"/>
      <c r="N105" s="418"/>
      <c r="O105" s="418"/>
      <c r="P105" s="418"/>
      <c r="Q105" s="418"/>
      <c r="R105" s="418"/>
      <c r="S105" s="418"/>
      <c r="T105" s="418"/>
      <c r="U105" s="666"/>
      <c r="V105" s="666"/>
      <c r="W105" s="666"/>
      <c r="X105" s="666"/>
      <c r="Y105" s="666"/>
      <c r="Z105" s="666"/>
    </row>
    <row r="106" spans="1:26" ht="22.5" customHeight="1" outlineLevel="1" x14ac:dyDescent="0.85">
      <c r="A106" s="392" t="s">
        <v>1531</v>
      </c>
      <c r="B106" s="687">
        <f>G63</f>
        <v>73</v>
      </c>
      <c r="C106" s="178">
        <f>B106*$B$40*$C$40</f>
        <v>16004.520000000002</v>
      </c>
      <c r="D106" s="207">
        <f t="shared" si="19"/>
        <v>1876.2907519467451</v>
      </c>
      <c r="E106" s="207">
        <f>D106*'Conversion Factors and GWP'!$C$17/'Conversion Factors and GWP'!$A$7</f>
        <v>1.0319599135707098</v>
      </c>
      <c r="F106" s="207">
        <f>E106*'Conversion Factors and GWP'!$C$31</f>
        <v>28.894877579979877</v>
      </c>
      <c r="G106" s="309">
        <f t="shared" si="20"/>
        <v>0.18386349857193846</v>
      </c>
      <c r="H106" s="683">
        <f>G106/'Conversion Factors and GWP'!$A$7</f>
        <v>1.8386349857193847E-4</v>
      </c>
      <c r="I106" s="679">
        <f>H106*'Conversion Factors and GWP'!$C$32</f>
        <v>4.8723827121563694E-2</v>
      </c>
      <c r="J106" s="207">
        <f t="shared" si="21"/>
        <v>28.94360140710144</v>
      </c>
      <c r="K106" s="418"/>
      <c r="L106" s="418"/>
      <c r="M106" s="418"/>
      <c r="N106" s="418"/>
      <c r="O106" s="418"/>
      <c r="P106" s="418"/>
      <c r="Q106" s="418"/>
      <c r="R106" s="418"/>
      <c r="S106" s="418"/>
      <c r="T106" s="418"/>
      <c r="U106" s="666"/>
      <c r="V106" s="666"/>
      <c r="W106" s="666"/>
      <c r="X106" s="666"/>
      <c r="Y106" s="666"/>
      <c r="Z106" s="666"/>
    </row>
    <row r="107" spans="1:26" ht="22.5" customHeight="1" outlineLevel="1" x14ac:dyDescent="0.85">
      <c r="A107" s="392" t="s">
        <v>1532</v>
      </c>
      <c r="B107" s="687">
        <f>I63</f>
        <v>5728</v>
      </c>
      <c r="C107" s="178">
        <f>B107*$B$41*$C$41</f>
        <v>113414.39999999999</v>
      </c>
      <c r="D107" s="207">
        <f t="shared" si="19"/>
        <v>19188.594308486921</v>
      </c>
      <c r="E107" s="207">
        <f>D107*'Conversion Factors and GWP'!$C$17/'Conversion Factors and GWP'!$A$7</f>
        <v>10.553726869667807</v>
      </c>
      <c r="F107" s="207">
        <f>E107*'Conversion Factors and GWP'!$C$31</f>
        <v>295.50435235069858</v>
      </c>
      <c r="G107" s="309">
        <f t="shared" si="20"/>
        <v>15494.027245714286</v>
      </c>
      <c r="H107" s="683">
        <f>G107/'Conversion Factors and GWP'!$A$7</f>
        <v>15.494027245714285</v>
      </c>
      <c r="I107" s="679">
        <f>H107*'Conversion Factors and GWP'!$C$32</f>
        <v>4105.9172201142856</v>
      </c>
      <c r="J107" s="207">
        <f t="shared" si="21"/>
        <v>4401.4215724649839</v>
      </c>
      <c r="K107" s="418"/>
      <c r="L107" s="418"/>
      <c r="M107" s="418"/>
      <c r="N107" s="418"/>
      <c r="O107" s="418"/>
      <c r="P107" s="418"/>
      <c r="Q107" s="418"/>
      <c r="R107" s="418"/>
      <c r="S107" s="418"/>
      <c r="T107" s="418"/>
      <c r="U107" s="666"/>
      <c r="V107" s="666"/>
      <c r="W107" s="666"/>
      <c r="X107" s="666"/>
      <c r="Y107" s="666"/>
      <c r="Z107" s="666"/>
    </row>
    <row r="108" spans="1:26" ht="22.5" customHeight="1" outlineLevel="1" x14ac:dyDescent="0.85">
      <c r="A108" s="392" t="s">
        <v>1533</v>
      </c>
      <c r="B108" s="687">
        <f>E63</f>
        <v>987</v>
      </c>
      <c r="C108" s="178">
        <f>B108*$B$42*$C$42</f>
        <v>204802.50000000003</v>
      </c>
      <c r="D108" s="207">
        <f t="shared" si="19"/>
        <v>942.64622356873429</v>
      </c>
      <c r="E108" s="207">
        <f>D108*'Conversion Factors and GWP'!$C$17/'Conversion Factors and GWP'!$A$7</f>
        <v>0.51845542296280389</v>
      </c>
      <c r="F108" s="207">
        <f>E108*'Conversion Factors and GWP'!$C$31</f>
        <v>14.516751842958509</v>
      </c>
      <c r="G108" s="309">
        <f t="shared" si="20"/>
        <v>100.02847918608776</v>
      </c>
      <c r="H108" s="679">
        <f>G108/'Conversion Factors and GWP'!$A$7</f>
        <v>0.10002847918608776</v>
      </c>
      <c r="I108" s="679">
        <f>H108*'Conversion Factors and GWP'!$C$32</f>
        <v>26.507546984313258</v>
      </c>
      <c r="J108" s="207">
        <f t="shared" si="21"/>
        <v>41.024298827271764</v>
      </c>
      <c r="K108" s="418"/>
      <c r="L108" s="418"/>
      <c r="M108" s="418"/>
      <c r="N108" s="418"/>
      <c r="O108" s="418"/>
      <c r="P108" s="418"/>
      <c r="Q108" s="418"/>
      <c r="R108" s="418"/>
      <c r="S108" s="418"/>
      <c r="T108" s="418"/>
      <c r="U108" s="666"/>
      <c r="V108" s="666"/>
      <c r="W108" s="666"/>
      <c r="X108" s="666"/>
      <c r="Y108" s="666"/>
      <c r="Z108" s="666"/>
    </row>
    <row r="109" spans="1:26" ht="22.5" customHeight="1" outlineLevel="1" x14ac:dyDescent="0.85">
      <c r="A109" s="392" t="s">
        <v>1534</v>
      </c>
      <c r="B109" s="687">
        <f>F63</f>
        <v>1150</v>
      </c>
      <c r="C109" s="178">
        <f>B109*$B$43*$C$43</f>
        <v>699200</v>
      </c>
      <c r="D109" s="207">
        <f t="shared" si="19"/>
        <v>1426.3680000000002</v>
      </c>
      <c r="E109" s="207">
        <f>D109*'Conversion Factors and GWP'!$C$17/'Conversion Factors and GWP'!$A$7</f>
        <v>0.78450240000000016</v>
      </c>
      <c r="F109" s="207">
        <f>E109*'Conversion Factors and GWP'!$C$31</f>
        <v>21.966067200000005</v>
      </c>
      <c r="G109" s="309">
        <f t="shared" si="20"/>
        <v>0</v>
      </c>
      <c r="H109" s="207">
        <f>G109/'Conversion Factors and GWP'!$A$7</f>
        <v>0</v>
      </c>
      <c r="I109" s="207">
        <f>H109*'Conversion Factors and GWP'!$C$32</f>
        <v>0</v>
      </c>
      <c r="J109" s="207">
        <f t="shared" si="21"/>
        <v>21.966067200000005</v>
      </c>
      <c r="K109" s="418"/>
      <c r="L109" s="418"/>
      <c r="M109" s="418"/>
      <c r="N109" s="418"/>
      <c r="O109" s="418"/>
      <c r="P109" s="418"/>
      <c r="Q109" s="418"/>
      <c r="R109" s="418"/>
      <c r="S109" s="418"/>
      <c r="T109" s="418"/>
      <c r="U109" s="666"/>
      <c r="V109" s="666"/>
      <c r="W109" s="666"/>
      <c r="X109" s="666"/>
      <c r="Y109" s="666"/>
      <c r="Z109" s="666"/>
    </row>
    <row r="110" spans="1:26" ht="22.5" customHeight="1" outlineLevel="1" x14ac:dyDescent="0.85">
      <c r="A110" s="392" t="s">
        <v>1535</v>
      </c>
      <c r="B110" s="687">
        <f>H63</f>
        <v>1212</v>
      </c>
      <c r="C110" s="178">
        <f>B110*$B$44*$C$44</f>
        <v>3326940</v>
      </c>
      <c r="D110" s="207">
        <f t="shared" si="19"/>
        <v>13174.6824</v>
      </c>
      <c r="E110" s="207">
        <f>D110*'Conversion Factors and GWP'!$C$17/'Conversion Factors and GWP'!$A$7</f>
        <v>7.246075320000001</v>
      </c>
      <c r="F110" s="207">
        <f>E110*'Conversion Factors and GWP'!$C$31</f>
        <v>202.89010896000002</v>
      </c>
      <c r="G110" s="309">
        <f t="shared" si="20"/>
        <v>0</v>
      </c>
      <c r="H110" s="207">
        <f>G110/'Conversion Factors and GWP'!$A$7</f>
        <v>0</v>
      </c>
      <c r="I110" s="207">
        <f>H110*'Conversion Factors and GWP'!$C$32</f>
        <v>0</v>
      </c>
      <c r="J110" s="207">
        <f t="shared" si="21"/>
        <v>202.89010896000002</v>
      </c>
      <c r="K110" s="418"/>
      <c r="L110" s="418"/>
      <c r="M110" s="418"/>
      <c r="N110" s="418"/>
      <c r="O110" s="418"/>
      <c r="P110" s="418"/>
      <c r="Q110" s="418"/>
      <c r="R110" s="418"/>
      <c r="S110" s="418"/>
      <c r="T110" s="418"/>
      <c r="U110" s="666"/>
      <c r="V110" s="666"/>
      <c r="W110" s="666"/>
      <c r="X110" s="666"/>
      <c r="Y110" s="666"/>
      <c r="Z110" s="666"/>
    </row>
    <row r="111" spans="1:26" ht="22.5" customHeight="1" outlineLevel="1" x14ac:dyDescent="0.85">
      <c r="A111" s="684" t="s">
        <v>398</v>
      </c>
      <c r="B111" s="685">
        <f t="shared" ref="B111:J111" si="22">SUM(B104:B110)</f>
        <v>25378</v>
      </c>
      <c r="C111" s="685">
        <f t="shared" si="22"/>
        <v>45542299.586129621</v>
      </c>
      <c r="D111" s="685">
        <f t="shared" si="22"/>
        <v>1838141.5151888097</v>
      </c>
      <c r="E111" s="685">
        <f t="shared" si="22"/>
        <v>1010.9778333538453</v>
      </c>
      <c r="F111" s="685">
        <f t="shared" si="22"/>
        <v>28307.379333907669</v>
      </c>
      <c r="G111" s="685">
        <f t="shared" si="22"/>
        <v>38516.706506980234</v>
      </c>
      <c r="H111" s="686">
        <f t="shared" si="22"/>
        <v>38.516706506980228</v>
      </c>
      <c r="I111" s="685">
        <f t="shared" si="22"/>
        <v>10206.927224349762</v>
      </c>
      <c r="J111" s="685">
        <f t="shared" si="22"/>
        <v>38514.306558257427</v>
      </c>
      <c r="K111" s="407"/>
      <c r="L111" s="407"/>
      <c r="M111" s="407"/>
      <c r="N111" s="407"/>
      <c r="O111" s="407"/>
      <c r="P111" s="407"/>
      <c r="Q111" s="407"/>
      <c r="R111" s="407"/>
      <c r="S111" s="407"/>
      <c r="T111" s="407"/>
      <c r="U111" s="666"/>
      <c r="V111" s="666"/>
      <c r="W111" s="666"/>
      <c r="X111" s="666"/>
      <c r="Y111" s="666"/>
      <c r="Z111" s="666"/>
    </row>
    <row r="112" spans="1:26" ht="22.5" customHeight="1" outlineLevel="1" x14ac:dyDescent="0.85">
      <c r="A112" s="937" t="s">
        <v>1583</v>
      </c>
      <c r="B112" s="765"/>
      <c r="C112" s="765"/>
      <c r="D112" s="765"/>
      <c r="E112" s="765"/>
      <c r="F112" s="765"/>
      <c r="G112" s="765"/>
      <c r="H112" s="765"/>
      <c r="I112" s="765"/>
      <c r="J112" s="765"/>
      <c r="K112" s="765"/>
      <c r="L112" s="765"/>
      <c r="M112" s="765"/>
      <c r="N112" s="765"/>
      <c r="O112" s="765"/>
      <c r="P112" s="765"/>
      <c r="Q112" s="765"/>
      <c r="R112" s="765"/>
      <c r="S112" s="765"/>
      <c r="T112" s="765"/>
      <c r="U112" s="762"/>
      <c r="V112" s="688"/>
      <c r="W112" s="688"/>
      <c r="X112" s="688"/>
      <c r="Y112" s="688"/>
      <c r="Z112" s="688"/>
    </row>
    <row r="113" spans="1:26" ht="22.5" customHeight="1" outlineLevel="1" x14ac:dyDescent="0.85">
      <c r="A113" s="947" t="s">
        <v>105</v>
      </c>
      <c r="B113" s="765"/>
      <c r="C113" s="765"/>
      <c r="D113" s="765"/>
      <c r="E113" s="765"/>
      <c r="F113" s="765"/>
      <c r="G113" s="765"/>
      <c r="H113" s="765"/>
      <c r="I113" s="765"/>
      <c r="J113" s="765"/>
      <c r="K113" s="765"/>
      <c r="L113" s="765"/>
      <c r="M113" s="765"/>
      <c r="N113" s="765"/>
      <c r="O113" s="765"/>
      <c r="P113" s="765"/>
      <c r="Q113" s="765"/>
      <c r="R113" s="765"/>
      <c r="S113" s="765"/>
      <c r="T113" s="765"/>
      <c r="U113" s="762"/>
      <c r="V113" s="688"/>
      <c r="W113" s="688"/>
      <c r="X113" s="688"/>
      <c r="Y113" s="688"/>
      <c r="Z113" s="688"/>
    </row>
    <row r="114" spans="1:26" ht="22.5" customHeight="1" outlineLevel="1" x14ac:dyDescent="0.85">
      <c r="A114" s="662" t="s">
        <v>1584</v>
      </c>
      <c r="B114" s="662" t="s">
        <v>1585</v>
      </c>
      <c r="C114" s="662" t="s">
        <v>1586</v>
      </c>
      <c r="D114" s="662" t="s">
        <v>1587</v>
      </c>
      <c r="E114" s="682" t="s">
        <v>1588</v>
      </c>
      <c r="F114" s="653"/>
      <c r="G114" s="653"/>
      <c r="H114" s="653"/>
      <c r="I114" s="653"/>
      <c r="J114" s="653"/>
      <c r="K114" s="653"/>
      <c r="L114" s="653"/>
      <c r="M114" s="653"/>
      <c r="N114" s="653"/>
      <c r="O114" s="653"/>
      <c r="P114" s="653"/>
      <c r="Q114" s="653"/>
      <c r="R114" s="653"/>
      <c r="S114" s="653"/>
      <c r="T114" s="653"/>
      <c r="U114" s="653"/>
      <c r="V114" s="688"/>
      <c r="W114" s="688"/>
      <c r="X114" s="688"/>
      <c r="Y114" s="688"/>
      <c r="Z114" s="688"/>
    </row>
    <row r="115" spans="1:26" ht="22.5" customHeight="1" outlineLevel="1" x14ac:dyDescent="0.85">
      <c r="A115" s="689">
        <v>2021</v>
      </c>
      <c r="B115" s="409">
        <v>18115.791713993585</v>
      </c>
      <c r="C115" s="690">
        <v>589269</v>
      </c>
      <c r="D115" s="690">
        <f>97+138+87+20+24</f>
        <v>366</v>
      </c>
      <c r="E115" s="207">
        <f>B115*J38*J39*(D115/C115)</f>
        <v>8.2513733049522013</v>
      </c>
      <c r="F115" s="30"/>
      <c r="G115" s="30"/>
      <c r="H115" s="30"/>
      <c r="I115" s="30"/>
      <c r="J115" s="30"/>
      <c r="K115" s="30"/>
      <c r="L115" s="30"/>
      <c r="M115" s="30"/>
      <c r="N115" s="30"/>
      <c r="O115" s="30"/>
      <c r="P115" s="30"/>
      <c r="Q115" s="30"/>
      <c r="R115" s="30"/>
      <c r="S115" s="30"/>
      <c r="T115" s="30"/>
      <c r="U115" s="30"/>
      <c r="V115" s="688"/>
      <c r="W115" s="688"/>
      <c r="X115" s="688"/>
      <c r="Y115" s="688"/>
      <c r="Z115" s="688"/>
    </row>
    <row r="116" spans="1:26" ht="22.5" customHeight="1" outlineLevel="1" x14ac:dyDescent="0.85">
      <c r="A116" s="947" t="s">
        <v>126</v>
      </c>
      <c r="B116" s="765"/>
      <c r="C116" s="765"/>
      <c r="D116" s="765"/>
      <c r="E116" s="765"/>
      <c r="F116" s="765"/>
      <c r="G116" s="765"/>
      <c r="H116" s="765"/>
      <c r="I116" s="765"/>
      <c r="J116" s="765"/>
      <c r="K116" s="765"/>
      <c r="L116" s="765"/>
      <c r="M116" s="765"/>
      <c r="N116" s="765"/>
      <c r="O116" s="765"/>
      <c r="P116" s="765"/>
      <c r="Q116" s="765"/>
      <c r="R116" s="765"/>
      <c r="S116" s="765"/>
      <c r="T116" s="765"/>
      <c r="U116" s="762"/>
      <c r="V116" s="681"/>
      <c r="W116" s="681"/>
      <c r="X116" s="681"/>
      <c r="Y116" s="681"/>
      <c r="Z116" s="681"/>
    </row>
    <row r="117" spans="1:26" ht="22.5" customHeight="1" outlineLevel="1" x14ac:dyDescent="0.85">
      <c r="A117" s="662" t="s">
        <v>1584</v>
      </c>
      <c r="B117" s="662" t="s">
        <v>1585</v>
      </c>
      <c r="C117" s="662" t="s">
        <v>1586</v>
      </c>
      <c r="D117" s="662" t="s">
        <v>1589</v>
      </c>
      <c r="E117" s="682" t="s">
        <v>1590</v>
      </c>
      <c r="F117" s="653"/>
      <c r="G117" s="653"/>
      <c r="H117" s="653"/>
      <c r="I117" s="653"/>
      <c r="J117" s="653"/>
      <c r="K117" s="653"/>
      <c r="L117" s="653"/>
      <c r="M117" s="653"/>
      <c r="N117" s="653"/>
      <c r="O117" s="653"/>
      <c r="P117" s="653"/>
      <c r="Q117" s="653"/>
      <c r="R117" s="653"/>
      <c r="S117" s="653"/>
      <c r="T117" s="653"/>
      <c r="U117" s="653"/>
      <c r="V117" s="587"/>
      <c r="W117" s="587"/>
      <c r="X117" s="587"/>
      <c r="Y117" s="587"/>
      <c r="Z117" s="587"/>
    </row>
    <row r="118" spans="1:26" ht="22.5" customHeight="1" outlineLevel="1" x14ac:dyDescent="0.85">
      <c r="A118" s="689">
        <v>2021</v>
      </c>
      <c r="B118" s="409">
        <v>18115.791713993585</v>
      </c>
      <c r="C118" s="690">
        <v>589269</v>
      </c>
      <c r="D118" s="690">
        <v>2395</v>
      </c>
      <c r="E118" s="207">
        <f>B118*J38*J39*(D118/C118)</f>
        <v>53.994642255083392</v>
      </c>
      <c r="F118" s="30"/>
      <c r="G118" s="30"/>
      <c r="H118" s="30"/>
      <c r="I118" s="30"/>
      <c r="J118" s="30"/>
      <c r="K118" s="30"/>
      <c r="L118" s="30"/>
      <c r="M118" s="30"/>
      <c r="N118" s="30"/>
      <c r="O118" s="30"/>
      <c r="P118" s="30"/>
      <c r="Q118" s="30"/>
      <c r="R118" s="30"/>
      <c r="S118" s="30"/>
      <c r="T118" s="30"/>
      <c r="U118" s="30"/>
      <c r="V118" s="330"/>
      <c r="W118" s="330"/>
      <c r="X118" s="330"/>
      <c r="Y118" s="330"/>
      <c r="Z118" s="330"/>
    </row>
    <row r="119" spans="1:26" ht="22.5" customHeight="1" outlineLevel="1" x14ac:dyDescent="0.85">
      <c r="A119" s="947" t="s">
        <v>127</v>
      </c>
      <c r="B119" s="765"/>
      <c r="C119" s="765"/>
      <c r="D119" s="765"/>
      <c r="E119" s="765"/>
      <c r="F119" s="765"/>
      <c r="G119" s="765"/>
      <c r="H119" s="765"/>
      <c r="I119" s="765"/>
      <c r="J119" s="765"/>
      <c r="K119" s="765"/>
      <c r="L119" s="765"/>
      <c r="M119" s="765"/>
      <c r="N119" s="765"/>
      <c r="O119" s="765"/>
      <c r="P119" s="765"/>
      <c r="Q119" s="765"/>
      <c r="R119" s="765"/>
      <c r="S119" s="765"/>
      <c r="T119" s="765"/>
      <c r="U119" s="762"/>
      <c r="V119" s="681"/>
      <c r="W119" s="681"/>
      <c r="X119" s="681"/>
      <c r="Y119" s="681"/>
      <c r="Z119" s="681"/>
    </row>
    <row r="120" spans="1:26" ht="22.5" customHeight="1" outlineLevel="1" x14ac:dyDescent="0.85">
      <c r="A120" s="662" t="s">
        <v>1584</v>
      </c>
      <c r="B120" s="662" t="s">
        <v>1585</v>
      </c>
      <c r="C120" s="662" t="s">
        <v>1586</v>
      </c>
      <c r="D120" s="662" t="s">
        <v>1591</v>
      </c>
      <c r="E120" s="682" t="s">
        <v>1592</v>
      </c>
      <c r="F120" s="653"/>
      <c r="G120" s="653"/>
      <c r="H120" s="653"/>
      <c r="I120" s="653"/>
      <c r="J120" s="653"/>
      <c r="K120" s="653"/>
      <c r="L120" s="653"/>
      <c r="M120" s="653"/>
      <c r="N120" s="653"/>
      <c r="O120" s="653"/>
      <c r="P120" s="653"/>
      <c r="Q120" s="653"/>
      <c r="R120" s="653"/>
      <c r="S120" s="653"/>
      <c r="T120" s="653"/>
      <c r="U120" s="653"/>
      <c r="V120" s="587"/>
      <c r="W120" s="587"/>
      <c r="X120" s="587"/>
      <c r="Y120" s="587"/>
      <c r="Z120" s="587"/>
    </row>
    <row r="121" spans="1:26" ht="22.5" customHeight="1" outlineLevel="1" x14ac:dyDescent="0.85">
      <c r="A121" s="689">
        <v>2021</v>
      </c>
      <c r="B121" s="409">
        <v>18115.791713993585</v>
      </c>
      <c r="C121" s="690">
        <v>589269</v>
      </c>
      <c r="D121" s="690">
        <v>4261</v>
      </c>
      <c r="E121" s="207">
        <f>B121*J38*J39*(D121/C121)</f>
        <v>96.063119268856084</v>
      </c>
      <c r="F121" s="30"/>
      <c r="G121" s="30"/>
      <c r="H121" s="30"/>
      <c r="I121" s="30"/>
      <c r="J121" s="30"/>
      <c r="K121" s="30"/>
      <c r="L121" s="30"/>
      <c r="M121" s="30"/>
      <c r="N121" s="30"/>
      <c r="O121" s="30"/>
      <c r="P121" s="30"/>
      <c r="Q121" s="30"/>
      <c r="R121" s="30"/>
      <c r="S121" s="30"/>
      <c r="T121" s="30"/>
      <c r="U121" s="30"/>
      <c r="V121" s="330"/>
      <c r="W121" s="330"/>
      <c r="X121" s="330"/>
      <c r="Y121" s="330"/>
      <c r="Z121" s="330"/>
    </row>
    <row r="122" spans="1:26" ht="22.5" customHeight="1" outlineLevel="1" x14ac:dyDescent="0.85">
      <c r="A122" s="947" t="s">
        <v>128</v>
      </c>
      <c r="B122" s="765"/>
      <c r="C122" s="765"/>
      <c r="D122" s="765"/>
      <c r="E122" s="765"/>
      <c r="F122" s="765"/>
      <c r="G122" s="765"/>
      <c r="H122" s="765"/>
      <c r="I122" s="765"/>
      <c r="J122" s="765"/>
      <c r="K122" s="765"/>
      <c r="L122" s="765"/>
      <c r="M122" s="765"/>
      <c r="N122" s="765"/>
      <c r="O122" s="765"/>
      <c r="P122" s="765"/>
      <c r="Q122" s="765"/>
      <c r="R122" s="765"/>
      <c r="S122" s="765"/>
      <c r="T122" s="765"/>
      <c r="U122" s="762"/>
      <c r="V122" s="681"/>
      <c r="W122" s="681"/>
      <c r="X122" s="681"/>
      <c r="Y122" s="681"/>
      <c r="Z122" s="681"/>
    </row>
    <row r="123" spans="1:26" ht="22.5" customHeight="1" outlineLevel="1" x14ac:dyDescent="0.85">
      <c r="A123" s="662" t="s">
        <v>1584</v>
      </c>
      <c r="B123" s="662" t="s">
        <v>1585</v>
      </c>
      <c r="C123" s="662" t="s">
        <v>1586</v>
      </c>
      <c r="D123" s="662" t="s">
        <v>1593</v>
      </c>
      <c r="E123" s="682" t="s">
        <v>1594</v>
      </c>
      <c r="F123" s="653"/>
      <c r="G123" s="653"/>
      <c r="H123" s="653"/>
      <c r="I123" s="653"/>
      <c r="J123" s="653"/>
      <c r="K123" s="653"/>
      <c r="L123" s="653"/>
      <c r="M123" s="653"/>
      <c r="N123" s="653"/>
      <c r="O123" s="653"/>
      <c r="P123" s="653"/>
      <c r="Q123" s="653"/>
      <c r="R123" s="653"/>
      <c r="S123" s="653"/>
      <c r="T123" s="653"/>
      <c r="U123" s="653"/>
      <c r="V123" s="587"/>
      <c r="W123" s="587"/>
      <c r="X123" s="587"/>
      <c r="Y123" s="587"/>
      <c r="Z123" s="587"/>
    </row>
    <row r="124" spans="1:26" ht="22.5" customHeight="1" outlineLevel="1" x14ac:dyDescent="0.85">
      <c r="A124" s="689">
        <v>2021</v>
      </c>
      <c r="B124" s="409">
        <v>18115.791713993585</v>
      </c>
      <c r="C124" s="690">
        <v>589269</v>
      </c>
      <c r="D124" s="690">
        <v>14355</v>
      </c>
      <c r="E124" s="207">
        <f>B124*J38*J39*(D124/C124)</f>
        <v>323.62968249341213</v>
      </c>
      <c r="F124" s="30"/>
      <c r="G124" s="30"/>
      <c r="H124" s="30"/>
      <c r="I124" s="30"/>
      <c r="J124" s="30"/>
      <c r="K124" s="30"/>
      <c r="L124" s="30"/>
      <c r="M124" s="30"/>
      <c r="N124" s="30"/>
      <c r="O124" s="30"/>
      <c r="P124" s="30"/>
      <c r="Q124" s="30"/>
      <c r="R124" s="30"/>
      <c r="S124" s="30"/>
      <c r="T124" s="30"/>
      <c r="U124" s="30"/>
      <c r="V124" s="330"/>
      <c r="W124" s="330"/>
      <c r="X124" s="330"/>
      <c r="Y124" s="330"/>
      <c r="Z124" s="330"/>
    </row>
    <row r="125" spans="1:26" ht="22.5" customHeight="1" outlineLevel="1" x14ac:dyDescent="0.85">
      <c r="A125" s="947" t="s">
        <v>129</v>
      </c>
      <c r="B125" s="765"/>
      <c r="C125" s="765"/>
      <c r="D125" s="765"/>
      <c r="E125" s="765"/>
      <c r="F125" s="765"/>
      <c r="G125" s="765"/>
      <c r="H125" s="765"/>
      <c r="I125" s="765"/>
      <c r="J125" s="765"/>
      <c r="K125" s="765"/>
      <c r="L125" s="765"/>
      <c r="M125" s="765"/>
      <c r="N125" s="765"/>
      <c r="O125" s="765"/>
      <c r="P125" s="765"/>
      <c r="Q125" s="765"/>
      <c r="R125" s="765"/>
      <c r="S125" s="765"/>
      <c r="T125" s="765"/>
      <c r="U125" s="762"/>
      <c r="V125" s="681"/>
      <c r="W125" s="681"/>
      <c r="X125" s="681"/>
      <c r="Y125" s="681"/>
      <c r="Z125" s="681"/>
    </row>
    <row r="126" spans="1:26" ht="22.5" customHeight="1" outlineLevel="1" x14ac:dyDescent="0.85">
      <c r="A126" s="662" t="s">
        <v>1584</v>
      </c>
      <c r="B126" s="662" t="s">
        <v>1585</v>
      </c>
      <c r="C126" s="662" t="s">
        <v>1586</v>
      </c>
      <c r="D126" s="662" t="s">
        <v>1595</v>
      </c>
      <c r="E126" s="682" t="s">
        <v>1596</v>
      </c>
      <c r="F126" s="653"/>
      <c r="G126" s="653"/>
      <c r="H126" s="653"/>
      <c r="I126" s="653"/>
      <c r="J126" s="653"/>
      <c r="K126" s="653"/>
      <c r="L126" s="653"/>
      <c r="M126" s="653"/>
      <c r="N126" s="653"/>
      <c r="O126" s="653"/>
      <c r="P126" s="653"/>
      <c r="Q126" s="653"/>
      <c r="R126" s="653"/>
      <c r="S126" s="653"/>
      <c r="T126" s="653"/>
      <c r="U126" s="653"/>
      <c r="V126" s="587"/>
      <c r="W126" s="587"/>
      <c r="X126" s="587"/>
      <c r="Y126" s="587"/>
      <c r="Z126" s="587"/>
    </row>
    <row r="127" spans="1:26" ht="22.5" customHeight="1" outlineLevel="1" x14ac:dyDescent="0.85">
      <c r="A127" s="689">
        <v>2021</v>
      </c>
      <c r="B127" s="409">
        <v>18115.791713993585</v>
      </c>
      <c r="C127" s="690">
        <v>589269</v>
      </c>
      <c r="D127" s="690">
        <v>5134</v>
      </c>
      <c r="E127" s="207">
        <f>B127*J38*J39*(D127/C127)</f>
        <v>115.7446736273896</v>
      </c>
      <c r="F127" s="30"/>
      <c r="G127" s="30"/>
      <c r="H127" s="30"/>
      <c r="I127" s="30"/>
      <c r="J127" s="30"/>
      <c r="K127" s="30"/>
      <c r="L127" s="30"/>
      <c r="M127" s="30"/>
      <c r="N127" s="30"/>
      <c r="O127" s="30"/>
      <c r="P127" s="30"/>
      <c r="Q127" s="30"/>
      <c r="R127" s="30"/>
      <c r="S127" s="30"/>
      <c r="T127" s="30"/>
      <c r="U127" s="30"/>
      <c r="V127" s="330"/>
      <c r="W127" s="330"/>
      <c r="X127" s="330"/>
      <c r="Y127" s="330"/>
      <c r="Z127" s="330"/>
    </row>
    <row r="128" spans="1:26" ht="22.5" customHeight="1" outlineLevel="1" x14ac:dyDescent="0.85">
      <c r="A128" s="937" t="s">
        <v>1597</v>
      </c>
      <c r="B128" s="765"/>
      <c r="C128" s="765"/>
      <c r="D128" s="765"/>
      <c r="E128" s="765"/>
      <c r="F128" s="765"/>
      <c r="G128" s="765"/>
      <c r="H128" s="765"/>
      <c r="I128" s="765"/>
      <c r="J128" s="765"/>
      <c r="K128" s="765"/>
      <c r="L128" s="765"/>
      <c r="M128" s="765"/>
      <c r="N128" s="765"/>
      <c r="O128" s="765"/>
      <c r="P128" s="765"/>
      <c r="Q128" s="765"/>
      <c r="R128" s="765"/>
      <c r="S128" s="765"/>
      <c r="T128" s="765"/>
      <c r="U128" s="762"/>
      <c r="V128" s="666"/>
      <c r="W128" s="666"/>
      <c r="X128" s="666"/>
      <c r="Y128" s="666"/>
      <c r="Z128" s="666"/>
    </row>
    <row r="129" spans="1:26" ht="22.5" customHeight="1" outlineLevel="1" x14ac:dyDescent="0.85">
      <c r="A129" s="947" t="s">
        <v>105</v>
      </c>
      <c r="B129" s="765"/>
      <c r="C129" s="765"/>
      <c r="D129" s="765"/>
      <c r="E129" s="765"/>
      <c r="F129" s="765"/>
      <c r="G129" s="765"/>
      <c r="H129" s="765"/>
      <c r="I129" s="765"/>
      <c r="J129" s="765"/>
      <c r="K129" s="765"/>
      <c r="L129" s="765"/>
      <c r="M129" s="765"/>
      <c r="N129" s="765"/>
      <c r="O129" s="765"/>
      <c r="P129" s="765"/>
      <c r="Q129" s="765"/>
      <c r="R129" s="765"/>
      <c r="S129" s="765"/>
      <c r="T129" s="765"/>
      <c r="U129" s="762"/>
      <c r="V129" s="666"/>
      <c r="W129" s="666"/>
      <c r="X129" s="666"/>
      <c r="Y129" s="666"/>
      <c r="Z129" s="666"/>
    </row>
    <row r="130" spans="1:26" ht="22.5" customHeight="1" outlineLevel="1" x14ac:dyDescent="0.85">
      <c r="A130" s="662" t="s">
        <v>1584</v>
      </c>
      <c r="B130" s="662" t="s">
        <v>1598</v>
      </c>
      <c r="C130" s="662" t="s">
        <v>1599</v>
      </c>
      <c r="D130" s="662" t="s">
        <v>1600</v>
      </c>
      <c r="E130" s="662" t="s">
        <v>1601</v>
      </c>
      <c r="F130" s="662" t="s">
        <v>1602</v>
      </c>
      <c r="G130" s="662" t="s">
        <v>1587</v>
      </c>
      <c r="H130" s="676" t="s">
        <v>1603</v>
      </c>
      <c r="I130" s="682" t="s">
        <v>1604</v>
      </c>
      <c r="J130" s="653"/>
      <c r="K130" s="407"/>
      <c r="L130" s="407"/>
      <c r="M130" s="407"/>
      <c r="N130" s="407"/>
      <c r="O130" s="407"/>
      <c r="P130" s="407"/>
      <c r="Q130" s="407"/>
      <c r="R130" s="407"/>
      <c r="S130" s="407"/>
      <c r="T130" s="407"/>
      <c r="U130" s="407"/>
      <c r="V130" s="666"/>
      <c r="W130" s="666"/>
      <c r="X130" s="666"/>
      <c r="Y130" s="666"/>
      <c r="Z130" s="666"/>
    </row>
    <row r="131" spans="1:26" ht="22.5" customHeight="1" outlineLevel="1" x14ac:dyDescent="0.85">
      <c r="A131" s="689"/>
      <c r="B131" s="690">
        <v>20819522.387271766</v>
      </c>
      <c r="C131" s="690">
        <v>51520.612728233224</v>
      </c>
      <c r="D131" s="690">
        <v>191.4077474020053</v>
      </c>
      <c r="E131" s="690">
        <v>21.269868088181124</v>
      </c>
      <c r="F131" s="690">
        <v>589269</v>
      </c>
      <c r="G131" s="690">
        <f>97+138+87+20+24</f>
        <v>366</v>
      </c>
      <c r="H131" s="691">
        <f>(D131+E131)*(G131/F131)</f>
        <v>0.13209588026759975</v>
      </c>
      <c r="I131" s="207">
        <f>H131*'Conversion Factors and GWP'!$C$32</f>
        <v>35.005408270913932</v>
      </c>
      <c r="J131" s="30"/>
      <c r="K131" s="30"/>
      <c r="L131" s="30"/>
      <c r="M131" s="30"/>
      <c r="N131" s="30"/>
      <c r="O131" s="30"/>
      <c r="P131" s="30"/>
      <c r="Q131" s="30"/>
      <c r="R131" s="30"/>
      <c r="S131" s="30"/>
      <c r="T131" s="30"/>
      <c r="U131" s="30"/>
      <c r="V131" s="666"/>
      <c r="W131" s="666"/>
      <c r="X131" s="666"/>
      <c r="Y131" s="666"/>
      <c r="Z131" s="666"/>
    </row>
    <row r="132" spans="1:26" ht="22.5" customHeight="1" outlineLevel="1" x14ac:dyDescent="0.85">
      <c r="A132" s="947" t="s">
        <v>126</v>
      </c>
      <c r="B132" s="765"/>
      <c r="C132" s="765"/>
      <c r="D132" s="765"/>
      <c r="E132" s="765"/>
      <c r="F132" s="765"/>
      <c r="G132" s="765"/>
      <c r="H132" s="765"/>
      <c r="I132" s="765"/>
      <c r="J132" s="765"/>
      <c r="K132" s="765"/>
      <c r="L132" s="765"/>
      <c r="M132" s="765"/>
      <c r="N132" s="765"/>
      <c r="O132" s="765"/>
      <c r="P132" s="765"/>
      <c r="Q132" s="765"/>
      <c r="R132" s="765"/>
      <c r="S132" s="765"/>
      <c r="T132" s="765"/>
      <c r="U132" s="762"/>
      <c r="V132" s="681"/>
      <c r="W132" s="681"/>
      <c r="X132" s="681"/>
      <c r="Y132" s="681"/>
      <c r="Z132" s="681"/>
    </row>
    <row r="133" spans="1:26" ht="22.5" customHeight="1" outlineLevel="1" x14ac:dyDescent="0.85">
      <c r="A133" s="662" t="s">
        <v>1584</v>
      </c>
      <c r="B133" s="662" t="s">
        <v>1598</v>
      </c>
      <c r="C133" s="662" t="s">
        <v>1599</v>
      </c>
      <c r="D133" s="662" t="s">
        <v>1605</v>
      </c>
      <c r="E133" s="662" t="s">
        <v>1606</v>
      </c>
      <c r="F133" s="662" t="s">
        <v>1586</v>
      </c>
      <c r="G133" s="662" t="s">
        <v>1589</v>
      </c>
      <c r="H133" s="676" t="s">
        <v>1607</v>
      </c>
      <c r="I133" s="682" t="s">
        <v>1608</v>
      </c>
      <c r="J133" s="653"/>
      <c r="K133" s="407"/>
      <c r="L133" s="407"/>
      <c r="M133" s="407"/>
      <c r="N133" s="407"/>
      <c r="O133" s="407"/>
      <c r="P133" s="407"/>
      <c r="Q133" s="407"/>
      <c r="R133" s="407"/>
      <c r="S133" s="407"/>
      <c r="T133" s="407"/>
      <c r="U133" s="407"/>
      <c r="V133" s="638"/>
      <c r="W133" s="638"/>
      <c r="X133" s="638"/>
      <c r="Y133" s="638"/>
      <c r="Z133" s="638"/>
    </row>
    <row r="134" spans="1:26" ht="22.5" customHeight="1" outlineLevel="1" x14ac:dyDescent="0.85">
      <c r="A134" s="689">
        <v>2021</v>
      </c>
      <c r="B134" s="690">
        <v>20819522.387271766</v>
      </c>
      <c r="C134" s="690">
        <v>51520.612728233224</v>
      </c>
      <c r="D134" s="690">
        <v>191.4077474020053</v>
      </c>
      <c r="E134" s="690">
        <v>21.269868088181124</v>
      </c>
      <c r="F134" s="690">
        <v>589269</v>
      </c>
      <c r="G134" s="690">
        <v>2395</v>
      </c>
      <c r="H134" s="207">
        <f>(D134+E134)*(G134/F134)</f>
        <v>0.8643979050297852</v>
      </c>
      <c r="I134" s="207">
        <f>H134*'Conversion Factors and GWP'!$C$32</f>
        <v>229.06544483289306</v>
      </c>
      <c r="J134" s="30"/>
      <c r="K134" s="30"/>
      <c r="L134" s="30"/>
      <c r="M134" s="30"/>
      <c r="N134" s="30"/>
      <c r="O134" s="30"/>
      <c r="P134" s="30"/>
      <c r="Q134" s="30"/>
      <c r="R134" s="30"/>
      <c r="S134" s="30"/>
      <c r="T134" s="30"/>
      <c r="U134" s="30"/>
      <c r="V134" s="15"/>
      <c r="W134" s="15"/>
      <c r="X134" s="15"/>
      <c r="Y134" s="15"/>
      <c r="Z134" s="15"/>
    </row>
    <row r="135" spans="1:26" ht="22.5" customHeight="1" outlineLevel="1" x14ac:dyDescent="0.85">
      <c r="A135" s="947" t="s">
        <v>127</v>
      </c>
      <c r="B135" s="765"/>
      <c r="C135" s="765"/>
      <c r="D135" s="765"/>
      <c r="E135" s="765"/>
      <c r="F135" s="765"/>
      <c r="G135" s="765"/>
      <c r="H135" s="765"/>
      <c r="I135" s="765"/>
      <c r="J135" s="765"/>
      <c r="K135" s="765"/>
      <c r="L135" s="765"/>
      <c r="M135" s="765"/>
      <c r="N135" s="765"/>
      <c r="O135" s="765"/>
      <c r="P135" s="765"/>
      <c r="Q135" s="765"/>
      <c r="R135" s="765"/>
      <c r="S135" s="765"/>
      <c r="T135" s="765"/>
      <c r="U135" s="762"/>
      <c r="V135" s="681"/>
      <c r="W135" s="681"/>
      <c r="X135" s="681"/>
      <c r="Y135" s="681"/>
      <c r="Z135" s="681"/>
    </row>
    <row r="136" spans="1:26" ht="22.5" customHeight="1" outlineLevel="1" x14ac:dyDescent="0.85">
      <c r="A136" s="662" t="s">
        <v>1584</v>
      </c>
      <c r="B136" s="662" t="s">
        <v>1598</v>
      </c>
      <c r="C136" s="662" t="s">
        <v>1599</v>
      </c>
      <c r="D136" s="662" t="s">
        <v>1609</v>
      </c>
      <c r="E136" s="662" t="s">
        <v>1610</v>
      </c>
      <c r="F136" s="662" t="s">
        <v>1586</v>
      </c>
      <c r="G136" s="662" t="s">
        <v>1591</v>
      </c>
      <c r="H136" s="676" t="s">
        <v>1611</v>
      </c>
      <c r="I136" s="682" t="s">
        <v>1612</v>
      </c>
      <c r="J136" s="653"/>
      <c r="K136" s="407"/>
      <c r="L136" s="407"/>
      <c r="M136" s="407"/>
      <c r="N136" s="407"/>
      <c r="O136" s="407"/>
      <c r="P136" s="407"/>
      <c r="Q136" s="407"/>
      <c r="R136" s="407"/>
      <c r="S136" s="407"/>
      <c r="T136" s="407"/>
      <c r="U136" s="407"/>
      <c r="V136" s="638"/>
      <c r="W136" s="638"/>
      <c r="X136" s="638"/>
      <c r="Y136" s="638"/>
      <c r="Z136" s="638"/>
    </row>
    <row r="137" spans="1:26" ht="22.5" customHeight="1" outlineLevel="1" x14ac:dyDescent="0.85">
      <c r="A137" s="689">
        <v>2021</v>
      </c>
      <c r="B137" s="690">
        <v>20819522.387271766</v>
      </c>
      <c r="C137" s="690">
        <v>51520.612728233224</v>
      </c>
      <c r="D137" s="690">
        <v>191.4077474020053</v>
      </c>
      <c r="E137" s="690">
        <v>21.269868088181124</v>
      </c>
      <c r="F137" s="690">
        <v>589269</v>
      </c>
      <c r="G137" s="690">
        <v>4261</v>
      </c>
      <c r="H137" s="207">
        <f>(D137+E137)*(G137/F137)</f>
        <v>1.5378703437711543</v>
      </c>
      <c r="I137" s="207">
        <f>H137*'Conversion Factors and GWP'!$C$32</f>
        <v>407.53564109935587</v>
      </c>
      <c r="J137" s="30"/>
      <c r="K137" s="30"/>
      <c r="L137" s="30"/>
      <c r="M137" s="30"/>
      <c r="N137" s="30"/>
      <c r="O137" s="30"/>
      <c r="P137" s="30"/>
      <c r="Q137" s="30"/>
      <c r="R137" s="30"/>
      <c r="S137" s="30"/>
      <c r="T137" s="30"/>
      <c r="U137" s="30"/>
      <c r="V137" s="15"/>
      <c r="W137" s="15"/>
      <c r="X137" s="15"/>
      <c r="Y137" s="15"/>
      <c r="Z137" s="15"/>
    </row>
    <row r="138" spans="1:26" ht="22.5" customHeight="1" outlineLevel="1" x14ac:dyDescent="0.85">
      <c r="A138" s="947" t="s">
        <v>128</v>
      </c>
      <c r="B138" s="765"/>
      <c r="C138" s="765"/>
      <c r="D138" s="765"/>
      <c r="E138" s="765"/>
      <c r="F138" s="765"/>
      <c r="G138" s="765"/>
      <c r="H138" s="765"/>
      <c r="I138" s="765"/>
      <c r="J138" s="765"/>
      <c r="K138" s="765"/>
      <c r="L138" s="765"/>
      <c r="M138" s="765"/>
      <c r="N138" s="765"/>
      <c r="O138" s="765"/>
      <c r="P138" s="765"/>
      <c r="Q138" s="765"/>
      <c r="R138" s="765"/>
      <c r="S138" s="765"/>
      <c r="T138" s="765"/>
      <c r="U138" s="762"/>
      <c r="V138" s="681"/>
      <c r="W138" s="681"/>
      <c r="X138" s="681"/>
      <c r="Y138" s="681"/>
      <c r="Z138" s="681"/>
    </row>
    <row r="139" spans="1:26" ht="22.5" customHeight="1" outlineLevel="1" x14ac:dyDescent="0.85">
      <c r="A139" s="662" t="s">
        <v>1584</v>
      </c>
      <c r="B139" s="662" t="s">
        <v>1598</v>
      </c>
      <c r="C139" s="662" t="s">
        <v>1599</v>
      </c>
      <c r="D139" s="662" t="s">
        <v>1613</v>
      </c>
      <c r="E139" s="662" t="s">
        <v>1614</v>
      </c>
      <c r="F139" s="662" t="s">
        <v>1586</v>
      </c>
      <c r="G139" s="662" t="s">
        <v>1593</v>
      </c>
      <c r="H139" s="676" t="s">
        <v>1615</v>
      </c>
      <c r="I139" s="682" t="s">
        <v>1616</v>
      </c>
      <c r="J139" s="653"/>
      <c r="K139" s="407"/>
      <c r="L139" s="407"/>
      <c r="M139" s="407"/>
      <c r="N139" s="407"/>
      <c r="O139" s="407"/>
      <c r="P139" s="407"/>
      <c r="Q139" s="407"/>
      <c r="R139" s="407"/>
      <c r="S139" s="407"/>
      <c r="T139" s="407"/>
      <c r="U139" s="407"/>
      <c r="V139" s="638"/>
      <c r="W139" s="638"/>
      <c r="X139" s="638"/>
      <c r="Y139" s="638"/>
      <c r="Z139" s="638"/>
    </row>
    <row r="140" spans="1:26" ht="22.5" customHeight="1" outlineLevel="1" x14ac:dyDescent="0.85">
      <c r="A140" s="689">
        <v>2021</v>
      </c>
      <c r="B140" s="690">
        <v>20819522.387271766</v>
      </c>
      <c r="C140" s="690">
        <v>51520.612728233224</v>
      </c>
      <c r="D140" s="690">
        <v>191.4077474020053</v>
      </c>
      <c r="E140" s="690">
        <v>21.269868088181124</v>
      </c>
      <c r="F140" s="690">
        <v>589269</v>
      </c>
      <c r="G140" s="690">
        <v>14355</v>
      </c>
      <c r="H140" s="207">
        <f>(D140+E140)*(G140/F140)</f>
        <v>5.1809736645939735</v>
      </c>
      <c r="I140" s="207">
        <f>H140*'Conversion Factors and GWP'!$C$32</f>
        <v>1372.958021117403</v>
      </c>
      <c r="J140" s="30"/>
      <c r="K140" s="30"/>
      <c r="L140" s="30"/>
      <c r="M140" s="30"/>
      <c r="N140" s="30"/>
      <c r="O140" s="30"/>
      <c r="P140" s="30"/>
      <c r="Q140" s="30"/>
      <c r="R140" s="30"/>
      <c r="S140" s="30"/>
      <c r="T140" s="30"/>
      <c r="U140" s="30"/>
      <c r="V140" s="15"/>
      <c r="W140" s="15"/>
      <c r="X140" s="15"/>
      <c r="Y140" s="15"/>
      <c r="Z140" s="15"/>
    </row>
    <row r="141" spans="1:26" ht="22.5" customHeight="1" outlineLevel="1" x14ac:dyDescent="0.85">
      <c r="A141" s="947" t="s">
        <v>129</v>
      </c>
      <c r="B141" s="765"/>
      <c r="C141" s="765"/>
      <c r="D141" s="765"/>
      <c r="E141" s="765"/>
      <c r="F141" s="765"/>
      <c r="G141" s="765"/>
      <c r="H141" s="765"/>
      <c r="I141" s="765"/>
      <c r="J141" s="765"/>
      <c r="K141" s="765"/>
      <c r="L141" s="765"/>
      <c r="M141" s="765"/>
      <c r="N141" s="765"/>
      <c r="O141" s="765"/>
      <c r="P141" s="765"/>
      <c r="Q141" s="765"/>
      <c r="R141" s="765"/>
      <c r="S141" s="765"/>
      <c r="T141" s="765"/>
      <c r="U141" s="762"/>
      <c r="V141" s="681"/>
      <c r="W141" s="681"/>
      <c r="X141" s="681"/>
      <c r="Y141" s="681"/>
      <c r="Z141" s="681"/>
    </row>
    <row r="142" spans="1:26" ht="22.5" customHeight="1" outlineLevel="1" x14ac:dyDescent="0.85">
      <c r="A142" s="662" t="s">
        <v>1584</v>
      </c>
      <c r="B142" s="662" t="s">
        <v>1598</v>
      </c>
      <c r="C142" s="662" t="s">
        <v>1599</v>
      </c>
      <c r="D142" s="662" t="s">
        <v>1617</v>
      </c>
      <c r="E142" s="662" t="s">
        <v>1618</v>
      </c>
      <c r="F142" s="662" t="s">
        <v>1586</v>
      </c>
      <c r="G142" s="662" t="s">
        <v>1595</v>
      </c>
      <c r="H142" s="676" t="s">
        <v>1619</v>
      </c>
      <c r="I142" s="682" t="s">
        <v>1620</v>
      </c>
      <c r="J142" s="653"/>
      <c r="K142" s="407"/>
      <c r="L142" s="407"/>
      <c r="M142" s="407"/>
      <c r="N142" s="407"/>
      <c r="O142" s="407"/>
      <c r="P142" s="407"/>
      <c r="Q142" s="407"/>
      <c r="R142" s="407"/>
      <c r="S142" s="407"/>
      <c r="T142" s="407"/>
      <c r="U142" s="407"/>
      <c r="V142" s="638"/>
      <c r="W142" s="638"/>
      <c r="X142" s="638"/>
      <c r="Y142" s="638"/>
      <c r="Z142" s="638"/>
    </row>
    <row r="143" spans="1:26" ht="22.5" customHeight="1" outlineLevel="1" x14ac:dyDescent="0.85">
      <c r="A143" s="689">
        <v>2021</v>
      </c>
      <c r="B143" s="690">
        <v>20819522.387271766</v>
      </c>
      <c r="C143" s="690">
        <v>51520.612728233224</v>
      </c>
      <c r="D143" s="690">
        <v>191.4077474020053</v>
      </c>
      <c r="E143" s="690">
        <v>21.269868088181124</v>
      </c>
      <c r="F143" s="690">
        <v>589269</v>
      </c>
      <c r="G143" s="690">
        <v>5134</v>
      </c>
      <c r="H143" s="207">
        <f>(D143+E143)*(G143/F143)</f>
        <v>1.8529515008028881</v>
      </c>
      <c r="I143" s="207">
        <f>H143*'Conversion Factors and GWP'!$C$32</f>
        <v>491.03214771276532</v>
      </c>
      <c r="J143" s="30"/>
      <c r="K143" s="30"/>
      <c r="L143" s="30"/>
      <c r="M143" s="30"/>
      <c r="N143" s="30"/>
      <c r="O143" s="30"/>
      <c r="P143" s="30"/>
      <c r="Q143" s="30"/>
      <c r="R143" s="30"/>
      <c r="S143" s="30"/>
      <c r="T143" s="30"/>
      <c r="U143" s="30"/>
      <c r="V143" s="15"/>
      <c r="W143" s="15"/>
      <c r="X143" s="15"/>
      <c r="Y143" s="15"/>
      <c r="Z143" s="15"/>
    </row>
    <row r="144" spans="1:26" ht="22.5" customHeight="1" x14ac:dyDescent="0.8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22.5" customHeight="1" x14ac:dyDescent="0.8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22.5" customHeight="1" x14ac:dyDescent="0.8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22.5" customHeight="1" x14ac:dyDescent="0.8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22.5" customHeight="1" x14ac:dyDescent="0.8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22.5" customHeight="1" x14ac:dyDescent="0.8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22.5" customHeight="1" x14ac:dyDescent="0.8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22.5" customHeight="1" x14ac:dyDescent="0.8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22.5" customHeight="1" x14ac:dyDescent="0.8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22.5" customHeight="1" x14ac:dyDescent="0.8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22.5" customHeight="1" x14ac:dyDescent="0.8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22.5" customHeight="1" x14ac:dyDescent="0.8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22.5" customHeight="1" x14ac:dyDescent="0.8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22.5" customHeight="1" x14ac:dyDescent="0.8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22.5" customHeight="1" x14ac:dyDescent="0.8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22.5" customHeight="1" x14ac:dyDescent="0.8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22.5" customHeight="1" x14ac:dyDescent="0.8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22.5" customHeight="1" x14ac:dyDescent="0.8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22.5" customHeight="1" x14ac:dyDescent="0.8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22.5" customHeight="1" x14ac:dyDescent="0.8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22.5" customHeight="1" x14ac:dyDescent="0.8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22.5" customHeight="1" x14ac:dyDescent="0.8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22.5" customHeight="1" x14ac:dyDescent="0.8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22.5" customHeight="1" x14ac:dyDescent="0.8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22.5" customHeight="1" x14ac:dyDescent="0.8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22.5" customHeight="1" x14ac:dyDescent="0.8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22.5" customHeight="1" x14ac:dyDescent="0.8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22.5" customHeight="1" x14ac:dyDescent="0.8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22.5" customHeight="1" x14ac:dyDescent="0.8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22.5" customHeight="1" x14ac:dyDescent="0.8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22.5" customHeight="1" x14ac:dyDescent="0.8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22.5" customHeight="1" x14ac:dyDescent="0.8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22.5" customHeight="1" x14ac:dyDescent="0.8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22.5" customHeight="1" x14ac:dyDescent="0.8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22.5" customHeight="1" x14ac:dyDescent="0.8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22.5" customHeight="1" x14ac:dyDescent="0.8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22.5" customHeight="1" x14ac:dyDescent="0.8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22.5" customHeight="1" x14ac:dyDescent="0.8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22.5" customHeight="1" x14ac:dyDescent="0.8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22.5" customHeight="1" x14ac:dyDescent="0.8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22.5" customHeight="1" x14ac:dyDescent="0.8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22.5" customHeight="1" x14ac:dyDescent="0.8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22.5" customHeight="1" x14ac:dyDescent="0.8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22.5" customHeight="1" x14ac:dyDescent="0.8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22.5" customHeight="1" x14ac:dyDescent="0.8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22.5" customHeight="1" x14ac:dyDescent="0.8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22.5" customHeight="1" x14ac:dyDescent="0.8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22.5" customHeight="1" x14ac:dyDescent="0.8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22.5" customHeight="1" x14ac:dyDescent="0.8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22.5" customHeight="1" x14ac:dyDescent="0.8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22.5" customHeight="1" x14ac:dyDescent="0.8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22.5" customHeight="1" x14ac:dyDescent="0.8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22.5" customHeight="1" x14ac:dyDescent="0.8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22.5" customHeight="1" x14ac:dyDescent="0.8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22.5" customHeight="1" x14ac:dyDescent="0.8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22.5" customHeight="1" x14ac:dyDescent="0.8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22.5" customHeight="1" x14ac:dyDescent="0.8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22.5" customHeight="1" x14ac:dyDescent="0.8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22.5" customHeight="1" x14ac:dyDescent="0.8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22.5" customHeight="1" x14ac:dyDescent="0.8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22.5" customHeight="1" x14ac:dyDescent="0.8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22.5" customHeight="1" x14ac:dyDescent="0.8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22.5" customHeight="1" x14ac:dyDescent="0.8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22.5" customHeight="1" x14ac:dyDescent="0.8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22.5" customHeight="1" x14ac:dyDescent="0.8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22.5" customHeight="1" x14ac:dyDescent="0.8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22.5" customHeight="1" x14ac:dyDescent="0.8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22.5" customHeight="1" x14ac:dyDescent="0.8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22.5" customHeight="1" x14ac:dyDescent="0.8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22.5" customHeight="1" x14ac:dyDescent="0.8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22.5" customHeight="1" x14ac:dyDescent="0.8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22.5" customHeight="1" x14ac:dyDescent="0.8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22.5" customHeight="1" x14ac:dyDescent="0.8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22.5" customHeight="1" x14ac:dyDescent="0.8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22.5" customHeight="1" x14ac:dyDescent="0.8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22.5" customHeight="1" x14ac:dyDescent="0.8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22.5" customHeight="1" x14ac:dyDescent="0.8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22.5" customHeight="1" x14ac:dyDescent="0.8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22.5" customHeight="1" x14ac:dyDescent="0.8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22.5" customHeight="1" x14ac:dyDescent="0.8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22.5" customHeight="1" x14ac:dyDescent="0.8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22.5" customHeight="1" x14ac:dyDescent="0.8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22.5" customHeight="1" x14ac:dyDescent="0.8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22.5" customHeight="1" x14ac:dyDescent="0.8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22.5" customHeight="1" x14ac:dyDescent="0.8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22.5" customHeight="1" x14ac:dyDescent="0.8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22.5" customHeight="1" x14ac:dyDescent="0.8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22.5" customHeight="1" x14ac:dyDescent="0.8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22.5" customHeight="1" x14ac:dyDescent="0.8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22.5" customHeight="1" x14ac:dyDescent="0.8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22.5" customHeight="1" x14ac:dyDescent="0.8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22.5" customHeight="1" x14ac:dyDescent="0.8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22.5" customHeight="1" x14ac:dyDescent="0.8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22.5" customHeight="1" x14ac:dyDescent="0.8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22.5" customHeight="1" x14ac:dyDescent="0.8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22.5" customHeight="1" x14ac:dyDescent="0.8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22.5" customHeight="1" x14ac:dyDescent="0.8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22.5" customHeight="1" x14ac:dyDescent="0.8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22.5" customHeight="1" x14ac:dyDescent="0.8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22.5" customHeight="1" x14ac:dyDescent="0.8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22.5" customHeight="1" x14ac:dyDescent="0.8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22.5" customHeight="1" x14ac:dyDescent="0.8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22.5" customHeight="1" x14ac:dyDescent="0.8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22.5" customHeight="1" x14ac:dyDescent="0.8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22.5" customHeight="1" x14ac:dyDescent="0.8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22.5" customHeight="1" x14ac:dyDescent="0.8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22.5" customHeight="1" x14ac:dyDescent="0.8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22.5" customHeight="1" x14ac:dyDescent="0.8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22.5" customHeight="1" x14ac:dyDescent="0.8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22.5" customHeight="1" x14ac:dyDescent="0.8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22.5" customHeight="1" x14ac:dyDescent="0.8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22.5" customHeight="1" x14ac:dyDescent="0.8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22.5" customHeight="1" x14ac:dyDescent="0.8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22.5" customHeight="1" x14ac:dyDescent="0.8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22.5" customHeight="1" x14ac:dyDescent="0.8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22.5" customHeight="1" x14ac:dyDescent="0.8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22.5" customHeight="1" x14ac:dyDescent="0.8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22.5" customHeight="1" x14ac:dyDescent="0.8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22.5" customHeight="1" x14ac:dyDescent="0.8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22.5" customHeight="1" x14ac:dyDescent="0.8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22.5" customHeight="1" x14ac:dyDescent="0.8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22.5" customHeight="1" x14ac:dyDescent="0.8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22.5" customHeight="1" x14ac:dyDescent="0.8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22.5" customHeight="1" x14ac:dyDescent="0.8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22.5" customHeight="1" x14ac:dyDescent="0.8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22.5" customHeight="1" x14ac:dyDescent="0.8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22.5" customHeight="1" x14ac:dyDescent="0.8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22.5" customHeight="1" x14ac:dyDescent="0.8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22.5" customHeight="1" x14ac:dyDescent="0.8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22.5" customHeight="1" x14ac:dyDescent="0.8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22.5" customHeight="1" x14ac:dyDescent="0.8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22.5" customHeight="1" x14ac:dyDescent="0.8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22.5" customHeight="1" x14ac:dyDescent="0.8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22.5" customHeight="1" x14ac:dyDescent="0.8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22.5" customHeight="1" x14ac:dyDescent="0.8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22.5" customHeight="1" x14ac:dyDescent="0.8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22.5" customHeight="1" x14ac:dyDescent="0.8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22.5" customHeight="1" x14ac:dyDescent="0.8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22.5" customHeight="1" x14ac:dyDescent="0.8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22.5" customHeight="1" x14ac:dyDescent="0.8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22.5" customHeight="1" x14ac:dyDescent="0.8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22.5" customHeight="1" x14ac:dyDescent="0.8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22.5" customHeight="1" x14ac:dyDescent="0.8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22.5" customHeight="1" x14ac:dyDescent="0.8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22.5" customHeight="1" x14ac:dyDescent="0.8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22.5" customHeight="1" x14ac:dyDescent="0.8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22.5" customHeight="1" x14ac:dyDescent="0.8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22.5" customHeight="1" x14ac:dyDescent="0.8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22.5" customHeight="1" x14ac:dyDescent="0.8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22.5" customHeight="1" x14ac:dyDescent="0.8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22.5" customHeight="1" x14ac:dyDescent="0.8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22.5" customHeight="1" x14ac:dyDescent="0.8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22.5" customHeight="1" x14ac:dyDescent="0.8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22.5" customHeight="1" x14ac:dyDescent="0.8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22.5" customHeight="1" x14ac:dyDescent="0.8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22.5" customHeight="1" x14ac:dyDescent="0.8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22.5" customHeight="1" x14ac:dyDescent="0.8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22.5" customHeight="1" x14ac:dyDescent="0.8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22.5" customHeight="1" x14ac:dyDescent="0.8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22.5" customHeight="1" x14ac:dyDescent="0.8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22.5" customHeight="1" x14ac:dyDescent="0.8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22.5" customHeight="1" x14ac:dyDescent="0.8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22.5" customHeight="1" x14ac:dyDescent="0.8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22.5" customHeight="1" x14ac:dyDescent="0.8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22.5" customHeight="1" x14ac:dyDescent="0.8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22.5" customHeight="1" x14ac:dyDescent="0.8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22.5" customHeight="1" x14ac:dyDescent="0.8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22.5" customHeight="1" x14ac:dyDescent="0.8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22.5" customHeight="1" x14ac:dyDescent="0.8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22.5" customHeight="1" x14ac:dyDescent="0.8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22.5" customHeight="1" x14ac:dyDescent="0.8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22.5" customHeight="1" x14ac:dyDescent="0.8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22.5" customHeight="1" x14ac:dyDescent="0.8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22.5" customHeight="1" x14ac:dyDescent="0.8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22.5" customHeight="1" x14ac:dyDescent="0.8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22.5" customHeight="1" x14ac:dyDescent="0.8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22.5" customHeight="1" x14ac:dyDescent="0.8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22.5" customHeight="1" x14ac:dyDescent="0.8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22.5" customHeight="1" x14ac:dyDescent="0.8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22.5" customHeight="1" x14ac:dyDescent="0.8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22.5" customHeight="1" x14ac:dyDescent="0.8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22.5" customHeight="1" x14ac:dyDescent="0.8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22.5" customHeight="1" x14ac:dyDescent="0.8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22.5" customHeight="1" x14ac:dyDescent="0.8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22.5" customHeight="1" x14ac:dyDescent="0.8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22.5" customHeight="1" x14ac:dyDescent="0.8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22.5" customHeight="1" x14ac:dyDescent="0.8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22.5" customHeight="1" x14ac:dyDescent="0.8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22.5" customHeight="1" x14ac:dyDescent="0.8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22.5" customHeight="1" x14ac:dyDescent="0.8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22.5" customHeight="1" x14ac:dyDescent="0.8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22.5" customHeight="1" x14ac:dyDescent="0.8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22.5" customHeight="1" x14ac:dyDescent="0.8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22.5" customHeight="1" x14ac:dyDescent="0.8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22.5" customHeight="1" x14ac:dyDescent="0.8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22.5" customHeight="1" x14ac:dyDescent="0.8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22.5" customHeight="1" x14ac:dyDescent="0.8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22.5" customHeight="1" x14ac:dyDescent="0.8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22.5" customHeight="1" x14ac:dyDescent="0.8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22.5" customHeight="1" x14ac:dyDescent="0.8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22.5" customHeight="1" x14ac:dyDescent="0.8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22.5" customHeight="1" x14ac:dyDescent="0.8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22.5" customHeight="1" x14ac:dyDescent="0.8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22.5" customHeight="1" x14ac:dyDescent="0.8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22.5" customHeight="1" x14ac:dyDescent="0.8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22.5" customHeight="1" x14ac:dyDescent="0.8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22.5" customHeight="1" x14ac:dyDescent="0.8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22.5" customHeight="1" x14ac:dyDescent="0.8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22.5" customHeight="1" x14ac:dyDescent="0.8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22.5" customHeight="1" x14ac:dyDescent="0.8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22.5" customHeight="1" x14ac:dyDescent="0.8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22.5" customHeight="1" x14ac:dyDescent="0.8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22.5" customHeight="1" x14ac:dyDescent="0.8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22.5" customHeight="1" x14ac:dyDescent="0.8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22.5" customHeight="1" x14ac:dyDescent="0.8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22.5" customHeight="1" x14ac:dyDescent="0.8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22.5" customHeight="1" x14ac:dyDescent="0.8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22.5" customHeight="1" x14ac:dyDescent="0.8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22.5" customHeight="1" x14ac:dyDescent="0.8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22.5" customHeight="1" x14ac:dyDescent="0.8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22.5" customHeight="1" x14ac:dyDescent="0.8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22.5" customHeight="1" x14ac:dyDescent="0.8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22.5" customHeight="1" x14ac:dyDescent="0.8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22.5" customHeight="1" x14ac:dyDescent="0.8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22.5" customHeight="1" x14ac:dyDescent="0.8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22.5" customHeight="1" x14ac:dyDescent="0.8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22.5" customHeight="1" x14ac:dyDescent="0.8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22.5" customHeight="1" x14ac:dyDescent="0.8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22.5" customHeight="1" x14ac:dyDescent="0.8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22.5" customHeight="1" x14ac:dyDescent="0.8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22.5" customHeight="1" x14ac:dyDescent="0.8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22.5" customHeight="1" x14ac:dyDescent="0.8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22.5" customHeight="1" x14ac:dyDescent="0.8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22.5" customHeight="1" x14ac:dyDescent="0.8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22.5" customHeight="1" x14ac:dyDescent="0.8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22.5" customHeight="1" x14ac:dyDescent="0.8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22.5" customHeight="1" x14ac:dyDescent="0.8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22.5" customHeight="1" x14ac:dyDescent="0.8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22.5" customHeight="1" x14ac:dyDescent="0.8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22.5" customHeight="1" x14ac:dyDescent="0.8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22.5" customHeight="1" x14ac:dyDescent="0.8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22.5" customHeight="1" x14ac:dyDescent="0.8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22.5" customHeight="1" x14ac:dyDescent="0.8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22.5" customHeight="1" x14ac:dyDescent="0.8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22.5" customHeight="1" x14ac:dyDescent="0.8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22.5" customHeight="1" x14ac:dyDescent="0.8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22.5" customHeight="1" x14ac:dyDescent="0.8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22.5" customHeight="1" x14ac:dyDescent="0.8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22.5" customHeight="1" x14ac:dyDescent="0.8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22.5" customHeight="1" x14ac:dyDescent="0.8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22.5" customHeight="1" x14ac:dyDescent="0.8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22.5" customHeight="1" x14ac:dyDescent="0.8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22.5" customHeight="1" x14ac:dyDescent="0.8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22.5" customHeight="1" x14ac:dyDescent="0.8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22.5" customHeight="1" x14ac:dyDescent="0.8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22.5" customHeight="1" x14ac:dyDescent="0.8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22.5" customHeight="1" x14ac:dyDescent="0.8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22.5" customHeight="1" x14ac:dyDescent="0.8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22.5" customHeight="1" x14ac:dyDescent="0.8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22.5" customHeight="1" x14ac:dyDescent="0.8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22.5" customHeight="1" x14ac:dyDescent="0.8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22.5" customHeight="1" x14ac:dyDescent="0.8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22.5" customHeight="1" x14ac:dyDescent="0.8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22.5" customHeight="1" x14ac:dyDescent="0.8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22.5" customHeight="1" x14ac:dyDescent="0.8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22.5" customHeight="1" x14ac:dyDescent="0.8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22.5" customHeight="1" x14ac:dyDescent="0.8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22.5" customHeight="1" x14ac:dyDescent="0.8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22.5" customHeight="1" x14ac:dyDescent="0.8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22.5" customHeight="1" x14ac:dyDescent="0.8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22.5" customHeight="1" x14ac:dyDescent="0.8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22.5" customHeight="1" x14ac:dyDescent="0.8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22.5" customHeight="1" x14ac:dyDescent="0.8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22.5" customHeight="1" x14ac:dyDescent="0.8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22.5" customHeight="1" x14ac:dyDescent="0.8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22.5" customHeight="1" x14ac:dyDescent="0.8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22.5" customHeight="1" x14ac:dyDescent="0.8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22.5" customHeight="1" x14ac:dyDescent="0.8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22.5" customHeight="1" x14ac:dyDescent="0.8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22.5" customHeight="1" x14ac:dyDescent="0.8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22.5" customHeight="1" x14ac:dyDescent="0.8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22.5" customHeight="1" x14ac:dyDescent="0.8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22.5" customHeight="1" x14ac:dyDescent="0.8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22.5" customHeight="1" x14ac:dyDescent="0.8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22.5" customHeight="1" x14ac:dyDescent="0.8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22.5" customHeight="1" x14ac:dyDescent="0.8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22.5" customHeight="1" x14ac:dyDescent="0.8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22.5" customHeight="1" x14ac:dyDescent="0.8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22.5" customHeight="1" x14ac:dyDescent="0.8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22.5" customHeight="1" x14ac:dyDescent="0.8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22.5" customHeight="1" x14ac:dyDescent="0.8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22.5" customHeight="1" x14ac:dyDescent="0.8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22.5" customHeight="1" x14ac:dyDescent="0.8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22.5" customHeight="1" x14ac:dyDescent="0.8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22.5" customHeight="1" x14ac:dyDescent="0.8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22.5" customHeight="1" x14ac:dyDescent="0.8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22.5" customHeight="1" x14ac:dyDescent="0.8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22.5" customHeight="1" x14ac:dyDescent="0.8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22.5" customHeight="1" x14ac:dyDescent="0.8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22.5" customHeight="1" x14ac:dyDescent="0.8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22.5" customHeight="1" x14ac:dyDescent="0.8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22.5" customHeight="1" x14ac:dyDescent="0.8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22.5" customHeight="1" x14ac:dyDescent="0.8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22.5" customHeight="1" x14ac:dyDescent="0.8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22.5" customHeight="1" x14ac:dyDescent="0.8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22.5" customHeight="1" x14ac:dyDescent="0.8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22.5" customHeight="1" x14ac:dyDescent="0.8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22.5" customHeight="1" x14ac:dyDescent="0.8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22.5" customHeight="1" x14ac:dyDescent="0.8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22.5" customHeight="1" x14ac:dyDescent="0.8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22.5" customHeight="1" x14ac:dyDescent="0.8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22.5" customHeight="1" x14ac:dyDescent="0.8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22.5" customHeight="1" x14ac:dyDescent="0.8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22.5" customHeight="1" x14ac:dyDescent="0.8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22.5" customHeight="1" x14ac:dyDescent="0.8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22.5" customHeight="1" x14ac:dyDescent="0.8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22.5" customHeight="1" x14ac:dyDescent="0.8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22.5" customHeight="1" x14ac:dyDescent="0.8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22.5" customHeight="1" x14ac:dyDescent="0.8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22.5" customHeight="1" x14ac:dyDescent="0.8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22.5" customHeight="1" x14ac:dyDescent="0.8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22.5" customHeight="1" x14ac:dyDescent="0.8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22.5" customHeight="1" x14ac:dyDescent="0.8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22.5" customHeight="1" x14ac:dyDescent="0.8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22.5" customHeight="1" x14ac:dyDescent="0.8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22.5" customHeight="1" x14ac:dyDescent="0.8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22.5" customHeight="1" x14ac:dyDescent="0.8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22.5" customHeight="1" x14ac:dyDescent="0.8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22.5" customHeight="1" x14ac:dyDescent="0.8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22.5" customHeight="1" x14ac:dyDescent="0.8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22.5" customHeight="1" x14ac:dyDescent="0.8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22.5" customHeight="1" x14ac:dyDescent="0.8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22.5" customHeight="1" x14ac:dyDescent="0.8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22.5" customHeight="1" x14ac:dyDescent="0.8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22.5" customHeight="1" x14ac:dyDescent="0.8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22.5" customHeight="1" x14ac:dyDescent="0.8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22.5" customHeight="1" x14ac:dyDescent="0.8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22.5" customHeight="1" x14ac:dyDescent="0.8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22.5" customHeight="1" x14ac:dyDescent="0.8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22.5" customHeight="1" x14ac:dyDescent="0.8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22.5" customHeight="1" x14ac:dyDescent="0.8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22.5" customHeight="1" x14ac:dyDescent="0.8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22.5" customHeight="1" x14ac:dyDescent="0.8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22.5" customHeight="1" x14ac:dyDescent="0.8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22.5" customHeight="1" x14ac:dyDescent="0.8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22.5" customHeight="1" x14ac:dyDescent="0.8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22.5" customHeight="1" x14ac:dyDescent="0.8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22.5" customHeight="1" x14ac:dyDescent="0.8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22.5" customHeight="1" x14ac:dyDescent="0.8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22.5" customHeight="1" x14ac:dyDescent="0.8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22.5" customHeight="1" x14ac:dyDescent="0.8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22.5" customHeight="1" x14ac:dyDescent="0.8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22.5" customHeight="1" x14ac:dyDescent="0.8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22.5" customHeight="1" x14ac:dyDescent="0.8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22.5" customHeight="1" x14ac:dyDescent="0.8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22.5" customHeight="1" x14ac:dyDescent="0.8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22.5" customHeight="1" x14ac:dyDescent="0.8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22.5" customHeight="1" x14ac:dyDescent="0.8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22.5" customHeight="1" x14ac:dyDescent="0.8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22.5" customHeight="1" x14ac:dyDescent="0.8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22.5" customHeight="1" x14ac:dyDescent="0.8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22.5" customHeight="1" x14ac:dyDescent="0.8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22.5" customHeight="1" x14ac:dyDescent="0.8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22.5" customHeight="1" x14ac:dyDescent="0.8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22.5" customHeight="1" x14ac:dyDescent="0.8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22.5" customHeight="1" x14ac:dyDescent="0.8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22.5" customHeight="1" x14ac:dyDescent="0.8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22.5" customHeight="1" x14ac:dyDescent="0.8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22.5" customHeight="1" x14ac:dyDescent="0.8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22.5" customHeight="1" x14ac:dyDescent="0.8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22.5" customHeight="1" x14ac:dyDescent="0.8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22.5" customHeight="1" x14ac:dyDescent="0.8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22.5" customHeight="1" x14ac:dyDescent="0.8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22.5" customHeight="1" x14ac:dyDescent="0.8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22.5" customHeight="1" x14ac:dyDescent="0.8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22.5" customHeight="1" x14ac:dyDescent="0.8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22.5" customHeight="1" x14ac:dyDescent="0.8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22.5" customHeight="1" x14ac:dyDescent="0.8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22.5" customHeight="1" x14ac:dyDescent="0.8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22.5" customHeight="1" x14ac:dyDescent="0.8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22.5" customHeight="1" x14ac:dyDescent="0.8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22.5" customHeight="1" x14ac:dyDescent="0.8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22.5" customHeight="1" x14ac:dyDescent="0.8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22.5" customHeight="1" x14ac:dyDescent="0.8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22.5" customHeight="1" x14ac:dyDescent="0.8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22.5" customHeight="1" x14ac:dyDescent="0.8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22.5" customHeight="1" x14ac:dyDescent="0.8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22.5" customHeight="1" x14ac:dyDescent="0.8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22.5" customHeight="1" x14ac:dyDescent="0.8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22.5" customHeight="1" x14ac:dyDescent="0.8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22.5" customHeight="1" x14ac:dyDescent="0.8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22.5" customHeight="1" x14ac:dyDescent="0.8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22.5" customHeight="1" x14ac:dyDescent="0.8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22.5" customHeight="1" x14ac:dyDescent="0.8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22.5" customHeight="1" x14ac:dyDescent="0.8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22.5" customHeight="1" x14ac:dyDescent="0.8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22.5" customHeight="1" x14ac:dyDescent="0.8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22.5" customHeight="1" x14ac:dyDescent="0.8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22.5" customHeight="1" x14ac:dyDescent="0.8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22.5" customHeight="1" x14ac:dyDescent="0.8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22.5" customHeight="1" x14ac:dyDescent="0.8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22.5" customHeight="1" x14ac:dyDescent="0.8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22.5" customHeight="1" x14ac:dyDescent="0.8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22.5" customHeight="1" x14ac:dyDescent="0.8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22.5" customHeight="1" x14ac:dyDescent="0.8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22.5" customHeight="1" x14ac:dyDescent="0.8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22.5" customHeight="1" x14ac:dyDescent="0.8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22.5" customHeight="1" x14ac:dyDescent="0.8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22.5" customHeight="1" x14ac:dyDescent="0.8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22.5" customHeight="1" x14ac:dyDescent="0.8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22.5" customHeight="1" x14ac:dyDescent="0.8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22.5" customHeight="1" x14ac:dyDescent="0.8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22.5" customHeight="1" x14ac:dyDescent="0.8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22.5" customHeight="1" x14ac:dyDescent="0.8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22.5" customHeight="1" x14ac:dyDescent="0.8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22.5" customHeight="1" x14ac:dyDescent="0.8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22.5" customHeight="1" x14ac:dyDescent="0.8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22.5" customHeight="1" x14ac:dyDescent="0.8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22.5" customHeight="1" x14ac:dyDescent="0.8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22.5" customHeight="1" x14ac:dyDescent="0.8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22.5" customHeight="1" x14ac:dyDescent="0.8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22.5" customHeight="1" x14ac:dyDescent="0.8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22.5" customHeight="1" x14ac:dyDescent="0.8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22.5" customHeight="1" x14ac:dyDescent="0.8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22.5" customHeight="1" x14ac:dyDescent="0.8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22.5" customHeight="1" x14ac:dyDescent="0.8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22.5" customHeight="1" x14ac:dyDescent="0.8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22.5" customHeight="1" x14ac:dyDescent="0.8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22.5" customHeight="1" x14ac:dyDescent="0.8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22.5" customHeight="1" x14ac:dyDescent="0.8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22.5" customHeight="1" x14ac:dyDescent="0.8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22.5" customHeight="1" x14ac:dyDescent="0.8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22.5" customHeight="1" x14ac:dyDescent="0.8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22.5" customHeight="1" x14ac:dyDescent="0.8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22.5" customHeight="1" x14ac:dyDescent="0.8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22.5" customHeight="1" x14ac:dyDescent="0.8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22.5" customHeight="1" x14ac:dyDescent="0.8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22.5" customHeight="1" x14ac:dyDescent="0.8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22.5" customHeight="1" x14ac:dyDescent="0.8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22.5" customHeight="1" x14ac:dyDescent="0.8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22.5" customHeight="1" x14ac:dyDescent="0.8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22.5" customHeight="1" x14ac:dyDescent="0.8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22.5" customHeight="1" x14ac:dyDescent="0.8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22.5" customHeight="1" x14ac:dyDescent="0.8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22.5" customHeight="1" x14ac:dyDescent="0.8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22.5" customHeight="1" x14ac:dyDescent="0.8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22.5" customHeight="1" x14ac:dyDescent="0.8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22.5" customHeight="1" x14ac:dyDescent="0.8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22.5" customHeight="1" x14ac:dyDescent="0.8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22.5" customHeight="1" x14ac:dyDescent="0.8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22.5" customHeight="1" x14ac:dyDescent="0.8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22.5" customHeight="1" x14ac:dyDescent="0.8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22.5" customHeight="1" x14ac:dyDescent="0.8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22.5" customHeight="1" x14ac:dyDescent="0.8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22.5" customHeight="1" x14ac:dyDescent="0.8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22.5" customHeight="1" x14ac:dyDescent="0.8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22.5" customHeight="1" x14ac:dyDescent="0.8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22.5" customHeight="1" x14ac:dyDescent="0.8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22.5" customHeight="1" x14ac:dyDescent="0.8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22.5" customHeight="1" x14ac:dyDescent="0.8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22.5" customHeight="1" x14ac:dyDescent="0.8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22.5" customHeight="1" x14ac:dyDescent="0.8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22.5" customHeight="1" x14ac:dyDescent="0.8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22.5" customHeight="1" x14ac:dyDescent="0.8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22.5" customHeight="1" x14ac:dyDescent="0.8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22.5" customHeight="1" x14ac:dyDescent="0.8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22.5" customHeight="1" x14ac:dyDescent="0.8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22.5" customHeight="1" x14ac:dyDescent="0.8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22.5" customHeight="1" x14ac:dyDescent="0.8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22.5" customHeight="1" x14ac:dyDescent="0.8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22.5" customHeight="1" x14ac:dyDescent="0.8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22.5" customHeight="1" x14ac:dyDescent="0.8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22.5" customHeight="1" x14ac:dyDescent="0.8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22.5" customHeight="1" x14ac:dyDescent="0.8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22.5" customHeight="1" x14ac:dyDescent="0.8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22.5" customHeight="1" x14ac:dyDescent="0.8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22.5" customHeight="1" x14ac:dyDescent="0.8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22.5" customHeight="1" x14ac:dyDescent="0.8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22.5" customHeight="1" x14ac:dyDescent="0.8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22.5" customHeight="1" x14ac:dyDescent="0.8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22.5" customHeight="1" x14ac:dyDescent="0.8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22.5" customHeight="1" x14ac:dyDescent="0.8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22.5" customHeight="1" x14ac:dyDescent="0.8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22.5" customHeight="1" x14ac:dyDescent="0.8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22.5" customHeight="1" x14ac:dyDescent="0.8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22.5" customHeight="1" x14ac:dyDescent="0.8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22.5" customHeight="1" x14ac:dyDescent="0.8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22.5" customHeight="1" x14ac:dyDescent="0.8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22.5" customHeight="1" x14ac:dyDescent="0.8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22.5" customHeight="1" x14ac:dyDescent="0.8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22.5" customHeight="1" x14ac:dyDescent="0.8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22.5" customHeight="1" x14ac:dyDescent="0.8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22.5" customHeight="1" x14ac:dyDescent="0.8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22.5" customHeight="1" x14ac:dyDescent="0.8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22.5" customHeight="1" x14ac:dyDescent="0.8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22.5" customHeight="1" x14ac:dyDescent="0.8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22.5" customHeight="1" x14ac:dyDescent="0.8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22.5" customHeight="1" x14ac:dyDescent="0.8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22.5" customHeight="1" x14ac:dyDescent="0.8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22.5" customHeight="1" x14ac:dyDescent="0.8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22.5" customHeight="1" x14ac:dyDescent="0.8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22.5" customHeight="1" x14ac:dyDescent="0.8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22.5" customHeight="1" x14ac:dyDescent="0.8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22.5" customHeight="1" x14ac:dyDescent="0.8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22.5" customHeight="1" x14ac:dyDescent="0.8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22.5" customHeight="1" x14ac:dyDescent="0.8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22.5" customHeight="1" x14ac:dyDescent="0.8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22.5" customHeight="1" x14ac:dyDescent="0.8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22.5" customHeight="1" x14ac:dyDescent="0.8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22.5" customHeight="1" x14ac:dyDescent="0.8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22.5" customHeight="1" x14ac:dyDescent="0.8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22.5" customHeight="1" x14ac:dyDescent="0.8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22.5" customHeight="1" x14ac:dyDescent="0.8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22.5" customHeight="1" x14ac:dyDescent="0.8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22.5" customHeight="1" x14ac:dyDescent="0.8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22.5" customHeight="1" x14ac:dyDescent="0.8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22.5" customHeight="1" x14ac:dyDescent="0.8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22.5" customHeight="1" x14ac:dyDescent="0.8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22.5" customHeight="1" x14ac:dyDescent="0.8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22.5" customHeight="1" x14ac:dyDescent="0.8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22.5" customHeight="1" x14ac:dyDescent="0.8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22.5" customHeight="1" x14ac:dyDescent="0.8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22.5" customHeight="1" x14ac:dyDescent="0.8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22.5" customHeight="1" x14ac:dyDescent="0.8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22.5" customHeight="1" x14ac:dyDescent="0.8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22.5" customHeight="1" x14ac:dyDescent="0.8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22.5" customHeight="1" x14ac:dyDescent="0.8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22.5" customHeight="1" x14ac:dyDescent="0.8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22.5" customHeight="1" x14ac:dyDescent="0.8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22.5" customHeight="1" x14ac:dyDescent="0.8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22.5" customHeight="1" x14ac:dyDescent="0.8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22.5" customHeight="1" x14ac:dyDescent="0.8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22.5" customHeight="1" x14ac:dyDescent="0.8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22.5" customHeight="1" x14ac:dyDescent="0.8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22.5" customHeight="1" x14ac:dyDescent="0.8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22.5" customHeight="1" x14ac:dyDescent="0.8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22.5" customHeight="1" x14ac:dyDescent="0.8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22.5" customHeight="1" x14ac:dyDescent="0.8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22.5" customHeight="1" x14ac:dyDescent="0.8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22.5" customHeight="1" x14ac:dyDescent="0.8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22.5" customHeight="1" x14ac:dyDescent="0.8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22.5" customHeight="1" x14ac:dyDescent="0.8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22.5" customHeight="1" x14ac:dyDescent="0.8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22.5" customHeight="1" x14ac:dyDescent="0.8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22.5" customHeight="1" x14ac:dyDescent="0.8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22.5" customHeight="1" x14ac:dyDescent="0.8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22.5" customHeight="1" x14ac:dyDescent="0.8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22.5" customHeight="1" x14ac:dyDescent="0.8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22.5" customHeight="1" x14ac:dyDescent="0.8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22.5" customHeight="1" x14ac:dyDescent="0.8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22.5" customHeight="1" x14ac:dyDescent="0.8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22.5" customHeight="1" x14ac:dyDescent="0.8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22.5" customHeight="1" x14ac:dyDescent="0.8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22.5" customHeight="1" x14ac:dyDescent="0.8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22.5" customHeight="1" x14ac:dyDescent="0.8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22.5" customHeight="1" x14ac:dyDescent="0.8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22.5" customHeight="1" x14ac:dyDescent="0.8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22.5" customHeight="1" x14ac:dyDescent="0.8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22.5" customHeight="1" x14ac:dyDescent="0.8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22.5" customHeight="1" x14ac:dyDescent="0.8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22.5" customHeight="1" x14ac:dyDescent="0.8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22.5" customHeight="1" x14ac:dyDescent="0.8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22.5" customHeight="1" x14ac:dyDescent="0.8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22.5" customHeight="1" x14ac:dyDescent="0.8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22.5" customHeight="1" x14ac:dyDescent="0.8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22.5" customHeight="1" x14ac:dyDescent="0.8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22.5" customHeight="1" x14ac:dyDescent="0.8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22.5" customHeight="1" x14ac:dyDescent="0.8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22.5" customHeight="1" x14ac:dyDescent="0.8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22.5" customHeight="1" x14ac:dyDescent="0.8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22.5" customHeight="1" x14ac:dyDescent="0.8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22.5" customHeight="1" x14ac:dyDescent="0.8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22.5" customHeight="1" x14ac:dyDescent="0.8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22.5" customHeight="1" x14ac:dyDescent="0.8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22.5" customHeight="1" x14ac:dyDescent="0.8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22.5" customHeight="1" x14ac:dyDescent="0.8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22.5" customHeight="1" x14ac:dyDescent="0.8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22.5" customHeight="1" x14ac:dyDescent="0.8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22.5" customHeight="1" x14ac:dyDescent="0.8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22.5" customHeight="1" x14ac:dyDescent="0.8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22.5" customHeight="1" x14ac:dyDescent="0.8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22.5" customHeight="1" x14ac:dyDescent="0.8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22.5" customHeight="1" x14ac:dyDescent="0.8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22.5" customHeight="1" x14ac:dyDescent="0.8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22.5" customHeight="1" x14ac:dyDescent="0.8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22.5" customHeight="1" x14ac:dyDescent="0.8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22.5" customHeight="1" x14ac:dyDescent="0.8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22.5" customHeight="1" x14ac:dyDescent="0.8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22.5" customHeight="1" x14ac:dyDescent="0.8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22.5" customHeight="1" x14ac:dyDescent="0.8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22.5" customHeight="1" x14ac:dyDescent="0.8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22.5" customHeight="1" x14ac:dyDescent="0.8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22.5" customHeight="1" x14ac:dyDescent="0.8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22.5" customHeight="1" x14ac:dyDescent="0.8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22.5" customHeight="1" x14ac:dyDescent="0.8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22.5" customHeight="1" x14ac:dyDescent="0.8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22.5" customHeight="1" x14ac:dyDescent="0.8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22.5" customHeight="1" x14ac:dyDescent="0.8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22.5" customHeight="1" x14ac:dyDescent="0.8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22.5" customHeight="1" x14ac:dyDescent="0.8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22.5" customHeight="1" x14ac:dyDescent="0.8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22.5" customHeight="1" x14ac:dyDescent="0.8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22.5" customHeight="1" x14ac:dyDescent="0.8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22.5" customHeight="1" x14ac:dyDescent="0.8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22.5" customHeight="1" x14ac:dyDescent="0.8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22.5" customHeight="1" x14ac:dyDescent="0.8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22.5" customHeight="1" x14ac:dyDescent="0.8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22.5" customHeight="1" x14ac:dyDescent="0.8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22.5" customHeight="1" x14ac:dyDescent="0.8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22.5" customHeight="1" x14ac:dyDescent="0.8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22.5" customHeight="1" x14ac:dyDescent="0.8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22.5" customHeight="1" x14ac:dyDescent="0.8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22.5" customHeight="1" x14ac:dyDescent="0.8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22.5" customHeight="1" x14ac:dyDescent="0.8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22.5" customHeight="1" x14ac:dyDescent="0.8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22.5" customHeight="1" x14ac:dyDescent="0.8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22.5" customHeight="1" x14ac:dyDescent="0.8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22.5" customHeight="1" x14ac:dyDescent="0.8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22.5" customHeight="1" x14ac:dyDescent="0.8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22.5" customHeight="1" x14ac:dyDescent="0.8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22.5" customHeight="1" x14ac:dyDescent="0.8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22.5" customHeight="1" x14ac:dyDescent="0.8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22.5" customHeight="1" x14ac:dyDescent="0.8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22.5" customHeight="1" x14ac:dyDescent="0.8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22.5" customHeight="1" x14ac:dyDescent="0.8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22.5" customHeight="1" x14ac:dyDescent="0.8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22.5" customHeight="1" x14ac:dyDescent="0.8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22.5" customHeight="1" x14ac:dyDescent="0.8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22.5" customHeight="1" x14ac:dyDescent="0.8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22.5" customHeight="1" x14ac:dyDescent="0.8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22.5" customHeight="1" x14ac:dyDescent="0.8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22.5" customHeight="1" x14ac:dyDescent="0.8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22.5" customHeight="1" x14ac:dyDescent="0.8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22.5" customHeight="1" x14ac:dyDescent="0.8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22.5" customHeight="1" x14ac:dyDescent="0.8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22.5" customHeight="1" x14ac:dyDescent="0.8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22.5" customHeight="1" x14ac:dyDescent="0.8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22.5" customHeight="1" x14ac:dyDescent="0.8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22.5" customHeight="1" x14ac:dyDescent="0.8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22.5" customHeight="1" x14ac:dyDescent="0.8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22.5" customHeight="1" x14ac:dyDescent="0.8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22.5" customHeight="1" x14ac:dyDescent="0.8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22.5" customHeight="1" x14ac:dyDescent="0.8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22.5" customHeight="1" x14ac:dyDescent="0.8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22.5" customHeight="1" x14ac:dyDescent="0.8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22.5" customHeight="1" x14ac:dyDescent="0.8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22.5" customHeight="1" x14ac:dyDescent="0.8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22.5" customHeight="1" x14ac:dyDescent="0.8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22.5" customHeight="1" x14ac:dyDescent="0.8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22.5" customHeight="1" x14ac:dyDescent="0.8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22.5" customHeight="1" x14ac:dyDescent="0.8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22.5" customHeight="1" x14ac:dyDescent="0.8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22.5" customHeight="1" x14ac:dyDescent="0.8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22.5" customHeight="1" x14ac:dyDescent="0.8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22.5" customHeight="1" x14ac:dyDescent="0.8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22.5" customHeight="1" x14ac:dyDescent="0.8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22.5" customHeight="1" x14ac:dyDescent="0.8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22.5" customHeight="1" x14ac:dyDescent="0.8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22.5" customHeight="1" x14ac:dyDescent="0.8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22.5" customHeight="1" x14ac:dyDescent="0.8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22.5" customHeight="1" x14ac:dyDescent="0.8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22.5" customHeight="1" x14ac:dyDescent="0.8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22.5" customHeight="1" x14ac:dyDescent="0.8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22.5" customHeight="1" x14ac:dyDescent="0.8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22.5" customHeight="1" x14ac:dyDescent="0.8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22.5" customHeight="1" x14ac:dyDescent="0.8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22.5" customHeight="1" x14ac:dyDescent="0.8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22.5" customHeight="1" x14ac:dyDescent="0.8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22.5" customHeight="1" x14ac:dyDescent="0.8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22.5" customHeight="1" x14ac:dyDescent="0.8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22.5" customHeight="1" x14ac:dyDescent="0.8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22.5" customHeight="1" x14ac:dyDescent="0.8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22.5" customHeight="1" x14ac:dyDescent="0.8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22.5" customHeight="1" x14ac:dyDescent="0.8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22.5" customHeight="1" x14ac:dyDescent="0.8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22.5" customHeight="1" x14ac:dyDescent="0.8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22.5" customHeight="1" x14ac:dyDescent="0.8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22.5" customHeight="1" x14ac:dyDescent="0.8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22.5" customHeight="1" x14ac:dyDescent="0.8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22.5" customHeight="1" x14ac:dyDescent="0.8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22.5" customHeight="1" x14ac:dyDescent="0.8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22.5" customHeight="1" x14ac:dyDescent="0.8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22.5" customHeight="1" x14ac:dyDescent="0.8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22.5" customHeight="1" x14ac:dyDescent="0.8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22.5" customHeight="1" x14ac:dyDescent="0.8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22.5" customHeight="1" x14ac:dyDescent="0.8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22.5" customHeight="1" x14ac:dyDescent="0.8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22.5" customHeight="1" x14ac:dyDescent="0.8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22.5" customHeight="1" x14ac:dyDescent="0.8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22.5" customHeight="1" x14ac:dyDescent="0.8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22.5" customHeight="1" x14ac:dyDescent="0.8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22.5" customHeight="1" x14ac:dyDescent="0.8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22.5" customHeight="1" x14ac:dyDescent="0.8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22.5" customHeight="1" x14ac:dyDescent="0.8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22.5" customHeight="1" x14ac:dyDescent="0.8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22.5" customHeight="1" x14ac:dyDescent="0.8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22.5" customHeight="1" x14ac:dyDescent="0.8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22.5" customHeight="1" x14ac:dyDescent="0.8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22.5" customHeight="1" x14ac:dyDescent="0.8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22.5" customHeight="1" x14ac:dyDescent="0.8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22.5" customHeight="1" x14ac:dyDescent="0.8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22.5" customHeight="1" x14ac:dyDescent="0.8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22.5" customHeight="1" x14ac:dyDescent="0.8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22.5" customHeight="1" x14ac:dyDescent="0.8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22.5" customHeight="1" x14ac:dyDescent="0.8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22.5" customHeight="1" x14ac:dyDescent="0.8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22.5" customHeight="1" x14ac:dyDescent="0.8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22.5" customHeight="1" x14ac:dyDescent="0.8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22.5" customHeight="1" x14ac:dyDescent="0.8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22.5" customHeight="1" x14ac:dyDescent="0.8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22.5" customHeight="1" x14ac:dyDescent="0.8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22.5" customHeight="1" x14ac:dyDescent="0.8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22.5" customHeight="1" x14ac:dyDescent="0.8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22.5" customHeight="1" x14ac:dyDescent="0.8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22.5" customHeight="1" x14ac:dyDescent="0.8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22.5" customHeight="1" x14ac:dyDescent="0.8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22.5" customHeight="1" x14ac:dyDescent="0.8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22.5" customHeight="1" x14ac:dyDescent="0.8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22.5" customHeight="1" x14ac:dyDescent="0.8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22.5" customHeight="1" x14ac:dyDescent="0.8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22.5" customHeight="1" x14ac:dyDescent="0.8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22.5" customHeight="1" x14ac:dyDescent="0.8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22.5" customHeight="1" x14ac:dyDescent="0.8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22.5" customHeight="1" x14ac:dyDescent="0.8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22.5" customHeight="1" x14ac:dyDescent="0.8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22.5" customHeight="1" x14ac:dyDescent="0.8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22.5" customHeight="1" x14ac:dyDescent="0.8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22.5" customHeight="1" x14ac:dyDescent="0.8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22.5" customHeight="1" x14ac:dyDescent="0.8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22.5" customHeight="1" x14ac:dyDescent="0.8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22.5" customHeight="1" x14ac:dyDescent="0.8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22.5" customHeight="1" x14ac:dyDescent="0.8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22.5" customHeight="1" x14ac:dyDescent="0.8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22.5" customHeight="1" x14ac:dyDescent="0.8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22.5" customHeight="1" x14ac:dyDescent="0.8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22.5" customHeight="1" x14ac:dyDescent="0.8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22.5" customHeight="1" x14ac:dyDescent="0.8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22.5" customHeight="1" x14ac:dyDescent="0.8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22.5" customHeight="1" x14ac:dyDescent="0.8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22.5" customHeight="1" x14ac:dyDescent="0.8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22.5" customHeight="1" x14ac:dyDescent="0.8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22.5" customHeight="1" x14ac:dyDescent="0.8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22.5" customHeight="1" x14ac:dyDescent="0.8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22.5" customHeight="1" x14ac:dyDescent="0.8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22.5" customHeight="1" x14ac:dyDescent="0.8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22.5" customHeight="1" x14ac:dyDescent="0.8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22.5" customHeight="1" x14ac:dyDescent="0.8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22.5" customHeight="1" x14ac:dyDescent="0.8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22.5" customHeight="1" x14ac:dyDescent="0.8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22.5" customHeight="1" x14ac:dyDescent="0.8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22.5" customHeight="1" x14ac:dyDescent="0.8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22.5" customHeight="1" x14ac:dyDescent="0.8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22.5" customHeight="1" x14ac:dyDescent="0.8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22.5" customHeight="1" x14ac:dyDescent="0.8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22.5" customHeight="1" x14ac:dyDescent="0.8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22.5" customHeight="1" x14ac:dyDescent="0.8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22.5" customHeight="1" x14ac:dyDescent="0.8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22.5" customHeight="1" x14ac:dyDescent="0.8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22.5" customHeight="1" x14ac:dyDescent="0.8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22.5" customHeight="1" x14ac:dyDescent="0.8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22.5" customHeight="1" x14ac:dyDescent="0.8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22.5" customHeight="1" x14ac:dyDescent="0.8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22.5" customHeight="1" x14ac:dyDescent="0.8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22.5" customHeight="1" x14ac:dyDescent="0.8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22.5" customHeight="1" x14ac:dyDescent="0.8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22.5" customHeight="1" x14ac:dyDescent="0.8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22.5" customHeight="1" x14ac:dyDescent="0.8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22.5" customHeight="1" x14ac:dyDescent="0.8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22.5" customHeight="1" x14ac:dyDescent="0.8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22.5" customHeight="1" x14ac:dyDescent="0.8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22.5" customHeight="1" x14ac:dyDescent="0.8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22.5" customHeight="1" x14ac:dyDescent="0.8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22.5" customHeight="1" x14ac:dyDescent="0.8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22.5" customHeight="1" x14ac:dyDescent="0.8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22.5" customHeight="1" x14ac:dyDescent="0.8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22.5" customHeight="1" x14ac:dyDescent="0.8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22.5" customHeight="1" x14ac:dyDescent="0.8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22.5" customHeight="1" x14ac:dyDescent="0.8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22.5" customHeight="1" x14ac:dyDescent="0.8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22.5" customHeight="1" x14ac:dyDescent="0.8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22.5" customHeight="1" x14ac:dyDescent="0.8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22.5" customHeight="1" x14ac:dyDescent="0.8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22.5" customHeight="1" x14ac:dyDescent="0.8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22.5" customHeight="1" x14ac:dyDescent="0.8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22.5" customHeight="1" x14ac:dyDescent="0.8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22.5" customHeight="1" x14ac:dyDescent="0.8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22.5" customHeight="1" x14ac:dyDescent="0.8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22.5" customHeight="1" x14ac:dyDescent="0.8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22.5" customHeight="1" x14ac:dyDescent="0.8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22.5" customHeight="1" x14ac:dyDescent="0.8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22.5" customHeight="1" x14ac:dyDescent="0.8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22.5" customHeight="1" x14ac:dyDescent="0.8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22.5" customHeight="1" x14ac:dyDescent="0.8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22.5" customHeight="1" x14ac:dyDescent="0.8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22.5" customHeight="1" x14ac:dyDescent="0.8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22.5" customHeight="1" x14ac:dyDescent="0.8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22.5" customHeight="1" x14ac:dyDescent="0.8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22.5" customHeight="1" x14ac:dyDescent="0.8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22.5" customHeight="1" x14ac:dyDescent="0.8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22.5" customHeight="1" x14ac:dyDescent="0.8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22.5" customHeight="1" x14ac:dyDescent="0.8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22.5" customHeight="1" x14ac:dyDescent="0.8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22.5" customHeight="1" x14ac:dyDescent="0.8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22.5" customHeight="1" x14ac:dyDescent="0.8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22.5" customHeight="1" x14ac:dyDescent="0.8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22.5" customHeight="1" x14ac:dyDescent="0.8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22.5" customHeight="1" x14ac:dyDescent="0.8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22.5" customHeight="1" x14ac:dyDescent="0.8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22.5" customHeight="1" x14ac:dyDescent="0.8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22.5" customHeight="1" x14ac:dyDescent="0.8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22.5" customHeight="1" x14ac:dyDescent="0.8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22.5" customHeight="1" x14ac:dyDescent="0.8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22.5" customHeight="1" x14ac:dyDescent="0.8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22.5" customHeight="1" x14ac:dyDescent="0.8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22.5" customHeight="1" x14ac:dyDescent="0.8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22.5" customHeight="1" x14ac:dyDescent="0.8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22.5" customHeight="1" x14ac:dyDescent="0.8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22.5" customHeight="1" x14ac:dyDescent="0.8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22.5" customHeight="1" x14ac:dyDescent="0.8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22.5" customHeight="1" x14ac:dyDescent="0.8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22.5" customHeight="1" x14ac:dyDescent="0.8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22.5" customHeight="1" x14ac:dyDescent="0.8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22.5" customHeight="1" x14ac:dyDescent="0.8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22.5" customHeight="1" x14ac:dyDescent="0.8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22.5" customHeight="1" x14ac:dyDescent="0.8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22.5" customHeight="1" x14ac:dyDescent="0.8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22.5" customHeight="1" x14ac:dyDescent="0.8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22.5" customHeight="1" x14ac:dyDescent="0.8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22.5" customHeight="1" x14ac:dyDescent="0.8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22.5" customHeight="1" x14ac:dyDescent="0.8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22.5" customHeight="1" x14ac:dyDescent="0.8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22.5" customHeight="1" x14ac:dyDescent="0.8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22.5" customHeight="1" x14ac:dyDescent="0.8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22.5" customHeight="1" x14ac:dyDescent="0.8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22.5" customHeight="1" x14ac:dyDescent="0.8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22.5" customHeight="1" x14ac:dyDescent="0.8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22.5" customHeight="1" x14ac:dyDescent="0.8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22.5" customHeight="1" x14ac:dyDescent="0.8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22.5" customHeight="1" x14ac:dyDescent="0.8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22.5" customHeight="1" x14ac:dyDescent="0.8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22.5" customHeight="1" x14ac:dyDescent="0.8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22.5" customHeight="1" x14ac:dyDescent="0.8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22.5" customHeight="1" x14ac:dyDescent="0.8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22.5" customHeight="1" x14ac:dyDescent="0.8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22.5" customHeight="1" x14ac:dyDescent="0.8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22.5" customHeight="1" x14ac:dyDescent="0.8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22.5" customHeight="1" x14ac:dyDescent="0.8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22.5" customHeight="1" x14ac:dyDescent="0.8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22.5" customHeight="1" x14ac:dyDescent="0.8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22.5" customHeight="1" x14ac:dyDescent="0.8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22.5" customHeight="1" x14ac:dyDescent="0.8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22.5" customHeight="1" x14ac:dyDescent="0.8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22.5" customHeight="1" x14ac:dyDescent="0.8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22.5" customHeight="1" x14ac:dyDescent="0.8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22.5" customHeight="1" x14ac:dyDescent="0.8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22.5" customHeight="1" x14ac:dyDescent="0.8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22.5" customHeight="1" x14ac:dyDescent="0.8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53">
    <mergeCell ref="A138:U138"/>
    <mergeCell ref="A141:U141"/>
    <mergeCell ref="A119:U119"/>
    <mergeCell ref="A122:U122"/>
    <mergeCell ref="A125:U125"/>
    <mergeCell ref="A128:U128"/>
    <mergeCell ref="A129:U129"/>
    <mergeCell ref="A132:U132"/>
    <mergeCell ref="A135:U135"/>
    <mergeCell ref="A1:U1"/>
    <mergeCell ref="A2:U2"/>
    <mergeCell ref="A12:U12"/>
    <mergeCell ref="A13:I13"/>
    <mergeCell ref="A14:I14"/>
    <mergeCell ref="A15:I15"/>
    <mergeCell ref="A16:I16"/>
    <mergeCell ref="A17:I17"/>
    <mergeCell ref="A18:I18"/>
    <mergeCell ref="A19:I19"/>
    <mergeCell ref="A20:I20"/>
    <mergeCell ref="A21:I21"/>
    <mergeCell ref="A22:I22"/>
    <mergeCell ref="A24:U24"/>
    <mergeCell ref="L27:L31"/>
    <mergeCell ref="L38:L39"/>
    <mergeCell ref="A23:I23"/>
    <mergeCell ref="A25:G25"/>
    <mergeCell ref="I25:L25"/>
    <mergeCell ref="C26:G26"/>
    <mergeCell ref="C27:G34"/>
    <mergeCell ref="A36:F36"/>
    <mergeCell ref="I36:L36"/>
    <mergeCell ref="A46:I46"/>
    <mergeCell ref="B47:C47"/>
    <mergeCell ref="D47:E47"/>
    <mergeCell ref="F47:G47"/>
    <mergeCell ref="H47:I47"/>
    <mergeCell ref="A56:U56"/>
    <mergeCell ref="A57:U57"/>
    <mergeCell ref="B58:I58"/>
    <mergeCell ref="K59:M59"/>
    <mergeCell ref="A64:U64"/>
    <mergeCell ref="A65:A66"/>
    <mergeCell ref="B65:H65"/>
    <mergeCell ref="J65:P65"/>
    <mergeCell ref="A71:U71"/>
    <mergeCell ref="A72:U72"/>
    <mergeCell ref="A116:U116"/>
    <mergeCell ref="A82:U82"/>
    <mergeCell ref="A92:U92"/>
    <mergeCell ref="A102:U102"/>
    <mergeCell ref="A112:U112"/>
    <mergeCell ref="A113:U113"/>
  </mergeCells>
  <pageMargins left="0.7" right="0.7" top="0.75" bottom="0.75" header="0" footer="0"/>
  <pageSetup scale="95"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B7DCEB"/>
  </sheetPr>
  <dimension ref="A1:Z1000"/>
  <sheetViews>
    <sheetView workbookViewId="0"/>
  </sheetViews>
  <sheetFormatPr defaultColWidth="11.23046875" defaultRowHeight="15" customHeight="1" outlineLevelRow="1" x14ac:dyDescent="0.85"/>
  <cols>
    <col min="1" max="6" width="28.765625" customWidth="1"/>
    <col min="7" max="7" width="9.61328125" customWidth="1"/>
    <col min="8" max="8" width="9.23046875" customWidth="1"/>
    <col min="9" max="9" width="10.3046875" customWidth="1"/>
    <col min="10" max="26" width="9.23046875" customWidth="1"/>
  </cols>
  <sheetData>
    <row r="1" spans="1:26" ht="21" customHeight="1" x14ac:dyDescent="0.85">
      <c r="A1" s="545" t="s">
        <v>1621</v>
      </c>
      <c r="B1" s="546"/>
      <c r="C1" s="546"/>
      <c r="D1" s="546"/>
      <c r="E1" s="546"/>
      <c r="F1" s="547"/>
      <c r="G1" s="30"/>
      <c r="H1" s="30"/>
      <c r="I1" s="30"/>
      <c r="J1" s="30"/>
      <c r="K1" s="30"/>
      <c r="L1" s="30"/>
      <c r="M1" s="30"/>
      <c r="N1" s="30"/>
      <c r="O1" s="30"/>
      <c r="P1" s="30"/>
      <c r="Q1" s="30"/>
      <c r="R1" s="30"/>
      <c r="S1" s="30"/>
      <c r="T1" s="30"/>
      <c r="U1" s="30"/>
      <c r="V1" s="30"/>
      <c r="W1" s="30"/>
      <c r="X1" s="30"/>
      <c r="Y1" s="30"/>
      <c r="Z1" s="30"/>
    </row>
    <row r="2" spans="1:26" ht="21" customHeight="1" x14ac:dyDescent="0.85">
      <c r="A2" s="491" t="s">
        <v>1622</v>
      </c>
      <c r="B2" s="492"/>
      <c r="C2" s="492"/>
      <c r="D2" s="492"/>
      <c r="E2" s="492"/>
      <c r="F2" s="493"/>
      <c r="G2" s="30"/>
      <c r="H2" s="30"/>
      <c r="I2" s="30"/>
      <c r="J2" s="30"/>
      <c r="K2" s="30"/>
      <c r="L2" s="30"/>
      <c r="M2" s="30"/>
      <c r="N2" s="30"/>
      <c r="O2" s="30"/>
      <c r="P2" s="30"/>
      <c r="Q2" s="30"/>
      <c r="R2" s="30"/>
      <c r="S2" s="30"/>
      <c r="T2" s="30"/>
      <c r="U2" s="30"/>
      <c r="V2" s="30"/>
      <c r="W2" s="30"/>
      <c r="X2" s="30"/>
      <c r="Y2" s="30"/>
      <c r="Z2" s="30"/>
    </row>
    <row r="3" spans="1:26" ht="21" hidden="1" customHeight="1" outlineLevel="1" x14ac:dyDescent="0.85">
      <c r="A3" s="72" t="s">
        <v>1623</v>
      </c>
      <c r="B3" s="72" t="s">
        <v>120</v>
      </c>
      <c r="C3" s="72" t="s">
        <v>121</v>
      </c>
      <c r="D3" s="72" t="s">
        <v>122</v>
      </c>
      <c r="E3" s="489"/>
      <c r="F3" s="489"/>
      <c r="G3" s="30"/>
      <c r="H3" s="30"/>
      <c r="I3" s="30"/>
      <c r="J3" s="30"/>
      <c r="K3" s="30"/>
      <c r="L3" s="30"/>
      <c r="M3" s="30"/>
      <c r="N3" s="30"/>
      <c r="O3" s="30"/>
      <c r="P3" s="30"/>
      <c r="Q3" s="30"/>
      <c r="R3" s="30"/>
      <c r="S3" s="30"/>
      <c r="T3" s="30"/>
      <c r="U3" s="30"/>
      <c r="V3" s="30"/>
      <c r="W3" s="30"/>
      <c r="X3" s="30"/>
      <c r="Y3" s="30"/>
      <c r="Z3" s="30"/>
    </row>
    <row r="4" spans="1:26" ht="21" hidden="1" customHeight="1" outlineLevel="1" x14ac:dyDescent="0.85">
      <c r="A4" s="86" t="s">
        <v>105</v>
      </c>
      <c r="B4" s="207">
        <f>E32</f>
        <v>-7091</v>
      </c>
      <c r="C4" s="207" t="s">
        <v>106</v>
      </c>
      <c r="D4" s="207" t="s">
        <v>106</v>
      </c>
      <c r="E4" s="489"/>
      <c r="F4" s="489"/>
      <c r="G4" s="30"/>
      <c r="H4" s="30"/>
      <c r="I4" s="30"/>
      <c r="J4" s="30"/>
      <c r="K4" s="30"/>
      <c r="L4" s="30"/>
      <c r="M4" s="30"/>
      <c r="N4" s="30"/>
      <c r="O4" s="30"/>
      <c r="P4" s="30"/>
      <c r="Q4" s="30"/>
      <c r="R4" s="30"/>
      <c r="S4" s="30"/>
      <c r="T4" s="30"/>
      <c r="U4" s="30"/>
      <c r="V4" s="30"/>
      <c r="W4" s="30"/>
      <c r="X4" s="30"/>
      <c r="Y4" s="30"/>
      <c r="Z4" s="30"/>
    </row>
    <row r="5" spans="1:26" ht="21" hidden="1" customHeight="1" outlineLevel="1" x14ac:dyDescent="0.85">
      <c r="A5" s="86" t="s">
        <v>107</v>
      </c>
      <c r="B5" s="207">
        <f>E50</f>
        <v>-55112</v>
      </c>
      <c r="C5" s="207" t="s">
        <v>106</v>
      </c>
      <c r="D5" s="207" t="s">
        <v>106</v>
      </c>
      <c r="E5" s="692"/>
      <c r="F5" s="692"/>
      <c r="G5" s="30"/>
      <c r="H5" s="30"/>
      <c r="I5" s="30"/>
      <c r="J5" s="30"/>
      <c r="K5" s="30"/>
      <c r="L5" s="30"/>
      <c r="M5" s="30"/>
      <c r="N5" s="30"/>
      <c r="O5" s="30"/>
      <c r="P5" s="30"/>
      <c r="Q5" s="30"/>
      <c r="R5" s="30"/>
      <c r="S5" s="30"/>
      <c r="T5" s="30"/>
      <c r="U5" s="30"/>
      <c r="V5" s="30"/>
      <c r="W5" s="30"/>
      <c r="X5" s="30"/>
      <c r="Y5" s="30"/>
      <c r="Z5" s="30"/>
    </row>
    <row r="6" spans="1:26" ht="21" hidden="1" customHeight="1" outlineLevel="1" x14ac:dyDescent="0.85">
      <c r="A6" s="86" t="s">
        <v>108</v>
      </c>
      <c r="B6" s="207">
        <f>E68</f>
        <v>-111269</v>
      </c>
      <c r="C6" s="207" t="s">
        <v>106</v>
      </c>
      <c r="D6" s="207" t="s">
        <v>106</v>
      </c>
      <c r="E6" s="692"/>
      <c r="F6" s="692"/>
      <c r="G6" s="30"/>
      <c r="H6" s="30"/>
      <c r="I6" s="30"/>
      <c r="J6" s="30"/>
      <c r="K6" s="30"/>
      <c r="L6" s="30"/>
      <c r="M6" s="30"/>
      <c r="N6" s="30"/>
      <c r="O6" s="30"/>
      <c r="P6" s="30"/>
      <c r="Q6" s="30"/>
      <c r="R6" s="30"/>
      <c r="S6" s="30"/>
      <c r="T6" s="30"/>
      <c r="U6" s="30"/>
      <c r="V6" s="30"/>
      <c r="W6" s="30"/>
      <c r="X6" s="30"/>
      <c r="Y6" s="30"/>
      <c r="Z6" s="30"/>
    </row>
    <row r="7" spans="1:26" ht="21" hidden="1" customHeight="1" outlineLevel="1" x14ac:dyDescent="0.85">
      <c r="A7" s="86" t="s">
        <v>109</v>
      </c>
      <c r="B7" s="207">
        <f>E86</f>
        <v>-297204</v>
      </c>
      <c r="C7" s="207" t="s">
        <v>106</v>
      </c>
      <c r="D7" s="207" t="s">
        <v>106</v>
      </c>
      <c r="E7" s="692"/>
      <c r="F7" s="692"/>
      <c r="G7" s="30"/>
      <c r="H7" s="30"/>
      <c r="I7" s="30"/>
      <c r="J7" s="30"/>
      <c r="K7" s="30"/>
      <c r="L7" s="30"/>
      <c r="M7" s="30"/>
      <c r="N7" s="30"/>
      <c r="O7" s="30"/>
      <c r="P7" s="30"/>
      <c r="Q7" s="30"/>
      <c r="R7" s="30"/>
      <c r="S7" s="30"/>
      <c r="T7" s="30"/>
      <c r="U7" s="30"/>
      <c r="V7" s="30"/>
      <c r="W7" s="30"/>
      <c r="X7" s="30"/>
      <c r="Y7" s="30"/>
      <c r="Z7" s="30"/>
    </row>
    <row r="8" spans="1:26" ht="21" hidden="1" customHeight="1" outlineLevel="1" x14ac:dyDescent="0.85">
      <c r="A8" s="86" t="s">
        <v>110</v>
      </c>
      <c r="B8" s="207">
        <f>E104</f>
        <v>-18511</v>
      </c>
      <c r="C8" s="207" t="s">
        <v>106</v>
      </c>
      <c r="D8" s="207" t="s">
        <v>106</v>
      </c>
      <c r="E8" s="489"/>
      <c r="F8" s="489"/>
      <c r="G8" s="30"/>
      <c r="H8" s="30"/>
      <c r="I8" s="30"/>
      <c r="J8" s="30"/>
      <c r="K8" s="30"/>
      <c r="L8" s="30"/>
      <c r="M8" s="30"/>
      <c r="N8" s="30"/>
      <c r="O8" s="30"/>
      <c r="P8" s="30"/>
      <c r="Q8" s="30"/>
      <c r="R8" s="30"/>
      <c r="S8" s="30"/>
      <c r="T8" s="30"/>
      <c r="U8" s="30"/>
      <c r="V8" s="30"/>
      <c r="W8" s="30"/>
      <c r="X8" s="30"/>
      <c r="Y8" s="30"/>
      <c r="Z8" s="30"/>
    </row>
    <row r="9" spans="1:26" ht="21" hidden="1" customHeight="1" outlineLevel="1" x14ac:dyDescent="0.85">
      <c r="A9" s="292" t="s">
        <v>590</v>
      </c>
      <c r="B9" s="685">
        <f>B4</f>
        <v>-7091</v>
      </c>
      <c r="C9" s="685" t="s">
        <v>106</v>
      </c>
      <c r="D9" s="685" t="s">
        <v>106</v>
      </c>
      <c r="E9" s="489"/>
      <c r="F9" s="489"/>
      <c r="G9" s="30"/>
      <c r="H9" s="30"/>
      <c r="I9" s="30"/>
      <c r="J9" s="30"/>
      <c r="K9" s="30"/>
      <c r="L9" s="30"/>
      <c r="M9" s="30"/>
      <c r="N9" s="30"/>
      <c r="O9" s="30"/>
      <c r="P9" s="30"/>
      <c r="Q9" s="30"/>
      <c r="R9" s="30"/>
      <c r="S9" s="30"/>
      <c r="T9" s="30"/>
      <c r="U9" s="30"/>
      <c r="V9" s="30"/>
      <c r="W9" s="30"/>
      <c r="X9" s="30"/>
      <c r="Y9" s="30"/>
      <c r="Z9" s="30"/>
    </row>
    <row r="10" spans="1:26" ht="21" hidden="1" customHeight="1" outlineLevel="1" x14ac:dyDescent="0.85">
      <c r="A10" s="292" t="s">
        <v>111</v>
      </c>
      <c r="B10" s="685">
        <f>SUM(B5:B8)</f>
        <v>-482096</v>
      </c>
      <c r="C10" s="685" t="s">
        <v>106</v>
      </c>
      <c r="D10" s="685" t="s">
        <v>106</v>
      </c>
      <c r="E10" s="489"/>
      <c r="F10" s="489"/>
      <c r="G10" s="30"/>
      <c r="H10" s="30"/>
      <c r="I10" s="30"/>
      <c r="J10" s="30"/>
      <c r="K10" s="30"/>
      <c r="L10" s="30"/>
      <c r="M10" s="30"/>
      <c r="N10" s="30"/>
      <c r="O10" s="30"/>
      <c r="P10" s="30"/>
      <c r="Q10" s="30"/>
      <c r="R10" s="30"/>
      <c r="S10" s="30"/>
      <c r="T10" s="30"/>
      <c r="U10" s="30"/>
      <c r="V10" s="30"/>
      <c r="W10" s="30"/>
      <c r="X10" s="30"/>
      <c r="Y10" s="30"/>
      <c r="Z10" s="30"/>
    </row>
    <row r="11" spans="1:26" ht="21" hidden="1" customHeight="1" outlineLevel="1" x14ac:dyDescent="0.85">
      <c r="A11" s="693"/>
      <c r="B11" s="694"/>
      <c r="C11" s="489"/>
      <c r="D11" s="489"/>
      <c r="E11" s="489"/>
      <c r="F11" s="489"/>
      <c r="G11" s="30"/>
      <c r="H11" s="30"/>
      <c r="I11" s="30"/>
      <c r="J11" s="30"/>
      <c r="K11" s="30"/>
      <c r="L11" s="30"/>
      <c r="M11" s="30"/>
      <c r="N11" s="30"/>
      <c r="O11" s="30"/>
      <c r="P11" s="30"/>
      <c r="Q11" s="30"/>
      <c r="R11" s="30"/>
      <c r="S11" s="30"/>
      <c r="T11" s="30"/>
      <c r="U11" s="30"/>
      <c r="V11" s="30"/>
      <c r="W11" s="30"/>
      <c r="X11" s="30"/>
      <c r="Y11" s="30"/>
      <c r="Z11" s="30"/>
    </row>
    <row r="12" spans="1:26" ht="21" customHeight="1" collapsed="1" x14ac:dyDescent="0.85">
      <c r="A12" s="491" t="s">
        <v>1176</v>
      </c>
      <c r="B12" s="492"/>
      <c r="C12" s="492"/>
      <c r="D12" s="492"/>
      <c r="E12" s="492"/>
      <c r="F12" s="493"/>
      <c r="G12" s="30"/>
      <c r="H12" s="30"/>
      <c r="I12" s="30"/>
      <c r="J12" s="30"/>
      <c r="K12" s="30"/>
      <c r="L12" s="30"/>
      <c r="M12" s="30"/>
      <c r="N12" s="30"/>
      <c r="O12" s="30"/>
      <c r="P12" s="30"/>
      <c r="Q12" s="30"/>
      <c r="R12" s="30"/>
      <c r="S12" s="30"/>
      <c r="T12" s="30"/>
      <c r="U12" s="30"/>
      <c r="V12" s="30"/>
      <c r="W12" s="30"/>
      <c r="X12" s="30"/>
      <c r="Y12" s="30"/>
      <c r="Z12" s="30"/>
    </row>
    <row r="13" spans="1:26" ht="21" hidden="1" customHeight="1" outlineLevel="1" x14ac:dyDescent="0.85">
      <c r="A13" s="840" t="s">
        <v>1624</v>
      </c>
      <c r="B13" s="790"/>
      <c r="C13" s="790"/>
      <c r="D13" s="790"/>
      <c r="E13" s="790"/>
      <c r="F13" s="791"/>
      <c r="G13" s="30"/>
      <c r="H13" s="30"/>
      <c r="I13" s="30"/>
      <c r="J13" s="30"/>
      <c r="K13" s="30"/>
      <c r="L13" s="30"/>
      <c r="M13" s="30"/>
      <c r="N13" s="30"/>
      <c r="O13" s="30"/>
      <c r="P13" s="30"/>
      <c r="Q13" s="30"/>
      <c r="R13" s="30"/>
      <c r="S13" s="30"/>
      <c r="T13" s="30"/>
      <c r="U13" s="30"/>
      <c r="V13" s="30"/>
      <c r="W13" s="30"/>
      <c r="X13" s="30"/>
      <c r="Y13" s="30"/>
      <c r="Z13" s="30"/>
    </row>
    <row r="14" spans="1:26" ht="21" customHeight="1" collapsed="1" x14ac:dyDescent="0.85">
      <c r="A14" s="776" t="s">
        <v>254</v>
      </c>
      <c r="B14" s="765"/>
      <c r="C14" s="765"/>
      <c r="D14" s="765"/>
      <c r="E14" s="765"/>
      <c r="F14" s="762"/>
      <c r="G14" s="30"/>
      <c r="H14" s="30"/>
      <c r="I14" s="30"/>
      <c r="J14" s="30"/>
      <c r="K14" s="30"/>
      <c r="L14" s="30"/>
      <c r="M14" s="30"/>
      <c r="N14" s="30"/>
      <c r="O14" s="30"/>
      <c r="P14" s="30"/>
      <c r="Q14" s="30"/>
      <c r="R14" s="30"/>
      <c r="S14" s="30"/>
      <c r="T14" s="30"/>
      <c r="U14" s="30"/>
      <c r="V14" s="30"/>
      <c r="W14" s="30"/>
      <c r="X14" s="30"/>
      <c r="Y14" s="30"/>
      <c r="Z14" s="30"/>
    </row>
    <row r="15" spans="1:26" ht="21" hidden="1" customHeight="1" outlineLevel="1" x14ac:dyDescent="0.85">
      <c r="A15" s="804" t="s">
        <v>105</v>
      </c>
      <c r="B15" s="765"/>
      <c r="C15" s="765"/>
      <c r="D15" s="765"/>
      <c r="E15" s="765"/>
      <c r="F15" s="762"/>
      <c r="G15" s="30"/>
      <c r="H15" s="30"/>
      <c r="I15" s="30"/>
      <c r="J15" s="30"/>
      <c r="K15" s="30"/>
      <c r="L15" s="30"/>
      <c r="M15" s="30"/>
      <c r="N15" s="30"/>
      <c r="O15" s="30"/>
      <c r="P15" s="30"/>
      <c r="Q15" s="30"/>
      <c r="R15" s="30"/>
      <c r="S15" s="30"/>
      <c r="T15" s="30"/>
      <c r="U15" s="30"/>
      <c r="V15" s="30"/>
      <c r="W15" s="30"/>
      <c r="X15" s="30"/>
      <c r="Y15" s="30"/>
      <c r="Z15" s="30"/>
    </row>
    <row r="16" spans="1:26" ht="21" hidden="1" customHeight="1" outlineLevel="1" x14ac:dyDescent="0.85">
      <c r="A16" s="357" t="s">
        <v>250</v>
      </c>
      <c r="B16" s="357" t="s">
        <v>409</v>
      </c>
      <c r="C16" s="357" t="s">
        <v>1625</v>
      </c>
      <c r="D16" s="357" t="s">
        <v>1626</v>
      </c>
      <c r="E16" s="695" t="s">
        <v>1627</v>
      </c>
      <c r="F16" s="400" t="s">
        <v>1628</v>
      </c>
      <c r="G16" s="30"/>
      <c r="H16" s="30"/>
      <c r="I16" s="30"/>
      <c r="J16" s="30"/>
      <c r="K16" s="30"/>
      <c r="L16" s="30"/>
      <c r="M16" s="30"/>
      <c r="N16" s="30"/>
      <c r="O16" s="30"/>
      <c r="P16" s="30"/>
      <c r="Q16" s="30"/>
      <c r="R16" s="30"/>
      <c r="S16" s="30"/>
      <c r="T16" s="30"/>
      <c r="U16" s="30"/>
      <c r="V16" s="30"/>
      <c r="W16" s="30"/>
      <c r="X16" s="30"/>
      <c r="Y16" s="30"/>
      <c r="Z16" s="30"/>
    </row>
    <row r="17" spans="1:26" ht="21" hidden="1" customHeight="1" outlineLevel="1" x14ac:dyDescent="0.85">
      <c r="A17" s="696" t="s">
        <v>1629</v>
      </c>
      <c r="B17" s="696" t="s">
        <v>1630</v>
      </c>
      <c r="C17" s="697" t="s">
        <v>1631</v>
      </c>
      <c r="D17" s="698">
        <v>0</v>
      </c>
      <c r="E17" s="699">
        <v>0</v>
      </c>
      <c r="F17" s="698" t="s">
        <v>106</v>
      </c>
      <c r="G17" s="30"/>
      <c r="H17" s="30"/>
      <c r="I17" s="30"/>
      <c r="J17" s="30"/>
      <c r="K17" s="30"/>
      <c r="L17" s="30"/>
      <c r="M17" s="30"/>
      <c r="N17" s="30"/>
      <c r="O17" s="30"/>
      <c r="P17" s="30"/>
      <c r="Q17" s="30"/>
      <c r="R17" s="30"/>
      <c r="S17" s="30"/>
      <c r="T17" s="30"/>
      <c r="U17" s="30"/>
      <c r="V17" s="30"/>
      <c r="W17" s="30"/>
      <c r="X17" s="30"/>
      <c r="Y17" s="30"/>
      <c r="Z17" s="30"/>
    </row>
    <row r="18" spans="1:26" ht="21" hidden="1" customHeight="1" outlineLevel="1" x14ac:dyDescent="0.85">
      <c r="A18" s="696" t="s">
        <v>1629</v>
      </c>
      <c r="B18" s="696" t="s">
        <v>1632</v>
      </c>
      <c r="C18" s="697" t="s">
        <v>1631</v>
      </c>
      <c r="D18" s="698">
        <v>0</v>
      </c>
      <c r="E18" s="699">
        <v>0</v>
      </c>
      <c r="F18" s="698" t="s">
        <v>106</v>
      </c>
      <c r="G18" s="30"/>
      <c r="H18" s="30"/>
      <c r="I18" s="30"/>
      <c r="J18" s="30"/>
      <c r="K18" s="30"/>
      <c r="L18" s="30"/>
      <c r="M18" s="30"/>
      <c r="N18" s="30"/>
      <c r="O18" s="30"/>
      <c r="P18" s="30"/>
      <c r="Q18" s="30"/>
      <c r="R18" s="30"/>
      <c r="S18" s="30"/>
      <c r="T18" s="30"/>
      <c r="U18" s="30"/>
      <c r="V18" s="30"/>
      <c r="W18" s="30"/>
      <c r="X18" s="30"/>
      <c r="Y18" s="30"/>
      <c r="Z18" s="30"/>
    </row>
    <row r="19" spans="1:26" ht="21" hidden="1" customHeight="1" outlineLevel="1" x14ac:dyDescent="0.85">
      <c r="A19" s="696" t="s">
        <v>1629</v>
      </c>
      <c r="B19" s="696" t="s">
        <v>1633</v>
      </c>
      <c r="C19" s="697" t="s">
        <v>1631</v>
      </c>
      <c r="D19" s="698">
        <v>0</v>
      </c>
      <c r="E19" s="699">
        <v>0</v>
      </c>
      <c r="F19" s="698" t="s">
        <v>106</v>
      </c>
      <c r="G19" s="30"/>
      <c r="H19" s="30"/>
      <c r="I19" s="30"/>
      <c r="J19" s="30"/>
      <c r="K19" s="30"/>
      <c r="L19" s="30"/>
      <c r="M19" s="30"/>
      <c r="N19" s="30"/>
      <c r="O19" s="30"/>
      <c r="P19" s="30"/>
      <c r="Q19" s="30"/>
      <c r="R19" s="30"/>
      <c r="S19" s="30"/>
      <c r="T19" s="30"/>
      <c r="U19" s="30"/>
      <c r="V19" s="30"/>
      <c r="W19" s="30"/>
      <c r="X19" s="30"/>
      <c r="Y19" s="30"/>
      <c r="Z19" s="30"/>
    </row>
    <row r="20" spans="1:26" ht="21" hidden="1" customHeight="1" outlineLevel="1" x14ac:dyDescent="0.85">
      <c r="A20" s="696" t="s">
        <v>1629</v>
      </c>
      <c r="B20" s="696" t="s">
        <v>1634</v>
      </c>
      <c r="C20" s="697" t="s">
        <v>1631</v>
      </c>
      <c r="D20" s="698">
        <v>0</v>
      </c>
      <c r="E20" s="699">
        <v>0</v>
      </c>
      <c r="F20" s="698">
        <v>0</v>
      </c>
      <c r="G20" s="30"/>
      <c r="H20" s="30"/>
      <c r="I20" s="30"/>
      <c r="J20" s="30"/>
      <c r="K20" s="30"/>
      <c r="L20" s="30"/>
      <c r="M20" s="30"/>
      <c r="N20" s="30"/>
      <c r="O20" s="30"/>
      <c r="P20" s="30"/>
      <c r="Q20" s="30"/>
      <c r="R20" s="30"/>
      <c r="S20" s="30"/>
      <c r="T20" s="30"/>
      <c r="U20" s="30"/>
      <c r="V20" s="30"/>
      <c r="W20" s="30"/>
      <c r="X20" s="30"/>
      <c r="Y20" s="30"/>
      <c r="Z20" s="30"/>
    </row>
    <row r="21" spans="1:26" ht="21" hidden="1" customHeight="1" outlineLevel="1" x14ac:dyDescent="0.85">
      <c r="A21" s="696" t="s">
        <v>1629</v>
      </c>
      <c r="B21" s="696" t="s">
        <v>1635</v>
      </c>
      <c r="C21" s="697" t="s">
        <v>1631</v>
      </c>
      <c r="D21" s="698">
        <v>0</v>
      </c>
      <c r="E21" s="699">
        <v>0</v>
      </c>
      <c r="F21" s="698" t="s">
        <v>106</v>
      </c>
      <c r="G21" s="30"/>
      <c r="H21" s="30"/>
      <c r="I21" s="30"/>
      <c r="J21" s="30"/>
      <c r="K21" s="30"/>
      <c r="L21" s="30"/>
      <c r="M21" s="30"/>
      <c r="N21" s="30"/>
      <c r="O21" s="30"/>
      <c r="P21" s="30"/>
      <c r="Q21" s="30"/>
      <c r="R21" s="30"/>
      <c r="S21" s="30"/>
      <c r="T21" s="30"/>
      <c r="U21" s="30"/>
      <c r="V21" s="30"/>
      <c r="W21" s="30"/>
      <c r="X21" s="30"/>
      <c r="Y21" s="30"/>
      <c r="Z21" s="30"/>
    </row>
    <row r="22" spans="1:26" ht="21" hidden="1" customHeight="1" outlineLevel="1" x14ac:dyDescent="0.85">
      <c r="A22" s="696" t="s">
        <v>1629</v>
      </c>
      <c r="B22" s="696" t="s">
        <v>1636</v>
      </c>
      <c r="C22" s="697" t="s">
        <v>1637</v>
      </c>
      <c r="D22" s="698">
        <v>4</v>
      </c>
      <c r="E22" s="699">
        <v>-5</v>
      </c>
      <c r="F22" s="698">
        <v>-0.34</v>
      </c>
      <c r="G22" s="30"/>
      <c r="H22" s="30"/>
      <c r="I22" s="30"/>
      <c r="J22" s="30"/>
      <c r="K22" s="30"/>
      <c r="L22" s="30"/>
      <c r="M22" s="30"/>
      <c r="N22" s="30"/>
      <c r="O22" s="30"/>
      <c r="P22" s="30"/>
      <c r="Q22" s="30"/>
      <c r="R22" s="30"/>
      <c r="S22" s="30"/>
      <c r="T22" s="30"/>
      <c r="U22" s="30"/>
      <c r="V22" s="30"/>
      <c r="W22" s="30"/>
      <c r="X22" s="30"/>
      <c r="Y22" s="30"/>
      <c r="Z22" s="30"/>
    </row>
    <row r="23" spans="1:26" ht="21" hidden="1" customHeight="1" outlineLevel="1" x14ac:dyDescent="0.85">
      <c r="A23" s="696" t="s">
        <v>1638</v>
      </c>
      <c r="B23" s="696" t="s">
        <v>1639</v>
      </c>
      <c r="C23" s="697" t="s">
        <v>1637</v>
      </c>
      <c r="D23" s="698">
        <v>104</v>
      </c>
      <c r="E23" s="699">
        <v>-23</v>
      </c>
      <c r="F23" s="700">
        <v>-0.06</v>
      </c>
      <c r="G23" s="30"/>
      <c r="H23" s="30"/>
      <c r="I23" s="30"/>
      <c r="J23" s="30"/>
      <c r="K23" s="30"/>
      <c r="L23" s="30"/>
      <c r="M23" s="30"/>
      <c r="N23" s="30"/>
      <c r="O23" s="30"/>
      <c r="P23" s="30"/>
      <c r="Q23" s="30"/>
      <c r="R23" s="30"/>
      <c r="S23" s="30"/>
      <c r="T23" s="30"/>
      <c r="U23" s="30"/>
      <c r="V23" s="30"/>
      <c r="W23" s="30"/>
      <c r="X23" s="30"/>
      <c r="Y23" s="30"/>
      <c r="Z23" s="30"/>
    </row>
    <row r="24" spans="1:26" ht="21" hidden="1" customHeight="1" outlineLevel="1" x14ac:dyDescent="0.85">
      <c r="A24" s="696" t="s">
        <v>1638</v>
      </c>
      <c r="B24" s="696" t="s">
        <v>1640</v>
      </c>
      <c r="C24" s="697" t="s">
        <v>1631</v>
      </c>
      <c r="D24" s="698">
        <v>0</v>
      </c>
      <c r="E24" s="699">
        <v>0</v>
      </c>
      <c r="F24" s="698" t="s">
        <v>106</v>
      </c>
      <c r="G24" s="30"/>
      <c r="H24" s="30"/>
      <c r="I24" s="30"/>
      <c r="J24" s="30"/>
      <c r="K24" s="30"/>
      <c r="L24" s="30"/>
      <c r="M24" s="30"/>
      <c r="N24" s="30"/>
      <c r="O24" s="30"/>
      <c r="P24" s="30"/>
      <c r="Q24" s="30"/>
      <c r="R24" s="30"/>
      <c r="S24" s="30"/>
      <c r="T24" s="30"/>
      <c r="U24" s="30"/>
      <c r="V24" s="30"/>
      <c r="W24" s="30"/>
      <c r="X24" s="30"/>
      <c r="Y24" s="30"/>
      <c r="Z24" s="30"/>
    </row>
    <row r="25" spans="1:26" ht="21" hidden="1" customHeight="1" outlineLevel="1" x14ac:dyDescent="0.85">
      <c r="A25" s="696" t="s">
        <v>1638</v>
      </c>
      <c r="B25" s="696" t="s">
        <v>1641</v>
      </c>
      <c r="C25" s="697" t="s">
        <v>1631</v>
      </c>
      <c r="D25" s="698">
        <v>0</v>
      </c>
      <c r="E25" s="699">
        <v>0</v>
      </c>
      <c r="F25" s="698" t="s">
        <v>106</v>
      </c>
      <c r="G25" s="30"/>
      <c r="H25" s="30"/>
      <c r="I25" s="30"/>
      <c r="J25" s="30"/>
      <c r="K25" s="30"/>
      <c r="L25" s="30"/>
      <c r="M25" s="30"/>
      <c r="N25" s="30"/>
      <c r="O25" s="30"/>
      <c r="P25" s="30"/>
      <c r="Q25" s="30"/>
      <c r="R25" s="30"/>
      <c r="S25" s="30"/>
      <c r="T25" s="30"/>
      <c r="U25" s="30"/>
      <c r="V25" s="30"/>
      <c r="W25" s="30"/>
      <c r="X25" s="30"/>
      <c r="Y25" s="30"/>
      <c r="Z25" s="30"/>
    </row>
    <row r="26" spans="1:26" ht="21" hidden="1" customHeight="1" outlineLevel="1" x14ac:dyDescent="0.85">
      <c r="A26" s="696" t="s">
        <v>1638</v>
      </c>
      <c r="B26" s="696" t="s">
        <v>1642</v>
      </c>
      <c r="C26" s="697" t="s">
        <v>1631</v>
      </c>
      <c r="D26" s="698">
        <v>0</v>
      </c>
      <c r="E26" s="699">
        <v>0</v>
      </c>
      <c r="F26" s="698" t="s">
        <v>106</v>
      </c>
      <c r="G26" s="30"/>
      <c r="H26" s="30"/>
      <c r="I26" s="30"/>
      <c r="J26" s="30"/>
      <c r="K26" s="30"/>
      <c r="L26" s="30"/>
      <c r="M26" s="30"/>
      <c r="N26" s="30"/>
      <c r="O26" s="30"/>
      <c r="P26" s="30"/>
      <c r="Q26" s="30"/>
      <c r="R26" s="30"/>
      <c r="S26" s="30"/>
      <c r="T26" s="30"/>
      <c r="U26" s="30"/>
      <c r="V26" s="30"/>
      <c r="W26" s="30"/>
      <c r="X26" s="30"/>
      <c r="Y26" s="30"/>
      <c r="Z26" s="30"/>
    </row>
    <row r="27" spans="1:26" ht="21" hidden="1" customHeight="1" outlineLevel="1" x14ac:dyDescent="0.85">
      <c r="A27" s="696" t="s">
        <v>1643</v>
      </c>
      <c r="B27" s="696" t="s">
        <v>1644</v>
      </c>
      <c r="C27" s="697" t="s">
        <v>1631</v>
      </c>
      <c r="D27" s="698">
        <v>2</v>
      </c>
      <c r="E27" s="699">
        <v>127</v>
      </c>
      <c r="F27" s="698">
        <v>56.09</v>
      </c>
      <c r="G27" s="30"/>
      <c r="H27" s="30"/>
      <c r="I27" s="30"/>
      <c r="J27" s="30"/>
      <c r="K27" s="30"/>
      <c r="L27" s="30"/>
      <c r="M27" s="30"/>
      <c r="N27" s="30"/>
      <c r="O27" s="30"/>
      <c r="P27" s="30"/>
      <c r="Q27" s="30"/>
      <c r="R27" s="30"/>
      <c r="S27" s="30"/>
      <c r="T27" s="30"/>
      <c r="U27" s="30"/>
      <c r="V27" s="30"/>
      <c r="W27" s="30"/>
      <c r="X27" s="30"/>
      <c r="Y27" s="30"/>
      <c r="Z27" s="30"/>
    </row>
    <row r="28" spans="1:26" ht="21" hidden="1" customHeight="1" outlineLevel="1" x14ac:dyDescent="0.85">
      <c r="A28" s="696" t="s">
        <v>1643</v>
      </c>
      <c r="B28" s="696" t="s">
        <v>1645</v>
      </c>
      <c r="C28" s="697" t="s">
        <v>1637</v>
      </c>
      <c r="D28" s="698">
        <v>680</v>
      </c>
      <c r="E28" s="699">
        <v>-7189</v>
      </c>
      <c r="F28" s="700">
        <v>-2.88</v>
      </c>
      <c r="G28" s="30"/>
      <c r="H28" s="30"/>
      <c r="I28" s="30"/>
      <c r="J28" s="30"/>
      <c r="K28" s="30"/>
      <c r="L28" s="30"/>
      <c r="M28" s="30"/>
      <c r="N28" s="30"/>
      <c r="O28" s="30"/>
      <c r="P28" s="30"/>
      <c r="Q28" s="30"/>
      <c r="R28" s="30"/>
      <c r="S28" s="30"/>
      <c r="T28" s="30"/>
      <c r="U28" s="30"/>
      <c r="V28" s="30"/>
      <c r="W28" s="30"/>
      <c r="X28" s="30"/>
      <c r="Y28" s="30"/>
      <c r="Z28" s="30"/>
    </row>
    <row r="29" spans="1:26" ht="21" hidden="1" customHeight="1" outlineLevel="1" x14ac:dyDescent="0.85">
      <c r="A29" s="696" t="s">
        <v>1646</v>
      </c>
      <c r="B29" s="696" t="s">
        <v>106</v>
      </c>
      <c r="C29" s="697" t="s">
        <v>1637</v>
      </c>
      <c r="D29" s="698" t="s">
        <v>106</v>
      </c>
      <c r="E29" s="699">
        <v>0</v>
      </c>
      <c r="F29" s="698" t="s">
        <v>106</v>
      </c>
      <c r="G29" s="30"/>
      <c r="H29" s="30"/>
      <c r="I29" s="30"/>
      <c r="J29" s="30"/>
      <c r="K29" s="30"/>
      <c r="L29" s="30"/>
      <c r="M29" s="30"/>
      <c r="N29" s="30"/>
      <c r="O29" s="30"/>
      <c r="P29" s="30"/>
      <c r="Q29" s="30"/>
      <c r="R29" s="30"/>
      <c r="S29" s="30"/>
      <c r="T29" s="30"/>
      <c r="U29" s="30"/>
      <c r="V29" s="30"/>
      <c r="W29" s="30"/>
      <c r="X29" s="30"/>
      <c r="Y29" s="30"/>
      <c r="Z29" s="30"/>
    </row>
    <row r="30" spans="1:26" ht="21" hidden="1" customHeight="1" outlineLevel="1" x14ac:dyDescent="0.85">
      <c r="A30" s="701" t="s">
        <v>101</v>
      </c>
      <c r="B30" s="701" t="s">
        <v>106</v>
      </c>
      <c r="C30" s="452" t="s">
        <v>1631</v>
      </c>
      <c r="D30" s="452" t="s">
        <v>106</v>
      </c>
      <c r="E30" s="702">
        <v>127</v>
      </c>
      <c r="F30" s="431"/>
      <c r="G30" s="30"/>
      <c r="H30" s="30"/>
      <c r="I30" s="30"/>
      <c r="J30" s="30"/>
      <c r="K30" s="30"/>
      <c r="L30" s="30"/>
      <c r="M30" s="30"/>
      <c r="N30" s="30"/>
      <c r="O30" s="30"/>
      <c r="P30" s="30"/>
      <c r="Q30" s="30"/>
      <c r="R30" s="30"/>
      <c r="S30" s="30"/>
      <c r="T30" s="30"/>
      <c r="U30" s="30"/>
      <c r="V30" s="30"/>
      <c r="W30" s="30"/>
      <c r="X30" s="30"/>
      <c r="Y30" s="30"/>
      <c r="Z30" s="30"/>
    </row>
    <row r="31" spans="1:26" ht="21" hidden="1" customHeight="1" outlineLevel="1" x14ac:dyDescent="0.85">
      <c r="A31" s="701" t="s">
        <v>136</v>
      </c>
      <c r="B31" s="701" t="s">
        <v>106</v>
      </c>
      <c r="C31" s="452" t="s">
        <v>1637</v>
      </c>
      <c r="D31" s="452" t="s">
        <v>106</v>
      </c>
      <c r="E31" s="702">
        <v>-7217</v>
      </c>
      <c r="F31" s="703"/>
      <c r="G31" s="30"/>
      <c r="H31" s="30"/>
      <c r="I31" s="30"/>
      <c r="J31" s="30"/>
      <c r="K31" s="30"/>
      <c r="L31" s="30"/>
      <c r="M31" s="30"/>
      <c r="N31" s="30"/>
      <c r="O31" s="30"/>
      <c r="P31" s="30"/>
      <c r="Q31" s="30"/>
      <c r="R31" s="30"/>
      <c r="S31" s="30"/>
      <c r="T31" s="30"/>
      <c r="U31" s="30"/>
      <c r="V31" s="30"/>
      <c r="W31" s="30"/>
      <c r="X31" s="30"/>
      <c r="Y31" s="30"/>
      <c r="Z31" s="30"/>
    </row>
    <row r="32" spans="1:26" ht="21" hidden="1" customHeight="1" outlineLevel="1" x14ac:dyDescent="0.85">
      <c r="A32" s="701" t="s">
        <v>1647</v>
      </c>
      <c r="B32" s="701" t="s">
        <v>106</v>
      </c>
      <c r="C32" s="452" t="s">
        <v>106</v>
      </c>
      <c r="D32" s="452" t="s">
        <v>106</v>
      </c>
      <c r="E32" s="702">
        <v>-7091</v>
      </c>
      <c r="F32" s="704"/>
      <c r="G32" s="30"/>
      <c r="H32" s="30"/>
      <c r="I32" s="30"/>
      <c r="J32" s="30"/>
      <c r="K32" s="30"/>
      <c r="L32" s="30"/>
      <c r="M32" s="30"/>
      <c r="N32" s="30"/>
      <c r="O32" s="30"/>
      <c r="P32" s="30"/>
      <c r="Q32" s="30"/>
      <c r="R32" s="30"/>
      <c r="S32" s="30"/>
      <c r="T32" s="30"/>
      <c r="U32" s="30"/>
      <c r="V32" s="30"/>
      <c r="W32" s="30"/>
      <c r="X32" s="30"/>
      <c r="Y32" s="30"/>
      <c r="Z32" s="30"/>
    </row>
    <row r="33" spans="1:26" ht="21" hidden="1" customHeight="1" outlineLevel="1" x14ac:dyDescent="0.85">
      <c r="A33" s="804" t="s">
        <v>126</v>
      </c>
      <c r="B33" s="765"/>
      <c r="C33" s="765"/>
      <c r="D33" s="765"/>
      <c r="E33" s="765"/>
      <c r="F33" s="762"/>
      <c r="G33" s="30"/>
      <c r="H33" s="30"/>
      <c r="I33" s="30"/>
      <c r="J33" s="30"/>
      <c r="K33" s="30"/>
      <c r="L33" s="30"/>
      <c r="M33" s="30"/>
      <c r="N33" s="30"/>
      <c r="O33" s="30"/>
      <c r="P33" s="30"/>
      <c r="Q33" s="30"/>
      <c r="R33" s="30"/>
      <c r="S33" s="30"/>
      <c r="T33" s="30"/>
      <c r="U33" s="30"/>
      <c r="V33" s="30"/>
      <c r="W33" s="30"/>
      <c r="X33" s="30"/>
      <c r="Y33" s="30"/>
      <c r="Z33" s="30"/>
    </row>
    <row r="34" spans="1:26" ht="21" hidden="1" customHeight="1" outlineLevel="1" x14ac:dyDescent="0.85">
      <c r="A34" s="357" t="s">
        <v>250</v>
      </c>
      <c r="B34" s="357" t="s">
        <v>409</v>
      </c>
      <c r="C34" s="357" t="s">
        <v>1625</v>
      </c>
      <c r="D34" s="357" t="s">
        <v>1626</v>
      </c>
      <c r="E34" s="695" t="s">
        <v>1648</v>
      </c>
      <c r="F34" s="400" t="s">
        <v>1628</v>
      </c>
      <c r="G34" s="30"/>
      <c r="H34" s="30"/>
      <c r="I34" s="30"/>
      <c r="J34" s="30"/>
      <c r="K34" s="30"/>
      <c r="L34" s="30"/>
      <c r="M34" s="30"/>
      <c r="N34" s="30"/>
      <c r="O34" s="30"/>
      <c r="P34" s="30"/>
      <c r="Q34" s="30"/>
      <c r="R34" s="30"/>
      <c r="S34" s="30"/>
      <c r="T34" s="30"/>
      <c r="U34" s="30"/>
      <c r="V34" s="30"/>
      <c r="W34" s="30"/>
      <c r="X34" s="30"/>
      <c r="Y34" s="30"/>
      <c r="Z34" s="30"/>
    </row>
    <row r="35" spans="1:26" ht="21" hidden="1" customHeight="1" outlineLevel="1" x14ac:dyDescent="0.85">
      <c r="A35" s="696" t="s">
        <v>1629</v>
      </c>
      <c r="B35" s="696" t="s">
        <v>1630</v>
      </c>
      <c r="C35" s="697" t="s">
        <v>1631</v>
      </c>
      <c r="D35" s="698">
        <v>0</v>
      </c>
      <c r="E35" s="699">
        <v>0</v>
      </c>
      <c r="F35" s="698" t="s">
        <v>106</v>
      </c>
      <c r="G35" s="30"/>
      <c r="H35" s="30"/>
      <c r="I35" s="30"/>
      <c r="J35" s="30"/>
      <c r="K35" s="30"/>
      <c r="L35" s="30"/>
      <c r="M35" s="30"/>
      <c r="N35" s="30"/>
      <c r="O35" s="30"/>
      <c r="P35" s="30"/>
      <c r="Q35" s="30"/>
      <c r="R35" s="30"/>
      <c r="S35" s="30"/>
      <c r="T35" s="30"/>
      <c r="U35" s="30"/>
      <c r="V35" s="30"/>
      <c r="W35" s="30"/>
      <c r="X35" s="30"/>
      <c r="Y35" s="30"/>
      <c r="Z35" s="30"/>
    </row>
    <row r="36" spans="1:26" ht="21" hidden="1" customHeight="1" outlineLevel="1" x14ac:dyDescent="0.85">
      <c r="A36" s="696" t="s">
        <v>1629</v>
      </c>
      <c r="B36" s="696" t="s">
        <v>1632</v>
      </c>
      <c r="C36" s="697" t="s">
        <v>1631</v>
      </c>
      <c r="D36" s="698">
        <v>23</v>
      </c>
      <c r="E36" s="699">
        <v>433</v>
      </c>
      <c r="F36" s="698">
        <v>15.19</v>
      </c>
      <c r="G36" s="30"/>
      <c r="H36" s="30"/>
      <c r="I36" s="30"/>
      <c r="J36" s="30"/>
      <c r="K36" s="30"/>
      <c r="L36" s="30"/>
      <c r="M36" s="30"/>
      <c r="N36" s="30"/>
      <c r="O36" s="30"/>
      <c r="P36" s="30"/>
      <c r="Q36" s="30"/>
      <c r="R36" s="30"/>
      <c r="S36" s="30"/>
      <c r="T36" s="30"/>
      <c r="U36" s="30"/>
      <c r="V36" s="30"/>
      <c r="W36" s="30"/>
      <c r="X36" s="30"/>
      <c r="Y36" s="30"/>
      <c r="Z36" s="30"/>
    </row>
    <row r="37" spans="1:26" ht="21" hidden="1" customHeight="1" outlineLevel="1" x14ac:dyDescent="0.85">
      <c r="A37" s="696" t="s">
        <v>1629</v>
      </c>
      <c r="B37" s="696" t="s">
        <v>1633</v>
      </c>
      <c r="C37" s="697" t="s">
        <v>1631</v>
      </c>
      <c r="D37" s="698">
        <v>39</v>
      </c>
      <c r="E37" s="699">
        <v>1116</v>
      </c>
      <c r="F37" s="698">
        <v>23.36</v>
      </c>
      <c r="G37" s="30"/>
      <c r="H37" s="30"/>
      <c r="I37" s="30"/>
      <c r="J37" s="30"/>
      <c r="K37" s="30"/>
      <c r="L37" s="30"/>
      <c r="M37" s="30"/>
      <c r="N37" s="30"/>
      <c r="O37" s="30"/>
      <c r="P37" s="30"/>
      <c r="Q37" s="30"/>
      <c r="R37" s="30"/>
      <c r="S37" s="30"/>
      <c r="T37" s="30"/>
      <c r="U37" s="30"/>
      <c r="V37" s="30"/>
      <c r="W37" s="30"/>
      <c r="X37" s="30"/>
      <c r="Y37" s="30"/>
      <c r="Z37" s="30"/>
    </row>
    <row r="38" spans="1:26" ht="21" hidden="1" customHeight="1" outlineLevel="1" x14ac:dyDescent="0.85">
      <c r="A38" s="696" t="s">
        <v>1629</v>
      </c>
      <c r="B38" s="696" t="s">
        <v>1634</v>
      </c>
      <c r="C38" s="697" t="s">
        <v>1631</v>
      </c>
      <c r="D38" s="698">
        <v>2</v>
      </c>
      <c r="E38" s="699">
        <v>5</v>
      </c>
      <c r="F38" s="698">
        <v>2.5099999999999998</v>
      </c>
      <c r="G38" s="30"/>
      <c r="H38" s="30"/>
      <c r="I38" s="30"/>
      <c r="J38" s="30"/>
      <c r="K38" s="30"/>
      <c r="L38" s="30"/>
      <c r="M38" s="30"/>
      <c r="N38" s="30"/>
      <c r="O38" s="30"/>
      <c r="P38" s="30"/>
      <c r="Q38" s="30"/>
      <c r="R38" s="30"/>
      <c r="S38" s="30"/>
      <c r="T38" s="30"/>
      <c r="U38" s="30"/>
      <c r="V38" s="30"/>
      <c r="W38" s="30"/>
      <c r="X38" s="30"/>
      <c r="Y38" s="30"/>
      <c r="Z38" s="30"/>
    </row>
    <row r="39" spans="1:26" ht="21" hidden="1" customHeight="1" outlineLevel="1" x14ac:dyDescent="0.85">
      <c r="A39" s="696" t="s">
        <v>1629</v>
      </c>
      <c r="B39" s="696" t="s">
        <v>1635</v>
      </c>
      <c r="C39" s="697" t="s">
        <v>1631</v>
      </c>
      <c r="D39" s="698">
        <v>0</v>
      </c>
      <c r="E39" s="699">
        <v>0</v>
      </c>
      <c r="F39" s="698" t="s">
        <v>106</v>
      </c>
      <c r="G39" s="30"/>
      <c r="H39" s="30"/>
      <c r="I39" s="30"/>
      <c r="J39" s="30"/>
      <c r="K39" s="30"/>
      <c r="L39" s="30"/>
      <c r="M39" s="30"/>
      <c r="N39" s="30"/>
      <c r="O39" s="30"/>
      <c r="P39" s="30"/>
      <c r="Q39" s="30"/>
      <c r="R39" s="30"/>
      <c r="S39" s="30"/>
      <c r="T39" s="30"/>
      <c r="U39" s="30"/>
      <c r="V39" s="30"/>
      <c r="W39" s="30"/>
      <c r="X39" s="30"/>
      <c r="Y39" s="30"/>
      <c r="Z39" s="30"/>
    </row>
    <row r="40" spans="1:26" ht="21" hidden="1" customHeight="1" outlineLevel="1" x14ac:dyDescent="0.85">
      <c r="A40" s="696" t="s">
        <v>1629</v>
      </c>
      <c r="B40" s="696" t="s">
        <v>1636</v>
      </c>
      <c r="C40" s="697" t="s">
        <v>1637</v>
      </c>
      <c r="D40" s="698">
        <v>97</v>
      </c>
      <c r="E40" s="699">
        <v>-119</v>
      </c>
      <c r="F40" s="698">
        <v>-0.33</v>
      </c>
      <c r="G40" s="30"/>
      <c r="H40" s="30"/>
      <c r="I40" s="30"/>
      <c r="J40" s="30"/>
      <c r="K40" s="30"/>
      <c r="L40" s="30"/>
      <c r="M40" s="30"/>
      <c r="N40" s="30"/>
      <c r="O40" s="30"/>
      <c r="P40" s="30"/>
      <c r="Q40" s="30"/>
      <c r="R40" s="30"/>
      <c r="S40" s="30"/>
      <c r="T40" s="30"/>
      <c r="U40" s="30"/>
      <c r="V40" s="30"/>
      <c r="W40" s="30"/>
      <c r="X40" s="30"/>
      <c r="Y40" s="30"/>
      <c r="Z40" s="30"/>
    </row>
    <row r="41" spans="1:26" ht="21" hidden="1" customHeight="1" outlineLevel="1" x14ac:dyDescent="0.85">
      <c r="A41" s="696" t="s">
        <v>1638</v>
      </c>
      <c r="B41" s="696" t="s">
        <v>1639</v>
      </c>
      <c r="C41" s="697" t="s">
        <v>1637</v>
      </c>
      <c r="D41" s="698">
        <v>57418</v>
      </c>
      <c r="E41" s="699">
        <v>-26299</v>
      </c>
      <c r="F41" s="700">
        <v>-0.12</v>
      </c>
      <c r="G41" s="30"/>
      <c r="H41" s="30"/>
      <c r="I41" s="30"/>
      <c r="J41" s="30"/>
      <c r="K41" s="30"/>
      <c r="L41" s="30"/>
      <c r="M41" s="30"/>
      <c r="N41" s="30"/>
      <c r="O41" s="30"/>
      <c r="P41" s="30"/>
      <c r="Q41" s="30"/>
      <c r="R41" s="30"/>
      <c r="S41" s="30"/>
      <c r="T41" s="30"/>
      <c r="U41" s="30"/>
      <c r="V41" s="30"/>
      <c r="W41" s="30"/>
      <c r="X41" s="30"/>
      <c r="Y41" s="30"/>
      <c r="Z41" s="30"/>
    </row>
    <row r="42" spans="1:26" ht="21" hidden="1" customHeight="1" outlineLevel="1" x14ac:dyDescent="0.85">
      <c r="A42" s="696" t="s">
        <v>1638</v>
      </c>
      <c r="B42" s="696" t="s">
        <v>1640</v>
      </c>
      <c r="C42" s="697" t="s">
        <v>1631</v>
      </c>
      <c r="D42" s="698">
        <v>3</v>
      </c>
      <c r="E42" s="699">
        <v>102</v>
      </c>
      <c r="F42" s="698">
        <v>29.78</v>
      </c>
      <c r="G42" s="30"/>
      <c r="H42" s="30"/>
      <c r="I42" s="30"/>
      <c r="J42" s="30"/>
      <c r="K42" s="30"/>
      <c r="L42" s="30"/>
      <c r="M42" s="30"/>
      <c r="N42" s="30"/>
      <c r="O42" s="30"/>
      <c r="P42" s="30"/>
      <c r="Q42" s="30"/>
      <c r="R42" s="30"/>
      <c r="S42" s="30"/>
      <c r="T42" s="30"/>
      <c r="U42" s="30"/>
      <c r="V42" s="30"/>
      <c r="W42" s="30"/>
      <c r="X42" s="30"/>
      <c r="Y42" s="30"/>
      <c r="Z42" s="30"/>
    </row>
    <row r="43" spans="1:26" ht="21" hidden="1" customHeight="1" outlineLevel="1" x14ac:dyDescent="0.85">
      <c r="A43" s="696" t="s">
        <v>1638</v>
      </c>
      <c r="B43" s="696" t="s">
        <v>1641</v>
      </c>
      <c r="C43" s="697" t="s">
        <v>1631</v>
      </c>
      <c r="D43" s="698">
        <v>248</v>
      </c>
      <c r="E43" s="699">
        <v>68</v>
      </c>
      <c r="F43" s="698">
        <v>0.22</v>
      </c>
      <c r="G43" s="30"/>
      <c r="H43" s="30"/>
      <c r="I43" s="30"/>
      <c r="J43" s="30"/>
      <c r="K43" s="30"/>
      <c r="L43" s="30"/>
      <c r="M43" s="30"/>
      <c r="N43" s="30"/>
      <c r="O43" s="30"/>
      <c r="P43" s="30"/>
      <c r="Q43" s="30"/>
      <c r="R43" s="30"/>
      <c r="S43" s="30"/>
      <c r="T43" s="30"/>
      <c r="U43" s="30"/>
      <c r="V43" s="30"/>
      <c r="W43" s="30"/>
      <c r="X43" s="30"/>
      <c r="Y43" s="30"/>
      <c r="Z43" s="30"/>
    </row>
    <row r="44" spans="1:26" ht="21" hidden="1" customHeight="1" outlineLevel="1" x14ac:dyDescent="0.85">
      <c r="A44" s="696" t="s">
        <v>1638</v>
      </c>
      <c r="B44" s="696" t="s">
        <v>1642</v>
      </c>
      <c r="C44" s="697" t="s">
        <v>1631</v>
      </c>
      <c r="D44" s="698">
        <v>491</v>
      </c>
      <c r="E44" s="699">
        <v>24031</v>
      </c>
      <c r="F44" s="698">
        <v>40.04</v>
      </c>
      <c r="G44" s="30"/>
      <c r="H44" s="30"/>
      <c r="I44" s="30"/>
      <c r="J44" s="30"/>
      <c r="K44" s="30"/>
      <c r="L44" s="30"/>
      <c r="M44" s="30"/>
      <c r="N44" s="30"/>
      <c r="O44" s="30"/>
      <c r="P44" s="30"/>
      <c r="Q44" s="30"/>
      <c r="R44" s="30"/>
      <c r="S44" s="30"/>
      <c r="T44" s="30"/>
      <c r="U44" s="30"/>
      <c r="V44" s="30"/>
      <c r="W44" s="30"/>
      <c r="X44" s="30"/>
      <c r="Y44" s="30"/>
      <c r="Z44" s="30"/>
    </row>
    <row r="45" spans="1:26" ht="21" hidden="1" customHeight="1" outlineLevel="1" x14ac:dyDescent="0.85">
      <c r="A45" s="696" t="s">
        <v>1643</v>
      </c>
      <c r="B45" s="696" t="s">
        <v>1644</v>
      </c>
      <c r="C45" s="697" t="s">
        <v>1631</v>
      </c>
      <c r="D45" s="698">
        <v>34</v>
      </c>
      <c r="E45" s="699">
        <v>2328</v>
      </c>
      <c r="F45" s="698">
        <v>56.1</v>
      </c>
      <c r="G45" s="30"/>
      <c r="H45" s="30"/>
      <c r="I45" s="30"/>
      <c r="J45" s="30"/>
      <c r="K45" s="30"/>
      <c r="L45" s="30"/>
      <c r="M45" s="30"/>
      <c r="N45" s="30"/>
      <c r="O45" s="30"/>
      <c r="P45" s="30"/>
      <c r="Q45" s="30"/>
      <c r="R45" s="30"/>
      <c r="S45" s="30"/>
      <c r="T45" s="30"/>
      <c r="U45" s="30"/>
      <c r="V45" s="30"/>
      <c r="W45" s="30"/>
      <c r="X45" s="30"/>
      <c r="Y45" s="30"/>
      <c r="Z45" s="30"/>
    </row>
    <row r="46" spans="1:26" ht="21" hidden="1" customHeight="1" outlineLevel="1" x14ac:dyDescent="0.85">
      <c r="A46" s="696" t="s">
        <v>1643</v>
      </c>
      <c r="B46" s="696" t="s">
        <v>1645</v>
      </c>
      <c r="C46" s="697" t="s">
        <v>1637</v>
      </c>
      <c r="D46" s="698">
        <v>5372</v>
      </c>
      <c r="E46" s="699">
        <v>-56776</v>
      </c>
      <c r="F46" s="700">
        <v>-2.88</v>
      </c>
      <c r="G46" s="30"/>
      <c r="H46" s="30"/>
      <c r="I46" s="30"/>
      <c r="J46" s="30"/>
      <c r="K46" s="30"/>
      <c r="L46" s="30"/>
      <c r="M46" s="30"/>
      <c r="N46" s="30"/>
      <c r="O46" s="30"/>
      <c r="P46" s="30"/>
      <c r="Q46" s="30"/>
      <c r="R46" s="30"/>
      <c r="S46" s="30"/>
      <c r="T46" s="30"/>
      <c r="U46" s="30"/>
      <c r="V46" s="30"/>
      <c r="W46" s="30"/>
      <c r="X46" s="30"/>
      <c r="Y46" s="30"/>
      <c r="Z46" s="30"/>
    </row>
    <row r="47" spans="1:26" ht="21" hidden="1" customHeight="1" outlineLevel="1" x14ac:dyDescent="0.85">
      <c r="A47" s="696" t="s">
        <v>1646</v>
      </c>
      <c r="B47" s="696" t="s">
        <v>106</v>
      </c>
      <c r="C47" s="697" t="s">
        <v>1637</v>
      </c>
      <c r="D47" s="698" t="s">
        <v>106</v>
      </c>
      <c r="E47" s="699">
        <v>0</v>
      </c>
      <c r="F47" s="698" t="s">
        <v>106</v>
      </c>
      <c r="G47" s="30"/>
      <c r="H47" s="30"/>
      <c r="I47" s="705"/>
      <c r="J47" s="30"/>
      <c r="K47" s="30"/>
      <c r="L47" s="30"/>
      <c r="M47" s="30"/>
      <c r="N47" s="30"/>
      <c r="O47" s="30"/>
      <c r="P47" s="30"/>
      <c r="Q47" s="30"/>
      <c r="R47" s="30"/>
      <c r="S47" s="30"/>
      <c r="T47" s="30"/>
      <c r="U47" s="30"/>
      <c r="V47" s="30"/>
      <c r="W47" s="30"/>
      <c r="X47" s="30"/>
      <c r="Y47" s="30"/>
      <c r="Z47" s="30"/>
    </row>
    <row r="48" spans="1:26" ht="21" hidden="1" customHeight="1" outlineLevel="1" x14ac:dyDescent="0.85">
      <c r="A48" s="701" t="s">
        <v>101</v>
      </c>
      <c r="B48" s="701" t="s">
        <v>106</v>
      </c>
      <c r="C48" s="452" t="s">
        <v>1631</v>
      </c>
      <c r="D48" s="452" t="s">
        <v>106</v>
      </c>
      <c r="E48" s="702">
        <v>28082</v>
      </c>
      <c r="F48" s="431"/>
      <c r="G48" s="533"/>
      <c r="H48" s="30"/>
      <c r="I48" s="705"/>
      <c r="J48" s="30"/>
      <c r="K48" s="30"/>
      <c r="L48" s="30"/>
      <c r="M48" s="30"/>
      <c r="N48" s="30"/>
      <c r="O48" s="30"/>
      <c r="P48" s="30"/>
      <c r="Q48" s="30"/>
      <c r="R48" s="30"/>
      <c r="S48" s="30"/>
      <c r="T48" s="30"/>
      <c r="U48" s="30"/>
      <c r="V48" s="30"/>
      <c r="W48" s="30"/>
      <c r="X48" s="30"/>
      <c r="Y48" s="30"/>
      <c r="Z48" s="30"/>
    </row>
    <row r="49" spans="1:26" ht="21" hidden="1" customHeight="1" outlineLevel="1" x14ac:dyDescent="0.85">
      <c r="A49" s="701" t="s">
        <v>136</v>
      </c>
      <c r="B49" s="701" t="s">
        <v>106</v>
      </c>
      <c r="C49" s="452" t="s">
        <v>1637</v>
      </c>
      <c r="D49" s="452" t="s">
        <v>106</v>
      </c>
      <c r="E49" s="702">
        <v>-83194</v>
      </c>
      <c r="F49" s="703"/>
      <c r="G49" s="533"/>
      <c r="H49" s="30"/>
      <c r="I49" s="705"/>
      <c r="J49" s="30"/>
      <c r="K49" s="30"/>
      <c r="L49" s="30"/>
      <c r="M49" s="30"/>
      <c r="N49" s="30"/>
      <c r="O49" s="30"/>
      <c r="P49" s="30"/>
      <c r="Q49" s="30"/>
      <c r="R49" s="30"/>
      <c r="S49" s="30"/>
      <c r="T49" s="30"/>
      <c r="U49" s="30"/>
      <c r="V49" s="30"/>
      <c r="W49" s="30"/>
      <c r="X49" s="30"/>
      <c r="Y49" s="30"/>
      <c r="Z49" s="30"/>
    </row>
    <row r="50" spans="1:26" ht="21" hidden="1" customHeight="1" outlineLevel="1" x14ac:dyDescent="0.85">
      <c r="A50" s="701" t="s">
        <v>1647</v>
      </c>
      <c r="B50" s="701" t="s">
        <v>106</v>
      </c>
      <c r="C50" s="452" t="s">
        <v>106</v>
      </c>
      <c r="D50" s="452" t="s">
        <v>106</v>
      </c>
      <c r="E50" s="702">
        <v>-55112</v>
      </c>
      <c r="F50" s="704"/>
      <c r="G50" s="533"/>
      <c r="H50" s="30"/>
      <c r="I50" s="705"/>
      <c r="J50" s="30"/>
      <c r="K50" s="30"/>
      <c r="L50" s="30"/>
      <c r="M50" s="30"/>
      <c r="N50" s="30"/>
      <c r="O50" s="30"/>
      <c r="P50" s="30"/>
      <c r="Q50" s="30"/>
      <c r="R50" s="30"/>
      <c r="S50" s="30"/>
      <c r="T50" s="30"/>
      <c r="U50" s="30"/>
      <c r="V50" s="30"/>
      <c r="W50" s="30"/>
      <c r="X50" s="30"/>
      <c r="Y50" s="30"/>
      <c r="Z50" s="30"/>
    </row>
    <row r="51" spans="1:26" ht="21" hidden="1" customHeight="1" outlineLevel="1" x14ac:dyDescent="0.85">
      <c r="A51" s="804" t="s">
        <v>127</v>
      </c>
      <c r="B51" s="765"/>
      <c r="C51" s="765"/>
      <c r="D51" s="765"/>
      <c r="E51" s="765"/>
      <c r="F51" s="762"/>
      <c r="G51" s="30"/>
      <c r="H51" s="30"/>
      <c r="I51" s="705"/>
      <c r="J51" s="30"/>
      <c r="K51" s="30"/>
      <c r="L51" s="30"/>
      <c r="M51" s="30"/>
      <c r="N51" s="30"/>
      <c r="O51" s="30"/>
      <c r="P51" s="30"/>
      <c r="Q51" s="30"/>
      <c r="R51" s="30"/>
      <c r="S51" s="30"/>
      <c r="T51" s="30"/>
      <c r="U51" s="30"/>
      <c r="V51" s="30"/>
      <c r="W51" s="30"/>
      <c r="X51" s="30"/>
      <c r="Y51" s="30"/>
      <c r="Z51" s="30"/>
    </row>
    <row r="52" spans="1:26" ht="21" hidden="1" customHeight="1" outlineLevel="1" x14ac:dyDescent="0.85">
      <c r="A52" s="357" t="s">
        <v>250</v>
      </c>
      <c r="B52" s="357" t="s">
        <v>409</v>
      </c>
      <c r="C52" s="357" t="s">
        <v>1625</v>
      </c>
      <c r="D52" s="357" t="s">
        <v>1626</v>
      </c>
      <c r="E52" s="695" t="s">
        <v>1649</v>
      </c>
      <c r="F52" s="400" t="s">
        <v>1628</v>
      </c>
      <c r="G52" s="30"/>
      <c r="H52" s="30"/>
      <c r="I52" s="705"/>
      <c r="J52" s="30"/>
      <c r="K52" s="30"/>
      <c r="L52" s="30"/>
      <c r="M52" s="30"/>
      <c r="N52" s="30"/>
      <c r="O52" s="30"/>
      <c r="P52" s="30"/>
      <c r="Q52" s="30"/>
      <c r="R52" s="30"/>
      <c r="S52" s="30"/>
      <c r="T52" s="30"/>
      <c r="U52" s="30"/>
      <c r="V52" s="30"/>
      <c r="W52" s="30"/>
      <c r="X52" s="30"/>
      <c r="Y52" s="30"/>
      <c r="Z52" s="30"/>
    </row>
    <row r="53" spans="1:26" ht="21" hidden="1" customHeight="1" outlineLevel="1" x14ac:dyDescent="0.85">
      <c r="A53" s="696" t="s">
        <v>1629</v>
      </c>
      <c r="B53" s="696" t="s">
        <v>1630</v>
      </c>
      <c r="C53" s="697" t="s">
        <v>1631</v>
      </c>
      <c r="D53" s="698">
        <v>0</v>
      </c>
      <c r="E53" s="699">
        <v>0</v>
      </c>
      <c r="F53" s="698" t="s">
        <v>106</v>
      </c>
      <c r="G53" s="30"/>
      <c r="H53" s="30"/>
      <c r="I53" s="706"/>
      <c r="J53" s="30"/>
      <c r="K53" s="30"/>
      <c r="L53" s="30"/>
      <c r="M53" s="30"/>
      <c r="N53" s="30"/>
      <c r="O53" s="30"/>
      <c r="P53" s="30"/>
      <c r="Q53" s="30"/>
      <c r="R53" s="30"/>
      <c r="S53" s="30"/>
      <c r="T53" s="30"/>
      <c r="U53" s="30"/>
      <c r="V53" s="30"/>
      <c r="W53" s="30"/>
      <c r="X53" s="30"/>
      <c r="Y53" s="30"/>
      <c r="Z53" s="30"/>
    </row>
    <row r="54" spans="1:26" ht="21" hidden="1" customHeight="1" outlineLevel="1" x14ac:dyDescent="0.85">
      <c r="A54" s="696" t="s">
        <v>1629</v>
      </c>
      <c r="B54" s="696" t="s">
        <v>1632</v>
      </c>
      <c r="C54" s="697" t="s">
        <v>1631</v>
      </c>
      <c r="D54" s="698">
        <v>3103</v>
      </c>
      <c r="E54" s="699">
        <v>164810</v>
      </c>
      <c r="F54" s="698">
        <v>43.42</v>
      </c>
      <c r="G54" s="30"/>
      <c r="H54" s="30"/>
      <c r="I54" s="707"/>
      <c r="J54" s="707"/>
      <c r="K54" s="30"/>
      <c r="L54" s="30"/>
      <c r="M54" s="30"/>
      <c r="N54" s="30"/>
      <c r="O54" s="30"/>
      <c r="P54" s="30"/>
      <c r="Q54" s="30"/>
      <c r="R54" s="30"/>
      <c r="S54" s="30"/>
      <c r="T54" s="30"/>
      <c r="U54" s="30"/>
      <c r="V54" s="30"/>
      <c r="W54" s="30"/>
      <c r="X54" s="30"/>
      <c r="Y54" s="30"/>
      <c r="Z54" s="30"/>
    </row>
    <row r="55" spans="1:26" ht="21" hidden="1" customHeight="1" outlineLevel="1" x14ac:dyDescent="0.85">
      <c r="A55" s="696" t="s">
        <v>1629</v>
      </c>
      <c r="B55" s="696" t="s">
        <v>1633</v>
      </c>
      <c r="C55" s="697" t="s">
        <v>1631</v>
      </c>
      <c r="D55" s="698">
        <v>1</v>
      </c>
      <c r="E55" s="699">
        <v>39</v>
      </c>
      <c r="F55" s="698">
        <v>29.14</v>
      </c>
      <c r="G55" s="30"/>
      <c r="H55" s="30"/>
      <c r="I55" s="707"/>
      <c r="J55" s="707"/>
      <c r="K55" s="30"/>
      <c r="L55" s="30"/>
      <c r="M55" s="30"/>
      <c r="N55" s="30"/>
      <c r="O55" s="30"/>
      <c r="P55" s="30"/>
      <c r="Q55" s="30"/>
      <c r="R55" s="30"/>
      <c r="S55" s="30"/>
      <c r="T55" s="30"/>
      <c r="U55" s="30"/>
      <c r="V55" s="30"/>
      <c r="W55" s="30"/>
      <c r="X55" s="30"/>
      <c r="Y55" s="30"/>
      <c r="Z55" s="30"/>
    </row>
    <row r="56" spans="1:26" ht="21" hidden="1" customHeight="1" outlineLevel="1" x14ac:dyDescent="0.85">
      <c r="A56" s="696" t="s">
        <v>1629</v>
      </c>
      <c r="B56" s="696" t="s">
        <v>1634</v>
      </c>
      <c r="C56" s="697" t="s">
        <v>1631</v>
      </c>
      <c r="D56" s="698">
        <v>52</v>
      </c>
      <c r="E56" s="699">
        <v>1942</v>
      </c>
      <c r="F56" s="698">
        <v>30.25</v>
      </c>
      <c r="G56" s="30"/>
      <c r="H56" s="30"/>
      <c r="I56" s="707"/>
      <c r="J56" s="707"/>
      <c r="K56" s="30"/>
      <c r="L56" s="30"/>
      <c r="M56" s="30"/>
      <c r="N56" s="30"/>
      <c r="O56" s="30"/>
      <c r="P56" s="30"/>
      <c r="Q56" s="30"/>
      <c r="R56" s="30"/>
      <c r="S56" s="30"/>
      <c r="T56" s="30"/>
      <c r="U56" s="30"/>
      <c r="V56" s="30"/>
      <c r="W56" s="30"/>
      <c r="X56" s="30"/>
      <c r="Y56" s="30"/>
      <c r="Z56" s="30"/>
    </row>
    <row r="57" spans="1:26" ht="21" hidden="1" customHeight="1" outlineLevel="1" x14ac:dyDescent="0.85">
      <c r="A57" s="696" t="s">
        <v>1629</v>
      </c>
      <c r="B57" s="696" t="s">
        <v>1635</v>
      </c>
      <c r="C57" s="697" t="s">
        <v>1631</v>
      </c>
      <c r="D57" s="698">
        <v>0</v>
      </c>
      <c r="E57" s="699">
        <v>0</v>
      </c>
      <c r="F57" s="698" t="s">
        <v>106</v>
      </c>
      <c r="G57" s="30"/>
      <c r="H57" s="30"/>
      <c r="I57" s="30"/>
      <c r="J57" s="30"/>
      <c r="K57" s="30"/>
      <c r="L57" s="30"/>
      <c r="M57" s="30"/>
      <c r="N57" s="30"/>
      <c r="O57" s="30"/>
      <c r="P57" s="30"/>
      <c r="Q57" s="30"/>
      <c r="R57" s="30"/>
      <c r="S57" s="30"/>
      <c r="T57" s="30"/>
      <c r="U57" s="30"/>
      <c r="V57" s="30"/>
      <c r="W57" s="30"/>
      <c r="X57" s="30"/>
      <c r="Y57" s="30"/>
      <c r="Z57" s="30"/>
    </row>
    <row r="58" spans="1:26" ht="21" hidden="1" customHeight="1" outlineLevel="1" x14ac:dyDescent="0.85">
      <c r="A58" s="696" t="s">
        <v>1629</v>
      </c>
      <c r="B58" s="696" t="s">
        <v>1636</v>
      </c>
      <c r="C58" s="697" t="s">
        <v>1637</v>
      </c>
      <c r="D58" s="698">
        <v>2443</v>
      </c>
      <c r="E58" s="699">
        <v>-3225</v>
      </c>
      <c r="F58" s="698">
        <v>-0.36</v>
      </c>
      <c r="G58" s="30"/>
      <c r="H58" s="30"/>
      <c r="I58" s="30"/>
      <c r="J58" s="30"/>
      <c r="K58" s="30"/>
      <c r="L58" s="30"/>
      <c r="M58" s="30"/>
      <c r="N58" s="30"/>
      <c r="O58" s="30"/>
      <c r="P58" s="30"/>
      <c r="Q58" s="30"/>
      <c r="R58" s="30"/>
      <c r="S58" s="30"/>
      <c r="T58" s="30"/>
      <c r="U58" s="30"/>
      <c r="V58" s="30"/>
      <c r="W58" s="30"/>
      <c r="X58" s="30"/>
      <c r="Y58" s="30"/>
      <c r="Z58" s="30"/>
    </row>
    <row r="59" spans="1:26" ht="21" hidden="1" customHeight="1" outlineLevel="1" x14ac:dyDescent="0.85">
      <c r="A59" s="696" t="s">
        <v>1638</v>
      </c>
      <c r="B59" s="696" t="s">
        <v>1639</v>
      </c>
      <c r="C59" s="697" t="s">
        <v>1637</v>
      </c>
      <c r="D59" s="698">
        <v>168700</v>
      </c>
      <c r="E59" s="699">
        <v>-204801</v>
      </c>
      <c r="F59" s="700">
        <v>-0.33</v>
      </c>
      <c r="G59" s="30"/>
      <c r="H59" s="30"/>
      <c r="I59" s="30"/>
      <c r="J59" s="30"/>
      <c r="K59" s="30"/>
      <c r="L59" s="30"/>
      <c r="M59" s="30"/>
      <c r="N59" s="30"/>
      <c r="O59" s="30"/>
      <c r="P59" s="30"/>
      <c r="Q59" s="30"/>
      <c r="R59" s="30"/>
      <c r="S59" s="30"/>
      <c r="T59" s="30"/>
      <c r="U59" s="30"/>
      <c r="V59" s="30"/>
      <c r="W59" s="30"/>
      <c r="X59" s="30"/>
      <c r="Y59" s="30"/>
      <c r="Z59" s="30"/>
    </row>
    <row r="60" spans="1:26" ht="21" hidden="1" customHeight="1" outlineLevel="1" x14ac:dyDescent="0.85">
      <c r="A60" s="696" t="s">
        <v>1638</v>
      </c>
      <c r="B60" s="696" t="s">
        <v>1640</v>
      </c>
      <c r="C60" s="697" t="s">
        <v>1631</v>
      </c>
      <c r="D60" s="698">
        <v>63</v>
      </c>
      <c r="E60" s="699">
        <v>3071</v>
      </c>
      <c r="F60" s="698">
        <v>39.78</v>
      </c>
      <c r="G60" s="30"/>
      <c r="H60" s="30"/>
      <c r="I60" s="30"/>
      <c r="J60" s="30"/>
      <c r="K60" s="30"/>
      <c r="L60" s="30"/>
      <c r="M60" s="30"/>
      <c r="N60" s="30"/>
      <c r="O60" s="30"/>
      <c r="P60" s="30"/>
      <c r="Q60" s="30"/>
      <c r="R60" s="30"/>
      <c r="S60" s="30"/>
      <c r="T60" s="30"/>
      <c r="U60" s="30"/>
      <c r="V60" s="30"/>
      <c r="W60" s="30"/>
      <c r="X60" s="30"/>
      <c r="Y60" s="30"/>
      <c r="Z60" s="30"/>
    </row>
    <row r="61" spans="1:26" ht="21" hidden="1" customHeight="1" outlineLevel="1" x14ac:dyDescent="0.85">
      <c r="A61" s="696" t="s">
        <v>1638</v>
      </c>
      <c r="B61" s="696" t="s">
        <v>1641</v>
      </c>
      <c r="C61" s="697" t="s">
        <v>1631</v>
      </c>
      <c r="D61" s="698">
        <v>4858</v>
      </c>
      <c r="E61" s="699">
        <v>9537</v>
      </c>
      <c r="F61" s="698">
        <v>1.6</v>
      </c>
      <c r="G61" s="30"/>
      <c r="H61" s="30"/>
      <c r="I61" s="30"/>
      <c r="J61" s="30"/>
      <c r="K61" s="30"/>
      <c r="L61" s="30"/>
      <c r="M61" s="30"/>
      <c r="N61" s="30"/>
      <c r="O61" s="30"/>
      <c r="P61" s="30"/>
      <c r="Q61" s="30"/>
      <c r="R61" s="30"/>
      <c r="S61" s="30"/>
      <c r="T61" s="30"/>
      <c r="U61" s="30"/>
      <c r="V61" s="30"/>
      <c r="W61" s="30"/>
      <c r="X61" s="30"/>
      <c r="Y61" s="30"/>
      <c r="Z61" s="30"/>
    </row>
    <row r="62" spans="1:26" ht="21" hidden="1" customHeight="1" outlineLevel="1" x14ac:dyDescent="0.85">
      <c r="A62" s="696" t="s">
        <v>1638</v>
      </c>
      <c r="B62" s="696" t="s">
        <v>1642</v>
      </c>
      <c r="C62" s="697" t="s">
        <v>1631</v>
      </c>
      <c r="D62" s="698">
        <v>846</v>
      </c>
      <c r="E62" s="699">
        <v>54467</v>
      </c>
      <c r="F62" s="698">
        <v>52.6</v>
      </c>
      <c r="G62" s="30"/>
      <c r="H62" s="30"/>
      <c r="I62" s="30"/>
      <c r="J62" s="30"/>
      <c r="K62" s="30"/>
      <c r="L62" s="30"/>
      <c r="M62" s="30"/>
      <c r="N62" s="30"/>
      <c r="O62" s="30"/>
      <c r="P62" s="30"/>
      <c r="Q62" s="30"/>
      <c r="R62" s="30"/>
      <c r="S62" s="30"/>
      <c r="T62" s="30"/>
      <c r="U62" s="30"/>
      <c r="V62" s="30"/>
      <c r="W62" s="30"/>
      <c r="X62" s="30"/>
      <c r="Y62" s="30"/>
      <c r="Z62" s="30"/>
    </row>
    <row r="63" spans="1:26" ht="21" hidden="1" customHeight="1" outlineLevel="1" x14ac:dyDescent="0.85">
      <c r="A63" s="696" t="s">
        <v>1643</v>
      </c>
      <c r="B63" s="696" t="s">
        <v>1644</v>
      </c>
      <c r="C63" s="697" t="s">
        <v>1631</v>
      </c>
      <c r="D63" s="698">
        <v>3181</v>
      </c>
      <c r="E63" s="699">
        <v>218334</v>
      </c>
      <c r="F63" s="698">
        <v>56.1</v>
      </c>
      <c r="G63" s="30"/>
      <c r="H63" s="30"/>
      <c r="I63" s="30"/>
      <c r="J63" s="30"/>
      <c r="K63" s="30"/>
      <c r="L63" s="30"/>
      <c r="M63" s="30"/>
      <c r="N63" s="30"/>
      <c r="O63" s="30"/>
      <c r="P63" s="30"/>
      <c r="Q63" s="30"/>
      <c r="R63" s="30"/>
      <c r="S63" s="30"/>
      <c r="T63" s="30"/>
      <c r="U63" s="30"/>
      <c r="V63" s="30"/>
      <c r="W63" s="30"/>
      <c r="X63" s="30"/>
      <c r="Y63" s="30"/>
      <c r="Z63" s="30"/>
    </row>
    <row r="64" spans="1:26" ht="21" hidden="1" customHeight="1" outlineLevel="1" x14ac:dyDescent="0.85">
      <c r="A64" s="696" t="s">
        <v>1643</v>
      </c>
      <c r="B64" s="696" t="s">
        <v>1645</v>
      </c>
      <c r="C64" s="697" t="s">
        <v>1637</v>
      </c>
      <c r="D64" s="698">
        <v>33629</v>
      </c>
      <c r="E64" s="699">
        <v>-355443</v>
      </c>
      <c r="F64" s="700">
        <v>-2.88</v>
      </c>
      <c r="G64" s="30"/>
      <c r="H64" s="30"/>
      <c r="I64" s="30"/>
      <c r="J64" s="30"/>
      <c r="K64" s="30"/>
      <c r="L64" s="30"/>
      <c r="M64" s="30"/>
      <c r="N64" s="30"/>
      <c r="O64" s="30"/>
      <c r="P64" s="30"/>
      <c r="Q64" s="30"/>
      <c r="R64" s="30"/>
      <c r="S64" s="30"/>
      <c r="T64" s="30"/>
      <c r="U64" s="30"/>
      <c r="V64" s="30"/>
      <c r="W64" s="30"/>
      <c r="X64" s="30"/>
      <c r="Y64" s="30"/>
      <c r="Z64" s="30"/>
    </row>
    <row r="65" spans="1:26" ht="21" hidden="1" customHeight="1" outlineLevel="1" x14ac:dyDescent="0.85">
      <c r="A65" s="696" t="s">
        <v>1646</v>
      </c>
      <c r="B65" s="696" t="s">
        <v>106</v>
      </c>
      <c r="C65" s="697" t="s">
        <v>1637</v>
      </c>
      <c r="D65" s="698" t="s">
        <v>106</v>
      </c>
      <c r="E65" s="699">
        <v>0</v>
      </c>
      <c r="F65" s="698" t="s">
        <v>106</v>
      </c>
      <c r="G65" s="30"/>
      <c r="H65" s="30"/>
      <c r="I65" s="30"/>
      <c r="J65" s="30"/>
      <c r="K65" s="30"/>
      <c r="L65" s="30"/>
      <c r="M65" s="30"/>
      <c r="N65" s="30"/>
      <c r="O65" s="30"/>
      <c r="P65" s="30"/>
      <c r="Q65" s="30"/>
      <c r="R65" s="30"/>
      <c r="S65" s="30"/>
      <c r="T65" s="30"/>
      <c r="U65" s="30"/>
      <c r="V65" s="30"/>
      <c r="W65" s="30"/>
      <c r="X65" s="30"/>
      <c r="Y65" s="30"/>
      <c r="Z65" s="30"/>
    </row>
    <row r="66" spans="1:26" ht="21" hidden="1" customHeight="1" outlineLevel="1" x14ac:dyDescent="0.85">
      <c r="A66" s="701" t="s">
        <v>101</v>
      </c>
      <c r="B66" s="701" t="s">
        <v>106</v>
      </c>
      <c r="C66" s="452" t="s">
        <v>1631</v>
      </c>
      <c r="D66" s="452" t="s">
        <v>106</v>
      </c>
      <c r="E66" s="702">
        <v>452199</v>
      </c>
      <c r="F66" s="431"/>
      <c r="G66" s="533"/>
      <c r="H66" s="30"/>
      <c r="I66" s="30"/>
      <c r="J66" s="30"/>
      <c r="K66" s="30"/>
      <c r="L66" s="30"/>
      <c r="M66" s="30"/>
      <c r="N66" s="30"/>
      <c r="O66" s="30"/>
      <c r="P66" s="30"/>
      <c r="Q66" s="30"/>
      <c r="R66" s="30"/>
      <c r="S66" s="30"/>
      <c r="T66" s="30"/>
      <c r="U66" s="30"/>
      <c r="V66" s="30"/>
      <c r="W66" s="30"/>
      <c r="X66" s="30"/>
      <c r="Y66" s="30"/>
      <c r="Z66" s="30"/>
    </row>
    <row r="67" spans="1:26" ht="21" hidden="1" customHeight="1" outlineLevel="1" x14ac:dyDescent="0.85">
      <c r="A67" s="701" t="s">
        <v>136</v>
      </c>
      <c r="B67" s="701" t="s">
        <v>106</v>
      </c>
      <c r="C67" s="452" t="s">
        <v>1637</v>
      </c>
      <c r="D67" s="452" t="s">
        <v>106</v>
      </c>
      <c r="E67" s="702">
        <v>-563468</v>
      </c>
      <c r="F67" s="703"/>
      <c r="G67" s="533"/>
      <c r="H67" s="30"/>
      <c r="I67" s="30"/>
      <c r="J67" s="30"/>
      <c r="K67" s="30"/>
      <c r="L67" s="30"/>
      <c r="M67" s="30"/>
      <c r="N67" s="30"/>
      <c r="O67" s="30"/>
      <c r="P67" s="30"/>
      <c r="Q67" s="30"/>
      <c r="R67" s="30"/>
      <c r="S67" s="30"/>
      <c r="T67" s="30"/>
      <c r="U67" s="30"/>
      <c r="V67" s="30"/>
      <c r="W67" s="30"/>
      <c r="X67" s="30"/>
      <c r="Y67" s="30"/>
      <c r="Z67" s="30"/>
    </row>
    <row r="68" spans="1:26" ht="21" hidden="1" customHeight="1" outlineLevel="1" x14ac:dyDescent="0.85">
      <c r="A68" s="701" t="s">
        <v>1647</v>
      </c>
      <c r="B68" s="701" t="s">
        <v>106</v>
      </c>
      <c r="C68" s="452" t="s">
        <v>106</v>
      </c>
      <c r="D68" s="452" t="s">
        <v>106</v>
      </c>
      <c r="E68" s="702">
        <v>-111269</v>
      </c>
      <c r="F68" s="704"/>
      <c r="G68" s="533"/>
      <c r="H68" s="30"/>
      <c r="I68" s="30"/>
      <c r="J68" s="30"/>
      <c r="K68" s="30"/>
      <c r="L68" s="30"/>
      <c r="M68" s="30"/>
      <c r="N68" s="30"/>
      <c r="O68" s="30"/>
      <c r="P68" s="30"/>
      <c r="Q68" s="30"/>
      <c r="R68" s="30"/>
      <c r="S68" s="30"/>
      <c r="T68" s="30"/>
      <c r="U68" s="30"/>
      <c r="V68" s="30"/>
      <c r="W68" s="30"/>
      <c r="X68" s="30"/>
      <c r="Y68" s="30"/>
      <c r="Z68" s="30"/>
    </row>
    <row r="69" spans="1:26" ht="21" hidden="1" customHeight="1" outlineLevel="1" x14ac:dyDescent="0.85">
      <c r="A69" s="804" t="s">
        <v>128</v>
      </c>
      <c r="B69" s="765"/>
      <c r="C69" s="765"/>
      <c r="D69" s="765"/>
      <c r="E69" s="765"/>
      <c r="F69" s="762"/>
      <c r="G69" s="30"/>
      <c r="H69" s="30"/>
      <c r="I69" s="30"/>
      <c r="J69" s="30"/>
      <c r="K69" s="30"/>
      <c r="L69" s="30"/>
      <c r="M69" s="30"/>
      <c r="N69" s="30"/>
      <c r="O69" s="30"/>
      <c r="P69" s="30"/>
      <c r="Q69" s="30"/>
      <c r="R69" s="30"/>
      <c r="S69" s="30"/>
      <c r="T69" s="30"/>
      <c r="U69" s="30"/>
      <c r="V69" s="30"/>
      <c r="W69" s="30"/>
      <c r="X69" s="30"/>
      <c r="Y69" s="30"/>
      <c r="Z69" s="30"/>
    </row>
    <row r="70" spans="1:26" ht="21" hidden="1" customHeight="1" outlineLevel="1" x14ac:dyDescent="0.85">
      <c r="A70" s="357" t="s">
        <v>250</v>
      </c>
      <c r="B70" s="357" t="s">
        <v>409</v>
      </c>
      <c r="C70" s="357" t="s">
        <v>1625</v>
      </c>
      <c r="D70" s="357" t="s">
        <v>1626</v>
      </c>
      <c r="E70" s="695" t="s">
        <v>1650</v>
      </c>
      <c r="F70" s="400" t="s">
        <v>1628</v>
      </c>
      <c r="G70" s="30"/>
      <c r="H70" s="30"/>
      <c r="I70" s="30"/>
      <c r="J70" s="30"/>
      <c r="K70" s="30"/>
      <c r="L70" s="30"/>
      <c r="M70" s="30"/>
      <c r="N70" s="30"/>
      <c r="O70" s="30"/>
      <c r="P70" s="30"/>
      <c r="Q70" s="30"/>
      <c r="R70" s="30"/>
      <c r="S70" s="30"/>
      <c r="T70" s="30"/>
      <c r="U70" s="30"/>
      <c r="V70" s="30"/>
      <c r="W70" s="30"/>
      <c r="X70" s="30"/>
      <c r="Y70" s="30"/>
      <c r="Z70" s="30"/>
    </row>
    <row r="71" spans="1:26" ht="21" hidden="1" customHeight="1" outlineLevel="1" x14ac:dyDescent="0.85">
      <c r="A71" s="696" t="s">
        <v>1629</v>
      </c>
      <c r="B71" s="696" t="s">
        <v>1630</v>
      </c>
      <c r="C71" s="697" t="s">
        <v>1631</v>
      </c>
      <c r="D71" s="698">
        <v>0</v>
      </c>
      <c r="E71" s="699">
        <v>0</v>
      </c>
      <c r="F71" s="698" t="s">
        <v>106</v>
      </c>
      <c r="G71" s="30"/>
      <c r="H71" s="30"/>
      <c r="I71" s="30"/>
      <c r="J71" s="30"/>
      <c r="K71" s="30"/>
      <c r="L71" s="30"/>
      <c r="M71" s="30"/>
      <c r="N71" s="30"/>
      <c r="O71" s="30"/>
      <c r="P71" s="30"/>
      <c r="Q71" s="30"/>
      <c r="R71" s="30"/>
      <c r="S71" s="30"/>
      <c r="T71" s="30"/>
      <c r="U71" s="30"/>
      <c r="V71" s="30"/>
      <c r="W71" s="30"/>
      <c r="X71" s="30"/>
      <c r="Y71" s="30"/>
      <c r="Z71" s="30"/>
    </row>
    <row r="72" spans="1:26" ht="21" hidden="1" customHeight="1" outlineLevel="1" x14ac:dyDescent="0.85">
      <c r="A72" s="696" t="s">
        <v>1629</v>
      </c>
      <c r="B72" s="696" t="s">
        <v>1632</v>
      </c>
      <c r="C72" s="697" t="s">
        <v>1631</v>
      </c>
      <c r="D72" s="698">
        <v>296</v>
      </c>
      <c r="E72" s="699">
        <v>8162</v>
      </c>
      <c r="F72" s="698">
        <v>22.52</v>
      </c>
      <c r="G72" s="30"/>
      <c r="H72" s="30"/>
      <c r="I72" s="30"/>
      <c r="J72" s="30"/>
      <c r="K72" s="30"/>
      <c r="L72" s="30"/>
      <c r="M72" s="30"/>
      <c r="N72" s="30"/>
      <c r="O72" s="30"/>
      <c r="P72" s="30"/>
      <c r="Q72" s="30"/>
      <c r="R72" s="30"/>
      <c r="S72" s="30"/>
      <c r="T72" s="30"/>
      <c r="U72" s="30"/>
      <c r="V72" s="30"/>
      <c r="W72" s="30"/>
      <c r="X72" s="30"/>
      <c r="Y72" s="30"/>
      <c r="Z72" s="30"/>
    </row>
    <row r="73" spans="1:26" ht="21" hidden="1" customHeight="1" outlineLevel="1" x14ac:dyDescent="0.85">
      <c r="A73" s="696" t="s">
        <v>1629</v>
      </c>
      <c r="B73" s="696" t="s">
        <v>1633</v>
      </c>
      <c r="C73" s="697" t="s">
        <v>1631</v>
      </c>
      <c r="D73" s="698">
        <v>7</v>
      </c>
      <c r="E73" s="699">
        <v>142</v>
      </c>
      <c r="F73" s="698">
        <v>17.68</v>
      </c>
      <c r="G73" s="30"/>
      <c r="H73" s="30"/>
      <c r="I73" s="30"/>
      <c r="J73" s="30"/>
      <c r="K73" s="30"/>
      <c r="L73" s="30"/>
      <c r="M73" s="30"/>
      <c r="N73" s="30"/>
      <c r="O73" s="30"/>
      <c r="P73" s="30"/>
      <c r="Q73" s="30"/>
      <c r="R73" s="30"/>
      <c r="S73" s="30"/>
      <c r="T73" s="30"/>
      <c r="U73" s="30"/>
      <c r="V73" s="30"/>
      <c r="W73" s="30"/>
      <c r="X73" s="30"/>
      <c r="Y73" s="30"/>
      <c r="Z73" s="30"/>
    </row>
    <row r="74" spans="1:26" ht="21" hidden="1" customHeight="1" outlineLevel="1" x14ac:dyDescent="0.85">
      <c r="A74" s="696" t="s">
        <v>1629</v>
      </c>
      <c r="B74" s="696" t="s">
        <v>1634</v>
      </c>
      <c r="C74" s="697" t="s">
        <v>1631</v>
      </c>
      <c r="D74" s="698">
        <v>1</v>
      </c>
      <c r="E74" s="699">
        <v>10</v>
      </c>
      <c r="F74" s="698">
        <v>11.35</v>
      </c>
      <c r="G74" s="30"/>
      <c r="H74" s="30"/>
      <c r="I74" s="30"/>
      <c r="J74" s="30"/>
      <c r="K74" s="30"/>
      <c r="L74" s="30"/>
      <c r="M74" s="30"/>
      <c r="N74" s="30"/>
      <c r="O74" s="30"/>
      <c r="P74" s="30"/>
      <c r="Q74" s="30"/>
      <c r="R74" s="30"/>
      <c r="S74" s="30"/>
      <c r="T74" s="30"/>
      <c r="U74" s="30"/>
      <c r="V74" s="30"/>
      <c r="W74" s="30"/>
      <c r="X74" s="30"/>
      <c r="Y74" s="30"/>
      <c r="Z74" s="30"/>
    </row>
    <row r="75" spans="1:26" ht="21" hidden="1" customHeight="1" outlineLevel="1" x14ac:dyDescent="0.85">
      <c r="A75" s="696" t="s">
        <v>1629</v>
      </c>
      <c r="B75" s="696" t="s">
        <v>1635</v>
      </c>
      <c r="C75" s="697" t="s">
        <v>1631</v>
      </c>
      <c r="D75" s="698">
        <v>6</v>
      </c>
      <c r="E75" s="699">
        <v>132</v>
      </c>
      <c r="F75" s="698">
        <v>18.5</v>
      </c>
      <c r="G75" s="30"/>
      <c r="H75" s="30"/>
      <c r="I75" s="30"/>
      <c r="J75" s="30"/>
      <c r="K75" s="30"/>
      <c r="L75" s="30"/>
      <c r="M75" s="30"/>
      <c r="N75" s="30"/>
      <c r="O75" s="30"/>
      <c r="P75" s="30"/>
      <c r="Q75" s="30"/>
      <c r="R75" s="30"/>
      <c r="S75" s="30"/>
      <c r="T75" s="30"/>
      <c r="U75" s="30"/>
      <c r="V75" s="30"/>
      <c r="W75" s="30"/>
      <c r="X75" s="30"/>
      <c r="Y75" s="30"/>
      <c r="Z75" s="30"/>
    </row>
    <row r="76" spans="1:26" ht="21" hidden="1" customHeight="1" outlineLevel="1" x14ac:dyDescent="0.85">
      <c r="A76" s="696" t="s">
        <v>1629</v>
      </c>
      <c r="B76" s="696" t="s">
        <v>1636</v>
      </c>
      <c r="C76" s="697" t="s">
        <v>1637</v>
      </c>
      <c r="D76" s="698">
        <v>92</v>
      </c>
      <c r="E76" s="699">
        <v>-106</v>
      </c>
      <c r="F76" s="698">
        <v>-0.32</v>
      </c>
      <c r="G76" s="30"/>
      <c r="H76" s="30"/>
      <c r="I76" s="30"/>
      <c r="J76" s="30"/>
      <c r="K76" s="30"/>
      <c r="L76" s="30"/>
      <c r="M76" s="30"/>
      <c r="N76" s="30"/>
      <c r="O76" s="30"/>
      <c r="P76" s="30"/>
      <c r="Q76" s="30"/>
      <c r="R76" s="30"/>
      <c r="S76" s="30"/>
      <c r="T76" s="30"/>
      <c r="U76" s="30"/>
      <c r="V76" s="30"/>
      <c r="W76" s="30"/>
      <c r="X76" s="30"/>
      <c r="Y76" s="30"/>
      <c r="Z76" s="30"/>
    </row>
    <row r="77" spans="1:26" ht="21" hidden="1" customHeight="1" outlineLevel="1" x14ac:dyDescent="0.85">
      <c r="A77" s="696" t="s">
        <v>1638</v>
      </c>
      <c r="B77" s="696" t="s">
        <v>1639</v>
      </c>
      <c r="C77" s="697" t="s">
        <v>1637</v>
      </c>
      <c r="D77" s="698">
        <v>80626</v>
      </c>
      <c r="E77" s="699">
        <v>-52245</v>
      </c>
      <c r="F77" s="700">
        <v>-0.18</v>
      </c>
      <c r="G77" s="30"/>
      <c r="H77" s="30"/>
      <c r="I77" s="30"/>
      <c r="J77" s="30"/>
      <c r="K77" s="30"/>
      <c r="L77" s="30"/>
      <c r="M77" s="30"/>
      <c r="N77" s="30"/>
      <c r="O77" s="30"/>
      <c r="P77" s="30"/>
      <c r="Q77" s="30"/>
      <c r="R77" s="30"/>
      <c r="S77" s="30"/>
      <c r="T77" s="30"/>
      <c r="U77" s="30"/>
      <c r="V77" s="30"/>
      <c r="W77" s="30"/>
      <c r="X77" s="30"/>
      <c r="Y77" s="30"/>
      <c r="Z77" s="30"/>
    </row>
    <row r="78" spans="1:26" ht="21" hidden="1" customHeight="1" outlineLevel="1" x14ac:dyDescent="0.85">
      <c r="A78" s="696" t="s">
        <v>1638</v>
      </c>
      <c r="B78" s="696" t="s">
        <v>1640</v>
      </c>
      <c r="C78" s="697" t="s">
        <v>1631</v>
      </c>
      <c r="D78" s="698">
        <v>17</v>
      </c>
      <c r="E78" s="699">
        <v>543</v>
      </c>
      <c r="F78" s="698">
        <v>26.56</v>
      </c>
      <c r="G78" s="30"/>
      <c r="H78" s="30"/>
      <c r="I78" s="30"/>
      <c r="J78" s="30"/>
      <c r="K78" s="30"/>
      <c r="L78" s="30"/>
      <c r="M78" s="30"/>
      <c r="N78" s="30"/>
      <c r="O78" s="30"/>
      <c r="P78" s="30"/>
      <c r="Q78" s="30"/>
      <c r="R78" s="30"/>
      <c r="S78" s="30"/>
      <c r="T78" s="30"/>
      <c r="U78" s="30"/>
      <c r="V78" s="30"/>
      <c r="W78" s="30"/>
      <c r="X78" s="30"/>
      <c r="Y78" s="30"/>
      <c r="Z78" s="30"/>
    </row>
    <row r="79" spans="1:26" ht="21" hidden="1" customHeight="1" outlineLevel="1" x14ac:dyDescent="0.85">
      <c r="A79" s="696" t="s">
        <v>1638</v>
      </c>
      <c r="B79" s="696" t="s">
        <v>1641</v>
      </c>
      <c r="C79" s="697" t="s">
        <v>1631</v>
      </c>
      <c r="D79" s="698">
        <v>129</v>
      </c>
      <c r="E79" s="699">
        <v>327</v>
      </c>
      <c r="F79" s="698">
        <v>2.08</v>
      </c>
      <c r="G79" s="30"/>
      <c r="H79" s="30"/>
      <c r="I79" s="30"/>
      <c r="J79" s="30"/>
      <c r="K79" s="30"/>
      <c r="L79" s="30"/>
      <c r="M79" s="30"/>
      <c r="N79" s="30"/>
      <c r="O79" s="30"/>
      <c r="P79" s="30"/>
      <c r="Q79" s="30"/>
      <c r="R79" s="30"/>
      <c r="S79" s="30"/>
      <c r="T79" s="30"/>
      <c r="U79" s="30"/>
      <c r="V79" s="30"/>
      <c r="W79" s="30"/>
      <c r="X79" s="30"/>
      <c r="Y79" s="30"/>
      <c r="Z79" s="30"/>
    </row>
    <row r="80" spans="1:26" ht="21" hidden="1" customHeight="1" outlineLevel="1" x14ac:dyDescent="0.85">
      <c r="A80" s="696" t="s">
        <v>1638</v>
      </c>
      <c r="B80" s="696" t="s">
        <v>1642</v>
      </c>
      <c r="C80" s="697" t="s">
        <v>1631</v>
      </c>
      <c r="D80" s="698">
        <v>450</v>
      </c>
      <c r="E80" s="699">
        <v>19747</v>
      </c>
      <c r="F80" s="698">
        <v>35.909999999999997</v>
      </c>
      <c r="G80" s="30"/>
      <c r="H80" s="30"/>
      <c r="I80" s="30"/>
      <c r="J80" s="30"/>
      <c r="K80" s="30"/>
      <c r="L80" s="30"/>
      <c r="M80" s="30"/>
      <c r="N80" s="30"/>
      <c r="O80" s="30"/>
      <c r="P80" s="30"/>
      <c r="Q80" s="30"/>
      <c r="R80" s="30"/>
      <c r="S80" s="30"/>
      <c r="T80" s="30"/>
      <c r="U80" s="30"/>
      <c r="V80" s="30"/>
      <c r="W80" s="30"/>
      <c r="X80" s="30"/>
      <c r="Y80" s="30"/>
      <c r="Z80" s="30"/>
    </row>
    <row r="81" spans="1:26" ht="21" hidden="1" customHeight="1" outlineLevel="1" x14ac:dyDescent="0.85">
      <c r="A81" s="696" t="s">
        <v>1643</v>
      </c>
      <c r="B81" s="696" t="s">
        <v>1644</v>
      </c>
      <c r="C81" s="697" t="s">
        <v>1631</v>
      </c>
      <c r="D81" s="698">
        <v>121</v>
      </c>
      <c r="E81" s="699">
        <v>8281</v>
      </c>
      <c r="F81" s="698">
        <v>56.1</v>
      </c>
      <c r="G81" s="30"/>
      <c r="H81" s="30"/>
      <c r="I81" s="30"/>
      <c r="J81" s="30"/>
      <c r="K81" s="30"/>
      <c r="L81" s="30"/>
      <c r="M81" s="30"/>
      <c r="N81" s="30"/>
      <c r="O81" s="30"/>
      <c r="P81" s="30"/>
      <c r="Q81" s="30"/>
      <c r="R81" s="30"/>
      <c r="S81" s="30"/>
      <c r="T81" s="30"/>
      <c r="U81" s="30"/>
      <c r="V81" s="30"/>
      <c r="W81" s="30"/>
      <c r="X81" s="30"/>
      <c r="Y81" s="30"/>
      <c r="Z81" s="30"/>
    </row>
    <row r="82" spans="1:26" ht="21" hidden="1" customHeight="1" outlineLevel="1" x14ac:dyDescent="0.85">
      <c r="A82" s="696" t="s">
        <v>1643</v>
      </c>
      <c r="B82" s="696" t="s">
        <v>1645</v>
      </c>
      <c r="C82" s="697" t="s">
        <v>1637</v>
      </c>
      <c r="D82" s="698">
        <v>26699</v>
      </c>
      <c r="E82" s="699">
        <v>-282197</v>
      </c>
      <c r="F82" s="700">
        <v>-2.88</v>
      </c>
      <c r="G82" s="30"/>
      <c r="H82" s="30"/>
      <c r="I82" s="30"/>
      <c r="J82" s="30"/>
      <c r="K82" s="30"/>
      <c r="L82" s="30"/>
      <c r="M82" s="30"/>
      <c r="N82" s="30"/>
      <c r="O82" s="30"/>
      <c r="P82" s="30"/>
      <c r="Q82" s="30"/>
      <c r="R82" s="30"/>
      <c r="S82" s="30"/>
      <c r="T82" s="30"/>
      <c r="U82" s="30"/>
      <c r="V82" s="30"/>
      <c r="W82" s="30"/>
      <c r="X82" s="30"/>
      <c r="Y82" s="30"/>
      <c r="Z82" s="30"/>
    </row>
    <row r="83" spans="1:26" ht="21" hidden="1" customHeight="1" outlineLevel="1" x14ac:dyDescent="0.85">
      <c r="A83" s="696" t="s">
        <v>1646</v>
      </c>
      <c r="B83" s="696" t="s">
        <v>106</v>
      </c>
      <c r="C83" s="697" t="s">
        <v>1637</v>
      </c>
      <c r="D83" s="698" t="s">
        <v>106</v>
      </c>
      <c r="E83" s="699">
        <v>0</v>
      </c>
      <c r="F83" s="698" t="s">
        <v>106</v>
      </c>
      <c r="G83" s="30"/>
      <c r="H83" s="30"/>
      <c r="I83" s="30"/>
      <c r="J83" s="30"/>
      <c r="K83" s="30"/>
      <c r="L83" s="30"/>
      <c r="M83" s="30"/>
      <c r="N83" s="30"/>
      <c r="O83" s="30"/>
      <c r="P83" s="30"/>
      <c r="Q83" s="30"/>
      <c r="R83" s="30"/>
      <c r="S83" s="30"/>
      <c r="T83" s="30"/>
      <c r="U83" s="30"/>
      <c r="V83" s="30"/>
      <c r="W83" s="30"/>
      <c r="X83" s="30"/>
      <c r="Y83" s="30"/>
      <c r="Z83" s="30"/>
    </row>
    <row r="84" spans="1:26" ht="21" hidden="1" customHeight="1" outlineLevel="1" x14ac:dyDescent="0.85">
      <c r="A84" s="701" t="s">
        <v>101</v>
      </c>
      <c r="B84" s="701" t="s">
        <v>106</v>
      </c>
      <c r="C84" s="452" t="s">
        <v>1631</v>
      </c>
      <c r="D84" s="452" t="s">
        <v>106</v>
      </c>
      <c r="E84" s="702">
        <v>37344</v>
      </c>
      <c r="F84" s="431"/>
      <c r="G84" s="533"/>
      <c r="H84" s="30"/>
      <c r="I84" s="30"/>
      <c r="J84" s="30"/>
      <c r="K84" s="30"/>
      <c r="L84" s="30"/>
      <c r="M84" s="30"/>
      <c r="N84" s="30"/>
      <c r="O84" s="30"/>
      <c r="P84" s="30"/>
      <c r="Q84" s="30"/>
      <c r="R84" s="30"/>
      <c r="S84" s="30"/>
      <c r="T84" s="30"/>
      <c r="U84" s="30"/>
      <c r="V84" s="30"/>
      <c r="W84" s="30"/>
      <c r="X84" s="30"/>
      <c r="Y84" s="30"/>
      <c r="Z84" s="30"/>
    </row>
    <row r="85" spans="1:26" ht="21" hidden="1" customHeight="1" outlineLevel="1" x14ac:dyDescent="0.85">
      <c r="A85" s="701" t="s">
        <v>136</v>
      </c>
      <c r="B85" s="701" t="s">
        <v>106</v>
      </c>
      <c r="C85" s="452" t="s">
        <v>1637</v>
      </c>
      <c r="D85" s="452" t="s">
        <v>106</v>
      </c>
      <c r="E85" s="702">
        <v>-334548</v>
      </c>
      <c r="F85" s="703"/>
      <c r="G85" s="533"/>
      <c r="H85" s="30"/>
      <c r="I85" s="30"/>
      <c r="J85" s="30"/>
      <c r="K85" s="30"/>
      <c r="L85" s="30"/>
      <c r="M85" s="30"/>
      <c r="N85" s="30"/>
      <c r="O85" s="30"/>
      <c r="P85" s="30"/>
      <c r="Q85" s="30"/>
      <c r="R85" s="30"/>
      <c r="S85" s="30"/>
      <c r="T85" s="30"/>
      <c r="U85" s="30"/>
      <c r="V85" s="30"/>
      <c r="W85" s="30"/>
      <c r="X85" s="30"/>
      <c r="Y85" s="30"/>
      <c r="Z85" s="30"/>
    </row>
    <row r="86" spans="1:26" ht="21" hidden="1" customHeight="1" outlineLevel="1" x14ac:dyDescent="0.85">
      <c r="A86" s="701" t="s">
        <v>1647</v>
      </c>
      <c r="B86" s="701" t="s">
        <v>106</v>
      </c>
      <c r="C86" s="452" t="s">
        <v>106</v>
      </c>
      <c r="D86" s="452" t="s">
        <v>106</v>
      </c>
      <c r="E86" s="702">
        <v>-297204</v>
      </c>
      <c r="F86" s="704"/>
      <c r="G86" s="533"/>
      <c r="H86" s="30"/>
      <c r="I86" s="30"/>
      <c r="J86" s="30"/>
      <c r="K86" s="30"/>
      <c r="L86" s="30"/>
      <c r="M86" s="30"/>
      <c r="N86" s="30"/>
      <c r="O86" s="30"/>
      <c r="P86" s="30"/>
      <c r="Q86" s="30"/>
      <c r="R86" s="30"/>
      <c r="S86" s="30"/>
      <c r="T86" s="30"/>
      <c r="U86" s="30"/>
      <c r="V86" s="30"/>
      <c r="W86" s="30"/>
      <c r="X86" s="30"/>
      <c r="Y86" s="30"/>
      <c r="Z86" s="30"/>
    </row>
    <row r="87" spans="1:26" ht="21" hidden="1" customHeight="1" outlineLevel="1" x14ac:dyDescent="0.85">
      <c r="A87" s="804" t="s">
        <v>129</v>
      </c>
      <c r="B87" s="765"/>
      <c r="C87" s="765"/>
      <c r="D87" s="765"/>
      <c r="E87" s="765"/>
      <c r="F87" s="762"/>
      <c r="G87" s="30"/>
      <c r="H87" s="30"/>
      <c r="I87" s="30"/>
      <c r="J87" s="30"/>
      <c r="K87" s="30"/>
      <c r="L87" s="30"/>
      <c r="M87" s="30"/>
      <c r="N87" s="30"/>
      <c r="O87" s="30"/>
      <c r="P87" s="30"/>
      <c r="Q87" s="30"/>
      <c r="R87" s="30"/>
      <c r="S87" s="30"/>
      <c r="T87" s="30"/>
      <c r="U87" s="30"/>
      <c r="V87" s="30"/>
      <c r="W87" s="30"/>
      <c r="X87" s="30"/>
      <c r="Y87" s="30"/>
      <c r="Z87" s="30"/>
    </row>
    <row r="88" spans="1:26" ht="21" hidden="1" customHeight="1" outlineLevel="1" x14ac:dyDescent="0.85">
      <c r="A88" s="357" t="s">
        <v>250</v>
      </c>
      <c r="B88" s="357" t="s">
        <v>409</v>
      </c>
      <c r="C88" s="357" t="s">
        <v>1625</v>
      </c>
      <c r="D88" s="357" t="s">
        <v>1626</v>
      </c>
      <c r="E88" s="695" t="s">
        <v>1651</v>
      </c>
      <c r="F88" s="400" t="s">
        <v>1628</v>
      </c>
      <c r="G88" s="30"/>
      <c r="H88" s="30"/>
      <c r="I88" s="30"/>
      <c r="J88" s="30"/>
      <c r="K88" s="30"/>
      <c r="L88" s="30"/>
      <c r="M88" s="30"/>
      <c r="N88" s="30"/>
      <c r="O88" s="30"/>
      <c r="P88" s="30"/>
      <c r="Q88" s="30"/>
      <c r="R88" s="30"/>
      <c r="S88" s="30"/>
      <c r="T88" s="30"/>
      <c r="U88" s="30"/>
      <c r="V88" s="30"/>
      <c r="W88" s="30"/>
      <c r="X88" s="30"/>
      <c r="Y88" s="30"/>
      <c r="Z88" s="30"/>
    </row>
    <row r="89" spans="1:26" ht="21" hidden="1" customHeight="1" outlineLevel="1" x14ac:dyDescent="0.85">
      <c r="A89" s="696" t="s">
        <v>1629</v>
      </c>
      <c r="B89" s="696" t="s">
        <v>1630</v>
      </c>
      <c r="C89" s="697" t="s">
        <v>1631</v>
      </c>
      <c r="D89" s="698">
        <v>1</v>
      </c>
      <c r="E89" s="699">
        <v>0</v>
      </c>
      <c r="F89" s="698">
        <v>0</v>
      </c>
      <c r="G89" s="30"/>
      <c r="H89" s="30"/>
      <c r="I89" s="30"/>
      <c r="J89" s="30"/>
      <c r="K89" s="30"/>
      <c r="L89" s="30"/>
      <c r="M89" s="30"/>
      <c r="N89" s="30"/>
      <c r="O89" s="30"/>
      <c r="P89" s="30"/>
      <c r="Q89" s="30"/>
      <c r="R89" s="30"/>
      <c r="S89" s="30"/>
      <c r="T89" s="30"/>
      <c r="U89" s="30"/>
      <c r="V89" s="30"/>
      <c r="W89" s="30"/>
      <c r="X89" s="30"/>
      <c r="Y89" s="30"/>
      <c r="Z89" s="30"/>
    </row>
    <row r="90" spans="1:26" ht="21" hidden="1" customHeight="1" outlineLevel="1" x14ac:dyDescent="0.85">
      <c r="A90" s="696" t="s">
        <v>1629</v>
      </c>
      <c r="B90" s="696" t="s">
        <v>1632</v>
      </c>
      <c r="C90" s="697" t="s">
        <v>1631</v>
      </c>
      <c r="D90" s="698">
        <v>1</v>
      </c>
      <c r="E90" s="699">
        <v>7</v>
      </c>
      <c r="F90" s="698">
        <v>6.86</v>
      </c>
      <c r="G90" s="30"/>
      <c r="H90" s="30"/>
      <c r="I90" s="30"/>
      <c r="J90" s="30"/>
      <c r="K90" s="30"/>
      <c r="L90" s="30"/>
      <c r="M90" s="30"/>
      <c r="N90" s="30"/>
      <c r="O90" s="30"/>
      <c r="P90" s="30"/>
      <c r="Q90" s="30"/>
      <c r="R90" s="30"/>
      <c r="S90" s="30"/>
      <c r="T90" s="30"/>
      <c r="U90" s="30"/>
      <c r="V90" s="30"/>
      <c r="W90" s="30"/>
      <c r="X90" s="30"/>
      <c r="Y90" s="30"/>
      <c r="Z90" s="30"/>
    </row>
    <row r="91" spans="1:26" ht="21" hidden="1" customHeight="1" outlineLevel="1" x14ac:dyDescent="0.85">
      <c r="A91" s="696" t="s">
        <v>1629</v>
      </c>
      <c r="B91" s="696" t="s">
        <v>1633</v>
      </c>
      <c r="C91" s="697" t="s">
        <v>1631</v>
      </c>
      <c r="D91" s="698">
        <v>0</v>
      </c>
      <c r="E91" s="699">
        <v>0</v>
      </c>
      <c r="F91" s="698" t="s">
        <v>106</v>
      </c>
      <c r="G91" s="30"/>
      <c r="H91" s="30"/>
      <c r="I91" s="30"/>
      <c r="J91" s="30"/>
      <c r="K91" s="30"/>
      <c r="L91" s="30"/>
      <c r="M91" s="30"/>
      <c r="N91" s="30"/>
      <c r="O91" s="30"/>
      <c r="P91" s="30"/>
      <c r="Q91" s="30"/>
      <c r="R91" s="30"/>
      <c r="S91" s="30"/>
      <c r="T91" s="30"/>
      <c r="U91" s="30"/>
      <c r="V91" s="30"/>
      <c r="W91" s="30"/>
      <c r="X91" s="30"/>
      <c r="Y91" s="30"/>
      <c r="Z91" s="30"/>
    </row>
    <row r="92" spans="1:26" ht="21" hidden="1" customHeight="1" outlineLevel="1" x14ac:dyDescent="0.85">
      <c r="A92" s="696" t="s">
        <v>1629</v>
      </c>
      <c r="B92" s="696" t="s">
        <v>1634</v>
      </c>
      <c r="C92" s="697" t="s">
        <v>1631</v>
      </c>
      <c r="D92" s="698">
        <v>63</v>
      </c>
      <c r="E92" s="699">
        <v>149</v>
      </c>
      <c r="F92" s="698">
        <v>1.94</v>
      </c>
      <c r="G92" s="30"/>
      <c r="H92" s="30"/>
      <c r="I92" s="30"/>
      <c r="J92" s="30"/>
      <c r="K92" s="30"/>
      <c r="L92" s="30"/>
      <c r="M92" s="30"/>
      <c r="N92" s="30"/>
      <c r="O92" s="30"/>
      <c r="P92" s="30"/>
      <c r="Q92" s="30"/>
      <c r="R92" s="30"/>
      <c r="S92" s="30"/>
      <c r="T92" s="30"/>
      <c r="U92" s="30"/>
      <c r="V92" s="30"/>
      <c r="W92" s="30"/>
      <c r="X92" s="30"/>
      <c r="Y92" s="30"/>
      <c r="Z92" s="30"/>
    </row>
    <row r="93" spans="1:26" ht="21" hidden="1" customHeight="1" outlineLevel="1" x14ac:dyDescent="0.85">
      <c r="A93" s="696" t="s">
        <v>1629</v>
      </c>
      <c r="B93" s="696" t="s">
        <v>1635</v>
      </c>
      <c r="C93" s="697" t="s">
        <v>1631</v>
      </c>
      <c r="D93" s="698">
        <v>0</v>
      </c>
      <c r="E93" s="699">
        <v>0</v>
      </c>
      <c r="F93" s="698" t="s">
        <v>106</v>
      </c>
      <c r="G93" s="30"/>
      <c r="H93" s="30"/>
      <c r="I93" s="30"/>
      <c r="J93" s="30"/>
      <c r="K93" s="30"/>
      <c r="L93" s="30"/>
      <c r="M93" s="30"/>
      <c r="N93" s="30"/>
      <c r="O93" s="30"/>
      <c r="P93" s="30"/>
      <c r="Q93" s="30"/>
      <c r="R93" s="30"/>
      <c r="S93" s="30"/>
      <c r="T93" s="30"/>
      <c r="U93" s="30"/>
      <c r="V93" s="30"/>
      <c r="W93" s="30"/>
      <c r="X93" s="30"/>
      <c r="Y93" s="30"/>
      <c r="Z93" s="30"/>
    </row>
    <row r="94" spans="1:26" ht="21" hidden="1" customHeight="1" outlineLevel="1" x14ac:dyDescent="0.85">
      <c r="A94" s="696" t="s">
        <v>1629</v>
      </c>
      <c r="B94" s="696" t="s">
        <v>1636</v>
      </c>
      <c r="C94" s="697" t="s">
        <v>1637</v>
      </c>
      <c r="D94" s="698">
        <v>89</v>
      </c>
      <c r="E94" s="699">
        <v>-114</v>
      </c>
      <c r="F94" s="698">
        <v>-0.35</v>
      </c>
      <c r="G94" s="30"/>
      <c r="H94" s="30"/>
      <c r="I94" s="30"/>
      <c r="J94" s="30"/>
      <c r="K94" s="30"/>
      <c r="L94" s="30"/>
      <c r="M94" s="30"/>
      <c r="N94" s="30"/>
      <c r="O94" s="30"/>
      <c r="P94" s="30"/>
      <c r="Q94" s="30"/>
      <c r="R94" s="30"/>
      <c r="S94" s="30"/>
      <c r="T94" s="30"/>
      <c r="U94" s="30"/>
      <c r="V94" s="30"/>
      <c r="W94" s="30"/>
      <c r="X94" s="30"/>
      <c r="Y94" s="30"/>
      <c r="Z94" s="30"/>
    </row>
    <row r="95" spans="1:26" ht="21" hidden="1" customHeight="1" outlineLevel="1" x14ac:dyDescent="0.85">
      <c r="A95" s="696" t="s">
        <v>1638</v>
      </c>
      <c r="B95" s="696" t="s">
        <v>1639</v>
      </c>
      <c r="C95" s="697" t="s">
        <v>1637</v>
      </c>
      <c r="D95" s="698">
        <v>4528</v>
      </c>
      <c r="E95" s="699">
        <v>-2053</v>
      </c>
      <c r="F95" s="700">
        <v>-0.12</v>
      </c>
      <c r="G95" s="30"/>
      <c r="H95" s="30"/>
      <c r="I95" s="30"/>
      <c r="J95" s="30"/>
      <c r="K95" s="30"/>
      <c r="L95" s="30"/>
      <c r="M95" s="30"/>
      <c r="N95" s="30"/>
      <c r="O95" s="30"/>
      <c r="P95" s="30"/>
      <c r="Q95" s="30"/>
      <c r="R95" s="30"/>
      <c r="S95" s="30"/>
      <c r="T95" s="30"/>
      <c r="U95" s="30"/>
      <c r="V95" s="30"/>
      <c r="W95" s="30"/>
      <c r="X95" s="30"/>
      <c r="Y95" s="30"/>
      <c r="Z95" s="30"/>
    </row>
    <row r="96" spans="1:26" ht="21" hidden="1" customHeight="1" outlineLevel="1" x14ac:dyDescent="0.85">
      <c r="A96" s="696" t="s">
        <v>1638</v>
      </c>
      <c r="B96" s="696" t="s">
        <v>1640</v>
      </c>
      <c r="C96" s="697" t="s">
        <v>1631</v>
      </c>
      <c r="D96" s="698">
        <v>0</v>
      </c>
      <c r="E96" s="699">
        <v>0</v>
      </c>
      <c r="F96" s="698" t="s">
        <v>106</v>
      </c>
      <c r="G96" s="30"/>
      <c r="H96" s="30"/>
      <c r="I96" s="30"/>
      <c r="J96" s="30"/>
      <c r="K96" s="30"/>
      <c r="L96" s="30"/>
      <c r="M96" s="30"/>
      <c r="N96" s="30"/>
      <c r="O96" s="30"/>
      <c r="P96" s="30"/>
      <c r="Q96" s="30"/>
      <c r="R96" s="30"/>
      <c r="S96" s="30"/>
      <c r="T96" s="30"/>
      <c r="U96" s="30"/>
      <c r="V96" s="30"/>
      <c r="W96" s="30"/>
      <c r="X96" s="30"/>
      <c r="Y96" s="30"/>
      <c r="Z96" s="30"/>
    </row>
    <row r="97" spans="1:26" ht="21" hidden="1" customHeight="1" outlineLevel="1" x14ac:dyDescent="0.85">
      <c r="A97" s="696" t="s">
        <v>1638</v>
      </c>
      <c r="B97" s="696" t="s">
        <v>1641</v>
      </c>
      <c r="C97" s="697" t="s">
        <v>1631</v>
      </c>
      <c r="D97" s="698">
        <v>0</v>
      </c>
      <c r="E97" s="699">
        <v>0</v>
      </c>
      <c r="F97" s="698" t="s">
        <v>106</v>
      </c>
      <c r="G97" s="30"/>
      <c r="H97" s="30"/>
      <c r="I97" s="30"/>
      <c r="J97" s="30"/>
      <c r="K97" s="30"/>
      <c r="L97" s="30"/>
      <c r="M97" s="30"/>
      <c r="N97" s="30"/>
      <c r="O97" s="30"/>
      <c r="P97" s="30"/>
      <c r="Q97" s="30"/>
      <c r="R97" s="30"/>
      <c r="S97" s="30"/>
      <c r="T97" s="30"/>
      <c r="U97" s="30"/>
      <c r="V97" s="30"/>
      <c r="W97" s="30"/>
      <c r="X97" s="30"/>
      <c r="Y97" s="30"/>
      <c r="Z97" s="30"/>
    </row>
    <row r="98" spans="1:26" ht="21" hidden="1" customHeight="1" outlineLevel="1" x14ac:dyDescent="0.85">
      <c r="A98" s="696" t="s">
        <v>1638</v>
      </c>
      <c r="B98" s="696" t="s">
        <v>1642</v>
      </c>
      <c r="C98" s="697" t="s">
        <v>1631</v>
      </c>
      <c r="D98" s="698">
        <v>1</v>
      </c>
      <c r="E98" s="699">
        <v>20</v>
      </c>
      <c r="F98" s="698">
        <v>32.32</v>
      </c>
      <c r="G98" s="30"/>
      <c r="H98" s="30"/>
      <c r="I98" s="30"/>
      <c r="J98" s="30"/>
      <c r="K98" s="30"/>
      <c r="L98" s="30"/>
      <c r="M98" s="30"/>
      <c r="N98" s="30"/>
      <c r="O98" s="30"/>
      <c r="P98" s="30"/>
      <c r="Q98" s="30"/>
      <c r="R98" s="30"/>
      <c r="S98" s="30"/>
      <c r="T98" s="30"/>
      <c r="U98" s="30"/>
      <c r="V98" s="30"/>
      <c r="W98" s="30"/>
      <c r="X98" s="30"/>
      <c r="Y98" s="30"/>
      <c r="Z98" s="30"/>
    </row>
    <row r="99" spans="1:26" ht="21" hidden="1" customHeight="1" outlineLevel="1" x14ac:dyDescent="0.85">
      <c r="A99" s="696" t="s">
        <v>1643</v>
      </c>
      <c r="B99" s="696" t="s">
        <v>1644</v>
      </c>
      <c r="C99" s="697" t="s">
        <v>1631</v>
      </c>
      <c r="D99" s="698">
        <v>1</v>
      </c>
      <c r="E99" s="699">
        <v>48</v>
      </c>
      <c r="F99" s="698">
        <v>56.15</v>
      </c>
      <c r="G99" s="30"/>
      <c r="H99" s="30"/>
      <c r="I99" s="30"/>
      <c r="J99" s="30"/>
      <c r="K99" s="30"/>
      <c r="L99" s="30"/>
      <c r="M99" s="30"/>
      <c r="N99" s="30"/>
      <c r="O99" s="30"/>
      <c r="P99" s="30"/>
      <c r="Q99" s="30"/>
      <c r="R99" s="30"/>
      <c r="S99" s="30"/>
      <c r="T99" s="30"/>
      <c r="U99" s="30"/>
      <c r="V99" s="30"/>
      <c r="W99" s="30"/>
      <c r="X99" s="30"/>
      <c r="Y99" s="30"/>
      <c r="Z99" s="30"/>
    </row>
    <row r="100" spans="1:26" ht="21" hidden="1" customHeight="1" outlineLevel="1" x14ac:dyDescent="0.85">
      <c r="A100" s="696" t="s">
        <v>1643</v>
      </c>
      <c r="B100" s="696" t="s">
        <v>1645</v>
      </c>
      <c r="C100" s="697" t="s">
        <v>1637</v>
      </c>
      <c r="D100" s="698">
        <v>1567</v>
      </c>
      <c r="E100" s="699">
        <v>-16567</v>
      </c>
      <c r="F100" s="700">
        <v>-2.88</v>
      </c>
      <c r="G100" s="30"/>
      <c r="H100" s="30"/>
      <c r="I100" s="30"/>
      <c r="J100" s="30"/>
      <c r="K100" s="30"/>
      <c r="L100" s="30"/>
      <c r="M100" s="30"/>
      <c r="N100" s="30"/>
      <c r="O100" s="30"/>
      <c r="P100" s="30"/>
      <c r="Q100" s="30"/>
      <c r="R100" s="30"/>
      <c r="S100" s="30"/>
      <c r="T100" s="30"/>
      <c r="U100" s="30"/>
      <c r="V100" s="30"/>
      <c r="W100" s="30"/>
      <c r="X100" s="30"/>
      <c r="Y100" s="30"/>
      <c r="Z100" s="30"/>
    </row>
    <row r="101" spans="1:26" ht="21" hidden="1" customHeight="1" outlineLevel="1" x14ac:dyDescent="0.85">
      <c r="A101" s="696" t="s">
        <v>1646</v>
      </c>
      <c r="B101" s="696" t="s">
        <v>106</v>
      </c>
      <c r="C101" s="697" t="s">
        <v>1637</v>
      </c>
      <c r="D101" s="698" t="s">
        <v>106</v>
      </c>
      <c r="E101" s="699">
        <v>0</v>
      </c>
      <c r="F101" s="698" t="s">
        <v>106</v>
      </c>
      <c r="G101" s="533"/>
      <c r="H101" s="30"/>
      <c r="I101" s="30"/>
      <c r="J101" s="30"/>
      <c r="K101" s="30"/>
      <c r="L101" s="30"/>
      <c r="M101" s="30"/>
      <c r="N101" s="30"/>
      <c r="O101" s="30"/>
      <c r="P101" s="30"/>
      <c r="Q101" s="30"/>
      <c r="R101" s="30"/>
      <c r="S101" s="30"/>
      <c r="T101" s="30"/>
      <c r="U101" s="30"/>
      <c r="V101" s="30"/>
      <c r="W101" s="30"/>
      <c r="X101" s="30"/>
      <c r="Y101" s="30"/>
      <c r="Z101" s="30"/>
    </row>
    <row r="102" spans="1:26" ht="21" hidden="1" customHeight="1" outlineLevel="1" x14ac:dyDescent="0.85">
      <c r="A102" s="701" t="s">
        <v>101</v>
      </c>
      <c r="B102" s="701" t="s">
        <v>106</v>
      </c>
      <c r="C102" s="452" t="s">
        <v>1631</v>
      </c>
      <c r="D102" s="452" t="s">
        <v>106</v>
      </c>
      <c r="E102" s="702">
        <v>223</v>
      </c>
      <c r="F102" s="431"/>
      <c r="G102" s="533"/>
      <c r="H102" s="30"/>
      <c r="I102" s="30"/>
      <c r="J102" s="30"/>
      <c r="K102" s="30"/>
      <c r="L102" s="30"/>
      <c r="M102" s="30"/>
      <c r="N102" s="30"/>
      <c r="O102" s="30"/>
      <c r="P102" s="30"/>
      <c r="Q102" s="30"/>
      <c r="R102" s="30"/>
      <c r="S102" s="30"/>
      <c r="T102" s="30"/>
      <c r="U102" s="30"/>
      <c r="V102" s="30"/>
      <c r="W102" s="30"/>
      <c r="X102" s="30"/>
      <c r="Y102" s="30"/>
      <c r="Z102" s="30"/>
    </row>
    <row r="103" spans="1:26" ht="21" hidden="1" customHeight="1" outlineLevel="1" x14ac:dyDescent="0.85">
      <c r="A103" s="701" t="s">
        <v>136</v>
      </c>
      <c r="B103" s="701" t="s">
        <v>106</v>
      </c>
      <c r="C103" s="452" t="s">
        <v>1637</v>
      </c>
      <c r="D103" s="452" t="s">
        <v>106</v>
      </c>
      <c r="E103" s="702">
        <v>-18734</v>
      </c>
      <c r="F103" s="703"/>
      <c r="G103" s="533"/>
      <c r="H103" s="30"/>
      <c r="I103" s="30"/>
      <c r="J103" s="30"/>
      <c r="K103" s="30"/>
      <c r="L103" s="30"/>
      <c r="M103" s="30"/>
      <c r="N103" s="30"/>
      <c r="O103" s="30"/>
      <c r="P103" s="30"/>
      <c r="Q103" s="30"/>
      <c r="R103" s="30"/>
      <c r="S103" s="30"/>
      <c r="T103" s="30"/>
      <c r="U103" s="30"/>
      <c r="V103" s="30"/>
      <c r="W103" s="30"/>
      <c r="X103" s="30"/>
      <c r="Y103" s="30"/>
      <c r="Z103" s="30"/>
    </row>
    <row r="104" spans="1:26" ht="21" hidden="1" customHeight="1" outlineLevel="1" x14ac:dyDescent="0.85">
      <c r="A104" s="701" t="s">
        <v>1647</v>
      </c>
      <c r="B104" s="701" t="s">
        <v>106</v>
      </c>
      <c r="C104" s="452" t="s">
        <v>106</v>
      </c>
      <c r="D104" s="452" t="s">
        <v>106</v>
      </c>
      <c r="E104" s="702">
        <v>-18511</v>
      </c>
      <c r="F104" s="704"/>
      <c r="G104" s="533"/>
      <c r="H104" s="30"/>
      <c r="I104" s="30"/>
      <c r="J104" s="30"/>
      <c r="K104" s="30"/>
      <c r="L104" s="30"/>
      <c r="M104" s="30"/>
      <c r="N104" s="30"/>
      <c r="O104" s="30"/>
      <c r="P104" s="30"/>
      <c r="Q104" s="30"/>
      <c r="R104" s="30"/>
      <c r="S104" s="30"/>
      <c r="T104" s="30"/>
      <c r="U104" s="30"/>
      <c r="V104" s="30"/>
      <c r="W104" s="30"/>
      <c r="X104" s="30"/>
      <c r="Y104" s="30"/>
      <c r="Z104" s="30"/>
    </row>
    <row r="105" spans="1:26" ht="21" customHeight="1" collapsed="1" x14ac:dyDescent="0.85">
      <c r="A105" s="30"/>
      <c r="B105" s="30"/>
      <c r="C105" s="30"/>
      <c r="D105" s="30"/>
      <c r="E105" s="30"/>
      <c r="F105" s="30"/>
      <c r="G105" s="30"/>
      <c r="H105" s="30"/>
      <c r="I105" s="30"/>
      <c r="J105" s="30"/>
      <c r="K105" s="30"/>
      <c r="L105" s="30"/>
      <c r="M105" s="30"/>
      <c r="N105" s="30"/>
      <c r="O105" s="30"/>
      <c r="P105" s="30"/>
      <c r="Q105" s="30"/>
      <c r="R105" s="30"/>
      <c r="S105" s="30"/>
      <c r="T105" s="30"/>
      <c r="U105" s="30"/>
      <c r="V105" s="30"/>
      <c r="W105" s="30"/>
      <c r="X105" s="30"/>
      <c r="Y105" s="30"/>
      <c r="Z105" s="30"/>
    </row>
    <row r="106" spans="1:26" ht="21" customHeight="1" x14ac:dyDescent="0.85">
      <c r="A106" s="30"/>
      <c r="B106" s="30"/>
      <c r="C106" s="30"/>
      <c r="D106" s="30"/>
      <c r="E106" s="30"/>
      <c r="F106" s="30"/>
      <c r="G106" s="30"/>
      <c r="H106" s="30"/>
      <c r="I106" s="30"/>
      <c r="J106" s="30"/>
      <c r="K106" s="30"/>
      <c r="L106" s="30"/>
      <c r="M106" s="30"/>
      <c r="N106" s="30"/>
      <c r="O106" s="30"/>
      <c r="P106" s="30"/>
      <c r="Q106" s="30"/>
      <c r="R106" s="30"/>
      <c r="S106" s="30"/>
      <c r="T106" s="30"/>
      <c r="U106" s="30"/>
      <c r="V106" s="30"/>
      <c r="W106" s="30"/>
      <c r="X106" s="30"/>
      <c r="Y106" s="30"/>
      <c r="Z106" s="30"/>
    </row>
    <row r="107" spans="1:26" ht="21" customHeight="1" x14ac:dyDescent="0.85">
      <c r="A107" s="30"/>
      <c r="B107" s="30"/>
      <c r="C107" s="30"/>
      <c r="D107" s="30"/>
      <c r="E107" s="30"/>
      <c r="F107" s="30"/>
      <c r="G107" s="30"/>
      <c r="H107" s="30"/>
      <c r="I107" s="30"/>
      <c r="J107" s="30"/>
      <c r="K107" s="30"/>
      <c r="L107" s="30"/>
      <c r="M107" s="30"/>
      <c r="N107" s="30"/>
      <c r="O107" s="30"/>
      <c r="P107" s="30"/>
      <c r="Q107" s="30"/>
      <c r="R107" s="30"/>
      <c r="S107" s="30"/>
      <c r="T107" s="30"/>
      <c r="U107" s="30"/>
      <c r="V107" s="30"/>
      <c r="W107" s="30"/>
      <c r="X107" s="30"/>
      <c r="Y107" s="30"/>
      <c r="Z107" s="30"/>
    </row>
    <row r="108" spans="1:26" ht="21" customHeight="1" x14ac:dyDescent="0.85">
      <c r="A108" s="30"/>
      <c r="B108" s="30"/>
      <c r="C108" s="30"/>
      <c r="D108" s="30"/>
      <c r="E108" s="30"/>
      <c r="F108" s="30"/>
      <c r="G108" s="30"/>
      <c r="H108" s="30"/>
      <c r="I108" s="30"/>
      <c r="J108" s="30"/>
      <c r="K108" s="30"/>
      <c r="L108" s="30"/>
      <c r="M108" s="30"/>
      <c r="N108" s="30"/>
      <c r="O108" s="30"/>
      <c r="P108" s="30"/>
      <c r="Q108" s="30"/>
      <c r="R108" s="30"/>
      <c r="S108" s="30"/>
      <c r="T108" s="30"/>
      <c r="U108" s="30"/>
      <c r="V108" s="30"/>
      <c r="W108" s="30"/>
      <c r="X108" s="30"/>
      <c r="Y108" s="30"/>
      <c r="Z108" s="30"/>
    </row>
    <row r="109" spans="1:26" ht="21" customHeight="1" x14ac:dyDescent="0.85">
      <c r="A109" s="30"/>
      <c r="B109" s="30"/>
      <c r="C109" s="30"/>
      <c r="D109" s="30"/>
      <c r="E109" s="30"/>
      <c r="F109" s="30"/>
      <c r="G109" s="30"/>
      <c r="H109" s="30"/>
      <c r="I109" s="30"/>
      <c r="J109" s="30"/>
      <c r="K109" s="30"/>
      <c r="L109" s="30"/>
      <c r="M109" s="30"/>
      <c r="N109" s="30"/>
      <c r="O109" s="30"/>
      <c r="P109" s="30"/>
      <c r="Q109" s="30"/>
      <c r="R109" s="30"/>
      <c r="S109" s="30"/>
      <c r="T109" s="30"/>
      <c r="U109" s="30"/>
      <c r="V109" s="30"/>
      <c r="W109" s="30"/>
      <c r="X109" s="30"/>
      <c r="Y109" s="30"/>
      <c r="Z109" s="30"/>
    </row>
    <row r="110" spans="1:26" ht="21" customHeight="1" x14ac:dyDescent="0.85">
      <c r="A110" s="30"/>
      <c r="B110" s="30"/>
      <c r="C110" s="30"/>
      <c r="D110" s="30"/>
      <c r="E110" s="30"/>
      <c r="F110" s="30"/>
      <c r="G110" s="30"/>
      <c r="H110" s="30"/>
      <c r="I110" s="30"/>
      <c r="J110" s="30"/>
      <c r="K110" s="30"/>
      <c r="L110" s="30"/>
      <c r="M110" s="30"/>
      <c r="N110" s="30"/>
      <c r="O110" s="30"/>
      <c r="P110" s="30"/>
      <c r="Q110" s="30"/>
      <c r="R110" s="30"/>
      <c r="S110" s="30"/>
      <c r="T110" s="30"/>
      <c r="U110" s="30"/>
      <c r="V110" s="30"/>
      <c r="W110" s="30"/>
      <c r="X110" s="30"/>
      <c r="Y110" s="30"/>
      <c r="Z110" s="30"/>
    </row>
    <row r="111" spans="1:26" ht="21" customHeight="1" x14ac:dyDescent="0.85">
      <c r="A111" s="30"/>
      <c r="B111" s="30"/>
      <c r="C111" s="30"/>
      <c r="D111" s="30"/>
      <c r="E111" s="30"/>
      <c r="F111" s="30"/>
      <c r="G111" s="30"/>
      <c r="H111" s="30"/>
      <c r="I111" s="30"/>
      <c r="J111" s="30"/>
      <c r="K111" s="30"/>
      <c r="L111" s="30"/>
      <c r="M111" s="30"/>
      <c r="N111" s="30"/>
      <c r="O111" s="30"/>
      <c r="P111" s="30"/>
      <c r="Q111" s="30"/>
      <c r="R111" s="30"/>
      <c r="S111" s="30"/>
      <c r="T111" s="30"/>
      <c r="U111" s="30"/>
      <c r="V111" s="30"/>
      <c r="W111" s="30"/>
      <c r="X111" s="30"/>
      <c r="Y111" s="30"/>
      <c r="Z111" s="30"/>
    </row>
    <row r="112" spans="1:26" ht="21" customHeight="1" x14ac:dyDescent="0.85">
      <c r="A112" s="30"/>
      <c r="B112" s="30"/>
      <c r="C112" s="30"/>
      <c r="D112" s="30"/>
      <c r="E112" s="30"/>
      <c r="F112" s="30"/>
      <c r="G112" s="30"/>
      <c r="H112" s="30"/>
      <c r="I112" s="30"/>
      <c r="J112" s="30"/>
      <c r="K112" s="30"/>
      <c r="L112" s="30"/>
      <c r="M112" s="30"/>
      <c r="N112" s="30"/>
      <c r="O112" s="30"/>
      <c r="P112" s="30"/>
      <c r="Q112" s="30"/>
      <c r="R112" s="30"/>
      <c r="S112" s="30"/>
      <c r="T112" s="30"/>
      <c r="U112" s="30"/>
      <c r="V112" s="30"/>
      <c r="W112" s="30"/>
      <c r="X112" s="30"/>
      <c r="Y112" s="30"/>
      <c r="Z112" s="30"/>
    </row>
    <row r="113" spans="1:26" ht="21" customHeight="1" x14ac:dyDescent="0.85">
      <c r="A113" s="30"/>
      <c r="B113" s="30"/>
      <c r="C113" s="30"/>
      <c r="D113" s="30"/>
      <c r="E113" s="30"/>
      <c r="F113" s="30"/>
      <c r="G113" s="30"/>
      <c r="H113" s="30"/>
      <c r="I113" s="30"/>
      <c r="J113" s="30"/>
      <c r="K113" s="30"/>
      <c r="L113" s="30"/>
      <c r="M113" s="30"/>
      <c r="N113" s="30"/>
      <c r="O113" s="30"/>
      <c r="P113" s="30"/>
      <c r="Q113" s="30"/>
      <c r="R113" s="30"/>
      <c r="S113" s="30"/>
      <c r="T113" s="30"/>
      <c r="U113" s="30"/>
      <c r="V113" s="30"/>
      <c r="W113" s="30"/>
      <c r="X113" s="30"/>
      <c r="Y113" s="30"/>
      <c r="Z113" s="30"/>
    </row>
    <row r="114" spans="1:26" ht="21" customHeight="1" x14ac:dyDescent="0.85">
      <c r="A114" s="30"/>
      <c r="B114" s="30"/>
      <c r="C114" s="30"/>
      <c r="D114" s="30"/>
      <c r="E114" s="30"/>
      <c r="F114" s="30"/>
      <c r="G114" s="30"/>
      <c r="H114" s="30"/>
      <c r="I114" s="30"/>
      <c r="J114" s="30"/>
      <c r="K114" s="30"/>
      <c r="L114" s="30"/>
      <c r="M114" s="30"/>
      <c r="N114" s="30"/>
      <c r="O114" s="30"/>
      <c r="P114" s="30"/>
      <c r="Q114" s="30"/>
      <c r="R114" s="30"/>
      <c r="S114" s="30"/>
      <c r="T114" s="30"/>
      <c r="U114" s="30"/>
      <c r="V114" s="30"/>
      <c r="W114" s="30"/>
      <c r="X114" s="30"/>
      <c r="Y114" s="30"/>
      <c r="Z114" s="30"/>
    </row>
    <row r="115" spans="1:26" ht="21" customHeight="1" x14ac:dyDescent="0.85">
      <c r="A115" s="30"/>
      <c r="B115" s="30"/>
      <c r="C115" s="30"/>
      <c r="D115" s="30"/>
      <c r="E115" s="30"/>
      <c r="F115" s="30"/>
      <c r="G115" s="30"/>
      <c r="H115" s="30"/>
      <c r="I115" s="30"/>
      <c r="J115" s="30"/>
      <c r="K115" s="30"/>
      <c r="L115" s="30"/>
      <c r="M115" s="30"/>
      <c r="N115" s="30"/>
      <c r="O115" s="30"/>
      <c r="P115" s="30"/>
      <c r="Q115" s="30"/>
      <c r="R115" s="30"/>
      <c r="S115" s="30"/>
      <c r="T115" s="30"/>
      <c r="U115" s="30"/>
      <c r="V115" s="30"/>
      <c r="W115" s="30"/>
      <c r="X115" s="30"/>
      <c r="Y115" s="30"/>
      <c r="Z115" s="30"/>
    </row>
    <row r="116" spans="1:26" ht="21" customHeight="1" x14ac:dyDescent="0.85">
      <c r="A116" s="30"/>
      <c r="B116" s="30"/>
      <c r="C116" s="30"/>
      <c r="D116" s="30"/>
      <c r="E116" s="30"/>
      <c r="F116" s="30"/>
      <c r="G116" s="30"/>
      <c r="H116" s="30"/>
      <c r="I116" s="30"/>
      <c r="J116" s="30"/>
      <c r="K116" s="30"/>
      <c r="L116" s="30"/>
      <c r="M116" s="30"/>
      <c r="N116" s="30"/>
      <c r="O116" s="30"/>
      <c r="P116" s="30"/>
      <c r="Q116" s="30"/>
      <c r="R116" s="30"/>
      <c r="S116" s="30"/>
      <c r="T116" s="30"/>
      <c r="U116" s="30"/>
      <c r="V116" s="30"/>
      <c r="W116" s="30"/>
      <c r="X116" s="30"/>
      <c r="Y116" s="30"/>
      <c r="Z116" s="30"/>
    </row>
    <row r="117" spans="1:26" ht="21" customHeight="1" x14ac:dyDescent="0.85">
      <c r="A117" s="30"/>
      <c r="B117" s="30"/>
      <c r="C117" s="30"/>
      <c r="D117" s="30"/>
      <c r="E117" s="30"/>
      <c r="F117" s="30"/>
      <c r="G117" s="30"/>
      <c r="H117" s="30"/>
      <c r="I117" s="30"/>
      <c r="J117" s="30"/>
      <c r="K117" s="30"/>
      <c r="L117" s="30"/>
      <c r="M117" s="30"/>
      <c r="N117" s="30"/>
      <c r="O117" s="30"/>
      <c r="P117" s="30"/>
      <c r="Q117" s="30"/>
      <c r="R117" s="30"/>
      <c r="S117" s="30"/>
      <c r="T117" s="30"/>
      <c r="U117" s="30"/>
      <c r="V117" s="30"/>
      <c r="W117" s="30"/>
      <c r="X117" s="30"/>
      <c r="Y117" s="30"/>
      <c r="Z117" s="30"/>
    </row>
    <row r="118" spans="1:26" ht="21" customHeight="1" x14ac:dyDescent="0.85">
      <c r="A118" s="30"/>
      <c r="B118" s="30"/>
      <c r="C118" s="30"/>
      <c r="D118" s="30"/>
      <c r="E118" s="30"/>
      <c r="F118" s="30"/>
      <c r="G118" s="30"/>
      <c r="H118" s="30"/>
      <c r="I118" s="30"/>
      <c r="J118" s="30"/>
      <c r="K118" s="30"/>
      <c r="L118" s="30"/>
      <c r="M118" s="30"/>
      <c r="N118" s="30"/>
      <c r="O118" s="30"/>
      <c r="P118" s="30"/>
      <c r="Q118" s="30"/>
      <c r="R118" s="30"/>
      <c r="S118" s="30"/>
      <c r="T118" s="30"/>
      <c r="U118" s="30"/>
      <c r="V118" s="30"/>
      <c r="W118" s="30"/>
      <c r="X118" s="30"/>
      <c r="Y118" s="30"/>
      <c r="Z118" s="30"/>
    </row>
    <row r="119" spans="1:26" ht="21" customHeight="1" x14ac:dyDescent="0.85">
      <c r="A119" s="30"/>
      <c r="B119" s="30"/>
      <c r="C119" s="30"/>
      <c r="D119" s="30"/>
      <c r="E119" s="30"/>
      <c r="F119" s="30"/>
      <c r="G119" s="30"/>
      <c r="H119" s="30"/>
      <c r="I119" s="30"/>
      <c r="J119" s="30"/>
      <c r="K119" s="30"/>
      <c r="L119" s="30"/>
      <c r="M119" s="30"/>
      <c r="N119" s="30"/>
      <c r="O119" s="30"/>
      <c r="P119" s="30"/>
      <c r="Q119" s="30"/>
      <c r="R119" s="30"/>
      <c r="S119" s="30"/>
      <c r="T119" s="30"/>
      <c r="U119" s="30"/>
      <c r="V119" s="30"/>
      <c r="W119" s="30"/>
      <c r="X119" s="30"/>
      <c r="Y119" s="30"/>
      <c r="Z119" s="30"/>
    </row>
    <row r="120" spans="1:26" ht="21" customHeight="1" x14ac:dyDescent="0.85">
      <c r="A120" s="30"/>
      <c r="B120" s="30"/>
      <c r="C120" s="30"/>
      <c r="D120" s="30"/>
      <c r="E120" s="30"/>
      <c r="F120" s="30"/>
      <c r="G120" s="30"/>
      <c r="H120" s="30"/>
      <c r="I120" s="30"/>
      <c r="J120" s="30"/>
      <c r="K120" s="30"/>
      <c r="L120" s="30"/>
      <c r="M120" s="30"/>
      <c r="N120" s="30"/>
      <c r="O120" s="30"/>
      <c r="P120" s="30"/>
      <c r="Q120" s="30"/>
      <c r="R120" s="30"/>
      <c r="S120" s="30"/>
      <c r="T120" s="30"/>
      <c r="U120" s="30"/>
      <c r="V120" s="30"/>
      <c r="W120" s="30"/>
      <c r="X120" s="30"/>
      <c r="Y120" s="30"/>
      <c r="Z120" s="30"/>
    </row>
    <row r="121" spans="1:26" ht="21" customHeight="1" x14ac:dyDescent="0.85">
      <c r="A121" s="30"/>
      <c r="B121" s="30"/>
      <c r="C121" s="30"/>
      <c r="D121" s="30"/>
      <c r="E121" s="30"/>
      <c r="F121" s="30"/>
      <c r="G121" s="30"/>
      <c r="H121" s="30"/>
      <c r="I121" s="30"/>
      <c r="J121" s="30"/>
      <c r="K121" s="30"/>
      <c r="L121" s="30"/>
      <c r="M121" s="30"/>
      <c r="N121" s="30"/>
      <c r="O121" s="30"/>
      <c r="P121" s="30"/>
      <c r="Q121" s="30"/>
      <c r="R121" s="30"/>
      <c r="S121" s="30"/>
      <c r="T121" s="30"/>
      <c r="U121" s="30"/>
      <c r="V121" s="30"/>
      <c r="W121" s="30"/>
      <c r="X121" s="30"/>
      <c r="Y121" s="30"/>
      <c r="Z121" s="30"/>
    </row>
    <row r="122" spans="1:26" ht="21" customHeight="1" x14ac:dyDescent="0.85">
      <c r="A122" s="30"/>
      <c r="B122" s="30"/>
      <c r="C122" s="30"/>
      <c r="D122" s="30"/>
      <c r="E122" s="30"/>
      <c r="F122" s="30"/>
      <c r="G122" s="30"/>
      <c r="H122" s="30"/>
      <c r="I122" s="30"/>
      <c r="J122" s="30"/>
      <c r="K122" s="30"/>
      <c r="L122" s="30"/>
      <c r="M122" s="30"/>
      <c r="N122" s="30"/>
      <c r="O122" s="30"/>
      <c r="P122" s="30"/>
      <c r="Q122" s="30"/>
      <c r="R122" s="30"/>
      <c r="S122" s="30"/>
      <c r="T122" s="30"/>
      <c r="U122" s="30"/>
      <c r="V122" s="30"/>
      <c r="W122" s="30"/>
      <c r="X122" s="30"/>
      <c r="Y122" s="30"/>
      <c r="Z122" s="30"/>
    </row>
    <row r="123" spans="1:26" ht="21" customHeight="1" x14ac:dyDescent="0.85">
      <c r="A123" s="30"/>
      <c r="B123" s="30"/>
      <c r="C123" s="30"/>
      <c r="D123" s="30"/>
      <c r="E123" s="30"/>
      <c r="F123" s="30"/>
      <c r="G123" s="30"/>
      <c r="H123" s="30"/>
      <c r="I123" s="30"/>
      <c r="J123" s="30"/>
      <c r="K123" s="30"/>
      <c r="L123" s="30"/>
      <c r="M123" s="30"/>
      <c r="N123" s="30"/>
      <c r="O123" s="30"/>
      <c r="P123" s="30"/>
      <c r="Q123" s="30"/>
      <c r="R123" s="30"/>
      <c r="S123" s="30"/>
      <c r="T123" s="30"/>
      <c r="U123" s="30"/>
      <c r="V123" s="30"/>
      <c r="W123" s="30"/>
      <c r="X123" s="30"/>
      <c r="Y123" s="30"/>
      <c r="Z123" s="30"/>
    </row>
    <row r="124" spans="1:26" ht="21" customHeight="1" x14ac:dyDescent="0.85">
      <c r="A124" s="30"/>
      <c r="B124" s="30"/>
      <c r="C124" s="30"/>
      <c r="D124" s="30"/>
      <c r="E124" s="30"/>
      <c r="F124" s="30"/>
      <c r="G124" s="30"/>
      <c r="H124" s="30"/>
      <c r="I124" s="30"/>
      <c r="J124" s="30"/>
      <c r="K124" s="30"/>
      <c r="L124" s="30"/>
      <c r="M124" s="30"/>
      <c r="N124" s="30"/>
      <c r="O124" s="30"/>
      <c r="P124" s="30"/>
      <c r="Q124" s="30"/>
      <c r="R124" s="30"/>
      <c r="S124" s="30"/>
      <c r="T124" s="30"/>
      <c r="U124" s="30"/>
      <c r="V124" s="30"/>
      <c r="W124" s="30"/>
      <c r="X124" s="30"/>
      <c r="Y124" s="30"/>
      <c r="Z124" s="30"/>
    </row>
    <row r="125" spans="1:26" ht="21" customHeight="1" x14ac:dyDescent="0.85">
      <c r="A125" s="30"/>
      <c r="B125" s="30"/>
      <c r="C125" s="30"/>
      <c r="D125" s="30"/>
      <c r="E125" s="30"/>
      <c r="F125" s="30"/>
      <c r="G125" s="30"/>
      <c r="H125" s="30"/>
      <c r="I125" s="30"/>
      <c r="J125" s="30"/>
      <c r="K125" s="30"/>
      <c r="L125" s="30"/>
      <c r="M125" s="30"/>
      <c r="N125" s="30"/>
      <c r="O125" s="30"/>
      <c r="P125" s="30"/>
      <c r="Q125" s="30"/>
      <c r="R125" s="30"/>
      <c r="S125" s="30"/>
      <c r="T125" s="30"/>
      <c r="U125" s="30"/>
      <c r="V125" s="30"/>
      <c r="W125" s="30"/>
      <c r="X125" s="30"/>
      <c r="Y125" s="30"/>
      <c r="Z125" s="30"/>
    </row>
    <row r="126" spans="1:26" ht="21" customHeight="1" x14ac:dyDescent="0.85">
      <c r="A126" s="30"/>
      <c r="B126" s="30"/>
      <c r="C126" s="30"/>
      <c r="D126" s="30"/>
      <c r="E126" s="30"/>
      <c r="F126" s="30"/>
      <c r="G126" s="30"/>
      <c r="H126" s="30"/>
      <c r="I126" s="30"/>
      <c r="J126" s="30"/>
      <c r="K126" s="30"/>
      <c r="L126" s="30"/>
      <c r="M126" s="30"/>
      <c r="N126" s="30"/>
      <c r="O126" s="30"/>
      <c r="P126" s="30"/>
      <c r="Q126" s="30"/>
      <c r="R126" s="30"/>
      <c r="S126" s="30"/>
      <c r="T126" s="30"/>
      <c r="U126" s="30"/>
      <c r="V126" s="30"/>
      <c r="W126" s="30"/>
      <c r="X126" s="30"/>
      <c r="Y126" s="30"/>
      <c r="Z126" s="30"/>
    </row>
    <row r="127" spans="1:26" ht="21" customHeight="1" x14ac:dyDescent="0.85">
      <c r="A127" s="30"/>
      <c r="B127" s="30"/>
      <c r="C127" s="30"/>
      <c r="D127" s="30"/>
      <c r="E127" s="30"/>
      <c r="F127" s="30"/>
      <c r="G127" s="30"/>
      <c r="H127" s="30"/>
      <c r="I127" s="30"/>
      <c r="J127" s="30"/>
      <c r="K127" s="30"/>
      <c r="L127" s="30"/>
      <c r="M127" s="30"/>
      <c r="N127" s="30"/>
      <c r="O127" s="30"/>
      <c r="P127" s="30"/>
      <c r="Q127" s="30"/>
      <c r="R127" s="30"/>
      <c r="S127" s="30"/>
      <c r="T127" s="30"/>
      <c r="U127" s="30"/>
      <c r="V127" s="30"/>
      <c r="W127" s="30"/>
      <c r="X127" s="30"/>
      <c r="Y127" s="30"/>
      <c r="Z127" s="30"/>
    </row>
    <row r="128" spans="1:26" ht="21" customHeight="1" x14ac:dyDescent="0.85">
      <c r="A128" s="30"/>
      <c r="B128" s="30"/>
      <c r="C128" s="30"/>
      <c r="D128" s="30"/>
      <c r="E128" s="30"/>
      <c r="F128" s="30"/>
      <c r="G128" s="30"/>
      <c r="H128" s="30"/>
      <c r="I128" s="30"/>
      <c r="J128" s="30"/>
      <c r="K128" s="30"/>
      <c r="L128" s="30"/>
      <c r="M128" s="30"/>
      <c r="N128" s="30"/>
      <c r="O128" s="30"/>
      <c r="P128" s="30"/>
      <c r="Q128" s="30"/>
      <c r="R128" s="30"/>
      <c r="S128" s="30"/>
      <c r="T128" s="30"/>
      <c r="U128" s="30"/>
      <c r="V128" s="30"/>
      <c r="W128" s="30"/>
      <c r="X128" s="30"/>
      <c r="Y128" s="30"/>
      <c r="Z128" s="30"/>
    </row>
    <row r="129" spans="1:26" ht="21" customHeight="1" x14ac:dyDescent="0.85">
      <c r="A129" s="30"/>
      <c r="B129" s="30"/>
      <c r="C129" s="30"/>
      <c r="D129" s="30"/>
      <c r="E129" s="30"/>
      <c r="F129" s="30"/>
      <c r="G129" s="30"/>
      <c r="H129" s="30"/>
      <c r="I129" s="30"/>
      <c r="J129" s="30"/>
      <c r="K129" s="30"/>
      <c r="L129" s="30"/>
      <c r="M129" s="30"/>
      <c r="N129" s="30"/>
      <c r="O129" s="30"/>
      <c r="P129" s="30"/>
      <c r="Q129" s="30"/>
      <c r="R129" s="30"/>
      <c r="S129" s="30"/>
      <c r="T129" s="30"/>
      <c r="U129" s="30"/>
      <c r="V129" s="30"/>
      <c r="W129" s="30"/>
      <c r="X129" s="30"/>
      <c r="Y129" s="30"/>
      <c r="Z129" s="30"/>
    </row>
    <row r="130" spans="1:26" ht="21" customHeight="1" x14ac:dyDescent="0.85">
      <c r="A130" s="30"/>
      <c r="B130" s="30"/>
      <c r="C130" s="30"/>
      <c r="D130" s="30"/>
      <c r="E130" s="30"/>
      <c r="F130" s="30"/>
      <c r="G130" s="30"/>
      <c r="H130" s="30"/>
      <c r="I130" s="30"/>
      <c r="J130" s="30"/>
      <c r="K130" s="30"/>
      <c r="L130" s="30"/>
      <c r="M130" s="30"/>
      <c r="N130" s="30"/>
      <c r="O130" s="30"/>
      <c r="P130" s="30"/>
      <c r="Q130" s="30"/>
      <c r="R130" s="30"/>
      <c r="S130" s="30"/>
      <c r="T130" s="30"/>
      <c r="U130" s="30"/>
      <c r="V130" s="30"/>
      <c r="W130" s="30"/>
      <c r="X130" s="30"/>
      <c r="Y130" s="30"/>
      <c r="Z130" s="30"/>
    </row>
    <row r="131" spans="1:26" ht="21" customHeight="1" x14ac:dyDescent="0.85">
      <c r="A131" s="30"/>
      <c r="B131" s="30"/>
      <c r="C131" s="30"/>
      <c r="D131" s="30"/>
      <c r="E131" s="30"/>
      <c r="F131" s="30"/>
      <c r="G131" s="30"/>
      <c r="H131" s="30"/>
      <c r="I131" s="30"/>
      <c r="J131" s="30"/>
      <c r="K131" s="30"/>
      <c r="L131" s="30"/>
      <c r="M131" s="30"/>
      <c r="N131" s="30"/>
      <c r="O131" s="30"/>
      <c r="P131" s="30"/>
      <c r="Q131" s="30"/>
      <c r="R131" s="30"/>
      <c r="S131" s="30"/>
      <c r="T131" s="30"/>
      <c r="U131" s="30"/>
      <c r="V131" s="30"/>
      <c r="W131" s="30"/>
      <c r="X131" s="30"/>
      <c r="Y131" s="30"/>
      <c r="Z131" s="30"/>
    </row>
    <row r="132" spans="1:26" ht="21" customHeight="1" x14ac:dyDescent="0.85">
      <c r="A132" s="30"/>
      <c r="B132" s="30"/>
      <c r="C132" s="30"/>
      <c r="D132" s="30"/>
      <c r="E132" s="30"/>
      <c r="F132" s="30"/>
      <c r="G132" s="30"/>
      <c r="H132" s="30"/>
      <c r="I132" s="30"/>
      <c r="J132" s="30"/>
      <c r="K132" s="30"/>
      <c r="L132" s="30"/>
      <c r="M132" s="30"/>
      <c r="N132" s="30"/>
      <c r="O132" s="30"/>
      <c r="P132" s="30"/>
      <c r="Q132" s="30"/>
      <c r="R132" s="30"/>
      <c r="S132" s="30"/>
      <c r="T132" s="30"/>
      <c r="U132" s="30"/>
      <c r="V132" s="30"/>
      <c r="W132" s="30"/>
      <c r="X132" s="30"/>
      <c r="Y132" s="30"/>
      <c r="Z132" s="30"/>
    </row>
    <row r="133" spans="1:26" ht="21" customHeight="1" x14ac:dyDescent="0.85">
      <c r="A133" s="30"/>
      <c r="B133" s="30"/>
      <c r="C133" s="30"/>
      <c r="D133" s="30"/>
      <c r="E133" s="30"/>
      <c r="F133" s="30"/>
      <c r="G133" s="30"/>
      <c r="H133" s="30"/>
      <c r="I133" s="30"/>
      <c r="J133" s="30"/>
      <c r="K133" s="30"/>
      <c r="L133" s="30"/>
      <c r="M133" s="30"/>
      <c r="N133" s="30"/>
      <c r="O133" s="30"/>
      <c r="P133" s="30"/>
      <c r="Q133" s="30"/>
      <c r="R133" s="30"/>
      <c r="S133" s="30"/>
      <c r="T133" s="30"/>
      <c r="U133" s="30"/>
      <c r="V133" s="30"/>
      <c r="W133" s="30"/>
      <c r="X133" s="30"/>
      <c r="Y133" s="30"/>
      <c r="Z133" s="30"/>
    </row>
    <row r="134" spans="1:26" ht="21" customHeight="1" x14ac:dyDescent="0.85">
      <c r="A134" s="30"/>
      <c r="B134" s="30"/>
      <c r="C134" s="30"/>
      <c r="D134" s="30"/>
      <c r="E134" s="30"/>
      <c r="F134" s="30"/>
      <c r="G134" s="30"/>
      <c r="H134" s="30"/>
      <c r="I134" s="30"/>
      <c r="J134" s="30"/>
      <c r="K134" s="30"/>
      <c r="L134" s="30"/>
      <c r="M134" s="30"/>
      <c r="N134" s="30"/>
      <c r="O134" s="30"/>
      <c r="P134" s="30"/>
      <c r="Q134" s="30"/>
      <c r="R134" s="30"/>
      <c r="S134" s="30"/>
      <c r="T134" s="30"/>
      <c r="U134" s="30"/>
      <c r="V134" s="30"/>
      <c r="W134" s="30"/>
      <c r="X134" s="30"/>
      <c r="Y134" s="30"/>
      <c r="Z134" s="30"/>
    </row>
    <row r="135" spans="1:26" ht="21" customHeight="1" x14ac:dyDescent="0.85">
      <c r="A135" s="30"/>
      <c r="B135" s="30"/>
      <c r="C135" s="30"/>
      <c r="D135" s="30"/>
      <c r="E135" s="30"/>
      <c r="F135" s="30"/>
      <c r="G135" s="30"/>
      <c r="H135" s="30"/>
      <c r="I135" s="30"/>
      <c r="J135" s="30"/>
      <c r="K135" s="30"/>
      <c r="L135" s="30"/>
      <c r="M135" s="30"/>
      <c r="N135" s="30"/>
      <c r="O135" s="30"/>
      <c r="P135" s="30"/>
      <c r="Q135" s="30"/>
      <c r="R135" s="30"/>
      <c r="S135" s="30"/>
      <c r="T135" s="30"/>
      <c r="U135" s="30"/>
      <c r="V135" s="30"/>
      <c r="W135" s="30"/>
      <c r="X135" s="30"/>
      <c r="Y135" s="30"/>
      <c r="Z135" s="30"/>
    </row>
    <row r="136" spans="1:26" ht="21" customHeight="1" x14ac:dyDescent="0.85">
      <c r="A136" s="30"/>
      <c r="B136" s="30"/>
      <c r="C136" s="30"/>
      <c r="D136" s="30"/>
      <c r="E136" s="30"/>
      <c r="F136" s="30"/>
      <c r="G136" s="30"/>
      <c r="H136" s="30"/>
      <c r="I136" s="30"/>
      <c r="J136" s="30"/>
      <c r="K136" s="30"/>
      <c r="L136" s="30"/>
      <c r="M136" s="30"/>
      <c r="N136" s="30"/>
      <c r="O136" s="30"/>
      <c r="P136" s="30"/>
      <c r="Q136" s="30"/>
      <c r="R136" s="30"/>
      <c r="S136" s="30"/>
      <c r="T136" s="30"/>
      <c r="U136" s="30"/>
      <c r="V136" s="30"/>
      <c r="W136" s="30"/>
      <c r="X136" s="30"/>
      <c r="Y136" s="30"/>
      <c r="Z136" s="30"/>
    </row>
    <row r="137" spans="1:26" ht="21" customHeight="1" x14ac:dyDescent="0.85">
      <c r="A137" s="30"/>
      <c r="B137" s="30"/>
      <c r="C137" s="30"/>
      <c r="D137" s="30"/>
      <c r="E137" s="30"/>
      <c r="F137" s="30"/>
      <c r="G137" s="30"/>
      <c r="H137" s="30"/>
      <c r="I137" s="30"/>
      <c r="J137" s="30"/>
      <c r="K137" s="30"/>
      <c r="L137" s="30"/>
      <c r="M137" s="30"/>
      <c r="N137" s="30"/>
      <c r="O137" s="30"/>
      <c r="P137" s="30"/>
      <c r="Q137" s="30"/>
      <c r="R137" s="30"/>
      <c r="S137" s="30"/>
      <c r="T137" s="30"/>
      <c r="U137" s="30"/>
      <c r="V137" s="30"/>
      <c r="W137" s="30"/>
      <c r="X137" s="30"/>
      <c r="Y137" s="30"/>
      <c r="Z137" s="30"/>
    </row>
    <row r="138" spans="1:26" ht="21" customHeight="1" x14ac:dyDescent="0.85">
      <c r="A138" s="30"/>
      <c r="B138" s="30"/>
      <c r="C138" s="30"/>
      <c r="D138" s="30"/>
      <c r="E138" s="30"/>
      <c r="F138" s="30"/>
      <c r="G138" s="30"/>
      <c r="H138" s="30"/>
      <c r="I138" s="30"/>
      <c r="J138" s="30"/>
      <c r="K138" s="30"/>
      <c r="L138" s="30"/>
      <c r="M138" s="30"/>
      <c r="N138" s="30"/>
      <c r="O138" s="30"/>
      <c r="P138" s="30"/>
      <c r="Q138" s="30"/>
      <c r="R138" s="30"/>
      <c r="S138" s="30"/>
      <c r="T138" s="30"/>
      <c r="U138" s="30"/>
      <c r="V138" s="30"/>
      <c r="W138" s="30"/>
      <c r="X138" s="30"/>
      <c r="Y138" s="30"/>
      <c r="Z138" s="30"/>
    </row>
    <row r="139" spans="1:26" ht="21" customHeight="1" x14ac:dyDescent="0.85">
      <c r="A139" s="30"/>
      <c r="B139" s="30"/>
      <c r="C139" s="30"/>
      <c r="D139" s="30"/>
      <c r="E139" s="30"/>
      <c r="F139" s="30"/>
      <c r="G139" s="30"/>
      <c r="H139" s="30"/>
      <c r="I139" s="30"/>
      <c r="J139" s="30"/>
      <c r="K139" s="30"/>
      <c r="L139" s="30"/>
      <c r="M139" s="30"/>
      <c r="N139" s="30"/>
      <c r="O139" s="30"/>
      <c r="P139" s="30"/>
      <c r="Q139" s="30"/>
      <c r="R139" s="30"/>
      <c r="S139" s="30"/>
      <c r="T139" s="30"/>
      <c r="U139" s="30"/>
      <c r="V139" s="30"/>
      <c r="W139" s="30"/>
      <c r="X139" s="30"/>
      <c r="Y139" s="30"/>
      <c r="Z139" s="30"/>
    </row>
    <row r="140" spans="1:26" ht="21" customHeight="1" x14ac:dyDescent="0.85">
      <c r="A140" s="30"/>
      <c r="B140" s="30"/>
      <c r="C140" s="30"/>
      <c r="D140" s="30"/>
      <c r="E140" s="30"/>
      <c r="F140" s="30"/>
      <c r="G140" s="30"/>
      <c r="H140" s="30"/>
      <c r="I140" s="30"/>
      <c r="J140" s="30"/>
      <c r="K140" s="30"/>
      <c r="L140" s="30"/>
      <c r="M140" s="30"/>
      <c r="N140" s="30"/>
      <c r="O140" s="30"/>
      <c r="P140" s="30"/>
      <c r="Q140" s="30"/>
      <c r="R140" s="30"/>
      <c r="S140" s="30"/>
      <c r="T140" s="30"/>
      <c r="U140" s="30"/>
      <c r="V140" s="30"/>
      <c r="W140" s="30"/>
      <c r="X140" s="30"/>
      <c r="Y140" s="30"/>
      <c r="Z140" s="30"/>
    </row>
    <row r="141" spans="1:26" ht="21" customHeight="1" x14ac:dyDescent="0.85">
      <c r="A141" s="30"/>
      <c r="B141" s="30"/>
      <c r="C141" s="30"/>
      <c r="D141" s="30"/>
      <c r="E141" s="30"/>
      <c r="F141" s="30"/>
      <c r="G141" s="30"/>
      <c r="H141" s="30"/>
      <c r="I141" s="30"/>
      <c r="J141" s="30"/>
      <c r="K141" s="30"/>
      <c r="L141" s="30"/>
      <c r="M141" s="30"/>
      <c r="N141" s="30"/>
      <c r="O141" s="30"/>
      <c r="P141" s="30"/>
      <c r="Q141" s="30"/>
      <c r="R141" s="30"/>
      <c r="S141" s="30"/>
      <c r="T141" s="30"/>
      <c r="U141" s="30"/>
      <c r="V141" s="30"/>
      <c r="W141" s="30"/>
      <c r="X141" s="30"/>
      <c r="Y141" s="30"/>
      <c r="Z141" s="30"/>
    </row>
    <row r="142" spans="1:26" ht="21" customHeight="1" x14ac:dyDescent="0.85">
      <c r="A142" s="30"/>
      <c r="B142" s="30"/>
      <c r="C142" s="30"/>
      <c r="D142" s="30"/>
      <c r="E142" s="30"/>
      <c r="F142" s="30"/>
      <c r="G142" s="30"/>
      <c r="H142" s="30"/>
      <c r="I142" s="30"/>
      <c r="J142" s="30"/>
      <c r="K142" s="30"/>
      <c r="L142" s="30"/>
      <c r="M142" s="30"/>
      <c r="N142" s="30"/>
      <c r="O142" s="30"/>
      <c r="P142" s="30"/>
      <c r="Q142" s="30"/>
      <c r="R142" s="30"/>
      <c r="S142" s="30"/>
      <c r="T142" s="30"/>
      <c r="U142" s="30"/>
      <c r="V142" s="30"/>
      <c r="W142" s="30"/>
      <c r="X142" s="30"/>
      <c r="Y142" s="30"/>
      <c r="Z142" s="30"/>
    </row>
    <row r="143" spans="1:26" ht="21" customHeight="1" x14ac:dyDescent="0.85">
      <c r="A143" s="30"/>
      <c r="B143" s="30"/>
      <c r="C143" s="30"/>
      <c r="D143" s="30"/>
      <c r="E143" s="30"/>
      <c r="F143" s="30"/>
      <c r="G143" s="30"/>
      <c r="H143" s="30"/>
      <c r="I143" s="30"/>
      <c r="J143" s="30"/>
      <c r="K143" s="30"/>
      <c r="L143" s="30"/>
      <c r="M143" s="30"/>
      <c r="N143" s="30"/>
      <c r="O143" s="30"/>
      <c r="P143" s="30"/>
      <c r="Q143" s="30"/>
      <c r="R143" s="30"/>
      <c r="S143" s="30"/>
      <c r="T143" s="30"/>
      <c r="U143" s="30"/>
      <c r="V143" s="30"/>
      <c r="W143" s="30"/>
      <c r="X143" s="30"/>
      <c r="Y143" s="30"/>
      <c r="Z143" s="30"/>
    </row>
    <row r="144" spans="1:26" ht="21" customHeight="1" x14ac:dyDescent="0.85">
      <c r="A144" s="30"/>
      <c r="B144" s="30"/>
      <c r="C144" s="30"/>
      <c r="D144" s="30"/>
      <c r="E144" s="30"/>
      <c r="F144" s="30"/>
      <c r="G144" s="30"/>
      <c r="H144" s="30"/>
      <c r="I144" s="30"/>
      <c r="J144" s="30"/>
      <c r="K144" s="30"/>
      <c r="L144" s="30"/>
      <c r="M144" s="30"/>
      <c r="N144" s="30"/>
      <c r="O144" s="30"/>
      <c r="P144" s="30"/>
      <c r="Q144" s="30"/>
      <c r="R144" s="30"/>
      <c r="S144" s="30"/>
      <c r="T144" s="30"/>
      <c r="U144" s="30"/>
      <c r="V144" s="30"/>
      <c r="W144" s="30"/>
      <c r="X144" s="30"/>
      <c r="Y144" s="30"/>
      <c r="Z144" s="30"/>
    </row>
    <row r="145" spans="1:26" ht="21" customHeight="1" x14ac:dyDescent="0.85">
      <c r="A145" s="30"/>
      <c r="B145" s="30"/>
      <c r="C145" s="30"/>
      <c r="D145" s="30"/>
      <c r="E145" s="30"/>
      <c r="F145" s="30"/>
      <c r="G145" s="30"/>
      <c r="H145" s="30"/>
      <c r="I145" s="30"/>
      <c r="J145" s="30"/>
      <c r="K145" s="30"/>
      <c r="L145" s="30"/>
      <c r="M145" s="30"/>
      <c r="N145" s="30"/>
      <c r="O145" s="30"/>
      <c r="P145" s="30"/>
      <c r="Q145" s="30"/>
      <c r="R145" s="30"/>
      <c r="S145" s="30"/>
      <c r="T145" s="30"/>
      <c r="U145" s="30"/>
      <c r="V145" s="30"/>
      <c r="W145" s="30"/>
      <c r="X145" s="30"/>
      <c r="Y145" s="30"/>
      <c r="Z145" s="30"/>
    </row>
    <row r="146" spans="1:26" ht="21" customHeight="1" x14ac:dyDescent="0.85">
      <c r="A146" s="30"/>
      <c r="B146" s="30"/>
      <c r="C146" s="30"/>
      <c r="D146" s="30"/>
      <c r="E146" s="30"/>
      <c r="F146" s="30"/>
      <c r="G146" s="30"/>
      <c r="H146" s="30"/>
      <c r="I146" s="30"/>
      <c r="J146" s="30"/>
      <c r="K146" s="30"/>
      <c r="L146" s="30"/>
      <c r="M146" s="30"/>
      <c r="N146" s="30"/>
      <c r="O146" s="30"/>
      <c r="P146" s="30"/>
      <c r="Q146" s="30"/>
      <c r="R146" s="30"/>
      <c r="S146" s="30"/>
      <c r="T146" s="30"/>
      <c r="U146" s="30"/>
      <c r="V146" s="30"/>
      <c r="W146" s="30"/>
      <c r="X146" s="30"/>
      <c r="Y146" s="30"/>
      <c r="Z146" s="30"/>
    </row>
    <row r="147" spans="1:26" ht="21" customHeight="1" x14ac:dyDescent="0.85">
      <c r="A147" s="30"/>
      <c r="B147" s="30"/>
      <c r="C147" s="30"/>
      <c r="D147" s="30"/>
      <c r="E147" s="30"/>
      <c r="F147" s="30"/>
      <c r="G147" s="30"/>
      <c r="H147" s="30"/>
      <c r="I147" s="30"/>
      <c r="J147" s="30"/>
      <c r="K147" s="30"/>
      <c r="L147" s="30"/>
      <c r="M147" s="30"/>
      <c r="N147" s="30"/>
      <c r="O147" s="30"/>
      <c r="P147" s="30"/>
      <c r="Q147" s="30"/>
      <c r="R147" s="30"/>
      <c r="S147" s="30"/>
      <c r="T147" s="30"/>
      <c r="U147" s="30"/>
      <c r="V147" s="30"/>
      <c r="W147" s="30"/>
      <c r="X147" s="30"/>
      <c r="Y147" s="30"/>
      <c r="Z147" s="30"/>
    </row>
    <row r="148" spans="1:26" ht="21" customHeight="1" x14ac:dyDescent="0.85">
      <c r="A148" s="30"/>
      <c r="B148" s="30"/>
      <c r="C148" s="30"/>
      <c r="D148" s="30"/>
      <c r="E148" s="30"/>
      <c r="F148" s="30"/>
      <c r="G148" s="30"/>
      <c r="H148" s="30"/>
      <c r="I148" s="30"/>
      <c r="J148" s="30"/>
      <c r="K148" s="30"/>
      <c r="L148" s="30"/>
      <c r="M148" s="30"/>
      <c r="N148" s="30"/>
      <c r="O148" s="30"/>
      <c r="P148" s="30"/>
      <c r="Q148" s="30"/>
      <c r="R148" s="30"/>
      <c r="S148" s="30"/>
      <c r="T148" s="30"/>
      <c r="U148" s="30"/>
      <c r="V148" s="30"/>
      <c r="W148" s="30"/>
      <c r="X148" s="30"/>
      <c r="Y148" s="30"/>
      <c r="Z148" s="30"/>
    </row>
    <row r="149" spans="1:26" ht="21" customHeight="1" x14ac:dyDescent="0.85">
      <c r="A149" s="30"/>
      <c r="B149" s="30"/>
      <c r="C149" s="30"/>
      <c r="D149" s="30"/>
      <c r="E149" s="30"/>
      <c r="F149" s="30"/>
      <c r="G149" s="30"/>
      <c r="H149" s="30"/>
      <c r="I149" s="30"/>
      <c r="J149" s="30"/>
      <c r="K149" s="30"/>
      <c r="L149" s="30"/>
      <c r="M149" s="30"/>
      <c r="N149" s="30"/>
      <c r="O149" s="30"/>
      <c r="P149" s="30"/>
      <c r="Q149" s="30"/>
      <c r="R149" s="30"/>
      <c r="S149" s="30"/>
      <c r="T149" s="30"/>
      <c r="U149" s="30"/>
      <c r="V149" s="30"/>
      <c r="W149" s="30"/>
      <c r="X149" s="30"/>
      <c r="Y149" s="30"/>
      <c r="Z149" s="30"/>
    </row>
    <row r="150" spans="1:26" ht="21" customHeight="1" x14ac:dyDescent="0.85">
      <c r="A150" s="30"/>
      <c r="B150" s="30"/>
      <c r="C150" s="30"/>
      <c r="D150" s="30"/>
      <c r="E150" s="30"/>
      <c r="F150" s="30"/>
      <c r="G150" s="30"/>
      <c r="H150" s="30"/>
      <c r="I150" s="30"/>
      <c r="J150" s="30"/>
      <c r="K150" s="30"/>
      <c r="L150" s="30"/>
      <c r="M150" s="30"/>
      <c r="N150" s="30"/>
      <c r="O150" s="30"/>
      <c r="P150" s="30"/>
      <c r="Q150" s="30"/>
      <c r="R150" s="30"/>
      <c r="S150" s="30"/>
      <c r="T150" s="30"/>
      <c r="U150" s="30"/>
      <c r="V150" s="30"/>
      <c r="W150" s="30"/>
      <c r="X150" s="30"/>
      <c r="Y150" s="30"/>
      <c r="Z150" s="30"/>
    </row>
    <row r="151" spans="1:26" ht="21" customHeight="1" x14ac:dyDescent="0.85">
      <c r="A151" s="30"/>
      <c r="B151" s="30"/>
      <c r="C151" s="30"/>
      <c r="D151" s="30"/>
      <c r="E151" s="30"/>
      <c r="F151" s="30"/>
      <c r="G151" s="30"/>
      <c r="H151" s="30"/>
      <c r="I151" s="30"/>
      <c r="J151" s="30"/>
      <c r="K151" s="30"/>
      <c r="L151" s="30"/>
      <c r="M151" s="30"/>
      <c r="N151" s="30"/>
      <c r="O151" s="30"/>
      <c r="P151" s="30"/>
      <c r="Q151" s="30"/>
      <c r="R151" s="30"/>
      <c r="S151" s="30"/>
      <c r="T151" s="30"/>
      <c r="U151" s="30"/>
      <c r="V151" s="30"/>
      <c r="W151" s="30"/>
      <c r="X151" s="30"/>
      <c r="Y151" s="30"/>
      <c r="Z151" s="30"/>
    </row>
    <row r="152" spans="1:26" ht="21" customHeight="1" x14ac:dyDescent="0.85">
      <c r="A152" s="30"/>
      <c r="B152" s="30"/>
      <c r="C152" s="30"/>
      <c r="D152" s="30"/>
      <c r="E152" s="30"/>
      <c r="F152" s="30"/>
      <c r="G152" s="30"/>
      <c r="H152" s="30"/>
      <c r="I152" s="30"/>
      <c r="J152" s="30"/>
      <c r="K152" s="30"/>
      <c r="L152" s="30"/>
      <c r="M152" s="30"/>
      <c r="N152" s="30"/>
      <c r="O152" s="30"/>
      <c r="P152" s="30"/>
      <c r="Q152" s="30"/>
      <c r="R152" s="30"/>
      <c r="S152" s="30"/>
      <c r="T152" s="30"/>
      <c r="U152" s="30"/>
      <c r="V152" s="30"/>
      <c r="W152" s="30"/>
      <c r="X152" s="30"/>
      <c r="Y152" s="30"/>
      <c r="Z152" s="30"/>
    </row>
    <row r="153" spans="1:26" ht="21" customHeight="1" x14ac:dyDescent="0.85">
      <c r="A153" s="30"/>
      <c r="B153" s="30"/>
      <c r="C153" s="30"/>
      <c r="D153" s="30"/>
      <c r="E153" s="30"/>
      <c r="F153" s="30"/>
      <c r="G153" s="30"/>
      <c r="H153" s="30"/>
      <c r="I153" s="30"/>
      <c r="J153" s="30"/>
      <c r="K153" s="30"/>
      <c r="L153" s="30"/>
      <c r="M153" s="30"/>
      <c r="N153" s="30"/>
      <c r="O153" s="30"/>
      <c r="P153" s="30"/>
      <c r="Q153" s="30"/>
      <c r="R153" s="30"/>
      <c r="S153" s="30"/>
      <c r="T153" s="30"/>
      <c r="U153" s="30"/>
      <c r="V153" s="30"/>
      <c r="W153" s="30"/>
      <c r="X153" s="30"/>
      <c r="Y153" s="30"/>
      <c r="Z153" s="30"/>
    </row>
    <row r="154" spans="1:26" ht="21" customHeight="1" x14ac:dyDescent="0.85">
      <c r="A154" s="30"/>
      <c r="B154" s="30"/>
      <c r="C154" s="30"/>
      <c r="D154" s="30"/>
      <c r="E154" s="30"/>
      <c r="F154" s="30"/>
      <c r="G154" s="30"/>
      <c r="H154" s="30"/>
      <c r="I154" s="30"/>
      <c r="J154" s="30"/>
      <c r="K154" s="30"/>
      <c r="L154" s="30"/>
      <c r="M154" s="30"/>
      <c r="N154" s="30"/>
      <c r="O154" s="30"/>
      <c r="P154" s="30"/>
      <c r="Q154" s="30"/>
      <c r="R154" s="30"/>
      <c r="S154" s="30"/>
      <c r="T154" s="30"/>
      <c r="U154" s="30"/>
      <c r="V154" s="30"/>
      <c r="W154" s="30"/>
      <c r="X154" s="30"/>
      <c r="Y154" s="30"/>
      <c r="Z154" s="30"/>
    </row>
    <row r="155" spans="1:26" ht="21" customHeight="1" x14ac:dyDescent="0.85">
      <c r="A155" s="30"/>
      <c r="B155" s="30"/>
      <c r="C155" s="30"/>
      <c r="D155" s="30"/>
      <c r="E155" s="30"/>
      <c r="F155" s="30"/>
      <c r="G155" s="30"/>
      <c r="H155" s="30"/>
      <c r="I155" s="30"/>
      <c r="J155" s="30"/>
      <c r="K155" s="30"/>
      <c r="L155" s="30"/>
      <c r="M155" s="30"/>
      <c r="N155" s="30"/>
      <c r="O155" s="30"/>
      <c r="P155" s="30"/>
      <c r="Q155" s="30"/>
      <c r="R155" s="30"/>
      <c r="S155" s="30"/>
      <c r="T155" s="30"/>
      <c r="U155" s="30"/>
      <c r="V155" s="30"/>
      <c r="W155" s="30"/>
      <c r="X155" s="30"/>
      <c r="Y155" s="30"/>
      <c r="Z155" s="30"/>
    </row>
    <row r="156" spans="1:26" ht="21" customHeight="1" x14ac:dyDescent="0.85">
      <c r="A156" s="30"/>
      <c r="B156" s="30"/>
      <c r="C156" s="30"/>
      <c r="D156" s="30"/>
      <c r="E156" s="30"/>
      <c r="F156" s="30"/>
      <c r="G156" s="30"/>
      <c r="H156" s="30"/>
      <c r="I156" s="30"/>
      <c r="J156" s="30"/>
      <c r="K156" s="30"/>
      <c r="L156" s="30"/>
      <c r="M156" s="30"/>
      <c r="N156" s="30"/>
      <c r="O156" s="30"/>
      <c r="P156" s="30"/>
      <c r="Q156" s="30"/>
      <c r="R156" s="30"/>
      <c r="S156" s="30"/>
      <c r="T156" s="30"/>
      <c r="U156" s="30"/>
      <c r="V156" s="30"/>
      <c r="W156" s="30"/>
      <c r="X156" s="30"/>
      <c r="Y156" s="30"/>
      <c r="Z156" s="30"/>
    </row>
    <row r="157" spans="1:26" ht="21" customHeight="1" x14ac:dyDescent="0.85">
      <c r="A157" s="30"/>
      <c r="B157" s="30"/>
      <c r="C157" s="30"/>
      <c r="D157" s="30"/>
      <c r="E157" s="30"/>
      <c r="F157" s="30"/>
      <c r="G157" s="30"/>
      <c r="H157" s="30"/>
      <c r="I157" s="30"/>
      <c r="J157" s="30"/>
      <c r="K157" s="30"/>
      <c r="L157" s="30"/>
      <c r="M157" s="30"/>
      <c r="N157" s="30"/>
      <c r="O157" s="30"/>
      <c r="P157" s="30"/>
      <c r="Q157" s="30"/>
      <c r="R157" s="30"/>
      <c r="S157" s="30"/>
      <c r="T157" s="30"/>
      <c r="U157" s="30"/>
      <c r="V157" s="30"/>
      <c r="W157" s="30"/>
      <c r="X157" s="30"/>
      <c r="Y157" s="30"/>
      <c r="Z157" s="30"/>
    </row>
    <row r="158" spans="1:26" ht="21" customHeight="1" x14ac:dyDescent="0.85">
      <c r="A158" s="30"/>
      <c r="B158" s="30"/>
      <c r="C158" s="30"/>
      <c r="D158" s="30"/>
      <c r="E158" s="30"/>
      <c r="F158" s="30"/>
      <c r="G158" s="30"/>
      <c r="H158" s="30"/>
      <c r="I158" s="30"/>
      <c r="J158" s="30"/>
      <c r="K158" s="30"/>
      <c r="L158" s="30"/>
      <c r="M158" s="30"/>
      <c r="N158" s="30"/>
      <c r="O158" s="30"/>
      <c r="P158" s="30"/>
      <c r="Q158" s="30"/>
      <c r="R158" s="30"/>
      <c r="S158" s="30"/>
      <c r="T158" s="30"/>
      <c r="U158" s="30"/>
      <c r="V158" s="30"/>
      <c r="W158" s="30"/>
      <c r="X158" s="30"/>
      <c r="Y158" s="30"/>
      <c r="Z158" s="30"/>
    </row>
    <row r="159" spans="1:26" ht="21" customHeight="1" x14ac:dyDescent="0.85">
      <c r="A159" s="30"/>
      <c r="B159" s="30"/>
      <c r="C159" s="30"/>
      <c r="D159" s="30"/>
      <c r="E159" s="30"/>
      <c r="F159" s="30"/>
      <c r="G159" s="30"/>
      <c r="H159" s="30"/>
      <c r="I159" s="30"/>
      <c r="J159" s="30"/>
      <c r="K159" s="30"/>
      <c r="L159" s="30"/>
      <c r="M159" s="30"/>
      <c r="N159" s="30"/>
      <c r="O159" s="30"/>
      <c r="P159" s="30"/>
      <c r="Q159" s="30"/>
      <c r="R159" s="30"/>
      <c r="S159" s="30"/>
      <c r="T159" s="30"/>
      <c r="U159" s="30"/>
      <c r="V159" s="30"/>
      <c r="W159" s="30"/>
      <c r="X159" s="30"/>
      <c r="Y159" s="30"/>
      <c r="Z159" s="30"/>
    </row>
    <row r="160" spans="1:26" ht="21" customHeight="1" x14ac:dyDescent="0.85">
      <c r="A160" s="30"/>
      <c r="B160" s="30"/>
      <c r="C160" s="30"/>
      <c r="D160" s="30"/>
      <c r="E160" s="30"/>
      <c r="F160" s="30"/>
      <c r="G160" s="30"/>
      <c r="H160" s="30"/>
      <c r="I160" s="30"/>
      <c r="J160" s="30"/>
      <c r="K160" s="30"/>
      <c r="L160" s="30"/>
      <c r="M160" s="30"/>
      <c r="N160" s="30"/>
      <c r="O160" s="30"/>
      <c r="P160" s="30"/>
      <c r="Q160" s="30"/>
      <c r="R160" s="30"/>
      <c r="S160" s="30"/>
      <c r="T160" s="30"/>
      <c r="U160" s="30"/>
      <c r="V160" s="30"/>
      <c r="W160" s="30"/>
      <c r="X160" s="30"/>
      <c r="Y160" s="30"/>
      <c r="Z160" s="30"/>
    </row>
    <row r="161" spans="1:26" ht="21" customHeight="1" x14ac:dyDescent="0.85">
      <c r="A161" s="30"/>
      <c r="B161" s="30"/>
      <c r="C161" s="30"/>
      <c r="D161" s="30"/>
      <c r="E161" s="30"/>
      <c r="F161" s="30"/>
      <c r="G161" s="30"/>
      <c r="H161" s="30"/>
      <c r="I161" s="30"/>
      <c r="J161" s="30"/>
      <c r="K161" s="30"/>
      <c r="L161" s="30"/>
      <c r="M161" s="30"/>
      <c r="N161" s="30"/>
      <c r="O161" s="30"/>
      <c r="P161" s="30"/>
      <c r="Q161" s="30"/>
      <c r="R161" s="30"/>
      <c r="S161" s="30"/>
      <c r="T161" s="30"/>
      <c r="U161" s="30"/>
      <c r="V161" s="30"/>
      <c r="W161" s="30"/>
      <c r="X161" s="30"/>
      <c r="Y161" s="30"/>
      <c r="Z161" s="30"/>
    </row>
    <row r="162" spans="1:26" ht="21" customHeight="1" x14ac:dyDescent="0.85">
      <c r="A162" s="30"/>
      <c r="B162" s="30"/>
      <c r="C162" s="30"/>
      <c r="D162" s="30"/>
      <c r="E162" s="30"/>
      <c r="F162" s="30"/>
      <c r="G162" s="30"/>
      <c r="H162" s="30"/>
      <c r="I162" s="30"/>
      <c r="J162" s="30"/>
      <c r="K162" s="30"/>
      <c r="L162" s="30"/>
      <c r="M162" s="30"/>
      <c r="N162" s="30"/>
      <c r="O162" s="30"/>
      <c r="P162" s="30"/>
      <c r="Q162" s="30"/>
      <c r="R162" s="30"/>
      <c r="S162" s="30"/>
      <c r="T162" s="30"/>
      <c r="U162" s="30"/>
      <c r="V162" s="30"/>
      <c r="W162" s="30"/>
      <c r="X162" s="30"/>
      <c r="Y162" s="30"/>
      <c r="Z162" s="30"/>
    </row>
    <row r="163" spans="1:26" ht="21" customHeight="1" x14ac:dyDescent="0.85">
      <c r="A163" s="30"/>
      <c r="B163" s="30"/>
      <c r="C163" s="30"/>
      <c r="D163" s="30"/>
      <c r="E163" s="30"/>
      <c r="F163" s="30"/>
      <c r="G163" s="30"/>
      <c r="H163" s="30"/>
      <c r="I163" s="30"/>
      <c r="J163" s="30"/>
      <c r="K163" s="30"/>
      <c r="L163" s="30"/>
      <c r="M163" s="30"/>
      <c r="N163" s="30"/>
      <c r="O163" s="30"/>
      <c r="P163" s="30"/>
      <c r="Q163" s="30"/>
      <c r="R163" s="30"/>
      <c r="S163" s="30"/>
      <c r="T163" s="30"/>
      <c r="U163" s="30"/>
      <c r="V163" s="30"/>
      <c r="W163" s="30"/>
      <c r="X163" s="30"/>
      <c r="Y163" s="30"/>
      <c r="Z163" s="30"/>
    </row>
    <row r="164" spans="1:26" ht="21" customHeight="1" x14ac:dyDescent="0.85">
      <c r="A164" s="30"/>
      <c r="B164" s="30"/>
      <c r="C164" s="30"/>
      <c r="D164" s="30"/>
      <c r="E164" s="30"/>
      <c r="F164" s="30"/>
      <c r="G164" s="30"/>
      <c r="H164" s="30"/>
      <c r="I164" s="30"/>
      <c r="J164" s="30"/>
      <c r="K164" s="30"/>
      <c r="L164" s="30"/>
      <c r="M164" s="30"/>
      <c r="N164" s="30"/>
      <c r="O164" s="30"/>
      <c r="P164" s="30"/>
      <c r="Q164" s="30"/>
      <c r="R164" s="30"/>
      <c r="S164" s="30"/>
      <c r="T164" s="30"/>
      <c r="U164" s="30"/>
      <c r="V164" s="30"/>
      <c r="W164" s="30"/>
      <c r="X164" s="30"/>
      <c r="Y164" s="30"/>
      <c r="Z164" s="30"/>
    </row>
    <row r="165" spans="1:26" ht="21" customHeight="1" x14ac:dyDescent="0.85">
      <c r="A165" s="30"/>
      <c r="B165" s="30"/>
      <c r="C165" s="30"/>
      <c r="D165" s="30"/>
      <c r="E165" s="30"/>
      <c r="F165" s="30"/>
      <c r="G165" s="30"/>
      <c r="H165" s="30"/>
      <c r="I165" s="30"/>
      <c r="J165" s="30"/>
      <c r="K165" s="30"/>
      <c r="L165" s="30"/>
      <c r="M165" s="30"/>
      <c r="N165" s="30"/>
      <c r="O165" s="30"/>
      <c r="P165" s="30"/>
      <c r="Q165" s="30"/>
      <c r="R165" s="30"/>
      <c r="S165" s="30"/>
      <c r="T165" s="30"/>
      <c r="U165" s="30"/>
      <c r="V165" s="30"/>
      <c r="W165" s="30"/>
      <c r="X165" s="30"/>
      <c r="Y165" s="30"/>
      <c r="Z165" s="30"/>
    </row>
    <row r="166" spans="1:26" ht="21" customHeight="1" x14ac:dyDescent="0.85">
      <c r="A166" s="30"/>
      <c r="B166" s="30"/>
      <c r="C166" s="30"/>
      <c r="D166" s="30"/>
      <c r="E166" s="30"/>
      <c r="F166" s="30"/>
      <c r="G166" s="30"/>
      <c r="H166" s="30"/>
      <c r="I166" s="30"/>
      <c r="J166" s="30"/>
      <c r="K166" s="30"/>
      <c r="L166" s="30"/>
      <c r="M166" s="30"/>
      <c r="N166" s="30"/>
      <c r="O166" s="30"/>
      <c r="P166" s="30"/>
      <c r="Q166" s="30"/>
      <c r="R166" s="30"/>
      <c r="S166" s="30"/>
      <c r="T166" s="30"/>
      <c r="U166" s="30"/>
      <c r="V166" s="30"/>
      <c r="W166" s="30"/>
      <c r="X166" s="30"/>
      <c r="Y166" s="30"/>
      <c r="Z166" s="30"/>
    </row>
    <row r="167" spans="1:26" ht="21" customHeight="1" x14ac:dyDescent="0.85">
      <c r="A167" s="30"/>
      <c r="B167" s="30"/>
      <c r="C167" s="30"/>
      <c r="D167" s="30"/>
      <c r="E167" s="30"/>
      <c r="F167" s="30"/>
      <c r="G167" s="30"/>
      <c r="H167" s="30"/>
      <c r="I167" s="30"/>
      <c r="J167" s="30"/>
      <c r="K167" s="30"/>
      <c r="L167" s="30"/>
      <c r="M167" s="30"/>
      <c r="N167" s="30"/>
      <c r="O167" s="30"/>
      <c r="P167" s="30"/>
      <c r="Q167" s="30"/>
      <c r="R167" s="30"/>
      <c r="S167" s="30"/>
      <c r="T167" s="30"/>
      <c r="U167" s="30"/>
      <c r="V167" s="30"/>
      <c r="W167" s="30"/>
      <c r="X167" s="30"/>
      <c r="Y167" s="30"/>
      <c r="Z167" s="30"/>
    </row>
    <row r="168" spans="1:26" ht="21" customHeight="1" x14ac:dyDescent="0.85">
      <c r="A168" s="30"/>
      <c r="B168" s="30"/>
      <c r="C168" s="30"/>
      <c r="D168" s="30"/>
      <c r="E168" s="30"/>
      <c r="F168" s="30"/>
      <c r="G168" s="30"/>
      <c r="H168" s="30"/>
      <c r="I168" s="30"/>
      <c r="J168" s="30"/>
      <c r="K168" s="30"/>
      <c r="L168" s="30"/>
      <c r="M168" s="30"/>
      <c r="N168" s="30"/>
      <c r="O168" s="30"/>
      <c r="P168" s="30"/>
      <c r="Q168" s="30"/>
      <c r="R168" s="30"/>
      <c r="S168" s="30"/>
      <c r="T168" s="30"/>
      <c r="U168" s="30"/>
      <c r="V168" s="30"/>
      <c r="W168" s="30"/>
      <c r="X168" s="30"/>
      <c r="Y168" s="30"/>
      <c r="Z168" s="30"/>
    </row>
    <row r="169" spans="1:26" ht="21" customHeight="1" x14ac:dyDescent="0.85">
      <c r="A169" s="30"/>
      <c r="B169" s="30"/>
      <c r="C169" s="30"/>
      <c r="D169" s="30"/>
      <c r="E169" s="30"/>
      <c r="F169" s="30"/>
      <c r="G169" s="30"/>
      <c r="H169" s="30"/>
      <c r="I169" s="30"/>
      <c r="J169" s="30"/>
      <c r="K169" s="30"/>
      <c r="L169" s="30"/>
      <c r="M169" s="30"/>
      <c r="N169" s="30"/>
      <c r="O169" s="30"/>
      <c r="P169" s="30"/>
      <c r="Q169" s="30"/>
      <c r="R169" s="30"/>
      <c r="S169" s="30"/>
      <c r="T169" s="30"/>
      <c r="U169" s="30"/>
      <c r="V169" s="30"/>
      <c r="W169" s="30"/>
      <c r="X169" s="30"/>
      <c r="Y169" s="30"/>
      <c r="Z169" s="30"/>
    </row>
    <row r="170" spans="1:26" ht="21" customHeight="1" x14ac:dyDescent="0.85">
      <c r="A170" s="30"/>
      <c r="B170" s="30"/>
      <c r="C170" s="30"/>
      <c r="D170" s="30"/>
      <c r="E170" s="30"/>
      <c r="F170" s="30"/>
      <c r="G170" s="30"/>
      <c r="H170" s="30"/>
      <c r="I170" s="30"/>
      <c r="J170" s="30"/>
      <c r="K170" s="30"/>
      <c r="L170" s="30"/>
      <c r="M170" s="30"/>
      <c r="N170" s="30"/>
      <c r="O170" s="30"/>
      <c r="P170" s="30"/>
      <c r="Q170" s="30"/>
      <c r="R170" s="30"/>
      <c r="S170" s="30"/>
      <c r="T170" s="30"/>
      <c r="U170" s="30"/>
      <c r="V170" s="30"/>
      <c r="W170" s="30"/>
      <c r="X170" s="30"/>
      <c r="Y170" s="30"/>
      <c r="Z170" s="30"/>
    </row>
    <row r="171" spans="1:26" ht="21" customHeight="1" x14ac:dyDescent="0.85">
      <c r="A171" s="30"/>
      <c r="B171" s="30"/>
      <c r="C171" s="30"/>
      <c r="D171" s="30"/>
      <c r="E171" s="30"/>
      <c r="F171" s="30"/>
      <c r="G171" s="30"/>
      <c r="H171" s="30"/>
      <c r="I171" s="30"/>
      <c r="J171" s="30"/>
      <c r="K171" s="30"/>
      <c r="L171" s="30"/>
      <c r="M171" s="30"/>
      <c r="N171" s="30"/>
      <c r="O171" s="30"/>
      <c r="P171" s="30"/>
      <c r="Q171" s="30"/>
      <c r="R171" s="30"/>
      <c r="S171" s="30"/>
      <c r="T171" s="30"/>
      <c r="U171" s="30"/>
      <c r="V171" s="30"/>
      <c r="W171" s="30"/>
      <c r="X171" s="30"/>
      <c r="Y171" s="30"/>
      <c r="Z171" s="30"/>
    </row>
    <row r="172" spans="1:26" ht="21" customHeight="1" x14ac:dyDescent="0.85">
      <c r="A172" s="30"/>
      <c r="B172" s="30"/>
      <c r="C172" s="30"/>
      <c r="D172" s="30"/>
      <c r="E172" s="30"/>
      <c r="F172" s="30"/>
      <c r="G172" s="30"/>
      <c r="H172" s="30"/>
      <c r="I172" s="30"/>
      <c r="J172" s="30"/>
      <c r="K172" s="30"/>
      <c r="L172" s="30"/>
      <c r="M172" s="30"/>
      <c r="N172" s="30"/>
      <c r="O172" s="30"/>
      <c r="P172" s="30"/>
      <c r="Q172" s="30"/>
      <c r="R172" s="30"/>
      <c r="S172" s="30"/>
      <c r="T172" s="30"/>
      <c r="U172" s="30"/>
      <c r="V172" s="30"/>
      <c r="W172" s="30"/>
      <c r="X172" s="30"/>
      <c r="Y172" s="30"/>
      <c r="Z172" s="30"/>
    </row>
    <row r="173" spans="1:26" ht="21" customHeight="1" x14ac:dyDescent="0.85">
      <c r="A173" s="30"/>
      <c r="B173" s="30"/>
      <c r="C173" s="30"/>
      <c r="D173" s="30"/>
      <c r="E173" s="30"/>
      <c r="F173" s="30"/>
      <c r="G173" s="30"/>
      <c r="H173" s="30"/>
      <c r="I173" s="30"/>
      <c r="J173" s="30"/>
      <c r="K173" s="30"/>
      <c r="L173" s="30"/>
      <c r="M173" s="30"/>
      <c r="N173" s="30"/>
      <c r="O173" s="30"/>
      <c r="P173" s="30"/>
      <c r="Q173" s="30"/>
      <c r="R173" s="30"/>
      <c r="S173" s="30"/>
      <c r="T173" s="30"/>
      <c r="U173" s="30"/>
      <c r="V173" s="30"/>
      <c r="W173" s="30"/>
      <c r="X173" s="30"/>
      <c r="Y173" s="30"/>
      <c r="Z173" s="30"/>
    </row>
    <row r="174" spans="1:26" ht="21" customHeight="1" x14ac:dyDescent="0.85">
      <c r="A174" s="30"/>
      <c r="B174" s="30"/>
      <c r="C174" s="30"/>
      <c r="D174" s="30"/>
      <c r="E174" s="30"/>
      <c r="F174" s="30"/>
      <c r="G174" s="30"/>
      <c r="H174" s="30"/>
      <c r="I174" s="30"/>
      <c r="J174" s="30"/>
      <c r="K174" s="30"/>
      <c r="L174" s="30"/>
      <c r="M174" s="30"/>
      <c r="N174" s="30"/>
      <c r="O174" s="30"/>
      <c r="P174" s="30"/>
      <c r="Q174" s="30"/>
      <c r="R174" s="30"/>
      <c r="S174" s="30"/>
      <c r="T174" s="30"/>
      <c r="U174" s="30"/>
      <c r="V174" s="30"/>
      <c r="W174" s="30"/>
      <c r="X174" s="30"/>
      <c r="Y174" s="30"/>
      <c r="Z174" s="30"/>
    </row>
    <row r="175" spans="1:26" ht="21" customHeight="1" x14ac:dyDescent="0.85">
      <c r="A175" s="30"/>
      <c r="B175" s="30"/>
      <c r="C175" s="30"/>
      <c r="D175" s="30"/>
      <c r="E175" s="30"/>
      <c r="F175" s="30"/>
      <c r="G175" s="30"/>
      <c r="H175" s="30"/>
      <c r="I175" s="30"/>
      <c r="J175" s="30"/>
      <c r="K175" s="30"/>
      <c r="L175" s="30"/>
      <c r="M175" s="30"/>
      <c r="N175" s="30"/>
      <c r="O175" s="30"/>
      <c r="P175" s="30"/>
      <c r="Q175" s="30"/>
      <c r="R175" s="30"/>
      <c r="S175" s="30"/>
      <c r="T175" s="30"/>
      <c r="U175" s="30"/>
      <c r="V175" s="30"/>
      <c r="W175" s="30"/>
      <c r="X175" s="30"/>
      <c r="Y175" s="30"/>
      <c r="Z175" s="30"/>
    </row>
    <row r="176" spans="1:26" ht="21" customHeight="1" x14ac:dyDescent="0.85">
      <c r="A176" s="30"/>
      <c r="B176" s="30"/>
      <c r="C176" s="30"/>
      <c r="D176" s="30"/>
      <c r="E176" s="30"/>
      <c r="F176" s="30"/>
      <c r="G176" s="30"/>
      <c r="H176" s="30"/>
      <c r="I176" s="30"/>
      <c r="J176" s="30"/>
      <c r="K176" s="30"/>
      <c r="L176" s="30"/>
      <c r="M176" s="30"/>
      <c r="N176" s="30"/>
      <c r="O176" s="30"/>
      <c r="P176" s="30"/>
      <c r="Q176" s="30"/>
      <c r="R176" s="30"/>
      <c r="S176" s="30"/>
      <c r="T176" s="30"/>
      <c r="U176" s="30"/>
      <c r="V176" s="30"/>
      <c r="W176" s="30"/>
      <c r="X176" s="30"/>
      <c r="Y176" s="30"/>
      <c r="Z176" s="30"/>
    </row>
    <row r="177" spans="1:26" ht="21" customHeight="1" x14ac:dyDescent="0.85">
      <c r="A177" s="30"/>
      <c r="B177" s="30"/>
      <c r="C177" s="30"/>
      <c r="D177" s="30"/>
      <c r="E177" s="30"/>
      <c r="F177" s="30"/>
      <c r="G177" s="30"/>
      <c r="H177" s="30"/>
      <c r="I177" s="30"/>
      <c r="J177" s="30"/>
      <c r="K177" s="30"/>
      <c r="L177" s="30"/>
      <c r="M177" s="30"/>
      <c r="N177" s="30"/>
      <c r="O177" s="30"/>
      <c r="P177" s="30"/>
      <c r="Q177" s="30"/>
      <c r="R177" s="30"/>
      <c r="S177" s="30"/>
      <c r="T177" s="30"/>
      <c r="U177" s="30"/>
      <c r="V177" s="30"/>
      <c r="W177" s="30"/>
      <c r="X177" s="30"/>
      <c r="Y177" s="30"/>
      <c r="Z177" s="30"/>
    </row>
    <row r="178" spans="1:26" ht="21" customHeight="1" x14ac:dyDescent="0.85">
      <c r="A178" s="30"/>
      <c r="B178" s="30"/>
      <c r="C178" s="30"/>
      <c r="D178" s="30"/>
      <c r="E178" s="30"/>
      <c r="F178" s="30"/>
      <c r="G178" s="30"/>
      <c r="H178" s="30"/>
      <c r="I178" s="30"/>
      <c r="J178" s="30"/>
      <c r="K178" s="30"/>
      <c r="L178" s="30"/>
      <c r="M178" s="30"/>
      <c r="N178" s="30"/>
      <c r="O178" s="30"/>
      <c r="P178" s="30"/>
      <c r="Q178" s="30"/>
      <c r="R178" s="30"/>
      <c r="S178" s="30"/>
      <c r="T178" s="30"/>
      <c r="U178" s="30"/>
      <c r="V178" s="30"/>
      <c r="W178" s="30"/>
      <c r="X178" s="30"/>
      <c r="Y178" s="30"/>
      <c r="Z178" s="30"/>
    </row>
    <row r="179" spans="1:26" ht="21" customHeight="1" x14ac:dyDescent="0.85">
      <c r="A179" s="30"/>
      <c r="B179" s="30"/>
      <c r="C179" s="30"/>
      <c r="D179" s="30"/>
      <c r="E179" s="30"/>
      <c r="F179" s="30"/>
      <c r="G179" s="30"/>
      <c r="H179" s="30"/>
      <c r="I179" s="30"/>
      <c r="J179" s="30"/>
      <c r="K179" s="30"/>
      <c r="L179" s="30"/>
      <c r="M179" s="30"/>
      <c r="N179" s="30"/>
      <c r="O179" s="30"/>
      <c r="P179" s="30"/>
      <c r="Q179" s="30"/>
      <c r="R179" s="30"/>
      <c r="S179" s="30"/>
      <c r="T179" s="30"/>
      <c r="U179" s="30"/>
      <c r="V179" s="30"/>
      <c r="W179" s="30"/>
      <c r="X179" s="30"/>
      <c r="Y179" s="30"/>
      <c r="Z179" s="30"/>
    </row>
    <row r="180" spans="1:26" ht="21" customHeight="1" x14ac:dyDescent="0.85">
      <c r="A180" s="30"/>
      <c r="B180" s="30"/>
      <c r="C180" s="30"/>
      <c r="D180" s="30"/>
      <c r="E180" s="30"/>
      <c r="F180" s="30"/>
      <c r="G180" s="30"/>
      <c r="H180" s="30"/>
      <c r="I180" s="30"/>
      <c r="J180" s="30"/>
      <c r="K180" s="30"/>
      <c r="L180" s="30"/>
      <c r="M180" s="30"/>
      <c r="N180" s="30"/>
      <c r="O180" s="30"/>
      <c r="P180" s="30"/>
      <c r="Q180" s="30"/>
      <c r="R180" s="30"/>
      <c r="S180" s="30"/>
      <c r="T180" s="30"/>
      <c r="U180" s="30"/>
      <c r="V180" s="30"/>
      <c r="W180" s="30"/>
      <c r="X180" s="30"/>
      <c r="Y180" s="30"/>
      <c r="Z180" s="30"/>
    </row>
    <row r="181" spans="1:26" ht="21" customHeight="1" x14ac:dyDescent="0.85">
      <c r="A181" s="30"/>
      <c r="B181" s="30"/>
      <c r="C181" s="30"/>
      <c r="D181" s="30"/>
      <c r="E181" s="30"/>
      <c r="F181" s="30"/>
      <c r="G181" s="30"/>
      <c r="H181" s="30"/>
      <c r="I181" s="30"/>
      <c r="J181" s="30"/>
      <c r="K181" s="30"/>
      <c r="L181" s="30"/>
      <c r="M181" s="30"/>
      <c r="N181" s="30"/>
      <c r="O181" s="30"/>
      <c r="P181" s="30"/>
      <c r="Q181" s="30"/>
      <c r="R181" s="30"/>
      <c r="S181" s="30"/>
      <c r="T181" s="30"/>
      <c r="U181" s="30"/>
      <c r="V181" s="30"/>
      <c r="W181" s="30"/>
      <c r="X181" s="30"/>
      <c r="Y181" s="30"/>
      <c r="Z181" s="30"/>
    </row>
    <row r="182" spans="1:26" ht="21" customHeight="1" x14ac:dyDescent="0.85">
      <c r="A182" s="30"/>
      <c r="B182" s="30"/>
      <c r="C182" s="30"/>
      <c r="D182" s="30"/>
      <c r="E182" s="30"/>
      <c r="F182" s="30"/>
      <c r="G182" s="30"/>
      <c r="H182" s="30"/>
      <c r="I182" s="30"/>
      <c r="J182" s="30"/>
      <c r="K182" s="30"/>
      <c r="L182" s="30"/>
      <c r="M182" s="30"/>
      <c r="N182" s="30"/>
      <c r="O182" s="30"/>
      <c r="P182" s="30"/>
      <c r="Q182" s="30"/>
      <c r="R182" s="30"/>
      <c r="S182" s="30"/>
      <c r="T182" s="30"/>
      <c r="U182" s="30"/>
      <c r="V182" s="30"/>
      <c r="W182" s="30"/>
      <c r="X182" s="30"/>
      <c r="Y182" s="30"/>
      <c r="Z182" s="30"/>
    </row>
    <row r="183" spans="1:26" ht="21" customHeight="1" x14ac:dyDescent="0.85">
      <c r="A183" s="30"/>
      <c r="B183" s="30"/>
      <c r="C183" s="30"/>
      <c r="D183" s="30"/>
      <c r="E183" s="30"/>
      <c r="F183" s="30"/>
      <c r="G183" s="30"/>
      <c r="H183" s="30"/>
      <c r="I183" s="30"/>
      <c r="J183" s="30"/>
      <c r="K183" s="30"/>
      <c r="L183" s="30"/>
      <c r="M183" s="30"/>
      <c r="N183" s="30"/>
      <c r="O183" s="30"/>
      <c r="P183" s="30"/>
      <c r="Q183" s="30"/>
      <c r="R183" s="30"/>
      <c r="S183" s="30"/>
      <c r="T183" s="30"/>
      <c r="U183" s="30"/>
      <c r="V183" s="30"/>
      <c r="W183" s="30"/>
      <c r="X183" s="30"/>
      <c r="Y183" s="30"/>
      <c r="Z183" s="30"/>
    </row>
    <row r="184" spans="1:26" ht="21" customHeight="1" x14ac:dyDescent="0.85">
      <c r="A184" s="30"/>
      <c r="B184" s="30"/>
      <c r="C184" s="30"/>
      <c r="D184" s="30"/>
      <c r="E184" s="30"/>
      <c r="F184" s="30"/>
      <c r="G184" s="30"/>
      <c r="H184" s="30"/>
      <c r="I184" s="30"/>
      <c r="J184" s="30"/>
      <c r="K184" s="30"/>
      <c r="L184" s="30"/>
      <c r="M184" s="30"/>
      <c r="N184" s="30"/>
      <c r="O184" s="30"/>
      <c r="P184" s="30"/>
      <c r="Q184" s="30"/>
      <c r="R184" s="30"/>
      <c r="S184" s="30"/>
      <c r="T184" s="30"/>
      <c r="U184" s="30"/>
      <c r="V184" s="30"/>
      <c r="W184" s="30"/>
      <c r="X184" s="30"/>
      <c r="Y184" s="30"/>
      <c r="Z184" s="30"/>
    </row>
    <row r="185" spans="1:26" ht="21" customHeight="1" x14ac:dyDescent="0.85">
      <c r="A185" s="30"/>
      <c r="B185" s="30"/>
      <c r="C185" s="30"/>
      <c r="D185" s="30"/>
      <c r="E185" s="30"/>
      <c r="F185" s="30"/>
      <c r="G185" s="30"/>
      <c r="H185" s="30"/>
      <c r="I185" s="30"/>
      <c r="J185" s="30"/>
      <c r="K185" s="30"/>
      <c r="L185" s="30"/>
      <c r="M185" s="30"/>
      <c r="N185" s="30"/>
      <c r="O185" s="30"/>
      <c r="P185" s="30"/>
      <c r="Q185" s="30"/>
      <c r="R185" s="30"/>
      <c r="S185" s="30"/>
      <c r="T185" s="30"/>
      <c r="U185" s="30"/>
      <c r="V185" s="30"/>
      <c r="W185" s="30"/>
      <c r="X185" s="30"/>
      <c r="Y185" s="30"/>
      <c r="Z185" s="30"/>
    </row>
    <row r="186" spans="1:26" ht="21" customHeight="1" x14ac:dyDescent="0.85">
      <c r="A186" s="30"/>
      <c r="B186" s="30"/>
      <c r="C186" s="30"/>
      <c r="D186" s="30"/>
      <c r="E186" s="30"/>
      <c r="F186" s="30"/>
      <c r="G186" s="30"/>
      <c r="H186" s="30"/>
      <c r="I186" s="30"/>
      <c r="J186" s="30"/>
      <c r="K186" s="30"/>
      <c r="L186" s="30"/>
      <c r="M186" s="30"/>
      <c r="N186" s="30"/>
      <c r="O186" s="30"/>
      <c r="P186" s="30"/>
      <c r="Q186" s="30"/>
      <c r="R186" s="30"/>
      <c r="S186" s="30"/>
      <c r="T186" s="30"/>
      <c r="U186" s="30"/>
      <c r="V186" s="30"/>
      <c r="W186" s="30"/>
      <c r="X186" s="30"/>
      <c r="Y186" s="30"/>
      <c r="Z186" s="30"/>
    </row>
    <row r="187" spans="1:26" ht="21" customHeight="1" x14ac:dyDescent="0.85">
      <c r="A187" s="30"/>
      <c r="B187" s="30"/>
      <c r="C187" s="30"/>
      <c r="D187" s="30"/>
      <c r="E187" s="30"/>
      <c r="F187" s="30"/>
      <c r="G187" s="30"/>
      <c r="H187" s="30"/>
      <c r="I187" s="30"/>
      <c r="J187" s="30"/>
      <c r="K187" s="30"/>
      <c r="L187" s="30"/>
      <c r="M187" s="30"/>
      <c r="N187" s="30"/>
      <c r="O187" s="30"/>
      <c r="P187" s="30"/>
      <c r="Q187" s="30"/>
      <c r="R187" s="30"/>
      <c r="S187" s="30"/>
      <c r="T187" s="30"/>
      <c r="U187" s="30"/>
      <c r="V187" s="30"/>
      <c r="W187" s="30"/>
      <c r="X187" s="30"/>
      <c r="Y187" s="30"/>
      <c r="Z187" s="30"/>
    </row>
    <row r="188" spans="1:26" ht="21" customHeight="1" x14ac:dyDescent="0.85">
      <c r="A188" s="30"/>
      <c r="B188" s="30"/>
      <c r="C188" s="30"/>
      <c r="D188" s="30"/>
      <c r="E188" s="30"/>
      <c r="F188" s="30"/>
      <c r="G188" s="30"/>
      <c r="H188" s="30"/>
      <c r="I188" s="30"/>
      <c r="J188" s="30"/>
      <c r="K188" s="30"/>
      <c r="L188" s="30"/>
      <c r="M188" s="30"/>
      <c r="N188" s="30"/>
      <c r="O188" s="30"/>
      <c r="P188" s="30"/>
      <c r="Q188" s="30"/>
      <c r="R188" s="30"/>
      <c r="S188" s="30"/>
      <c r="T188" s="30"/>
      <c r="U188" s="30"/>
      <c r="V188" s="30"/>
      <c r="W188" s="30"/>
      <c r="X188" s="30"/>
      <c r="Y188" s="30"/>
      <c r="Z188" s="30"/>
    </row>
    <row r="189" spans="1:26" ht="21" customHeight="1" x14ac:dyDescent="0.85">
      <c r="A189" s="30"/>
      <c r="B189" s="30"/>
      <c r="C189" s="30"/>
      <c r="D189" s="30"/>
      <c r="E189" s="30"/>
      <c r="F189" s="30"/>
      <c r="G189" s="30"/>
      <c r="H189" s="30"/>
      <c r="I189" s="30"/>
      <c r="J189" s="30"/>
      <c r="K189" s="30"/>
      <c r="L189" s="30"/>
      <c r="M189" s="30"/>
      <c r="N189" s="30"/>
      <c r="O189" s="30"/>
      <c r="P189" s="30"/>
      <c r="Q189" s="30"/>
      <c r="R189" s="30"/>
      <c r="S189" s="30"/>
      <c r="T189" s="30"/>
      <c r="U189" s="30"/>
      <c r="V189" s="30"/>
      <c r="W189" s="30"/>
      <c r="X189" s="30"/>
      <c r="Y189" s="30"/>
      <c r="Z189" s="30"/>
    </row>
    <row r="190" spans="1:26" ht="21" customHeight="1" x14ac:dyDescent="0.85">
      <c r="A190" s="30"/>
      <c r="B190" s="30"/>
      <c r="C190" s="30"/>
      <c r="D190" s="30"/>
      <c r="E190" s="30"/>
      <c r="F190" s="30"/>
      <c r="G190" s="30"/>
      <c r="H190" s="30"/>
      <c r="I190" s="30"/>
      <c r="J190" s="30"/>
      <c r="K190" s="30"/>
      <c r="L190" s="30"/>
      <c r="M190" s="30"/>
      <c r="N190" s="30"/>
      <c r="O190" s="30"/>
      <c r="P190" s="30"/>
      <c r="Q190" s="30"/>
      <c r="R190" s="30"/>
      <c r="S190" s="30"/>
      <c r="T190" s="30"/>
      <c r="U190" s="30"/>
      <c r="V190" s="30"/>
      <c r="W190" s="30"/>
      <c r="X190" s="30"/>
      <c r="Y190" s="30"/>
      <c r="Z190" s="30"/>
    </row>
    <row r="191" spans="1:26" ht="21" customHeight="1" x14ac:dyDescent="0.85">
      <c r="A191" s="30"/>
      <c r="B191" s="30"/>
      <c r="C191" s="30"/>
      <c r="D191" s="30"/>
      <c r="E191" s="30"/>
      <c r="F191" s="30"/>
      <c r="G191" s="30"/>
      <c r="H191" s="30"/>
      <c r="I191" s="30"/>
      <c r="J191" s="30"/>
      <c r="K191" s="30"/>
      <c r="L191" s="30"/>
      <c r="M191" s="30"/>
      <c r="N191" s="30"/>
      <c r="O191" s="30"/>
      <c r="P191" s="30"/>
      <c r="Q191" s="30"/>
      <c r="R191" s="30"/>
      <c r="S191" s="30"/>
      <c r="T191" s="30"/>
      <c r="U191" s="30"/>
      <c r="V191" s="30"/>
      <c r="W191" s="30"/>
      <c r="X191" s="30"/>
      <c r="Y191" s="30"/>
      <c r="Z191" s="30"/>
    </row>
    <row r="192" spans="1:26" ht="21" customHeight="1" x14ac:dyDescent="0.85">
      <c r="A192" s="30"/>
      <c r="B192" s="30"/>
      <c r="C192" s="30"/>
      <c r="D192" s="30"/>
      <c r="E192" s="30"/>
      <c r="F192" s="30"/>
      <c r="G192" s="30"/>
      <c r="H192" s="30"/>
      <c r="I192" s="30"/>
      <c r="J192" s="30"/>
      <c r="K192" s="30"/>
      <c r="L192" s="30"/>
      <c r="M192" s="30"/>
      <c r="N192" s="30"/>
      <c r="O192" s="30"/>
      <c r="P192" s="30"/>
      <c r="Q192" s="30"/>
      <c r="R192" s="30"/>
      <c r="S192" s="30"/>
      <c r="T192" s="30"/>
      <c r="U192" s="30"/>
      <c r="V192" s="30"/>
      <c r="W192" s="30"/>
      <c r="X192" s="30"/>
      <c r="Y192" s="30"/>
      <c r="Z192" s="30"/>
    </row>
    <row r="193" spans="1:26" ht="21" customHeight="1" x14ac:dyDescent="0.85">
      <c r="A193" s="30"/>
      <c r="B193" s="30"/>
      <c r="C193" s="30"/>
      <c r="D193" s="30"/>
      <c r="E193" s="30"/>
      <c r="F193" s="30"/>
      <c r="G193" s="30"/>
      <c r="H193" s="30"/>
      <c r="I193" s="30"/>
      <c r="J193" s="30"/>
      <c r="K193" s="30"/>
      <c r="L193" s="30"/>
      <c r="M193" s="30"/>
      <c r="N193" s="30"/>
      <c r="O193" s="30"/>
      <c r="P193" s="30"/>
      <c r="Q193" s="30"/>
      <c r="R193" s="30"/>
      <c r="S193" s="30"/>
      <c r="T193" s="30"/>
      <c r="U193" s="30"/>
      <c r="V193" s="30"/>
      <c r="W193" s="30"/>
      <c r="X193" s="30"/>
      <c r="Y193" s="30"/>
      <c r="Z193" s="30"/>
    </row>
    <row r="194" spans="1:26" ht="21" customHeight="1" x14ac:dyDescent="0.85">
      <c r="A194" s="30"/>
      <c r="B194" s="30"/>
      <c r="C194" s="30"/>
      <c r="D194" s="30"/>
      <c r="E194" s="30"/>
      <c r="F194" s="30"/>
      <c r="G194" s="30"/>
      <c r="H194" s="30"/>
      <c r="I194" s="30"/>
      <c r="J194" s="30"/>
      <c r="K194" s="30"/>
      <c r="L194" s="30"/>
      <c r="M194" s="30"/>
      <c r="N194" s="30"/>
      <c r="O194" s="30"/>
      <c r="P194" s="30"/>
      <c r="Q194" s="30"/>
      <c r="R194" s="30"/>
      <c r="S194" s="30"/>
      <c r="T194" s="30"/>
      <c r="U194" s="30"/>
      <c r="V194" s="30"/>
      <c r="W194" s="30"/>
      <c r="X194" s="30"/>
      <c r="Y194" s="30"/>
      <c r="Z194" s="30"/>
    </row>
    <row r="195" spans="1:26" ht="21" customHeight="1" x14ac:dyDescent="0.85">
      <c r="A195" s="30"/>
      <c r="B195" s="30"/>
      <c r="C195" s="30"/>
      <c r="D195" s="30"/>
      <c r="E195" s="30"/>
      <c r="F195" s="30"/>
      <c r="G195" s="30"/>
      <c r="H195" s="30"/>
      <c r="I195" s="30"/>
      <c r="J195" s="30"/>
      <c r="K195" s="30"/>
      <c r="L195" s="30"/>
      <c r="M195" s="30"/>
      <c r="N195" s="30"/>
      <c r="O195" s="30"/>
      <c r="P195" s="30"/>
      <c r="Q195" s="30"/>
      <c r="R195" s="30"/>
      <c r="S195" s="30"/>
      <c r="T195" s="30"/>
      <c r="U195" s="30"/>
      <c r="V195" s="30"/>
      <c r="W195" s="30"/>
      <c r="X195" s="30"/>
      <c r="Y195" s="30"/>
      <c r="Z195" s="30"/>
    </row>
    <row r="196" spans="1:26" ht="21" customHeight="1" x14ac:dyDescent="0.85">
      <c r="A196" s="30"/>
      <c r="B196" s="30"/>
      <c r="C196" s="30"/>
      <c r="D196" s="30"/>
      <c r="E196" s="30"/>
      <c r="F196" s="30"/>
      <c r="G196" s="30"/>
      <c r="H196" s="30"/>
      <c r="I196" s="30"/>
      <c r="J196" s="30"/>
      <c r="K196" s="30"/>
      <c r="L196" s="30"/>
      <c r="M196" s="30"/>
      <c r="N196" s="30"/>
      <c r="O196" s="30"/>
      <c r="P196" s="30"/>
      <c r="Q196" s="30"/>
      <c r="R196" s="30"/>
      <c r="S196" s="30"/>
      <c r="T196" s="30"/>
      <c r="U196" s="30"/>
      <c r="V196" s="30"/>
      <c r="W196" s="30"/>
      <c r="X196" s="30"/>
      <c r="Y196" s="30"/>
      <c r="Z196" s="30"/>
    </row>
    <row r="197" spans="1:26" ht="21" customHeight="1" x14ac:dyDescent="0.85">
      <c r="A197" s="30"/>
      <c r="B197" s="30"/>
      <c r="C197" s="30"/>
      <c r="D197" s="30"/>
      <c r="E197" s="30"/>
      <c r="F197" s="30"/>
      <c r="G197" s="30"/>
      <c r="H197" s="30"/>
      <c r="I197" s="30"/>
      <c r="J197" s="30"/>
      <c r="K197" s="30"/>
      <c r="L197" s="30"/>
      <c r="M197" s="30"/>
      <c r="N197" s="30"/>
      <c r="O197" s="30"/>
      <c r="P197" s="30"/>
      <c r="Q197" s="30"/>
      <c r="R197" s="30"/>
      <c r="S197" s="30"/>
      <c r="T197" s="30"/>
      <c r="U197" s="30"/>
      <c r="V197" s="30"/>
      <c r="W197" s="30"/>
      <c r="X197" s="30"/>
      <c r="Y197" s="30"/>
      <c r="Z197" s="30"/>
    </row>
    <row r="198" spans="1:26" ht="21" customHeight="1" x14ac:dyDescent="0.85">
      <c r="A198" s="30"/>
      <c r="B198" s="30"/>
      <c r="C198" s="30"/>
      <c r="D198" s="30"/>
      <c r="E198" s="30"/>
      <c r="F198" s="30"/>
      <c r="G198" s="30"/>
      <c r="H198" s="30"/>
      <c r="I198" s="30"/>
      <c r="J198" s="30"/>
      <c r="K198" s="30"/>
      <c r="L198" s="30"/>
      <c r="M198" s="30"/>
      <c r="N198" s="30"/>
      <c r="O198" s="30"/>
      <c r="P198" s="30"/>
      <c r="Q198" s="30"/>
      <c r="R198" s="30"/>
      <c r="S198" s="30"/>
      <c r="T198" s="30"/>
      <c r="U198" s="30"/>
      <c r="V198" s="30"/>
      <c r="W198" s="30"/>
      <c r="X198" s="30"/>
      <c r="Y198" s="30"/>
      <c r="Z198" s="30"/>
    </row>
    <row r="199" spans="1:26" ht="21" customHeight="1" x14ac:dyDescent="0.85">
      <c r="A199" s="30"/>
      <c r="B199" s="30"/>
      <c r="C199" s="30"/>
      <c r="D199" s="30"/>
      <c r="E199" s="30"/>
      <c r="F199" s="30"/>
      <c r="G199" s="30"/>
      <c r="H199" s="30"/>
      <c r="I199" s="30"/>
      <c r="J199" s="30"/>
      <c r="K199" s="30"/>
      <c r="L199" s="30"/>
      <c r="M199" s="30"/>
      <c r="N199" s="30"/>
      <c r="O199" s="30"/>
      <c r="P199" s="30"/>
      <c r="Q199" s="30"/>
      <c r="R199" s="30"/>
      <c r="S199" s="30"/>
      <c r="T199" s="30"/>
      <c r="U199" s="30"/>
      <c r="V199" s="30"/>
      <c r="W199" s="30"/>
      <c r="X199" s="30"/>
      <c r="Y199" s="30"/>
      <c r="Z199" s="30"/>
    </row>
    <row r="200" spans="1:26" ht="21" customHeight="1" x14ac:dyDescent="0.85">
      <c r="A200" s="30"/>
      <c r="B200" s="30"/>
      <c r="C200" s="30"/>
      <c r="D200" s="30"/>
      <c r="E200" s="30"/>
      <c r="F200" s="30"/>
      <c r="G200" s="30"/>
      <c r="H200" s="30"/>
      <c r="I200" s="30"/>
      <c r="J200" s="30"/>
      <c r="K200" s="30"/>
      <c r="L200" s="30"/>
      <c r="M200" s="30"/>
      <c r="N200" s="30"/>
      <c r="O200" s="30"/>
      <c r="P200" s="30"/>
      <c r="Q200" s="30"/>
      <c r="R200" s="30"/>
      <c r="S200" s="30"/>
      <c r="T200" s="30"/>
      <c r="U200" s="30"/>
      <c r="V200" s="30"/>
      <c r="W200" s="30"/>
      <c r="X200" s="30"/>
      <c r="Y200" s="30"/>
      <c r="Z200" s="30"/>
    </row>
    <row r="201" spans="1:26" ht="21" customHeight="1" x14ac:dyDescent="0.85">
      <c r="A201" s="30"/>
      <c r="B201" s="30"/>
      <c r="C201" s="30"/>
      <c r="D201" s="30"/>
      <c r="E201" s="30"/>
      <c r="F201" s="30"/>
      <c r="G201" s="30"/>
      <c r="H201" s="30"/>
      <c r="I201" s="30"/>
      <c r="J201" s="30"/>
      <c r="K201" s="30"/>
      <c r="L201" s="30"/>
      <c r="M201" s="30"/>
      <c r="N201" s="30"/>
      <c r="O201" s="30"/>
      <c r="P201" s="30"/>
      <c r="Q201" s="30"/>
      <c r="R201" s="30"/>
      <c r="S201" s="30"/>
      <c r="T201" s="30"/>
      <c r="U201" s="30"/>
      <c r="V201" s="30"/>
      <c r="W201" s="30"/>
      <c r="X201" s="30"/>
      <c r="Y201" s="30"/>
      <c r="Z201" s="30"/>
    </row>
    <row r="202" spans="1:26" ht="21" customHeight="1" x14ac:dyDescent="0.85">
      <c r="A202" s="30"/>
      <c r="B202" s="30"/>
      <c r="C202" s="30"/>
      <c r="D202" s="30"/>
      <c r="E202" s="30"/>
      <c r="F202" s="30"/>
      <c r="G202" s="30"/>
      <c r="H202" s="30"/>
      <c r="I202" s="30"/>
      <c r="J202" s="30"/>
      <c r="K202" s="30"/>
      <c r="L202" s="30"/>
      <c r="M202" s="30"/>
      <c r="N202" s="30"/>
      <c r="O202" s="30"/>
      <c r="P202" s="30"/>
      <c r="Q202" s="30"/>
      <c r="R202" s="30"/>
      <c r="S202" s="30"/>
      <c r="T202" s="30"/>
      <c r="U202" s="30"/>
      <c r="V202" s="30"/>
      <c r="W202" s="30"/>
      <c r="X202" s="30"/>
      <c r="Y202" s="30"/>
      <c r="Z202" s="30"/>
    </row>
    <row r="203" spans="1:26" ht="21" customHeight="1" x14ac:dyDescent="0.85">
      <c r="A203" s="30"/>
      <c r="B203" s="30"/>
      <c r="C203" s="30"/>
      <c r="D203" s="30"/>
      <c r="E203" s="30"/>
      <c r="F203" s="30"/>
      <c r="G203" s="30"/>
      <c r="H203" s="30"/>
      <c r="I203" s="30"/>
      <c r="J203" s="30"/>
      <c r="K203" s="30"/>
      <c r="L203" s="30"/>
      <c r="M203" s="30"/>
      <c r="N203" s="30"/>
      <c r="O203" s="30"/>
      <c r="P203" s="30"/>
      <c r="Q203" s="30"/>
      <c r="R203" s="30"/>
      <c r="S203" s="30"/>
      <c r="T203" s="30"/>
      <c r="U203" s="30"/>
      <c r="V203" s="30"/>
      <c r="W203" s="30"/>
      <c r="X203" s="30"/>
      <c r="Y203" s="30"/>
      <c r="Z203" s="30"/>
    </row>
    <row r="204" spans="1:26" ht="21" customHeight="1" x14ac:dyDescent="0.85">
      <c r="A204" s="30"/>
      <c r="B204" s="30"/>
      <c r="C204" s="30"/>
      <c r="D204" s="30"/>
      <c r="E204" s="30"/>
      <c r="F204" s="30"/>
      <c r="G204" s="30"/>
      <c r="H204" s="30"/>
      <c r="I204" s="30"/>
      <c r="J204" s="30"/>
      <c r="K204" s="30"/>
      <c r="L204" s="30"/>
      <c r="M204" s="30"/>
      <c r="N204" s="30"/>
      <c r="O204" s="30"/>
      <c r="P204" s="30"/>
      <c r="Q204" s="30"/>
      <c r="R204" s="30"/>
      <c r="S204" s="30"/>
      <c r="T204" s="30"/>
      <c r="U204" s="30"/>
      <c r="V204" s="30"/>
      <c r="W204" s="30"/>
      <c r="X204" s="30"/>
      <c r="Y204" s="30"/>
      <c r="Z204" s="30"/>
    </row>
    <row r="205" spans="1:26" ht="21" customHeight="1" x14ac:dyDescent="0.85">
      <c r="A205" s="30"/>
      <c r="B205" s="30"/>
      <c r="C205" s="30"/>
      <c r="D205" s="30"/>
      <c r="E205" s="30"/>
      <c r="F205" s="30"/>
      <c r="G205" s="30"/>
      <c r="H205" s="30"/>
      <c r="I205" s="30"/>
      <c r="J205" s="30"/>
      <c r="K205" s="30"/>
      <c r="L205" s="30"/>
      <c r="M205" s="30"/>
      <c r="N205" s="30"/>
      <c r="O205" s="30"/>
      <c r="P205" s="30"/>
      <c r="Q205" s="30"/>
      <c r="R205" s="30"/>
      <c r="S205" s="30"/>
      <c r="T205" s="30"/>
      <c r="U205" s="30"/>
      <c r="V205" s="30"/>
      <c r="W205" s="30"/>
      <c r="X205" s="30"/>
      <c r="Y205" s="30"/>
      <c r="Z205" s="30"/>
    </row>
    <row r="206" spans="1:26" ht="21" customHeight="1" x14ac:dyDescent="0.85">
      <c r="A206" s="30"/>
      <c r="B206" s="30"/>
      <c r="C206" s="30"/>
      <c r="D206" s="30"/>
      <c r="E206" s="30"/>
      <c r="F206" s="30"/>
      <c r="G206" s="30"/>
      <c r="H206" s="30"/>
      <c r="I206" s="30"/>
      <c r="J206" s="30"/>
      <c r="K206" s="30"/>
      <c r="L206" s="30"/>
      <c r="M206" s="30"/>
      <c r="N206" s="30"/>
      <c r="O206" s="30"/>
      <c r="P206" s="30"/>
      <c r="Q206" s="30"/>
      <c r="R206" s="30"/>
      <c r="S206" s="30"/>
      <c r="T206" s="30"/>
      <c r="U206" s="30"/>
      <c r="V206" s="30"/>
      <c r="W206" s="30"/>
      <c r="X206" s="30"/>
      <c r="Y206" s="30"/>
      <c r="Z206" s="30"/>
    </row>
    <row r="207" spans="1:26" ht="21" customHeight="1" x14ac:dyDescent="0.85">
      <c r="A207" s="30"/>
      <c r="B207" s="30"/>
      <c r="C207" s="30"/>
      <c r="D207" s="30"/>
      <c r="E207" s="30"/>
      <c r="F207" s="30"/>
      <c r="G207" s="30"/>
      <c r="H207" s="30"/>
      <c r="I207" s="30"/>
      <c r="J207" s="30"/>
      <c r="K207" s="30"/>
      <c r="L207" s="30"/>
      <c r="M207" s="30"/>
      <c r="N207" s="30"/>
      <c r="O207" s="30"/>
      <c r="P207" s="30"/>
      <c r="Q207" s="30"/>
      <c r="R207" s="30"/>
      <c r="S207" s="30"/>
      <c r="T207" s="30"/>
      <c r="U207" s="30"/>
      <c r="V207" s="30"/>
      <c r="W207" s="30"/>
      <c r="X207" s="30"/>
      <c r="Y207" s="30"/>
      <c r="Z207" s="30"/>
    </row>
    <row r="208" spans="1:26" ht="21" customHeight="1" x14ac:dyDescent="0.85">
      <c r="A208" s="30"/>
      <c r="B208" s="30"/>
      <c r="C208" s="30"/>
      <c r="D208" s="30"/>
      <c r="E208" s="30"/>
      <c r="F208" s="30"/>
      <c r="G208" s="30"/>
      <c r="H208" s="30"/>
      <c r="I208" s="30"/>
      <c r="J208" s="30"/>
      <c r="K208" s="30"/>
      <c r="L208" s="30"/>
      <c r="M208" s="30"/>
      <c r="N208" s="30"/>
      <c r="O208" s="30"/>
      <c r="P208" s="30"/>
      <c r="Q208" s="30"/>
      <c r="R208" s="30"/>
      <c r="S208" s="30"/>
      <c r="T208" s="30"/>
      <c r="U208" s="30"/>
      <c r="V208" s="30"/>
      <c r="W208" s="30"/>
      <c r="X208" s="30"/>
      <c r="Y208" s="30"/>
      <c r="Z208" s="30"/>
    </row>
    <row r="209" spans="1:26" ht="21" customHeight="1" x14ac:dyDescent="0.85">
      <c r="A209" s="30"/>
      <c r="B209" s="30"/>
      <c r="C209" s="30"/>
      <c r="D209" s="30"/>
      <c r="E209" s="30"/>
      <c r="F209" s="30"/>
      <c r="G209" s="30"/>
      <c r="H209" s="30"/>
      <c r="I209" s="30"/>
      <c r="J209" s="30"/>
      <c r="K209" s="30"/>
      <c r="L209" s="30"/>
      <c r="M209" s="30"/>
      <c r="N209" s="30"/>
      <c r="O209" s="30"/>
      <c r="P209" s="30"/>
      <c r="Q209" s="30"/>
      <c r="R209" s="30"/>
      <c r="S209" s="30"/>
      <c r="T209" s="30"/>
      <c r="U209" s="30"/>
      <c r="V209" s="30"/>
      <c r="W209" s="30"/>
      <c r="X209" s="30"/>
      <c r="Y209" s="30"/>
      <c r="Z209" s="30"/>
    </row>
    <row r="210" spans="1:26" ht="21" customHeight="1" x14ac:dyDescent="0.85">
      <c r="A210" s="30"/>
      <c r="B210" s="30"/>
      <c r="C210" s="30"/>
      <c r="D210" s="30"/>
      <c r="E210" s="30"/>
      <c r="F210" s="30"/>
      <c r="G210" s="30"/>
      <c r="H210" s="30"/>
      <c r="I210" s="30"/>
      <c r="J210" s="30"/>
      <c r="K210" s="30"/>
      <c r="L210" s="30"/>
      <c r="M210" s="30"/>
      <c r="N210" s="30"/>
      <c r="O210" s="30"/>
      <c r="P210" s="30"/>
      <c r="Q210" s="30"/>
      <c r="R210" s="30"/>
      <c r="S210" s="30"/>
      <c r="T210" s="30"/>
      <c r="U210" s="30"/>
      <c r="V210" s="30"/>
      <c r="W210" s="30"/>
      <c r="X210" s="30"/>
      <c r="Y210" s="30"/>
      <c r="Z210" s="30"/>
    </row>
    <row r="211" spans="1:26" ht="21" customHeight="1" x14ac:dyDescent="0.85">
      <c r="A211" s="30"/>
      <c r="B211" s="30"/>
      <c r="C211" s="30"/>
      <c r="D211" s="30"/>
      <c r="E211" s="30"/>
      <c r="F211" s="30"/>
      <c r="G211" s="30"/>
      <c r="H211" s="30"/>
      <c r="I211" s="30"/>
      <c r="J211" s="30"/>
      <c r="K211" s="30"/>
      <c r="L211" s="30"/>
      <c r="M211" s="30"/>
      <c r="N211" s="30"/>
      <c r="O211" s="30"/>
      <c r="P211" s="30"/>
      <c r="Q211" s="30"/>
      <c r="R211" s="30"/>
      <c r="S211" s="30"/>
      <c r="T211" s="30"/>
      <c r="U211" s="30"/>
      <c r="V211" s="30"/>
      <c r="W211" s="30"/>
      <c r="X211" s="30"/>
      <c r="Y211" s="30"/>
      <c r="Z211" s="30"/>
    </row>
    <row r="212" spans="1:26" ht="21" customHeight="1" x14ac:dyDescent="0.85">
      <c r="A212" s="30"/>
      <c r="B212" s="30"/>
      <c r="C212" s="30"/>
      <c r="D212" s="30"/>
      <c r="E212" s="30"/>
      <c r="F212" s="30"/>
      <c r="G212" s="30"/>
      <c r="H212" s="30"/>
      <c r="I212" s="30"/>
      <c r="J212" s="30"/>
      <c r="K212" s="30"/>
      <c r="L212" s="30"/>
      <c r="M212" s="30"/>
      <c r="N212" s="30"/>
      <c r="O212" s="30"/>
      <c r="P212" s="30"/>
      <c r="Q212" s="30"/>
      <c r="R212" s="30"/>
      <c r="S212" s="30"/>
      <c r="T212" s="30"/>
      <c r="U212" s="30"/>
      <c r="V212" s="30"/>
      <c r="W212" s="30"/>
      <c r="X212" s="30"/>
      <c r="Y212" s="30"/>
      <c r="Z212" s="30"/>
    </row>
    <row r="213" spans="1:26" ht="21" customHeight="1" x14ac:dyDescent="0.85">
      <c r="A213" s="30"/>
      <c r="B213" s="30"/>
      <c r="C213" s="30"/>
      <c r="D213" s="30"/>
      <c r="E213" s="30"/>
      <c r="F213" s="30"/>
      <c r="G213" s="30"/>
      <c r="H213" s="30"/>
      <c r="I213" s="30"/>
      <c r="J213" s="30"/>
      <c r="K213" s="30"/>
      <c r="L213" s="30"/>
      <c r="M213" s="30"/>
      <c r="N213" s="30"/>
      <c r="O213" s="30"/>
      <c r="P213" s="30"/>
      <c r="Q213" s="30"/>
      <c r="R213" s="30"/>
      <c r="S213" s="30"/>
      <c r="T213" s="30"/>
      <c r="U213" s="30"/>
      <c r="V213" s="30"/>
      <c r="W213" s="30"/>
      <c r="X213" s="30"/>
      <c r="Y213" s="30"/>
      <c r="Z213" s="30"/>
    </row>
    <row r="214" spans="1:26" ht="21" customHeight="1" x14ac:dyDescent="0.85">
      <c r="A214" s="30"/>
      <c r="B214" s="30"/>
      <c r="C214" s="30"/>
      <c r="D214" s="30"/>
      <c r="E214" s="30"/>
      <c r="F214" s="30"/>
      <c r="G214" s="30"/>
      <c r="H214" s="30"/>
      <c r="I214" s="30"/>
      <c r="J214" s="30"/>
      <c r="K214" s="30"/>
      <c r="L214" s="30"/>
      <c r="M214" s="30"/>
      <c r="N214" s="30"/>
      <c r="O214" s="30"/>
      <c r="P214" s="30"/>
      <c r="Q214" s="30"/>
      <c r="R214" s="30"/>
      <c r="S214" s="30"/>
      <c r="T214" s="30"/>
      <c r="U214" s="30"/>
      <c r="V214" s="30"/>
      <c r="W214" s="30"/>
      <c r="X214" s="30"/>
      <c r="Y214" s="30"/>
      <c r="Z214" s="30"/>
    </row>
    <row r="215" spans="1:26" ht="21" customHeight="1" x14ac:dyDescent="0.85">
      <c r="A215" s="30"/>
      <c r="B215" s="30"/>
      <c r="C215" s="30"/>
      <c r="D215" s="30"/>
      <c r="E215" s="30"/>
      <c r="F215" s="30"/>
      <c r="G215" s="30"/>
      <c r="H215" s="30"/>
      <c r="I215" s="30"/>
      <c r="J215" s="30"/>
      <c r="K215" s="30"/>
      <c r="L215" s="30"/>
      <c r="M215" s="30"/>
      <c r="N215" s="30"/>
      <c r="O215" s="30"/>
      <c r="P215" s="30"/>
      <c r="Q215" s="30"/>
      <c r="R215" s="30"/>
      <c r="S215" s="30"/>
      <c r="T215" s="30"/>
      <c r="U215" s="30"/>
      <c r="V215" s="30"/>
      <c r="W215" s="30"/>
      <c r="X215" s="30"/>
      <c r="Y215" s="30"/>
      <c r="Z215" s="30"/>
    </row>
    <row r="216" spans="1:26" ht="21" customHeight="1" x14ac:dyDescent="0.85">
      <c r="A216" s="30"/>
      <c r="B216" s="30"/>
      <c r="C216" s="30"/>
      <c r="D216" s="30"/>
      <c r="E216" s="30"/>
      <c r="F216" s="30"/>
      <c r="G216" s="30"/>
      <c r="H216" s="30"/>
      <c r="I216" s="30"/>
      <c r="J216" s="30"/>
      <c r="K216" s="30"/>
      <c r="L216" s="30"/>
      <c r="M216" s="30"/>
      <c r="N216" s="30"/>
      <c r="O216" s="30"/>
      <c r="P216" s="30"/>
      <c r="Q216" s="30"/>
      <c r="R216" s="30"/>
      <c r="S216" s="30"/>
      <c r="T216" s="30"/>
      <c r="U216" s="30"/>
      <c r="V216" s="30"/>
      <c r="W216" s="30"/>
      <c r="X216" s="30"/>
      <c r="Y216" s="30"/>
      <c r="Z216" s="30"/>
    </row>
    <row r="217" spans="1:26" ht="21" customHeight="1" x14ac:dyDescent="0.85">
      <c r="A217" s="30"/>
      <c r="B217" s="30"/>
      <c r="C217" s="30"/>
      <c r="D217" s="30"/>
      <c r="E217" s="30"/>
      <c r="F217" s="30"/>
      <c r="G217" s="30"/>
      <c r="H217" s="30"/>
      <c r="I217" s="30"/>
      <c r="J217" s="30"/>
      <c r="K217" s="30"/>
      <c r="L217" s="30"/>
      <c r="M217" s="30"/>
      <c r="N217" s="30"/>
      <c r="O217" s="30"/>
      <c r="P217" s="30"/>
      <c r="Q217" s="30"/>
      <c r="R217" s="30"/>
      <c r="S217" s="30"/>
      <c r="T217" s="30"/>
      <c r="U217" s="30"/>
      <c r="V217" s="30"/>
      <c r="W217" s="30"/>
      <c r="X217" s="30"/>
      <c r="Y217" s="30"/>
      <c r="Z217" s="30"/>
    </row>
    <row r="218" spans="1:26" ht="21" customHeight="1" x14ac:dyDescent="0.85">
      <c r="A218" s="30"/>
      <c r="B218" s="30"/>
      <c r="C218" s="30"/>
      <c r="D218" s="30"/>
      <c r="E218" s="30"/>
      <c r="F218" s="30"/>
      <c r="G218" s="30"/>
      <c r="H218" s="30"/>
      <c r="I218" s="30"/>
      <c r="J218" s="30"/>
      <c r="K218" s="30"/>
      <c r="L218" s="30"/>
      <c r="M218" s="30"/>
      <c r="N218" s="30"/>
      <c r="O218" s="30"/>
      <c r="P218" s="30"/>
      <c r="Q218" s="30"/>
      <c r="R218" s="30"/>
      <c r="S218" s="30"/>
      <c r="T218" s="30"/>
      <c r="U218" s="30"/>
      <c r="V218" s="30"/>
      <c r="W218" s="30"/>
      <c r="X218" s="30"/>
      <c r="Y218" s="30"/>
      <c r="Z218" s="30"/>
    </row>
    <row r="219" spans="1:26" ht="21" customHeight="1" x14ac:dyDescent="0.85">
      <c r="A219" s="30"/>
      <c r="B219" s="30"/>
      <c r="C219" s="30"/>
      <c r="D219" s="30"/>
      <c r="E219" s="30"/>
      <c r="F219" s="30"/>
      <c r="G219" s="30"/>
      <c r="H219" s="30"/>
      <c r="I219" s="30"/>
      <c r="J219" s="30"/>
      <c r="K219" s="30"/>
      <c r="L219" s="30"/>
      <c r="M219" s="30"/>
      <c r="N219" s="30"/>
      <c r="O219" s="30"/>
      <c r="P219" s="30"/>
      <c r="Q219" s="30"/>
      <c r="R219" s="30"/>
      <c r="S219" s="30"/>
      <c r="T219" s="30"/>
      <c r="U219" s="30"/>
      <c r="V219" s="30"/>
      <c r="W219" s="30"/>
      <c r="X219" s="30"/>
      <c r="Y219" s="30"/>
      <c r="Z219" s="30"/>
    </row>
    <row r="220" spans="1:26" ht="21" customHeight="1" x14ac:dyDescent="0.85">
      <c r="A220" s="30"/>
      <c r="B220" s="30"/>
      <c r="C220" s="30"/>
      <c r="D220" s="30"/>
      <c r="E220" s="30"/>
      <c r="F220" s="30"/>
      <c r="G220" s="30"/>
      <c r="H220" s="30"/>
      <c r="I220" s="30"/>
      <c r="J220" s="30"/>
      <c r="K220" s="30"/>
      <c r="L220" s="30"/>
      <c r="M220" s="30"/>
      <c r="N220" s="30"/>
      <c r="O220" s="30"/>
      <c r="P220" s="30"/>
      <c r="Q220" s="30"/>
      <c r="R220" s="30"/>
      <c r="S220" s="30"/>
      <c r="T220" s="30"/>
      <c r="U220" s="30"/>
      <c r="V220" s="30"/>
      <c r="W220" s="30"/>
      <c r="X220" s="30"/>
      <c r="Y220" s="30"/>
      <c r="Z220" s="30"/>
    </row>
    <row r="221" spans="1:26" ht="21" customHeight="1" x14ac:dyDescent="0.85">
      <c r="A221" s="30"/>
      <c r="B221" s="30"/>
      <c r="C221" s="30"/>
      <c r="D221" s="30"/>
      <c r="E221" s="30"/>
      <c r="F221" s="30"/>
      <c r="G221" s="30"/>
      <c r="H221" s="30"/>
      <c r="I221" s="30"/>
      <c r="J221" s="30"/>
      <c r="K221" s="30"/>
      <c r="L221" s="30"/>
      <c r="M221" s="30"/>
      <c r="N221" s="30"/>
      <c r="O221" s="30"/>
      <c r="P221" s="30"/>
      <c r="Q221" s="30"/>
      <c r="R221" s="30"/>
      <c r="S221" s="30"/>
      <c r="T221" s="30"/>
      <c r="U221" s="30"/>
      <c r="V221" s="30"/>
      <c r="W221" s="30"/>
      <c r="X221" s="30"/>
      <c r="Y221" s="30"/>
      <c r="Z221" s="30"/>
    </row>
    <row r="222" spans="1:26" ht="21" customHeight="1" x14ac:dyDescent="0.85">
      <c r="A222" s="30"/>
      <c r="B222" s="30"/>
      <c r="C222" s="30"/>
      <c r="D222" s="30"/>
      <c r="E222" s="30"/>
      <c r="F222" s="30"/>
      <c r="G222" s="30"/>
      <c r="H222" s="30"/>
      <c r="I222" s="30"/>
      <c r="J222" s="30"/>
      <c r="K222" s="30"/>
      <c r="L222" s="30"/>
      <c r="M222" s="30"/>
      <c r="N222" s="30"/>
      <c r="O222" s="30"/>
      <c r="P222" s="30"/>
      <c r="Q222" s="30"/>
      <c r="R222" s="30"/>
      <c r="S222" s="30"/>
      <c r="T222" s="30"/>
      <c r="U222" s="30"/>
      <c r="V222" s="30"/>
      <c r="W222" s="30"/>
      <c r="X222" s="30"/>
      <c r="Y222" s="30"/>
      <c r="Z222" s="30"/>
    </row>
    <row r="223" spans="1:26" ht="21" customHeight="1" x14ac:dyDescent="0.85">
      <c r="A223" s="30"/>
      <c r="B223" s="30"/>
      <c r="C223" s="30"/>
      <c r="D223" s="30"/>
      <c r="E223" s="30"/>
      <c r="F223" s="30"/>
      <c r="G223" s="30"/>
      <c r="H223" s="30"/>
      <c r="I223" s="30"/>
      <c r="J223" s="30"/>
      <c r="K223" s="30"/>
      <c r="L223" s="30"/>
      <c r="M223" s="30"/>
      <c r="N223" s="30"/>
      <c r="O223" s="30"/>
      <c r="P223" s="30"/>
      <c r="Q223" s="30"/>
      <c r="R223" s="30"/>
      <c r="S223" s="30"/>
      <c r="T223" s="30"/>
      <c r="U223" s="30"/>
      <c r="V223" s="30"/>
      <c r="W223" s="30"/>
      <c r="X223" s="30"/>
      <c r="Y223" s="30"/>
      <c r="Z223" s="30"/>
    </row>
    <row r="224" spans="1:26" ht="21" customHeight="1" x14ac:dyDescent="0.85">
      <c r="A224" s="30"/>
      <c r="B224" s="30"/>
      <c r="C224" s="30"/>
      <c r="D224" s="30"/>
      <c r="E224" s="30"/>
      <c r="F224" s="30"/>
      <c r="G224" s="30"/>
      <c r="H224" s="30"/>
      <c r="I224" s="30"/>
      <c r="J224" s="30"/>
      <c r="K224" s="30"/>
      <c r="L224" s="30"/>
      <c r="M224" s="30"/>
      <c r="N224" s="30"/>
      <c r="O224" s="30"/>
      <c r="P224" s="30"/>
      <c r="Q224" s="30"/>
      <c r="R224" s="30"/>
      <c r="S224" s="30"/>
      <c r="T224" s="30"/>
      <c r="U224" s="30"/>
      <c r="V224" s="30"/>
      <c r="W224" s="30"/>
      <c r="X224" s="30"/>
      <c r="Y224" s="30"/>
      <c r="Z224" s="30"/>
    </row>
    <row r="225" spans="1:26" ht="21" customHeight="1" x14ac:dyDescent="0.85">
      <c r="A225" s="30"/>
      <c r="B225" s="30"/>
      <c r="C225" s="30"/>
      <c r="D225" s="30"/>
      <c r="E225" s="30"/>
      <c r="F225" s="30"/>
      <c r="G225" s="30"/>
      <c r="H225" s="30"/>
      <c r="I225" s="30"/>
      <c r="J225" s="30"/>
      <c r="K225" s="30"/>
      <c r="L225" s="30"/>
      <c r="M225" s="30"/>
      <c r="N225" s="30"/>
      <c r="O225" s="30"/>
      <c r="P225" s="30"/>
      <c r="Q225" s="30"/>
      <c r="R225" s="30"/>
      <c r="S225" s="30"/>
      <c r="T225" s="30"/>
      <c r="U225" s="30"/>
      <c r="V225" s="30"/>
      <c r="W225" s="30"/>
      <c r="X225" s="30"/>
      <c r="Y225" s="30"/>
      <c r="Z225" s="30"/>
    </row>
    <row r="226" spans="1:26" ht="21" customHeight="1" x14ac:dyDescent="0.85">
      <c r="A226" s="30"/>
      <c r="B226" s="30"/>
      <c r="C226" s="30"/>
      <c r="D226" s="30"/>
      <c r="E226" s="30"/>
      <c r="F226" s="30"/>
      <c r="G226" s="30"/>
      <c r="H226" s="30"/>
      <c r="I226" s="30"/>
      <c r="J226" s="30"/>
      <c r="K226" s="30"/>
      <c r="L226" s="30"/>
      <c r="M226" s="30"/>
      <c r="N226" s="30"/>
      <c r="O226" s="30"/>
      <c r="P226" s="30"/>
      <c r="Q226" s="30"/>
      <c r="R226" s="30"/>
      <c r="S226" s="30"/>
      <c r="T226" s="30"/>
      <c r="U226" s="30"/>
      <c r="V226" s="30"/>
      <c r="W226" s="30"/>
      <c r="X226" s="30"/>
      <c r="Y226" s="30"/>
      <c r="Z226" s="30"/>
    </row>
    <row r="227" spans="1:26" ht="21" customHeight="1" x14ac:dyDescent="0.85">
      <c r="A227" s="30"/>
      <c r="B227" s="30"/>
      <c r="C227" s="30"/>
      <c r="D227" s="30"/>
      <c r="E227" s="30"/>
      <c r="F227" s="30"/>
      <c r="G227" s="30"/>
      <c r="H227" s="30"/>
      <c r="I227" s="30"/>
      <c r="J227" s="30"/>
      <c r="K227" s="30"/>
      <c r="L227" s="30"/>
      <c r="M227" s="30"/>
      <c r="N227" s="30"/>
      <c r="O227" s="30"/>
      <c r="P227" s="30"/>
      <c r="Q227" s="30"/>
      <c r="R227" s="30"/>
      <c r="S227" s="30"/>
      <c r="T227" s="30"/>
      <c r="U227" s="30"/>
      <c r="V227" s="30"/>
      <c r="W227" s="30"/>
      <c r="X227" s="30"/>
      <c r="Y227" s="30"/>
      <c r="Z227" s="30"/>
    </row>
    <row r="228" spans="1:26" ht="21" customHeight="1" x14ac:dyDescent="0.85">
      <c r="A228" s="30"/>
      <c r="B228" s="30"/>
      <c r="C228" s="30"/>
      <c r="D228" s="30"/>
      <c r="E228" s="30"/>
      <c r="F228" s="30"/>
      <c r="G228" s="30"/>
      <c r="H228" s="30"/>
      <c r="I228" s="30"/>
      <c r="J228" s="30"/>
      <c r="K228" s="30"/>
      <c r="L228" s="30"/>
      <c r="M228" s="30"/>
      <c r="N228" s="30"/>
      <c r="O228" s="30"/>
      <c r="P228" s="30"/>
      <c r="Q228" s="30"/>
      <c r="R228" s="30"/>
      <c r="S228" s="30"/>
      <c r="T228" s="30"/>
      <c r="U228" s="30"/>
      <c r="V228" s="30"/>
      <c r="W228" s="30"/>
      <c r="X228" s="30"/>
      <c r="Y228" s="30"/>
      <c r="Z228" s="30"/>
    </row>
    <row r="229" spans="1:26" ht="21" customHeight="1" x14ac:dyDescent="0.85">
      <c r="A229" s="30"/>
      <c r="B229" s="30"/>
      <c r="C229" s="30"/>
      <c r="D229" s="30"/>
      <c r="E229" s="30"/>
      <c r="F229" s="30"/>
      <c r="G229" s="30"/>
      <c r="H229" s="30"/>
      <c r="I229" s="30"/>
      <c r="J229" s="30"/>
      <c r="K229" s="30"/>
      <c r="L229" s="30"/>
      <c r="M229" s="30"/>
      <c r="N229" s="30"/>
      <c r="O229" s="30"/>
      <c r="P229" s="30"/>
      <c r="Q229" s="30"/>
      <c r="R229" s="30"/>
      <c r="S229" s="30"/>
      <c r="T229" s="30"/>
      <c r="U229" s="30"/>
      <c r="V229" s="30"/>
      <c r="W229" s="30"/>
      <c r="X229" s="30"/>
      <c r="Y229" s="30"/>
      <c r="Z229" s="30"/>
    </row>
    <row r="230" spans="1:26" ht="21" customHeight="1" x14ac:dyDescent="0.85">
      <c r="A230" s="30"/>
      <c r="B230" s="30"/>
      <c r="C230" s="30"/>
      <c r="D230" s="30"/>
      <c r="E230" s="30"/>
      <c r="F230" s="30"/>
      <c r="G230" s="30"/>
      <c r="H230" s="30"/>
      <c r="I230" s="30"/>
      <c r="J230" s="30"/>
      <c r="K230" s="30"/>
      <c r="L230" s="30"/>
      <c r="M230" s="30"/>
      <c r="N230" s="30"/>
      <c r="O230" s="30"/>
      <c r="P230" s="30"/>
      <c r="Q230" s="30"/>
      <c r="R230" s="30"/>
      <c r="S230" s="30"/>
      <c r="T230" s="30"/>
      <c r="U230" s="30"/>
      <c r="V230" s="30"/>
      <c r="W230" s="30"/>
      <c r="X230" s="30"/>
      <c r="Y230" s="30"/>
      <c r="Z230" s="30"/>
    </row>
    <row r="231" spans="1:26" ht="21" customHeight="1" x14ac:dyDescent="0.85">
      <c r="A231" s="30"/>
      <c r="B231" s="30"/>
      <c r="C231" s="30"/>
      <c r="D231" s="30"/>
      <c r="E231" s="30"/>
      <c r="F231" s="30"/>
      <c r="G231" s="30"/>
      <c r="H231" s="30"/>
      <c r="I231" s="30"/>
      <c r="J231" s="30"/>
      <c r="K231" s="30"/>
      <c r="L231" s="30"/>
      <c r="M231" s="30"/>
      <c r="N231" s="30"/>
      <c r="O231" s="30"/>
      <c r="P231" s="30"/>
      <c r="Q231" s="30"/>
      <c r="R231" s="30"/>
      <c r="S231" s="30"/>
      <c r="T231" s="30"/>
      <c r="U231" s="30"/>
      <c r="V231" s="30"/>
      <c r="W231" s="30"/>
      <c r="X231" s="30"/>
      <c r="Y231" s="30"/>
      <c r="Z231" s="30"/>
    </row>
    <row r="232" spans="1:26" ht="21" customHeight="1" x14ac:dyDescent="0.85">
      <c r="A232" s="30"/>
      <c r="B232" s="30"/>
      <c r="C232" s="30"/>
      <c r="D232" s="30"/>
      <c r="E232" s="30"/>
      <c r="F232" s="30"/>
      <c r="G232" s="30"/>
      <c r="H232" s="30"/>
      <c r="I232" s="30"/>
      <c r="J232" s="30"/>
      <c r="K232" s="30"/>
      <c r="L232" s="30"/>
      <c r="M232" s="30"/>
      <c r="N232" s="30"/>
      <c r="O232" s="30"/>
      <c r="P232" s="30"/>
      <c r="Q232" s="30"/>
      <c r="R232" s="30"/>
      <c r="S232" s="30"/>
      <c r="T232" s="30"/>
      <c r="U232" s="30"/>
      <c r="V232" s="30"/>
      <c r="W232" s="30"/>
      <c r="X232" s="30"/>
      <c r="Y232" s="30"/>
      <c r="Z232" s="30"/>
    </row>
    <row r="233" spans="1:26" ht="21" customHeight="1" x14ac:dyDescent="0.85">
      <c r="A233" s="30"/>
      <c r="B233" s="30"/>
      <c r="C233" s="30"/>
      <c r="D233" s="30"/>
      <c r="E233" s="30"/>
      <c r="F233" s="30"/>
      <c r="G233" s="30"/>
      <c r="H233" s="30"/>
      <c r="I233" s="30"/>
      <c r="J233" s="30"/>
      <c r="K233" s="30"/>
      <c r="L233" s="30"/>
      <c r="M233" s="30"/>
      <c r="N233" s="30"/>
      <c r="O233" s="30"/>
      <c r="P233" s="30"/>
      <c r="Q233" s="30"/>
      <c r="R233" s="30"/>
      <c r="S233" s="30"/>
      <c r="T233" s="30"/>
      <c r="U233" s="30"/>
      <c r="V233" s="30"/>
      <c r="W233" s="30"/>
      <c r="X233" s="30"/>
      <c r="Y233" s="30"/>
      <c r="Z233" s="30"/>
    </row>
    <row r="234" spans="1:26" ht="21" customHeight="1" x14ac:dyDescent="0.85">
      <c r="A234" s="30"/>
      <c r="B234" s="30"/>
      <c r="C234" s="30"/>
      <c r="D234" s="30"/>
      <c r="E234" s="30"/>
      <c r="F234" s="30"/>
      <c r="G234" s="30"/>
      <c r="H234" s="30"/>
      <c r="I234" s="30"/>
      <c r="J234" s="30"/>
      <c r="K234" s="30"/>
      <c r="L234" s="30"/>
      <c r="M234" s="30"/>
      <c r="N234" s="30"/>
      <c r="O234" s="30"/>
      <c r="P234" s="30"/>
      <c r="Q234" s="30"/>
      <c r="R234" s="30"/>
      <c r="S234" s="30"/>
      <c r="T234" s="30"/>
      <c r="U234" s="30"/>
      <c r="V234" s="30"/>
      <c r="W234" s="30"/>
      <c r="X234" s="30"/>
      <c r="Y234" s="30"/>
      <c r="Z234" s="30"/>
    </row>
    <row r="235" spans="1:26" ht="21" customHeight="1" x14ac:dyDescent="0.85">
      <c r="A235" s="30"/>
      <c r="B235" s="30"/>
      <c r="C235" s="30"/>
      <c r="D235" s="30"/>
      <c r="E235" s="30"/>
      <c r="F235" s="30"/>
      <c r="G235" s="30"/>
      <c r="H235" s="30"/>
      <c r="I235" s="30"/>
      <c r="J235" s="30"/>
      <c r="K235" s="30"/>
      <c r="L235" s="30"/>
      <c r="M235" s="30"/>
      <c r="N235" s="30"/>
      <c r="O235" s="30"/>
      <c r="P235" s="30"/>
      <c r="Q235" s="30"/>
      <c r="R235" s="30"/>
      <c r="S235" s="30"/>
      <c r="T235" s="30"/>
      <c r="U235" s="30"/>
      <c r="V235" s="30"/>
      <c r="W235" s="30"/>
      <c r="X235" s="30"/>
      <c r="Y235" s="30"/>
      <c r="Z235" s="30"/>
    </row>
    <row r="236" spans="1:26" ht="21" customHeight="1" x14ac:dyDescent="0.85">
      <c r="A236" s="30"/>
      <c r="B236" s="30"/>
      <c r="C236" s="30"/>
      <c r="D236" s="30"/>
      <c r="E236" s="30"/>
      <c r="F236" s="30"/>
      <c r="G236" s="30"/>
      <c r="H236" s="30"/>
      <c r="I236" s="30"/>
      <c r="J236" s="30"/>
      <c r="K236" s="30"/>
      <c r="L236" s="30"/>
      <c r="M236" s="30"/>
      <c r="N236" s="30"/>
      <c r="O236" s="30"/>
      <c r="P236" s="30"/>
      <c r="Q236" s="30"/>
      <c r="R236" s="30"/>
      <c r="S236" s="30"/>
      <c r="T236" s="30"/>
      <c r="U236" s="30"/>
      <c r="V236" s="30"/>
      <c r="W236" s="30"/>
      <c r="X236" s="30"/>
      <c r="Y236" s="30"/>
      <c r="Z236" s="30"/>
    </row>
    <row r="237" spans="1:26" ht="21" customHeight="1" x14ac:dyDescent="0.85">
      <c r="A237" s="30"/>
      <c r="B237" s="30"/>
      <c r="C237" s="30"/>
      <c r="D237" s="30"/>
      <c r="E237" s="30"/>
      <c r="F237" s="30"/>
      <c r="G237" s="30"/>
      <c r="H237" s="30"/>
      <c r="I237" s="30"/>
      <c r="J237" s="30"/>
      <c r="K237" s="30"/>
      <c r="L237" s="30"/>
      <c r="M237" s="30"/>
      <c r="N237" s="30"/>
      <c r="O237" s="30"/>
      <c r="P237" s="30"/>
      <c r="Q237" s="30"/>
      <c r="R237" s="30"/>
      <c r="S237" s="30"/>
      <c r="T237" s="30"/>
      <c r="U237" s="30"/>
      <c r="V237" s="30"/>
      <c r="W237" s="30"/>
      <c r="X237" s="30"/>
      <c r="Y237" s="30"/>
      <c r="Z237" s="30"/>
    </row>
    <row r="238" spans="1:26" ht="21" customHeight="1" x14ac:dyDescent="0.85">
      <c r="A238" s="30"/>
      <c r="B238" s="30"/>
      <c r="C238" s="30"/>
      <c r="D238" s="30"/>
      <c r="E238" s="30"/>
      <c r="F238" s="30"/>
      <c r="G238" s="30"/>
      <c r="H238" s="30"/>
      <c r="I238" s="30"/>
      <c r="J238" s="30"/>
      <c r="K238" s="30"/>
      <c r="L238" s="30"/>
      <c r="M238" s="30"/>
      <c r="N238" s="30"/>
      <c r="O238" s="30"/>
      <c r="P238" s="30"/>
      <c r="Q238" s="30"/>
      <c r="R238" s="30"/>
      <c r="S238" s="30"/>
      <c r="T238" s="30"/>
      <c r="U238" s="30"/>
      <c r="V238" s="30"/>
      <c r="W238" s="30"/>
      <c r="X238" s="30"/>
      <c r="Y238" s="30"/>
      <c r="Z238" s="30"/>
    </row>
    <row r="239" spans="1:26" ht="21" customHeight="1" x14ac:dyDescent="0.85">
      <c r="A239" s="30"/>
      <c r="B239" s="30"/>
      <c r="C239" s="30"/>
      <c r="D239" s="30"/>
      <c r="E239" s="30"/>
      <c r="F239" s="30"/>
      <c r="G239" s="30"/>
      <c r="H239" s="30"/>
      <c r="I239" s="30"/>
      <c r="J239" s="30"/>
      <c r="K239" s="30"/>
      <c r="L239" s="30"/>
      <c r="M239" s="30"/>
      <c r="N239" s="30"/>
      <c r="O239" s="30"/>
      <c r="P239" s="30"/>
      <c r="Q239" s="30"/>
      <c r="R239" s="30"/>
      <c r="S239" s="30"/>
      <c r="T239" s="30"/>
      <c r="U239" s="30"/>
      <c r="V239" s="30"/>
      <c r="W239" s="30"/>
      <c r="X239" s="30"/>
      <c r="Y239" s="30"/>
      <c r="Z239" s="30"/>
    </row>
    <row r="240" spans="1:26" ht="21" customHeight="1" x14ac:dyDescent="0.85">
      <c r="A240" s="30"/>
      <c r="B240" s="30"/>
      <c r="C240" s="30"/>
      <c r="D240" s="30"/>
      <c r="E240" s="30"/>
      <c r="F240" s="30"/>
      <c r="G240" s="30"/>
      <c r="H240" s="30"/>
      <c r="I240" s="30"/>
      <c r="J240" s="30"/>
      <c r="K240" s="30"/>
      <c r="L240" s="30"/>
      <c r="M240" s="30"/>
      <c r="N240" s="30"/>
      <c r="O240" s="30"/>
      <c r="P240" s="30"/>
      <c r="Q240" s="30"/>
      <c r="R240" s="30"/>
      <c r="S240" s="30"/>
      <c r="T240" s="30"/>
      <c r="U240" s="30"/>
      <c r="V240" s="30"/>
      <c r="W240" s="30"/>
      <c r="X240" s="30"/>
      <c r="Y240" s="30"/>
      <c r="Z240" s="30"/>
    </row>
    <row r="241" spans="1:26" ht="21" customHeight="1" x14ac:dyDescent="0.85">
      <c r="A241" s="30"/>
      <c r="B241" s="30"/>
      <c r="C241" s="30"/>
      <c r="D241" s="30"/>
      <c r="E241" s="30"/>
      <c r="F241" s="30"/>
      <c r="G241" s="30"/>
      <c r="H241" s="30"/>
      <c r="I241" s="30"/>
      <c r="J241" s="30"/>
      <c r="K241" s="30"/>
      <c r="L241" s="30"/>
      <c r="M241" s="30"/>
      <c r="N241" s="30"/>
      <c r="O241" s="30"/>
      <c r="P241" s="30"/>
      <c r="Q241" s="30"/>
      <c r="R241" s="30"/>
      <c r="S241" s="30"/>
      <c r="T241" s="30"/>
      <c r="U241" s="30"/>
      <c r="V241" s="30"/>
      <c r="W241" s="30"/>
      <c r="X241" s="30"/>
      <c r="Y241" s="30"/>
      <c r="Z241" s="30"/>
    </row>
    <row r="242" spans="1:26" ht="21" customHeight="1" x14ac:dyDescent="0.85">
      <c r="A242" s="30"/>
      <c r="B242" s="30"/>
      <c r="C242" s="30"/>
      <c r="D242" s="30"/>
      <c r="E242" s="30"/>
      <c r="F242" s="30"/>
      <c r="G242" s="30"/>
      <c r="H242" s="30"/>
      <c r="I242" s="30"/>
      <c r="J242" s="30"/>
      <c r="K242" s="30"/>
      <c r="L242" s="30"/>
      <c r="M242" s="30"/>
      <c r="N242" s="30"/>
      <c r="O242" s="30"/>
      <c r="P242" s="30"/>
      <c r="Q242" s="30"/>
      <c r="R242" s="30"/>
      <c r="S242" s="30"/>
      <c r="T242" s="30"/>
      <c r="U242" s="30"/>
      <c r="V242" s="30"/>
      <c r="W242" s="30"/>
      <c r="X242" s="30"/>
      <c r="Y242" s="30"/>
      <c r="Z242" s="30"/>
    </row>
    <row r="243" spans="1:26" ht="21" customHeight="1" x14ac:dyDescent="0.85">
      <c r="A243" s="30"/>
      <c r="B243" s="30"/>
      <c r="C243" s="30"/>
      <c r="D243" s="30"/>
      <c r="E243" s="30"/>
      <c r="F243" s="30"/>
      <c r="G243" s="30"/>
      <c r="H243" s="30"/>
      <c r="I243" s="30"/>
      <c r="J243" s="30"/>
      <c r="K243" s="30"/>
      <c r="L243" s="30"/>
      <c r="M243" s="30"/>
      <c r="N243" s="30"/>
      <c r="O243" s="30"/>
      <c r="P243" s="30"/>
      <c r="Q243" s="30"/>
      <c r="R243" s="30"/>
      <c r="S243" s="30"/>
      <c r="T243" s="30"/>
      <c r="U243" s="30"/>
      <c r="V243" s="30"/>
      <c r="W243" s="30"/>
      <c r="X243" s="30"/>
      <c r="Y243" s="30"/>
      <c r="Z243" s="30"/>
    </row>
    <row r="244" spans="1:26" ht="21" customHeight="1" x14ac:dyDescent="0.85">
      <c r="A244" s="30"/>
      <c r="B244" s="30"/>
      <c r="C244" s="30"/>
      <c r="D244" s="30"/>
      <c r="E244" s="30"/>
      <c r="F244" s="30"/>
      <c r="G244" s="30"/>
      <c r="H244" s="30"/>
      <c r="I244" s="30"/>
      <c r="J244" s="30"/>
      <c r="K244" s="30"/>
      <c r="L244" s="30"/>
      <c r="M244" s="30"/>
      <c r="N244" s="30"/>
      <c r="O244" s="30"/>
      <c r="P244" s="30"/>
      <c r="Q244" s="30"/>
      <c r="R244" s="30"/>
      <c r="S244" s="30"/>
      <c r="T244" s="30"/>
      <c r="U244" s="30"/>
      <c r="V244" s="30"/>
      <c r="W244" s="30"/>
      <c r="X244" s="30"/>
      <c r="Y244" s="30"/>
      <c r="Z244" s="30"/>
    </row>
    <row r="245" spans="1:26" ht="21" customHeight="1" x14ac:dyDescent="0.85">
      <c r="A245" s="30"/>
      <c r="B245" s="30"/>
      <c r="C245" s="30"/>
      <c r="D245" s="30"/>
      <c r="E245" s="30"/>
      <c r="F245" s="30"/>
      <c r="G245" s="30"/>
      <c r="H245" s="30"/>
      <c r="I245" s="30"/>
      <c r="J245" s="30"/>
      <c r="K245" s="30"/>
      <c r="L245" s="30"/>
      <c r="M245" s="30"/>
      <c r="N245" s="30"/>
      <c r="O245" s="30"/>
      <c r="P245" s="30"/>
      <c r="Q245" s="30"/>
      <c r="R245" s="30"/>
      <c r="S245" s="30"/>
      <c r="T245" s="30"/>
      <c r="U245" s="30"/>
      <c r="V245" s="30"/>
      <c r="W245" s="30"/>
      <c r="X245" s="30"/>
      <c r="Y245" s="30"/>
      <c r="Z245" s="30"/>
    </row>
    <row r="246" spans="1:26" ht="21" customHeight="1" x14ac:dyDescent="0.85">
      <c r="A246" s="30"/>
      <c r="B246" s="30"/>
      <c r="C246" s="30"/>
      <c r="D246" s="30"/>
      <c r="E246" s="30"/>
      <c r="F246" s="30"/>
      <c r="G246" s="30"/>
      <c r="H246" s="30"/>
      <c r="I246" s="30"/>
      <c r="J246" s="30"/>
      <c r="K246" s="30"/>
      <c r="L246" s="30"/>
      <c r="M246" s="30"/>
      <c r="N246" s="30"/>
      <c r="O246" s="30"/>
      <c r="P246" s="30"/>
      <c r="Q246" s="30"/>
      <c r="R246" s="30"/>
      <c r="S246" s="30"/>
      <c r="T246" s="30"/>
      <c r="U246" s="30"/>
      <c r="V246" s="30"/>
      <c r="W246" s="30"/>
      <c r="X246" s="30"/>
      <c r="Y246" s="30"/>
      <c r="Z246" s="30"/>
    </row>
    <row r="247" spans="1:26" ht="21" customHeight="1" x14ac:dyDescent="0.85">
      <c r="A247" s="30"/>
      <c r="B247" s="30"/>
      <c r="C247" s="30"/>
      <c r="D247" s="30"/>
      <c r="E247" s="30"/>
      <c r="F247" s="30"/>
      <c r="G247" s="30"/>
      <c r="H247" s="30"/>
      <c r="I247" s="30"/>
      <c r="J247" s="30"/>
      <c r="K247" s="30"/>
      <c r="L247" s="30"/>
      <c r="M247" s="30"/>
      <c r="N247" s="30"/>
      <c r="O247" s="30"/>
      <c r="P247" s="30"/>
      <c r="Q247" s="30"/>
      <c r="R247" s="30"/>
      <c r="S247" s="30"/>
      <c r="T247" s="30"/>
      <c r="U247" s="30"/>
      <c r="V247" s="30"/>
      <c r="W247" s="30"/>
      <c r="X247" s="30"/>
      <c r="Y247" s="30"/>
      <c r="Z247" s="30"/>
    </row>
    <row r="248" spans="1:26" ht="21" customHeight="1" x14ac:dyDescent="0.85">
      <c r="A248" s="30"/>
      <c r="B248" s="30"/>
      <c r="C248" s="30"/>
      <c r="D248" s="30"/>
      <c r="E248" s="30"/>
      <c r="F248" s="30"/>
      <c r="G248" s="30"/>
      <c r="H248" s="30"/>
      <c r="I248" s="30"/>
      <c r="J248" s="30"/>
      <c r="K248" s="30"/>
      <c r="L248" s="30"/>
      <c r="M248" s="30"/>
      <c r="N248" s="30"/>
      <c r="O248" s="30"/>
      <c r="P248" s="30"/>
      <c r="Q248" s="30"/>
      <c r="R248" s="30"/>
      <c r="S248" s="30"/>
      <c r="T248" s="30"/>
      <c r="U248" s="30"/>
      <c r="V248" s="30"/>
      <c r="W248" s="30"/>
      <c r="X248" s="30"/>
      <c r="Y248" s="30"/>
      <c r="Z248" s="30"/>
    </row>
    <row r="249" spans="1:26" ht="21" customHeight="1" x14ac:dyDescent="0.85">
      <c r="A249" s="30"/>
      <c r="B249" s="30"/>
      <c r="C249" s="30"/>
      <c r="D249" s="30"/>
      <c r="E249" s="30"/>
      <c r="F249" s="30"/>
      <c r="G249" s="30"/>
      <c r="H249" s="30"/>
      <c r="I249" s="30"/>
      <c r="J249" s="30"/>
      <c r="K249" s="30"/>
      <c r="L249" s="30"/>
      <c r="M249" s="30"/>
      <c r="N249" s="30"/>
      <c r="O249" s="30"/>
      <c r="P249" s="30"/>
      <c r="Q249" s="30"/>
      <c r="R249" s="30"/>
      <c r="S249" s="30"/>
      <c r="T249" s="30"/>
      <c r="U249" s="30"/>
      <c r="V249" s="30"/>
      <c r="W249" s="30"/>
      <c r="X249" s="30"/>
      <c r="Y249" s="30"/>
      <c r="Z249" s="30"/>
    </row>
    <row r="250" spans="1:26" ht="21" customHeight="1" x14ac:dyDescent="0.85">
      <c r="A250" s="30"/>
      <c r="B250" s="30"/>
      <c r="C250" s="30"/>
      <c r="D250" s="30"/>
      <c r="E250" s="30"/>
      <c r="F250" s="30"/>
      <c r="G250" s="30"/>
      <c r="H250" s="30"/>
      <c r="I250" s="30"/>
      <c r="J250" s="30"/>
      <c r="K250" s="30"/>
      <c r="L250" s="30"/>
      <c r="M250" s="30"/>
      <c r="N250" s="30"/>
      <c r="O250" s="30"/>
      <c r="P250" s="30"/>
      <c r="Q250" s="30"/>
      <c r="R250" s="30"/>
      <c r="S250" s="30"/>
      <c r="T250" s="30"/>
      <c r="U250" s="30"/>
      <c r="V250" s="30"/>
      <c r="W250" s="30"/>
      <c r="X250" s="30"/>
      <c r="Y250" s="30"/>
      <c r="Z250" s="30"/>
    </row>
    <row r="251" spans="1:26" ht="21" customHeight="1" x14ac:dyDescent="0.85">
      <c r="A251" s="30"/>
      <c r="B251" s="30"/>
      <c r="C251" s="30"/>
      <c r="D251" s="30"/>
      <c r="E251" s="30"/>
      <c r="F251" s="30"/>
      <c r="G251" s="30"/>
      <c r="H251" s="30"/>
      <c r="I251" s="30"/>
      <c r="J251" s="30"/>
      <c r="K251" s="30"/>
      <c r="L251" s="30"/>
      <c r="M251" s="30"/>
      <c r="N251" s="30"/>
      <c r="O251" s="30"/>
      <c r="P251" s="30"/>
      <c r="Q251" s="30"/>
      <c r="R251" s="30"/>
      <c r="S251" s="30"/>
      <c r="T251" s="30"/>
      <c r="U251" s="30"/>
      <c r="V251" s="30"/>
      <c r="W251" s="30"/>
      <c r="X251" s="30"/>
      <c r="Y251" s="30"/>
      <c r="Z251" s="30"/>
    </row>
    <row r="252" spans="1:26" ht="21" customHeight="1" x14ac:dyDescent="0.85">
      <c r="A252" s="30"/>
      <c r="B252" s="30"/>
      <c r="C252" s="30"/>
      <c r="D252" s="30"/>
      <c r="E252" s="30"/>
      <c r="F252" s="30"/>
      <c r="G252" s="30"/>
      <c r="H252" s="30"/>
      <c r="I252" s="30"/>
      <c r="J252" s="30"/>
      <c r="K252" s="30"/>
      <c r="L252" s="30"/>
      <c r="M252" s="30"/>
      <c r="N252" s="30"/>
      <c r="O252" s="30"/>
      <c r="P252" s="30"/>
      <c r="Q252" s="30"/>
      <c r="R252" s="30"/>
      <c r="S252" s="30"/>
      <c r="T252" s="30"/>
      <c r="U252" s="30"/>
      <c r="V252" s="30"/>
      <c r="W252" s="30"/>
      <c r="X252" s="30"/>
      <c r="Y252" s="30"/>
      <c r="Z252" s="30"/>
    </row>
    <row r="253" spans="1:26" ht="21" customHeight="1" x14ac:dyDescent="0.85">
      <c r="A253" s="30"/>
      <c r="B253" s="30"/>
      <c r="C253" s="30"/>
      <c r="D253" s="30"/>
      <c r="E253" s="30"/>
      <c r="F253" s="30"/>
      <c r="G253" s="30"/>
      <c r="H253" s="30"/>
      <c r="I253" s="30"/>
      <c r="J253" s="30"/>
      <c r="K253" s="30"/>
      <c r="L253" s="30"/>
      <c r="M253" s="30"/>
      <c r="N253" s="30"/>
      <c r="O253" s="30"/>
      <c r="P253" s="30"/>
      <c r="Q253" s="30"/>
      <c r="R253" s="30"/>
      <c r="S253" s="30"/>
      <c r="T253" s="30"/>
      <c r="U253" s="30"/>
      <c r="V253" s="30"/>
      <c r="W253" s="30"/>
      <c r="X253" s="30"/>
      <c r="Y253" s="30"/>
      <c r="Z253" s="30"/>
    </row>
    <row r="254" spans="1:26" ht="21" customHeight="1" x14ac:dyDescent="0.85">
      <c r="A254" s="30"/>
      <c r="B254" s="30"/>
      <c r="C254" s="30"/>
      <c r="D254" s="30"/>
      <c r="E254" s="30"/>
      <c r="F254" s="30"/>
      <c r="G254" s="30"/>
      <c r="H254" s="30"/>
      <c r="I254" s="30"/>
      <c r="J254" s="30"/>
      <c r="K254" s="30"/>
      <c r="L254" s="30"/>
      <c r="M254" s="30"/>
      <c r="N254" s="30"/>
      <c r="O254" s="30"/>
      <c r="P254" s="30"/>
      <c r="Q254" s="30"/>
      <c r="R254" s="30"/>
      <c r="S254" s="30"/>
      <c r="T254" s="30"/>
      <c r="U254" s="30"/>
      <c r="V254" s="30"/>
      <c r="W254" s="30"/>
      <c r="X254" s="30"/>
      <c r="Y254" s="30"/>
      <c r="Z254" s="30"/>
    </row>
    <row r="255" spans="1:26" ht="21" customHeight="1" x14ac:dyDescent="0.85">
      <c r="A255" s="30"/>
      <c r="B255" s="30"/>
      <c r="C255" s="30"/>
      <c r="D255" s="30"/>
      <c r="E255" s="30"/>
      <c r="F255" s="30"/>
      <c r="G255" s="30"/>
      <c r="H255" s="30"/>
      <c r="I255" s="30"/>
      <c r="J255" s="30"/>
      <c r="K255" s="30"/>
      <c r="L255" s="30"/>
      <c r="M255" s="30"/>
      <c r="N255" s="30"/>
      <c r="O255" s="30"/>
      <c r="P255" s="30"/>
      <c r="Q255" s="30"/>
      <c r="R255" s="30"/>
      <c r="S255" s="30"/>
      <c r="T255" s="30"/>
      <c r="U255" s="30"/>
      <c r="V255" s="30"/>
      <c r="W255" s="30"/>
      <c r="X255" s="30"/>
      <c r="Y255" s="30"/>
      <c r="Z255" s="30"/>
    </row>
    <row r="256" spans="1:26" ht="21" customHeight="1" x14ac:dyDescent="0.85">
      <c r="A256" s="30"/>
      <c r="B256" s="30"/>
      <c r="C256" s="30"/>
      <c r="D256" s="30"/>
      <c r="E256" s="30"/>
      <c r="F256" s="30"/>
      <c r="G256" s="30"/>
      <c r="H256" s="30"/>
      <c r="I256" s="30"/>
      <c r="J256" s="30"/>
      <c r="K256" s="30"/>
      <c r="L256" s="30"/>
      <c r="M256" s="30"/>
      <c r="N256" s="30"/>
      <c r="O256" s="30"/>
      <c r="P256" s="30"/>
      <c r="Q256" s="30"/>
      <c r="R256" s="30"/>
      <c r="S256" s="30"/>
      <c r="T256" s="30"/>
      <c r="U256" s="30"/>
      <c r="V256" s="30"/>
      <c r="W256" s="30"/>
      <c r="X256" s="30"/>
      <c r="Y256" s="30"/>
      <c r="Z256" s="30"/>
    </row>
    <row r="257" spans="1:26" ht="21" customHeight="1" x14ac:dyDescent="0.85">
      <c r="A257" s="30"/>
      <c r="B257" s="30"/>
      <c r="C257" s="30"/>
      <c r="D257" s="30"/>
      <c r="E257" s="30"/>
      <c r="F257" s="30"/>
      <c r="G257" s="30"/>
      <c r="H257" s="30"/>
      <c r="I257" s="30"/>
      <c r="J257" s="30"/>
      <c r="K257" s="30"/>
      <c r="L257" s="30"/>
      <c r="M257" s="30"/>
      <c r="N257" s="30"/>
      <c r="O257" s="30"/>
      <c r="P257" s="30"/>
      <c r="Q257" s="30"/>
      <c r="R257" s="30"/>
      <c r="S257" s="30"/>
      <c r="T257" s="30"/>
      <c r="U257" s="30"/>
      <c r="V257" s="30"/>
      <c r="W257" s="30"/>
      <c r="X257" s="30"/>
      <c r="Y257" s="30"/>
      <c r="Z257" s="30"/>
    </row>
    <row r="258" spans="1:26" ht="21" customHeight="1" x14ac:dyDescent="0.85">
      <c r="A258" s="30"/>
      <c r="B258" s="30"/>
      <c r="C258" s="30"/>
      <c r="D258" s="30"/>
      <c r="E258" s="30"/>
      <c r="F258" s="30"/>
      <c r="G258" s="30"/>
      <c r="H258" s="30"/>
      <c r="I258" s="30"/>
      <c r="J258" s="30"/>
      <c r="K258" s="30"/>
      <c r="L258" s="30"/>
      <c r="M258" s="30"/>
      <c r="N258" s="30"/>
      <c r="O258" s="30"/>
      <c r="P258" s="30"/>
      <c r="Q258" s="30"/>
      <c r="R258" s="30"/>
      <c r="S258" s="30"/>
      <c r="T258" s="30"/>
      <c r="U258" s="30"/>
      <c r="V258" s="30"/>
      <c r="W258" s="30"/>
      <c r="X258" s="30"/>
      <c r="Y258" s="30"/>
      <c r="Z258" s="30"/>
    </row>
    <row r="259" spans="1:26" ht="21" customHeight="1" x14ac:dyDescent="0.85">
      <c r="A259" s="30"/>
      <c r="B259" s="30"/>
      <c r="C259" s="30"/>
      <c r="D259" s="30"/>
      <c r="E259" s="30"/>
      <c r="F259" s="30"/>
      <c r="G259" s="30"/>
      <c r="H259" s="30"/>
      <c r="I259" s="30"/>
      <c r="J259" s="30"/>
      <c r="K259" s="30"/>
      <c r="L259" s="30"/>
      <c r="M259" s="30"/>
      <c r="N259" s="30"/>
      <c r="O259" s="30"/>
      <c r="P259" s="30"/>
      <c r="Q259" s="30"/>
      <c r="R259" s="30"/>
      <c r="S259" s="30"/>
      <c r="T259" s="30"/>
      <c r="U259" s="30"/>
      <c r="V259" s="30"/>
      <c r="W259" s="30"/>
      <c r="X259" s="30"/>
      <c r="Y259" s="30"/>
      <c r="Z259" s="30"/>
    </row>
    <row r="260" spans="1:26" ht="21" customHeight="1" x14ac:dyDescent="0.85">
      <c r="A260" s="30"/>
      <c r="B260" s="30"/>
      <c r="C260" s="30"/>
      <c r="D260" s="30"/>
      <c r="E260" s="30"/>
      <c r="F260" s="30"/>
      <c r="G260" s="30"/>
      <c r="H260" s="30"/>
      <c r="I260" s="30"/>
      <c r="J260" s="30"/>
      <c r="K260" s="30"/>
      <c r="L260" s="30"/>
      <c r="M260" s="30"/>
      <c r="N260" s="30"/>
      <c r="O260" s="30"/>
      <c r="P260" s="30"/>
      <c r="Q260" s="30"/>
      <c r="R260" s="30"/>
      <c r="S260" s="30"/>
      <c r="T260" s="30"/>
      <c r="U260" s="30"/>
      <c r="V260" s="30"/>
      <c r="W260" s="30"/>
      <c r="X260" s="30"/>
      <c r="Y260" s="30"/>
      <c r="Z260" s="30"/>
    </row>
    <row r="261" spans="1:26" ht="21" customHeight="1" x14ac:dyDescent="0.85">
      <c r="A261" s="30"/>
      <c r="B261" s="30"/>
      <c r="C261" s="30"/>
      <c r="D261" s="30"/>
      <c r="E261" s="30"/>
      <c r="F261" s="30"/>
      <c r="G261" s="30"/>
      <c r="H261" s="30"/>
      <c r="I261" s="30"/>
      <c r="J261" s="30"/>
      <c r="K261" s="30"/>
      <c r="L261" s="30"/>
      <c r="M261" s="30"/>
      <c r="N261" s="30"/>
      <c r="O261" s="30"/>
      <c r="P261" s="30"/>
      <c r="Q261" s="30"/>
      <c r="R261" s="30"/>
      <c r="S261" s="30"/>
      <c r="T261" s="30"/>
      <c r="U261" s="30"/>
      <c r="V261" s="30"/>
      <c r="W261" s="30"/>
      <c r="X261" s="30"/>
      <c r="Y261" s="30"/>
      <c r="Z261" s="30"/>
    </row>
    <row r="262" spans="1:26" ht="21" customHeight="1" x14ac:dyDescent="0.85">
      <c r="A262" s="30"/>
      <c r="B262" s="30"/>
      <c r="C262" s="30"/>
      <c r="D262" s="30"/>
      <c r="E262" s="30"/>
      <c r="F262" s="30"/>
      <c r="G262" s="30"/>
      <c r="H262" s="30"/>
      <c r="I262" s="30"/>
      <c r="J262" s="30"/>
      <c r="K262" s="30"/>
      <c r="L262" s="30"/>
      <c r="M262" s="30"/>
      <c r="N262" s="30"/>
      <c r="O262" s="30"/>
      <c r="P262" s="30"/>
      <c r="Q262" s="30"/>
      <c r="R262" s="30"/>
      <c r="S262" s="30"/>
      <c r="T262" s="30"/>
      <c r="U262" s="30"/>
      <c r="V262" s="30"/>
      <c r="W262" s="30"/>
      <c r="X262" s="30"/>
      <c r="Y262" s="30"/>
      <c r="Z262" s="30"/>
    </row>
    <row r="263" spans="1:26" ht="21" customHeight="1" x14ac:dyDescent="0.85">
      <c r="A263" s="30"/>
      <c r="B263" s="30"/>
      <c r="C263" s="30"/>
      <c r="D263" s="30"/>
      <c r="E263" s="30"/>
      <c r="F263" s="30"/>
      <c r="G263" s="30"/>
      <c r="H263" s="30"/>
      <c r="I263" s="30"/>
      <c r="J263" s="30"/>
      <c r="K263" s="30"/>
      <c r="L263" s="30"/>
      <c r="M263" s="30"/>
      <c r="N263" s="30"/>
      <c r="O263" s="30"/>
      <c r="P263" s="30"/>
      <c r="Q263" s="30"/>
      <c r="R263" s="30"/>
      <c r="S263" s="30"/>
      <c r="T263" s="30"/>
      <c r="U263" s="30"/>
      <c r="V263" s="30"/>
      <c r="W263" s="30"/>
      <c r="X263" s="30"/>
      <c r="Y263" s="30"/>
      <c r="Z263" s="30"/>
    </row>
    <row r="264" spans="1:26" ht="21" customHeight="1" x14ac:dyDescent="0.85">
      <c r="A264" s="30"/>
      <c r="B264" s="30"/>
      <c r="C264" s="30"/>
      <c r="D264" s="30"/>
      <c r="E264" s="30"/>
      <c r="F264" s="30"/>
      <c r="G264" s="30"/>
      <c r="H264" s="30"/>
      <c r="I264" s="30"/>
      <c r="J264" s="30"/>
      <c r="K264" s="30"/>
      <c r="L264" s="30"/>
      <c r="M264" s="30"/>
      <c r="N264" s="30"/>
      <c r="O264" s="30"/>
      <c r="P264" s="30"/>
      <c r="Q264" s="30"/>
      <c r="R264" s="30"/>
      <c r="S264" s="30"/>
      <c r="T264" s="30"/>
      <c r="U264" s="30"/>
      <c r="V264" s="30"/>
      <c r="W264" s="30"/>
      <c r="X264" s="30"/>
      <c r="Y264" s="30"/>
      <c r="Z264" s="30"/>
    </row>
    <row r="265" spans="1:26" ht="21" customHeight="1" x14ac:dyDescent="0.85">
      <c r="A265" s="30"/>
      <c r="B265" s="30"/>
      <c r="C265" s="30"/>
      <c r="D265" s="30"/>
      <c r="E265" s="30"/>
      <c r="F265" s="30"/>
      <c r="G265" s="30"/>
      <c r="H265" s="30"/>
      <c r="I265" s="30"/>
      <c r="J265" s="30"/>
      <c r="K265" s="30"/>
      <c r="L265" s="30"/>
      <c r="M265" s="30"/>
      <c r="N265" s="30"/>
      <c r="O265" s="30"/>
      <c r="P265" s="30"/>
      <c r="Q265" s="30"/>
      <c r="R265" s="30"/>
      <c r="S265" s="30"/>
      <c r="T265" s="30"/>
      <c r="U265" s="30"/>
      <c r="V265" s="30"/>
      <c r="W265" s="30"/>
      <c r="X265" s="30"/>
      <c r="Y265" s="30"/>
      <c r="Z265" s="30"/>
    </row>
    <row r="266" spans="1:26" ht="21" customHeight="1" x14ac:dyDescent="0.85">
      <c r="A266" s="30"/>
      <c r="B266" s="30"/>
      <c r="C266" s="30"/>
      <c r="D266" s="30"/>
      <c r="E266" s="30"/>
      <c r="F266" s="30"/>
      <c r="G266" s="30"/>
      <c r="H266" s="30"/>
      <c r="I266" s="30"/>
      <c r="J266" s="30"/>
      <c r="K266" s="30"/>
      <c r="L266" s="30"/>
      <c r="M266" s="30"/>
      <c r="N266" s="30"/>
      <c r="O266" s="30"/>
      <c r="P266" s="30"/>
      <c r="Q266" s="30"/>
      <c r="R266" s="30"/>
      <c r="S266" s="30"/>
      <c r="T266" s="30"/>
      <c r="U266" s="30"/>
      <c r="V266" s="30"/>
      <c r="W266" s="30"/>
      <c r="X266" s="30"/>
      <c r="Y266" s="30"/>
      <c r="Z266" s="30"/>
    </row>
    <row r="267" spans="1:26" ht="21" customHeight="1" x14ac:dyDescent="0.85">
      <c r="A267" s="30"/>
      <c r="B267" s="30"/>
      <c r="C267" s="30"/>
      <c r="D267" s="30"/>
      <c r="E267" s="30"/>
      <c r="F267" s="30"/>
      <c r="G267" s="30"/>
      <c r="H267" s="30"/>
      <c r="I267" s="30"/>
      <c r="J267" s="30"/>
      <c r="K267" s="30"/>
      <c r="L267" s="30"/>
      <c r="M267" s="30"/>
      <c r="N267" s="30"/>
      <c r="O267" s="30"/>
      <c r="P267" s="30"/>
      <c r="Q267" s="30"/>
      <c r="R267" s="30"/>
      <c r="S267" s="30"/>
      <c r="T267" s="30"/>
      <c r="U267" s="30"/>
      <c r="V267" s="30"/>
      <c r="W267" s="30"/>
      <c r="X267" s="30"/>
      <c r="Y267" s="30"/>
      <c r="Z267" s="30"/>
    </row>
    <row r="268" spans="1:26" ht="21" customHeight="1" x14ac:dyDescent="0.85">
      <c r="A268" s="30"/>
      <c r="B268" s="30"/>
      <c r="C268" s="30"/>
      <c r="D268" s="30"/>
      <c r="E268" s="30"/>
      <c r="F268" s="30"/>
      <c r="G268" s="30"/>
      <c r="H268" s="30"/>
      <c r="I268" s="30"/>
      <c r="J268" s="30"/>
      <c r="K268" s="30"/>
      <c r="L268" s="30"/>
      <c r="M268" s="30"/>
      <c r="N268" s="30"/>
      <c r="O268" s="30"/>
      <c r="P268" s="30"/>
      <c r="Q268" s="30"/>
      <c r="R268" s="30"/>
      <c r="S268" s="30"/>
      <c r="T268" s="30"/>
      <c r="U268" s="30"/>
      <c r="V268" s="30"/>
      <c r="W268" s="30"/>
      <c r="X268" s="30"/>
      <c r="Y268" s="30"/>
      <c r="Z268" s="30"/>
    </row>
    <row r="269" spans="1:26" ht="21" customHeight="1" x14ac:dyDescent="0.85">
      <c r="A269" s="30"/>
      <c r="B269" s="30"/>
      <c r="C269" s="30"/>
      <c r="D269" s="30"/>
      <c r="E269" s="30"/>
      <c r="F269" s="30"/>
      <c r="G269" s="30"/>
      <c r="H269" s="30"/>
      <c r="I269" s="30"/>
      <c r="J269" s="30"/>
      <c r="K269" s="30"/>
      <c r="L269" s="30"/>
      <c r="M269" s="30"/>
      <c r="N269" s="30"/>
      <c r="O269" s="30"/>
      <c r="P269" s="30"/>
      <c r="Q269" s="30"/>
      <c r="R269" s="30"/>
      <c r="S269" s="30"/>
      <c r="T269" s="30"/>
      <c r="U269" s="30"/>
      <c r="V269" s="30"/>
      <c r="W269" s="30"/>
      <c r="X269" s="30"/>
      <c r="Y269" s="30"/>
      <c r="Z269" s="30"/>
    </row>
    <row r="270" spans="1:26" ht="21" customHeight="1" x14ac:dyDescent="0.85">
      <c r="A270" s="30"/>
      <c r="B270" s="30"/>
      <c r="C270" s="30"/>
      <c r="D270" s="30"/>
      <c r="E270" s="30"/>
      <c r="F270" s="30"/>
      <c r="G270" s="30"/>
      <c r="H270" s="30"/>
      <c r="I270" s="30"/>
      <c r="J270" s="30"/>
      <c r="K270" s="30"/>
      <c r="L270" s="30"/>
      <c r="M270" s="30"/>
      <c r="N270" s="30"/>
      <c r="O270" s="30"/>
      <c r="P270" s="30"/>
      <c r="Q270" s="30"/>
      <c r="R270" s="30"/>
      <c r="S270" s="30"/>
      <c r="T270" s="30"/>
      <c r="U270" s="30"/>
      <c r="V270" s="30"/>
      <c r="W270" s="30"/>
      <c r="X270" s="30"/>
      <c r="Y270" s="30"/>
      <c r="Z270" s="30"/>
    </row>
    <row r="271" spans="1:26" ht="21" customHeight="1" x14ac:dyDescent="0.85">
      <c r="A271" s="30"/>
      <c r="B271" s="30"/>
      <c r="C271" s="30"/>
      <c r="D271" s="30"/>
      <c r="E271" s="30"/>
      <c r="F271" s="30"/>
      <c r="G271" s="30"/>
      <c r="H271" s="30"/>
      <c r="I271" s="30"/>
      <c r="J271" s="30"/>
      <c r="K271" s="30"/>
      <c r="L271" s="30"/>
      <c r="M271" s="30"/>
      <c r="N271" s="30"/>
      <c r="O271" s="30"/>
      <c r="P271" s="30"/>
      <c r="Q271" s="30"/>
      <c r="R271" s="30"/>
      <c r="S271" s="30"/>
      <c r="T271" s="30"/>
      <c r="U271" s="30"/>
      <c r="V271" s="30"/>
      <c r="W271" s="30"/>
      <c r="X271" s="30"/>
      <c r="Y271" s="30"/>
      <c r="Z271" s="30"/>
    </row>
    <row r="272" spans="1:26" ht="21" customHeight="1" x14ac:dyDescent="0.85">
      <c r="A272" s="30"/>
      <c r="B272" s="30"/>
      <c r="C272" s="30"/>
      <c r="D272" s="30"/>
      <c r="E272" s="30"/>
      <c r="F272" s="30"/>
      <c r="G272" s="30"/>
      <c r="H272" s="30"/>
      <c r="I272" s="30"/>
      <c r="J272" s="30"/>
      <c r="K272" s="30"/>
      <c r="L272" s="30"/>
      <c r="M272" s="30"/>
      <c r="N272" s="30"/>
      <c r="O272" s="30"/>
      <c r="P272" s="30"/>
      <c r="Q272" s="30"/>
      <c r="R272" s="30"/>
      <c r="S272" s="30"/>
      <c r="T272" s="30"/>
      <c r="U272" s="30"/>
      <c r="V272" s="30"/>
      <c r="W272" s="30"/>
      <c r="X272" s="30"/>
      <c r="Y272" s="30"/>
      <c r="Z272" s="30"/>
    </row>
    <row r="273" spans="1:26" ht="21" customHeight="1" x14ac:dyDescent="0.85">
      <c r="A273" s="30"/>
      <c r="B273" s="30"/>
      <c r="C273" s="30"/>
      <c r="D273" s="30"/>
      <c r="E273" s="30"/>
      <c r="F273" s="30"/>
      <c r="G273" s="30"/>
      <c r="H273" s="30"/>
      <c r="I273" s="30"/>
      <c r="J273" s="30"/>
      <c r="K273" s="30"/>
      <c r="L273" s="30"/>
      <c r="M273" s="30"/>
      <c r="N273" s="30"/>
      <c r="O273" s="30"/>
      <c r="P273" s="30"/>
      <c r="Q273" s="30"/>
      <c r="R273" s="30"/>
      <c r="S273" s="30"/>
      <c r="T273" s="30"/>
      <c r="U273" s="30"/>
      <c r="V273" s="30"/>
      <c r="W273" s="30"/>
      <c r="X273" s="30"/>
      <c r="Y273" s="30"/>
      <c r="Z273" s="30"/>
    </row>
    <row r="274" spans="1:26" ht="21" customHeight="1" x14ac:dyDescent="0.85">
      <c r="A274" s="30"/>
      <c r="B274" s="30"/>
      <c r="C274" s="30"/>
      <c r="D274" s="30"/>
      <c r="E274" s="30"/>
      <c r="F274" s="30"/>
      <c r="G274" s="30"/>
      <c r="H274" s="30"/>
      <c r="I274" s="30"/>
      <c r="J274" s="30"/>
      <c r="K274" s="30"/>
      <c r="L274" s="30"/>
      <c r="M274" s="30"/>
      <c r="N274" s="30"/>
      <c r="O274" s="30"/>
      <c r="P274" s="30"/>
      <c r="Q274" s="30"/>
      <c r="R274" s="30"/>
      <c r="S274" s="30"/>
      <c r="T274" s="30"/>
      <c r="U274" s="30"/>
      <c r="V274" s="30"/>
      <c r="W274" s="30"/>
      <c r="X274" s="30"/>
      <c r="Y274" s="30"/>
      <c r="Z274" s="30"/>
    </row>
    <row r="275" spans="1:26" ht="21" customHeight="1" x14ac:dyDescent="0.85">
      <c r="A275" s="30"/>
      <c r="B275" s="30"/>
      <c r="C275" s="30"/>
      <c r="D275" s="30"/>
      <c r="E275" s="30"/>
      <c r="F275" s="30"/>
      <c r="G275" s="30"/>
      <c r="H275" s="30"/>
      <c r="I275" s="30"/>
      <c r="J275" s="30"/>
      <c r="K275" s="30"/>
      <c r="L275" s="30"/>
      <c r="M275" s="30"/>
      <c r="N275" s="30"/>
      <c r="O275" s="30"/>
      <c r="P275" s="30"/>
      <c r="Q275" s="30"/>
      <c r="R275" s="30"/>
      <c r="S275" s="30"/>
      <c r="T275" s="30"/>
      <c r="U275" s="30"/>
      <c r="V275" s="30"/>
      <c r="W275" s="30"/>
      <c r="X275" s="30"/>
      <c r="Y275" s="30"/>
      <c r="Z275" s="30"/>
    </row>
    <row r="276" spans="1:26" ht="21" customHeight="1" x14ac:dyDescent="0.85">
      <c r="A276" s="30"/>
      <c r="B276" s="30"/>
      <c r="C276" s="30"/>
      <c r="D276" s="30"/>
      <c r="E276" s="30"/>
      <c r="F276" s="30"/>
      <c r="G276" s="30"/>
      <c r="H276" s="30"/>
      <c r="I276" s="30"/>
      <c r="J276" s="30"/>
      <c r="K276" s="30"/>
      <c r="L276" s="30"/>
      <c r="M276" s="30"/>
      <c r="N276" s="30"/>
      <c r="O276" s="30"/>
      <c r="P276" s="30"/>
      <c r="Q276" s="30"/>
      <c r="R276" s="30"/>
      <c r="S276" s="30"/>
      <c r="T276" s="30"/>
      <c r="U276" s="30"/>
      <c r="V276" s="30"/>
      <c r="W276" s="30"/>
      <c r="X276" s="30"/>
      <c r="Y276" s="30"/>
      <c r="Z276" s="30"/>
    </row>
    <row r="277" spans="1:26" ht="21" customHeight="1" x14ac:dyDescent="0.85">
      <c r="A277" s="30"/>
      <c r="B277" s="30"/>
      <c r="C277" s="30"/>
      <c r="D277" s="30"/>
      <c r="E277" s="30"/>
      <c r="F277" s="30"/>
      <c r="G277" s="30"/>
      <c r="H277" s="30"/>
      <c r="I277" s="30"/>
      <c r="J277" s="30"/>
      <c r="K277" s="30"/>
      <c r="L277" s="30"/>
      <c r="M277" s="30"/>
      <c r="N277" s="30"/>
      <c r="O277" s="30"/>
      <c r="P277" s="30"/>
      <c r="Q277" s="30"/>
      <c r="R277" s="30"/>
      <c r="S277" s="30"/>
      <c r="T277" s="30"/>
      <c r="U277" s="30"/>
      <c r="V277" s="30"/>
      <c r="W277" s="30"/>
      <c r="X277" s="30"/>
      <c r="Y277" s="30"/>
      <c r="Z277" s="30"/>
    </row>
    <row r="278" spans="1:26" ht="21" customHeight="1" x14ac:dyDescent="0.85">
      <c r="A278" s="30"/>
      <c r="B278" s="30"/>
      <c r="C278" s="30"/>
      <c r="D278" s="30"/>
      <c r="E278" s="30"/>
      <c r="F278" s="30"/>
      <c r="G278" s="30"/>
      <c r="H278" s="30"/>
      <c r="I278" s="30"/>
      <c r="J278" s="30"/>
      <c r="K278" s="30"/>
      <c r="L278" s="30"/>
      <c r="M278" s="30"/>
      <c r="N278" s="30"/>
      <c r="O278" s="30"/>
      <c r="P278" s="30"/>
      <c r="Q278" s="30"/>
      <c r="R278" s="30"/>
      <c r="S278" s="30"/>
      <c r="T278" s="30"/>
      <c r="U278" s="30"/>
      <c r="V278" s="30"/>
      <c r="W278" s="30"/>
      <c r="X278" s="30"/>
      <c r="Y278" s="30"/>
      <c r="Z278" s="30"/>
    </row>
    <row r="279" spans="1:26" ht="21" customHeight="1" x14ac:dyDescent="0.85">
      <c r="A279" s="30"/>
      <c r="B279" s="30"/>
      <c r="C279" s="30"/>
      <c r="D279" s="30"/>
      <c r="E279" s="30"/>
      <c r="F279" s="30"/>
      <c r="G279" s="30"/>
      <c r="H279" s="30"/>
      <c r="I279" s="30"/>
      <c r="J279" s="30"/>
      <c r="K279" s="30"/>
      <c r="L279" s="30"/>
      <c r="M279" s="30"/>
      <c r="N279" s="30"/>
      <c r="O279" s="30"/>
      <c r="P279" s="30"/>
      <c r="Q279" s="30"/>
      <c r="R279" s="30"/>
      <c r="S279" s="30"/>
      <c r="T279" s="30"/>
      <c r="U279" s="30"/>
      <c r="V279" s="30"/>
      <c r="W279" s="30"/>
      <c r="X279" s="30"/>
      <c r="Y279" s="30"/>
      <c r="Z279" s="30"/>
    </row>
    <row r="280" spans="1:26" ht="21" customHeight="1" x14ac:dyDescent="0.85">
      <c r="A280" s="30"/>
      <c r="B280" s="30"/>
      <c r="C280" s="30"/>
      <c r="D280" s="30"/>
      <c r="E280" s="30"/>
      <c r="F280" s="30"/>
      <c r="G280" s="30"/>
      <c r="H280" s="30"/>
      <c r="I280" s="30"/>
      <c r="J280" s="30"/>
      <c r="K280" s="30"/>
      <c r="L280" s="30"/>
      <c r="M280" s="30"/>
      <c r="N280" s="30"/>
      <c r="O280" s="30"/>
      <c r="P280" s="30"/>
      <c r="Q280" s="30"/>
      <c r="R280" s="30"/>
      <c r="S280" s="30"/>
      <c r="T280" s="30"/>
      <c r="U280" s="30"/>
      <c r="V280" s="30"/>
      <c r="W280" s="30"/>
      <c r="X280" s="30"/>
      <c r="Y280" s="30"/>
      <c r="Z280" s="30"/>
    </row>
    <row r="281" spans="1:26" ht="21" customHeight="1" x14ac:dyDescent="0.85">
      <c r="A281" s="30"/>
      <c r="B281" s="30"/>
      <c r="C281" s="30"/>
      <c r="D281" s="30"/>
      <c r="E281" s="30"/>
      <c r="F281" s="30"/>
      <c r="G281" s="30"/>
      <c r="H281" s="30"/>
      <c r="I281" s="30"/>
      <c r="J281" s="30"/>
      <c r="K281" s="30"/>
      <c r="L281" s="30"/>
      <c r="M281" s="30"/>
      <c r="N281" s="30"/>
      <c r="O281" s="30"/>
      <c r="P281" s="30"/>
      <c r="Q281" s="30"/>
      <c r="R281" s="30"/>
      <c r="S281" s="30"/>
      <c r="T281" s="30"/>
      <c r="U281" s="30"/>
      <c r="V281" s="30"/>
      <c r="W281" s="30"/>
      <c r="X281" s="30"/>
      <c r="Y281" s="30"/>
      <c r="Z281" s="30"/>
    </row>
    <row r="282" spans="1:26" ht="21" customHeight="1" x14ac:dyDescent="0.85">
      <c r="A282" s="30"/>
      <c r="B282" s="30"/>
      <c r="C282" s="30"/>
      <c r="D282" s="30"/>
      <c r="E282" s="30"/>
      <c r="F282" s="30"/>
      <c r="G282" s="30"/>
      <c r="H282" s="30"/>
      <c r="I282" s="30"/>
      <c r="J282" s="30"/>
      <c r="K282" s="30"/>
      <c r="L282" s="30"/>
      <c r="M282" s="30"/>
      <c r="N282" s="30"/>
      <c r="O282" s="30"/>
      <c r="P282" s="30"/>
      <c r="Q282" s="30"/>
      <c r="R282" s="30"/>
      <c r="S282" s="30"/>
      <c r="T282" s="30"/>
      <c r="U282" s="30"/>
      <c r="V282" s="30"/>
      <c r="W282" s="30"/>
      <c r="X282" s="30"/>
      <c r="Y282" s="30"/>
      <c r="Z282" s="30"/>
    </row>
    <row r="283" spans="1:26" ht="21" customHeight="1" x14ac:dyDescent="0.85">
      <c r="A283" s="30"/>
      <c r="B283" s="30"/>
      <c r="C283" s="30"/>
      <c r="D283" s="30"/>
      <c r="E283" s="30"/>
      <c r="F283" s="30"/>
      <c r="G283" s="30"/>
      <c r="H283" s="30"/>
      <c r="I283" s="30"/>
      <c r="J283" s="30"/>
      <c r="K283" s="30"/>
      <c r="L283" s="30"/>
      <c r="M283" s="30"/>
      <c r="N283" s="30"/>
      <c r="O283" s="30"/>
      <c r="P283" s="30"/>
      <c r="Q283" s="30"/>
      <c r="R283" s="30"/>
      <c r="S283" s="30"/>
      <c r="T283" s="30"/>
      <c r="U283" s="30"/>
      <c r="V283" s="30"/>
      <c r="W283" s="30"/>
      <c r="X283" s="30"/>
      <c r="Y283" s="30"/>
      <c r="Z283" s="30"/>
    </row>
    <row r="284" spans="1:26" ht="21" customHeight="1" x14ac:dyDescent="0.85">
      <c r="A284" s="30"/>
      <c r="B284" s="30"/>
      <c r="C284" s="30"/>
      <c r="D284" s="30"/>
      <c r="E284" s="30"/>
      <c r="F284" s="30"/>
      <c r="G284" s="30"/>
      <c r="H284" s="30"/>
      <c r="I284" s="30"/>
      <c r="J284" s="30"/>
      <c r="K284" s="30"/>
      <c r="L284" s="30"/>
      <c r="M284" s="30"/>
      <c r="N284" s="30"/>
      <c r="O284" s="30"/>
      <c r="P284" s="30"/>
      <c r="Q284" s="30"/>
      <c r="R284" s="30"/>
      <c r="S284" s="30"/>
      <c r="T284" s="30"/>
      <c r="U284" s="30"/>
      <c r="V284" s="30"/>
      <c r="W284" s="30"/>
      <c r="X284" s="30"/>
      <c r="Y284" s="30"/>
      <c r="Z284" s="30"/>
    </row>
    <row r="285" spans="1:26" ht="21" customHeight="1" x14ac:dyDescent="0.85">
      <c r="A285" s="30"/>
      <c r="B285" s="30"/>
      <c r="C285" s="30"/>
      <c r="D285" s="30"/>
      <c r="E285" s="30"/>
      <c r="F285" s="30"/>
      <c r="G285" s="30"/>
      <c r="H285" s="30"/>
      <c r="I285" s="30"/>
      <c r="J285" s="30"/>
      <c r="K285" s="30"/>
      <c r="L285" s="30"/>
      <c r="M285" s="30"/>
      <c r="N285" s="30"/>
      <c r="O285" s="30"/>
      <c r="P285" s="30"/>
      <c r="Q285" s="30"/>
      <c r="R285" s="30"/>
      <c r="S285" s="30"/>
      <c r="T285" s="30"/>
      <c r="U285" s="30"/>
      <c r="V285" s="30"/>
      <c r="W285" s="30"/>
      <c r="X285" s="30"/>
      <c r="Y285" s="30"/>
      <c r="Z285" s="30"/>
    </row>
    <row r="286" spans="1:26" ht="21" customHeight="1" x14ac:dyDescent="0.85">
      <c r="A286" s="30"/>
      <c r="B286" s="30"/>
      <c r="C286" s="30"/>
      <c r="D286" s="30"/>
      <c r="E286" s="30"/>
      <c r="F286" s="30"/>
      <c r="G286" s="30"/>
      <c r="H286" s="30"/>
      <c r="I286" s="30"/>
      <c r="J286" s="30"/>
      <c r="K286" s="30"/>
      <c r="L286" s="30"/>
      <c r="M286" s="30"/>
      <c r="N286" s="30"/>
      <c r="O286" s="30"/>
      <c r="P286" s="30"/>
      <c r="Q286" s="30"/>
      <c r="R286" s="30"/>
      <c r="S286" s="30"/>
      <c r="T286" s="30"/>
      <c r="U286" s="30"/>
      <c r="V286" s="30"/>
      <c r="W286" s="30"/>
      <c r="X286" s="30"/>
      <c r="Y286" s="30"/>
      <c r="Z286" s="30"/>
    </row>
    <row r="287" spans="1:26" ht="21" customHeight="1" x14ac:dyDescent="0.85">
      <c r="A287" s="30"/>
      <c r="B287" s="30"/>
      <c r="C287" s="30"/>
      <c r="D287" s="30"/>
      <c r="E287" s="30"/>
      <c r="F287" s="30"/>
      <c r="G287" s="30"/>
      <c r="H287" s="30"/>
      <c r="I287" s="30"/>
      <c r="J287" s="30"/>
      <c r="K287" s="30"/>
      <c r="L287" s="30"/>
      <c r="M287" s="30"/>
      <c r="N287" s="30"/>
      <c r="O287" s="30"/>
      <c r="P287" s="30"/>
      <c r="Q287" s="30"/>
      <c r="R287" s="30"/>
      <c r="S287" s="30"/>
      <c r="T287" s="30"/>
      <c r="U287" s="30"/>
      <c r="V287" s="30"/>
      <c r="W287" s="30"/>
      <c r="X287" s="30"/>
      <c r="Y287" s="30"/>
      <c r="Z287" s="30"/>
    </row>
    <row r="288" spans="1:26" ht="21" customHeight="1" x14ac:dyDescent="0.85">
      <c r="A288" s="30"/>
      <c r="B288" s="30"/>
      <c r="C288" s="30"/>
      <c r="D288" s="30"/>
      <c r="E288" s="30"/>
      <c r="F288" s="30"/>
      <c r="G288" s="30"/>
      <c r="H288" s="30"/>
      <c r="I288" s="30"/>
      <c r="J288" s="30"/>
      <c r="K288" s="30"/>
      <c r="L288" s="30"/>
      <c r="M288" s="30"/>
      <c r="N288" s="30"/>
      <c r="O288" s="30"/>
      <c r="P288" s="30"/>
      <c r="Q288" s="30"/>
      <c r="R288" s="30"/>
      <c r="S288" s="30"/>
      <c r="T288" s="30"/>
      <c r="U288" s="30"/>
      <c r="V288" s="30"/>
      <c r="W288" s="30"/>
      <c r="X288" s="30"/>
      <c r="Y288" s="30"/>
      <c r="Z288" s="30"/>
    </row>
    <row r="289" spans="1:26" ht="21" customHeight="1" x14ac:dyDescent="0.85">
      <c r="A289" s="30"/>
      <c r="B289" s="30"/>
      <c r="C289" s="30"/>
      <c r="D289" s="30"/>
      <c r="E289" s="30"/>
      <c r="F289" s="30"/>
      <c r="G289" s="30"/>
      <c r="H289" s="30"/>
      <c r="I289" s="30"/>
      <c r="J289" s="30"/>
      <c r="K289" s="30"/>
      <c r="L289" s="30"/>
      <c r="M289" s="30"/>
      <c r="N289" s="30"/>
      <c r="O289" s="30"/>
      <c r="P289" s="30"/>
      <c r="Q289" s="30"/>
      <c r="R289" s="30"/>
      <c r="S289" s="30"/>
      <c r="T289" s="30"/>
      <c r="U289" s="30"/>
      <c r="V289" s="30"/>
      <c r="W289" s="30"/>
      <c r="X289" s="30"/>
      <c r="Y289" s="30"/>
      <c r="Z289" s="30"/>
    </row>
    <row r="290" spans="1:26" ht="21" customHeight="1" x14ac:dyDescent="0.85">
      <c r="A290" s="30"/>
      <c r="B290" s="30"/>
      <c r="C290" s="30"/>
      <c r="D290" s="30"/>
      <c r="E290" s="30"/>
      <c r="F290" s="30"/>
      <c r="G290" s="30"/>
      <c r="H290" s="30"/>
      <c r="I290" s="30"/>
      <c r="J290" s="30"/>
      <c r="K290" s="30"/>
      <c r="L290" s="30"/>
      <c r="M290" s="30"/>
      <c r="N290" s="30"/>
      <c r="O290" s="30"/>
      <c r="P290" s="30"/>
      <c r="Q290" s="30"/>
      <c r="R290" s="30"/>
      <c r="S290" s="30"/>
      <c r="T290" s="30"/>
      <c r="U290" s="30"/>
      <c r="V290" s="30"/>
      <c r="W290" s="30"/>
      <c r="X290" s="30"/>
      <c r="Y290" s="30"/>
      <c r="Z290" s="30"/>
    </row>
    <row r="291" spans="1:26" ht="21" customHeight="1" x14ac:dyDescent="0.85">
      <c r="A291" s="30"/>
      <c r="B291" s="30"/>
      <c r="C291" s="30"/>
      <c r="D291" s="30"/>
      <c r="E291" s="30"/>
      <c r="F291" s="30"/>
      <c r="G291" s="30"/>
      <c r="H291" s="30"/>
      <c r="I291" s="30"/>
      <c r="J291" s="30"/>
      <c r="K291" s="30"/>
      <c r="L291" s="30"/>
      <c r="M291" s="30"/>
      <c r="N291" s="30"/>
      <c r="O291" s="30"/>
      <c r="P291" s="30"/>
      <c r="Q291" s="30"/>
      <c r="R291" s="30"/>
      <c r="S291" s="30"/>
      <c r="T291" s="30"/>
      <c r="U291" s="30"/>
      <c r="V291" s="30"/>
      <c r="W291" s="30"/>
      <c r="X291" s="30"/>
      <c r="Y291" s="30"/>
      <c r="Z291" s="30"/>
    </row>
    <row r="292" spans="1:26" ht="21" customHeight="1" x14ac:dyDescent="0.85">
      <c r="A292" s="30"/>
      <c r="B292" s="30"/>
      <c r="C292" s="30"/>
      <c r="D292" s="30"/>
      <c r="E292" s="30"/>
      <c r="F292" s="30"/>
      <c r="G292" s="30"/>
      <c r="H292" s="30"/>
      <c r="I292" s="30"/>
      <c r="J292" s="30"/>
      <c r="K292" s="30"/>
      <c r="L292" s="30"/>
      <c r="M292" s="30"/>
      <c r="N292" s="30"/>
      <c r="O292" s="30"/>
      <c r="P292" s="30"/>
      <c r="Q292" s="30"/>
      <c r="R292" s="30"/>
      <c r="S292" s="30"/>
      <c r="T292" s="30"/>
      <c r="U292" s="30"/>
      <c r="V292" s="30"/>
      <c r="W292" s="30"/>
      <c r="X292" s="30"/>
      <c r="Y292" s="30"/>
      <c r="Z292" s="30"/>
    </row>
    <row r="293" spans="1:26" ht="21" customHeight="1" x14ac:dyDescent="0.85">
      <c r="A293" s="30"/>
      <c r="B293" s="30"/>
      <c r="C293" s="30"/>
      <c r="D293" s="30"/>
      <c r="E293" s="30"/>
      <c r="F293" s="30"/>
      <c r="G293" s="30"/>
      <c r="H293" s="30"/>
      <c r="I293" s="30"/>
      <c r="J293" s="30"/>
      <c r="K293" s="30"/>
      <c r="L293" s="30"/>
      <c r="M293" s="30"/>
      <c r="N293" s="30"/>
      <c r="O293" s="30"/>
      <c r="P293" s="30"/>
      <c r="Q293" s="30"/>
      <c r="R293" s="30"/>
      <c r="S293" s="30"/>
      <c r="T293" s="30"/>
      <c r="U293" s="30"/>
      <c r="V293" s="30"/>
      <c r="W293" s="30"/>
      <c r="X293" s="30"/>
      <c r="Y293" s="30"/>
      <c r="Z293" s="30"/>
    </row>
    <row r="294" spans="1:26" ht="21" customHeight="1" x14ac:dyDescent="0.85">
      <c r="A294" s="30"/>
      <c r="B294" s="30"/>
      <c r="C294" s="30"/>
      <c r="D294" s="30"/>
      <c r="E294" s="30"/>
      <c r="F294" s="30"/>
      <c r="G294" s="30"/>
      <c r="H294" s="30"/>
      <c r="I294" s="30"/>
      <c r="J294" s="30"/>
      <c r="K294" s="30"/>
      <c r="L294" s="30"/>
      <c r="M294" s="30"/>
      <c r="N294" s="30"/>
      <c r="O294" s="30"/>
      <c r="P294" s="30"/>
      <c r="Q294" s="30"/>
      <c r="R294" s="30"/>
      <c r="S294" s="30"/>
      <c r="T294" s="30"/>
      <c r="U294" s="30"/>
      <c r="V294" s="30"/>
      <c r="W294" s="30"/>
      <c r="X294" s="30"/>
      <c r="Y294" s="30"/>
      <c r="Z294" s="30"/>
    </row>
    <row r="295" spans="1:26" ht="21" customHeight="1" x14ac:dyDescent="0.85">
      <c r="A295" s="30"/>
      <c r="B295" s="30"/>
      <c r="C295" s="30"/>
      <c r="D295" s="30"/>
      <c r="E295" s="30"/>
      <c r="F295" s="30"/>
      <c r="G295" s="30"/>
      <c r="H295" s="30"/>
      <c r="I295" s="30"/>
      <c r="J295" s="30"/>
      <c r="K295" s="30"/>
      <c r="L295" s="30"/>
      <c r="M295" s="30"/>
      <c r="N295" s="30"/>
      <c r="O295" s="30"/>
      <c r="P295" s="30"/>
      <c r="Q295" s="30"/>
      <c r="R295" s="30"/>
      <c r="S295" s="30"/>
      <c r="T295" s="30"/>
      <c r="U295" s="30"/>
      <c r="V295" s="30"/>
      <c r="W295" s="30"/>
      <c r="X295" s="30"/>
      <c r="Y295" s="30"/>
      <c r="Z295" s="30"/>
    </row>
    <row r="296" spans="1:26" ht="21" customHeight="1" x14ac:dyDescent="0.85">
      <c r="A296" s="30"/>
      <c r="B296" s="30"/>
      <c r="C296" s="30"/>
      <c r="D296" s="30"/>
      <c r="E296" s="30"/>
      <c r="F296" s="30"/>
      <c r="G296" s="30"/>
      <c r="H296" s="30"/>
      <c r="I296" s="30"/>
      <c r="J296" s="30"/>
      <c r="K296" s="30"/>
      <c r="L296" s="30"/>
      <c r="M296" s="30"/>
      <c r="N296" s="30"/>
      <c r="O296" s="30"/>
      <c r="P296" s="30"/>
      <c r="Q296" s="30"/>
      <c r="R296" s="30"/>
      <c r="S296" s="30"/>
      <c r="T296" s="30"/>
      <c r="U296" s="30"/>
      <c r="V296" s="30"/>
      <c r="W296" s="30"/>
      <c r="X296" s="30"/>
      <c r="Y296" s="30"/>
      <c r="Z296" s="30"/>
    </row>
    <row r="297" spans="1:26" ht="21" customHeight="1" x14ac:dyDescent="0.85">
      <c r="A297" s="30"/>
      <c r="B297" s="30"/>
      <c r="C297" s="30"/>
      <c r="D297" s="30"/>
      <c r="E297" s="30"/>
      <c r="F297" s="30"/>
      <c r="G297" s="30"/>
      <c r="H297" s="30"/>
      <c r="I297" s="30"/>
      <c r="J297" s="30"/>
      <c r="K297" s="30"/>
      <c r="L297" s="30"/>
      <c r="M297" s="30"/>
      <c r="N297" s="30"/>
      <c r="O297" s="30"/>
      <c r="P297" s="30"/>
      <c r="Q297" s="30"/>
      <c r="R297" s="30"/>
      <c r="S297" s="30"/>
      <c r="T297" s="30"/>
      <c r="U297" s="30"/>
      <c r="V297" s="30"/>
      <c r="W297" s="30"/>
      <c r="X297" s="30"/>
      <c r="Y297" s="30"/>
      <c r="Z297" s="30"/>
    </row>
    <row r="298" spans="1:26" ht="21" customHeight="1" x14ac:dyDescent="0.85">
      <c r="A298" s="30"/>
      <c r="B298" s="30"/>
      <c r="C298" s="30"/>
      <c r="D298" s="30"/>
      <c r="E298" s="30"/>
      <c r="F298" s="30"/>
      <c r="G298" s="30"/>
      <c r="H298" s="30"/>
      <c r="I298" s="30"/>
      <c r="J298" s="30"/>
      <c r="K298" s="30"/>
      <c r="L298" s="30"/>
      <c r="M298" s="30"/>
      <c r="N298" s="30"/>
      <c r="O298" s="30"/>
      <c r="P298" s="30"/>
      <c r="Q298" s="30"/>
      <c r="R298" s="30"/>
      <c r="S298" s="30"/>
      <c r="T298" s="30"/>
      <c r="U298" s="30"/>
      <c r="V298" s="30"/>
      <c r="W298" s="30"/>
      <c r="X298" s="30"/>
      <c r="Y298" s="30"/>
      <c r="Z298" s="30"/>
    </row>
    <row r="299" spans="1:26" ht="21" customHeight="1" x14ac:dyDescent="0.85">
      <c r="A299" s="30"/>
      <c r="B299" s="30"/>
      <c r="C299" s="30"/>
      <c r="D299" s="30"/>
      <c r="E299" s="30"/>
      <c r="F299" s="30"/>
      <c r="G299" s="30"/>
      <c r="H299" s="30"/>
      <c r="I299" s="30"/>
      <c r="J299" s="30"/>
      <c r="K299" s="30"/>
      <c r="L299" s="30"/>
      <c r="M299" s="30"/>
      <c r="N299" s="30"/>
      <c r="O299" s="30"/>
      <c r="P299" s="30"/>
      <c r="Q299" s="30"/>
      <c r="R299" s="30"/>
      <c r="S299" s="30"/>
      <c r="T299" s="30"/>
      <c r="U299" s="30"/>
      <c r="V299" s="30"/>
      <c r="W299" s="30"/>
      <c r="X299" s="30"/>
      <c r="Y299" s="30"/>
      <c r="Z299" s="30"/>
    </row>
    <row r="300" spans="1:26" ht="21" customHeight="1" x14ac:dyDescent="0.85">
      <c r="A300" s="30"/>
      <c r="B300" s="30"/>
      <c r="C300" s="30"/>
      <c r="D300" s="30"/>
      <c r="E300" s="30"/>
      <c r="F300" s="30"/>
      <c r="G300" s="30"/>
      <c r="H300" s="30"/>
      <c r="I300" s="30"/>
      <c r="J300" s="30"/>
      <c r="K300" s="30"/>
      <c r="L300" s="30"/>
      <c r="M300" s="30"/>
      <c r="N300" s="30"/>
      <c r="O300" s="30"/>
      <c r="P300" s="30"/>
      <c r="Q300" s="30"/>
      <c r="R300" s="30"/>
      <c r="S300" s="30"/>
      <c r="T300" s="30"/>
      <c r="U300" s="30"/>
      <c r="V300" s="30"/>
      <c r="W300" s="30"/>
      <c r="X300" s="30"/>
      <c r="Y300" s="30"/>
      <c r="Z300" s="30"/>
    </row>
    <row r="301" spans="1:26" ht="21" customHeight="1" x14ac:dyDescent="0.85">
      <c r="A301" s="30"/>
      <c r="B301" s="30"/>
      <c r="C301" s="30"/>
      <c r="D301" s="30"/>
      <c r="E301" s="30"/>
      <c r="F301" s="30"/>
      <c r="G301" s="30"/>
      <c r="H301" s="30"/>
      <c r="I301" s="30"/>
      <c r="J301" s="30"/>
      <c r="K301" s="30"/>
      <c r="L301" s="30"/>
      <c r="M301" s="30"/>
      <c r="N301" s="30"/>
      <c r="O301" s="30"/>
      <c r="P301" s="30"/>
      <c r="Q301" s="30"/>
      <c r="R301" s="30"/>
      <c r="S301" s="30"/>
      <c r="T301" s="30"/>
      <c r="U301" s="30"/>
      <c r="V301" s="30"/>
      <c r="W301" s="30"/>
      <c r="X301" s="30"/>
      <c r="Y301" s="30"/>
      <c r="Z301" s="30"/>
    </row>
    <row r="302" spans="1:26" ht="21" customHeight="1" x14ac:dyDescent="0.85">
      <c r="A302" s="30"/>
      <c r="B302" s="30"/>
      <c r="C302" s="30"/>
      <c r="D302" s="30"/>
      <c r="E302" s="30"/>
      <c r="F302" s="30"/>
      <c r="G302" s="30"/>
      <c r="H302" s="30"/>
      <c r="I302" s="30"/>
      <c r="J302" s="30"/>
      <c r="K302" s="30"/>
      <c r="L302" s="30"/>
      <c r="M302" s="30"/>
      <c r="N302" s="30"/>
      <c r="O302" s="30"/>
      <c r="P302" s="30"/>
      <c r="Q302" s="30"/>
      <c r="R302" s="30"/>
      <c r="S302" s="30"/>
      <c r="T302" s="30"/>
      <c r="U302" s="30"/>
      <c r="V302" s="30"/>
      <c r="W302" s="30"/>
      <c r="X302" s="30"/>
      <c r="Y302" s="30"/>
      <c r="Z302" s="30"/>
    </row>
    <row r="303" spans="1:26" ht="21" customHeight="1" x14ac:dyDescent="0.85">
      <c r="A303" s="30"/>
      <c r="B303" s="30"/>
      <c r="C303" s="30"/>
      <c r="D303" s="30"/>
      <c r="E303" s="30"/>
      <c r="F303" s="30"/>
      <c r="G303" s="30"/>
      <c r="H303" s="30"/>
      <c r="I303" s="30"/>
      <c r="J303" s="30"/>
      <c r="K303" s="30"/>
      <c r="L303" s="30"/>
      <c r="M303" s="30"/>
      <c r="N303" s="30"/>
      <c r="O303" s="30"/>
      <c r="P303" s="30"/>
      <c r="Q303" s="30"/>
      <c r="R303" s="30"/>
      <c r="S303" s="30"/>
      <c r="T303" s="30"/>
      <c r="U303" s="30"/>
      <c r="V303" s="30"/>
      <c r="W303" s="30"/>
      <c r="X303" s="30"/>
      <c r="Y303" s="30"/>
      <c r="Z303" s="30"/>
    </row>
    <row r="304" spans="1:26" ht="21" customHeight="1" x14ac:dyDescent="0.85">
      <c r="A304" s="30"/>
      <c r="B304" s="30"/>
      <c r="C304" s="30"/>
      <c r="D304" s="30"/>
      <c r="E304" s="30"/>
      <c r="F304" s="30"/>
      <c r="G304" s="30"/>
      <c r="H304" s="30"/>
      <c r="I304" s="30"/>
      <c r="J304" s="30"/>
      <c r="K304" s="30"/>
      <c r="L304" s="30"/>
      <c r="M304" s="30"/>
      <c r="N304" s="30"/>
      <c r="O304" s="30"/>
      <c r="P304" s="30"/>
      <c r="Q304" s="30"/>
      <c r="R304" s="30"/>
      <c r="S304" s="30"/>
      <c r="T304" s="30"/>
      <c r="U304" s="30"/>
      <c r="V304" s="30"/>
      <c r="W304" s="30"/>
      <c r="X304" s="30"/>
      <c r="Y304" s="30"/>
      <c r="Z304" s="30"/>
    </row>
    <row r="305" spans="1:26" ht="21" customHeight="1" x14ac:dyDescent="0.85">
      <c r="A305" s="30"/>
      <c r="B305" s="30"/>
      <c r="C305" s="30"/>
      <c r="D305" s="30"/>
      <c r="E305" s="30"/>
      <c r="F305" s="30"/>
      <c r="G305" s="30"/>
      <c r="H305" s="30"/>
      <c r="I305" s="30"/>
      <c r="J305" s="30"/>
      <c r="K305" s="30"/>
      <c r="L305" s="30"/>
      <c r="M305" s="30"/>
      <c r="N305" s="30"/>
      <c r="O305" s="30"/>
      <c r="P305" s="30"/>
      <c r="Q305" s="30"/>
      <c r="R305" s="30"/>
      <c r="S305" s="30"/>
      <c r="T305" s="30"/>
      <c r="U305" s="30"/>
      <c r="V305" s="30"/>
      <c r="W305" s="30"/>
      <c r="X305" s="30"/>
      <c r="Y305" s="30"/>
      <c r="Z305" s="30"/>
    </row>
    <row r="306" spans="1:26" ht="21" customHeight="1" x14ac:dyDescent="0.85">
      <c r="A306" s="30"/>
      <c r="B306" s="30"/>
      <c r="C306" s="30"/>
      <c r="D306" s="30"/>
      <c r="E306" s="30"/>
      <c r="F306" s="30"/>
      <c r="G306" s="30"/>
      <c r="H306" s="30"/>
      <c r="I306" s="30"/>
      <c r="J306" s="30"/>
      <c r="K306" s="30"/>
      <c r="L306" s="30"/>
      <c r="M306" s="30"/>
      <c r="N306" s="30"/>
      <c r="O306" s="30"/>
      <c r="P306" s="30"/>
      <c r="Q306" s="30"/>
      <c r="R306" s="30"/>
      <c r="S306" s="30"/>
      <c r="T306" s="30"/>
      <c r="U306" s="30"/>
      <c r="V306" s="30"/>
      <c r="W306" s="30"/>
      <c r="X306" s="30"/>
      <c r="Y306" s="30"/>
      <c r="Z306" s="30"/>
    </row>
    <row r="307" spans="1:26" ht="21" customHeight="1" x14ac:dyDescent="0.85">
      <c r="A307" s="30"/>
      <c r="B307" s="30"/>
      <c r="C307" s="30"/>
      <c r="D307" s="30"/>
      <c r="E307" s="30"/>
      <c r="F307" s="30"/>
      <c r="G307" s="30"/>
      <c r="H307" s="30"/>
      <c r="I307" s="30"/>
      <c r="J307" s="30"/>
      <c r="K307" s="30"/>
      <c r="L307" s="30"/>
      <c r="M307" s="30"/>
      <c r="N307" s="30"/>
      <c r="O307" s="30"/>
      <c r="P307" s="30"/>
      <c r="Q307" s="30"/>
      <c r="R307" s="30"/>
      <c r="S307" s="30"/>
      <c r="T307" s="30"/>
      <c r="U307" s="30"/>
      <c r="V307" s="30"/>
      <c r="W307" s="30"/>
      <c r="X307" s="30"/>
      <c r="Y307" s="30"/>
      <c r="Z307" s="30"/>
    </row>
    <row r="308" spans="1:26" ht="21" customHeight="1" x14ac:dyDescent="0.85">
      <c r="A308" s="30"/>
      <c r="B308" s="30"/>
      <c r="C308" s="30"/>
      <c r="D308" s="30"/>
      <c r="E308" s="30"/>
      <c r="F308" s="30"/>
      <c r="G308" s="30"/>
      <c r="H308" s="30"/>
      <c r="I308" s="30"/>
      <c r="J308" s="30"/>
      <c r="K308" s="30"/>
      <c r="L308" s="30"/>
      <c r="M308" s="30"/>
      <c r="N308" s="30"/>
      <c r="O308" s="30"/>
      <c r="P308" s="30"/>
      <c r="Q308" s="30"/>
      <c r="R308" s="30"/>
      <c r="S308" s="30"/>
      <c r="T308" s="30"/>
      <c r="U308" s="30"/>
      <c r="V308" s="30"/>
      <c r="W308" s="30"/>
      <c r="X308" s="30"/>
      <c r="Y308" s="30"/>
      <c r="Z308" s="30"/>
    </row>
    <row r="309" spans="1:26" ht="21" customHeight="1" x14ac:dyDescent="0.85">
      <c r="A309" s="30"/>
      <c r="B309" s="30"/>
      <c r="C309" s="30"/>
      <c r="D309" s="30"/>
      <c r="E309" s="30"/>
      <c r="F309" s="30"/>
      <c r="G309" s="30"/>
      <c r="H309" s="30"/>
      <c r="I309" s="30"/>
      <c r="J309" s="30"/>
      <c r="K309" s="30"/>
      <c r="L309" s="30"/>
      <c r="M309" s="30"/>
      <c r="N309" s="30"/>
      <c r="O309" s="30"/>
      <c r="P309" s="30"/>
      <c r="Q309" s="30"/>
      <c r="R309" s="30"/>
      <c r="S309" s="30"/>
      <c r="T309" s="30"/>
      <c r="U309" s="30"/>
      <c r="V309" s="30"/>
      <c r="W309" s="30"/>
      <c r="X309" s="30"/>
      <c r="Y309" s="30"/>
      <c r="Z309" s="30"/>
    </row>
    <row r="310" spans="1:26" ht="21" customHeight="1" x14ac:dyDescent="0.85">
      <c r="A310" s="30"/>
      <c r="B310" s="30"/>
      <c r="C310" s="30"/>
      <c r="D310" s="30"/>
      <c r="E310" s="30"/>
      <c r="F310" s="30"/>
      <c r="G310" s="30"/>
      <c r="H310" s="30"/>
      <c r="I310" s="30"/>
      <c r="J310" s="30"/>
      <c r="K310" s="30"/>
      <c r="L310" s="30"/>
      <c r="M310" s="30"/>
      <c r="N310" s="30"/>
      <c r="O310" s="30"/>
      <c r="P310" s="30"/>
      <c r="Q310" s="30"/>
      <c r="R310" s="30"/>
      <c r="S310" s="30"/>
      <c r="T310" s="30"/>
      <c r="U310" s="30"/>
      <c r="V310" s="30"/>
      <c r="W310" s="30"/>
      <c r="X310" s="30"/>
      <c r="Y310" s="30"/>
      <c r="Z310" s="30"/>
    </row>
    <row r="311" spans="1:26" ht="21" customHeight="1" x14ac:dyDescent="0.85">
      <c r="A311" s="30"/>
      <c r="B311" s="30"/>
      <c r="C311" s="30"/>
      <c r="D311" s="30"/>
      <c r="E311" s="30"/>
      <c r="F311" s="30"/>
      <c r="G311" s="30"/>
      <c r="H311" s="30"/>
      <c r="I311" s="30"/>
      <c r="J311" s="30"/>
      <c r="K311" s="30"/>
      <c r="L311" s="30"/>
      <c r="M311" s="30"/>
      <c r="N311" s="30"/>
      <c r="O311" s="30"/>
      <c r="P311" s="30"/>
      <c r="Q311" s="30"/>
      <c r="R311" s="30"/>
      <c r="S311" s="30"/>
      <c r="T311" s="30"/>
      <c r="U311" s="30"/>
      <c r="V311" s="30"/>
      <c r="W311" s="30"/>
      <c r="X311" s="30"/>
      <c r="Y311" s="30"/>
      <c r="Z311" s="30"/>
    </row>
    <row r="312" spans="1:26" ht="21" customHeight="1" x14ac:dyDescent="0.85">
      <c r="A312" s="30"/>
      <c r="B312" s="30"/>
      <c r="C312" s="30"/>
      <c r="D312" s="30"/>
      <c r="E312" s="30"/>
      <c r="F312" s="30"/>
      <c r="G312" s="30"/>
      <c r="H312" s="30"/>
      <c r="I312" s="30"/>
      <c r="J312" s="30"/>
      <c r="K312" s="30"/>
      <c r="L312" s="30"/>
      <c r="M312" s="30"/>
      <c r="N312" s="30"/>
      <c r="O312" s="30"/>
      <c r="P312" s="30"/>
      <c r="Q312" s="30"/>
      <c r="R312" s="30"/>
      <c r="S312" s="30"/>
      <c r="T312" s="30"/>
      <c r="U312" s="30"/>
      <c r="V312" s="30"/>
      <c r="W312" s="30"/>
      <c r="X312" s="30"/>
      <c r="Y312" s="30"/>
      <c r="Z312" s="30"/>
    </row>
    <row r="313" spans="1:26" ht="21" customHeight="1" x14ac:dyDescent="0.85">
      <c r="A313" s="30"/>
      <c r="B313" s="30"/>
      <c r="C313" s="30"/>
      <c r="D313" s="30"/>
      <c r="E313" s="30"/>
      <c r="F313" s="30"/>
      <c r="G313" s="30"/>
      <c r="H313" s="30"/>
      <c r="I313" s="30"/>
      <c r="J313" s="30"/>
      <c r="K313" s="30"/>
      <c r="L313" s="30"/>
      <c r="M313" s="30"/>
      <c r="N313" s="30"/>
      <c r="O313" s="30"/>
      <c r="P313" s="30"/>
      <c r="Q313" s="30"/>
      <c r="R313" s="30"/>
      <c r="S313" s="30"/>
      <c r="T313" s="30"/>
      <c r="U313" s="30"/>
      <c r="V313" s="30"/>
      <c r="W313" s="30"/>
      <c r="X313" s="30"/>
      <c r="Y313" s="30"/>
      <c r="Z313" s="30"/>
    </row>
    <row r="314" spans="1:26" ht="21" customHeight="1" x14ac:dyDescent="0.85">
      <c r="A314" s="30"/>
      <c r="B314" s="30"/>
      <c r="C314" s="30"/>
      <c r="D314" s="30"/>
      <c r="E314" s="30"/>
      <c r="F314" s="30"/>
      <c r="G314" s="30"/>
      <c r="H314" s="30"/>
      <c r="I314" s="30"/>
      <c r="J314" s="30"/>
      <c r="K314" s="30"/>
      <c r="L314" s="30"/>
      <c r="M314" s="30"/>
      <c r="N314" s="30"/>
      <c r="O314" s="30"/>
      <c r="P314" s="30"/>
      <c r="Q314" s="30"/>
      <c r="R314" s="30"/>
      <c r="S314" s="30"/>
      <c r="T314" s="30"/>
      <c r="U314" s="30"/>
      <c r="V314" s="30"/>
      <c r="W314" s="30"/>
      <c r="X314" s="30"/>
      <c r="Y314" s="30"/>
      <c r="Z314" s="30"/>
    </row>
    <row r="315" spans="1:26" ht="21" customHeight="1" x14ac:dyDescent="0.85">
      <c r="A315" s="30"/>
      <c r="B315" s="30"/>
      <c r="C315" s="30"/>
      <c r="D315" s="30"/>
      <c r="E315" s="30"/>
      <c r="F315" s="30"/>
      <c r="G315" s="30"/>
      <c r="H315" s="30"/>
      <c r="I315" s="30"/>
      <c r="J315" s="30"/>
      <c r="K315" s="30"/>
      <c r="L315" s="30"/>
      <c r="M315" s="30"/>
      <c r="N315" s="30"/>
      <c r="O315" s="30"/>
      <c r="P315" s="30"/>
      <c r="Q315" s="30"/>
      <c r="R315" s="30"/>
      <c r="S315" s="30"/>
      <c r="T315" s="30"/>
      <c r="U315" s="30"/>
      <c r="V315" s="30"/>
      <c r="W315" s="30"/>
      <c r="X315" s="30"/>
      <c r="Y315" s="30"/>
      <c r="Z315" s="30"/>
    </row>
    <row r="316" spans="1:26" ht="21" customHeight="1" x14ac:dyDescent="0.85">
      <c r="A316" s="30"/>
      <c r="B316" s="30"/>
      <c r="C316" s="30"/>
      <c r="D316" s="30"/>
      <c r="E316" s="30"/>
      <c r="F316" s="30"/>
      <c r="G316" s="30"/>
      <c r="H316" s="30"/>
      <c r="I316" s="30"/>
      <c r="J316" s="30"/>
      <c r="K316" s="30"/>
      <c r="L316" s="30"/>
      <c r="M316" s="30"/>
      <c r="N316" s="30"/>
      <c r="O316" s="30"/>
      <c r="P316" s="30"/>
      <c r="Q316" s="30"/>
      <c r="R316" s="30"/>
      <c r="S316" s="30"/>
      <c r="T316" s="30"/>
      <c r="U316" s="30"/>
      <c r="V316" s="30"/>
      <c r="W316" s="30"/>
      <c r="X316" s="30"/>
      <c r="Y316" s="30"/>
      <c r="Z316" s="30"/>
    </row>
    <row r="317" spans="1:26" ht="21" customHeight="1" x14ac:dyDescent="0.85">
      <c r="A317" s="30"/>
      <c r="B317" s="30"/>
      <c r="C317" s="30"/>
      <c r="D317" s="30"/>
      <c r="E317" s="30"/>
      <c r="F317" s="30"/>
      <c r="G317" s="30"/>
      <c r="H317" s="30"/>
      <c r="I317" s="30"/>
      <c r="J317" s="30"/>
      <c r="K317" s="30"/>
      <c r="L317" s="30"/>
      <c r="M317" s="30"/>
      <c r="N317" s="30"/>
      <c r="O317" s="30"/>
      <c r="P317" s="30"/>
      <c r="Q317" s="30"/>
      <c r="R317" s="30"/>
      <c r="S317" s="30"/>
      <c r="T317" s="30"/>
      <c r="U317" s="30"/>
      <c r="V317" s="30"/>
      <c r="W317" s="30"/>
      <c r="X317" s="30"/>
      <c r="Y317" s="30"/>
      <c r="Z317" s="30"/>
    </row>
    <row r="318" spans="1:26" ht="21" customHeight="1" x14ac:dyDescent="0.85">
      <c r="A318" s="30"/>
      <c r="B318" s="30"/>
      <c r="C318" s="30"/>
      <c r="D318" s="30"/>
      <c r="E318" s="30"/>
      <c r="F318" s="30"/>
      <c r="G318" s="30"/>
      <c r="H318" s="30"/>
      <c r="I318" s="30"/>
      <c r="J318" s="30"/>
      <c r="K318" s="30"/>
      <c r="L318" s="30"/>
      <c r="M318" s="30"/>
      <c r="N318" s="30"/>
      <c r="O318" s="30"/>
      <c r="P318" s="30"/>
      <c r="Q318" s="30"/>
      <c r="R318" s="30"/>
      <c r="S318" s="30"/>
      <c r="T318" s="30"/>
      <c r="U318" s="30"/>
      <c r="V318" s="30"/>
      <c r="W318" s="30"/>
      <c r="X318" s="30"/>
      <c r="Y318" s="30"/>
      <c r="Z318" s="30"/>
    </row>
    <row r="319" spans="1:26" ht="21" customHeight="1" x14ac:dyDescent="0.85">
      <c r="A319" s="30"/>
      <c r="B319" s="30"/>
      <c r="C319" s="30"/>
      <c r="D319" s="30"/>
      <c r="E319" s="30"/>
      <c r="F319" s="30"/>
      <c r="G319" s="30"/>
      <c r="H319" s="30"/>
      <c r="I319" s="30"/>
      <c r="J319" s="30"/>
      <c r="K319" s="30"/>
      <c r="L319" s="30"/>
      <c r="M319" s="30"/>
      <c r="N319" s="30"/>
      <c r="O319" s="30"/>
      <c r="P319" s="30"/>
      <c r="Q319" s="30"/>
      <c r="R319" s="30"/>
      <c r="S319" s="30"/>
      <c r="T319" s="30"/>
      <c r="U319" s="30"/>
      <c r="V319" s="30"/>
      <c r="W319" s="30"/>
      <c r="X319" s="30"/>
      <c r="Y319" s="30"/>
      <c r="Z319" s="30"/>
    </row>
    <row r="320" spans="1:26" ht="21" customHeight="1" x14ac:dyDescent="0.85">
      <c r="A320" s="30"/>
      <c r="B320" s="30"/>
      <c r="C320" s="30"/>
      <c r="D320" s="30"/>
      <c r="E320" s="30"/>
      <c r="F320" s="30"/>
      <c r="G320" s="30"/>
      <c r="H320" s="30"/>
      <c r="I320" s="30"/>
      <c r="J320" s="30"/>
      <c r="K320" s="30"/>
      <c r="L320" s="30"/>
      <c r="M320" s="30"/>
      <c r="N320" s="30"/>
      <c r="O320" s="30"/>
      <c r="P320" s="30"/>
      <c r="Q320" s="30"/>
      <c r="R320" s="30"/>
      <c r="S320" s="30"/>
      <c r="T320" s="30"/>
      <c r="U320" s="30"/>
      <c r="V320" s="30"/>
      <c r="W320" s="30"/>
      <c r="X320" s="30"/>
      <c r="Y320" s="30"/>
      <c r="Z320" s="30"/>
    </row>
    <row r="321" spans="1:26" ht="21" customHeight="1" x14ac:dyDescent="0.85">
      <c r="A321" s="30"/>
      <c r="B321" s="30"/>
      <c r="C321" s="30"/>
      <c r="D321" s="30"/>
      <c r="E321" s="30"/>
      <c r="F321" s="30"/>
      <c r="G321" s="30"/>
      <c r="H321" s="30"/>
      <c r="I321" s="30"/>
      <c r="J321" s="30"/>
      <c r="K321" s="30"/>
      <c r="L321" s="30"/>
      <c r="M321" s="30"/>
      <c r="N321" s="30"/>
      <c r="O321" s="30"/>
      <c r="P321" s="30"/>
      <c r="Q321" s="30"/>
      <c r="R321" s="30"/>
      <c r="S321" s="30"/>
      <c r="T321" s="30"/>
      <c r="U321" s="30"/>
      <c r="V321" s="30"/>
      <c r="W321" s="30"/>
      <c r="X321" s="30"/>
      <c r="Y321" s="30"/>
      <c r="Z321" s="30"/>
    </row>
    <row r="322" spans="1:26" ht="21" customHeight="1" x14ac:dyDescent="0.85">
      <c r="A322" s="30"/>
      <c r="B322" s="30"/>
      <c r="C322" s="30"/>
      <c r="D322" s="30"/>
      <c r="E322" s="30"/>
      <c r="F322" s="30"/>
      <c r="G322" s="30"/>
      <c r="H322" s="30"/>
      <c r="I322" s="30"/>
      <c r="J322" s="30"/>
      <c r="K322" s="30"/>
      <c r="L322" s="30"/>
      <c r="M322" s="30"/>
      <c r="N322" s="30"/>
      <c r="O322" s="30"/>
      <c r="P322" s="30"/>
      <c r="Q322" s="30"/>
      <c r="R322" s="30"/>
      <c r="S322" s="30"/>
      <c r="T322" s="30"/>
      <c r="U322" s="30"/>
      <c r="V322" s="30"/>
      <c r="W322" s="30"/>
      <c r="X322" s="30"/>
      <c r="Y322" s="30"/>
      <c r="Z322" s="30"/>
    </row>
    <row r="323" spans="1:26" ht="21" customHeight="1" x14ac:dyDescent="0.85">
      <c r="A323" s="30"/>
      <c r="B323" s="30"/>
      <c r="C323" s="30"/>
      <c r="D323" s="30"/>
      <c r="E323" s="30"/>
      <c r="F323" s="30"/>
      <c r="G323" s="30"/>
      <c r="H323" s="30"/>
      <c r="I323" s="30"/>
      <c r="J323" s="30"/>
      <c r="K323" s="30"/>
      <c r="L323" s="30"/>
      <c r="M323" s="30"/>
      <c r="N323" s="30"/>
      <c r="O323" s="30"/>
      <c r="P323" s="30"/>
      <c r="Q323" s="30"/>
      <c r="R323" s="30"/>
      <c r="S323" s="30"/>
      <c r="T323" s="30"/>
      <c r="U323" s="30"/>
      <c r="V323" s="30"/>
      <c r="W323" s="30"/>
      <c r="X323" s="30"/>
      <c r="Y323" s="30"/>
      <c r="Z323" s="30"/>
    </row>
    <row r="324" spans="1:26" ht="21" customHeight="1" x14ac:dyDescent="0.85">
      <c r="A324" s="30"/>
      <c r="B324" s="30"/>
      <c r="C324" s="30"/>
      <c r="D324" s="30"/>
      <c r="E324" s="30"/>
      <c r="F324" s="30"/>
      <c r="G324" s="30"/>
      <c r="H324" s="30"/>
      <c r="I324" s="30"/>
      <c r="J324" s="30"/>
      <c r="K324" s="30"/>
      <c r="L324" s="30"/>
      <c r="M324" s="30"/>
      <c r="N324" s="30"/>
      <c r="O324" s="30"/>
      <c r="P324" s="30"/>
      <c r="Q324" s="30"/>
      <c r="R324" s="30"/>
      <c r="S324" s="30"/>
      <c r="T324" s="30"/>
      <c r="U324" s="30"/>
      <c r="V324" s="30"/>
      <c r="W324" s="30"/>
      <c r="X324" s="30"/>
      <c r="Y324" s="30"/>
      <c r="Z324" s="30"/>
    </row>
    <row r="325" spans="1:26" ht="21" customHeight="1" x14ac:dyDescent="0.85">
      <c r="A325" s="30"/>
      <c r="B325" s="30"/>
      <c r="C325" s="30"/>
      <c r="D325" s="30"/>
      <c r="E325" s="30"/>
      <c r="F325" s="30"/>
      <c r="G325" s="30"/>
      <c r="H325" s="30"/>
      <c r="I325" s="30"/>
      <c r="J325" s="30"/>
      <c r="K325" s="30"/>
      <c r="L325" s="30"/>
      <c r="M325" s="30"/>
      <c r="N325" s="30"/>
      <c r="O325" s="30"/>
      <c r="P325" s="30"/>
      <c r="Q325" s="30"/>
      <c r="R325" s="30"/>
      <c r="S325" s="30"/>
      <c r="T325" s="30"/>
      <c r="U325" s="30"/>
      <c r="V325" s="30"/>
      <c r="W325" s="30"/>
      <c r="X325" s="30"/>
      <c r="Y325" s="30"/>
      <c r="Z325" s="30"/>
    </row>
    <row r="326" spans="1:26" ht="21" customHeight="1" x14ac:dyDescent="0.85">
      <c r="A326" s="30"/>
      <c r="B326" s="30"/>
      <c r="C326" s="30"/>
      <c r="D326" s="30"/>
      <c r="E326" s="30"/>
      <c r="F326" s="30"/>
      <c r="G326" s="30"/>
      <c r="H326" s="30"/>
      <c r="I326" s="30"/>
      <c r="J326" s="30"/>
      <c r="K326" s="30"/>
      <c r="L326" s="30"/>
      <c r="M326" s="30"/>
      <c r="N326" s="30"/>
      <c r="O326" s="30"/>
      <c r="P326" s="30"/>
      <c r="Q326" s="30"/>
      <c r="R326" s="30"/>
      <c r="S326" s="30"/>
      <c r="T326" s="30"/>
      <c r="U326" s="30"/>
      <c r="V326" s="30"/>
      <c r="W326" s="30"/>
      <c r="X326" s="30"/>
      <c r="Y326" s="30"/>
      <c r="Z326" s="30"/>
    </row>
    <row r="327" spans="1:26" ht="21" customHeight="1" x14ac:dyDescent="0.85">
      <c r="A327" s="30"/>
      <c r="B327" s="30"/>
      <c r="C327" s="30"/>
      <c r="D327" s="30"/>
      <c r="E327" s="30"/>
      <c r="F327" s="30"/>
      <c r="G327" s="30"/>
      <c r="H327" s="30"/>
      <c r="I327" s="30"/>
      <c r="J327" s="30"/>
      <c r="K327" s="30"/>
      <c r="L327" s="30"/>
      <c r="M327" s="30"/>
      <c r="N327" s="30"/>
      <c r="O327" s="30"/>
      <c r="P327" s="30"/>
      <c r="Q327" s="30"/>
      <c r="R327" s="30"/>
      <c r="S327" s="30"/>
      <c r="T327" s="30"/>
      <c r="U327" s="30"/>
      <c r="V327" s="30"/>
      <c r="W327" s="30"/>
      <c r="X327" s="30"/>
      <c r="Y327" s="30"/>
      <c r="Z327" s="30"/>
    </row>
    <row r="328" spans="1:26" ht="21" customHeight="1" x14ac:dyDescent="0.85">
      <c r="A328" s="30"/>
      <c r="B328" s="30"/>
      <c r="C328" s="30"/>
      <c r="D328" s="30"/>
      <c r="E328" s="30"/>
      <c r="F328" s="30"/>
      <c r="G328" s="30"/>
      <c r="H328" s="30"/>
      <c r="I328" s="30"/>
      <c r="J328" s="30"/>
      <c r="K328" s="30"/>
      <c r="L328" s="30"/>
      <c r="M328" s="30"/>
      <c r="N328" s="30"/>
      <c r="O328" s="30"/>
      <c r="P328" s="30"/>
      <c r="Q328" s="30"/>
      <c r="R328" s="30"/>
      <c r="S328" s="30"/>
      <c r="T328" s="30"/>
      <c r="U328" s="30"/>
      <c r="V328" s="30"/>
      <c r="W328" s="30"/>
      <c r="X328" s="30"/>
      <c r="Y328" s="30"/>
      <c r="Z328" s="30"/>
    </row>
    <row r="329" spans="1:26" ht="21" customHeight="1" x14ac:dyDescent="0.85">
      <c r="A329" s="30"/>
      <c r="B329" s="30"/>
      <c r="C329" s="30"/>
      <c r="D329" s="30"/>
      <c r="E329" s="30"/>
      <c r="F329" s="30"/>
      <c r="G329" s="30"/>
      <c r="H329" s="30"/>
      <c r="I329" s="30"/>
      <c r="J329" s="30"/>
      <c r="K329" s="30"/>
      <c r="L329" s="30"/>
      <c r="M329" s="30"/>
      <c r="N329" s="30"/>
      <c r="O329" s="30"/>
      <c r="P329" s="30"/>
      <c r="Q329" s="30"/>
      <c r="R329" s="30"/>
      <c r="S329" s="30"/>
      <c r="T329" s="30"/>
      <c r="U329" s="30"/>
      <c r="V329" s="30"/>
      <c r="W329" s="30"/>
      <c r="X329" s="30"/>
      <c r="Y329" s="30"/>
      <c r="Z329" s="30"/>
    </row>
    <row r="330" spans="1:26" ht="21" customHeight="1" x14ac:dyDescent="0.85">
      <c r="A330" s="30"/>
      <c r="B330" s="30"/>
      <c r="C330" s="30"/>
      <c r="D330" s="30"/>
      <c r="E330" s="30"/>
      <c r="F330" s="30"/>
      <c r="G330" s="30"/>
      <c r="H330" s="30"/>
      <c r="I330" s="30"/>
      <c r="J330" s="30"/>
      <c r="K330" s="30"/>
      <c r="L330" s="30"/>
      <c r="M330" s="30"/>
      <c r="N330" s="30"/>
      <c r="O330" s="30"/>
      <c r="P330" s="30"/>
      <c r="Q330" s="30"/>
      <c r="R330" s="30"/>
      <c r="S330" s="30"/>
      <c r="T330" s="30"/>
      <c r="U330" s="30"/>
      <c r="V330" s="30"/>
      <c r="W330" s="30"/>
      <c r="X330" s="30"/>
      <c r="Y330" s="30"/>
      <c r="Z330" s="30"/>
    </row>
    <row r="331" spans="1:26" ht="21" customHeight="1" x14ac:dyDescent="0.85">
      <c r="A331" s="30"/>
      <c r="B331" s="30"/>
      <c r="C331" s="30"/>
      <c r="D331" s="30"/>
      <c r="E331" s="30"/>
      <c r="F331" s="30"/>
      <c r="G331" s="30"/>
      <c r="H331" s="30"/>
      <c r="I331" s="30"/>
      <c r="J331" s="30"/>
      <c r="K331" s="30"/>
      <c r="L331" s="30"/>
      <c r="M331" s="30"/>
      <c r="N331" s="30"/>
      <c r="O331" s="30"/>
      <c r="P331" s="30"/>
      <c r="Q331" s="30"/>
      <c r="R331" s="30"/>
      <c r="S331" s="30"/>
      <c r="T331" s="30"/>
      <c r="U331" s="30"/>
      <c r="V331" s="30"/>
      <c r="W331" s="30"/>
      <c r="X331" s="30"/>
      <c r="Y331" s="30"/>
      <c r="Z331" s="30"/>
    </row>
    <row r="332" spans="1:26" ht="21" customHeight="1" x14ac:dyDescent="0.85">
      <c r="A332" s="30"/>
      <c r="B332" s="30"/>
      <c r="C332" s="30"/>
      <c r="D332" s="30"/>
      <c r="E332" s="30"/>
      <c r="F332" s="30"/>
      <c r="G332" s="30"/>
      <c r="H332" s="30"/>
      <c r="I332" s="30"/>
      <c r="J332" s="30"/>
      <c r="K332" s="30"/>
      <c r="L332" s="30"/>
      <c r="M332" s="30"/>
      <c r="N332" s="30"/>
      <c r="O332" s="30"/>
      <c r="P332" s="30"/>
      <c r="Q332" s="30"/>
      <c r="R332" s="30"/>
      <c r="S332" s="30"/>
      <c r="T332" s="30"/>
      <c r="U332" s="30"/>
      <c r="V332" s="30"/>
      <c r="W332" s="30"/>
      <c r="X332" s="30"/>
      <c r="Y332" s="30"/>
      <c r="Z332" s="30"/>
    </row>
    <row r="333" spans="1:26" ht="21" customHeight="1" x14ac:dyDescent="0.85">
      <c r="A333" s="30"/>
      <c r="B333" s="30"/>
      <c r="C333" s="30"/>
      <c r="D333" s="30"/>
      <c r="E333" s="30"/>
      <c r="F333" s="30"/>
      <c r="G333" s="30"/>
      <c r="H333" s="30"/>
      <c r="I333" s="30"/>
      <c r="J333" s="30"/>
      <c r="K333" s="30"/>
      <c r="L333" s="30"/>
      <c r="M333" s="30"/>
      <c r="N333" s="30"/>
      <c r="O333" s="30"/>
      <c r="P333" s="30"/>
      <c r="Q333" s="30"/>
      <c r="R333" s="30"/>
      <c r="S333" s="30"/>
      <c r="T333" s="30"/>
      <c r="U333" s="30"/>
      <c r="V333" s="30"/>
      <c r="W333" s="30"/>
      <c r="X333" s="30"/>
      <c r="Y333" s="30"/>
      <c r="Z333" s="30"/>
    </row>
    <row r="334" spans="1:26" ht="21" customHeight="1" x14ac:dyDescent="0.85">
      <c r="A334" s="30"/>
      <c r="B334" s="30"/>
      <c r="C334" s="30"/>
      <c r="D334" s="30"/>
      <c r="E334" s="30"/>
      <c r="F334" s="30"/>
      <c r="G334" s="30"/>
      <c r="H334" s="30"/>
      <c r="I334" s="30"/>
      <c r="J334" s="30"/>
      <c r="K334" s="30"/>
      <c r="L334" s="30"/>
      <c r="M334" s="30"/>
      <c r="N334" s="30"/>
      <c r="O334" s="30"/>
      <c r="P334" s="30"/>
      <c r="Q334" s="30"/>
      <c r="R334" s="30"/>
      <c r="S334" s="30"/>
      <c r="T334" s="30"/>
      <c r="U334" s="30"/>
      <c r="V334" s="30"/>
      <c r="W334" s="30"/>
      <c r="X334" s="30"/>
      <c r="Y334" s="30"/>
      <c r="Z334" s="30"/>
    </row>
    <row r="335" spans="1:26" ht="21" customHeight="1" x14ac:dyDescent="0.85">
      <c r="A335" s="30"/>
      <c r="B335" s="30"/>
      <c r="C335" s="30"/>
      <c r="D335" s="30"/>
      <c r="E335" s="30"/>
      <c r="F335" s="30"/>
      <c r="G335" s="30"/>
      <c r="H335" s="30"/>
      <c r="I335" s="30"/>
      <c r="J335" s="30"/>
      <c r="K335" s="30"/>
      <c r="L335" s="30"/>
      <c r="M335" s="30"/>
      <c r="N335" s="30"/>
      <c r="O335" s="30"/>
      <c r="P335" s="30"/>
      <c r="Q335" s="30"/>
      <c r="R335" s="30"/>
      <c r="S335" s="30"/>
      <c r="T335" s="30"/>
      <c r="U335" s="30"/>
      <c r="V335" s="30"/>
      <c r="W335" s="30"/>
      <c r="X335" s="30"/>
      <c r="Y335" s="30"/>
      <c r="Z335" s="30"/>
    </row>
    <row r="336" spans="1:26" ht="21" customHeight="1" x14ac:dyDescent="0.85">
      <c r="A336" s="30"/>
      <c r="B336" s="30"/>
      <c r="C336" s="30"/>
      <c r="D336" s="30"/>
      <c r="E336" s="30"/>
      <c r="F336" s="30"/>
      <c r="G336" s="30"/>
      <c r="H336" s="30"/>
      <c r="I336" s="30"/>
      <c r="J336" s="30"/>
      <c r="K336" s="30"/>
      <c r="L336" s="30"/>
      <c r="M336" s="30"/>
      <c r="N336" s="30"/>
      <c r="O336" s="30"/>
      <c r="P336" s="30"/>
      <c r="Q336" s="30"/>
      <c r="R336" s="30"/>
      <c r="S336" s="30"/>
      <c r="T336" s="30"/>
      <c r="U336" s="30"/>
      <c r="V336" s="30"/>
      <c r="W336" s="30"/>
      <c r="X336" s="30"/>
      <c r="Y336" s="30"/>
      <c r="Z336" s="30"/>
    </row>
    <row r="337" spans="1:26" ht="21" customHeight="1" x14ac:dyDescent="0.85">
      <c r="A337" s="30"/>
      <c r="B337" s="30"/>
      <c r="C337" s="30"/>
      <c r="D337" s="30"/>
      <c r="E337" s="30"/>
      <c r="F337" s="30"/>
      <c r="G337" s="30"/>
      <c r="H337" s="30"/>
      <c r="I337" s="30"/>
      <c r="J337" s="30"/>
      <c r="K337" s="30"/>
      <c r="L337" s="30"/>
      <c r="M337" s="30"/>
      <c r="N337" s="30"/>
      <c r="O337" s="30"/>
      <c r="P337" s="30"/>
      <c r="Q337" s="30"/>
      <c r="R337" s="30"/>
      <c r="S337" s="30"/>
      <c r="T337" s="30"/>
      <c r="U337" s="30"/>
      <c r="V337" s="30"/>
      <c r="W337" s="30"/>
      <c r="X337" s="30"/>
      <c r="Y337" s="30"/>
      <c r="Z337" s="30"/>
    </row>
    <row r="338" spans="1:26" ht="21" customHeight="1" x14ac:dyDescent="0.85">
      <c r="A338" s="30"/>
      <c r="B338" s="30"/>
      <c r="C338" s="30"/>
      <c r="D338" s="30"/>
      <c r="E338" s="30"/>
      <c r="F338" s="30"/>
      <c r="G338" s="30"/>
      <c r="H338" s="30"/>
      <c r="I338" s="30"/>
      <c r="J338" s="30"/>
      <c r="K338" s="30"/>
      <c r="L338" s="30"/>
      <c r="M338" s="30"/>
      <c r="N338" s="30"/>
      <c r="O338" s="30"/>
      <c r="P338" s="30"/>
      <c r="Q338" s="30"/>
      <c r="R338" s="30"/>
      <c r="S338" s="30"/>
      <c r="T338" s="30"/>
      <c r="U338" s="30"/>
      <c r="V338" s="30"/>
      <c r="W338" s="30"/>
      <c r="X338" s="30"/>
      <c r="Y338" s="30"/>
      <c r="Z338" s="30"/>
    </row>
    <row r="339" spans="1:26" ht="21" customHeight="1" x14ac:dyDescent="0.85">
      <c r="A339" s="30"/>
      <c r="B339" s="30"/>
      <c r="C339" s="30"/>
      <c r="D339" s="30"/>
      <c r="E339" s="30"/>
      <c r="F339" s="30"/>
      <c r="G339" s="30"/>
      <c r="H339" s="30"/>
      <c r="I339" s="30"/>
      <c r="J339" s="30"/>
      <c r="K339" s="30"/>
      <c r="L339" s="30"/>
      <c r="M339" s="30"/>
      <c r="N339" s="30"/>
      <c r="O339" s="30"/>
      <c r="P339" s="30"/>
      <c r="Q339" s="30"/>
      <c r="R339" s="30"/>
      <c r="S339" s="30"/>
      <c r="T339" s="30"/>
      <c r="U339" s="30"/>
      <c r="V339" s="30"/>
      <c r="W339" s="30"/>
      <c r="X339" s="30"/>
      <c r="Y339" s="30"/>
      <c r="Z339" s="30"/>
    </row>
    <row r="340" spans="1:26" ht="21" customHeight="1" x14ac:dyDescent="0.85">
      <c r="A340" s="30"/>
      <c r="B340" s="30"/>
      <c r="C340" s="30"/>
      <c r="D340" s="30"/>
      <c r="E340" s="30"/>
      <c r="F340" s="30"/>
      <c r="G340" s="30"/>
      <c r="H340" s="30"/>
      <c r="I340" s="30"/>
      <c r="J340" s="30"/>
      <c r="K340" s="30"/>
      <c r="L340" s="30"/>
      <c r="M340" s="30"/>
      <c r="N340" s="30"/>
      <c r="O340" s="30"/>
      <c r="P340" s="30"/>
      <c r="Q340" s="30"/>
      <c r="R340" s="30"/>
      <c r="S340" s="30"/>
      <c r="T340" s="30"/>
      <c r="U340" s="30"/>
      <c r="V340" s="30"/>
      <c r="W340" s="30"/>
      <c r="X340" s="30"/>
      <c r="Y340" s="30"/>
      <c r="Z340" s="30"/>
    </row>
    <row r="341" spans="1:26" ht="21" customHeight="1" x14ac:dyDescent="0.85">
      <c r="A341" s="30"/>
      <c r="B341" s="30"/>
      <c r="C341" s="30"/>
      <c r="D341" s="30"/>
      <c r="E341" s="30"/>
      <c r="F341" s="30"/>
      <c r="G341" s="30"/>
      <c r="H341" s="30"/>
      <c r="I341" s="30"/>
      <c r="J341" s="30"/>
      <c r="K341" s="30"/>
      <c r="L341" s="30"/>
      <c r="M341" s="30"/>
      <c r="N341" s="30"/>
      <c r="O341" s="30"/>
      <c r="P341" s="30"/>
      <c r="Q341" s="30"/>
      <c r="R341" s="30"/>
      <c r="S341" s="30"/>
      <c r="T341" s="30"/>
      <c r="U341" s="30"/>
      <c r="V341" s="30"/>
      <c r="W341" s="30"/>
      <c r="X341" s="30"/>
      <c r="Y341" s="30"/>
      <c r="Z341" s="30"/>
    </row>
    <row r="342" spans="1:26" ht="21" customHeight="1" x14ac:dyDescent="0.85">
      <c r="A342" s="30"/>
      <c r="B342" s="30"/>
      <c r="C342" s="30"/>
      <c r="D342" s="30"/>
      <c r="E342" s="30"/>
      <c r="F342" s="30"/>
      <c r="G342" s="30"/>
      <c r="H342" s="30"/>
      <c r="I342" s="30"/>
      <c r="J342" s="30"/>
      <c r="K342" s="30"/>
      <c r="L342" s="30"/>
      <c r="M342" s="30"/>
      <c r="N342" s="30"/>
      <c r="O342" s="30"/>
      <c r="P342" s="30"/>
      <c r="Q342" s="30"/>
      <c r="R342" s="30"/>
      <c r="S342" s="30"/>
      <c r="T342" s="30"/>
      <c r="U342" s="30"/>
      <c r="V342" s="30"/>
      <c r="W342" s="30"/>
      <c r="X342" s="30"/>
      <c r="Y342" s="30"/>
      <c r="Z342" s="30"/>
    </row>
    <row r="343" spans="1:26" ht="21" customHeight="1" x14ac:dyDescent="0.85">
      <c r="A343" s="30"/>
      <c r="B343" s="30"/>
      <c r="C343" s="30"/>
      <c r="D343" s="30"/>
      <c r="E343" s="30"/>
      <c r="F343" s="30"/>
      <c r="G343" s="30"/>
      <c r="H343" s="30"/>
      <c r="I343" s="30"/>
      <c r="J343" s="30"/>
      <c r="K343" s="30"/>
      <c r="L343" s="30"/>
      <c r="M343" s="30"/>
      <c r="N343" s="30"/>
      <c r="O343" s="30"/>
      <c r="P343" s="30"/>
      <c r="Q343" s="30"/>
      <c r="R343" s="30"/>
      <c r="S343" s="30"/>
      <c r="T343" s="30"/>
      <c r="U343" s="30"/>
      <c r="V343" s="30"/>
      <c r="W343" s="30"/>
      <c r="X343" s="30"/>
      <c r="Y343" s="30"/>
      <c r="Z343" s="30"/>
    </row>
    <row r="344" spans="1:26" ht="21" customHeight="1" x14ac:dyDescent="0.85">
      <c r="A344" s="30"/>
      <c r="B344" s="30"/>
      <c r="C344" s="30"/>
      <c r="D344" s="30"/>
      <c r="E344" s="30"/>
      <c r="F344" s="30"/>
      <c r="G344" s="30"/>
      <c r="H344" s="30"/>
      <c r="I344" s="30"/>
      <c r="J344" s="30"/>
      <c r="K344" s="30"/>
      <c r="L344" s="30"/>
      <c r="M344" s="30"/>
      <c r="N344" s="30"/>
      <c r="O344" s="30"/>
      <c r="P344" s="30"/>
      <c r="Q344" s="30"/>
      <c r="R344" s="30"/>
      <c r="S344" s="30"/>
      <c r="T344" s="30"/>
      <c r="U344" s="30"/>
      <c r="V344" s="30"/>
      <c r="W344" s="30"/>
      <c r="X344" s="30"/>
      <c r="Y344" s="30"/>
      <c r="Z344" s="30"/>
    </row>
    <row r="345" spans="1:26" ht="21" customHeight="1" x14ac:dyDescent="0.85">
      <c r="A345" s="30"/>
      <c r="B345" s="30"/>
      <c r="C345" s="30"/>
      <c r="D345" s="30"/>
      <c r="E345" s="30"/>
      <c r="F345" s="30"/>
      <c r="G345" s="30"/>
      <c r="H345" s="30"/>
      <c r="I345" s="30"/>
      <c r="J345" s="30"/>
      <c r="K345" s="30"/>
      <c r="L345" s="30"/>
      <c r="M345" s="30"/>
      <c r="N345" s="30"/>
      <c r="O345" s="30"/>
      <c r="P345" s="30"/>
      <c r="Q345" s="30"/>
      <c r="R345" s="30"/>
      <c r="S345" s="30"/>
      <c r="T345" s="30"/>
      <c r="U345" s="30"/>
      <c r="V345" s="30"/>
      <c r="W345" s="30"/>
      <c r="X345" s="30"/>
      <c r="Y345" s="30"/>
      <c r="Z345" s="30"/>
    </row>
    <row r="346" spans="1:26" ht="21" customHeight="1" x14ac:dyDescent="0.85">
      <c r="A346" s="30"/>
      <c r="B346" s="30"/>
      <c r="C346" s="30"/>
      <c r="D346" s="30"/>
      <c r="E346" s="30"/>
      <c r="F346" s="30"/>
      <c r="G346" s="30"/>
      <c r="H346" s="30"/>
      <c r="I346" s="30"/>
      <c r="J346" s="30"/>
      <c r="K346" s="30"/>
      <c r="L346" s="30"/>
      <c r="M346" s="30"/>
      <c r="N346" s="30"/>
      <c r="O346" s="30"/>
      <c r="P346" s="30"/>
      <c r="Q346" s="30"/>
      <c r="R346" s="30"/>
      <c r="S346" s="30"/>
      <c r="T346" s="30"/>
      <c r="U346" s="30"/>
      <c r="V346" s="30"/>
      <c r="W346" s="30"/>
      <c r="X346" s="30"/>
      <c r="Y346" s="30"/>
      <c r="Z346" s="30"/>
    </row>
    <row r="347" spans="1:26" ht="21" customHeight="1" x14ac:dyDescent="0.85">
      <c r="A347" s="30"/>
      <c r="B347" s="30"/>
      <c r="C347" s="30"/>
      <c r="D347" s="30"/>
      <c r="E347" s="30"/>
      <c r="F347" s="30"/>
      <c r="G347" s="30"/>
      <c r="H347" s="30"/>
      <c r="I347" s="30"/>
      <c r="J347" s="30"/>
      <c r="K347" s="30"/>
      <c r="L347" s="30"/>
      <c r="M347" s="30"/>
      <c r="N347" s="30"/>
      <c r="O347" s="30"/>
      <c r="P347" s="30"/>
      <c r="Q347" s="30"/>
      <c r="R347" s="30"/>
      <c r="S347" s="30"/>
      <c r="T347" s="30"/>
      <c r="U347" s="30"/>
      <c r="V347" s="30"/>
      <c r="W347" s="30"/>
      <c r="X347" s="30"/>
      <c r="Y347" s="30"/>
      <c r="Z347" s="30"/>
    </row>
    <row r="348" spans="1:26" ht="21" customHeight="1" x14ac:dyDescent="0.85">
      <c r="A348" s="30"/>
      <c r="B348" s="30"/>
      <c r="C348" s="30"/>
      <c r="D348" s="30"/>
      <c r="E348" s="30"/>
      <c r="F348" s="30"/>
      <c r="G348" s="30"/>
      <c r="H348" s="30"/>
      <c r="I348" s="30"/>
      <c r="J348" s="30"/>
      <c r="K348" s="30"/>
      <c r="L348" s="30"/>
      <c r="M348" s="30"/>
      <c r="N348" s="30"/>
      <c r="O348" s="30"/>
      <c r="P348" s="30"/>
      <c r="Q348" s="30"/>
      <c r="R348" s="30"/>
      <c r="S348" s="30"/>
      <c r="T348" s="30"/>
      <c r="U348" s="30"/>
      <c r="V348" s="30"/>
      <c r="W348" s="30"/>
      <c r="X348" s="30"/>
      <c r="Y348" s="30"/>
      <c r="Z348" s="30"/>
    </row>
    <row r="349" spans="1:26" ht="21" customHeight="1" x14ac:dyDescent="0.85">
      <c r="A349" s="30"/>
      <c r="B349" s="30"/>
      <c r="C349" s="30"/>
      <c r="D349" s="30"/>
      <c r="E349" s="30"/>
      <c r="F349" s="30"/>
      <c r="G349" s="30"/>
      <c r="H349" s="30"/>
      <c r="I349" s="30"/>
      <c r="J349" s="30"/>
      <c r="K349" s="30"/>
      <c r="L349" s="30"/>
      <c r="M349" s="30"/>
      <c r="N349" s="30"/>
      <c r="O349" s="30"/>
      <c r="P349" s="30"/>
      <c r="Q349" s="30"/>
      <c r="R349" s="30"/>
      <c r="S349" s="30"/>
      <c r="T349" s="30"/>
      <c r="U349" s="30"/>
      <c r="V349" s="30"/>
      <c r="W349" s="30"/>
      <c r="X349" s="30"/>
      <c r="Y349" s="30"/>
      <c r="Z349" s="30"/>
    </row>
    <row r="350" spans="1:26" ht="21" customHeight="1" x14ac:dyDescent="0.85">
      <c r="A350" s="30"/>
      <c r="B350" s="30"/>
      <c r="C350" s="30"/>
      <c r="D350" s="30"/>
      <c r="E350" s="30"/>
      <c r="F350" s="30"/>
      <c r="G350" s="30"/>
      <c r="H350" s="30"/>
      <c r="I350" s="30"/>
      <c r="J350" s="30"/>
      <c r="K350" s="30"/>
      <c r="L350" s="30"/>
      <c r="M350" s="30"/>
      <c r="N350" s="30"/>
      <c r="O350" s="30"/>
      <c r="P350" s="30"/>
      <c r="Q350" s="30"/>
      <c r="R350" s="30"/>
      <c r="S350" s="30"/>
      <c r="T350" s="30"/>
      <c r="U350" s="30"/>
      <c r="V350" s="30"/>
      <c r="W350" s="30"/>
      <c r="X350" s="30"/>
      <c r="Y350" s="30"/>
      <c r="Z350" s="30"/>
    </row>
    <row r="351" spans="1:26" ht="21" customHeight="1" x14ac:dyDescent="0.85">
      <c r="A351" s="30"/>
      <c r="B351" s="30"/>
      <c r="C351" s="30"/>
      <c r="D351" s="30"/>
      <c r="E351" s="30"/>
      <c r="F351" s="30"/>
      <c r="G351" s="30"/>
      <c r="H351" s="30"/>
      <c r="I351" s="30"/>
      <c r="J351" s="30"/>
      <c r="K351" s="30"/>
      <c r="L351" s="30"/>
      <c r="M351" s="30"/>
      <c r="N351" s="30"/>
      <c r="O351" s="30"/>
      <c r="P351" s="30"/>
      <c r="Q351" s="30"/>
      <c r="R351" s="30"/>
      <c r="S351" s="30"/>
      <c r="T351" s="30"/>
      <c r="U351" s="30"/>
      <c r="V351" s="30"/>
      <c r="W351" s="30"/>
      <c r="X351" s="30"/>
      <c r="Y351" s="30"/>
      <c r="Z351" s="30"/>
    </row>
    <row r="352" spans="1:26" ht="21" customHeight="1" x14ac:dyDescent="0.85">
      <c r="A352" s="30"/>
      <c r="B352" s="30"/>
      <c r="C352" s="30"/>
      <c r="D352" s="30"/>
      <c r="E352" s="30"/>
      <c r="F352" s="30"/>
      <c r="G352" s="30"/>
      <c r="H352" s="30"/>
      <c r="I352" s="30"/>
      <c r="J352" s="30"/>
      <c r="K352" s="30"/>
      <c r="L352" s="30"/>
      <c r="M352" s="30"/>
      <c r="N352" s="30"/>
      <c r="O352" s="30"/>
      <c r="P352" s="30"/>
      <c r="Q352" s="30"/>
      <c r="R352" s="30"/>
      <c r="S352" s="30"/>
      <c r="T352" s="30"/>
      <c r="U352" s="30"/>
      <c r="V352" s="30"/>
      <c r="W352" s="30"/>
      <c r="X352" s="30"/>
      <c r="Y352" s="30"/>
      <c r="Z352" s="30"/>
    </row>
    <row r="353" spans="1:26" ht="21" customHeight="1" x14ac:dyDescent="0.85">
      <c r="A353" s="30"/>
      <c r="B353" s="30"/>
      <c r="C353" s="30"/>
      <c r="D353" s="30"/>
      <c r="E353" s="30"/>
      <c r="F353" s="30"/>
      <c r="G353" s="30"/>
      <c r="H353" s="30"/>
      <c r="I353" s="30"/>
      <c r="J353" s="30"/>
      <c r="K353" s="30"/>
      <c r="L353" s="30"/>
      <c r="M353" s="30"/>
      <c r="N353" s="30"/>
      <c r="O353" s="30"/>
      <c r="P353" s="30"/>
      <c r="Q353" s="30"/>
      <c r="R353" s="30"/>
      <c r="S353" s="30"/>
      <c r="T353" s="30"/>
      <c r="U353" s="30"/>
      <c r="V353" s="30"/>
      <c r="W353" s="30"/>
      <c r="X353" s="30"/>
      <c r="Y353" s="30"/>
      <c r="Z353" s="30"/>
    </row>
    <row r="354" spans="1:26" ht="21" customHeight="1" x14ac:dyDescent="0.85">
      <c r="A354" s="30"/>
      <c r="B354" s="30"/>
      <c r="C354" s="30"/>
      <c r="D354" s="30"/>
      <c r="E354" s="30"/>
      <c r="F354" s="30"/>
      <c r="G354" s="30"/>
      <c r="H354" s="30"/>
      <c r="I354" s="30"/>
      <c r="J354" s="30"/>
      <c r="K354" s="30"/>
      <c r="L354" s="30"/>
      <c r="M354" s="30"/>
      <c r="N354" s="30"/>
      <c r="O354" s="30"/>
      <c r="P354" s="30"/>
      <c r="Q354" s="30"/>
      <c r="R354" s="30"/>
      <c r="S354" s="30"/>
      <c r="T354" s="30"/>
      <c r="U354" s="30"/>
      <c r="V354" s="30"/>
      <c r="W354" s="30"/>
      <c r="X354" s="30"/>
      <c r="Y354" s="30"/>
      <c r="Z354" s="30"/>
    </row>
    <row r="355" spans="1:26" ht="21" customHeight="1" x14ac:dyDescent="0.85">
      <c r="A355" s="30"/>
      <c r="B355" s="30"/>
      <c r="C355" s="30"/>
      <c r="D355" s="30"/>
      <c r="E355" s="30"/>
      <c r="F355" s="30"/>
      <c r="G355" s="30"/>
      <c r="H355" s="30"/>
      <c r="I355" s="30"/>
      <c r="J355" s="30"/>
      <c r="K355" s="30"/>
      <c r="L355" s="30"/>
      <c r="M355" s="30"/>
      <c r="N355" s="30"/>
      <c r="O355" s="30"/>
      <c r="P355" s="30"/>
      <c r="Q355" s="30"/>
      <c r="R355" s="30"/>
      <c r="S355" s="30"/>
      <c r="T355" s="30"/>
      <c r="U355" s="30"/>
      <c r="V355" s="30"/>
      <c r="W355" s="30"/>
      <c r="X355" s="30"/>
      <c r="Y355" s="30"/>
      <c r="Z355" s="30"/>
    </row>
    <row r="356" spans="1:26" ht="21" customHeight="1" x14ac:dyDescent="0.85">
      <c r="A356" s="30"/>
      <c r="B356" s="30"/>
      <c r="C356" s="30"/>
      <c r="D356" s="30"/>
      <c r="E356" s="30"/>
      <c r="F356" s="30"/>
      <c r="G356" s="30"/>
      <c r="H356" s="30"/>
      <c r="I356" s="30"/>
      <c r="J356" s="30"/>
      <c r="K356" s="30"/>
      <c r="L356" s="30"/>
      <c r="M356" s="30"/>
      <c r="N356" s="30"/>
      <c r="O356" s="30"/>
      <c r="P356" s="30"/>
      <c r="Q356" s="30"/>
      <c r="R356" s="30"/>
      <c r="S356" s="30"/>
      <c r="T356" s="30"/>
      <c r="U356" s="30"/>
      <c r="V356" s="30"/>
      <c r="W356" s="30"/>
      <c r="X356" s="30"/>
      <c r="Y356" s="30"/>
      <c r="Z356" s="30"/>
    </row>
    <row r="357" spans="1:26" ht="21" customHeight="1" x14ac:dyDescent="0.85">
      <c r="A357" s="30"/>
      <c r="B357" s="30"/>
      <c r="C357" s="30"/>
      <c r="D357" s="30"/>
      <c r="E357" s="30"/>
      <c r="F357" s="30"/>
      <c r="G357" s="30"/>
      <c r="H357" s="30"/>
      <c r="I357" s="30"/>
      <c r="J357" s="30"/>
      <c r="K357" s="30"/>
      <c r="L357" s="30"/>
      <c r="M357" s="30"/>
      <c r="N357" s="30"/>
      <c r="O357" s="30"/>
      <c r="P357" s="30"/>
      <c r="Q357" s="30"/>
      <c r="R357" s="30"/>
      <c r="S357" s="30"/>
      <c r="T357" s="30"/>
      <c r="U357" s="30"/>
      <c r="V357" s="30"/>
      <c r="W357" s="30"/>
      <c r="X357" s="30"/>
      <c r="Y357" s="30"/>
      <c r="Z357" s="30"/>
    </row>
    <row r="358" spans="1:26" ht="21" customHeight="1" x14ac:dyDescent="0.85">
      <c r="A358" s="30"/>
      <c r="B358" s="30"/>
      <c r="C358" s="30"/>
      <c r="D358" s="30"/>
      <c r="E358" s="30"/>
      <c r="F358" s="30"/>
      <c r="G358" s="30"/>
      <c r="H358" s="30"/>
      <c r="I358" s="30"/>
      <c r="J358" s="30"/>
      <c r="K358" s="30"/>
      <c r="L358" s="30"/>
      <c r="M358" s="30"/>
      <c r="N358" s="30"/>
      <c r="O358" s="30"/>
      <c r="P358" s="30"/>
      <c r="Q358" s="30"/>
      <c r="R358" s="30"/>
      <c r="S358" s="30"/>
      <c r="T358" s="30"/>
      <c r="U358" s="30"/>
      <c r="V358" s="30"/>
      <c r="W358" s="30"/>
      <c r="X358" s="30"/>
      <c r="Y358" s="30"/>
      <c r="Z358" s="30"/>
    </row>
    <row r="359" spans="1:26" ht="21" customHeight="1" x14ac:dyDescent="0.85">
      <c r="A359" s="30"/>
      <c r="B359" s="30"/>
      <c r="C359" s="30"/>
      <c r="D359" s="30"/>
      <c r="E359" s="30"/>
      <c r="F359" s="30"/>
      <c r="G359" s="30"/>
      <c r="H359" s="30"/>
      <c r="I359" s="30"/>
      <c r="J359" s="30"/>
      <c r="K359" s="30"/>
      <c r="L359" s="30"/>
      <c r="M359" s="30"/>
      <c r="N359" s="30"/>
      <c r="O359" s="30"/>
      <c r="P359" s="30"/>
      <c r="Q359" s="30"/>
      <c r="R359" s="30"/>
      <c r="S359" s="30"/>
      <c r="T359" s="30"/>
      <c r="U359" s="30"/>
      <c r="V359" s="30"/>
      <c r="W359" s="30"/>
      <c r="X359" s="30"/>
      <c r="Y359" s="30"/>
      <c r="Z359" s="30"/>
    </row>
    <row r="360" spans="1:26" ht="21" customHeight="1" x14ac:dyDescent="0.85">
      <c r="A360" s="30"/>
      <c r="B360" s="30"/>
      <c r="C360" s="30"/>
      <c r="D360" s="30"/>
      <c r="E360" s="30"/>
      <c r="F360" s="30"/>
      <c r="G360" s="30"/>
      <c r="H360" s="30"/>
      <c r="I360" s="30"/>
      <c r="J360" s="30"/>
      <c r="K360" s="30"/>
      <c r="L360" s="30"/>
      <c r="M360" s="30"/>
      <c r="N360" s="30"/>
      <c r="O360" s="30"/>
      <c r="P360" s="30"/>
      <c r="Q360" s="30"/>
      <c r="R360" s="30"/>
      <c r="S360" s="30"/>
      <c r="T360" s="30"/>
      <c r="U360" s="30"/>
      <c r="V360" s="30"/>
      <c r="W360" s="30"/>
      <c r="X360" s="30"/>
      <c r="Y360" s="30"/>
      <c r="Z360" s="30"/>
    </row>
    <row r="361" spans="1:26" ht="21" customHeight="1" x14ac:dyDescent="0.85">
      <c r="A361" s="30"/>
      <c r="B361" s="30"/>
      <c r="C361" s="30"/>
      <c r="D361" s="30"/>
      <c r="E361" s="30"/>
      <c r="F361" s="30"/>
      <c r="G361" s="30"/>
      <c r="H361" s="30"/>
      <c r="I361" s="30"/>
      <c r="J361" s="30"/>
      <c r="K361" s="30"/>
      <c r="L361" s="30"/>
      <c r="M361" s="30"/>
      <c r="N361" s="30"/>
      <c r="O361" s="30"/>
      <c r="P361" s="30"/>
      <c r="Q361" s="30"/>
      <c r="R361" s="30"/>
      <c r="S361" s="30"/>
      <c r="T361" s="30"/>
      <c r="U361" s="30"/>
      <c r="V361" s="30"/>
      <c r="W361" s="30"/>
      <c r="X361" s="30"/>
      <c r="Y361" s="30"/>
      <c r="Z361" s="30"/>
    </row>
    <row r="362" spans="1:26" ht="21" customHeight="1" x14ac:dyDescent="0.85">
      <c r="A362" s="30"/>
      <c r="B362" s="30"/>
      <c r="C362" s="30"/>
      <c r="D362" s="30"/>
      <c r="E362" s="30"/>
      <c r="F362" s="30"/>
      <c r="G362" s="30"/>
      <c r="H362" s="30"/>
      <c r="I362" s="30"/>
      <c r="J362" s="30"/>
      <c r="K362" s="30"/>
      <c r="L362" s="30"/>
      <c r="M362" s="30"/>
      <c r="N362" s="30"/>
      <c r="O362" s="30"/>
      <c r="P362" s="30"/>
      <c r="Q362" s="30"/>
      <c r="R362" s="30"/>
      <c r="S362" s="30"/>
      <c r="T362" s="30"/>
      <c r="U362" s="30"/>
      <c r="V362" s="30"/>
      <c r="W362" s="30"/>
      <c r="X362" s="30"/>
      <c r="Y362" s="30"/>
      <c r="Z362" s="30"/>
    </row>
    <row r="363" spans="1:26" ht="21" customHeight="1" x14ac:dyDescent="0.85">
      <c r="A363" s="30"/>
      <c r="B363" s="30"/>
      <c r="C363" s="30"/>
      <c r="D363" s="30"/>
      <c r="E363" s="30"/>
      <c r="F363" s="30"/>
      <c r="G363" s="30"/>
      <c r="H363" s="30"/>
      <c r="I363" s="30"/>
      <c r="J363" s="30"/>
      <c r="K363" s="30"/>
      <c r="L363" s="30"/>
      <c r="M363" s="30"/>
      <c r="N363" s="30"/>
      <c r="O363" s="30"/>
      <c r="P363" s="30"/>
      <c r="Q363" s="30"/>
      <c r="R363" s="30"/>
      <c r="S363" s="30"/>
      <c r="T363" s="30"/>
      <c r="U363" s="30"/>
      <c r="V363" s="30"/>
      <c r="W363" s="30"/>
      <c r="X363" s="30"/>
      <c r="Y363" s="30"/>
      <c r="Z363" s="30"/>
    </row>
    <row r="364" spans="1:26" ht="21" customHeight="1" x14ac:dyDescent="0.85">
      <c r="A364" s="30"/>
      <c r="B364" s="30"/>
      <c r="C364" s="30"/>
      <c r="D364" s="30"/>
      <c r="E364" s="30"/>
      <c r="F364" s="30"/>
      <c r="G364" s="30"/>
      <c r="H364" s="30"/>
      <c r="I364" s="30"/>
      <c r="J364" s="30"/>
      <c r="K364" s="30"/>
      <c r="L364" s="30"/>
      <c r="M364" s="30"/>
      <c r="N364" s="30"/>
      <c r="O364" s="30"/>
      <c r="P364" s="30"/>
      <c r="Q364" s="30"/>
      <c r="R364" s="30"/>
      <c r="S364" s="30"/>
      <c r="T364" s="30"/>
      <c r="U364" s="30"/>
      <c r="V364" s="30"/>
      <c r="W364" s="30"/>
      <c r="X364" s="30"/>
      <c r="Y364" s="30"/>
      <c r="Z364" s="30"/>
    </row>
    <row r="365" spans="1:26" ht="21" customHeight="1" x14ac:dyDescent="0.85">
      <c r="A365" s="30"/>
      <c r="B365" s="30"/>
      <c r="C365" s="30"/>
      <c r="D365" s="30"/>
      <c r="E365" s="30"/>
      <c r="F365" s="30"/>
      <c r="G365" s="30"/>
      <c r="H365" s="30"/>
      <c r="I365" s="30"/>
      <c r="J365" s="30"/>
      <c r="K365" s="30"/>
      <c r="L365" s="30"/>
      <c r="M365" s="30"/>
      <c r="N365" s="30"/>
      <c r="O365" s="30"/>
      <c r="P365" s="30"/>
      <c r="Q365" s="30"/>
      <c r="R365" s="30"/>
      <c r="S365" s="30"/>
      <c r="T365" s="30"/>
      <c r="U365" s="30"/>
      <c r="V365" s="30"/>
      <c r="W365" s="30"/>
      <c r="X365" s="30"/>
      <c r="Y365" s="30"/>
      <c r="Z365" s="30"/>
    </row>
    <row r="366" spans="1:26" ht="21" customHeight="1" x14ac:dyDescent="0.85">
      <c r="A366" s="30"/>
      <c r="B366" s="30"/>
      <c r="C366" s="30"/>
      <c r="D366" s="30"/>
      <c r="E366" s="30"/>
      <c r="F366" s="30"/>
      <c r="G366" s="30"/>
      <c r="H366" s="30"/>
      <c r="I366" s="30"/>
      <c r="J366" s="30"/>
      <c r="K366" s="30"/>
      <c r="L366" s="30"/>
      <c r="M366" s="30"/>
      <c r="N366" s="30"/>
      <c r="O366" s="30"/>
      <c r="P366" s="30"/>
      <c r="Q366" s="30"/>
      <c r="R366" s="30"/>
      <c r="S366" s="30"/>
      <c r="T366" s="30"/>
      <c r="U366" s="30"/>
      <c r="V366" s="30"/>
      <c r="W366" s="30"/>
      <c r="X366" s="30"/>
      <c r="Y366" s="30"/>
      <c r="Z366" s="30"/>
    </row>
    <row r="367" spans="1:26" ht="21" customHeight="1" x14ac:dyDescent="0.85">
      <c r="A367" s="30"/>
      <c r="B367" s="30"/>
      <c r="C367" s="30"/>
      <c r="D367" s="30"/>
      <c r="E367" s="30"/>
      <c r="F367" s="30"/>
      <c r="G367" s="30"/>
      <c r="H367" s="30"/>
      <c r="I367" s="30"/>
      <c r="J367" s="30"/>
      <c r="K367" s="30"/>
      <c r="L367" s="30"/>
      <c r="M367" s="30"/>
      <c r="N367" s="30"/>
      <c r="O367" s="30"/>
      <c r="P367" s="30"/>
      <c r="Q367" s="30"/>
      <c r="R367" s="30"/>
      <c r="S367" s="30"/>
      <c r="T367" s="30"/>
      <c r="U367" s="30"/>
      <c r="V367" s="30"/>
      <c r="W367" s="30"/>
      <c r="X367" s="30"/>
      <c r="Y367" s="30"/>
      <c r="Z367" s="30"/>
    </row>
    <row r="368" spans="1:26" ht="21" customHeight="1" x14ac:dyDescent="0.85">
      <c r="A368" s="30"/>
      <c r="B368" s="30"/>
      <c r="C368" s="30"/>
      <c r="D368" s="30"/>
      <c r="E368" s="30"/>
      <c r="F368" s="30"/>
      <c r="G368" s="30"/>
      <c r="H368" s="30"/>
      <c r="I368" s="30"/>
      <c r="J368" s="30"/>
      <c r="K368" s="30"/>
      <c r="L368" s="30"/>
      <c r="M368" s="30"/>
      <c r="N368" s="30"/>
      <c r="O368" s="30"/>
      <c r="P368" s="30"/>
      <c r="Q368" s="30"/>
      <c r="R368" s="30"/>
      <c r="S368" s="30"/>
      <c r="T368" s="30"/>
      <c r="U368" s="30"/>
      <c r="V368" s="30"/>
      <c r="W368" s="30"/>
      <c r="X368" s="30"/>
      <c r="Y368" s="30"/>
      <c r="Z368" s="30"/>
    </row>
    <row r="369" spans="1:26" ht="21" customHeight="1" x14ac:dyDescent="0.85">
      <c r="A369" s="30"/>
      <c r="B369" s="30"/>
      <c r="C369" s="30"/>
      <c r="D369" s="30"/>
      <c r="E369" s="30"/>
      <c r="F369" s="30"/>
      <c r="G369" s="30"/>
      <c r="H369" s="30"/>
      <c r="I369" s="30"/>
      <c r="J369" s="30"/>
      <c r="K369" s="30"/>
      <c r="L369" s="30"/>
      <c r="M369" s="30"/>
      <c r="N369" s="30"/>
      <c r="O369" s="30"/>
      <c r="P369" s="30"/>
      <c r="Q369" s="30"/>
      <c r="R369" s="30"/>
      <c r="S369" s="30"/>
      <c r="T369" s="30"/>
      <c r="U369" s="30"/>
      <c r="V369" s="30"/>
      <c r="W369" s="30"/>
      <c r="X369" s="30"/>
      <c r="Y369" s="30"/>
      <c r="Z369" s="30"/>
    </row>
    <row r="370" spans="1:26" ht="21" customHeight="1" x14ac:dyDescent="0.85">
      <c r="A370" s="30"/>
      <c r="B370" s="30"/>
      <c r="C370" s="30"/>
      <c r="D370" s="30"/>
      <c r="E370" s="30"/>
      <c r="F370" s="30"/>
      <c r="G370" s="30"/>
      <c r="H370" s="30"/>
      <c r="I370" s="30"/>
      <c r="J370" s="30"/>
      <c r="K370" s="30"/>
      <c r="L370" s="30"/>
      <c r="M370" s="30"/>
      <c r="N370" s="30"/>
      <c r="O370" s="30"/>
      <c r="P370" s="30"/>
      <c r="Q370" s="30"/>
      <c r="R370" s="30"/>
      <c r="S370" s="30"/>
      <c r="T370" s="30"/>
      <c r="U370" s="30"/>
      <c r="V370" s="30"/>
      <c r="W370" s="30"/>
      <c r="X370" s="30"/>
      <c r="Y370" s="30"/>
      <c r="Z370" s="30"/>
    </row>
    <row r="371" spans="1:26" ht="21" customHeight="1" x14ac:dyDescent="0.85">
      <c r="A371" s="30"/>
      <c r="B371" s="30"/>
      <c r="C371" s="30"/>
      <c r="D371" s="30"/>
      <c r="E371" s="30"/>
      <c r="F371" s="30"/>
      <c r="G371" s="30"/>
      <c r="H371" s="30"/>
      <c r="I371" s="30"/>
      <c r="J371" s="30"/>
      <c r="K371" s="30"/>
      <c r="L371" s="30"/>
      <c r="M371" s="30"/>
      <c r="N371" s="30"/>
      <c r="O371" s="30"/>
      <c r="P371" s="30"/>
      <c r="Q371" s="30"/>
      <c r="R371" s="30"/>
      <c r="S371" s="30"/>
      <c r="T371" s="30"/>
      <c r="U371" s="30"/>
      <c r="V371" s="30"/>
      <c r="W371" s="30"/>
      <c r="X371" s="30"/>
      <c r="Y371" s="30"/>
      <c r="Z371" s="30"/>
    </row>
    <row r="372" spans="1:26" ht="21" customHeight="1" x14ac:dyDescent="0.85">
      <c r="A372" s="30"/>
      <c r="B372" s="30"/>
      <c r="C372" s="30"/>
      <c r="D372" s="30"/>
      <c r="E372" s="30"/>
      <c r="F372" s="30"/>
      <c r="G372" s="30"/>
      <c r="H372" s="30"/>
      <c r="I372" s="30"/>
      <c r="J372" s="30"/>
      <c r="K372" s="30"/>
      <c r="L372" s="30"/>
      <c r="M372" s="30"/>
      <c r="N372" s="30"/>
      <c r="O372" s="30"/>
      <c r="P372" s="30"/>
      <c r="Q372" s="30"/>
      <c r="R372" s="30"/>
      <c r="S372" s="30"/>
      <c r="T372" s="30"/>
      <c r="U372" s="30"/>
      <c r="V372" s="30"/>
      <c r="W372" s="30"/>
      <c r="X372" s="30"/>
      <c r="Y372" s="30"/>
      <c r="Z372" s="30"/>
    </row>
    <row r="373" spans="1:26" ht="21" customHeight="1" x14ac:dyDescent="0.85">
      <c r="A373" s="30"/>
      <c r="B373" s="30"/>
      <c r="C373" s="30"/>
      <c r="D373" s="30"/>
      <c r="E373" s="30"/>
      <c r="F373" s="30"/>
      <c r="G373" s="30"/>
      <c r="H373" s="30"/>
      <c r="I373" s="30"/>
      <c r="J373" s="30"/>
      <c r="K373" s="30"/>
      <c r="L373" s="30"/>
      <c r="M373" s="30"/>
      <c r="N373" s="30"/>
      <c r="O373" s="30"/>
      <c r="P373" s="30"/>
      <c r="Q373" s="30"/>
      <c r="R373" s="30"/>
      <c r="S373" s="30"/>
      <c r="T373" s="30"/>
      <c r="U373" s="30"/>
      <c r="V373" s="30"/>
      <c r="W373" s="30"/>
      <c r="X373" s="30"/>
      <c r="Y373" s="30"/>
      <c r="Z373" s="30"/>
    </row>
    <row r="374" spans="1:26" ht="21" customHeight="1" x14ac:dyDescent="0.85">
      <c r="A374" s="30"/>
      <c r="B374" s="30"/>
      <c r="C374" s="30"/>
      <c r="D374" s="30"/>
      <c r="E374" s="30"/>
      <c r="F374" s="30"/>
      <c r="G374" s="30"/>
      <c r="H374" s="30"/>
      <c r="I374" s="30"/>
      <c r="J374" s="30"/>
      <c r="K374" s="30"/>
      <c r="L374" s="30"/>
      <c r="M374" s="30"/>
      <c r="N374" s="30"/>
      <c r="O374" s="30"/>
      <c r="P374" s="30"/>
      <c r="Q374" s="30"/>
      <c r="R374" s="30"/>
      <c r="S374" s="30"/>
      <c r="T374" s="30"/>
      <c r="U374" s="30"/>
      <c r="V374" s="30"/>
      <c r="W374" s="30"/>
      <c r="X374" s="30"/>
      <c r="Y374" s="30"/>
      <c r="Z374" s="30"/>
    </row>
    <row r="375" spans="1:26" ht="21" customHeight="1" x14ac:dyDescent="0.85">
      <c r="A375" s="30"/>
      <c r="B375" s="30"/>
      <c r="C375" s="30"/>
      <c r="D375" s="30"/>
      <c r="E375" s="30"/>
      <c r="F375" s="30"/>
      <c r="G375" s="30"/>
      <c r="H375" s="30"/>
      <c r="I375" s="30"/>
      <c r="J375" s="30"/>
      <c r="K375" s="30"/>
      <c r="L375" s="30"/>
      <c r="M375" s="30"/>
      <c r="N375" s="30"/>
      <c r="O375" s="30"/>
      <c r="P375" s="30"/>
      <c r="Q375" s="30"/>
      <c r="R375" s="30"/>
      <c r="S375" s="30"/>
      <c r="T375" s="30"/>
      <c r="U375" s="30"/>
      <c r="V375" s="30"/>
      <c r="W375" s="30"/>
      <c r="X375" s="30"/>
      <c r="Y375" s="30"/>
      <c r="Z375" s="30"/>
    </row>
    <row r="376" spans="1:26" ht="21" customHeight="1" x14ac:dyDescent="0.85">
      <c r="A376" s="30"/>
      <c r="B376" s="30"/>
      <c r="C376" s="30"/>
      <c r="D376" s="30"/>
      <c r="E376" s="30"/>
      <c r="F376" s="30"/>
      <c r="G376" s="30"/>
      <c r="H376" s="30"/>
      <c r="I376" s="30"/>
      <c r="J376" s="30"/>
      <c r="K376" s="30"/>
      <c r="L376" s="30"/>
      <c r="M376" s="30"/>
      <c r="N376" s="30"/>
      <c r="O376" s="30"/>
      <c r="P376" s="30"/>
      <c r="Q376" s="30"/>
      <c r="R376" s="30"/>
      <c r="S376" s="30"/>
      <c r="T376" s="30"/>
      <c r="U376" s="30"/>
      <c r="V376" s="30"/>
      <c r="W376" s="30"/>
      <c r="X376" s="30"/>
      <c r="Y376" s="30"/>
      <c r="Z376" s="30"/>
    </row>
    <row r="377" spans="1:26" ht="21" customHeight="1" x14ac:dyDescent="0.85">
      <c r="A377" s="30"/>
      <c r="B377" s="30"/>
      <c r="C377" s="30"/>
      <c r="D377" s="30"/>
      <c r="E377" s="30"/>
      <c r="F377" s="30"/>
      <c r="G377" s="30"/>
      <c r="H377" s="30"/>
      <c r="I377" s="30"/>
      <c r="J377" s="30"/>
      <c r="K377" s="30"/>
      <c r="L377" s="30"/>
      <c r="M377" s="30"/>
      <c r="N377" s="30"/>
      <c r="O377" s="30"/>
      <c r="P377" s="30"/>
      <c r="Q377" s="30"/>
      <c r="R377" s="30"/>
      <c r="S377" s="30"/>
      <c r="T377" s="30"/>
      <c r="U377" s="30"/>
      <c r="V377" s="30"/>
      <c r="W377" s="30"/>
      <c r="X377" s="30"/>
      <c r="Y377" s="30"/>
      <c r="Z377" s="30"/>
    </row>
    <row r="378" spans="1:26" ht="21" customHeight="1" x14ac:dyDescent="0.85">
      <c r="A378" s="30"/>
      <c r="B378" s="30"/>
      <c r="C378" s="30"/>
      <c r="D378" s="30"/>
      <c r="E378" s="30"/>
      <c r="F378" s="30"/>
      <c r="G378" s="30"/>
      <c r="H378" s="30"/>
      <c r="I378" s="30"/>
      <c r="J378" s="30"/>
      <c r="K378" s="30"/>
      <c r="L378" s="30"/>
      <c r="M378" s="30"/>
      <c r="N378" s="30"/>
      <c r="O378" s="30"/>
      <c r="P378" s="30"/>
      <c r="Q378" s="30"/>
      <c r="R378" s="30"/>
      <c r="S378" s="30"/>
      <c r="T378" s="30"/>
      <c r="U378" s="30"/>
      <c r="V378" s="30"/>
      <c r="W378" s="30"/>
      <c r="X378" s="30"/>
      <c r="Y378" s="30"/>
      <c r="Z378" s="30"/>
    </row>
    <row r="379" spans="1:26" ht="21" customHeight="1" x14ac:dyDescent="0.85">
      <c r="A379" s="30"/>
      <c r="B379" s="30"/>
      <c r="C379" s="30"/>
      <c r="D379" s="30"/>
      <c r="E379" s="30"/>
      <c r="F379" s="30"/>
      <c r="G379" s="30"/>
      <c r="H379" s="30"/>
      <c r="I379" s="30"/>
      <c r="J379" s="30"/>
      <c r="K379" s="30"/>
      <c r="L379" s="30"/>
      <c r="M379" s="30"/>
      <c r="N379" s="30"/>
      <c r="O379" s="30"/>
      <c r="P379" s="30"/>
      <c r="Q379" s="30"/>
      <c r="R379" s="30"/>
      <c r="S379" s="30"/>
      <c r="T379" s="30"/>
      <c r="U379" s="30"/>
      <c r="V379" s="30"/>
      <c r="W379" s="30"/>
      <c r="X379" s="30"/>
      <c r="Y379" s="30"/>
      <c r="Z379" s="30"/>
    </row>
    <row r="380" spans="1:26" ht="21" customHeight="1" x14ac:dyDescent="0.85">
      <c r="A380" s="30"/>
      <c r="B380" s="30"/>
      <c r="C380" s="30"/>
      <c r="D380" s="30"/>
      <c r="E380" s="30"/>
      <c r="F380" s="30"/>
      <c r="G380" s="30"/>
      <c r="H380" s="30"/>
      <c r="I380" s="30"/>
      <c r="J380" s="30"/>
      <c r="K380" s="30"/>
      <c r="L380" s="30"/>
      <c r="M380" s="30"/>
      <c r="N380" s="30"/>
      <c r="O380" s="30"/>
      <c r="P380" s="30"/>
      <c r="Q380" s="30"/>
      <c r="R380" s="30"/>
      <c r="S380" s="30"/>
      <c r="T380" s="30"/>
      <c r="U380" s="30"/>
      <c r="V380" s="30"/>
      <c r="W380" s="30"/>
      <c r="X380" s="30"/>
      <c r="Y380" s="30"/>
      <c r="Z380" s="30"/>
    </row>
    <row r="381" spans="1:26" ht="21" customHeight="1" x14ac:dyDescent="0.85">
      <c r="A381" s="30"/>
      <c r="B381" s="30"/>
      <c r="C381" s="30"/>
      <c r="D381" s="30"/>
      <c r="E381" s="30"/>
      <c r="F381" s="30"/>
      <c r="G381" s="30"/>
      <c r="H381" s="30"/>
      <c r="I381" s="30"/>
      <c r="J381" s="30"/>
      <c r="K381" s="30"/>
      <c r="L381" s="30"/>
      <c r="M381" s="30"/>
      <c r="N381" s="30"/>
      <c r="O381" s="30"/>
      <c r="P381" s="30"/>
      <c r="Q381" s="30"/>
      <c r="R381" s="30"/>
      <c r="S381" s="30"/>
      <c r="T381" s="30"/>
      <c r="U381" s="30"/>
      <c r="V381" s="30"/>
      <c r="W381" s="30"/>
      <c r="X381" s="30"/>
      <c r="Y381" s="30"/>
      <c r="Z381" s="30"/>
    </row>
    <row r="382" spans="1:26" ht="21" customHeight="1" x14ac:dyDescent="0.85">
      <c r="A382" s="30"/>
      <c r="B382" s="30"/>
      <c r="C382" s="30"/>
      <c r="D382" s="30"/>
      <c r="E382" s="30"/>
      <c r="F382" s="30"/>
      <c r="G382" s="30"/>
      <c r="H382" s="30"/>
      <c r="I382" s="30"/>
      <c r="J382" s="30"/>
      <c r="K382" s="30"/>
      <c r="L382" s="30"/>
      <c r="M382" s="30"/>
      <c r="N382" s="30"/>
      <c r="O382" s="30"/>
      <c r="P382" s="30"/>
      <c r="Q382" s="30"/>
      <c r="R382" s="30"/>
      <c r="S382" s="30"/>
      <c r="T382" s="30"/>
      <c r="U382" s="30"/>
      <c r="V382" s="30"/>
      <c r="W382" s="30"/>
      <c r="X382" s="30"/>
      <c r="Y382" s="30"/>
      <c r="Z382" s="30"/>
    </row>
    <row r="383" spans="1:26" ht="21" customHeight="1" x14ac:dyDescent="0.85">
      <c r="A383" s="30"/>
      <c r="B383" s="30"/>
      <c r="C383" s="30"/>
      <c r="D383" s="30"/>
      <c r="E383" s="30"/>
      <c r="F383" s="30"/>
      <c r="G383" s="30"/>
      <c r="H383" s="30"/>
      <c r="I383" s="30"/>
      <c r="J383" s="30"/>
      <c r="K383" s="30"/>
      <c r="L383" s="30"/>
      <c r="M383" s="30"/>
      <c r="N383" s="30"/>
      <c r="O383" s="30"/>
      <c r="P383" s="30"/>
      <c r="Q383" s="30"/>
      <c r="R383" s="30"/>
      <c r="S383" s="30"/>
      <c r="T383" s="30"/>
      <c r="U383" s="30"/>
      <c r="V383" s="30"/>
      <c r="W383" s="30"/>
      <c r="X383" s="30"/>
      <c r="Y383" s="30"/>
      <c r="Z383" s="30"/>
    </row>
    <row r="384" spans="1:26" ht="21" customHeight="1" x14ac:dyDescent="0.85">
      <c r="A384" s="30"/>
      <c r="B384" s="30"/>
      <c r="C384" s="30"/>
      <c r="D384" s="30"/>
      <c r="E384" s="30"/>
      <c r="F384" s="30"/>
      <c r="G384" s="30"/>
      <c r="H384" s="30"/>
      <c r="I384" s="30"/>
      <c r="J384" s="30"/>
      <c r="K384" s="30"/>
      <c r="L384" s="30"/>
      <c r="M384" s="30"/>
      <c r="N384" s="30"/>
      <c r="O384" s="30"/>
      <c r="P384" s="30"/>
      <c r="Q384" s="30"/>
      <c r="R384" s="30"/>
      <c r="S384" s="30"/>
      <c r="T384" s="30"/>
      <c r="U384" s="30"/>
      <c r="V384" s="30"/>
      <c r="W384" s="30"/>
      <c r="X384" s="30"/>
      <c r="Y384" s="30"/>
      <c r="Z384" s="30"/>
    </row>
    <row r="385" spans="1:26" ht="21" customHeight="1" x14ac:dyDescent="0.85">
      <c r="A385" s="30"/>
      <c r="B385" s="30"/>
      <c r="C385" s="30"/>
      <c r="D385" s="30"/>
      <c r="E385" s="30"/>
      <c r="F385" s="30"/>
      <c r="G385" s="30"/>
      <c r="H385" s="30"/>
      <c r="I385" s="30"/>
      <c r="J385" s="30"/>
      <c r="K385" s="30"/>
      <c r="L385" s="30"/>
      <c r="M385" s="30"/>
      <c r="N385" s="30"/>
      <c r="O385" s="30"/>
      <c r="P385" s="30"/>
      <c r="Q385" s="30"/>
      <c r="R385" s="30"/>
      <c r="S385" s="30"/>
      <c r="T385" s="30"/>
      <c r="U385" s="30"/>
      <c r="V385" s="30"/>
      <c r="W385" s="30"/>
      <c r="X385" s="30"/>
      <c r="Y385" s="30"/>
      <c r="Z385" s="30"/>
    </row>
    <row r="386" spans="1:26" ht="21" customHeight="1" x14ac:dyDescent="0.85">
      <c r="A386" s="30"/>
      <c r="B386" s="30"/>
      <c r="C386" s="30"/>
      <c r="D386" s="30"/>
      <c r="E386" s="30"/>
      <c r="F386" s="30"/>
      <c r="G386" s="30"/>
      <c r="H386" s="30"/>
      <c r="I386" s="30"/>
      <c r="J386" s="30"/>
      <c r="K386" s="30"/>
      <c r="L386" s="30"/>
      <c r="M386" s="30"/>
      <c r="N386" s="30"/>
      <c r="O386" s="30"/>
      <c r="P386" s="30"/>
      <c r="Q386" s="30"/>
      <c r="R386" s="30"/>
      <c r="S386" s="30"/>
      <c r="T386" s="30"/>
      <c r="U386" s="30"/>
      <c r="V386" s="30"/>
      <c r="W386" s="30"/>
      <c r="X386" s="30"/>
      <c r="Y386" s="30"/>
      <c r="Z386" s="30"/>
    </row>
    <row r="387" spans="1:26" ht="21" customHeight="1" x14ac:dyDescent="0.85">
      <c r="A387" s="30"/>
      <c r="B387" s="30"/>
      <c r="C387" s="30"/>
      <c r="D387" s="30"/>
      <c r="E387" s="30"/>
      <c r="F387" s="30"/>
      <c r="G387" s="30"/>
      <c r="H387" s="30"/>
      <c r="I387" s="30"/>
      <c r="J387" s="30"/>
      <c r="K387" s="30"/>
      <c r="L387" s="30"/>
      <c r="M387" s="30"/>
      <c r="N387" s="30"/>
      <c r="O387" s="30"/>
      <c r="P387" s="30"/>
      <c r="Q387" s="30"/>
      <c r="R387" s="30"/>
      <c r="S387" s="30"/>
      <c r="T387" s="30"/>
      <c r="U387" s="30"/>
      <c r="V387" s="30"/>
      <c r="W387" s="30"/>
      <c r="X387" s="30"/>
      <c r="Y387" s="30"/>
      <c r="Z387" s="30"/>
    </row>
    <row r="388" spans="1:26" ht="21" customHeight="1" x14ac:dyDescent="0.85">
      <c r="A388" s="30"/>
      <c r="B388" s="30"/>
      <c r="C388" s="30"/>
      <c r="D388" s="30"/>
      <c r="E388" s="30"/>
      <c r="F388" s="30"/>
      <c r="G388" s="30"/>
      <c r="H388" s="30"/>
      <c r="I388" s="30"/>
      <c r="J388" s="30"/>
      <c r="K388" s="30"/>
      <c r="L388" s="30"/>
      <c r="M388" s="30"/>
      <c r="N388" s="30"/>
      <c r="O388" s="30"/>
      <c r="P388" s="30"/>
      <c r="Q388" s="30"/>
      <c r="R388" s="30"/>
      <c r="S388" s="30"/>
      <c r="T388" s="30"/>
      <c r="U388" s="30"/>
      <c r="V388" s="30"/>
      <c r="W388" s="30"/>
      <c r="X388" s="30"/>
      <c r="Y388" s="30"/>
      <c r="Z388" s="30"/>
    </row>
    <row r="389" spans="1:26" ht="21" customHeight="1" x14ac:dyDescent="0.85">
      <c r="A389" s="30"/>
      <c r="B389" s="30"/>
      <c r="C389" s="30"/>
      <c r="D389" s="30"/>
      <c r="E389" s="30"/>
      <c r="F389" s="30"/>
      <c r="G389" s="30"/>
      <c r="H389" s="30"/>
      <c r="I389" s="30"/>
      <c r="J389" s="30"/>
      <c r="K389" s="30"/>
      <c r="L389" s="30"/>
      <c r="M389" s="30"/>
      <c r="N389" s="30"/>
      <c r="O389" s="30"/>
      <c r="P389" s="30"/>
      <c r="Q389" s="30"/>
      <c r="R389" s="30"/>
      <c r="S389" s="30"/>
      <c r="T389" s="30"/>
      <c r="U389" s="30"/>
      <c r="V389" s="30"/>
      <c r="W389" s="30"/>
      <c r="X389" s="30"/>
      <c r="Y389" s="30"/>
      <c r="Z389" s="30"/>
    </row>
    <row r="390" spans="1:26" ht="21" customHeight="1" x14ac:dyDescent="0.85">
      <c r="A390" s="30"/>
      <c r="B390" s="30"/>
      <c r="C390" s="30"/>
      <c r="D390" s="30"/>
      <c r="E390" s="30"/>
      <c r="F390" s="30"/>
      <c r="G390" s="30"/>
      <c r="H390" s="30"/>
      <c r="I390" s="30"/>
      <c r="J390" s="30"/>
      <c r="K390" s="30"/>
      <c r="L390" s="30"/>
      <c r="M390" s="30"/>
      <c r="N390" s="30"/>
      <c r="O390" s="30"/>
      <c r="P390" s="30"/>
      <c r="Q390" s="30"/>
      <c r="R390" s="30"/>
      <c r="S390" s="30"/>
      <c r="T390" s="30"/>
      <c r="U390" s="30"/>
      <c r="V390" s="30"/>
      <c r="W390" s="30"/>
      <c r="X390" s="30"/>
      <c r="Y390" s="30"/>
      <c r="Z390" s="30"/>
    </row>
    <row r="391" spans="1:26" ht="21" customHeight="1" x14ac:dyDescent="0.85">
      <c r="A391" s="30"/>
      <c r="B391" s="30"/>
      <c r="C391" s="30"/>
      <c r="D391" s="30"/>
      <c r="E391" s="30"/>
      <c r="F391" s="30"/>
      <c r="G391" s="30"/>
      <c r="H391" s="30"/>
      <c r="I391" s="30"/>
      <c r="J391" s="30"/>
      <c r="K391" s="30"/>
      <c r="L391" s="30"/>
      <c r="M391" s="30"/>
      <c r="N391" s="30"/>
      <c r="O391" s="30"/>
      <c r="P391" s="30"/>
      <c r="Q391" s="30"/>
      <c r="R391" s="30"/>
      <c r="S391" s="30"/>
      <c r="T391" s="30"/>
      <c r="U391" s="30"/>
      <c r="V391" s="30"/>
      <c r="W391" s="30"/>
      <c r="X391" s="30"/>
      <c r="Y391" s="30"/>
      <c r="Z391" s="30"/>
    </row>
    <row r="392" spans="1:26" ht="21" customHeight="1" x14ac:dyDescent="0.85">
      <c r="A392" s="30"/>
      <c r="B392" s="30"/>
      <c r="C392" s="30"/>
      <c r="D392" s="30"/>
      <c r="E392" s="30"/>
      <c r="F392" s="30"/>
      <c r="G392" s="30"/>
      <c r="H392" s="30"/>
      <c r="I392" s="30"/>
      <c r="J392" s="30"/>
      <c r="K392" s="30"/>
      <c r="L392" s="30"/>
      <c r="M392" s="30"/>
      <c r="N392" s="30"/>
      <c r="O392" s="30"/>
      <c r="P392" s="30"/>
      <c r="Q392" s="30"/>
      <c r="R392" s="30"/>
      <c r="S392" s="30"/>
      <c r="T392" s="30"/>
      <c r="U392" s="30"/>
      <c r="V392" s="30"/>
      <c r="W392" s="30"/>
      <c r="X392" s="30"/>
      <c r="Y392" s="30"/>
      <c r="Z392" s="30"/>
    </row>
    <row r="393" spans="1:26" ht="21" customHeight="1" x14ac:dyDescent="0.85">
      <c r="A393" s="30"/>
      <c r="B393" s="30"/>
      <c r="C393" s="30"/>
      <c r="D393" s="30"/>
      <c r="E393" s="30"/>
      <c r="F393" s="30"/>
      <c r="G393" s="30"/>
      <c r="H393" s="30"/>
      <c r="I393" s="30"/>
      <c r="J393" s="30"/>
      <c r="K393" s="30"/>
      <c r="L393" s="30"/>
      <c r="M393" s="30"/>
      <c r="N393" s="30"/>
      <c r="O393" s="30"/>
      <c r="P393" s="30"/>
      <c r="Q393" s="30"/>
      <c r="R393" s="30"/>
      <c r="S393" s="30"/>
      <c r="T393" s="30"/>
      <c r="U393" s="30"/>
      <c r="V393" s="30"/>
      <c r="W393" s="30"/>
      <c r="X393" s="30"/>
      <c r="Y393" s="30"/>
      <c r="Z393" s="30"/>
    </row>
    <row r="394" spans="1:26" ht="21" customHeight="1" x14ac:dyDescent="0.85">
      <c r="A394" s="30"/>
      <c r="B394" s="30"/>
      <c r="C394" s="30"/>
      <c r="D394" s="30"/>
      <c r="E394" s="30"/>
      <c r="F394" s="30"/>
      <c r="G394" s="30"/>
      <c r="H394" s="30"/>
      <c r="I394" s="30"/>
      <c r="J394" s="30"/>
      <c r="K394" s="30"/>
      <c r="L394" s="30"/>
      <c r="M394" s="30"/>
      <c r="N394" s="30"/>
      <c r="O394" s="30"/>
      <c r="P394" s="30"/>
      <c r="Q394" s="30"/>
      <c r="R394" s="30"/>
      <c r="S394" s="30"/>
      <c r="T394" s="30"/>
      <c r="U394" s="30"/>
      <c r="V394" s="30"/>
      <c r="W394" s="30"/>
      <c r="X394" s="30"/>
      <c r="Y394" s="30"/>
      <c r="Z394" s="30"/>
    </row>
    <row r="395" spans="1:26" ht="21" customHeight="1" x14ac:dyDescent="0.85">
      <c r="A395" s="30"/>
      <c r="B395" s="30"/>
      <c r="C395" s="30"/>
      <c r="D395" s="30"/>
      <c r="E395" s="30"/>
      <c r="F395" s="30"/>
      <c r="G395" s="30"/>
      <c r="H395" s="30"/>
      <c r="I395" s="30"/>
      <c r="J395" s="30"/>
      <c r="K395" s="30"/>
      <c r="L395" s="30"/>
      <c r="M395" s="30"/>
      <c r="N395" s="30"/>
      <c r="O395" s="30"/>
      <c r="P395" s="30"/>
      <c r="Q395" s="30"/>
      <c r="R395" s="30"/>
      <c r="S395" s="30"/>
      <c r="T395" s="30"/>
      <c r="U395" s="30"/>
      <c r="V395" s="30"/>
      <c r="W395" s="30"/>
      <c r="X395" s="30"/>
      <c r="Y395" s="30"/>
      <c r="Z395" s="30"/>
    </row>
    <row r="396" spans="1:26" ht="21" customHeight="1" x14ac:dyDescent="0.85">
      <c r="A396" s="30"/>
      <c r="B396" s="30"/>
      <c r="C396" s="30"/>
      <c r="D396" s="30"/>
      <c r="E396" s="30"/>
      <c r="F396" s="30"/>
      <c r="G396" s="30"/>
      <c r="H396" s="30"/>
      <c r="I396" s="30"/>
      <c r="J396" s="30"/>
      <c r="K396" s="30"/>
      <c r="L396" s="30"/>
      <c r="M396" s="30"/>
      <c r="N396" s="30"/>
      <c r="O396" s="30"/>
      <c r="P396" s="30"/>
      <c r="Q396" s="30"/>
      <c r="R396" s="30"/>
      <c r="S396" s="30"/>
      <c r="T396" s="30"/>
      <c r="U396" s="30"/>
      <c r="V396" s="30"/>
      <c r="W396" s="30"/>
      <c r="X396" s="30"/>
      <c r="Y396" s="30"/>
      <c r="Z396" s="30"/>
    </row>
    <row r="397" spans="1:26" ht="21" customHeight="1" x14ac:dyDescent="0.85">
      <c r="A397" s="30"/>
      <c r="B397" s="30"/>
      <c r="C397" s="30"/>
      <c r="D397" s="30"/>
      <c r="E397" s="30"/>
      <c r="F397" s="30"/>
      <c r="G397" s="30"/>
      <c r="H397" s="30"/>
      <c r="I397" s="30"/>
      <c r="J397" s="30"/>
      <c r="K397" s="30"/>
      <c r="L397" s="30"/>
      <c r="M397" s="30"/>
      <c r="N397" s="30"/>
      <c r="O397" s="30"/>
      <c r="P397" s="30"/>
      <c r="Q397" s="30"/>
      <c r="R397" s="30"/>
      <c r="S397" s="30"/>
      <c r="T397" s="30"/>
      <c r="U397" s="30"/>
      <c r="V397" s="30"/>
      <c r="W397" s="30"/>
      <c r="X397" s="30"/>
      <c r="Y397" s="30"/>
      <c r="Z397" s="30"/>
    </row>
    <row r="398" spans="1:26" ht="21" customHeight="1" x14ac:dyDescent="0.85">
      <c r="A398" s="30"/>
      <c r="B398" s="30"/>
      <c r="C398" s="30"/>
      <c r="D398" s="30"/>
      <c r="E398" s="30"/>
      <c r="F398" s="30"/>
      <c r="G398" s="30"/>
      <c r="H398" s="30"/>
      <c r="I398" s="30"/>
      <c r="J398" s="30"/>
      <c r="K398" s="30"/>
      <c r="L398" s="30"/>
      <c r="M398" s="30"/>
      <c r="N398" s="30"/>
      <c r="O398" s="30"/>
      <c r="P398" s="30"/>
      <c r="Q398" s="30"/>
      <c r="R398" s="30"/>
      <c r="S398" s="30"/>
      <c r="T398" s="30"/>
      <c r="U398" s="30"/>
      <c r="V398" s="30"/>
      <c r="W398" s="30"/>
      <c r="X398" s="30"/>
      <c r="Y398" s="30"/>
      <c r="Z398" s="30"/>
    </row>
    <row r="399" spans="1:26" ht="21" customHeight="1" x14ac:dyDescent="0.85">
      <c r="A399" s="30"/>
      <c r="B399" s="30"/>
      <c r="C399" s="30"/>
      <c r="D399" s="30"/>
      <c r="E399" s="30"/>
      <c r="F399" s="30"/>
      <c r="G399" s="30"/>
      <c r="H399" s="30"/>
      <c r="I399" s="30"/>
      <c r="J399" s="30"/>
      <c r="K399" s="30"/>
      <c r="L399" s="30"/>
      <c r="M399" s="30"/>
      <c r="N399" s="30"/>
      <c r="O399" s="30"/>
      <c r="P399" s="30"/>
      <c r="Q399" s="30"/>
      <c r="R399" s="30"/>
      <c r="S399" s="30"/>
      <c r="T399" s="30"/>
      <c r="U399" s="30"/>
      <c r="V399" s="30"/>
      <c r="W399" s="30"/>
      <c r="X399" s="30"/>
      <c r="Y399" s="30"/>
      <c r="Z399" s="30"/>
    </row>
    <row r="400" spans="1:26" ht="21" customHeight="1" x14ac:dyDescent="0.85">
      <c r="A400" s="30"/>
      <c r="B400" s="30"/>
      <c r="C400" s="30"/>
      <c r="D400" s="30"/>
      <c r="E400" s="30"/>
      <c r="F400" s="30"/>
      <c r="G400" s="30"/>
      <c r="H400" s="30"/>
      <c r="I400" s="30"/>
      <c r="J400" s="30"/>
      <c r="K400" s="30"/>
      <c r="L400" s="30"/>
      <c r="M400" s="30"/>
      <c r="N400" s="30"/>
      <c r="O400" s="30"/>
      <c r="P400" s="30"/>
      <c r="Q400" s="30"/>
      <c r="R400" s="30"/>
      <c r="S400" s="30"/>
      <c r="T400" s="30"/>
      <c r="U400" s="30"/>
      <c r="V400" s="30"/>
      <c r="W400" s="30"/>
      <c r="X400" s="30"/>
      <c r="Y400" s="30"/>
      <c r="Z400" s="30"/>
    </row>
    <row r="401" spans="1:26" ht="21" customHeight="1" x14ac:dyDescent="0.85">
      <c r="A401" s="30"/>
      <c r="B401" s="30"/>
      <c r="C401" s="30"/>
      <c r="D401" s="30"/>
      <c r="E401" s="30"/>
      <c r="F401" s="30"/>
      <c r="G401" s="30"/>
      <c r="H401" s="30"/>
      <c r="I401" s="30"/>
      <c r="J401" s="30"/>
      <c r="K401" s="30"/>
      <c r="L401" s="30"/>
      <c r="M401" s="30"/>
      <c r="N401" s="30"/>
      <c r="O401" s="30"/>
      <c r="P401" s="30"/>
      <c r="Q401" s="30"/>
      <c r="R401" s="30"/>
      <c r="S401" s="30"/>
      <c r="T401" s="30"/>
      <c r="U401" s="30"/>
      <c r="V401" s="30"/>
      <c r="W401" s="30"/>
      <c r="X401" s="30"/>
      <c r="Y401" s="30"/>
      <c r="Z401" s="30"/>
    </row>
    <row r="402" spans="1:26" ht="21" customHeight="1" x14ac:dyDescent="0.85">
      <c r="A402" s="30"/>
      <c r="B402" s="30"/>
      <c r="C402" s="30"/>
      <c r="D402" s="30"/>
      <c r="E402" s="30"/>
      <c r="F402" s="30"/>
      <c r="G402" s="30"/>
      <c r="H402" s="30"/>
      <c r="I402" s="30"/>
      <c r="J402" s="30"/>
      <c r="K402" s="30"/>
      <c r="L402" s="30"/>
      <c r="M402" s="30"/>
      <c r="N402" s="30"/>
      <c r="O402" s="30"/>
      <c r="P402" s="30"/>
      <c r="Q402" s="30"/>
      <c r="R402" s="30"/>
      <c r="S402" s="30"/>
      <c r="T402" s="30"/>
      <c r="U402" s="30"/>
      <c r="V402" s="30"/>
      <c r="W402" s="30"/>
      <c r="X402" s="30"/>
      <c r="Y402" s="30"/>
      <c r="Z402" s="30"/>
    </row>
    <row r="403" spans="1:26" ht="21" customHeight="1" x14ac:dyDescent="0.85">
      <c r="A403" s="30"/>
      <c r="B403" s="30"/>
      <c r="C403" s="30"/>
      <c r="D403" s="30"/>
      <c r="E403" s="30"/>
      <c r="F403" s="30"/>
      <c r="G403" s="30"/>
      <c r="H403" s="30"/>
      <c r="I403" s="30"/>
      <c r="J403" s="30"/>
      <c r="K403" s="30"/>
      <c r="L403" s="30"/>
      <c r="M403" s="30"/>
      <c r="N403" s="30"/>
      <c r="O403" s="30"/>
      <c r="P403" s="30"/>
      <c r="Q403" s="30"/>
      <c r="R403" s="30"/>
      <c r="S403" s="30"/>
      <c r="T403" s="30"/>
      <c r="U403" s="30"/>
      <c r="V403" s="30"/>
      <c r="W403" s="30"/>
      <c r="X403" s="30"/>
      <c r="Y403" s="30"/>
      <c r="Z403" s="30"/>
    </row>
    <row r="404" spans="1:26" ht="21" customHeight="1" x14ac:dyDescent="0.85">
      <c r="A404" s="30"/>
      <c r="B404" s="30"/>
      <c r="C404" s="30"/>
      <c r="D404" s="30"/>
      <c r="E404" s="30"/>
      <c r="F404" s="30"/>
      <c r="G404" s="30"/>
      <c r="H404" s="30"/>
      <c r="I404" s="30"/>
      <c r="J404" s="30"/>
      <c r="K404" s="30"/>
      <c r="L404" s="30"/>
      <c r="M404" s="30"/>
      <c r="N404" s="30"/>
      <c r="O404" s="30"/>
      <c r="P404" s="30"/>
      <c r="Q404" s="30"/>
      <c r="R404" s="30"/>
      <c r="S404" s="30"/>
      <c r="T404" s="30"/>
      <c r="U404" s="30"/>
      <c r="V404" s="30"/>
      <c r="W404" s="30"/>
      <c r="X404" s="30"/>
      <c r="Y404" s="30"/>
      <c r="Z404" s="30"/>
    </row>
    <row r="405" spans="1:26" ht="21" customHeight="1" x14ac:dyDescent="0.85">
      <c r="A405" s="30"/>
      <c r="B405" s="30"/>
      <c r="C405" s="30"/>
      <c r="D405" s="30"/>
      <c r="E405" s="30"/>
      <c r="F405" s="30"/>
      <c r="G405" s="30"/>
      <c r="H405" s="30"/>
      <c r="I405" s="30"/>
      <c r="J405" s="30"/>
      <c r="K405" s="30"/>
      <c r="L405" s="30"/>
      <c r="M405" s="30"/>
      <c r="N405" s="30"/>
      <c r="O405" s="30"/>
      <c r="P405" s="30"/>
      <c r="Q405" s="30"/>
      <c r="R405" s="30"/>
      <c r="S405" s="30"/>
      <c r="T405" s="30"/>
      <c r="U405" s="30"/>
      <c r="V405" s="30"/>
      <c r="W405" s="30"/>
      <c r="X405" s="30"/>
      <c r="Y405" s="30"/>
      <c r="Z405" s="30"/>
    </row>
    <row r="406" spans="1:26" ht="21" customHeight="1" x14ac:dyDescent="0.85">
      <c r="A406" s="30"/>
      <c r="B406" s="30"/>
      <c r="C406" s="30"/>
      <c r="D406" s="30"/>
      <c r="E406" s="30"/>
      <c r="F406" s="30"/>
      <c r="G406" s="30"/>
      <c r="H406" s="30"/>
      <c r="I406" s="30"/>
      <c r="J406" s="30"/>
      <c r="K406" s="30"/>
      <c r="L406" s="30"/>
      <c r="M406" s="30"/>
      <c r="N406" s="30"/>
      <c r="O406" s="30"/>
      <c r="P406" s="30"/>
      <c r="Q406" s="30"/>
      <c r="R406" s="30"/>
      <c r="S406" s="30"/>
      <c r="T406" s="30"/>
      <c r="U406" s="30"/>
      <c r="V406" s="30"/>
      <c r="W406" s="30"/>
      <c r="X406" s="30"/>
      <c r="Y406" s="30"/>
      <c r="Z406" s="30"/>
    </row>
    <row r="407" spans="1:26" ht="21" customHeight="1" x14ac:dyDescent="0.85">
      <c r="A407" s="30"/>
      <c r="B407" s="30"/>
      <c r="C407" s="30"/>
      <c r="D407" s="30"/>
      <c r="E407" s="30"/>
      <c r="F407" s="30"/>
      <c r="G407" s="30"/>
      <c r="H407" s="30"/>
      <c r="I407" s="30"/>
      <c r="J407" s="30"/>
      <c r="K407" s="30"/>
      <c r="L407" s="30"/>
      <c r="M407" s="30"/>
      <c r="N407" s="30"/>
      <c r="O407" s="30"/>
      <c r="P407" s="30"/>
      <c r="Q407" s="30"/>
      <c r="R407" s="30"/>
      <c r="S407" s="30"/>
      <c r="T407" s="30"/>
      <c r="U407" s="30"/>
      <c r="V407" s="30"/>
      <c r="W407" s="30"/>
      <c r="X407" s="30"/>
      <c r="Y407" s="30"/>
      <c r="Z407" s="30"/>
    </row>
    <row r="408" spans="1:26" ht="21" customHeight="1" x14ac:dyDescent="0.85">
      <c r="A408" s="30"/>
      <c r="B408" s="30"/>
      <c r="C408" s="30"/>
      <c r="D408" s="30"/>
      <c r="E408" s="30"/>
      <c r="F408" s="30"/>
      <c r="G408" s="30"/>
      <c r="H408" s="30"/>
      <c r="I408" s="30"/>
      <c r="J408" s="30"/>
      <c r="K408" s="30"/>
      <c r="L408" s="30"/>
      <c r="M408" s="30"/>
      <c r="N408" s="30"/>
      <c r="O408" s="30"/>
      <c r="P408" s="30"/>
      <c r="Q408" s="30"/>
      <c r="R408" s="30"/>
      <c r="S408" s="30"/>
      <c r="T408" s="30"/>
      <c r="U408" s="30"/>
      <c r="V408" s="30"/>
      <c r="W408" s="30"/>
      <c r="X408" s="30"/>
      <c r="Y408" s="30"/>
      <c r="Z408" s="30"/>
    </row>
    <row r="409" spans="1:26" ht="21" customHeight="1" x14ac:dyDescent="0.85">
      <c r="A409" s="30"/>
      <c r="B409" s="30"/>
      <c r="C409" s="30"/>
      <c r="D409" s="30"/>
      <c r="E409" s="30"/>
      <c r="F409" s="30"/>
      <c r="G409" s="30"/>
      <c r="H409" s="30"/>
      <c r="I409" s="30"/>
      <c r="J409" s="30"/>
      <c r="K409" s="30"/>
      <c r="L409" s="30"/>
      <c r="M409" s="30"/>
      <c r="N409" s="30"/>
      <c r="O409" s="30"/>
      <c r="P409" s="30"/>
      <c r="Q409" s="30"/>
      <c r="R409" s="30"/>
      <c r="S409" s="30"/>
      <c r="T409" s="30"/>
      <c r="U409" s="30"/>
      <c r="V409" s="30"/>
      <c r="W409" s="30"/>
      <c r="X409" s="30"/>
      <c r="Y409" s="30"/>
      <c r="Z409" s="30"/>
    </row>
    <row r="410" spans="1:26" ht="21" customHeight="1" x14ac:dyDescent="0.85">
      <c r="A410" s="30"/>
      <c r="B410" s="30"/>
      <c r="C410" s="30"/>
      <c r="D410" s="30"/>
      <c r="E410" s="30"/>
      <c r="F410" s="30"/>
      <c r="G410" s="30"/>
      <c r="H410" s="30"/>
      <c r="I410" s="30"/>
      <c r="J410" s="30"/>
      <c r="K410" s="30"/>
      <c r="L410" s="30"/>
      <c r="M410" s="30"/>
      <c r="N410" s="30"/>
      <c r="O410" s="30"/>
      <c r="P410" s="30"/>
      <c r="Q410" s="30"/>
      <c r="R410" s="30"/>
      <c r="S410" s="30"/>
      <c r="T410" s="30"/>
      <c r="U410" s="30"/>
      <c r="V410" s="30"/>
      <c r="W410" s="30"/>
      <c r="X410" s="30"/>
      <c r="Y410" s="30"/>
      <c r="Z410" s="30"/>
    </row>
    <row r="411" spans="1:26" ht="21" customHeight="1" x14ac:dyDescent="0.85">
      <c r="A411" s="30"/>
      <c r="B411" s="30"/>
      <c r="C411" s="30"/>
      <c r="D411" s="30"/>
      <c r="E411" s="30"/>
      <c r="F411" s="30"/>
      <c r="G411" s="30"/>
      <c r="H411" s="30"/>
      <c r="I411" s="30"/>
      <c r="J411" s="30"/>
      <c r="K411" s="30"/>
      <c r="L411" s="30"/>
      <c r="M411" s="30"/>
      <c r="N411" s="30"/>
      <c r="O411" s="30"/>
      <c r="P411" s="30"/>
      <c r="Q411" s="30"/>
      <c r="R411" s="30"/>
      <c r="S411" s="30"/>
      <c r="T411" s="30"/>
      <c r="U411" s="30"/>
      <c r="V411" s="30"/>
      <c r="W411" s="30"/>
      <c r="X411" s="30"/>
      <c r="Y411" s="30"/>
      <c r="Z411" s="30"/>
    </row>
    <row r="412" spans="1:26" ht="21" customHeight="1" x14ac:dyDescent="0.85">
      <c r="A412" s="30"/>
      <c r="B412" s="30"/>
      <c r="C412" s="30"/>
      <c r="D412" s="30"/>
      <c r="E412" s="30"/>
      <c r="F412" s="30"/>
      <c r="G412" s="30"/>
      <c r="H412" s="30"/>
      <c r="I412" s="30"/>
      <c r="J412" s="30"/>
      <c r="K412" s="30"/>
      <c r="L412" s="30"/>
      <c r="M412" s="30"/>
      <c r="N412" s="30"/>
      <c r="O412" s="30"/>
      <c r="P412" s="30"/>
      <c r="Q412" s="30"/>
      <c r="R412" s="30"/>
      <c r="S412" s="30"/>
      <c r="T412" s="30"/>
      <c r="U412" s="30"/>
      <c r="V412" s="30"/>
      <c r="W412" s="30"/>
      <c r="X412" s="30"/>
      <c r="Y412" s="30"/>
      <c r="Z412" s="30"/>
    </row>
    <row r="413" spans="1:26" ht="21" customHeight="1" x14ac:dyDescent="0.85">
      <c r="A413" s="30"/>
      <c r="B413" s="30"/>
      <c r="C413" s="30"/>
      <c r="D413" s="30"/>
      <c r="E413" s="30"/>
      <c r="F413" s="30"/>
      <c r="G413" s="30"/>
      <c r="H413" s="30"/>
      <c r="I413" s="30"/>
      <c r="J413" s="30"/>
      <c r="K413" s="30"/>
      <c r="L413" s="30"/>
      <c r="M413" s="30"/>
      <c r="N413" s="30"/>
      <c r="O413" s="30"/>
      <c r="P413" s="30"/>
      <c r="Q413" s="30"/>
      <c r="R413" s="30"/>
      <c r="S413" s="30"/>
      <c r="T413" s="30"/>
      <c r="U413" s="30"/>
      <c r="V413" s="30"/>
      <c r="W413" s="30"/>
      <c r="X413" s="30"/>
      <c r="Y413" s="30"/>
      <c r="Z413" s="30"/>
    </row>
    <row r="414" spans="1:26" ht="21" customHeight="1" x14ac:dyDescent="0.85">
      <c r="A414" s="30"/>
      <c r="B414" s="30"/>
      <c r="C414" s="30"/>
      <c r="D414" s="30"/>
      <c r="E414" s="30"/>
      <c r="F414" s="30"/>
      <c r="G414" s="30"/>
      <c r="H414" s="30"/>
      <c r="I414" s="30"/>
      <c r="J414" s="30"/>
      <c r="K414" s="30"/>
      <c r="L414" s="30"/>
      <c r="M414" s="30"/>
      <c r="N414" s="30"/>
      <c r="O414" s="30"/>
      <c r="P414" s="30"/>
      <c r="Q414" s="30"/>
      <c r="R414" s="30"/>
      <c r="S414" s="30"/>
      <c r="T414" s="30"/>
      <c r="U414" s="30"/>
      <c r="V414" s="30"/>
      <c r="W414" s="30"/>
      <c r="X414" s="30"/>
      <c r="Y414" s="30"/>
      <c r="Z414" s="30"/>
    </row>
    <row r="415" spans="1:26" ht="21" customHeight="1" x14ac:dyDescent="0.85">
      <c r="A415" s="30"/>
      <c r="B415" s="30"/>
      <c r="C415" s="30"/>
      <c r="D415" s="30"/>
      <c r="E415" s="30"/>
      <c r="F415" s="30"/>
      <c r="G415" s="30"/>
      <c r="H415" s="30"/>
      <c r="I415" s="30"/>
      <c r="J415" s="30"/>
      <c r="K415" s="30"/>
      <c r="L415" s="30"/>
      <c r="M415" s="30"/>
      <c r="N415" s="30"/>
      <c r="O415" s="30"/>
      <c r="P415" s="30"/>
      <c r="Q415" s="30"/>
      <c r="R415" s="30"/>
      <c r="S415" s="30"/>
      <c r="T415" s="30"/>
      <c r="U415" s="30"/>
      <c r="V415" s="30"/>
      <c r="W415" s="30"/>
      <c r="X415" s="30"/>
      <c r="Y415" s="30"/>
      <c r="Z415" s="30"/>
    </row>
    <row r="416" spans="1:26" ht="21" customHeight="1" x14ac:dyDescent="0.85">
      <c r="A416" s="30"/>
      <c r="B416" s="30"/>
      <c r="C416" s="30"/>
      <c r="D416" s="30"/>
      <c r="E416" s="30"/>
      <c r="F416" s="30"/>
      <c r="G416" s="30"/>
      <c r="H416" s="30"/>
      <c r="I416" s="30"/>
      <c r="J416" s="30"/>
      <c r="K416" s="30"/>
      <c r="L416" s="30"/>
      <c r="M416" s="30"/>
      <c r="N416" s="30"/>
      <c r="O416" s="30"/>
      <c r="P416" s="30"/>
      <c r="Q416" s="30"/>
      <c r="R416" s="30"/>
      <c r="S416" s="30"/>
      <c r="T416" s="30"/>
      <c r="U416" s="30"/>
      <c r="V416" s="30"/>
      <c r="W416" s="30"/>
      <c r="X416" s="30"/>
      <c r="Y416" s="30"/>
      <c r="Z416" s="30"/>
    </row>
    <row r="417" spans="1:26" ht="21" customHeight="1" x14ac:dyDescent="0.85">
      <c r="A417" s="30"/>
      <c r="B417" s="30"/>
      <c r="C417" s="30"/>
      <c r="D417" s="30"/>
      <c r="E417" s="30"/>
      <c r="F417" s="30"/>
      <c r="G417" s="30"/>
      <c r="H417" s="30"/>
      <c r="I417" s="30"/>
      <c r="J417" s="30"/>
      <c r="K417" s="30"/>
      <c r="L417" s="30"/>
      <c r="M417" s="30"/>
      <c r="N417" s="30"/>
      <c r="O417" s="30"/>
      <c r="P417" s="30"/>
      <c r="Q417" s="30"/>
      <c r="R417" s="30"/>
      <c r="S417" s="30"/>
      <c r="T417" s="30"/>
      <c r="U417" s="30"/>
      <c r="V417" s="30"/>
      <c r="W417" s="30"/>
      <c r="X417" s="30"/>
      <c r="Y417" s="30"/>
      <c r="Z417" s="30"/>
    </row>
    <row r="418" spans="1:26" ht="21" customHeight="1" x14ac:dyDescent="0.85">
      <c r="A418" s="30"/>
      <c r="B418" s="30"/>
      <c r="C418" s="30"/>
      <c r="D418" s="30"/>
      <c r="E418" s="30"/>
      <c r="F418" s="30"/>
      <c r="G418" s="30"/>
      <c r="H418" s="30"/>
      <c r="I418" s="30"/>
      <c r="J418" s="30"/>
      <c r="K418" s="30"/>
      <c r="L418" s="30"/>
      <c r="M418" s="30"/>
      <c r="N418" s="30"/>
      <c r="O418" s="30"/>
      <c r="P418" s="30"/>
      <c r="Q418" s="30"/>
      <c r="R418" s="30"/>
      <c r="S418" s="30"/>
      <c r="T418" s="30"/>
      <c r="U418" s="30"/>
      <c r="V418" s="30"/>
      <c r="W418" s="30"/>
      <c r="X418" s="30"/>
      <c r="Y418" s="30"/>
      <c r="Z418" s="30"/>
    </row>
    <row r="419" spans="1:26" ht="21" customHeight="1" x14ac:dyDescent="0.85">
      <c r="A419" s="30"/>
      <c r="B419" s="30"/>
      <c r="C419" s="30"/>
      <c r="D419" s="30"/>
      <c r="E419" s="30"/>
      <c r="F419" s="30"/>
      <c r="G419" s="30"/>
      <c r="H419" s="30"/>
      <c r="I419" s="30"/>
      <c r="J419" s="30"/>
      <c r="K419" s="30"/>
      <c r="L419" s="30"/>
      <c r="M419" s="30"/>
      <c r="N419" s="30"/>
      <c r="O419" s="30"/>
      <c r="P419" s="30"/>
      <c r="Q419" s="30"/>
      <c r="R419" s="30"/>
      <c r="S419" s="30"/>
      <c r="T419" s="30"/>
      <c r="U419" s="30"/>
      <c r="V419" s="30"/>
      <c r="W419" s="30"/>
      <c r="X419" s="30"/>
      <c r="Y419" s="30"/>
      <c r="Z419" s="30"/>
    </row>
    <row r="420" spans="1:26" ht="21" customHeight="1" x14ac:dyDescent="0.85">
      <c r="A420" s="30"/>
      <c r="B420" s="30"/>
      <c r="C420" s="30"/>
      <c r="D420" s="30"/>
      <c r="E420" s="30"/>
      <c r="F420" s="30"/>
      <c r="G420" s="30"/>
      <c r="H420" s="30"/>
      <c r="I420" s="30"/>
      <c r="J420" s="30"/>
      <c r="K420" s="30"/>
      <c r="L420" s="30"/>
      <c r="M420" s="30"/>
      <c r="N420" s="30"/>
      <c r="O420" s="30"/>
      <c r="P420" s="30"/>
      <c r="Q420" s="30"/>
      <c r="R420" s="30"/>
      <c r="S420" s="30"/>
      <c r="T420" s="30"/>
      <c r="U420" s="30"/>
      <c r="V420" s="30"/>
      <c r="W420" s="30"/>
      <c r="X420" s="30"/>
      <c r="Y420" s="30"/>
      <c r="Z420" s="30"/>
    </row>
    <row r="421" spans="1:26" ht="21" customHeight="1" x14ac:dyDescent="0.85">
      <c r="A421" s="30"/>
      <c r="B421" s="30"/>
      <c r="C421" s="30"/>
      <c r="D421" s="30"/>
      <c r="E421" s="30"/>
      <c r="F421" s="30"/>
      <c r="G421" s="30"/>
      <c r="H421" s="30"/>
      <c r="I421" s="30"/>
      <c r="J421" s="30"/>
      <c r="K421" s="30"/>
      <c r="L421" s="30"/>
      <c r="M421" s="30"/>
      <c r="N421" s="30"/>
      <c r="O421" s="30"/>
      <c r="P421" s="30"/>
      <c r="Q421" s="30"/>
      <c r="R421" s="30"/>
      <c r="S421" s="30"/>
      <c r="T421" s="30"/>
      <c r="U421" s="30"/>
      <c r="V421" s="30"/>
      <c r="W421" s="30"/>
      <c r="X421" s="30"/>
      <c r="Y421" s="30"/>
      <c r="Z421" s="30"/>
    </row>
    <row r="422" spans="1:26" ht="21" customHeight="1" x14ac:dyDescent="0.85">
      <c r="A422" s="30"/>
      <c r="B422" s="30"/>
      <c r="C422" s="30"/>
      <c r="D422" s="30"/>
      <c r="E422" s="30"/>
      <c r="F422" s="30"/>
      <c r="G422" s="30"/>
      <c r="H422" s="30"/>
      <c r="I422" s="30"/>
      <c r="J422" s="30"/>
      <c r="K422" s="30"/>
      <c r="L422" s="30"/>
      <c r="M422" s="30"/>
      <c r="N422" s="30"/>
      <c r="O422" s="30"/>
      <c r="P422" s="30"/>
      <c r="Q422" s="30"/>
      <c r="R422" s="30"/>
      <c r="S422" s="30"/>
      <c r="T422" s="30"/>
      <c r="U422" s="30"/>
      <c r="V422" s="30"/>
      <c r="W422" s="30"/>
      <c r="X422" s="30"/>
      <c r="Y422" s="30"/>
      <c r="Z422" s="30"/>
    </row>
    <row r="423" spans="1:26" ht="21" customHeight="1" x14ac:dyDescent="0.85">
      <c r="A423" s="30"/>
      <c r="B423" s="30"/>
      <c r="C423" s="30"/>
      <c r="D423" s="30"/>
      <c r="E423" s="30"/>
      <c r="F423" s="30"/>
      <c r="G423" s="30"/>
      <c r="H423" s="30"/>
      <c r="I423" s="30"/>
      <c r="J423" s="30"/>
      <c r="K423" s="30"/>
      <c r="L423" s="30"/>
      <c r="M423" s="30"/>
      <c r="N423" s="30"/>
      <c r="O423" s="30"/>
      <c r="P423" s="30"/>
      <c r="Q423" s="30"/>
      <c r="R423" s="30"/>
      <c r="S423" s="30"/>
      <c r="T423" s="30"/>
      <c r="U423" s="30"/>
      <c r="V423" s="30"/>
      <c r="W423" s="30"/>
      <c r="X423" s="30"/>
      <c r="Y423" s="30"/>
      <c r="Z423" s="30"/>
    </row>
    <row r="424" spans="1:26" ht="21" customHeight="1" x14ac:dyDescent="0.85">
      <c r="A424" s="30"/>
      <c r="B424" s="30"/>
      <c r="C424" s="30"/>
      <c r="D424" s="30"/>
      <c r="E424" s="30"/>
      <c r="F424" s="30"/>
      <c r="G424" s="30"/>
      <c r="H424" s="30"/>
      <c r="I424" s="30"/>
      <c r="J424" s="30"/>
      <c r="K424" s="30"/>
      <c r="L424" s="30"/>
      <c r="M424" s="30"/>
      <c r="N424" s="30"/>
      <c r="O424" s="30"/>
      <c r="P424" s="30"/>
      <c r="Q424" s="30"/>
      <c r="R424" s="30"/>
      <c r="S424" s="30"/>
      <c r="T424" s="30"/>
      <c r="U424" s="30"/>
      <c r="V424" s="30"/>
      <c r="W424" s="30"/>
      <c r="X424" s="30"/>
      <c r="Y424" s="30"/>
      <c r="Z424" s="30"/>
    </row>
    <row r="425" spans="1:26" ht="21" customHeight="1" x14ac:dyDescent="0.85">
      <c r="A425" s="30"/>
      <c r="B425" s="30"/>
      <c r="C425" s="30"/>
      <c r="D425" s="30"/>
      <c r="E425" s="30"/>
      <c r="F425" s="30"/>
      <c r="G425" s="30"/>
      <c r="H425" s="30"/>
      <c r="I425" s="30"/>
      <c r="J425" s="30"/>
      <c r="K425" s="30"/>
      <c r="L425" s="30"/>
      <c r="M425" s="30"/>
      <c r="N425" s="30"/>
      <c r="O425" s="30"/>
      <c r="P425" s="30"/>
      <c r="Q425" s="30"/>
      <c r="R425" s="30"/>
      <c r="S425" s="30"/>
      <c r="T425" s="30"/>
      <c r="U425" s="30"/>
      <c r="V425" s="30"/>
      <c r="W425" s="30"/>
      <c r="X425" s="30"/>
      <c r="Y425" s="30"/>
      <c r="Z425" s="30"/>
    </row>
    <row r="426" spans="1:26" ht="21" customHeight="1" x14ac:dyDescent="0.85">
      <c r="A426" s="30"/>
      <c r="B426" s="30"/>
      <c r="C426" s="30"/>
      <c r="D426" s="30"/>
      <c r="E426" s="30"/>
      <c r="F426" s="30"/>
      <c r="G426" s="30"/>
      <c r="H426" s="30"/>
      <c r="I426" s="30"/>
      <c r="J426" s="30"/>
      <c r="K426" s="30"/>
      <c r="L426" s="30"/>
      <c r="M426" s="30"/>
      <c r="N426" s="30"/>
      <c r="O426" s="30"/>
      <c r="P426" s="30"/>
      <c r="Q426" s="30"/>
      <c r="R426" s="30"/>
      <c r="S426" s="30"/>
      <c r="T426" s="30"/>
      <c r="U426" s="30"/>
      <c r="V426" s="30"/>
      <c r="W426" s="30"/>
      <c r="X426" s="30"/>
      <c r="Y426" s="30"/>
      <c r="Z426" s="30"/>
    </row>
    <row r="427" spans="1:26" ht="21" customHeight="1" x14ac:dyDescent="0.85">
      <c r="A427" s="30"/>
      <c r="B427" s="30"/>
      <c r="C427" s="30"/>
      <c r="D427" s="30"/>
      <c r="E427" s="30"/>
      <c r="F427" s="30"/>
      <c r="G427" s="30"/>
      <c r="H427" s="30"/>
      <c r="I427" s="30"/>
      <c r="J427" s="30"/>
      <c r="K427" s="30"/>
      <c r="L427" s="30"/>
      <c r="M427" s="30"/>
      <c r="N427" s="30"/>
      <c r="O427" s="30"/>
      <c r="P427" s="30"/>
      <c r="Q427" s="30"/>
      <c r="R427" s="30"/>
      <c r="S427" s="30"/>
      <c r="T427" s="30"/>
      <c r="U427" s="30"/>
      <c r="V427" s="30"/>
      <c r="W427" s="30"/>
      <c r="X427" s="30"/>
      <c r="Y427" s="30"/>
      <c r="Z427" s="30"/>
    </row>
    <row r="428" spans="1:26" ht="21" customHeight="1" x14ac:dyDescent="0.85">
      <c r="A428" s="30"/>
      <c r="B428" s="30"/>
      <c r="C428" s="30"/>
      <c r="D428" s="30"/>
      <c r="E428" s="30"/>
      <c r="F428" s="30"/>
      <c r="G428" s="30"/>
      <c r="H428" s="30"/>
      <c r="I428" s="30"/>
      <c r="J428" s="30"/>
      <c r="K428" s="30"/>
      <c r="L428" s="30"/>
      <c r="M428" s="30"/>
      <c r="N428" s="30"/>
      <c r="O428" s="30"/>
      <c r="P428" s="30"/>
      <c r="Q428" s="30"/>
      <c r="R428" s="30"/>
      <c r="S428" s="30"/>
      <c r="T428" s="30"/>
      <c r="U428" s="30"/>
      <c r="V428" s="30"/>
      <c r="W428" s="30"/>
      <c r="X428" s="30"/>
      <c r="Y428" s="30"/>
      <c r="Z428" s="30"/>
    </row>
    <row r="429" spans="1:26" ht="21" customHeight="1" x14ac:dyDescent="0.85">
      <c r="A429" s="30"/>
      <c r="B429" s="30"/>
      <c r="C429" s="30"/>
      <c r="D429" s="30"/>
      <c r="E429" s="30"/>
      <c r="F429" s="30"/>
      <c r="G429" s="30"/>
      <c r="H429" s="30"/>
      <c r="I429" s="30"/>
      <c r="J429" s="30"/>
      <c r="K429" s="30"/>
      <c r="L429" s="30"/>
      <c r="M429" s="30"/>
      <c r="N429" s="30"/>
      <c r="O429" s="30"/>
      <c r="P429" s="30"/>
      <c r="Q429" s="30"/>
      <c r="R429" s="30"/>
      <c r="S429" s="30"/>
      <c r="T429" s="30"/>
      <c r="U429" s="30"/>
      <c r="V429" s="30"/>
      <c r="W429" s="30"/>
      <c r="X429" s="30"/>
      <c r="Y429" s="30"/>
      <c r="Z429" s="30"/>
    </row>
    <row r="430" spans="1:26" ht="21" customHeight="1" x14ac:dyDescent="0.85">
      <c r="A430" s="30"/>
      <c r="B430" s="30"/>
      <c r="C430" s="30"/>
      <c r="D430" s="30"/>
      <c r="E430" s="30"/>
      <c r="F430" s="30"/>
      <c r="G430" s="30"/>
      <c r="H430" s="30"/>
      <c r="I430" s="30"/>
      <c r="J430" s="30"/>
      <c r="K430" s="30"/>
      <c r="L430" s="30"/>
      <c r="M430" s="30"/>
      <c r="N430" s="30"/>
      <c r="O430" s="30"/>
      <c r="P430" s="30"/>
      <c r="Q430" s="30"/>
      <c r="R430" s="30"/>
      <c r="S430" s="30"/>
      <c r="T430" s="30"/>
      <c r="U430" s="30"/>
      <c r="V430" s="30"/>
      <c r="W430" s="30"/>
      <c r="X430" s="30"/>
      <c r="Y430" s="30"/>
      <c r="Z430" s="30"/>
    </row>
    <row r="431" spans="1:26" ht="21" customHeight="1" x14ac:dyDescent="0.85">
      <c r="A431" s="30"/>
      <c r="B431" s="30"/>
      <c r="C431" s="30"/>
      <c r="D431" s="30"/>
      <c r="E431" s="30"/>
      <c r="F431" s="30"/>
      <c r="G431" s="30"/>
      <c r="H431" s="30"/>
      <c r="I431" s="30"/>
      <c r="J431" s="30"/>
      <c r="K431" s="30"/>
      <c r="L431" s="30"/>
      <c r="M431" s="30"/>
      <c r="N431" s="30"/>
      <c r="O431" s="30"/>
      <c r="P431" s="30"/>
      <c r="Q431" s="30"/>
      <c r="R431" s="30"/>
      <c r="S431" s="30"/>
      <c r="T431" s="30"/>
      <c r="U431" s="30"/>
      <c r="V431" s="30"/>
      <c r="W431" s="30"/>
      <c r="X431" s="30"/>
      <c r="Y431" s="30"/>
      <c r="Z431" s="30"/>
    </row>
    <row r="432" spans="1:26" ht="21" customHeight="1" x14ac:dyDescent="0.85">
      <c r="A432" s="30"/>
      <c r="B432" s="30"/>
      <c r="C432" s="30"/>
      <c r="D432" s="30"/>
      <c r="E432" s="30"/>
      <c r="F432" s="30"/>
      <c r="G432" s="30"/>
      <c r="H432" s="30"/>
      <c r="I432" s="30"/>
      <c r="J432" s="30"/>
      <c r="K432" s="30"/>
      <c r="L432" s="30"/>
      <c r="M432" s="30"/>
      <c r="N432" s="30"/>
      <c r="O432" s="30"/>
      <c r="P432" s="30"/>
      <c r="Q432" s="30"/>
      <c r="R432" s="30"/>
      <c r="S432" s="30"/>
      <c r="T432" s="30"/>
      <c r="U432" s="30"/>
      <c r="V432" s="30"/>
      <c r="W432" s="30"/>
      <c r="X432" s="30"/>
      <c r="Y432" s="30"/>
      <c r="Z432" s="30"/>
    </row>
    <row r="433" spans="1:26" ht="21" customHeight="1" x14ac:dyDescent="0.85">
      <c r="A433" s="30"/>
      <c r="B433" s="30"/>
      <c r="C433" s="30"/>
      <c r="D433" s="30"/>
      <c r="E433" s="30"/>
      <c r="F433" s="30"/>
      <c r="G433" s="30"/>
      <c r="H433" s="30"/>
      <c r="I433" s="30"/>
      <c r="J433" s="30"/>
      <c r="K433" s="30"/>
      <c r="L433" s="30"/>
      <c r="M433" s="30"/>
      <c r="N433" s="30"/>
      <c r="O433" s="30"/>
      <c r="P433" s="30"/>
      <c r="Q433" s="30"/>
      <c r="R433" s="30"/>
      <c r="S433" s="30"/>
      <c r="T433" s="30"/>
      <c r="U433" s="30"/>
      <c r="V433" s="30"/>
      <c r="W433" s="30"/>
      <c r="X433" s="30"/>
      <c r="Y433" s="30"/>
      <c r="Z433" s="30"/>
    </row>
    <row r="434" spans="1:26" ht="21" customHeight="1" x14ac:dyDescent="0.85">
      <c r="A434" s="30"/>
      <c r="B434" s="30"/>
      <c r="C434" s="30"/>
      <c r="D434" s="30"/>
      <c r="E434" s="30"/>
      <c r="F434" s="30"/>
      <c r="G434" s="30"/>
      <c r="H434" s="30"/>
      <c r="I434" s="30"/>
      <c r="J434" s="30"/>
      <c r="K434" s="30"/>
      <c r="L434" s="30"/>
      <c r="M434" s="30"/>
      <c r="N434" s="30"/>
      <c r="O434" s="30"/>
      <c r="P434" s="30"/>
      <c r="Q434" s="30"/>
      <c r="R434" s="30"/>
      <c r="S434" s="30"/>
      <c r="T434" s="30"/>
      <c r="U434" s="30"/>
      <c r="V434" s="30"/>
      <c r="W434" s="30"/>
      <c r="X434" s="30"/>
      <c r="Y434" s="30"/>
      <c r="Z434" s="30"/>
    </row>
    <row r="435" spans="1:26" ht="21" customHeight="1" x14ac:dyDescent="0.85">
      <c r="A435" s="30"/>
      <c r="B435" s="30"/>
      <c r="C435" s="30"/>
      <c r="D435" s="30"/>
      <c r="E435" s="30"/>
      <c r="F435" s="30"/>
      <c r="G435" s="30"/>
      <c r="H435" s="30"/>
      <c r="I435" s="30"/>
      <c r="J435" s="30"/>
      <c r="K435" s="30"/>
      <c r="L435" s="30"/>
      <c r="M435" s="30"/>
      <c r="N435" s="30"/>
      <c r="O435" s="30"/>
      <c r="P435" s="30"/>
      <c r="Q435" s="30"/>
      <c r="R435" s="30"/>
      <c r="S435" s="30"/>
      <c r="T435" s="30"/>
      <c r="U435" s="30"/>
      <c r="V435" s="30"/>
      <c r="W435" s="30"/>
      <c r="X435" s="30"/>
      <c r="Y435" s="30"/>
      <c r="Z435" s="30"/>
    </row>
    <row r="436" spans="1:26" ht="21" customHeight="1" x14ac:dyDescent="0.85">
      <c r="A436" s="30"/>
      <c r="B436" s="30"/>
      <c r="C436" s="30"/>
      <c r="D436" s="30"/>
      <c r="E436" s="30"/>
      <c r="F436" s="30"/>
      <c r="G436" s="30"/>
      <c r="H436" s="30"/>
      <c r="I436" s="30"/>
      <c r="J436" s="30"/>
      <c r="K436" s="30"/>
      <c r="L436" s="30"/>
      <c r="M436" s="30"/>
      <c r="N436" s="30"/>
      <c r="O436" s="30"/>
      <c r="P436" s="30"/>
      <c r="Q436" s="30"/>
      <c r="R436" s="30"/>
      <c r="S436" s="30"/>
      <c r="T436" s="30"/>
      <c r="U436" s="30"/>
      <c r="V436" s="30"/>
      <c r="W436" s="30"/>
      <c r="X436" s="30"/>
      <c r="Y436" s="30"/>
      <c r="Z436" s="30"/>
    </row>
    <row r="437" spans="1:26" ht="21" customHeight="1" x14ac:dyDescent="0.85">
      <c r="A437" s="30"/>
      <c r="B437" s="30"/>
      <c r="C437" s="30"/>
      <c r="D437" s="30"/>
      <c r="E437" s="30"/>
      <c r="F437" s="30"/>
      <c r="G437" s="30"/>
      <c r="H437" s="30"/>
      <c r="I437" s="30"/>
      <c r="J437" s="30"/>
      <c r="K437" s="30"/>
      <c r="L437" s="30"/>
      <c r="M437" s="30"/>
      <c r="N437" s="30"/>
      <c r="O437" s="30"/>
      <c r="P437" s="30"/>
      <c r="Q437" s="30"/>
      <c r="R437" s="30"/>
      <c r="S437" s="30"/>
      <c r="T437" s="30"/>
      <c r="U437" s="30"/>
      <c r="V437" s="30"/>
      <c r="W437" s="30"/>
      <c r="X437" s="30"/>
      <c r="Y437" s="30"/>
      <c r="Z437" s="30"/>
    </row>
    <row r="438" spans="1:26" ht="21" customHeight="1" x14ac:dyDescent="0.85">
      <c r="A438" s="30"/>
      <c r="B438" s="30"/>
      <c r="C438" s="30"/>
      <c r="D438" s="30"/>
      <c r="E438" s="30"/>
      <c r="F438" s="30"/>
      <c r="G438" s="30"/>
      <c r="H438" s="30"/>
      <c r="I438" s="30"/>
      <c r="J438" s="30"/>
      <c r="K438" s="30"/>
      <c r="L438" s="30"/>
      <c r="M438" s="30"/>
      <c r="N438" s="30"/>
      <c r="O438" s="30"/>
      <c r="P438" s="30"/>
      <c r="Q438" s="30"/>
      <c r="R438" s="30"/>
      <c r="S438" s="30"/>
      <c r="T438" s="30"/>
      <c r="U438" s="30"/>
      <c r="V438" s="30"/>
      <c r="W438" s="30"/>
      <c r="X438" s="30"/>
      <c r="Y438" s="30"/>
      <c r="Z438" s="30"/>
    </row>
    <row r="439" spans="1:26" ht="21" customHeight="1" x14ac:dyDescent="0.85">
      <c r="A439" s="30"/>
      <c r="B439" s="30"/>
      <c r="C439" s="30"/>
      <c r="D439" s="30"/>
      <c r="E439" s="30"/>
      <c r="F439" s="30"/>
      <c r="G439" s="30"/>
      <c r="H439" s="30"/>
      <c r="I439" s="30"/>
      <c r="J439" s="30"/>
      <c r="K439" s="30"/>
      <c r="L439" s="30"/>
      <c r="M439" s="30"/>
      <c r="N439" s="30"/>
      <c r="O439" s="30"/>
      <c r="P439" s="30"/>
      <c r="Q439" s="30"/>
      <c r="R439" s="30"/>
      <c r="S439" s="30"/>
      <c r="T439" s="30"/>
      <c r="U439" s="30"/>
      <c r="V439" s="30"/>
      <c r="W439" s="30"/>
      <c r="X439" s="30"/>
      <c r="Y439" s="30"/>
      <c r="Z439" s="30"/>
    </row>
    <row r="440" spans="1:26" ht="21" customHeight="1" x14ac:dyDescent="0.85">
      <c r="A440" s="30"/>
      <c r="B440" s="30"/>
      <c r="C440" s="30"/>
      <c r="D440" s="30"/>
      <c r="E440" s="30"/>
      <c r="F440" s="30"/>
      <c r="G440" s="30"/>
      <c r="H440" s="30"/>
      <c r="I440" s="30"/>
      <c r="J440" s="30"/>
      <c r="K440" s="30"/>
      <c r="L440" s="30"/>
      <c r="M440" s="30"/>
      <c r="N440" s="30"/>
      <c r="O440" s="30"/>
      <c r="P440" s="30"/>
      <c r="Q440" s="30"/>
      <c r="R440" s="30"/>
      <c r="S440" s="30"/>
      <c r="T440" s="30"/>
      <c r="U440" s="30"/>
      <c r="V440" s="30"/>
      <c r="W440" s="30"/>
      <c r="X440" s="30"/>
      <c r="Y440" s="30"/>
      <c r="Z440" s="30"/>
    </row>
    <row r="441" spans="1:26" ht="21" customHeight="1" x14ac:dyDescent="0.85">
      <c r="A441" s="30"/>
      <c r="B441" s="30"/>
      <c r="C441" s="30"/>
      <c r="D441" s="30"/>
      <c r="E441" s="30"/>
      <c r="F441" s="30"/>
      <c r="G441" s="30"/>
      <c r="H441" s="30"/>
      <c r="I441" s="30"/>
      <c r="J441" s="30"/>
      <c r="K441" s="30"/>
      <c r="L441" s="30"/>
      <c r="M441" s="30"/>
      <c r="N441" s="30"/>
      <c r="O441" s="30"/>
      <c r="P441" s="30"/>
      <c r="Q441" s="30"/>
      <c r="R441" s="30"/>
      <c r="S441" s="30"/>
      <c r="T441" s="30"/>
      <c r="U441" s="30"/>
      <c r="V441" s="30"/>
      <c r="W441" s="30"/>
      <c r="X441" s="30"/>
      <c r="Y441" s="30"/>
      <c r="Z441" s="30"/>
    </row>
    <row r="442" spans="1:26" ht="21" customHeight="1" x14ac:dyDescent="0.85">
      <c r="A442" s="30"/>
      <c r="B442" s="30"/>
      <c r="C442" s="30"/>
      <c r="D442" s="30"/>
      <c r="E442" s="30"/>
      <c r="F442" s="30"/>
      <c r="G442" s="30"/>
      <c r="H442" s="30"/>
      <c r="I442" s="30"/>
      <c r="J442" s="30"/>
      <c r="K442" s="30"/>
      <c r="L442" s="30"/>
      <c r="M442" s="30"/>
      <c r="N442" s="30"/>
      <c r="O442" s="30"/>
      <c r="P442" s="30"/>
      <c r="Q442" s="30"/>
      <c r="R442" s="30"/>
      <c r="S442" s="30"/>
      <c r="T442" s="30"/>
      <c r="U442" s="30"/>
      <c r="V442" s="30"/>
      <c r="W442" s="30"/>
      <c r="X442" s="30"/>
      <c r="Y442" s="30"/>
      <c r="Z442" s="30"/>
    </row>
    <row r="443" spans="1:26" ht="21" customHeight="1" x14ac:dyDescent="0.85">
      <c r="A443" s="30"/>
      <c r="B443" s="30"/>
      <c r="C443" s="30"/>
      <c r="D443" s="30"/>
      <c r="E443" s="30"/>
      <c r="F443" s="30"/>
      <c r="G443" s="30"/>
      <c r="H443" s="30"/>
      <c r="I443" s="30"/>
      <c r="J443" s="30"/>
      <c r="K443" s="30"/>
      <c r="L443" s="30"/>
      <c r="M443" s="30"/>
      <c r="N443" s="30"/>
      <c r="O443" s="30"/>
      <c r="P443" s="30"/>
      <c r="Q443" s="30"/>
      <c r="R443" s="30"/>
      <c r="S443" s="30"/>
      <c r="T443" s="30"/>
      <c r="U443" s="30"/>
      <c r="V443" s="30"/>
      <c r="W443" s="30"/>
      <c r="X443" s="30"/>
      <c r="Y443" s="30"/>
      <c r="Z443" s="30"/>
    </row>
    <row r="444" spans="1:26" ht="21" customHeight="1" x14ac:dyDescent="0.85">
      <c r="A444" s="30"/>
      <c r="B444" s="30"/>
      <c r="C444" s="30"/>
      <c r="D444" s="30"/>
      <c r="E444" s="30"/>
      <c r="F444" s="30"/>
      <c r="G444" s="30"/>
      <c r="H444" s="30"/>
      <c r="I444" s="30"/>
      <c r="J444" s="30"/>
      <c r="K444" s="30"/>
      <c r="L444" s="30"/>
      <c r="M444" s="30"/>
      <c r="N444" s="30"/>
      <c r="O444" s="30"/>
      <c r="P444" s="30"/>
      <c r="Q444" s="30"/>
      <c r="R444" s="30"/>
      <c r="S444" s="30"/>
      <c r="T444" s="30"/>
      <c r="U444" s="30"/>
      <c r="V444" s="30"/>
      <c r="W444" s="30"/>
      <c r="X444" s="30"/>
      <c r="Y444" s="30"/>
      <c r="Z444" s="30"/>
    </row>
    <row r="445" spans="1:26" ht="21" customHeight="1" x14ac:dyDescent="0.85">
      <c r="A445" s="30"/>
      <c r="B445" s="30"/>
      <c r="C445" s="30"/>
      <c r="D445" s="30"/>
      <c r="E445" s="30"/>
      <c r="F445" s="30"/>
      <c r="G445" s="30"/>
      <c r="H445" s="30"/>
      <c r="I445" s="30"/>
      <c r="J445" s="30"/>
      <c r="K445" s="30"/>
      <c r="L445" s="30"/>
      <c r="M445" s="30"/>
      <c r="N445" s="30"/>
      <c r="O445" s="30"/>
      <c r="P445" s="30"/>
      <c r="Q445" s="30"/>
      <c r="R445" s="30"/>
      <c r="S445" s="30"/>
      <c r="T445" s="30"/>
      <c r="U445" s="30"/>
      <c r="V445" s="30"/>
      <c r="W445" s="30"/>
      <c r="X445" s="30"/>
      <c r="Y445" s="30"/>
      <c r="Z445" s="30"/>
    </row>
    <row r="446" spans="1:26" ht="21" customHeight="1" x14ac:dyDescent="0.85">
      <c r="A446" s="30"/>
      <c r="B446" s="30"/>
      <c r="C446" s="30"/>
      <c r="D446" s="30"/>
      <c r="E446" s="30"/>
      <c r="F446" s="30"/>
      <c r="G446" s="30"/>
      <c r="H446" s="30"/>
      <c r="I446" s="30"/>
      <c r="J446" s="30"/>
      <c r="K446" s="30"/>
      <c r="L446" s="30"/>
      <c r="M446" s="30"/>
      <c r="N446" s="30"/>
      <c r="O446" s="30"/>
      <c r="P446" s="30"/>
      <c r="Q446" s="30"/>
      <c r="R446" s="30"/>
      <c r="S446" s="30"/>
      <c r="T446" s="30"/>
      <c r="U446" s="30"/>
      <c r="V446" s="30"/>
      <c r="W446" s="30"/>
      <c r="X446" s="30"/>
      <c r="Y446" s="30"/>
      <c r="Z446" s="30"/>
    </row>
    <row r="447" spans="1:26" ht="21" customHeight="1" x14ac:dyDescent="0.85">
      <c r="A447" s="30"/>
      <c r="B447" s="30"/>
      <c r="C447" s="30"/>
      <c r="D447" s="30"/>
      <c r="E447" s="30"/>
      <c r="F447" s="30"/>
      <c r="G447" s="30"/>
      <c r="H447" s="30"/>
      <c r="I447" s="30"/>
      <c r="J447" s="30"/>
      <c r="K447" s="30"/>
      <c r="L447" s="30"/>
      <c r="M447" s="30"/>
      <c r="N447" s="30"/>
      <c r="O447" s="30"/>
      <c r="P447" s="30"/>
      <c r="Q447" s="30"/>
      <c r="R447" s="30"/>
      <c r="S447" s="30"/>
      <c r="T447" s="30"/>
      <c r="U447" s="30"/>
      <c r="V447" s="30"/>
      <c r="W447" s="30"/>
      <c r="X447" s="30"/>
      <c r="Y447" s="30"/>
      <c r="Z447" s="30"/>
    </row>
    <row r="448" spans="1:26" ht="21" customHeight="1" x14ac:dyDescent="0.85">
      <c r="A448" s="30"/>
      <c r="B448" s="30"/>
      <c r="C448" s="30"/>
      <c r="D448" s="30"/>
      <c r="E448" s="30"/>
      <c r="F448" s="30"/>
      <c r="G448" s="30"/>
      <c r="H448" s="30"/>
      <c r="I448" s="30"/>
      <c r="J448" s="30"/>
      <c r="K448" s="30"/>
      <c r="L448" s="30"/>
      <c r="M448" s="30"/>
      <c r="N448" s="30"/>
      <c r="O448" s="30"/>
      <c r="P448" s="30"/>
      <c r="Q448" s="30"/>
      <c r="R448" s="30"/>
      <c r="S448" s="30"/>
      <c r="T448" s="30"/>
      <c r="U448" s="30"/>
      <c r="V448" s="30"/>
      <c r="W448" s="30"/>
      <c r="X448" s="30"/>
      <c r="Y448" s="30"/>
      <c r="Z448" s="30"/>
    </row>
    <row r="449" spans="1:26" ht="21" customHeight="1" x14ac:dyDescent="0.85">
      <c r="A449" s="30"/>
      <c r="B449" s="30"/>
      <c r="C449" s="30"/>
      <c r="D449" s="30"/>
      <c r="E449" s="30"/>
      <c r="F449" s="30"/>
      <c r="G449" s="30"/>
      <c r="H449" s="30"/>
      <c r="I449" s="30"/>
      <c r="J449" s="30"/>
      <c r="K449" s="30"/>
      <c r="L449" s="30"/>
      <c r="M449" s="30"/>
      <c r="N449" s="30"/>
      <c r="O449" s="30"/>
      <c r="P449" s="30"/>
      <c r="Q449" s="30"/>
      <c r="R449" s="30"/>
      <c r="S449" s="30"/>
      <c r="T449" s="30"/>
      <c r="U449" s="30"/>
      <c r="V449" s="30"/>
      <c r="W449" s="30"/>
      <c r="X449" s="30"/>
      <c r="Y449" s="30"/>
      <c r="Z449" s="30"/>
    </row>
    <row r="450" spans="1:26" ht="21" customHeight="1" x14ac:dyDescent="0.85">
      <c r="A450" s="30"/>
      <c r="B450" s="30"/>
      <c r="C450" s="30"/>
      <c r="D450" s="30"/>
      <c r="E450" s="30"/>
      <c r="F450" s="30"/>
      <c r="G450" s="30"/>
      <c r="H450" s="30"/>
      <c r="I450" s="30"/>
      <c r="J450" s="30"/>
      <c r="K450" s="30"/>
      <c r="L450" s="30"/>
      <c r="M450" s="30"/>
      <c r="N450" s="30"/>
      <c r="O450" s="30"/>
      <c r="P450" s="30"/>
      <c r="Q450" s="30"/>
      <c r="R450" s="30"/>
      <c r="S450" s="30"/>
      <c r="T450" s="30"/>
      <c r="U450" s="30"/>
      <c r="V450" s="30"/>
      <c r="W450" s="30"/>
      <c r="X450" s="30"/>
      <c r="Y450" s="30"/>
      <c r="Z450" s="30"/>
    </row>
    <row r="451" spans="1:26" ht="21" customHeight="1" x14ac:dyDescent="0.85">
      <c r="A451" s="30"/>
      <c r="B451" s="30"/>
      <c r="C451" s="30"/>
      <c r="D451" s="30"/>
      <c r="E451" s="30"/>
      <c r="F451" s="30"/>
      <c r="G451" s="30"/>
      <c r="H451" s="30"/>
      <c r="I451" s="30"/>
      <c r="J451" s="30"/>
      <c r="K451" s="30"/>
      <c r="L451" s="30"/>
      <c r="M451" s="30"/>
      <c r="N451" s="30"/>
      <c r="O451" s="30"/>
      <c r="P451" s="30"/>
      <c r="Q451" s="30"/>
      <c r="R451" s="30"/>
      <c r="S451" s="30"/>
      <c r="T451" s="30"/>
      <c r="U451" s="30"/>
      <c r="V451" s="30"/>
      <c r="W451" s="30"/>
      <c r="X451" s="30"/>
      <c r="Y451" s="30"/>
      <c r="Z451" s="30"/>
    </row>
    <row r="452" spans="1:26" ht="21" customHeight="1" x14ac:dyDescent="0.85">
      <c r="A452" s="30"/>
      <c r="B452" s="30"/>
      <c r="C452" s="30"/>
      <c r="D452" s="30"/>
      <c r="E452" s="30"/>
      <c r="F452" s="30"/>
      <c r="G452" s="30"/>
      <c r="H452" s="30"/>
      <c r="I452" s="30"/>
      <c r="J452" s="30"/>
      <c r="K452" s="30"/>
      <c r="L452" s="30"/>
      <c r="M452" s="30"/>
      <c r="N452" s="30"/>
      <c r="O452" s="30"/>
      <c r="P452" s="30"/>
      <c r="Q452" s="30"/>
      <c r="R452" s="30"/>
      <c r="S452" s="30"/>
      <c r="T452" s="30"/>
      <c r="U452" s="30"/>
      <c r="V452" s="30"/>
      <c r="W452" s="30"/>
      <c r="X452" s="30"/>
      <c r="Y452" s="30"/>
      <c r="Z452" s="30"/>
    </row>
    <row r="453" spans="1:26" ht="21" customHeight="1" x14ac:dyDescent="0.85">
      <c r="A453" s="30"/>
      <c r="B453" s="30"/>
      <c r="C453" s="30"/>
      <c r="D453" s="30"/>
      <c r="E453" s="30"/>
      <c r="F453" s="30"/>
      <c r="G453" s="30"/>
      <c r="H453" s="30"/>
      <c r="I453" s="30"/>
      <c r="J453" s="30"/>
      <c r="K453" s="30"/>
      <c r="L453" s="30"/>
      <c r="M453" s="30"/>
      <c r="N453" s="30"/>
      <c r="O453" s="30"/>
      <c r="P453" s="30"/>
      <c r="Q453" s="30"/>
      <c r="R453" s="30"/>
      <c r="S453" s="30"/>
      <c r="T453" s="30"/>
      <c r="U453" s="30"/>
      <c r="V453" s="30"/>
      <c r="W453" s="30"/>
      <c r="X453" s="30"/>
      <c r="Y453" s="30"/>
      <c r="Z453" s="30"/>
    </row>
    <row r="454" spans="1:26" ht="21" customHeight="1" x14ac:dyDescent="0.85">
      <c r="A454" s="30"/>
      <c r="B454" s="30"/>
      <c r="C454" s="30"/>
      <c r="D454" s="30"/>
      <c r="E454" s="30"/>
      <c r="F454" s="30"/>
      <c r="G454" s="30"/>
      <c r="H454" s="30"/>
      <c r="I454" s="30"/>
      <c r="J454" s="30"/>
      <c r="K454" s="30"/>
      <c r="L454" s="30"/>
      <c r="M454" s="30"/>
      <c r="N454" s="30"/>
      <c r="O454" s="30"/>
      <c r="P454" s="30"/>
      <c r="Q454" s="30"/>
      <c r="R454" s="30"/>
      <c r="S454" s="30"/>
      <c r="T454" s="30"/>
      <c r="U454" s="30"/>
      <c r="V454" s="30"/>
      <c r="W454" s="30"/>
      <c r="X454" s="30"/>
      <c r="Y454" s="30"/>
      <c r="Z454" s="30"/>
    </row>
    <row r="455" spans="1:26" ht="21" customHeight="1" x14ac:dyDescent="0.85">
      <c r="A455" s="30"/>
      <c r="B455" s="30"/>
      <c r="C455" s="30"/>
      <c r="D455" s="30"/>
      <c r="E455" s="30"/>
      <c r="F455" s="30"/>
      <c r="G455" s="30"/>
      <c r="H455" s="30"/>
      <c r="I455" s="30"/>
      <c r="J455" s="30"/>
      <c r="K455" s="30"/>
      <c r="L455" s="30"/>
      <c r="M455" s="30"/>
      <c r="N455" s="30"/>
      <c r="O455" s="30"/>
      <c r="P455" s="30"/>
      <c r="Q455" s="30"/>
      <c r="R455" s="30"/>
      <c r="S455" s="30"/>
      <c r="T455" s="30"/>
      <c r="U455" s="30"/>
      <c r="V455" s="30"/>
      <c r="W455" s="30"/>
      <c r="X455" s="30"/>
      <c r="Y455" s="30"/>
      <c r="Z455" s="30"/>
    </row>
    <row r="456" spans="1:26" ht="21" customHeight="1" x14ac:dyDescent="0.85">
      <c r="A456" s="30"/>
      <c r="B456" s="30"/>
      <c r="C456" s="30"/>
      <c r="D456" s="30"/>
      <c r="E456" s="30"/>
      <c r="F456" s="30"/>
      <c r="G456" s="30"/>
      <c r="H456" s="30"/>
      <c r="I456" s="30"/>
      <c r="J456" s="30"/>
      <c r="K456" s="30"/>
      <c r="L456" s="30"/>
      <c r="M456" s="30"/>
      <c r="N456" s="30"/>
      <c r="O456" s="30"/>
      <c r="P456" s="30"/>
      <c r="Q456" s="30"/>
      <c r="R456" s="30"/>
      <c r="S456" s="30"/>
      <c r="T456" s="30"/>
      <c r="U456" s="30"/>
      <c r="V456" s="30"/>
      <c r="W456" s="30"/>
      <c r="X456" s="30"/>
      <c r="Y456" s="30"/>
      <c r="Z456" s="30"/>
    </row>
    <row r="457" spans="1:26" ht="21" customHeight="1" x14ac:dyDescent="0.85">
      <c r="A457" s="30"/>
      <c r="B457" s="30"/>
      <c r="C457" s="30"/>
      <c r="D457" s="30"/>
      <c r="E457" s="30"/>
      <c r="F457" s="30"/>
      <c r="G457" s="30"/>
      <c r="H457" s="30"/>
      <c r="I457" s="30"/>
      <c r="J457" s="30"/>
      <c r="K457" s="30"/>
      <c r="L457" s="30"/>
      <c r="M457" s="30"/>
      <c r="N457" s="30"/>
      <c r="O457" s="30"/>
      <c r="P457" s="30"/>
      <c r="Q457" s="30"/>
      <c r="R457" s="30"/>
      <c r="S457" s="30"/>
      <c r="T457" s="30"/>
      <c r="U457" s="30"/>
      <c r="V457" s="30"/>
      <c r="W457" s="30"/>
      <c r="X457" s="30"/>
      <c r="Y457" s="30"/>
      <c r="Z457" s="30"/>
    </row>
    <row r="458" spans="1:26" ht="21" customHeight="1" x14ac:dyDescent="0.85">
      <c r="A458" s="30"/>
      <c r="B458" s="30"/>
      <c r="C458" s="30"/>
      <c r="D458" s="30"/>
      <c r="E458" s="30"/>
      <c r="F458" s="30"/>
      <c r="G458" s="30"/>
      <c r="H458" s="30"/>
      <c r="I458" s="30"/>
      <c r="J458" s="30"/>
      <c r="K458" s="30"/>
      <c r="L458" s="30"/>
      <c r="M458" s="30"/>
      <c r="N458" s="30"/>
      <c r="O458" s="30"/>
      <c r="P458" s="30"/>
      <c r="Q458" s="30"/>
      <c r="R458" s="30"/>
      <c r="S458" s="30"/>
      <c r="T458" s="30"/>
      <c r="U458" s="30"/>
      <c r="V458" s="30"/>
      <c r="W458" s="30"/>
      <c r="X458" s="30"/>
      <c r="Y458" s="30"/>
      <c r="Z458" s="30"/>
    </row>
    <row r="459" spans="1:26" ht="21" customHeight="1" x14ac:dyDescent="0.85">
      <c r="A459" s="30"/>
      <c r="B459" s="30"/>
      <c r="C459" s="30"/>
      <c r="D459" s="30"/>
      <c r="E459" s="30"/>
      <c r="F459" s="30"/>
      <c r="G459" s="30"/>
      <c r="H459" s="30"/>
      <c r="I459" s="30"/>
      <c r="J459" s="30"/>
      <c r="K459" s="30"/>
      <c r="L459" s="30"/>
      <c r="M459" s="30"/>
      <c r="N459" s="30"/>
      <c r="O459" s="30"/>
      <c r="P459" s="30"/>
      <c r="Q459" s="30"/>
      <c r="R459" s="30"/>
      <c r="S459" s="30"/>
      <c r="T459" s="30"/>
      <c r="U459" s="30"/>
      <c r="V459" s="30"/>
      <c r="W459" s="30"/>
      <c r="X459" s="30"/>
      <c r="Y459" s="30"/>
      <c r="Z459" s="30"/>
    </row>
    <row r="460" spans="1:26" ht="21" customHeight="1" x14ac:dyDescent="0.85">
      <c r="A460" s="30"/>
      <c r="B460" s="30"/>
      <c r="C460" s="30"/>
      <c r="D460" s="30"/>
      <c r="E460" s="30"/>
      <c r="F460" s="30"/>
      <c r="G460" s="30"/>
      <c r="H460" s="30"/>
      <c r="I460" s="30"/>
      <c r="J460" s="30"/>
      <c r="K460" s="30"/>
      <c r="L460" s="30"/>
      <c r="M460" s="30"/>
      <c r="N460" s="30"/>
      <c r="O460" s="30"/>
      <c r="P460" s="30"/>
      <c r="Q460" s="30"/>
      <c r="R460" s="30"/>
      <c r="S460" s="30"/>
      <c r="T460" s="30"/>
      <c r="U460" s="30"/>
      <c r="V460" s="30"/>
      <c r="W460" s="30"/>
      <c r="X460" s="30"/>
      <c r="Y460" s="30"/>
      <c r="Z460" s="30"/>
    </row>
    <row r="461" spans="1:26" ht="21" customHeight="1" x14ac:dyDescent="0.85">
      <c r="A461" s="30"/>
      <c r="B461" s="30"/>
      <c r="C461" s="30"/>
      <c r="D461" s="30"/>
      <c r="E461" s="30"/>
      <c r="F461" s="30"/>
      <c r="G461" s="30"/>
      <c r="H461" s="30"/>
      <c r="I461" s="30"/>
      <c r="J461" s="30"/>
      <c r="K461" s="30"/>
      <c r="L461" s="30"/>
      <c r="M461" s="30"/>
      <c r="N461" s="30"/>
      <c r="O461" s="30"/>
      <c r="P461" s="30"/>
      <c r="Q461" s="30"/>
      <c r="R461" s="30"/>
      <c r="S461" s="30"/>
      <c r="T461" s="30"/>
      <c r="U461" s="30"/>
      <c r="V461" s="30"/>
      <c r="W461" s="30"/>
      <c r="X461" s="30"/>
      <c r="Y461" s="30"/>
      <c r="Z461" s="30"/>
    </row>
    <row r="462" spans="1:26" ht="21" customHeight="1" x14ac:dyDescent="0.85">
      <c r="A462" s="30"/>
      <c r="B462" s="30"/>
      <c r="C462" s="30"/>
      <c r="D462" s="30"/>
      <c r="E462" s="30"/>
      <c r="F462" s="30"/>
      <c r="G462" s="30"/>
      <c r="H462" s="30"/>
      <c r="I462" s="30"/>
      <c r="J462" s="30"/>
      <c r="K462" s="30"/>
      <c r="L462" s="30"/>
      <c r="M462" s="30"/>
      <c r="N462" s="30"/>
      <c r="O462" s="30"/>
      <c r="P462" s="30"/>
      <c r="Q462" s="30"/>
      <c r="R462" s="30"/>
      <c r="S462" s="30"/>
      <c r="T462" s="30"/>
      <c r="U462" s="30"/>
      <c r="V462" s="30"/>
      <c r="W462" s="30"/>
      <c r="X462" s="30"/>
      <c r="Y462" s="30"/>
      <c r="Z462" s="30"/>
    </row>
    <row r="463" spans="1:26" ht="21" customHeight="1" x14ac:dyDescent="0.85">
      <c r="A463" s="30"/>
      <c r="B463" s="30"/>
      <c r="C463" s="30"/>
      <c r="D463" s="30"/>
      <c r="E463" s="30"/>
      <c r="F463" s="30"/>
      <c r="G463" s="30"/>
      <c r="H463" s="30"/>
      <c r="I463" s="30"/>
      <c r="J463" s="30"/>
      <c r="K463" s="30"/>
      <c r="L463" s="30"/>
      <c r="M463" s="30"/>
      <c r="N463" s="30"/>
      <c r="O463" s="30"/>
      <c r="P463" s="30"/>
      <c r="Q463" s="30"/>
      <c r="R463" s="30"/>
      <c r="S463" s="30"/>
      <c r="T463" s="30"/>
      <c r="U463" s="30"/>
      <c r="V463" s="30"/>
      <c r="W463" s="30"/>
      <c r="X463" s="30"/>
      <c r="Y463" s="30"/>
      <c r="Z463" s="30"/>
    </row>
    <row r="464" spans="1:26" ht="21" customHeight="1" x14ac:dyDescent="0.85">
      <c r="A464" s="30"/>
      <c r="B464" s="30"/>
      <c r="C464" s="30"/>
      <c r="D464" s="30"/>
      <c r="E464" s="30"/>
      <c r="F464" s="30"/>
      <c r="G464" s="30"/>
      <c r="H464" s="30"/>
      <c r="I464" s="30"/>
      <c r="J464" s="30"/>
      <c r="K464" s="30"/>
      <c r="L464" s="30"/>
      <c r="M464" s="30"/>
      <c r="N464" s="30"/>
      <c r="O464" s="30"/>
      <c r="P464" s="30"/>
      <c r="Q464" s="30"/>
      <c r="R464" s="30"/>
      <c r="S464" s="30"/>
      <c r="T464" s="30"/>
      <c r="U464" s="30"/>
      <c r="V464" s="30"/>
      <c r="W464" s="30"/>
      <c r="X464" s="30"/>
      <c r="Y464" s="30"/>
      <c r="Z464" s="30"/>
    </row>
    <row r="465" spans="1:26" ht="21" customHeight="1" x14ac:dyDescent="0.85">
      <c r="A465" s="30"/>
      <c r="B465" s="30"/>
      <c r="C465" s="30"/>
      <c r="D465" s="30"/>
      <c r="E465" s="30"/>
      <c r="F465" s="30"/>
      <c r="G465" s="30"/>
      <c r="H465" s="30"/>
      <c r="I465" s="30"/>
      <c r="J465" s="30"/>
      <c r="K465" s="30"/>
      <c r="L465" s="30"/>
      <c r="M465" s="30"/>
      <c r="N465" s="30"/>
      <c r="O465" s="30"/>
      <c r="P465" s="30"/>
      <c r="Q465" s="30"/>
      <c r="R465" s="30"/>
      <c r="S465" s="30"/>
      <c r="T465" s="30"/>
      <c r="U465" s="30"/>
      <c r="V465" s="30"/>
      <c r="W465" s="30"/>
      <c r="X465" s="30"/>
      <c r="Y465" s="30"/>
      <c r="Z465" s="30"/>
    </row>
    <row r="466" spans="1:26" ht="21" customHeight="1" x14ac:dyDescent="0.85">
      <c r="A466" s="708"/>
      <c r="B466" s="708"/>
      <c r="C466" s="708"/>
      <c r="D466" s="708"/>
      <c r="E466" s="708"/>
      <c r="F466" s="708"/>
      <c r="G466" s="30"/>
      <c r="H466" s="30"/>
      <c r="I466" s="30"/>
      <c r="J466" s="30"/>
      <c r="K466" s="30"/>
      <c r="L466" s="30"/>
      <c r="M466" s="30"/>
      <c r="N466" s="30"/>
      <c r="O466" s="30"/>
      <c r="P466" s="30"/>
      <c r="Q466" s="30"/>
      <c r="R466" s="30"/>
      <c r="S466" s="30"/>
      <c r="T466" s="30"/>
      <c r="U466" s="30"/>
      <c r="V466" s="30"/>
      <c r="W466" s="30"/>
      <c r="X466" s="30"/>
      <c r="Y466" s="30"/>
      <c r="Z466" s="30"/>
    </row>
    <row r="467" spans="1:26" ht="21" customHeight="1" x14ac:dyDescent="0.85">
      <c r="A467" s="708"/>
      <c r="B467" s="708"/>
      <c r="C467" s="708"/>
      <c r="D467" s="708"/>
      <c r="E467" s="708"/>
      <c r="F467" s="708"/>
      <c r="G467" s="30"/>
      <c r="H467" s="30"/>
      <c r="I467" s="30"/>
      <c r="J467" s="30"/>
      <c r="K467" s="30"/>
      <c r="L467" s="30"/>
      <c r="M467" s="30"/>
      <c r="N467" s="30"/>
      <c r="O467" s="30"/>
      <c r="P467" s="30"/>
      <c r="Q467" s="30"/>
      <c r="R467" s="30"/>
      <c r="S467" s="30"/>
      <c r="T467" s="30"/>
      <c r="U467" s="30"/>
      <c r="V467" s="30"/>
      <c r="W467" s="30"/>
      <c r="X467" s="30"/>
      <c r="Y467" s="30"/>
      <c r="Z467" s="30"/>
    </row>
    <row r="468" spans="1:26" ht="21" customHeight="1" x14ac:dyDescent="0.85">
      <c r="A468" s="708"/>
      <c r="B468" s="708"/>
      <c r="C468" s="708"/>
      <c r="D468" s="708"/>
      <c r="E468" s="708"/>
      <c r="F468" s="708"/>
      <c r="G468" s="30"/>
      <c r="H468" s="30"/>
      <c r="I468" s="30"/>
      <c r="J468" s="30"/>
      <c r="K468" s="30"/>
      <c r="L468" s="30"/>
      <c r="M468" s="30"/>
      <c r="N468" s="30"/>
      <c r="O468" s="30"/>
      <c r="P468" s="30"/>
      <c r="Q468" s="30"/>
      <c r="R468" s="30"/>
      <c r="S468" s="30"/>
      <c r="T468" s="30"/>
      <c r="U468" s="30"/>
      <c r="V468" s="30"/>
      <c r="W468" s="30"/>
      <c r="X468" s="30"/>
      <c r="Y468" s="30"/>
      <c r="Z468" s="30"/>
    </row>
    <row r="469" spans="1:26" ht="21" customHeight="1" x14ac:dyDescent="0.85">
      <c r="A469" s="708"/>
      <c r="B469" s="708"/>
      <c r="C469" s="708"/>
      <c r="D469" s="708"/>
      <c r="E469" s="708"/>
      <c r="F469" s="708"/>
      <c r="G469" s="30"/>
      <c r="H469" s="30"/>
      <c r="I469" s="30"/>
      <c r="J469" s="30"/>
      <c r="K469" s="30"/>
      <c r="L469" s="30"/>
      <c r="M469" s="30"/>
      <c r="N469" s="30"/>
      <c r="O469" s="30"/>
      <c r="P469" s="30"/>
      <c r="Q469" s="30"/>
      <c r="R469" s="30"/>
      <c r="S469" s="30"/>
      <c r="T469" s="30"/>
      <c r="U469" s="30"/>
      <c r="V469" s="30"/>
      <c r="W469" s="30"/>
      <c r="X469" s="30"/>
      <c r="Y469" s="30"/>
      <c r="Z469" s="30"/>
    </row>
    <row r="470" spans="1:26" ht="21" customHeight="1" x14ac:dyDescent="0.85">
      <c r="A470" s="708"/>
      <c r="B470" s="708"/>
      <c r="C470" s="708"/>
      <c r="D470" s="708"/>
      <c r="E470" s="708"/>
      <c r="F470" s="708"/>
      <c r="G470" s="30"/>
      <c r="H470" s="30"/>
      <c r="I470" s="30"/>
      <c r="J470" s="30"/>
      <c r="K470" s="30"/>
      <c r="L470" s="30"/>
      <c r="M470" s="30"/>
      <c r="N470" s="30"/>
      <c r="O470" s="30"/>
      <c r="P470" s="30"/>
      <c r="Q470" s="30"/>
      <c r="R470" s="30"/>
      <c r="S470" s="30"/>
      <c r="T470" s="30"/>
      <c r="U470" s="30"/>
      <c r="V470" s="30"/>
      <c r="W470" s="30"/>
      <c r="X470" s="30"/>
      <c r="Y470" s="30"/>
      <c r="Z470" s="30"/>
    </row>
    <row r="471" spans="1:26" ht="21" customHeight="1" x14ac:dyDescent="0.85">
      <c r="A471" s="708"/>
      <c r="B471" s="708"/>
      <c r="C471" s="708"/>
      <c r="D471" s="708"/>
      <c r="E471" s="708"/>
      <c r="F471" s="708"/>
      <c r="G471" s="30"/>
      <c r="H471" s="30"/>
      <c r="I471" s="30"/>
      <c r="J471" s="30"/>
      <c r="K471" s="30"/>
      <c r="L471" s="30"/>
      <c r="M471" s="30"/>
      <c r="N471" s="30"/>
      <c r="O471" s="30"/>
      <c r="P471" s="30"/>
      <c r="Q471" s="30"/>
      <c r="R471" s="30"/>
      <c r="S471" s="30"/>
      <c r="T471" s="30"/>
      <c r="U471" s="30"/>
      <c r="V471" s="30"/>
      <c r="W471" s="30"/>
      <c r="X471" s="30"/>
      <c r="Y471" s="30"/>
      <c r="Z471" s="30"/>
    </row>
    <row r="472" spans="1:26" ht="21" customHeight="1" x14ac:dyDescent="0.85">
      <c r="A472" s="708"/>
      <c r="B472" s="708"/>
      <c r="C472" s="708"/>
      <c r="D472" s="708"/>
      <c r="E472" s="708"/>
      <c r="F472" s="708"/>
      <c r="G472" s="30"/>
      <c r="H472" s="30"/>
      <c r="I472" s="30"/>
      <c r="J472" s="30"/>
      <c r="K472" s="30"/>
      <c r="L472" s="30"/>
      <c r="M472" s="30"/>
      <c r="N472" s="30"/>
      <c r="O472" s="30"/>
      <c r="P472" s="30"/>
      <c r="Q472" s="30"/>
      <c r="R472" s="30"/>
      <c r="S472" s="30"/>
      <c r="T472" s="30"/>
      <c r="U472" s="30"/>
      <c r="V472" s="30"/>
      <c r="W472" s="30"/>
      <c r="X472" s="30"/>
      <c r="Y472" s="30"/>
      <c r="Z472" s="30"/>
    </row>
    <row r="473" spans="1:26" ht="21" customHeight="1" x14ac:dyDescent="0.85">
      <c r="A473" s="708"/>
      <c r="B473" s="708"/>
      <c r="C473" s="708"/>
      <c r="D473" s="708"/>
      <c r="E473" s="708"/>
      <c r="F473" s="708"/>
      <c r="G473" s="30"/>
      <c r="H473" s="30"/>
      <c r="I473" s="30"/>
      <c r="J473" s="30"/>
      <c r="K473" s="30"/>
      <c r="L473" s="30"/>
      <c r="M473" s="30"/>
      <c r="N473" s="30"/>
      <c r="O473" s="30"/>
      <c r="P473" s="30"/>
      <c r="Q473" s="30"/>
      <c r="R473" s="30"/>
      <c r="S473" s="30"/>
      <c r="T473" s="30"/>
      <c r="U473" s="30"/>
      <c r="V473" s="30"/>
      <c r="W473" s="30"/>
      <c r="X473" s="30"/>
      <c r="Y473" s="30"/>
      <c r="Z473" s="30"/>
    </row>
    <row r="474" spans="1:26" ht="21" customHeight="1" x14ac:dyDescent="0.85">
      <c r="A474" s="708"/>
      <c r="B474" s="708"/>
      <c r="C474" s="708"/>
      <c r="D474" s="708"/>
      <c r="E474" s="708"/>
      <c r="F474" s="708"/>
      <c r="G474" s="30"/>
      <c r="H474" s="30"/>
      <c r="I474" s="30"/>
      <c r="J474" s="30"/>
      <c r="K474" s="30"/>
      <c r="L474" s="30"/>
      <c r="M474" s="30"/>
      <c r="N474" s="30"/>
      <c r="O474" s="30"/>
      <c r="P474" s="30"/>
      <c r="Q474" s="30"/>
      <c r="R474" s="30"/>
      <c r="S474" s="30"/>
      <c r="T474" s="30"/>
      <c r="U474" s="30"/>
      <c r="V474" s="30"/>
      <c r="W474" s="30"/>
      <c r="X474" s="30"/>
      <c r="Y474" s="30"/>
      <c r="Z474" s="30"/>
    </row>
    <row r="475" spans="1:26" ht="21" customHeight="1" x14ac:dyDescent="0.85">
      <c r="A475" s="708"/>
      <c r="B475" s="708"/>
      <c r="C475" s="708"/>
      <c r="D475" s="708"/>
      <c r="E475" s="708"/>
      <c r="F475" s="708"/>
      <c r="G475" s="30"/>
      <c r="H475" s="30"/>
      <c r="I475" s="30"/>
      <c r="J475" s="30"/>
      <c r="K475" s="30"/>
      <c r="L475" s="30"/>
      <c r="M475" s="30"/>
      <c r="N475" s="30"/>
      <c r="O475" s="30"/>
      <c r="P475" s="30"/>
      <c r="Q475" s="30"/>
      <c r="R475" s="30"/>
      <c r="S475" s="30"/>
      <c r="T475" s="30"/>
      <c r="U475" s="30"/>
      <c r="V475" s="30"/>
      <c r="W475" s="30"/>
      <c r="X475" s="30"/>
      <c r="Y475" s="30"/>
      <c r="Z475" s="30"/>
    </row>
    <row r="476" spans="1:26" ht="21" customHeight="1" x14ac:dyDescent="0.85">
      <c r="A476" s="708"/>
      <c r="B476" s="708"/>
      <c r="C476" s="708"/>
      <c r="D476" s="708"/>
      <c r="E476" s="708"/>
      <c r="F476" s="708"/>
      <c r="G476" s="30"/>
      <c r="H476" s="30"/>
      <c r="I476" s="30"/>
      <c r="J476" s="30"/>
      <c r="K476" s="30"/>
      <c r="L476" s="30"/>
      <c r="M476" s="30"/>
      <c r="N476" s="30"/>
      <c r="O476" s="30"/>
      <c r="P476" s="30"/>
      <c r="Q476" s="30"/>
      <c r="R476" s="30"/>
      <c r="S476" s="30"/>
      <c r="T476" s="30"/>
      <c r="U476" s="30"/>
      <c r="V476" s="30"/>
      <c r="W476" s="30"/>
      <c r="X476" s="30"/>
      <c r="Y476" s="30"/>
      <c r="Z476" s="30"/>
    </row>
    <row r="477" spans="1:26" ht="21" customHeight="1" x14ac:dyDescent="0.85">
      <c r="A477" s="708"/>
      <c r="B477" s="708"/>
      <c r="C477" s="708"/>
      <c r="D477" s="708"/>
      <c r="E477" s="708"/>
      <c r="F477" s="708"/>
      <c r="G477" s="30"/>
      <c r="H477" s="30"/>
      <c r="I477" s="30"/>
      <c r="J477" s="30"/>
      <c r="K477" s="30"/>
      <c r="L477" s="30"/>
      <c r="M477" s="30"/>
      <c r="N477" s="30"/>
      <c r="O477" s="30"/>
      <c r="P477" s="30"/>
      <c r="Q477" s="30"/>
      <c r="R477" s="30"/>
      <c r="S477" s="30"/>
      <c r="T477" s="30"/>
      <c r="U477" s="30"/>
      <c r="V477" s="30"/>
      <c r="W477" s="30"/>
      <c r="X477" s="30"/>
      <c r="Y477" s="30"/>
      <c r="Z477" s="30"/>
    </row>
    <row r="478" spans="1:26" ht="21" customHeight="1" x14ac:dyDescent="0.85">
      <c r="A478" s="708"/>
      <c r="B478" s="708"/>
      <c r="C478" s="708"/>
      <c r="D478" s="708"/>
      <c r="E478" s="708"/>
      <c r="F478" s="708"/>
      <c r="G478" s="30"/>
      <c r="H478" s="30"/>
      <c r="I478" s="30"/>
      <c r="J478" s="30"/>
      <c r="K478" s="30"/>
      <c r="L478" s="30"/>
      <c r="M478" s="30"/>
      <c r="N478" s="30"/>
      <c r="O478" s="30"/>
      <c r="P478" s="30"/>
      <c r="Q478" s="30"/>
      <c r="R478" s="30"/>
      <c r="S478" s="30"/>
      <c r="T478" s="30"/>
      <c r="U478" s="30"/>
      <c r="V478" s="30"/>
      <c r="W478" s="30"/>
      <c r="X478" s="30"/>
      <c r="Y478" s="30"/>
      <c r="Z478" s="30"/>
    </row>
    <row r="479" spans="1:26" ht="21" customHeight="1" x14ac:dyDescent="0.85">
      <c r="A479" s="708"/>
      <c r="B479" s="708"/>
      <c r="C479" s="708"/>
      <c r="D479" s="708"/>
      <c r="E479" s="708"/>
      <c r="F479" s="708"/>
      <c r="G479" s="30"/>
      <c r="H479" s="30"/>
      <c r="I479" s="30"/>
      <c r="J479" s="30"/>
      <c r="K479" s="30"/>
      <c r="L479" s="30"/>
      <c r="M479" s="30"/>
      <c r="N479" s="30"/>
      <c r="O479" s="30"/>
      <c r="P479" s="30"/>
      <c r="Q479" s="30"/>
      <c r="R479" s="30"/>
      <c r="S479" s="30"/>
      <c r="T479" s="30"/>
      <c r="U479" s="30"/>
      <c r="V479" s="30"/>
      <c r="W479" s="30"/>
      <c r="X479" s="30"/>
      <c r="Y479" s="30"/>
      <c r="Z479" s="30"/>
    </row>
    <row r="480" spans="1:26" ht="21" customHeight="1" x14ac:dyDescent="0.85">
      <c r="A480" s="708"/>
      <c r="B480" s="708"/>
      <c r="C480" s="708"/>
      <c r="D480" s="708"/>
      <c r="E480" s="708"/>
      <c r="F480" s="708"/>
      <c r="G480" s="30"/>
      <c r="H480" s="30"/>
      <c r="I480" s="30"/>
      <c r="J480" s="30"/>
      <c r="K480" s="30"/>
      <c r="L480" s="30"/>
      <c r="M480" s="30"/>
      <c r="N480" s="30"/>
      <c r="O480" s="30"/>
      <c r="P480" s="30"/>
      <c r="Q480" s="30"/>
      <c r="R480" s="30"/>
      <c r="S480" s="30"/>
      <c r="T480" s="30"/>
      <c r="U480" s="30"/>
      <c r="V480" s="30"/>
      <c r="W480" s="30"/>
      <c r="X480" s="30"/>
      <c r="Y480" s="30"/>
      <c r="Z480" s="30"/>
    </row>
    <row r="481" spans="1:26" ht="21" customHeight="1" x14ac:dyDescent="0.85">
      <c r="A481" s="708"/>
      <c r="B481" s="708"/>
      <c r="C481" s="708"/>
      <c r="D481" s="708"/>
      <c r="E481" s="708"/>
      <c r="F481" s="708"/>
      <c r="G481" s="30"/>
      <c r="H481" s="30"/>
      <c r="I481" s="30"/>
      <c r="J481" s="30"/>
      <c r="K481" s="30"/>
      <c r="L481" s="30"/>
      <c r="M481" s="30"/>
      <c r="N481" s="30"/>
      <c r="O481" s="30"/>
      <c r="P481" s="30"/>
      <c r="Q481" s="30"/>
      <c r="R481" s="30"/>
      <c r="S481" s="30"/>
      <c r="T481" s="30"/>
      <c r="U481" s="30"/>
      <c r="V481" s="30"/>
      <c r="W481" s="30"/>
      <c r="X481" s="30"/>
      <c r="Y481" s="30"/>
      <c r="Z481" s="30"/>
    </row>
    <row r="482" spans="1:26" ht="21" customHeight="1" x14ac:dyDescent="0.85">
      <c r="A482" s="708"/>
      <c r="B482" s="708"/>
      <c r="C482" s="708"/>
      <c r="D482" s="708"/>
      <c r="E482" s="708"/>
      <c r="F482" s="708"/>
      <c r="G482" s="30"/>
      <c r="H482" s="30"/>
      <c r="I482" s="30"/>
      <c r="J482" s="30"/>
      <c r="K482" s="30"/>
      <c r="L482" s="30"/>
      <c r="M482" s="30"/>
      <c r="N482" s="30"/>
      <c r="O482" s="30"/>
      <c r="P482" s="30"/>
      <c r="Q482" s="30"/>
      <c r="R482" s="30"/>
      <c r="S482" s="30"/>
      <c r="T482" s="30"/>
      <c r="U482" s="30"/>
      <c r="V482" s="30"/>
      <c r="W482" s="30"/>
      <c r="X482" s="30"/>
      <c r="Y482" s="30"/>
      <c r="Z482" s="30"/>
    </row>
    <row r="483" spans="1:26" ht="21" customHeight="1" x14ac:dyDescent="0.85">
      <c r="A483" s="708"/>
      <c r="B483" s="708"/>
      <c r="C483" s="708"/>
      <c r="D483" s="708"/>
      <c r="E483" s="708"/>
      <c r="F483" s="708"/>
      <c r="G483" s="30"/>
      <c r="H483" s="30"/>
      <c r="I483" s="30"/>
      <c r="J483" s="30"/>
      <c r="K483" s="30"/>
      <c r="L483" s="30"/>
      <c r="M483" s="30"/>
      <c r="N483" s="30"/>
      <c r="O483" s="30"/>
      <c r="P483" s="30"/>
      <c r="Q483" s="30"/>
      <c r="R483" s="30"/>
      <c r="S483" s="30"/>
      <c r="T483" s="30"/>
      <c r="U483" s="30"/>
      <c r="V483" s="30"/>
      <c r="W483" s="30"/>
      <c r="X483" s="30"/>
      <c r="Y483" s="30"/>
      <c r="Z483" s="30"/>
    </row>
    <row r="484" spans="1:26" ht="21" customHeight="1" x14ac:dyDescent="0.85">
      <c r="A484" s="708"/>
      <c r="B484" s="708"/>
      <c r="C484" s="708"/>
      <c r="D484" s="708"/>
      <c r="E484" s="708"/>
      <c r="F484" s="708"/>
      <c r="G484" s="30"/>
      <c r="H484" s="30"/>
      <c r="I484" s="30"/>
      <c r="J484" s="30"/>
      <c r="K484" s="30"/>
      <c r="L484" s="30"/>
      <c r="M484" s="30"/>
      <c r="N484" s="30"/>
      <c r="O484" s="30"/>
      <c r="P484" s="30"/>
      <c r="Q484" s="30"/>
      <c r="R484" s="30"/>
      <c r="S484" s="30"/>
      <c r="T484" s="30"/>
      <c r="U484" s="30"/>
      <c r="V484" s="30"/>
      <c r="W484" s="30"/>
      <c r="X484" s="30"/>
      <c r="Y484" s="30"/>
      <c r="Z484" s="30"/>
    </row>
    <row r="485" spans="1:26" ht="21" customHeight="1" x14ac:dyDescent="0.85">
      <c r="A485" s="708"/>
      <c r="B485" s="708"/>
      <c r="C485" s="708"/>
      <c r="D485" s="708"/>
      <c r="E485" s="708"/>
      <c r="F485" s="708"/>
      <c r="G485" s="30"/>
      <c r="H485" s="30"/>
      <c r="I485" s="30"/>
      <c r="J485" s="30"/>
      <c r="K485" s="30"/>
      <c r="L485" s="30"/>
      <c r="M485" s="30"/>
      <c r="N485" s="30"/>
      <c r="O485" s="30"/>
      <c r="P485" s="30"/>
      <c r="Q485" s="30"/>
      <c r="R485" s="30"/>
      <c r="S485" s="30"/>
      <c r="T485" s="30"/>
      <c r="U485" s="30"/>
      <c r="V485" s="30"/>
      <c r="W485" s="30"/>
      <c r="X485" s="30"/>
      <c r="Y485" s="30"/>
      <c r="Z485" s="30"/>
    </row>
    <row r="486" spans="1:26" ht="21" customHeight="1" x14ac:dyDescent="0.85">
      <c r="A486" s="708"/>
      <c r="B486" s="708"/>
      <c r="C486" s="708"/>
      <c r="D486" s="708"/>
      <c r="E486" s="708"/>
      <c r="F486" s="708"/>
      <c r="G486" s="30"/>
      <c r="H486" s="30"/>
      <c r="I486" s="30"/>
      <c r="J486" s="30"/>
      <c r="K486" s="30"/>
      <c r="L486" s="30"/>
      <c r="M486" s="30"/>
      <c r="N486" s="30"/>
      <c r="O486" s="30"/>
      <c r="P486" s="30"/>
      <c r="Q486" s="30"/>
      <c r="R486" s="30"/>
      <c r="S486" s="30"/>
      <c r="T486" s="30"/>
      <c r="U486" s="30"/>
      <c r="V486" s="30"/>
      <c r="W486" s="30"/>
      <c r="X486" s="30"/>
      <c r="Y486" s="30"/>
      <c r="Z486" s="30"/>
    </row>
    <row r="487" spans="1:26" ht="21" customHeight="1" x14ac:dyDescent="0.85">
      <c r="A487" s="708"/>
      <c r="B487" s="708"/>
      <c r="C487" s="708"/>
      <c r="D487" s="708"/>
      <c r="E487" s="708"/>
      <c r="F487" s="708"/>
      <c r="G487" s="30"/>
      <c r="H487" s="30"/>
      <c r="I487" s="30"/>
      <c r="J487" s="30"/>
      <c r="K487" s="30"/>
      <c r="L487" s="30"/>
      <c r="M487" s="30"/>
      <c r="N487" s="30"/>
      <c r="O487" s="30"/>
      <c r="P487" s="30"/>
      <c r="Q487" s="30"/>
      <c r="R487" s="30"/>
      <c r="S487" s="30"/>
      <c r="T487" s="30"/>
      <c r="U487" s="30"/>
      <c r="V487" s="30"/>
      <c r="W487" s="30"/>
      <c r="X487" s="30"/>
      <c r="Y487" s="30"/>
      <c r="Z487" s="30"/>
    </row>
    <row r="488" spans="1:26" ht="21" customHeight="1" x14ac:dyDescent="0.85">
      <c r="A488" s="708"/>
      <c r="B488" s="708"/>
      <c r="C488" s="708"/>
      <c r="D488" s="708"/>
      <c r="E488" s="708"/>
      <c r="F488" s="708"/>
      <c r="G488" s="30"/>
      <c r="H488" s="30"/>
      <c r="I488" s="30"/>
      <c r="J488" s="30"/>
      <c r="K488" s="30"/>
      <c r="L488" s="30"/>
      <c r="M488" s="30"/>
      <c r="N488" s="30"/>
      <c r="O488" s="30"/>
      <c r="P488" s="30"/>
      <c r="Q488" s="30"/>
      <c r="R488" s="30"/>
      <c r="S488" s="30"/>
      <c r="T488" s="30"/>
      <c r="U488" s="30"/>
      <c r="V488" s="30"/>
      <c r="W488" s="30"/>
      <c r="X488" s="30"/>
      <c r="Y488" s="30"/>
      <c r="Z488" s="30"/>
    </row>
    <row r="489" spans="1:26" ht="21" customHeight="1" x14ac:dyDescent="0.85">
      <c r="A489" s="708"/>
      <c r="B489" s="708"/>
      <c r="C489" s="708"/>
      <c r="D489" s="708"/>
      <c r="E489" s="708"/>
      <c r="F489" s="708"/>
      <c r="G489" s="30"/>
      <c r="H489" s="30"/>
      <c r="I489" s="30"/>
      <c r="J489" s="30"/>
      <c r="K489" s="30"/>
      <c r="L489" s="30"/>
      <c r="M489" s="30"/>
      <c r="N489" s="30"/>
      <c r="O489" s="30"/>
      <c r="P489" s="30"/>
      <c r="Q489" s="30"/>
      <c r="R489" s="30"/>
      <c r="S489" s="30"/>
      <c r="T489" s="30"/>
      <c r="U489" s="30"/>
      <c r="V489" s="30"/>
      <c r="W489" s="30"/>
      <c r="X489" s="30"/>
      <c r="Y489" s="30"/>
      <c r="Z489" s="30"/>
    </row>
    <row r="490" spans="1:26" ht="21" customHeight="1" x14ac:dyDescent="0.85">
      <c r="A490" s="708"/>
      <c r="B490" s="708"/>
      <c r="C490" s="708"/>
      <c r="D490" s="708"/>
      <c r="E490" s="708"/>
      <c r="F490" s="708"/>
      <c r="G490" s="30"/>
      <c r="H490" s="30"/>
      <c r="I490" s="30"/>
      <c r="J490" s="30"/>
      <c r="K490" s="30"/>
      <c r="L490" s="30"/>
      <c r="M490" s="30"/>
      <c r="N490" s="30"/>
      <c r="O490" s="30"/>
      <c r="P490" s="30"/>
      <c r="Q490" s="30"/>
      <c r="R490" s="30"/>
      <c r="S490" s="30"/>
      <c r="T490" s="30"/>
      <c r="U490" s="30"/>
      <c r="V490" s="30"/>
      <c r="W490" s="30"/>
      <c r="X490" s="30"/>
      <c r="Y490" s="30"/>
      <c r="Z490" s="30"/>
    </row>
    <row r="491" spans="1:26" ht="21" customHeight="1" x14ac:dyDescent="0.85">
      <c r="A491" s="708"/>
      <c r="B491" s="708"/>
      <c r="C491" s="708"/>
      <c r="D491" s="708"/>
      <c r="E491" s="708"/>
      <c r="F491" s="708"/>
      <c r="G491" s="30"/>
      <c r="H491" s="30"/>
      <c r="I491" s="30"/>
      <c r="J491" s="30"/>
      <c r="K491" s="30"/>
      <c r="L491" s="30"/>
      <c r="M491" s="30"/>
      <c r="N491" s="30"/>
      <c r="O491" s="30"/>
      <c r="P491" s="30"/>
      <c r="Q491" s="30"/>
      <c r="R491" s="30"/>
      <c r="S491" s="30"/>
      <c r="T491" s="30"/>
      <c r="U491" s="30"/>
      <c r="V491" s="30"/>
      <c r="W491" s="30"/>
      <c r="X491" s="30"/>
      <c r="Y491" s="30"/>
      <c r="Z491" s="30"/>
    </row>
    <row r="492" spans="1:26" ht="21" customHeight="1" x14ac:dyDescent="0.85">
      <c r="A492" s="708"/>
      <c r="B492" s="708"/>
      <c r="C492" s="708"/>
      <c r="D492" s="708"/>
      <c r="E492" s="708"/>
      <c r="F492" s="708"/>
      <c r="G492" s="30"/>
      <c r="H492" s="30"/>
      <c r="I492" s="30"/>
      <c r="J492" s="30"/>
      <c r="K492" s="30"/>
      <c r="L492" s="30"/>
      <c r="M492" s="30"/>
      <c r="N492" s="30"/>
      <c r="O492" s="30"/>
      <c r="P492" s="30"/>
      <c r="Q492" s="30"/>
      <c r="R492" s="30"/>
      <c r="S492" s="30"/>
      <c r="T492" s="30"/>
      <c r="U492" s="30"/>
      <c r="V492" s="30"/>
      <c r="W492" s="30"/>
      <c r="X492" s="30"/>
      <c r="Y492" s="30"/>
      <c r="Z492" s="30"/>
    </row>
    <row r="493" spans="1:26" ht="21" customHeight="1" x14ac:dyDescent="0.85">
      <c r="A493" s="708"/>
      <c r="B493" s="708"/>
      <c r="C493" s="708"/>
      <c r="D493" s="708"/>
      <c r="E493" s="708"/>
      <c r="F493" s="708"/>
      <c r="G493" s="30"/>
      <c r="H493" s="30"/>
      <c r="I493" s="30"/>
      <c r="J493" s="30"/>
      <c r="K493" s="30"/>
      <c r="L493" s="30"/>
      <c r="M493" s="30"/>
      <c r="N493" s="30"/>
      <c r="O493" s="30"/>
      <c r="P493" s="30"/>
      <c r="Q493" s="30"/>
      <c r="R493" s="30"/>
      <c r="S493" s="30"/>
      <c r="T493" s="30"/>
      <c r="U493" s="30"/>
      <c r="V493" s="30"/>
      <c r="W493" s="30"/>
      <c r="X493" s="30"/>
      <c r="Y493" s="30"/>
      <c r="Z493" s="30"/>
    </row>
    <row r="494" spans="1:26" ht="21" customHeight="1" x14ac:dyDescent="0.85">
      <c r="A494" s="708"/>
      <c r="B494" s="708"/>
      <c r="C494" s="708"/>
      <c r="D494" s="708"/>
      <c r="E494" s="708"/>
      <c r="F494" s="708"/>
      <c r="G494" s="30"/>
      <c r="H494" s="30"/>
      <c r="I494" s="30"/>
      <c r="J494" s="30"/>
      <c r="K494" s="30"/>
      <c r="L494" s="30"/>
      <c r="M494" s="30"/>
      <c r="N494" s="30"/>
      <c r="O494" s="30"/>
      <c r="P494" s="30"/>
      <c r="Q494" s="30"/>
      <c r="R494" s="30"/>
      <c r="S494" s="30"/>
      <c r="T494" s="30"/>
      <c r="U494" s="30"/>
      <c r="V494" s="30"/>
      <c r="W494" s="30"/>
      <c r="X494" s="30"/>
      <c r="Y494" s="30"/>
      <c r="Z494" s="30"/>
    </row>
    <row r="495" spans="1:26" ht="21" customHeight="1" x14ac:dyDescent="0.85">
      <c r="A495" s="708"/>
      <c r="B495" s="708"/>
      <c r="C495" s="708"/>
      <c r="D495" s="708"/>
      <c r="E495" s="708"/>
      <c r="F495" s="708"/>
      <c r="G495" s="30"/>
      <c r="H495" s="30"/>
      <c r="I495" s="30"/>
      <c r="J495" s="30"/>
      <c r="K495" s="30"/>
      <c r="L495" s="30"/>
      <c r="M495" s="30"/>
      <c r="N495" s="30"/>
      <c r="O495" s="30"/>
      <c r="P495" s="30"/>
      <c r="Q495" s="30"/>
      <c r="R495" s="30"/>
      <c r="S495" s="30"/>
      <c r="T495" s="30"/>
      <c r="U495" s="30"/>
      <c r="V495" s="30"/>
      <c r="W495" s="30"/>
      <c r="X495" s="30"/>
      <c r="Y495" s="30"/>
      <c r="Z495" s="30"/>
    </row>
    <row r="496" spans="1:26" ht="21" customHeight="1" x14ac:dyDescent="0.85">
      <c r="A496" s="708"/>
      <c r="B496" s="708"/>
      <c r="C496" s="708"/>
      <c r="D496" s="708"/>
      <c r="E496" s="708"/>
      <c r="F496" s="708"/>
      <c r="G496" s="30"/>
      <c r="H496" s="30"/>
      <c r="I496" s="30"/>
      <c r="J496" s="30"/>
      <c r="K496" s="30"/>
      <c r="L496" s="30"/>
      <c r="M496" s="30"/>
      <c r="N496" s="30"/>
      <c r="O496" s="30"/>
      <c r="P496" s="30"/>
      <c r="Q496" s="30"/>
      <c r="R496" s="30"/>
      <c r="S496" s="30"/>
      <c r="T496" s="30"/>
      <c r="U496" s="30"/>
      <c r="V496" s="30"/>
      <c r="W496" s="30"/>
      <c r="X496" s="30"/>
      <c r="Y496" s="30"/>
      <c r="Z496" s="30"/>
    </row>
    <row r="497" spans="1:26" ht="21" customHeight="1" x14ac:dyDescent="0.85">
      <c r="A497" s="708"/>
      <c r="B497" s="708"/>
      <c r="C497" s="708"/>
      <c r="D497" s="708"/>
      <c r="E497" s="708"/>
      <c r="F497" s="708"/>
      <c r="G497" s="30"/>
      <c r="H497" s="30"/>
      <c r="I497" s="30"/>
      <c r="J497" s="30"/>
      <c r="K497" s="30"/>
      <c r="L497" s="30"/>
      <c r="M497" s="30"/>
      <c r="N497" s="30"/>
      <c r="O497" s="30"/>
      <c r="P497" s="30"/>
      <c r="Q497" s="30"/>
      <c r="R497" s="30"/>
      <c r="S497" s="30"/>
      <c r="T497" s="30"/>
      <c r="U497" s="30"/>
      <c r="V497" s="30"/>
      <c r="W497" s="30"/>
      <c r="X497" s="30"/>
      <c r="Y497" s="30"/>
      <c r="Z497" s="30"/>
    </row>
    <row r="498" spans="1:26" ht="21" customHeight="1" x14ac:dyDescent="0.85">
      <c r="A498" s="708"/>
      <c r="B498" s="708"/>
      <c r="C498" s="708"/>
      <c r="D498" s="708"/>
      <c r="E498" s="708"/>
      <c r="F498" s="708"/>
      <c r="G498" s="30"/>
      <c r="H498" s="30"/>
      <c r="I498" s="30"/>
      <c r="J498" s="30"/>
      <c r="K498" s="30"/>
      <c r="L498" s="30"/>
      <c r="M498" s="30"/>
      <c r="N498" s="30"/>
      <c r="O498" s="30"/>
      <c r="P498" s="30"/>
      <c r="Q498" s="30"/>
      <c r="R498" s="30"/>
      <c r="S498" s="30"/>
      <c r="T498" s="30"/>
      <c r="U498" s="30"/>
      <c r="V498" s="30"/>
      <c r="W498" s="30"/>
      <c r="X498" s="30"/>
      <c r="Y498" s="30"/>
      <c r="Z498" s="30"/>
    </row>
    <row r="499" spans="1:26" ht="21" customHeight="1" x14ac:dyDescent="0.85">
      <c r="A499" s="708"/>
      <c r="B499" s="708"/>
      <c r="C499" s="708"/>
      <c r="D499" s="708"/>
      <c r="E499" s="708"/>
      <c r="F499" s="708"/>
      <c r="G499" s="30"/>
      <c r="H499" s="30"/>
      <c r="I499" s="30"/>
      <c r="J499" s="30"/>
      <c r="K499" s="30"/>
      <c r="L499" s="30"/>
      <c r="M499" s="30"/>
      <c r="N499" s="30"/>
      <c r="O499" s="30"/>
      <c r="P499" s="30"/>
      <c r="Q499" s="30"/>
      <c r="R499" s="30"/>
      <c r="S499" s="30"/>
      <c r="T499" s="30"/>
      <c r="U499" s="30"/>
      <c r="V499" s="30"/>
      <c r="W499" s="30"/>
      <c r="X499" s="30"/>
      <c r="Y499" s="30"/>
      <c r="Z499" s="30"/>
    </row>
    <row r="500" spans="1:26" ht="21" customHeight="1" x14ac:dyDescent="0.85">
      <c r="A500" s="708"/>
      <c r="B500" s="708"/>
      <c r="C500" s="708"/>
      <c r="D500" s="708"/>
      <c r="E500" s="708"/>
      <c r="F500" s="708"/>
      <c r="G500" s="30"/>
      <c r="H500" s="30"/>
      <c r="I500" s="30"/>
      <c r="J500" s="30"/>
      <c r="K500" s="30"/>
      <c r="L500" s="30"/>
      <c r="M500" s="30"/>
      <c r="N500" s="30"/>
      <c r="O500" s="30"/>
      <c r="P500" s="30"/>
      <c r="Q500" s="30"/>
      <c r="R500" s="30"/>
      <c r="S500" s="30"/>
      <c r="T500" s="30"/>
      <c r="U500" s="30"/>
      <c r="V500" s="30"/>
      <c r="W500" s="30"/>
      <c r="X500" s="30"/>
      <c r="Y500" s="30"/>
      <c r="Z500" s="30"/>
    </row>
    <row r="501" spans="1:26" ht="21" customHeight="1" x14ac:dyDescent="0.85">
      <c r="A501" s="708"/>
      <c r="B501" s="708"/>
      <c r="C501" s="708"/>
      <c r="D501" s="708"/>
      <c r="E501" s="708"/>
      <c r="F501" s="708"/>
      <c r="G501" s="30"/>
      <c r="H501" s="30"/>
      <c r="I501" s="30"/>
      <c r="J501" s="30"/>
      <c r="K501" s="30"/>
      <c r="L501" s="30"/>
      <c r="M501" s="30"/>
      <c r="N501" s="30"/>
      <c r="O501" s="30"/>
      <c r="P501" s="30"/>
      <c r="Q501" s="30"/>
      <c r="R501" s="30"/>
      <c r="S501" s="30"/>
      <c r="T501" s="30"/>
      <c r="U501" s="30"/>
      <c r="V501" s="30"/>
      <c r="W501" s="30"/>
      <c r="X501" s="30"/>
      <c r="Y501" s="30"/>
      <c r="Z501" s="30"/>
    </row>
    <row r="502" spans="1:26" ht="21" customHeight="1" x14ac:dyDescent="0.85">
      <c r="A502" s="708"/>
      <c r="B502" s="708"/>
      <c r="C502" s="708"/>
      <c r="D502" s="708"/>
      <c r="E502" s="708"/>
      <c r="F502" s="708"/>
      <c r="G502" s="30"/>
      <c r="H502" s="30"/>
      <c r="I502" s="30"/>
      <c r="J502" s="30"/>
      <c r="K502" s="30"/>
      <c r="L502" s="30"/>
      <c r="M502" s="30"/>
      <c r="N502" s="30"/>
      <c r="O502" s="30"/>
      <c r="P502" s="30"/>
      <c r="Q502" s="30"/>
      <c r="R502" s="30"/>
      <c r="S502" s="30"/>
      <c r="T502" s="30"/>
      <c r="U502" s="30"/>
      <c r="V502" s="30"/>
      <c r="W502" s="30"/>
      <c r="X502" s="30"/>
      <c r="Y502" s="30"/>
      <c r="Z502" s="30"/>
    </row>
    <row r="503" spans="1:26" ht="21" customHeight="1" x14ac:dyDescent="0.85">
      <c r="A503" s="708"/>
      <c r="B503" s="708"/>
      <c r="C503" s="708"/>
      <c r="D503" s="708"/>
      <c r="E503" s="708"/>
      <c r="F503" s="708"/>
      <c r="G503" s="30"/>
      <c r="H503" s="30"/>
      <c r="I503" s="30"/>
      <c r="J503" s="30"/>
      <c r="K503" s="30"/>
      <c r="L503" s="30"/>
      <c r="M503" s="30"/>
      <c r="N503" s="30"/>
      <c r="O503" s="30"/>
      <c r="P503" s="30"/>
      <c r="Q503" s="30"/>
      <c r="R503" s="30"/>
      <c r="S503" s="30"/>
      <c r="T503" s="30"/>
      <c r="U503" s="30"/>
      <c r="V503" s="30"/>
      <c r="W503" s="30"/>
      <c r="X503" s="30"/>
      <c r="Y503" s="30"/>
      <c r="Z503" s="30"/>
    </row>
    <row r="504" spans="1:26" ht="21" customHeight="1" x14ac:dyDescent="0.85">
      <c r="A504" s="708"/>
      <c r="B504" s="708"/>
      <c r="C504" s="708"/>
      <c r="D504" s="708"/>
      <c r="E504" s="708"/>
      <c r="F504" s="708"/>
      <c r="G504" s="30"/>
      <c r="H504" s="30"/>
      <c r="I504" s="30"/>
      <c r="J504" s="30"/>
      <c r="K504" s="30"/>
      <c r="L504" s="30"/>
      <c r="M504" s="30"/>
      <c r="N504" s="30"/>
      <c r="O504" s="30"/>
      <c r="P504" s="30"/>
      <c r="Q504" s="30"/>
      <c r="R504" s="30"/>
      <c r="S504" s="30"/>
      <c r="T504" s="30"/>
      <c r="U504" s="30"/>
      <c r="V504" s="30"/>
      <c r="W504" s="30"/>
      <c r="X504" s="30"/>
      <c r="Y504" s="30"/>
      <c r="Z504" s="30"/>
    </row>
    <row r="505" spans="1:26" ht="21" customHeight="1" x14ac:dyDescent="0.85">
      <c r="A505" s="708"/>
      <c r="B505" s="708"/>
      <c r="C505" s="708"/>
      <c r="D505" s="708"/>
      <c r="E505" s="708"/>
      <c r="F505" s="708"/>
      <c r="G505" s="30"/>
      <c r="H505" s="30"/>
      <c r="I505" s="30"/>
      <c r="J505" s="30"/>
      <c r="K505" s="30"/>
      <c r="L505" s="30"/>
      <c r="M505" s="30"/>
      <c r="N505" s="30"/>
      <c r="O505" s="30"/>
      <c r="P505" s="30"/>
      <c r="Q505" s="30"/>
      <c r="R505" s="30"/>
      <c r="S505" s="30"/>
      <c r="T505" s="30"/>
      <c r="U505" s="30"/>
      <c r="V505" s="30"/>
      <c r="W505" s="30"/>
      <c r="X505" s="30"/>
      <c r="Y505" s="30"/>
      <c r="Z505" s="30"/>
    </row>
    <row r="506" spans="1:26" ht="21" customHeight="1" x14ac:dyDescent="0.85">
      <c r="A506" s="708"/>
      <c r="B506" s="708"/>
      <c r="C506" s="708"/>
      <c r="D506" s="708"/>
      <c r="E506" s="708"/>
      <c r="F506" s="708"/>
      <c r="G506" s="30"/>
      <c r="H506" s="30"/>
      <c r="I506" s="30"/>
      <c r="J506" s="30"/>
      <c r="K506" s="30"/>
      <c r="L506" s="30"/>
      <c r="M506" s="30"/>
      <c r="N506" s="30"/>
      <c r="O506" s="30"/>
      <c r="P506" s="30"/>
      <c r="Q506" s="30"/>
      <c r="R506" s="30"/>
      <c r="S506" s="30"/>
      <c r="T506" s="30"/>
      <c r="U506" s="30"/>
      <c r="V506" s="30"/>
      <c r="W506" s="30"/>
      <c r="X506" s="30"/>
      <c r="Y506" s="30"/>
      <c r="Z506" s="30"/>
    </row>
    <row r="507" spans="1:26" ht="21" customHeight="1" x14ac:dyDescent="0.85">
      <c r="A507" s="708"/>
      <c r="B507" s="708"/>
      <c r="C507" s="708"/>
      <c r="D507" s="708"/>
      <c r="E507" s="708"/>
      <c r="F507" s="708"/>
      <c r="G507" s="30"/>
      <c r="H507" s="30"/>
      <c r="I507" s="30"/>
      <c r="J507" s="30"/>
      <c r="K507" s="30"/>
      <c r="L507" s="30"/>
      <c r="M507" s="30"/>
      <c r="N507" s="30"/>
      <c r="O507" s="30"/>
      <c r="P507" s="30"/>
      <c r="Q507" s="30"/>
      <c r="R507" s="30"/>
      <c r="S507" s="30"/>
      <c r="T507" s="30"/>
      <c r="U507" s="30"/>
      <c r="V507" s="30"/>
      <c r="W507" s="30"/>
      <c r="X507" s="30"/>
      <c r="Y507" s="30"/>
      <c r="Z507" s="30"/>
    </row>
    <row r="508" spans="1:26" ht="21" customHeight="1" x14ac:dyDescent="0.85">
      <c r="A508" s="708"/>
      <c r="B508" s="708"/>
      <c r="C508" s="708"/>
      <c r="D508" s="708"/>
      <c r="E508" s="708"/>
      <c r="F508" s="708"/>
      <c r="G508" s="30"/>
      <c r="H508" s="30"/>
      <c r="I508" s="30"/>
      <c r="J508" s="30"/>
      <c r="K508" s="30"/>
      <c r="L508" s="30"/>
      <c r="M508" s="30"/>
      <c r="N508" s="30"/>
      <c r="O508" s="30"/>
      <c r="P508" s="30"/>
      <c r="Q508" s="30"/>
      <c r="R508" s="30"/>
      <c r="S508" s="30"/>
      <c r="T508" s="30"/>
      <c r="U508" s="30"/>
      <c r="V508" s="30"/>
      <c r="W508" s="30"/>
      <c r="X508" s="30"/>
      <c r="Y508" s="30"/>
      <c r="Z508" s="30"/>
    </row>
    <row r="509" spans="1:26" ht="21" customHeight="1" x14ac:dyDescent="0.85">
      <c r="A509" s="708"/>
      <c r="B509" s="708"/>
      <c r="C509" s="708"/>
      <c r="D509" s="708"/>
      <c r="E509" s="708"/>
      <c r="F509" s="708"/>
      <c r="G509" s="30"/>
      <c r="H509" s="30"/>
      <c r="I509" s="30"/>
      <c r="J509" s="30"/>
      <c r="K509" s="30"/>
      <c r="L509" s="30"/>
      <c r="M509" s="30"/>
      <c r="N509" s="30"/>
      <c r="O509" s="30"/>
      <c r="P509" s="30"/>
      <c r="Q509" s="30"/>
      <c r="R509" s="30"/>
      <c r="S509" s="30"/>
      <c r="T509" s="30"/>
      <c r="U509" s="30"/>
      <c r="V509" s="30"/>
      <c r="W509" s="30"/>
      <c r="X509" s="30"/>
      <c r="Y509" s="30"/>
      <c r="Z509" s="30"/>
    </row>
    <row r="510" spans="1:26" ht="21" customHeight="1" x14ac:dyDescent="0.85">
      <c r="A510" s="708"/>
      <c r="B510" s="708"/>
      <c r="C510" s="708"/>
      <c r="D510" s="708"/>
      <c r="E510" s="708"/>
      <c r="F510" s="708"/>
      <c r="G510" s="30"/>
      <c r="H510" s="30"/>
      <c r="I510" s="30"/>
      <c r="J510" s="30"/>
      <c r="K510" s="30"/>
      <c r="L510" s="30"/>
      <c r="M510" s="30"/>
      <c r="N510" s="30"/>
      <c r="O510" s="30"/>
      <c r="P510" s="30"/>
      <c r="Q510" s="30"/>
      <c r="R510" s="30"/>
      <c r="S510" s="30"/>
      <c r="T510" s="30"/>
      <c r="U510" s="30"/>
      <c r="V510" s="30"/>
      <c r="W510" s="30"/>
      <c r="X510" s="30"/>
      <c r="Y510" s="30"/>
      <c r="Z510" s="30"/>
    </row>
    <row r="511" spans="1:26" ht="21" customHeight="1" x14ac:dyDescent="0.85">
      <c r="A511" s="708"/>
      <c r="B511" s="708"/>
      <c r="C511" s="708"/>
      <c r="D511" s="708"/>
      <c r="E511" s="708"/>
      <c r="F511" s="708"/>
      <c r="G511" s="30"/>
      <c r="H511" s="30"/>
      <c r="I511" s="30"/>
      <c r="J511" s="30"/>
      <c r="K511" s="30"/>
      <c r="L511" s="30"/>
      <c r="M511" s="30"/>
      <c r="N511" s="30"/>
      <c r="O511" s="30"/>
      <c r="P511" s="30"/>
      <c r="Q511" s="30"/>
      <c r="R511" s="30"/>
      <c r="S511" s="30"/>
      <c r="T511" s="30"/>
      <c r="U511" s="30"/>
      <c r="V511" s="30"/>
      <c r="W511" s="30"/>
      <c r="X511" s="30"/>
      <c r="Y511" s="30"/>
      <c r="Z511" s="30"/>
    </row>
    <row r="512" spans="1:26" ht="21" customHeight="1" x14ac:dyDescent="0.85">
      <c r="A512" s="708"/>
      <c r="B512" s="708"/>
      <c r="C512" s="708"/>
      <c r="D512" s="708"/>
      <c r="E512" s="708"/>
      <c r="F512" s="708"/>
      <c r="G512" s="30"/>
      <c r="H512" s="30"/>
      <c r="I512" s="30"/>
      <c r="J512" s="30"/>
      <c r="K512" s="30"/>
      <c r="L512" s="30"/>
      <c r="M512" s="30"/>
      <c r="N512" s="30"/>
      <c r="O512" s="30"/>
      <c r="P512" s="30"/>
      <c r="Q512" s="30"/>
      <c r="R512" s="30"/>
      <c r="S512" s="30"/>
      <c r="T512" s="30"/>
      <c r="U512" s="30"/>
      <c r="V512" s="30"/>
      <c r="W512" s="30"/>
      <c r="X512" s="30"/>
      <c r="Y512" s="30"/>
      <c r="Z512" s="30"/>
    </row>
    <row r="513" spans="1:26" ht="21" customHeight="1" x14ac:dyDescent="0.85">
      <c r="A513" s="708"/>
      <c r="B513" s="708"/>
      <c r="C513" s="708"/>
      <c r="D513" s="708"/>
      <c r="E513" s="708"/>
      <c r="F513" s="708"/>
      <c r="G513" s="30"/>
      <c r="H513" s="30"/>
      <c r="I513" s="30"/>
      <c r="J513" s="30"/>
      <c r="K513" s="30"/>
      <c r="L513" s="30"/>
      <c r="M513" s="30"/>
      <c r="N513" s="30"/>
      <c r="O513" s="30"/>
      <c r="P513" s="30"/>
      <c r="Q513" s="30"/>
      <c r="R513" s="30"/>
      <c r="S513" s="30"/>
      <c r="T513" s="30"/>
      <c r="U513" s="30"/>
      <c r="V513" s="30"/>
      <c r="W513" s="30"/>
      <c r="X513" s="30"/>
      <c r="Y513" s="30"/>
      <c r="Z513" s="30"/>
    </row>
    <row r="514" spans="1:26" ht="21" customHeight="1" x14ac:dyDescent="0.85">
      <c r="A514" s="708"/>
      <c r="B514" s="708"/>
      <c r="C514" s="708"/>
      <c r="D514" s="708"/>
      <c r="E514" s="708"/>
      <c r="F514" s="708"/>
      <c r="G514" s="30"/>
      <c r="H514" s="30"/>
      <c r="I514" s="30"/>
      <c r="J514" s="30"/>
      <c r="K514" s="30"/>
      <c r="L514" s="30"/>
      <c r="M514" s="30"/>
      <c r="N514" s="30"/>
      <c r="O514" s="30"/>
      <c r="P514" s="30"/>
      <c r="Q514" s="30"/>
      <c r="R514" s="30"/>
      <c r="S514" s="30"/>
      <c r="T514" s="30"/>
      <c r="U514" s="30"/>
      <c r="V514" s="30"/>
      <c r="W514" s="30"/>
      <c r="X514" s="30"/>
      <c r="Y514" s="30"/>
      <c r="Z514" s="30"/>
    </row>
    <row r="515" spans="1:26" ht="21" customHeight="1" x14ac:dyDescent="0.85">
      <c r="A515" s="708"/>
      <c r="B515" s="708"/>
      <c r="C515" s="708"/>
      <c r="D515" s="708"/>
      <c r="E515" s="708"/>
      <c r="F515" s="708"/>
      <c r="G515" s="30"/>
      <c r="H515" s="30"/>
      <c r="I515" s="30"/>
      <c r="J515" s="30"/>
      <c r="K515" s="30"/>
      <c r="L515" s="30"/>
      <c r="M515" s="30"/>
      <c r="N515" s="30"/>
      <c r="O515" s="30"/>
      <c r="P515" s="30"/>
      <c r="Q515" s="30"/>
      <c r="R515" s="30"/>
      <c r="S515" s="30"/>
      <c r="T515" s="30"/>
      <c r="U515" s="30"/>
      <c r="V515" s="30"/>
      <c r="W515" s="30"/>
      <c r="X515" s="30"/>
      <c r="Y515" s="30"/>
      <c r="Z515" s="30"/>
    </row>
    <row r="516" spans="1:26" ht="21" customHeight="1" x14ac:dyDescent="0.85">
      <c r="A516" s="708"/>
      <c r="B516" s="708"/>
      <c r="C516" s="708"/>
      <c r="D516" s="708"/>
      <c r="E516" s="708"/>
      <c r="F516" s="708"/>
      <c r="G516" s="30"/>
      <c r="H516" s="30"/>
      <c r="I516" s="30"/>
      <c r="J516" s="30"/>
      <c r="K516" s="30"/>
      <c r="L516" s="30"/>
      <c r="M516" s="30"/>
      <c r="N516" s="30"/>
      <c r="O516" s="30"/>
      <c r="P516" s="30"/>
      <c r="Q516" s="30"/>
      <c r="R516" s="30"/>
      <c r="S516" s="30"/>
      <c r="T516" s="30"/>
      <c r="U516" s="30"/>
      <c r="V516" s="30"/>
      <c r="W516" s="30"/>
      <c r="X516" s="30"/>
      <c r="Y516" s="30"/>
      <c r="Z516" s="30"/>
    </row>
    <row r="517" spans="1:26" ht="21" customHeight="1" x14ac:dyDescent="0.85">
      <c r="A517" s="708"/>
      <c r="B517" s="708"/>
      <c r="C517" s="708"/>
      <c r="D517" s="708"/>
      <c r="E517" s="708"/>
      <c r="F517" s="708"/>
      <c r="G517" s="30"/>
      <c r="H517" s="30"/>
      <c r="I517" s="30"/>
      <c r="J517" s="30"/>
      <c r="K517" s="30"/>
      <c r="L517" s="30"/>
      <c r="M517" s="30"/>
      <c r="N517" s="30"/>
      <c r="O517" s="30"/>
      <c r="P517" s="30"/>
      <c r="Q517" s="30"/>
      <c r="R517" s="30"/>
      <c r="S517" s="30"/>
      <c r="T517" s="30"/>
      <c r="U517" s="30"/>
      <c r="V517" s="30"/>
      <c r="W517" s="30"/>
      <c r="X517" s="30"/>
      <c r="Y517" s="30"/>
      <c r="Z517" s="30"/>
    </row>
    <row r="518" spans="1:26" ht="21" customHeight="1" x14ac:dyDescent="0.85">
      <c r="A518" s="708"/>
      <c r="B518" s="708"/>
      <c r="C518" s="708"/>
      <c r="D518" s="708"/>
      <c r="E518" s="708"/>
      <c r="F518" s="708"/>
      <c r="G518" s="30"/>
      <c r="H518" s="30"/>
      <c r="I518" s="30"/>
      <c r="J518" s="30"/>
      <c r="K518" s="30"/>
      <c r="L518" s="30"/>
      <c r="M518" s="30"/>
      <c r="N518" s="30"/>
      <c r="O518" s="30"/>
      <c r="P518" s="30"/>
      <c r="Q518" s="30"/>
      <c r="R518" s="30"/>
      <c r="S518" s="30"/>
      <c r="T518" s="30"/>
      <c r="U518" s="30"/>
      <c r="V518" s="30"/>
      <c r="W518" s="30"/>
      <c r="X518" s="30"/>
      <c r="Y518" s="30"/>
      <c r="Z518" s="30"/>
    </row>
    <row r="519" spans="1:26" ht="21" customHeight="1" x14ac:dyDescent="0.85">
      <c r="A519" s="708"/>
      <c r="B519" s="708"/>
      <c r="C519" s="708"/>
      <c r="D519" s="708"/>
      <c r="E519" s="708"/>
      <c r="F519" s="708"/>
      <c r="G519" s="30"/>
      <c r="H519" s="30"/>
      <c r="I519" s="30"/>
      <c r="J519" s="30"/>
      <c r="K519" s="30"/>
      <c r="L519" s="30"/>
      <c r="M519" s="30"/>
      <c r="N519" s="30"/>
      <c r="O519" s="30"/>
      <c r="P519" s="30"/>
      <c r="Q519" s="30"/>
      <c r="R519" s="30"/>
      <c r="S519" s="30"/>
      <c r="T519" s="30"/>
      <c r="U519" s="30"/>
      <c r="V519" s="30"/>
      <c r="W519" s="30"/>
      <c r="X519" s="30"/>
      <c r="Y519" s="30"/>
      <c r="Z519" s="30"/>
    </row>
    <row r="520" spans="1:26" ht="21" customHeight="1" x14ac:dyDescent="0.85">
      <c r="A520" s="708"/>
      <c r="B520" s="708"/>
      <c r="C520" s="708"/>
      <c r="D520" s="708"/>
      <c r="E520" s="708"/>
      <c r="F520" s="708"/>
      <c r="G520" s="30"/>
      <c r="H520" s="30"/>
      <c r="I520" s="30"/>
      <c r="J520" s="30"/>
      <c r="K520" s="30"/>
      <c r="L520" s="30"/>
      <c r="M520" s="30"/>
      <c r="N520" s="30"/>
      <c r="O520" s="30"/>
      <c r="P520" s="30"/>
      <c r="Q520" s="30"/>
      <c r="R520" s="30"/>
      <c r="S520" s="30"/>
      <c r="T520" s="30"/>
      <c r="U520" s="30"/>
      <c r="V520" s="30"/>
      <c r="W520" s="30"/>
      <c r="X520" s="30"/>
      <c r="Y520" s="30"/>
      <c r="Z520" s="30"/>
    </row>
    <row r="521" spans="1:26" ht="21" customHeight="1" x14ac:dyDescent="0.85">
      <c r="A521" s="708"/>
      <c r="B521" s="708"/>
      <c r="C521" s="708"/>
      <c r="D521" s="708"/>
      <c r="E521" s="708"/>
      <c r="F521" s="708"/>
      <c r="G521" s="30"/>
      <c r="H521" s="30"/>
      <c r="I521" s="30"/>
      <c r="J521" s="30"/>
      <c r="K521" s="30"/>
      <c r="L521" s="30"/>
      <c r="M521" s="30"/>
      <c r="N521" s="30"/>
      <c r="O521" s="30"/>
      <c r="P521" s="30"/>
      <c r="Q521" s="30"/>
      <c r="R521" s="30"/>
      <c r="S521" s="30"/>
      <c r="T521" s="30"/>
      <c r="U521" s="30"/>
      <c r="V521" s="30"/>
      <c r="W521" s="30"/>
      <c r="X521" s="30"/>
      <c r="Y521" s="30"/>
      <c r="Z521" s="30"/>
    </row>
    <row r="522" spans="1:26" ht="21" customHeight="1" x14ac:dyDescent="0.85">
      <c r="A522" s="708"/>
      <c r="B522" s="708"/>
      <c r="C522" s="708"/>
      <c r="D522" s="708"/>
      <c r="E522" s="708"/>
      <c r="F522" s="708"/>
      <c r="G522" s="30"/>
      <c r="H522" s="30"/>
      <c r="I522" s="30"/>
      <c r="J522" s="30"/>
      <c r="K522" s="30"/>
      <c r="L522" s="30"/>
      <c r="M522" s="30"/>
      <c r="N522" s="30"/>
      <c r="O522" s="30"/>
      <c r="P522" s="30"/>
      <c r="Q522" s="30"/>
      <c r="R522" s="30"/>
      <c r="S522" s="30"/>
      <c r="T522" s="30"/>
      <c r="U522" s="30"/>
      <c r="V522" s="30"/>
      <c r="W522" s="30"/>
      <c r="X522" s="30"/>
      <c r="Y522" s="30"/>
      <c r="Z522" s="30"/>
    </row>
    <row r="523" spans="1:26" ht="21" customHeight="1" x14ac:dyDescent="0.85">
      <c r="A523" s="708"/>
      <c r="B523" s="708"/>
      <c r="C523" s="708"/>
      <c r="D523" s="708"/>
      <c r="E523" s="708"/>
      <c r="F523" s="708"/>
      <c r="G523" s="30"/>
      <c r="H523" s="30"/>
      <c r="I523" s="30"/>
      <c r="J523" s="30"/>
      <c r="K523" s="30"/>
      <c r="L523" s="30"/>
      <c r="M523" s="30"/>
      <c r="N523" s="30"/>
      <c r="O523" s="30"/>
      <c r="P523" s="30"/>
      <c r="Q523" s="30"/>
      <c r="R523" s="30"/>
      <c r="S523" s="30"/>
      <c r="T523" s="30"/>
      <c r="U523" s="30"/>
      <c r="V523" s="30"/>
      <c r="W523" s="30"/>
      <c r="X523" s="30"/>
      <c r="Y523" s="30"/>
      <c r="Z523" s="30"/>
    </row>
    <row r="524" spans="1:26" ht="21" customHeight="1" x14ac:dyDescent="0.85">
      <c r="A524" s="708"/>
      <c r="B524" s="708"/>
      <c r="C524" s="708"/>
      <c r="D524" s="708"/>
      <c r="E524" s="708"/>
      <c r="F524" s="708"/>
      <c r="G524" s="30"/>
      <c r="H524" s="30"/>
      <c r="I524" s="30"/>
      <c r="J524" s="30"/>
      <c r="K524" s="30"/>
      <c r="L524" s="30"/>
      <c r="M524" s="30"/>
      <c r="N524" s="30"/>
      <c r="O524" s="30"/>
      <c r="P524" s="30"/>
      <c r="Q524" s="30"/>
      <c r="R524" s="30"/>
      <c r="S524" s="30"/>
      <c r="T524" s="30"/>
      <c r="U524" s="30"/>
      <c r="V524" s="30"/>
      <c r="W524" s="30"/>
      <c r="X524" s="30"/>
      <c r="Y524" s="30"/>
      <c r="Z524" s="30"/>
    </row>
    <row r="525" spans="1:26" ht="21" customHeight="1" x14ac:dyDescent="0.85">
      <c r="A525" s="708"/>
      <c r="B525" s="708"/>
      <c r="C525" s="708"/>
      <c r="D525" s="708"/>
      <c r="E525" s="708"/>
      <c r="F525" s="708"/>
      <c r="G525" s="30"/>
      <c r="H525" s="30"/>
      <c r="I525" s="30"/>
      <c r="J525" s="30"/>
      <c r="K525" s="30"/>
      <c r="L525" s="30"/>
      <c r="M525" s="30"/>
      <c r="N525" s="30"/>
      <c r="O525" s="30"/>
      <c r="P525" s="30"/>
      <c r="Q525" s="30"/>
      <c r="R525" s="30"/>
      <c r="S525" s="30"/>
      <c r="T525" s="30"/>
      <c r="U525" s="30"/>
      <c r="V525" s="30"/>
      <c r="W525" s="30"/>
      <c r="X525" s="30"/>
      <c r="Y525" s="30"/>
      <c r="Z525" s="30"/>
    </row>
    <row r="526" spans="1:26" ht="21" customHeight="1" x14ac:dyDescent="0.85">
      <c r="A526" s="708"/>
      <c r="B526" s="708"/>
      <c r="C526" s="708"/>
      <c r="D526" s="708"/>
      <c r="E526" s="708"/>
      <c r="F526" s="708"/>
      <c r="G526" s="30"/>
      <c r="H526" s="30"/>
      <c r="I526" s="30"/>
      <c r="J526" s="30"/>
      <c r="K526" s="30"/>
      <c r="L526" s="30"/>
      <c r="M526" s="30"/>
      <c r="N526" s="30"/>
      <c r="O526" s="30"/>
      <c r="P526" s="30"/>
      <c r="Q526" s="30"/>
      <c r="R526" s="30"/>
      <c r="S526" s="30"/>
      <c r="T526" s="30"/>
      <c r="U526" s="30"/>
      <c r="V526" s="30"/>
      <c r="W526" s="30"/>
      <c r="X526" s="30"/>
      <c r="Y526" s="30"/>
      <c r="Z526" s="30"/>
    </row>
    <row r="527" spans="1:26" ht="21" customHeight="1" x14ac:dyDescent="0.85">
      <c r="A527" s="708"/>
      <c r="B527" s="708"/>
      <c r="C527" s="708"/>
      <c r="D527" s="708"/>
      <c r="E527" s="708"/>
      <c r="F527" s="708"/>
      <c r="G527" s="30"/>
      <c r="H527" s="30"/>
      <c r="I527" s="30"/>
      <c r="J527" s="30"/>
      <c r="K527" s="30"/>
      <c r="L527" s="30"/>
      <c r="M527" s="30"/>
      <c r="N527" s="30"/>
      <c r="O527" s="30"/>
      <c r="P527" s="30"/>
      <c r="Q527" s="30"/>
      <c r="R527" s="30"/>
      <c r="S527" s="30"/>
      <c r="T527" s="30"/>
      <c r="U527" s="30"/>
      <c r="V527" s="30"/>
      <c r="W527" s="30"/>
      <c r="X527" s="30"/>
      <c r="Y527" s="30"/>
      <c r="Z527" s="30"/>
    </row>
    <row r="528" spans="1:26" ht="21" customHeight="1" x14ac:dyDescent="0.85">
      <c r="A528" s="708"/>
      <c r="B528" s="708"/>
      <c r="C528" s="708"/>
      <c r="D528" s="708"/>
      <c r="E528" s="708"/>
      <c r="F528" s="708"/>
      <c r="G528" s="30"/>
      <c r="H528" s="30"/>
      <c r="I528" s="30"/>
      <c r="J528" s="30"/>
      <c r="K528" s="30"/>
      <c r="L528" s="30"/>
      <c r="M528" s="30"/>
      <c r="N528" s="30"/>
      <c r="O528" s="30"/>
      <c r="P528" s="30"/>
      <c r="Q528" s="30"/>
      <c r="R528" s="30"/>
      <c r="S528" s="30"/>
      <c r="T528" s="30"/>
      <c r="U528" s="30"/>
      <c r="V528" s="30"/>
      <c r="W528" s="30"/>
      <c r="X528" s="30"/>
      <c r="Y528" s="30"/>
      <c r="Z528" s="30"/>
    </row>
    <row r="529" spans="1:26" ht="21" customHeight="1" x14ac:dyDescent="0.85">
      <c r="A529" s="708"/>
      <c r="B529" s="708"/>
      <c r="C529" s="708"/>
      <c r="D529" s="708"/>
      <c r="E529" s="708"/>
      <c r="F529" s="708"/>
      <c r="G529" s="30"/>
      <c r="H529" s="30"/>
      <c r="I529" s="30"/>
      <c r="J529" s="30"/>
      <c r="K529" s="30"/>
      <c r="L529" s="30"/>
      <c r="M529" s="30"/>
      <c r="N529" s="30"/>
      <c r="O529" s="30"/>
      <c r="P529" s="30"/>
      <c r="Q529" s="30"/>
      <c r="R529" s="30"/>
      <c r="S529" s="30"/>
      <c r="T529" s="30"/>
      <c r="U529" s="30"/>
      <c r="V529" s="30"/>
      <c r="W529" s="30"/>
      <c r="X529" s="30"/>
      <c r="Y529" s="30"/>
      <c r="Z529" s="30"/>
    </row>
    <row r="530" spans="1:26" ht="21" customHeight="1" x14ac:dyDescent="0.85">
      <c r="A530" s="708"/>
      <c r="B530" s="708"/>
      <c r="C530" s="708"/>
      <c r="D530" s="708"/>
      <c r="E530" s="708"/>
      <c r="F530" s="708"/>
      <c r="G530" s="30"/>
      <c r="H530" s="30"/>
      <c r="I530" s="30"/>
      <c r="J530" s="30"/>
      <c r="K530" s="30"/>
      <c r="L530" s="30"/>
      <c r="M530" s="30"/>
      <c r="N530" s="30"/>
      <c r="O530" s="30"/>
      <c r="P530" s="30"/>
      <c r="Q530" s="30"/>
      <c r="R530" s="30"/>
      <c r="S530" s="30"/>
      <c r="T530" s="30"/>
      <c r="U530" s="30"/>
      <c r="V530" s="30"/>
      <c r="W530" s="30"/>
      <c r="X530" s="30"/>
      <c r="Y530" s="30"/>
      <c r="Z530" s="30"/>
    </row>
    <row r="531" spans="1:26" ht="21" customHeight="1" x14ac:dyDescent="0.85">
      <c r="A531" s="708"/>
      <c r="B531" s="708"/>
      <c r="C531" s="708"/>
      <c r="D531" s="708"/>
      <c r="E531" s="708"/>
      <c r="F531" s="708"/>
      <c r="G531" s="30"/>
      <c r="H531" s="30"/>
      <c r="I531" s="30"/>
      <c r="J531" s="30"/>
      <c r="K531" s="30"/>
      <c r="L531" s="30"/>
      <c r="M531" s="30"/>
      <c r="N531" s="30"/>
      <c r="O531" s="30"/>
      <c r="P531" s="30"/>
      <c r="Q531" s="30"/>
      <c r="R531" s="30"/>
      <c r="S531" s="30"/>
      <c r="T531" s="30"/>
      <c r="U531" s="30"/>
      <c r="V531" s="30"/>
      <c r="W531" s="30"/>
      <c r="X531" s="30"/>
      <c r="Y531" s="30"/>
      <c r="Z531" s="30"/>
    </row>
    <row r="532" spans="1:26" ht="21" customHeight="1" x14ac:dyDescent="0.85">
      <c r="A532" s="708"/>
      <c r="B532" s="708"/>
      <c r="C532" s="708"/>
      <c r="D532" s="708"/>
      <c r="E532" s="708"/>
      <c r="F532" s="708"/>
      <c r="G532" s="30"/>
      <c r="H532" s="30"/>
      <c r="I532" s="30"/>
      <c r="J532" s="30"/>
      <c r="K532" s="30"/>
      <c r="L532" s="30"/>
      <c r="M532" s="30"/>
      <c r="N532" s="30"/>
      <c r="O532" s="30"/>
      <c r="P532" s="30"/>
      <c r="Q532" s="30"/>
      <c r="R532" s="30"/>
      <c r="S532" s="30"/>
      <c r="T532" s="30"/>
      <c r="U532" s="30"/>
      <c r="V532" s="30"/>
      <c r="W532" s="30"/>
      <c r="X532" s="30"/>
      <c r="Y532" s="30"/>
      <c r="Z532" s="30"/>
    </row>
    <row r="533" spans="1:26" ht="21" customHeight="1" x14ac:dyDescent="0.85">
      <c r="A533" s="708"/>
      <c r="B533" s="708"/>
      <c r="C533" s="708"/>
      <c r="D533" s="708"/>
      <c r="E533" s="708"/>
      <c r="F533" s="708"/>
      <c r="G533" s="30"/>
      <c r="H533" s="30"/>
      <c r="I533" s="30"/>
      <c r="J533" s="30"/>
      <c r="K533" s="30"/>
      <c r="L533" s="30"/>
      <c r="M533" s="30"/>
      <c r="N533" s="30"/>
      <c r="O533" s="30"/>
      <c r="P533" s="30"/>
      <c r="Q533" s="30"/>
      <c r="R533" s="30"/>
      <c r="S533" s="30"/>
      <c r="T533" s="30"/>
      <c r="U533" s="30"/>
      <c r="V533" s="30"/>
      <c r="W533" s="30"/>
      <c r="X533" s="30"/>
      <c r="Y533" s="30"/>
      <c r="Z533" s="30"/>
    </row>
    <row r="534" spans="1:26" ht="21" customHeight="1" x14ac:dyDescent="0.85">
      <c r="A534" s="708"/>
      <c r="B534" s="708"/>
      <c r="C534" s="708"/>
      <c r="D534" s="708"/>
      <c r="E534" s="708"/>
      <c r="F534" s="708"/>
      <c r="G534" s="30"/>
      <c r="H534" s="30"/>
      <c r="I534" s="30"/>
      <c r="J534" s="30"/>
      <c r="K534" s="30"/>
      <c r="L534" s="30"/>
      <c r="M534" s="30"/>
      <c r="N534" s="30"/>
      <c r="O534" s="30"/>
      <c r="P534" s="30"/>
      <c r="Q534" s="30"/>
      <c r="R534" s="30"/>
      <c r="S534" s="30"/>
      <c r="T534" s="30"/>
      <c r="U534" s="30"/>
      <c r="V534" s="30"/>
      <c r="W534" s="30"/>
      <c r="X534" s="30"/>
      <c r="Y534" s="30"/>
      <c r="Z534" s="30"/>
    </row>
    <row r="535" spans="1:26" ht="21" customHeight="1" x14ac:dyDescent="0.85">
      <c r="A535" s="708"/>
      <c r="B535" s="708"/>
      <c r="C535" s="708"/>
      <c r="D535" s="708"/>
      <c r="E535" s="708"/>
      <c r="F535" s="708"/>
      <c r="G535" s="30"/>
      <c r="H535" s="30"/>
      <c r="I535" s="30"/>
      <c r="J535" s="30"/>
      <c r="K535" s="30"/>
      <c r="L535" s="30"/>
      <c r="M535" s="30"/>
      <c r="N535" s="30"/>
      <c r="O535" s="30"/>
      <c r="P535" s="30"/>
      <c r="Q535" s="30"/>
      <c r="R535" s="30"/>
      <c r="S535" s="30"/>
      <c r="T535" s="30"/>
      <c r="U535" s="30"/>
      <c r="V535" s="30"/>
      <c r="W535" s="30"/>
      <c r="X535" s="30"/>
      <c r="Y535" s="30"/>
      <c r="Z535" s="30"/>
    </row>
    <row r="536" spans="1:26" ht="21" customHeight="1" x14ac:dyDescent="0.85">
      <c r="A536" s="708"/>
      <c r="B536" s="708"/>
      <c r="C536" s="708"/>
      <c r="D536" s="708"/>
      <c r="E536" s="708"/>
      <c r="F536" s="708"/>
      <c r="G536" s="30"/>
      <c r="H536" s="30"/>
      <c r="I536" s="30"/>
      <c r="J536" s="30"/>
      <c r="K536" s="30"/>
      <c r="L536" s="30"/>
      <c r="M536" s="30"/>
      <c r="N536" s="30"/>
      <c r="O536" s="30"/>
      <c r="P536" s="30"/>
      <c r="Q536" s="30"/>
      <c r="R536" s="30"/>
      <c r="S536" s="30"/>
      <c r="T536" s="30"/>
      <c r="U536" s="30"/>
      <c r="V536" s="30"/>
      <c r="W536" s="30"/>
      <c r="X536" s="30"/>
      <c r="Y536" s="30"/>
      <c r="Z536" s="30"/>
    </row>
    <row r="537" spans="1:26" ht="21" customHeight="1" x14ac:dyDescent="0.85">
      <c r="A537" s="708"/>
      <c r="B537" s="708"/>
      <c r="C537" s="708"/>
      <c r="D537" s="708"/>
      <c r="E537" s="708"/>
      <c r="F537" s="708"/>
      <c r="G537" s="30"/>
      <c r="H537" s="30"/>
      <c r="I537" s="30"/>
      <c r="J537" s="30"/>
      <c r="K537" s="30"/>
      <c r="L537" s="30"/>
      <c r="M537" s="30"/>
      <c r="N537" s="30"/>
      <c r="O537" s="30"/>
      <c r="P537" s="30"/>
      <c r="Q537" s="30"/>
      <c r="R537" s="30"/>
      <c r="S537" s="30"/>
      <c r="T537" s="30"/>
      <c r="U537" s="30"/>
      <c r="V537" s="30"/>
      <c r="W537" s="30"/>
      <c r="X537" s="30"/>
      <c r="Y537" s="30"/>
      <c r="Z537" s="30"/>
    </row>
    <row r="538" spans="1:26" ht="21" customHeight="1" x14ac:dyDescent="0.85">
      <c r="A538" s="708"/>
      <c r="B538" s="708"/>
      <c r="C538" s="708"/>
      <c r="D538" s="708"/>
      <c r="E538" s="708"/>
      <c r="F538" s="708"/>
      <c r="G538" s="30"/>
      <c r="H538" s="30"/>
      <c r="I538" s="30"/>
      <c r="J538" s="30"/>
      <c r="K538" s="30"/>
      <c r="L538" s="30"/>
      <c r="M538" s="30"/>
      <c r="N538" s="30"/>
      <c r="O538" s="30"/>
      <c r="P538" s="30"/>
      <c r="Q538" s="30"/>
      <c r="R538" s="30"/>
      <c r="S538" s="30"/>
      <c r="T538" s="30"/>
      <c r="U538" s="30"/>
      <c r="V538" s="30"/>
      <c r="W538" s="30"/>
      <c r="X538" s="30"/>
      <c r="Y538" s="30"/>
      <c r="Z538" s="30"/>
    </row>
    <row r="539" spans="1:26" ht="21" customHeight="1" x14ac:dyDescent="0.85">
      <c r="A539" s="708"/>
      <c r="B539" s="708"/>
      <c r="C539" s="708"/>
      <c r="D539" s="708"/>
      <c r="E539" s="708"/>
      <c r="F539" s="708"/>
      <c r="G539" s="30"/>
      <c r="H539" s="30"/>
      <c r="I539" s="30"/>
      <c r="J539" s="30"/>
      <c r="K539" s="30"/>
      <c r="L539" s="30"/>
      <c r="M539" s="30"/>
      <c r="N539" s="30"/>
      <c r="O539" s="30"/>
      <c r="P539" s="30"/>
      <c r="Q539" s="30"/>
      <c r="R539" s="30"/>
      <c r="S539" s="30"/>
      <c r="T539" s="30"/>
      <c r="U539" s="30"/>
      <c r="V539" s="30"/>
      <c r="W539" s="30"/>
      <c r="X539" s="30"/>
      <c r="Y539" s="30"/>
      <c r="Z539" s="30"/>
    </row>
    <row r="540" spans="1:26" ht="21" customHeight="1" x14ac:dyDescent="0.85">
      <c r="A540" s="708"/>
      <c r="B540" s="708"/>
      <c r="C540" s="708"/>
      <c r="D540" s="708"/>
      <c r="E540" s="708"/>
      <c r="F540" s="708"/>
      <c r="G540" s="30"/>
      <c r="H540" s="30"/>
      <c r="I540" s="30"/>
      <c r="J540" s="30"/>
      <c r="K540" s="30"/>
      <c r="L540" s="30"/>
      <c r="M540" s="30"/>
      <c r="N540" s="30"/>
      <c r="O540" s="30"/>
      <c r="P540" s="30"/>
      <c r="Q540" s="30"/>
      <c r="R540" s="30"/>
      <c r="S540" s="30"/>
      <c r="T540" s="30"/>
      <c r="U540" s="30"/>
      <c r="V540" s="30"/>
      <c r="W540" s="30"/>
      <c r="X540" s="30"/>
      <c r="Y540" s="30"/>
      <c r="Z540" s="30"/>
    </row>
    <row r="541" spans="1:26" ht="21" customHeight="1" x14ac:dyDescent="0.85">
      <c r="A541" s="708"/>
      <c r="B541" s="708"/>
      <c r="C541" s="708"/>
      <c r="D541" s="708"/>
      <c r="E541" s="708"/>
      <c r="F541" s="708"/>
      <c r="G541" s="30"/>
      <c r="H541" s="30"/>
      <c r="I541" s="30"/>
      <c r="J541" s="30"/>
      <c r="K541" s="30"/>
      <c r="L541" s="30"/>
      <c r="M541" s="30"/>
      <c r="N541" s="30"/>
      <c r="O541" s="30"/>
      <c r="P541" s="30"/>
      <c r="Q541" s="30"/>
      <c r="R541" s="30"/>
      <c r="S541" s="30"/>
      <c r="T541" s="30"/>
      <c r="U541" s="30"/>
      <c r="V541" s="30"/>
      <c r="W541" s="30"/>
      <c r="X541" s="30"/>
      <c r="Y541" s="30"/>
      <c r="Z541" s="30"/>
    </row>
    <row r="542" spans="1:26" ht="21" customHeight="1" x14ac:dyDescent="0.85">
      <c r="A542" s="708"/>
      <c r="B542" s="708"/>
      <c r="C542" s="708"/>
      <c r="D542" s="708"/>
      <c r="E542" s="708"/>
      <c r="F542" s="708"/>
      <c r="G542" s="30"/>
      <c r="H542" s="30"/>
      <c r="I542" s="30"/>
      <c r="J542" s="30"/>
      <c r="K542" s="30"/>
      <c r="L542" s="30"/>
      <c r="M542" s="30"/>
      <c r="N542" s="30"/>
      <c r="O542" s="30"/>
      <c r="P542" s="30"/>
      <c r="Q542" s="30"/>
      <c r="R542" s="30"/>
      <c r="S542" s="30"/>
      <c r="T542" s="30"/>
      <c r="U542" s="30"/>
      <c r="V542" s="30"/>
      <c r="W542" s="30"/>
      <c r="X542" s="30"/>
      <c r="Y542" s="30"/>
      <c r="Z542" s="30"/>
    </row>
    <row r="543" spans="1:26" ht="21" customHeight="1" x14ac:dyDescent="0.85">
      <c r="A543" s="708"/>
      <c r="B543" s="708"/>
      <c r="C543" s="708"/>
      <c r="D543" s="708"/>
      <c r="E543" s="708"/>
      <c r="F543" s="708"/>
      <c r="G543" s="30"/>
      <c r="H543" s="30"/>
      <c r="I543" s="30"/>
      <c r="J543" s="30"/>
      <c r="K543" s="30"/>
      <c r="L543" s="30"/>
      <c r="M543" s="30"/>
      <c r="N543" s="30"/>
      <c r="O543" s="30"/>
      <c r="P543" s="30"/>
      <c r="Q543" s="30"/>
      <c r="R543" s="30"/>
      <c r="S543" s="30"/>
      <c r="T543" s="30"/>
      <c r="U543" s="30"/>
      <c r="V543" s="30"/>
      <c r="W543" s="30"/>
      <c r="X543" s="30"/>
      <c r="Y543" s="30"/>
      <c r="Z543" s="30"/>
    </row>
    <row r="544" spans="1:26" ht="21" customHeight="1" x14ac:dyDescent="0.85">
      <c r="A544" s="708"/>
      <c r="B544" s="708"/>
      <c r="C544" s="708"/>
      <c r="D544" s="708"/>
      <c r="E544" s="708"/>
      <c r="F544" s="708"/>
      <c r="G544" s="30"/>
      <c r="H544" s="30"/>
      <c r="I544" s="30"/>
      <c r="J544" s="30"/>
      <c r="K544" s="30"/>
      <c r="L544" s="30"/>
      <c r="M544" s="30"/>
      <c r="N544" s="30"/>
      <c r="O544" s="30"/>
      <c r="P544" s="30"/>
      <c r="Q544" s="30"/>
      <c r="R544" s="30"/>
      <c r="S544" s="30"/>
      <c r="T544" s="30"/>
      <c r="U544" s="30"/>
      <c r="V544" s="30"/>
      <c r="W544" s="30"/>
      <c r="X544" s="30"/>
      <c r="Y544" s="30"/>
      <c r="Z544" s="30"/>
    </row>
    <row r="545" spans="1:26" ht="21" customHeight="1" x14ac:dyDescent="0.85">
      <c r="A545" s="708"/>
      <c r="B545" s="708"/>
      <c r="C545" s="708"/>
      <c r="D545" s="708"/>
      <c r="E545" s="708"/>
      <c r="F545" s="708"/>
      <c r="G545" s="30"/>
      <c r="H545" s="30"/>
      <c r="I545" s="30"/>
      <c r="J545" s="30"/>
      <c r="K545" s="30"/>
      <c r="L545" s="30"/>
      <c r="M545" s="30"/>
      <c r="N545" s="30"/>
      <c r="O545" s="30"/>
      <c r="P545" s="30"/>
      <c r="Q545" s="30"/>
      <c r="R545" s="30"/>
      <c r="S545" s="30"/>
      <c r="T545" s="30"/>
      <c r="U545" s="30"/>
      <c r="V545" s="30"/>
      <c r="W545" s="30"/>
      <c r="X545" s="30"/>
      <c r="Y545" s="30"/>
      <c r="Z545" s="30"/>
    </row>
    <row r="546" spans="1:26" ht="21" customHeight="1" x14ac:dyDescent="0.85">
      <c r="A546" s="708"/>
      <c r="B546" s="708"/>
      <c r="C546" s="708"/>
      <c r="D546" s="708"/>
      <c r="E546" s="708"/>
      <c r="F546" s="708"/>
      <c r="G546" s="30"/>
      <c r="H546" s="30"/>
      <c r="I546" s="30"/>
      <c r="J546" s="30"/>
      <c r="K546" s="30"/>
      <c r="L546" s="30"/>
      <c r="M546" s="30"/>
      <c r="N546" s="30"/>
      <c r="O546" s="30"/>
      <c r="P546" s="30"/>
      <c r="Q546" s="30"/>
      <c r="R546" s="30"/>
      <c r="S546" s="30"/>
      <c r="T546" s="30"/>
      <c r="U546" s="30"/>
      <c r="V546" s="30"/>
      <c r="W546" s="30"/>
      <c r="X546" s="30"/>
      <c r="Y546" s="30"/>
      <c r="Z546" s="30"/>
    </row>
    <row r="547" spans="1:26" ht="21" customHeight="1" x14ac:dyDescent="0.85">
      <c r="A547" s="708"/>
      <c r="B547" s="708"/>
      <c r="C547" s="708"/>
      <c r="D547" s="708"/>
      <c r="E547" s="708"/>
      <c r="F547" s="708"/>
      <c r="G547" s="30"/>
      <c r="H547" s="30"/>
      <c r="I547" s="30"/>
      <c r="J547" s="30"/>
      <c r="K547" s="30"/>
      <c r="L547" s="30"/>
      <c r="M547" s="30"/>
      <c r="N547" s="30"/>
      <c r="O547" s="30"/>
      <c r="P547" s="30"/>
      <c r="Q547" s="30"/>
      <c r="R547" s="30"/>
      <c r="S547" s="30"/>
      <c r="T547" s="30"/>
      <c r="U547" s="30"/>
      <c r="V547" s="30"/>
      <c r="W547" s="30"/>
      <c r="X547" s="30"/>
      <c r="Y547" s="30"/>
      <c r="Z547" s="30"/>
    </row>
    <row r="548" spans="1:26" ht="21" customHeight="1" x14ac:dyDescent="0.85">
      <c r="A548" s="708"/>
      <c r="B548" s="708"/>
      <c r="C548" s="708"/>
      <c r="D548" s="708"/>
      <c r="E548" s="708"/>
      <c r="F548" s="708"/>
      <c r="G548" s="30"/>
      <c r="H548" s="30"/>
      <c r="I548" s="30"/>
      <c r="J548" s="30"/>
      <c r="K548" s="30"/>
      <c r="L548" s="30"/>
      <c r="M548" s="30"/>
      <c r="N548" s="30"/>
      <c r="O548" s="30"/>
      <c r="P548" s="30"/>
      <c r="Q548" s="30"/>
      <c r="R548" s="30"/>
      <c r="S548" s="30"/>
      <c r="T548" s="30"/>
      <c r="U548" s="30"/>
      <c r="V548" s="30"/>
      <c r="W548" s="30"/>
      <c r="X548" s="30"/>
      <c r="Y548" s="30"/>
      <c r="Z548" s="30"/>
    </row>
    <row r="549" spans="1:26" ht="21" customHeight="1" x14ac:dyDescent="0.85">
      <c r="A549" s="708"/>
      <c r="B549" s="708"/>
      <c r="C549" s="708"/>
      <c r="D549" s="708"/>
      <c r="E549" s="708"/>
      <c r="F549" s="708"/>
      <c r="G549" s="30"/>
      <c r="H549" s="30"/>
      <c r="I549" s="30"/>
      <c r="J549" s="30"/>
      <c r="K549" s="30"/>
      <c r="L549" s="30"/>
      <c r="M549" s="30"/>
      <c r="N549" s="30"/>
      <c r="O549" s="30"/>
      <c r="P549" s="30"/>
      <c r="Q549" s="30"/>
      <c r="R549" s="30"/>
      <c r="S549" s="30"/>
      <c r="T549" s="30"/>
      <c r="U549" s="30"/>
      <c r="V549" s="30"/>
      <c r="W549" s="30"/>
      <c r="X549" s="30"/>
      <c r="Y549" s="30"/>
      <c r="Z549" s="30"/>
    </row>
    <row r="550" spans="1:26" ht="21" customHeight="1" x14ac:dyDescent="0.85">
      <c r="A550" s="708"/>
      <c r="B550" s="708"/>
      <c r="C550" s="708"/>
      <c r="D550" s="708"/>
      <c r="E550" s="708"/>
      <c r="F550" s="708"/>
      <c r="G550" s="30"/>
      <c r="H550" s="30"/>
      <c r="I550" s="30"/>
      <c r="J550" s="30"/>
      <c r="K550" s="30"/>
      <c r="L550" s="30"/>
      <c r="M550" s="30"/>
      <c r="N550" s="30"/>
      <c r="O550" s="30"/>
      <c r="P550" s="30"/>
      <c r="Q550" s="30"/>
      <c r="R550" s="30"/>
      <c r="S550" s="30"/>
      <c r="T550" s="30"/>
      <c r="U550" s="30"/>
      <c r="V550" s="30"/>
      <c r="W550" s="30"/>
      <c r="X550" s="30"/>
      <c r="Y550" s="30"/>
      <c r="Z550" s="30"/>
    </row>
    <row r="551" spans="1:26" ht="21" customHeight="1" x14ac:dyDescent="0.85">
      <c r="A551" s="708"/>
      <c r="B551" s="708"/>
      <c r="C551" s="708"/>
      <c r="D551" s="708"/>
      <c r="E551" s="708"/>
      <c r="F551" s="708"/>
      <c r="G551" s="30"/>
      <c r="H551" s="30"/>
      <c r="I551" s="30"/>
      <c r="J551" s="30"/>
      <c r="K551" s="30"/>
      <c r="L551" s="30"/>
      <c r="M551" s="30"/>
      <c r="N551" s="30"/>
      <c r="O551" s="30"/>
      <c r="P551" s="30"/>
      <c r="Q551" s="30"/>
      <c r="R551" s="30"/>
      <c r="S551" s="30"/>
      <c r="T551" s="30"/>
      <c r="U551" s="30"/>
      <c r="V551" s="30"/>
      <c r="W551" s="30"/>
      <c r="X551" s="30"/>
      <c r="Y551" s="30"/>
      <c r="Z551" s="30"/>
    </row>
    <row r="552" spans="1:26" ht="21" customHeight="1" x14ac:dyDescent="0.85">
      <c r="A552" s="708"/>
      <c r="B552" s="708"/>
      <c r="C552" s="708"/>
      <c r="D552" s="708"/>
      <c r="E552" s="708"/>
      <c r="F552" s="708"/>
      <c r="G552" s="30"/>
      <c r="H552" s="30"/>
      <c r="I552" s="30"/>
      <c r="J552" s="30"/>
      <c r="K552" s="30"/>
      <c r="L552" s="30"/>
      <c r="M552" s="30"/>
      <c r="N552" s="30"/>
      <c r="O552" s="30"/>
      <c r="P552" s="30"/>
      <c r="Q552" s="30"/>
      <c r="R552" s="30"/>
      <c r="S552" s="30"/>
      <c r="T552" s="30"/>
      <c r="U552" s="30"/>
      <c r="V552" s="30"/>
      <c r="W552" s="30"/>
      <c r="X552" s="30"/>
      <c r="Y552" s="30"/>
      <c r="Z552" s="30"/>
    </row>
    <row r="553" spans="1:26" ht="21" customHeight="1" x14ac:dyDescent="0.85">
      <c r="A553" s="708"/>
      <c r="B553" s="708"/>
      <c r="C553" s="708"/>
      <c r="D553" s="708"/>
      <c r="E553" s="708"/>
      <c r="F553" s="708"/>
      <c r="G553" s="30"/>
      <c r="H553" s="30"/>
      <c r="I553" s="30"/>
      <c r="J553" s="30"/>
      <c r="K553" s="30"/>
      <c r="L553" s="30"/>
      <c r="M553" s="30"/>
      <c r="N553" s="30"/>
      <c r="O553" s="30"/>
      <c r="P553" s="30"/>
      <c r="Q553" s="30"/>
      <c r="R553" s="30"/>
      <c r="S553" s="30"/>
      <c r="T553" s="30"/>
      <c r="U553" s="30"/>
      <c r="V553" s="30"/>
      <c r="W553" s="30"/>
      <c r="X553" s="30"/>
      <c r="Y553" s="30"/>
      <c r="Z553" s="30"/>
    </row>
    <row r="554" spans="1:26" ht="21" customHeight="1" x14ac:dyDescent="0.85">
      <c r="A554" s="708"/>
      <c r="B554" s="708"/>
      <c r="C554" s="708"/>
      <c r="D554" s="708"/>
      <c r="E554" s="708"/>
      <c r="F554" s="708"/>
      <c r="G554" s="30"/>
      <c r="H554" s="30"/>
      <c r="I554" s="30"/>
      <c r="J554" s="30"/>
      <c r="K554" s="30"/>
      <c r="L554" s="30"/>
      <c r="M554" s="30"/>
      <c r="N554" s="30"/>
      <c r="O554" s="30"/>
      <c r="P554" s="30"/>
      <c r="Q554" s="30"/>
      <c r="R554" s="30"/>
      <c r="S554" s="30"/>
      <c r="T554" s="30"/>
      <c r="U554" s="30"/>
      <c r="V554" s="30"/>
      <c r="W554" s="30"/>
      <c r="X554" s="30"/>
      <c r="Y554" s="30"/>
      <c r="Z554" s="30"/>
    </row>
    <row r="555" spans="1:26" ht="21" customHeight="1" x14ac:dyDescent="0.85">
      <c r="A555" s="708"/>
      <c r="B555" s="708"/>
      <c r="C555" s="708"/>
      <c r="D555" s="708"/>
      <c r="E555" s="708"/>
      <c r="F555" s="708"/>
      <c r="G555" s="30"/>
      <c r="H555" s="30"/>
      <c r="I555" s="30"/>
      <c r="J555" s="30"/>
      <c r="K555" s="30"/>
      <c r="L555" s="30"/>
      <c r="M555" s="30"/>
      <c r="N555" s="30"/>
      <c r="O555" s="30"/>
      <c r="P555" s="30"/>
      <c r="Q555" s="30"/>
      <c r="R555" s="30"/>
      <c r="S555" s="30"/>
      <c r="T555" s="30"/>
      <c r="U555" s="30"/>
      <c r="V555" s="30"/>
      <c r="W555" s="30"/>
      <c r="X555" s="30"/>
      <c r="Y555" s="30"/>
      <c r="Z555" s="30"/>
    </row>
    <row r="556" spans="1:26" ht="21" customHeight="1" x14ac:dyDescent="0.85">
      <c r="A556" s="708"/>
      <c r="B556" s="708"/>
      <c r="C556" s="708"/>
      <c r="D556" s="708"/>
      <c r="E556" s="708"/>
      <c r="F556" s="708"/>
      <c r="G556" s="30"/>
      <c r="H556" s="30"/>
      <c r="I556" s="30"/>
      <c r="J556" s="30"/>
      <c r="K556" s="30"/>
      <c r="L556" s="30"/>
      <c r="M556" s="30"/>
      <c r="N556" s="30"/>
      <c r="O556" s="30"/>
      <c r="P556" s="30"/>
      <c r="Q556" s="30"/>
      <c r="R556" s="30"/>
      <c r="S556" s="30"/>
      <c r="T556" s="30"/>
      <c r="U556" s="30"/>
      <c r="V556" s="30"/>
      <c r="W556" s="30"/>
      <c r="X556" s="30"/>
      <c r="Y556" s="30"/>
      <c r="Z556" s="30"/>
    </row>
    <row r="557" spans="1:26" ht="21" customHeight="1" x14ac:dyDescent="0.85">
      <c r="A557" s="708"/>
      <c r="B557" s="708"/>
      <c r="C557" s="708"/>
      <c r="D557" s="708"/>
      <c r="E557" s="708"/>
      <c r="F557" s="708"/>
      <c r="G557" s="30"/>
      <c r="H557" s="30"/>
      <c r="I557" s="30"/>
      <c r="J557" s="30"/>
      <c r="K557" s="30"/>
      <c r="L557" s="30"/>
      <c r="M557" s="30"/>
      <c r="N557" s="30"/>
      <c r="O557" s="30"/>
      <c r="P557" s="30"/>
      <c r="Q557" s="30"/>
      <c r="R557" s="30"/>
      <c r="S557" s="30"/>
      <c r="T557" s="30"/>
      <c r="U557" s="30"/>
      <c r="V557" s="30"/>
      <c r="W557" s="30"/>
      <c r="X557" s="30"/>
      <c r="Y557" s="30"/>
      <c r="Z557" s="30"/>
    </row>
    <row r="558" spans="1:26" ht="21" customHeight="1" x14ac:dyDescent="0.85">
      <c r="A558" s="708"/>
      <c r="B558" s="708"/>
      <c r="C558" s="708"/>
      <c r="D558" s="708"/>
      <c r="E558" s="708"/>
      <c r="F558" s="708"/>
      <c r="G558" s="30"/>
      <c r="H558" s="30"/>
      <c r="I558" s="30"/>
      <c r="J558" s="30"/>
      <c r="K558" s="30"/>
      <c r="L558" s="30"/>
      <c r="M558" s="30"/>
      <c r="N558" s="30"/>
      <c r="O558" s="30"/>
      <c r="P558" s="30"/>
      <c r="Q558" s="30"/>
      <c r="R558" s="30"/>
      <c r="S558" s="30"/>
      <c r="T558" s="30"/>
      <c r="U558" s="30"/>
      <c r="V558" s="30"/>
      <c r="W558" s="30"/>
      <c r="X558" s="30"/>
      <c r="Y558" s="30"/>
      <c r="Z558" s="30"/>
    </row>
    <row r="559" spans="1:26" ht="21" customHeight="1" x14ac:dyDescent="0.85">
      <c r="A559" s="708"/>
      <c r="B559" s="708"/>
      <c r="C559" s="708"/>
      <c r="D559" s="708"/>
      <c r="E559" s="708"/>
      <c r="F559" s="708"/>
      <c r="G559" s="30"/>
      <c r="H559" s="30"/>
      <c r="I559" s="30"/>
      <c r="J559" s="30"/>
      <c r="K559" s="30"/>
      <c r="L559" s="30"/>
      <c r="M559" s="30"/>
      <c r="N559" s="30"/>
      <c r="O559" s="30"/>
      <c r="P559" s="30"/>
      <c r="Q559" s="30"/>
      <c r="R559" s="30"/>
      <c r="S559" s="30"/>
      <c r="T559" s="30"/>
      <c r="U559" s="30"/>
      <c r="V559" s="30"/>
      <c r="W559" s="30"/>
      <c r="X559" s="30"/>
      <c r="Y559" s="30"/>
      <c r="Z559" s="30"/>
    </row>
    <row r="560" spans="1:26" ht="21" customHeight="1" x14ac:dyDescent="0.85">
      <c r="A560" s="708"/>
      <c r="B560" s="708"/>
      <c r="C560" s="708"/>
      <c r="D560" s="708"/>
      <c r="E560" s="708"/>
      <c r="F560" s="708"/>
      <c r="G560" s="30"/>
      <c r="H560" s="30"/>
      <c r="I560" s="30"/>
      <c r="J560" s="30"/>
      <c r="K560" s="30"/>
      <c r="L560" s="30"/>
      <c r="M560" s="30"/>
      <c r="N560" s="30"/>
      <c r="O560" s="30"/>
      <c r="P560" s="30"/>
      <c r="Q560" s="30"/>
      <c r="R560" s="30"/>
      <c r="S560" s="30"/>
      <c r="T560" s="30"/>
      <c r="U560" s="30"/>
      <c r="V560" s="30"/>
      <c r="W560" s="30"/>
      <c r="X560" s="30"/>
      <c r="Y560" s="30"/>
      <c r="Z560" s="30"/>
    </row>
    <row r="561" spans="1:26" ht="21" customHeight="1" x14ac:dyDescent="0.85">
      <c r="A561" s="708"/>
      <c r="B561" s="708"/>
      <c r="C561" s="708"/>
      <c r="D561" s="708"/>
      <c r="E561" s="708"/>
      <c r="F561" s="708"/>
      <c r="G561" s="30"/>
      <c r="H561" s="30"/>
      <c r="I561" s="30"/>
      <c r="J561" s="30"/>
      <c r="K561" s="30"/>
      <c r="L561" s="30"/>
      <c r="M561" s="30"/>
      <c r="N561" s="30"/>
      <c r="O561" s="30"/>
      <c r="P561" s="30"/>
      <c r="Q561" s="30"/>
      <c r="R561" s="30"/>
      <c r="S561" s="30"/>
      <c r="T561" s="30"/>
      <c r="U561" s="30"/>
      <c r="V561" s="30"/>
      <c r="W561" s="30"/>
      <c r="X561" s="30"/>
      <c r="Y561" s="30"/>
      <c r="Z561" s="30"/>
    </row>
    <row r="562" spans="1:26" ht="21" customHeight="1" x14ac:dyDescent="0.85">
      <c r="A562" s="708"/>
      <c r="B562" s="708"/>
      <c r="C562" s="708"/>
      <c r="D562" s="708"/>
      <c r="E562" s="708"/>
      <c r="F562" s="708"/>
      <c r="G562" s="30"/>
      <c r="H562" s="30"/>
      <c r="I562" s="30"/>
      <c r="J562" s="30"/>
      <c r="K562" s="30"/>
      <c r="L562" s="30"/>
      <c r="M562" s="30"/>
      <c r="N562" s="30"/>
      <c r="O562" s="30"/>
      <c r="P562" s="30"/>
      <c r="Q562" s="30"/>
      <c r="R562" s="30"/>
      <c r="S562" s="30"/>
      <c r="T562" s="30"/>
      <c r="U562" s="30"/>
      <c r="V562" s="30"/>
      <c r="W562" s="30"/>
      <c r="X562" s="30"/>
      <c r="Y562" s="30"/>
      <c r="Z562" s="30"/>
    </row>
    <row r="563" spans="1:26" ht="21" customHeight="1" x14ac:dyDescent="0.85">
      <c r="A563" s="708"/>
      <c r="B563" s="708"/>
      <c r="C563" s="708"/>
      <c r="D563" s="708"/>
      <c r="E563" s="708"/>
      <c r="F563" s="708"/>
      <c r="G563" s="30"/>
      <c r="H563" s="30"/>
      <c r="I563" s="30"/>
      <c r="J563" s="30"/>
      <c r="K563" s="30"/>
      <c r="L563" s="30"/>
      <c r="M563" s="30"/>
      <c r="N563" s="30"/>
      <c r="O563" s="30"/>
      <c r="P563" s="30"/>
      <c r="Q563" s="30"/>
      <c r="R563" s="30"/>
      <c r="S563" s="30"/>
      <c r="T563" s="30"/>
      <c r="U563" s="30"/>
      <c r="V563" s="30"/>
      <c r="W563" s="30"/>
      <c r="X563" s="30"/>
      <c r="Y563" s="30"/>
      <c r="Z563" s="30"/>
    </row>
    <row r="564" spans="1:26" ht="21" customHeight="1" x14ac:dyDescent="0.85">
      <c r="A564" s="708"/>
      <c r="B564" s="708"/>
      <c r="C564" s="708"/>
      <c r="D564" s="708"/>
      <c r="E564" s="708"/>
      <c r="F564" s="708"/>
      <c r="G564" s="30"/>
      <c r="H564" s="30"/>
      <c r="I564" s="30"/>
      <c r="J564" s="30"/>
      <c r="K564" s="30"/>
      <c r="L564" s="30"/>
      <c r="M564" s="30"/>
      <c r="N564" s="30"/>
      <c r="O564" s="30"/>
      <c r="P564" s="30"/>
      <c r="Q564" s="30"/>
      <c r="R564" s="30"/>
      <c r="S564" s="30"/>
      <c r="T564" s="30"/>
      <c r="U564" s="30"/>
      <c r="V564" s="30"/>
      <c r="W564" s="30"/>
      <c r="X564" s="30"/>
      <c r="Y564" s="30"/>
      <c r="Z564" s="30"/>
    </row>
    <row r="565" spans="1:26" ht="21" customHeight="1" x14ac:dyDescent="0.85">
      <c r="A565" s="708"/>
      <c r="B565" s="708"/>
      <c r="C565" s="708"/>
      <c r="D565" s="708"/>
      <c r="E565" s="708"/>
      <c r="F565" s="708"/>
      <c r="G565" s="30"/>
      <c r="H565" s="30"/>
      <c r="I565" s="30"/>
      <c r="J565" s="30"/>
      <c r="K565" s="30"/>
      <c r="L565" s="30"/>
      <c r="M565" s="30"/>
      <c r="N565" s="30"/>
      <c r="O565" s="30"/>
      <c r="P565" s="30"/>
      <c r="Q565" s="30"/>
      <c r="R565" s="30"/>
      <c r="S565" s="30"/>
      <c r="T565" s="30"/>
      <c r="U565" s="30"/>
      <c r="V565" s="30"/>
      <c r="W565" s="30"/>
      <c r="X565" s="30"/>
      <c r="Y565" s="30"/>
      <c r="Z565" s="30"/>
    </row>
    <row r="566" spans="1:26" ht="21" customHeight="1" x14ac:dyDescent="0.85">
      <c r="A566" s="708"/>
      <c r="B566" s="708"/>
      <c r="C566" s="708"/>
      <c r="D566" s="708"/>
      <c r="E566" s="708"/>
      <c r="F566" s="708"/>
      <c r="G566" s="30"/>
      <c r="H566" s="30"/>
      <c r="I566" s="30"/>
      <c r="J566" s="30"/>
      <c r="K566" s="30"/>
      <c r="L566" s="30"/>
      <c r="M566" s="30"/>
      <c r="N566" s="30"/>
      <c r="O566" s="30"/>
      <c r="P566" s="30"/>
      <c r="Q566" s="30"/>
      <c r="R566" s="30"/>
      <c r="S566" s="30"/>
      <c r="T566" s="30"/>
      <c r="U566" s="30"/>
      <c r="V566" s="30"/>
      <c r="W566" s="30"/>
      <c r="X566" s="30"/>
      <c r="Y566" s="30"/>
      <c r="Z566" s="30"/>
    </row>
    <row r="567" spans="1:26" ht="21" customHeight="1" x14ac:dyDescent="0.85">
      <c r="A567" s="708"/>
      <c r="B567" s="708"/>
      <c r="C567" s="708"/>
      <c r="D567" s="708"/>
      <c r="E567" s="708"/>
      <c r="F567" s="708"/>
      <c r="G567" s="30"/>
      <c r="H567" s="30"/>
      <c r="I567" s="30"/>
      <c r="J567" s="30"/>
      <c r="K567" s="30"/>
      <c r="L567" s="30"/>
      <c r="M567" s="30"/>
      <c r="N567" s="30"/>
      <c r="O567" s="30"/>
      <c r="P567" s="30"/>
      <c r="Q567" s="30"/>
      <c r="R567" s="30"/>
      <c r="S567" s="30"/>
      <c r="T567" s="30"/>
      <c r="U567" s="30"/>
      <c r="V567" s="30"/>
      <c r="W567" s="30"/>
      <c r="X567" s="30"/>
      <c r="Y567" s="30"/>
      <c r="Z567" s="30"/>
    </row>
    <row r="568" spans="1:26" ht="21" customHeight="1" x14ac:dyDescent="0.85">
      <c r="A568" s="708"/>
      <c r="B568" s="708"/>
      <c r="C568" s="708"/>
      <c r="D568" s="708"/>
      <c r="E568" s="708"/>
      <c r="F568" s="708"/>
      <c r="G568" s="30"/>
      <c r="H568" s="30"/>
      <c r="I568" s="30"/>
      <c r="J568" s="30"/>
      <c r="K568" s="30"/>
      <c r="L568" s="30"/>
      <c r="M568" s="30"/>
      <c r="N568" s="30"/>
      <c r="O568" s="30"/>
      <c r="P568" s="30"/>
      <c r="Q568" s="30"/>
      <c r="R568" s="30"/>
      <c r="S568" s="30"/>
      <c r="T568" s="30"/>
      <c r="U568" s="30"/>
      <c r="V568" s="30"/>
      <c r="W568" s="30"/>
      <c r="X568" s="30"/>
      <c r="Y568" s="30"/>
      <c r="Z568" s="30"/>
    </row>
    <row r="569" spans="1:26" ht="21" customHeight="1" x14ac:dyDescent="0.85">
      <c r="A569" s="708"/>
      <c r="B569" s="708"/>
      <c r="C569" s="708"/>
      <c r="D569" s="708"/>
      <c r="E569" s="708"/>
      <c r="F569" s="708"/>
      <c r="G569" s="30"/>
      <c r="H569" s="30"/>
      <c r="I569" s="30"/>
      <c r="J569" s="30"/>
      <c r="K569" s="30"/>
      <c r="L569" s="30"/>
      <c r="M569" s="30"/>
      <c r="N569" s="30"/>
      <c r="O569" s="30"/>
      <c r="P569" s="30"/>
      <c r="Q569" s="30"/>
      <c r="R569" s="30"/>
      <c r="S569" s="30"/>
      <c r="T569" s="30"/>
      <c r="U569" s="30"/>
      <c r="V569" s="30"/>
      <c r="W569" s="30"/>
      <c r="X569" s="30"/>
      <c r="Y569" s="30"/>
      <c r="Z569" s="30"/>
    </row>
    <row r="570" spans="1:26" ht="21" customHeight="1" x14ac:dyDescent="0.85">
      <c r="A570" s="708"/>
      <c r="B570" s="708"/>
      <c r="C570" s="708"/>
      <c r="D570" s="708"/>
      <c r="E570" s="708"/>
      <c r="F570" s="708"/>
      <c r="G570" s="30"/>
      <c r="H570" s="30"/>
      <c r="I570" s="30"/>
      <c r="J570" s="30"/>
      <c r="K570" s="30"/>
      <c r="L570" s="30"/>
      <c r="M570" s="30"/>
      <c r="N570" s="30"/>
      <c r="O570" s="30"/>
      <c r="P570" s="30"/>
      <c r="Q570" s="30"/>
      <c r="R570" s="30"/>
      <c r="S570" s="30"/>
      <c r="T570" s="30"/>
      <c r="U570" s="30"/>
      <c r="V570" s="30"/>
      <c r="W570" s="30"/>
      <c r="X570" s="30"/>
      <c r="Y570" s="30"/>
      <c r="Z570" s="30"/>
    </row>
    <row r="571" spans="1:26" ht="21" customHeight="1" x14ac:dyDescent="0.85">
      <c r="A571" s="708"/>
      <c r="B571" s="708"/>
      <c r="C571" s="708"/>
      <c r="D571" s="708"/>
      <c r="E571" s="708"/>
      <c r="F571" s="708"/>
      <c r="G571" s="30"/>
      <c r="H571" s="30"/>
      <c r="I571" s="30"/>
      <c r="J571" s="30"/>
      <c r="K571" s="30"/>
      <c r="L571" s="30"/>
      <c r="M571" s="30"/>
      <c r="N571" s="30"/>
      <c r="O571" s="30"/>
      <c r="P571" s="30"/>
      <c r="Q571" s="30"/>
      <c r="R571" s="30"/>
      <c r="S571" s="30"/>
      <c r="T571" s="30"/>
      <c r="U571" s="30"/>
      <c r="V571" s="30"/>
      <c r="W571" s="30"/>
      <c r="X571" s="30"/>
      <c r="Y571" s="30"/>
      <c r="Z571" s="30"/>
    </row>
    <row r="572" spans="1:26" ht="21" customHeight="1" x14ac:dyDescent="0.85">
      <c r="A572" s="708"/>
      <c r="B572" s="708"/>
      <c r="C572" s="708"/>
      <c r="D572" s="708"/>
      <c r="E572" s="708"/>
      <c r="F572" s="708"/>
      <c r="G572" s="30"/>
      <c r="H572" s="30"/>
      <c r="I572" s="30"/>
      <c r="J572" s="30"/>
      <c r="K572" s="30"/>
      <c r="L572" s="30"/>
      <c r="M572" s="30"/>
      <c r="N572" s="30"/>
      <c r="O572" s="30"/>
      <c r="P572" s="30"/>
      <c r="Q572" s="30"/>
      <c r="R572" s="30"/>
      <c r="S572" s="30"/>
      <c r="T572" s="30"/>
      <c r="U572" s="30"/>
      <c r="V572" s="30"/>
      <c r="W572" s="30"/>
      <c r="X572" s="30"/>
      <c r="Y572" s="30"/>
      <c r="Z572" s="30"/>
    </row>
    <row r="573" spans="1:26" ht="21" customHeight="1" x14ac:dyDescent="0.85">
      <c r="A573" s="708"/>
      <c r="B573" s="708"/>
      <c r="C573" s="708"/>
      <c r="D573" s="708"/>
      <c r="E573" s="708"/>
      <c r="F573" s="708"/>
      <c r="G573" s="30"/>
      <c r="H573" s="30"/>
      <c r="I573" s="30"/>
      <c r="J573" s="30"/>
      <c r="K573" s="30"/>
      <c r="L573" s="30"/>
      <c r="M573" s="30"/>
      <c r="N573" s="30"/>
      <c r="O573" s="30"/>
      <c r="P573" s="30"/>
      <c r="Q573" s="30"/>
      <c r="R573" s="30"/>
      <c r="S573" s="30"/>
      <c r="T573" s="30"/>
      <c r="U573" s="30"/>
      <c r="V573" s="30"/>
      <c r="W573" s="30"/>
      <c r="X573" s="30"/>
      <c r="Y573" s="30"/>
      <c r="Z573" s="30"/>
    </row>
    <row r="574" spans="1:26" ht="21" customHeight="1" x14ac:dyDescent="0.85">
      <c r="A574" s="708"/>
      <c r="B574" s="708"/>
      <c r="C574" s="708"/>
      <c r="D574" s="708"/>
      <c r="E574" s="708"/>
      <c r="F574" s="708"/>
      <c r="G574" s="30"/>
      <c r="H574" s="30"/>
      <c r="I574" s="30"/>
      <c r="J574" s="30"/>
      <c r="K574" s="30"/>
      <c r="L574" s="30"/>
      <c r="M574" s="30"/>
      <c r="N574" s="30"/>
      <c r="O574" s="30"/>
      <c r="P574" s="30"/>
      <c r="Q574" s="30"/>
      <c r="R574" s="30"/>
      <c r="S574" s="30"/>
      <c r="T574" s="30"/>
      <c r="U574" s="30"/>
      <c r="V574" s="30"/>
      <c r="W574" s="30"/>
      <c r="X574" s="30"/>
      <c r="Y574" s="30"/>
      <c r="Z574" s="30"/>
    </row>
    <row r="575" spans="1:26" ht="21" customHeight="1" x14ac:dyDescent="0.85">
      <c r="A575" s="708"/>
      <c r="B575" s="708"/>
      <c r="C575" s="708"/>
      <c r="D575" s="708"/>
      <c r="E575" s="708"/>
      <c r="F575" s="708"/>
      <c r="G575" s="30"/>
      <c r="H575" s="30"/>
      <c r="I575" s="30"/>
      <c r="J575" s="30"/>
      <c r="K575" s="30"/>
      <c r="L575" s="30"/>
      <c r="M575" s="30"/>
      <c r="N575" s="30"/>
      <c r="O575" s="30"/>
      <c r="P575" s="30"/>
      <c r="Q575" s="30"/>
      <c r="R575" s="30"/>
      <c r="S575" s="30"/>
      <c r="T575" s="30"/>
      <c r="U575" s="30"/>
      <c r="V575" s="30"/>
      <c r="W575" s="30"/>
      <c r="X575" s="30"/>
      <c r="Y575" s="30"/>
      <c r="Z575" s="30"/>
    </row>
    <row r="576" spans="1:26" ht="21" customHeight="1" x14ac:dyDescent="0.85">
      <c r="A576" s="708"/>
      <c r="B576" s="708"/>
      <c r="C576" s="708"/>
      <c r="D576" s="708"/>
      <c r="E576" s="708"/>
      <c r="F576" s="708"/>
      <c r="G576" s="30"/>
      <c r="H576" s="30"/>
      <c r="I576" s="30"/>
      <c r="J576" s="30"/>
      <c r="K576" s="30"/>
      <c r="L576" s="30"/>
      <c r="M576" s="30"/>
      <c r="N576" s="30"/>
      <c r="O576" s="30"/>
      <c r="P576" s="30"/>
      <c r="Q576" s="30"/>
      <c r="R576" s="30"/>
      <c r="S576" s="30"/>
      <c r="T576" s="30"/>
      <c r="U576" s="30"/>
      <c r="V576" s="30"/>
      <c r="W576" s="30"/>
      <c r="X576" s="30"/>
      <c r="Y576" s="30"/>
      <c r="Z576" s="30"/>
    </row>
    <row r="577" spans="1:26" ht="21" customHeight="1" x14ac:dyDescent="0.85">
      <c r="A577" s="708"/>
      <c r="B577" s="708"/>
      <c r="C577" s="708"/>
      <c r="D577" s="708"/>
      <c r="E577" s="708"/>
      <c r="F577" s="708"/>
      <c r="G577" s="30"/>
      <c r="H577" s="30"/>
      <c r="I577" s="30"/>
      <c r="J577" s="30"/>
      <c r="K577" s="30"/>
      <c r="L577" s="30"/>
      <c r="M577" s="30"/>
      <c r="N577" s="30"/>
      <c r="O577" s="30"/>
      <c r="P577" s="30"/>
      <c r="Q577" s="30"/>
      <c r="R577" s="30"/>
      <c r="S577" s="30"/>
      <c r="T577" s="30"/>
      <c r="U577" s="30"/>
      <c r="V577" s="30"/>
      <c r="W577" s="30"/>
      <c r="X577" s="30"/>
      <c r="Y577" s="30"/>
      <c r="Z577" s="30"/>
    </row>
    <row r="578" spans="1:26" ht="21" customHeight="1" x14ac:dyDescent="0.85">
      <c r="A578" s="708"/>
      <c r="B578" s="708"/>
      <c r="C578" s="708"/>
      <c r="D578" s="708"/>
      <c r="E578" s="708"/>
      <c r="F578" s="708"/>
      <c r="G578" s="30"/>
      <c r="H578" s="30"/>
      <c r="I578" s="30"/>
      <c r="J578" s="30"/>
      <c r="K578" s="30"/>
      <c r="L578" s="30"/>
      <c r="M578" s="30"/>
      <c r="N578" s="30"/>
      <c r="O578" s="30"/>
      <c r="P578" s="30"/>
      <c r="Q578" s="30"/>
      <c r="R578" s="30"/>
      <c r="S578" s="30"/>
      <c r="T578" s="30"/>
      <c r="U578" s="30"/>
      <c r="V578" s="30"/>
      <c r="W578" s="30"/>
      <c r="X578" s="30"/>
      <c r="Y578" s="30"/>
      <c r="Z578" s="30"/>
    </row>
    <row r="579" spans="1:26" ht="21" customHeight="1" x14ac:dyDescent="0.85">
      <c r="A579" s="708"/>
      <c r="B579" s="708"/>
      <c r="C579" s="708"/>
      <c r="D579" s="708"/>
      <c r="E579" s="708"/>
      <c r="F579" s="708"/>
      <c r="G579" s="30"/>
      <c r="H579" s="30"/>
      <c r="I579" s="30"/>
      <c r="J579" s="30"/>
      <c r="K579" s="30"/>
      <c r="L579" s="30"/>
      <c r="M579" s="30"/>
      <c r="N579" s="30"/>
      <c r="O579" s="30"/>
      <c r="P579" s="30"/>
      <c r="Q579" s="30"/>
      <c r="R579" s="30"/>
      <c r="S579" s="30"/>
      <c r="T579" s="30"/>
      <c r="U579" s="30"/>
      <c r="V579" s="30"/>
      <c r="W579" s="30"/>
      <c r="X579" s="30"/>
      <c r="Y579" s="30"/>
      <c r="Z579" s="30"/>
    </row>
    <row r="580" spans="1:26" ht="21" customHeight="1" x14ac:dyDescent="0.85">
      <c r="A580" s="708"/>
      <c r="B580" s="708"/>
      <c r="C580" s="708"/>
      <c r="D580" s="708"/>
      <c r="E580" s="708"/>
      <c r="F580" s="708"/>
      <c r="G580" s="30"/>
      <c r="H580" s="30"/>
      <c r="I580" s="30"/>
      <c r="J580" s="30"/>
      <c r="K580" s="30"/>
      <c r="L580" s="30"/>
      <c r="M580" s="30"/>
      <c r="N580" s="30"/>
      <c r="O580" s="30"/>
      <c r="P580" s="30"/>
      <c r="Q580" s="30"/>
      <c r="R580" s="30"/>
      <c r="S580" s="30"/>
      <c r="T580" s="30"/>
      <c r="U580" s="30"/>
      <c r="V580" s="30"/>
      <c r="W580" s="30"/>
      <c r="X580" s="30"/>
      <c r="Y580" s="30"/>
      <c r="Z580" s="30"/>
    </row>
    <row r="581" spans="1:26" ht="21" customHeight="1" x14ac:dyDescent="0.85">
      <c r="A581" s="708"/>
      <c r="B581" s="708"/>
      <c r="C581" s="708"/>
      <c r="D581" s="708"/>
      <c r="E581" s="708"/>
      <c r="F581" s="708"/>
      <c r="G581" s="30"/>
      <c r="H581" s="30"/>
      <c r="I581" s="30"/>
      <c r="J581" s="30"/>
      <c r="K581" s="30"/>
      <c r="L581" s="30"/>
      <c r="M581" s="30"/>
      <c r="N581" s="30"/>
      <c r="O581" s="30"/>
      <c r="P581" s="30"/>
      <c r="Q581" s="30"/>
      <c r="R581" s="30"/>
      <c r="S581" s="30"/>
      <c r="T581" s="30"/>
      <c r="U581" s="30"/>
      <c r="V581" s="30"/>
      <c r="W581" s="30"/>
      <c r="X581" s="30"/>
      <c r="Y581" s="30"/>
      <c r="Z581" s="30"/>
    </row>
    <row r="582" spans="1:26" ht="21" customHeight="1" x14ac:dyDescent="0.85">
      <c r="A582" s="708"/>
      <c r="B582" s="708"/>
      <c r="C582" s="708"/>
      <c r="D582" s="708"/>
      <c r="E582" s="708"/>
      <c r="F582" s="708"/>
      <c r="G582" s="30"/>
      <c r="H582" s="30"/>
      <c r="I582" s="30"/>
      <c r="J582" s="30"/>
      <c r="K582" s="30"/>
      <c r="L582" s="30"/>
      <c r="M582" s="30"/>
      <c r="N582" s="30"/>
      <c r="O582" s="30"/>
      <c r="P582" s="30"/>
      <c r="Q582" s="30"/>
      <c r="R582" s="30"/>
      <c r="S582" s="30"/>
      <c r="T582" s="30"/>
      <c r="U582" s="30"/>
      <c r="V582" s="30"/>
      <c r="W582" s="30"/>
      <c r="X582" s="30"/>
      <c r="Y582" s="30"/>
      <c r="Z582" s="30"/>
    </row>
    <row r="583" spans="1:26" ht="21" customHeight="1" x14ac:dyDescent="0.85">
      <c r="A583" s="708"/>
      <c r="B583" s="708"/>
      <c r="C583" s="708"/>
      <c r="D583" s="708"/>
      <c r="E583" s="708"/>
      <c r="F583" s="708"/>
      <c r="G583" s="30"/>
      <c r="H583" s="30"/>
      <c r="I583" s="30"/>
      <c r="J583" s="30"/>
      <c r="K583" s="30"/>
      <c r="L583" s="30"/>
      <c r="M583" s="30"/>
      <c r="N583" s="30"/>
      <c r="O583" s="30"/>
      <c r="P583" s="30"/>
      <c r="Q583" s="30"/>
      <c r="R583" s="30"/>
      <c r="S583" s="30"/>
      <c r="T583" s="30"/>
      <c r="U583" s="30"/>
      <c r="V583" s="30"/>
      <c r="W583" s="30"/>
      <c r="X583" s="30"/>
      <c r="Y583" s="30"/>
      <c r="Z583" s="30"/>
    </row>
    <row r="584" spans="1:26" ht="21" customHeight="1" x14ac:dyDescent="0.85">
      <c r="A584" s="708"/>
      <c r="B584" s="708"/>
      <c r="C584" s="708"/>
      <c r="D584" s="708"/>
      <c r="E584" s="708"/>
      <c r="F584" s="708"/>
      <c r="G584" s="30"/>
      <c r="H584" s="30"/>
      <c r="I584" s="30"/>
      <c r="J584" s="30"/>
      <c r="K584" s="30"/>
      <c r="L584" s="30"/>
      <c r="M584" s="30"/>
      <c r="N584" s="30"/>
      <c r="O584" s="30"/>
      <c r="P584" s="30"/>
      <c r="Q584" s="30"/>
      <c r="R584" s="30"/>
      <c r="S584" s="30"/>
      <c r="T584" s="30"/>
      <c r="U584" s="30"/>
      <c r="V584" s="30"/>
      <c r="W584" s="30"/>
      <c r="X584" s="30"/>
      <c r="Y584" s="30"/>
      <c r="Z584" s="30"/>
    </row>
    <row r="585" spans="1:26" ht="21" customHeight="1" x14ac:dyDescent="0.85">
      <c r="A585" s="708"/>
      <c r="B585" s="708"/>
      <c r="C585" s="708"/>
      <c r="D585" s="708"/>
      <c r="E585" s="708"/>
      <c r="F585" s="708"/>
      <c r="G585" s="30"/>
      <c r="H585" s="30"/>
      <c r="I585" s="30"/>
      <c r="J585" s="30"/>
      <c r="K585" s="30"/>
      <c r="L585" s="30"/>
      <c r="M585" s="30"/>
      <c r="N585" s="30"/>
      <c r="O585" s="30"/>
      <c r="P585" s="30"/>
      <c r="Q585" s="30"/>
      <c r="R585" s="30"/>
      <c r="S585" s="30"/>
      <c r="T585" s="30"/>
      <c r="U585" s="30"/>
      <c r="V585" s="30"/>
      <c r="W585" s="30"/>
      <c r="X585" s="30"/>
      <c r="Y585" s="30"/>
      <c r="Z585" s="30"/>
    </row>
    <row r="586" spans="1:26" ht="21" customHeight="1" x14ac:dyDescent="0.85">
      <c r="A586" s="708"/>
      <c r="B586" s="708"/>
      <c r="C586" s="708"/>
      <c r="D586" s="708"/>
      <c r="E586" s="708"/>
      <c r="F586" s="708"/>
      <c r="G586" s="30"/>
      <c r="H586" s="30"/>
      <c r="I586" s="30"/>
      <c r="J586" s="30"/>
      <c r="K586" s="30"/>
      <c r="L586" s="30"/>
      <c r="M586" s="30"/>
      <c r="N586" s="30"/>
      <c r="O586" s="30"/>
      <c r="P586" s="30"/>
      <c r="Q586" s="30"/>
      <c r="R586" s="30"/>
      <c r="S586" s="30"/>
      <c r="T586" s="30"/>
      <c r="U586" s="30"/>
      <c r="V586" s="30"/>
      <c r="W586" s="30"/>
      <c r="X586" s="30"/>
      <c r="Y586" s="30"/>
      <c r="Z586" s="30"/>
    </row>
    <row r="587" spans="1:26" ht="21" customHeight="1" x14ac:dyDescent="0.85">
      <c r="A587" s="708"/>
      <c r="B587" s="708"/>
      <c r="C587" s="708"/>
      <c r="D587" s="708"/>
      <c r="E587" s="708"/>
      <c r="F587" s="708"/>
      <c r="G587" s="30"/>
      <c r="H587" s="30"/>
      <c r="I587" s="30"/>
      <c r="J587" s="30"/>
      <c r="K587" s="30"/>
      <c r="L587" s="30"/>
      <c r="M587" s="30"/>
      <c r="N587" s="30"/>
      <c r="O587" s="30"/>
      <c r="P587" s="30"/>
      <c r="Q587" s="30"/>
      <c r="R587" s="30"/>
      <c r="S587" s="30"/>
      <c r="T587" s="30"/>
      <c r="U587" s="30"/>
      <c r="V587" s="30"/>
      <c r="W587" s="30"/>
      <c r="X587" s="30"/>
      <c r="Y587" s="30"/>
      <c r="Z587" s="30"/>
    </row>
    <row r="588" spans="1:26" ht="21" customHeight="1" x14ac:dyDescent="0.85">
      <c r="A588" s="708"/>
      <c r="B588" s="708"/>
      <c r="C588" s="708"/>
      <c r="D588" s="708"/>
      <c r="E588" s="708"/>
      <c r="F588" s="708"/>
      <c r="G588" s="30"/>
      <c r="H588" s="30"/>
      <c r="I588" s="30"/>
      <c r="J588" s="30"/>
      <c r="K588" s="30"/>
      <c r="L588" s="30"/>
      <c r="M588" s="30"/>
      <c r="N588" s="30"/>
      <c r="O588" s="30"/>
      <c r="P588" s="30"/>
      <c r="Q588" s="30"/>
      <c r="R588" s="30"/>
      <c r="S588" s="30"/>
      <c r="T588" s="30"/>
      <c r="U588" s="30"/>
      <c r="V588" s="30"/>
      <c r="W588" s="30"/>
      <c r="X588" s="30"/>
      <c r="Y588" s="30"/>
      <c r="Z588" s="30"/>
    </row>
    <row r="589" spans="1:26" ht="21" customHeight="1" x14ac:dyDescent="0.85">
      <c r="A589" s="708"/>
      <c r="B589" s="708"/>
      <c r="C589" s="708"/>
      <c r="D589" s="708"/>
      <c r="E589" s="708"/>
      <c r="F589" s="708"/>
      <c r="G589" s="30"/>
      <c r="H589" s="30"/>
      <c r="I589" s="30"/>
      <c r="J589" s="30"/>
      <c r="K589" s="30"/>
      <c r="L589" s="30"/>
      <c r="M589" s="30"/>
      <c r="N589" s="30"/>
      <c r="O589" s="30"/>
      <c r="P589" s="30"/>
      <c r="Q589" s="30"/>
      <c r="R589" s="30"/>
      <c r="S589" s="30"/>
      <c r="T589" s="30"/>
      <c r="U589" s="30"/>
      <c r="V589" s="30"/>
      <c r="W589" s="30"/>
      <c r="X589" s="30"/>
      <c r="Y589" s="30"/>
      <c r="Z589" s="30"/>
    </row>
    <row r="590" spans="1:26" ht="21" customHeight="1" x14ac:dyDescent="0.85">
      <c r="A590" s="708"/>
      <c r="B590" s="708"/>
      <c r="C590" s="708"/>
      <c r="D590" s="708"/>
      <c r="E590" s="708"/>
      <c r="F590" s="708"/>
      <c r="G590" s="30"/>
      <c r="H590" s="30"/>
      <c r="I590" s="30"/>
      <c r="J590" s="30"/>
      <c r="K590" s="30"/>
      <c r="L590" s="30"/>
      <c r="M590" s="30"/>
      <c r="N590" s="30"/>
      <c r="O590" s="30"/>
      <c r="P590" s="30"/>
      <c r="Q590" s="30"/>
      <c r="R590" s="30"/>
      <c r="S590" s="30"/>
      <c r="T590" s="30"/>
      <c r="U590" s="30"/>
      <c r="V590" s="30"/>
      <c r="W590" s="30"/>
      <c r="X590" s="30"/>
      <c r="Y590" s="30"/>
      <c r="Z590" s="30"/>
    </row>
    <row r="591" spans="1:26" ht="21" customHeight="1" x14ac:dyDescent="0.85">
      <c r="A591" s="708"/>
      <c r="B591" s="708"/>
      <c r="C591" s="708"/>
      <c r="D591" s="708"/>
      <c r="E591" s="708"/>
      <c r="F591" s="708"/>
      <c r="G591" s="30"/>
      <c r="H591" s="30"/>
      <c r="I591" s="30"/>
      <c r="J591" s="30"/>
      <c r="K591" s="30"/>
      <c r="L591" s="30"/>
      <c r="M591" s="30"/>
      <c r="N591" s="30"/>
      <c r="O591" s="30"/>
      <c r="P591" s="30"/>
      <c r="Q591" s="30"/>
      <c r="R591" s="30"/>
      <c r="S591" s="30"/>
      <c r="T591" s="30"/>
      <c r="U591" s="30"/>
      <c r="V591" s="30"/>
      <c r="W591" s="30"/>
      <c r="X591" s="30"/>
      <c r="Y591" s="30"/>
      <c r="Z591" s="30"/>
    </row>
    <row r="592" spans="1:26" ht="21" customHeight="1" x14ac:dyDescent="0.85">
      <c r="A592" s="708"/>
      <c r="B592" s="708"/>
      <c r="C592" s="708"/>
      <c r="D592" s="708"/>
      <c r="E592" s="708"/>
      <c r="F592" s="708"/>
      <c r="G592" s="30"/>
      <c r="H592" s="30"/>
      <c r="I592" s="30"/>
      <c r="J592" s="30"/>
      <c r="K592" s="30"/>
      <c r="L592" s="30"/>
      <c r="M592" s="30"/>
      <c r="N592" s="30"/>
      <c r="O592" s="30"/>
      <c r="P592" s="30"/>
      <c r="Q592" s="30"/>
      <c r="R592" s="30"/>
      <c r="S592" s="30"/>
      <c r="T592" s="30"/>
      <c r="U592" s="30"/>
      <c r="V592" s="30"/>
      <c r="W592" s="30"/>
      <c r="X592" s="30"/>
      <c r="Y592" s="30"/>
      <c r="Z592" s="30"/>
    </row>
    <row r="593" spans="1:26" ht="21" customHeight="1" x14ac:dyDescent="0.85">
      <c r="A593" s="708"/>
      <c r="B593" s="708"/>
      <c r="C593" s="708"/>
      <c r="D593" s="708"/>
      <c r="E593" s="708"/>
      <c r="F593" s="708"/>
      <c r="G593" s="30"/>
      <c r="H593" s="30"/>
      <c r="I593" s="30"/>
      <c r="J593" s="30"/>
      <c r="K593" s="30"/>
      <c r="L593" s="30"/>
      <c r="M593" s="30"/>
      <c r="N593" s="30"/>
      <c r="O593" s="30"/>
      <c r="P593" s="30"/>
      <c r="Q593" s="30"/>
      <c r="R593" s="30"/>
      <c r="S593" s="30"/>
      <c r="T593" s="30"/>
      <c r="U593" s="30"/>
      <c r="V593" s="30"/>
      <c r="W593" s="30"/>
      <c r="X593" s="30"/>
      <c r="Y593" s="30"/>
      <c r="Z593" s="30"/>
    </row>
    <row r="594" spans="1:26" ht="21" customHeight="1" x14ac:dyDescent="0.85">
      <c r="A594" s="708"/>
      <c r="B594" s="708"/>
      <c r="C594" s="708"/>
      <c r="D594" s="708"/>
      <c r="E594" s="708"/>
      <c r="F594" s="708"/>
      <c r="G594" s="30"/>
      <c r="H594" s="30"/>
      <c r="I594" s="30"/>
      <c r="J594" s="30"/>
      <c r="K594" s="30"/>
      <c r="L594" s="30"/>
      <c r="M594" s="30"/>
      <c r="N594" s="30"/>
      <c r="O594" s="30"/>
      <c r="P594" s="30"/>
      <c r="Q594" s="30"/>
      <c r="R594" s="30"/>
      <c r="S594" s="30"/>
      <c r="T594" s="30"/>
      <c r="U594" s="30"/>
      <c r="V594" s="30"/>
      <c r="W594" s="30"/>
      <c r="X594" s="30"/>
      <c r="Y594" s="30"/>
      <c r="Z594" s="30"/>
    </row>
    <row r="595" spans="1:26" ht="21" customHeight="1" x14ac:dyDescent="0.85">
      <c r="A595" s="708"/>
      <c r="B595" s="708"/>
      <c r="C595" s="708"/>
      <c r="D595" s="708"/>
      <c r="E595" s="708"/>
      <c r="F595" s="708"/>
      <c r="G595" s="30"/>
      <c r="H595" s="30"/>
      <c r="I595" s="30"/>
      <c r="J595" s="30"/>
      <c r="K595" s="30"/>
      <c r="L595" s="30"/>
      <c r="M595" s="30"/>
      <c r="N595" s="30"/>
      <c r="O595" s="30"/>
      <c r="P595" s="30"/>
      <c r="Q595" s="30"/>
      <c r="R595" s="30"/>
      <c r="S595" s="30"/>
      <c r="T595" s="30"/>
      <c r="U595" s="30"/>
      <c r="V595" s="30"/>
      <c r="W595" s="30"/>
      <c r="X595" s="30"/>
      <c r="Y595" s="30"/>
      <c r="Z595" s="30"/>
    </row>
    <row r="596" spans="1:26" ht="21" customHeight="1" x14ac:dyDescent="0.85">
      <c r="A596" s="708"/>
      <c r="B596" s="708"/>
      <c r="C596" s="708"/>
      <c r="D596" s="708"/>
      <c r="E596" s="708"/>
      <c r="F596" s="708"/>
      <c r="G596" s="30"/>
      <c r="H596" s="30"/>
      <c r="I596" s="30"/>
      <c r="J596" s="30"/>
      <c r="K596" s="30"/>
      <c r="L596" s="30"/>
      <c r="M596" s="30"/>
      <c r="N596" s="30"/>
      <c r="O596" s="30"/>
      <c r="P596" s="30"/>
      <c r="Q596" s="30"/>
      <c r="R596" s="30"/>
      <c r="S596" s="30"/>
      <c r="T596" s="30"/>
      <c r="U596" s="30"/>
      <c r="V596" s="30"/>
      <c r="W596" s="30"/>
      <c r="X596" s="30"/>
      <c r="Y596" s="30"/>
      <c r="Z596" s="30"/>
    </row>
    <row r="597" spans="1:26" ht="21" customHeight="1" x14ac:dyDescent="0.85">
      <c r="A597" s="708"/>
      <c r="B597" s="708"/>
      <c r="C597" s="708"/>
      <c r="D597" s="708"/>
      <c r="E597" s="708"/>
      <c r="F597" s="708"/>
      <c r="G597" s="30"/>
      <c r="H597" s="30"/>
      <c r="I597" s="30"/>
      <c r="J597" s="30"/>
      <c r="K597" s="30"/>
      <c r="L597" s="30"/>
      <c r="M597" s="30"/>
      <c r="N597" s="30"/>
      <c r="O597" s="30"/>
      <c r="P597" s="30"/>
      <c r="Q597" s="30"/>
      <c r="R597" s="30"/>
      <c r="S597" s="30"/>
      <c r="T597" s="30"/>
      <c r="U597" s="30"/>
      <c r="V597" s="30"/>
      <c r="W597" s="30"/>
      <c r="X597" s="30"/>
      <c r="Y597" s="30"/>
      <c r="Z597" s="30"/>
    </row>
    <row r="598" spans="1:26" ht="21" customHeight="1" x14ac:dyDescent="0.85">
      <c r="A598" s="708"/>
      <c r="B598" s="708"/>
      <c r="C598" s="708"/>
      <c r="D598" s="708"/>
      <c r="E598" s="708"/>
      <c r="F598" s="708"/>
      <c r="G598" s="30"/>
      <c r="H598" s="30"/>
      <c r="I598" s="30"/>
      <c r="J598" s="30"/>
      <c r="K598" s="30"/>
      <c r="L598" s="30"/>
      <c r="M598" s="30"/>
      <c r="N598" s="30"/>
      <c r="O598" s="30"/>
      <c r="P598" s="30"/>
      <c r="Q598" s="30"/>
      <c r="R598" s="30"/>
      <c r="S598" s="30"/>
      <c r="T598" s="30"/>
      <c r="U598" s="30"/>
      <c r="V598" s="30"/>
      <c r="W598" s="30"/>
      <c r="X598" s="30"/>
      <c r="Y598" s="30"/>
      <c r="Z598" s="30"/>
    </row>
    <row r="599" spans="1:26" ht="21" customHeight="1" x14ac:dyDescent="0.85">
      <c r="A599" s="708"/>
      <c r="B599" s="708"/>
      <c r="C599" s="708"/>
      <c r="D599" s="708"/>
      <c r="E599" s="708"/>
      <c r="F599" s="708"/>
      <c r="G599" s="30"/>
      <c r="H599" s="30"/>
      <c r="I599" s="30"/>
      <c r="J599" s="30"/>
      <c r="K599" s="30"/>
      <c r="L599" s="30"/>
      <c r="M599" s="30"/>
      <c r="N599" s="30"/>
      <c r="O599" s="30"/>
      <c r="P599" s="30"/>
      <c r="Q599" s="30"/>
      <c r="R599" s="30"/>
      <c r="S599" s="30"/>
      <c r="T599" s="30"/>
      <c r="U599" s="30"/>
      <c r="V599" s="30"/>
      <c r="W599" s="30"/>
      <c r="X599" s="30"/>
      <c r="Y599" s="30"/>
      <c r="Z599" s="30"/>
    </row>
    <row r="600" spans="1:26" ht="21" customHeight="1" x14ac:dyDescent="0.85">
      <c r="A600" s="708"/>
      <c r="B600" s="708"/>
      <c r="C600" s="708"/>
      <c r="D600" s="708"/>
      <c r="E600" s="708"/>
      <c r="F600" s="708"/>
      <c r="G600" s="30"/>
      <c r="H600" s="30"/>
      <c r="I600" s="30"/>
      <c r="J600" s="30"/>
      <c r="K600" s="30"/>
      <c r="L600" s="30"/>
      <c r="M600" s="30"/>
      <c r="N600" s="30"/>
      <c r="O600" s="30"/>
      <c r="P600" s="30"/>
      <c r="Q600" s="30"/>
      <c r="R600" s="30"/>
      <c r="S600" s="30"/>
      <c r="T600" s="30"/>
      <c r="U600" s="30"/>
      <c r="V600" s="30"/>
      <c r="W600" s="30"/>
      <c r="X600" s="30"/>
      <c r="Y600" s="30"/>
      <c r="Z600" s="30"/>
    </row>
    <row r="601" spans="1:26" ht="21" customHeight="1" x14ac:dyDescent="0.85">
      <c r="A601" s="708"/>
      <c r="B601" s="708"/>
      <c r="C601" s="708"/>
      <c r="D601" s="708"/>
      <c r="E601" s="708"/>
      <c r="F601" s="708"/>
      <c r="G601" s="30"/>
      <c r="H601" s="30"/>
      <c r="I601" s="30"/>
      <c r="J601" s="30"/>
      <c r="K601" s="30"/>
      <c r="L601" s="30"/>
      <c r="M601" s="30"/>
      <c r="N601" s="30"/>
      <c r="O601" s="30"/>
      <c r="P601" s="30"/>
      <c r="Q601" s="30"/>
      <c r="R601" s="30"/>
      <c r="S601" s="30"/>
      <c r="T601" s="30"/>
      <c r="U601" s="30"/>
      <c r="V601" s="30"/>
      <c r="W601" s="30"/>
      <c r="X601" s="30"/>
      <c r="Y601" s="30"/>
      <c r="Z601" s="30"/>
    </row>
    <row r="602" spans="1:26" ht="21" customHeight="1" x14ac:dyDescent="0.85">
      <c r="A602" s="708"/>
      <c r="B602" s="708"/>
      <c r="C602" s="708"/>
      <c r="D602" s="708"/>
      <c r="E602" s="708"/>
      <c r="F602" s="708"/>
      <c r="G602" s="30"/>
      <c r="H602" s="30"/>
      <c r="I602" s="30"/>
      <c r="J602" s="30"/>
      <c r="K602" s="30"/>
      <c r="L602" s="30"/>
      <c r="M602" s="30"/>
      <c r="N602" s="30"/>
      <c r="O602" s="30"/>
      <c r="P602" s="30"/>
      <c r="Q602" s="30"/>
      <c r="R602" s="30"/>
      <c r="S602" s="30"/>
      <c r="T602" s="30"/>
      <c r="U602" s="30"/>
      <c r="V602" s="30"/>
      <c r="W602" s="30"/>
      <c r="X602" s="30"/>
      <c r="Y602" s="30"/>
      <c r="Z602" s="30"/>
    </row>
    <row r="603" spans="1:26" ht="21" customHeight="1" x14ac:dyDescent="0.85">
      <c r="A603" s="708"/>
      <c r="B603" s="708"/>
      <c r="C603" s="708"/>
      <c r="D603" s="708"/>
      <c r="E603" s="708"/>
      <c r="F603" s="708"/>
      <c r="G603" s="30"/>
      <c r="H603" s="30"/>
      <c r="I603" s="30"/>
      <c r="J603" s="30"/>
      <c r="K603" s="30"/>
      <c r="L603" s="30"/>
      <c r="M603" s="30"/>
      <c r="N603" s="30"/>
      <c r="O603" s="30"/>
      <c r="P603" s="30"/>
      <c r="Q603" s="30"/>
      <c r="R603" s="30"/>
      <c r="S603" s="30"/>
      <c r="T603" s="30"/>
      <c r="U603" s="30"/>
      <c r="V603" s="30"/>
      <c r="W603" s="30"/>
      <c r="X603" s="30"/>
      <c r="Y603" s="30"/>
      <c r="Z603" s="30"/>
    </row>
    <row r="604" spans="1:26" ht="21" customHeight="1" x14ac:dyDescent="0.85">
      <c r="A604" s="708"/>
      <c r="B604" s="708"/>
      <c r="C604" s="708"/>
      <c r="D604" s="708"/>
      <c r="E604" s="708"/>
      <c r="F604" s="708"/>
      <c r="G604" s="30"/>
      <c r="H604" s="30"/>
      <c r="I604" s="30"/>
      <c r="J604" s="30"/>
      <c r="K604" s="30"/>
      <c r="L604" s="30"/>
      <c r="M604" s="30"/>
      <c r="N604" s="30"/>
      <c r="O604" s="30"/>
      <c r="P604" s="30"/>
      <c r="Q604" s="30"/>
      <c r="R604" s="30"/>
      <c r="S604" s="30"/>
      <c r="T604" s="30"/>
      <c r="U604" s="30"/>
      <c r="V604" s="30"/>
      <c r="W604" s="30"/>
      <c r="X604" s="30"/>
      <c r="Y604" s="30"/>
      <c r="Z604" s="30"/>
    </row>
    <row r="605" spans="1:26" ht="21" customHeight="1" x14ac:dyDescent="0.85">
      <c r="A605" s="708"/>
      <c r="B605" s="708"/>
      <c r="C605" s="708"/>
      <c r="D605" s="708"/>
      <c r="E605" s="708"/>
      <c r="F605" s="708"/>
      <c r="G605" s="30"/>
      <c r="H605" s="30"/>
      <c r="I605" s="30"/>
      <c r="J605" s="30"/>
      <c r="K605" s="30"/>
      <c r="L605" s="30"/>
      <c r="M605" s="30"/>
      <c r="N605" s="30"/>
      <c r="O605" s="30"/>
      <c r="P605" s="30"/>
      <c r="Q605" s="30"/>
      <c r="R605" s="30"/>
      <c r="S605" s="30"/>
      <c r="T605" s="30"/>
      <c r="U605" s="30"/>
      <c r="V605" s="30"/>
      <c r="W605" s="30"/>
      <c r="X605" s="30"/>
      <c r="Y605" s="30"/>
      <c r="Z605" s="30"/>
    </row>
    <row r="606" spans="1:26" ht="21" customHeight="1" x14ac:dyDescent="0.85">
      <c r="A606" s="708"/>
      <c r="B606" s="708"/>
      <c r="C606" s="708"/>
      <c r="D606" s="708"/>
      <c r="E606" s="708"/>
      <c r="F606" s="708"/>
      <c r="G606" s="30"/>
      <c r="H606" s="30"/>
      <c r="I606" s="30"/>
      <c r="J606" s="30"/>
      <c r="K606" s="30"/>
      <c r="L606" s="30"/>
      <c r="M606" s="30"/>
      <c r="N606" s="30"/>
      <c r="O606" s="30"/>
      <c r="P606" s="30"/>
      <c r="Q606" s="30"/>
      <c r="R606" s="30"/>
      <c r="S606" s="30"/>
      <c r="T606" s="30"/>
      <c r="U606" s="30"/>
      <c r="V606" s="30"/>
      <c r="W606" s="30"/>
      <c r="X606" s="30"/>
      <c r="Y606" s="30"/>
      <c r="Z606" s="30"/>
    </row>
    <row r="607" spans="1:26" ht="21" customHeight="1" x14ac:dyDescent="0.85">
      <c r="A607" s="708"/>
      <c r="B607" s="708"/>
      <c r="C607" s="708"/>
      <c r="D607" s="708"/>
      <c r="E607" s="708"/>
      <c r="F607" s="708"/>
      <c r="G607" s="30"/>
      <c r="H607" s="30"/>
      <c r="I607" s="30"/>
      <c r="J607" s="30"/>
      <c r="K607" s="30"/>
      <c r="L607" s="30"/>
      <c r="M607" s="30"/>
      <c r="N607" s="30"/>
      <c r="O607" s="30"/>
      <c r="P607" s="30"/>
      <c r="Q607" s="30"/>
      <c r="R607" s="30"/>
      <c r="S607" s="30"/>
      <c r="T607" s="30"/>
      <c r="U607" s="30"/>
      <c r="V607" s="30"/>
      <c r="W607" s="30"/>
      <c r="X607" s="30"/>
      <c r="Y607" s="30"/>
      <c r="Z607" s="30"/>
    </row>
    <row r="608" spans="1:26" ht="21" customHeight="1" x14ac:dyDescent="0.85">
      <c r="A608" s="708"/>
      <c r="B608" s="708"/>
      <c r="C608" s="708"/>
      <c r="D608" s="708"/>
      <c r="E608" s="708"/>
      <c r="F608" s="708"/>
      <c r="G608" s="30"/>
      <c r="H608" s="30"/>
      <c r="I608" s="30"/>
      <c r="J608" s="30"/>
      <c r="K608" s="30"/>
      <c r="L608" s="30"/>
      <c r="M608" s="30"/>
      <c r="N608" s="30"/>
      <c r="O608" s="30"/>
      <c r="P608" s="30"/>
      <c r="Q608" s="30"/>
      <c r="R608" s="30"/>
      <c r="S608" s="30"/>
      <c r="T608" s="30"/>
      <c r="U608" s="30"/>
      <c r="V608" s="30"/>
      <c r="W608" s="30"/>
      <c r="X608" s="30"/>
      <c r="Y608" s="30"/>
      <c r="Z608" s="30"/>
    </row>
    <row r="609" spans="1:26" ht="21" customHeight="1" x14ac:dyDescent="0.85">
      <c r="A609" s="708"/>
      <c r="B609" s="708"/>
      <c r="C609" s="708"/>
      <c r="D609" s="708"/>
      <c r="E609" s="708"/>
      <c r="F609" s="708"/>
      <c r="G609" s="30"/>
      <c r="H609" s="30"/>
      <c r="I609" s="30"/>
      <c r="J609" s="30"/>
      <c r="K609" s="30"/>
      <c r="L609" s="30"/>
      <c r="M609" s="30"/>
      <c r="N609" s="30"/>
      <c r="O609" s="30"/>
      <c r="P609" s="30"/>
      <c r="Q609" s="30"/>
      <c r="R609" s="30"/>
      <c r="S609" s="30"/>
      <c r="T609" s="30"/>
      <c r="U609" s="30"/>
      <c r="V609" s="30"/>
      <c r="W609" s="30"/>
      <c r="X609" s="30"/>
      <c r="Y609" s="30"/>
      <c r="Z609" s="30"/>
    </row>
    <row r="610" spans="1:26" ht="21" customHeight="1" x14ac:dyDescent="0.85">
      <c r="A610" s="708"/>
      <c r="B610" s="708"/>
      <c r="C610" s="708"/>
      <c r="D610" s="708"/>
      <c r="E610" s="708"/>
      <c r="F610" s="708"/>
      <c r="G610" s="30"/>
      <c r="H610" s="30"/>
      <c r="I610" s="30"/>
      <c r="J610" s="30"/>
      <c r="K610" s="30"/>
      <c r="L610" s="30"/>
      <c r="M610" s="30"/>
      <c r="N610" s="30"/>
      <c r="O610" s="30"/>
      <c r="P610" s="30"/>
      <c r="Q610" s="30"/>
      <c r="R610" s="30"/>
      <c r="S610" s="30"/>
      <c r="T610" s="30"/>
      <c r="U610" s="30"/>
      <c r="V610" s="30"/>
      <c r="W610" s="30"/>
      <c r="X610" s="30"/>
      <c r="Y610" s="30"/>
      <c r="Z610" s="30"/>
    </row>
    <row r="611" spans="1:26" ht="21" customHeight="1" x14ac:dyDescent="0.85">
      <c r="A611" s="708"/>
      <c r="B611" s="708"/>
      <c r="C611" s="708"/>
      <c r="D611" s="708"/>
      <c r="E611" s="708"/>
      <c r="F611" s="708"/>
      <c r="G611" s="30"/>
      <c r="H611" s="30"/>
      <c r="I611" s="30"/>
      <c r="J611" s="30"/>
      <c r="K611" s="30"/>
      <c r="L611" s="30"/>
      <c r="M611" s="30"/>
      <c r="N611" s="30"/>
      <c r="O611" s="30"/>
      <c r="P611" s="30"/>
      <c r="Q611" s="30"/>
      <c r="R611" s="30"/>
      <c r="S611" s="30"/>
      <c r="T611" s="30"/>
      <c r="U611" s="30"/>
      <c r="V611" s="30"/>
      <c r="W611" s="30"/>
      <c r="X611" s="30"/>
      <c r="Y611" s="30"/>
      <c r="Z611" s="30"/>
    </row>
    <row r="612" spans="1:26" ht="21" customHeight="1" x14ac:dyDescent="0.85">
      <c r="A612" s="708"/>
      <c r="B612" s="708"/>
      <c r="C612" s="708"/>
      <c r="D612" s="708"/>
      <c r="E612" s="708"/>
      <c r="F612" s="708"/>
      <c r="G612" s="30"/>
      <c r="H612" s="30"/>
      <c r="I612" s="30"/>
      <c r="J612" s="30"/>
      <c r="K612" s="30"/>
      <c r="L612" s="30"/>
      <c r="M612" s="30"/>
      <c r="N612" s="30"/>
      <c r="O612" s="30"/>
      <c r="P612" s="30"/>
      <c r="Q612" s="30"/>
      <c r="R612" s="30"/>
      <c r="S612" s="30"/>
      <c r="T612" s="30"/>
      <c r="U612" s="30"/>
      <c r="V612" s="30"/>
      <c r="W612" s="30"/>
      <c r="X612" s="30"/>
      <c r="Y612" s="30"/>
      <c r="Z612" s="30"/>
    </row>
    <row r="613" spans="1:26" ht="21" customHeight="1" x14ac:dyDescent="0.85">
      <c r="A613" s="708"/>
      <c r="B613" s="708"/>
      <c r="C613" s="708"/>
      <c r="D613" s="708"/>
      <c r="E613" s="708"/>
      <c r="F613" s="708"/>
      <c r="G613" s="30"/>
      <c r="H613" s="30"/>
      <c r="I613" s="30"/>
      <c r="J613" s="30"/>
      <c r="K613" s="30"/>
      <c r="L613" s="30"/>
      <c r="M613" s="30"/>
      <c r="N613" s="30"/>
      <c r="O613" s="30"/>
      <c r="P613" s="30"/>
      <c r="Q613" s="30"/>
      <c r="R613" s="30"/>
      <c r="S613" s="30"/>
      <c r="T613" s="30"/>
      <c r="U613" s="30"/>
      <c r="V613" s="30"/>
      <c r="W613" s="30"/>
      <c r="X613" s="30"/>
      <c r="Y613" s="30"/>
      <c r="Z613" s="30"/>
    </row>
    <row r="614" spans="1:26" ht="21" customHeight="1" x14ac:dyDescent="0.85">
      <c r="A614" s="708"/>
      <c r="B614" s="708"/>
      <c r="C614" s="708"/>
      <c r="D614" s="708"/>
      <c r="E614" s="708"/>
      <c r="F614" s="708"/>
      <c r="G614" s="30"/>
      <c r="H614" s="30"/>
      <c r="I614" s="30"/>
      <c r="J614" s="30"/>
      <c r="K614" s="30"/>
      <c r="L614" s="30"/>
      <c r="M614" s="30"/>
      <c r="N614" s="30"/>
      <c r="O614" s="30"/>
      <c r="P614" s="30"/>
      <c r="Q614" s="30"/>
      <c r="R614" s="30"/>
      <c r="S614" s="30"/>
      <c r="T614" s="30"/>
      <c r="U614" s="30"/>
      <c r="V614" s="30"/>
      <c r="W614" s="30"/>
      <c r="X614" s="30"/>
      <c r="Y614" s="30"/>
      <c r="Z614" s="30"/>
    </row>
    <row r="615" spans="1:26" ht="21" customHeight="1" x14ac:dyDescent="0.85">
      <c r="A615" s="708"/>
      <c r="B615" s="708"/>
      <c r="C615" s="708"/>
      <c r="D615" s="708"/>
      <c r="E615" s="708"/>
      <c r="F615" s="708"/>
      <c r="G615" s="30"/>
      <c r="H615" s="30"/>
      <c r="I615" s="30"/>
      <c r="J615" s="30"/>
      <c r="K615" s="30"/>
      <c r="L615" s="30"/>
      <c r="M615" s="30"/>
      <c r="N615" s="30"/>
      <c r="O615" s="30"/>
      <c r="P615" s="30"/>
      <c r="Q615" s="30"/>
      <c r="R615" s="30"/>
      <c r="S615" s="30"/>
      <c r="T615" s="30"/>
      <c r="U615" s="30"/>
      <c r="V615" s="30"/>
      <c r="W615" s="30"/>
      <c r="X615" s="30"/>
      <c r="Y615" s="30"/>
      <c r="Z615" s="30"/>
    </row>
    <row r="616" spans="1:26" ht="21" customHeight="1" x14ac:dyDescent="0.85">
      <c r="A616" s="708"/>
      <c r="B616" s="708"/>
      <c r="C616" s="708"/>
      <c r="D616" s="708"/>
      <c r="E616" s="708"/>
      <c r="F616" s="708"/>
      <c r="G616" s="30"/>
      <c r="H616" s="30"/>
      <c r="I616" s="30"/>
      <c r="J616" s="30"/>
      <c r="K616" s="30"/>
      <c r="L616" s="30"/>
      <c r="M616" s="30"/>
      <c r="N616" s="30"/>
      <c r="O616" s="30"/>
      <c r="P616" s="30"/>
      <c r="Q616" s="30"/>
      <c r="R616" s="30"/>
      <c r="S616" s="30"/>
      <c r="T616" s="30"/>
      <c r="U616" s="30"/>
      <c r="V616" s="30"/>
      <c r="W616" s="30"/>
      <c r="X616" s="30"/>
      <c r="Y616" s="30"/>
      <c r="Z616" s="30"/>
    </row>
    <row r="617" spans="1:26" ht="21" customHeight="1" x14ac:dyDescent="0.85">
      <c r="A617" s="708"/>
      <c r="B617" s="708"/>
      <c r="C617" s="708"/>
      <c r="D617" s="708"/>
      <c r="E617" s="708"/>
      <c r="F617" s="708"/>
      <c r="G617" s="30"/>
      <c r="H617" s="30"/>
      <c r="I617" s="30"/>
      <c r="J617" s="30"/>
      <c r="K617" s="30"/>
      <c r="L617" s="30"/>
      <c r="M617" s="30"/>
      <c r="N617" s="30"/>
      <c r="O617" s="30"/>
      <c r="P617" s="30"/>
      <c r="Q617" s="30"/>
      <c r="R617" s="30"/>
      <c r="S617" s="30"/>
      <c r="T617" s="30"/>
      <c r="U617" s="30"/>
      <c r="V617" s="30"/>
      <c r="W617" s="30"/>
      <c r="X617" s="30"/>
      <c r="Y617" s="30"/>
      <c r="Z617" s="30"/>
    </row>
    <row r="618" spans="1:26" ht="21" customHeight="1" x14ac:dyDescent="0.85">
      <c r="A618" s="708"/>
      <c r="B618" s="708"/>
      <c r="C618" s="708"/>
      <c r="D618" s="708"/>
      <c r="E618" s="708"/>
      <c r="F618" s="708"/>
      <c r="G618" s="30"/>
      <c r="H618" s="30"/>
      <c r="I618" s="30"/>
      <c r="J618" s="30"/>
      <c r="K618" s="30"/>
      <c r="L618" s="30"/>
      <c r="M618" s="30"/>
      <c r="N618" s="30"/>
      <c r="O618" s="30"/>
      <c r="P618" s="30"/>
      <c r="Q618" s="30"/>
      <c r="R618" s="30"/>
      <c r="S618" s="30"/>
      <c r="T618" s="30"/>
      <c r="U618" s="30"/>
      <c r="V618" s="30"/>
      <c r="W618" s="30"/>
      <c r="X618" s="30"/>
      <c r="Y618" s="30"/>
      <c r="Z618" s="30"/>
    </row>
    <row r="619" spans="1:26" ht="21" customHeight="1" x14ac:dyDescent="0.85">
      <c r="A619" s="708"/>
      <c r="B619" s="708"/>
      <c r="C619" s="708"/>
      <c r="D619" s="708"/>
      <c r="E619" s="708"/>
      <c r="F619" s="708"/>
      <c r="G619" s="30"/>
      <c r="H619" s="30"/>
      <c r="I619" s="30"/>
      <c r="J619" s="30"/>
      <c r="K619" s="30"/>
      <c r="L619" s="30"/>
      <c r="M619" s="30"/>
      <c r="N619" s="30"/>
      <c r="O619" s="30"/>
      <c r="P619" s="30"/>
      <c r="Q619" s="30"/>
      <c r="R619" s="30"/>
      <c r="S619" s="30"/>
      <c r="T619" s="30"/>
      <c r="U619" s="30"/>
      <c r="V619" s="30"/>
      <c r="W619" s="30"/>
      <c r="X619" s="30"/>
      <c r="Y619" s="30"/>
      <c r="Z619" s="30"/>
    </row>
    <row r="620" spans="1:26" ht="21" customHeight="1" x14ac:dyDescent="0.85">
      <c r="A620" s="708"/>
      <c r="B620" s="708"/>
      <c r="C620" s="708"/>
      <c r="D620" s="708"/>
      <c r="E620" s="708"/>
      <c r="F620" s="708"/>
      <c r="G620" s="30"/>
      <c r="H620" s="30"/>
      <c r="I620" s="30"/>
      <c r="J620" s="30"/>
      <c r="K620" s="30"/>
      <c r="L620" s="30"/>
      <c r="M620" s="30"/>
      <c r="N620" s="30"/>
      <c r="O620" s="30"/>
      <c r="P620" s="30"/>
      <c r="Q620" s="30"/>
      <c r="R620" s="30"/>
      <c r="S620" s="30"/>
      <c r="T620" s="30"/>
      <c r="U620" s="30"/>
      <c r="V620" s="30"/>
      <c r="W620" s="30"/>
      <c r="X620" s="30"/>
      <c r="Y620" s="30"/>
      <c r="Z620" s="30"/>
    </row>
    <row r="621" spans="1:26" ht="21" customHeight="1" x14ac:dyDescent="0.85">
      <c r="A621" s="708"/>
      <c r="B621" s="708"/>
      <c r="C621" s="708"/>
      <c r="D621" s="708"/>
      <c r="E621" s="708"/>
      <c r="F621" s="708"/>
      <c r="G621" s="30"/>
      <c r="H621" s="30"/>
      <c r="I621" s="30"/>
      <c r="J621" s="30"/>
      <c r="K621" s="30"/>
      <c r="L621" s="30"/>
      <c r="M621" s="30"/>
      <c r="N621" s="30"/>
      <c r="O621" s="30"/>
      <c r="P621" s="30"/>
      <c r="Q621" s="30"/>
      <c r="R621" s="30"/>
      <c r="S621" s="30"/>
      <c r="T621" s="30"/>
      <c r="U621" s="30"/>
      <c r="V621" s="30"/>
      <c r="W621" s="30"/>
      <c r="X621" s="30"/>
      <c r="Y621" s="30"/>
      <c r="Z621" s="30"/>
    </row>
    <row r="622" spans="1:26" ht="21" customHeight="1" x14ac:dyDescent="0.85">
      <c r="A622" s="708"/>
      <c r="B622" s="708"/>
      <c r="C622" s="708"/>
      <c r="D622" s="708"/>
      <c r="E622" s="708"/>
      <c r="F622" s="708"/>
      <c r="G622" s="30"/>
      <c r="H622" s="30"/>
      <c r="I622" s="30"/>
      <c r="J622" s="30"/>
      <c r="K622" s="30"/>
      <c r="L622" s="30"/>
      <c r="M622" s="30"/>
      <c r="N622" s="30"/>
      <c r="O622" s="30"/>
      <c r="P622" s="30"/>
      <c r="Q622" s="30"/>
      <c r="R622" s="30"/>
      <c r="S622" s="30"/>
      <c r="T622" s="30"/>
      <c r="U622" s="30"/>
      <c r="V622" s="30"/>
      <c r="W622" s="30"/>
      <c r="X622" s="30"/>
      <c r="Y622" s="30"/>
      <c r="Z622" s="30"/>
    </row>
    <row r="623" spans="1:26" ht="21" customHeight="1" x14ac:dyDescent="0.85">
      <c r="A623" s="708"/>
      <c r="B623" s="708"/>
      <c r="C623" s="708"/>
      <c r="D623" s="708"/>
      <c r="E623" s="708"/>
      <c r="F623" s="708"/>
      <c r="G623" s="30"/>
      <c r="H623" s="30"/>
      <c r="I623" s="30"/>
      <c r="J623" s="30"/>
      <c r="K623" s="30"/>
      <c r="L623" s="30"/>
      <c r="M623" s="30"/>
      <c r="N623" s="30"/>
      <c r="O623" s="30"/>
      <c r="P623" s="30"/>
      <c r="Q623" s="30"/>
      <c r="R623" s="30"/>
      <c r="S623" s="30"/>
      <c r="T623" s="30"/>
      <c r="U623" s="30"/>
      <c r="V623" s="30"/>
      <c r="W623" s="30"/>
      <c r="X623" s="30"/>
      <c r="Y623" s="30"/>
      <c r="Z623" s="30"/>
    </row>
    <row r="624" spans="1:26" ht="21" customHeight="1" x14ac:dyDescent="0.85">
      <c r="A624" s="708"/>
      <c r="B624" s="708"/>
      <c r="C624" s="708"/>
      <c r="D624" s="708"/>
      <c r="E624" s="708"/>
      <c r="F624" s="708"/>
      <c r="G624" s="30"/>
      <c r="H624" s="30"/>
      <c r="I624" s="30"/>
      <c r="J624" s="30"/>
      <c r="K624" s="30"/>
      <c r="L624" s="30"/>
      <c r="M624" s="30"/>
      <c r="N624" s="30"/>
      <c r="O624" s="30"/>
      <c r="P624" s="30"/>
      <c r="Q624" s="30"/>
      <c r="R624" s="30"/>
      <c r="S624" s="30"/>
      <c r="T624" s="30"/>
      <c r="U624" s="30"/>
      <c r="V624" s="30"/>
      <c r="W624" s="30"/>
      <c r="X624" s="30"/>
      <c r="Y624" s="30"/>
      <c r="Z624" s="30"/>
    </row>
    <row r="625" spans="1:26" ht="21" customHeight="1" x14ac:dyDescent="0.85">
      <c r="A625" s="708"/>
      <c r="B625" s="708"/>
      <c r="C625" s="708"/>
      <c r="D625" s="708"/>
      <c r="E625" s="708"/>
      <c r="F625" s="708"/>
      <c r="G625" s="30"/>
      <c r="H625" s="30"/>
      <c r="I625" s="30"/>
      <c r="J625" s="30"/>
      <c r="K625" s="30"/>
      <c r="L625" s="30"/>
      <c r="M625" s="30"/>
      <c r="N625" s="30"/>
      <c r="O625" s="30"/>
      <c r="P625" s="30"/>
      <c r="Q625" s="30"/>
      <c r="R625" s="30"/>
      <c r="S625" s="30"/>
      <c r="T625" s="30"/>
      <c r="U625" s="30"/>
      <c r="V625" s="30"/>
      <c r="W625" s="30"/>
      <c r="X625" s="30"/>
      <c r="Y625" s="30"/>
      <c r="Z625" s="30"/>
    </row>
    <row r="626" spans="1:26" ht="21" customHeight="1" x14ac:dyDescent="0.85">
      <c r="A626" s="708"/>
      <c r="B626" s="708"/>
      <c r="C626" s="708"/>
      <c r="D626" s="708"/>
      <c r="E626" s="708"/>
      <c r="F626" s="708"/>
      <c r="G626" s="30"/>
      <c r="H626" s="30"/>
      <c r="I626" s="30"/>
      <c r="J626" s="30"/>
      <c r="K626" s="30"/>
      <c r="L626" s="30"/>
      <c r="M626" s="30"/>
      <c r="N626" s="30"/>
      <c r="O626" s="30"/>
      <c r="P626" s="30"/>
      <c r="Q626" s="30"/>
      <c r="R626" s="30"/>
      <c r="S626" s="30"/>
      <c r="T626" s="30"/>
      <c r="U626" s="30"/>
      <c r="V626" s="30"/>
      <c r="W626" s="30"/>
      <c r="X626" s="30"/>
      <c r="Y626" s="30"/>
      <c r="Z626" s="30"/>
    </row>
    <row r="627" spans="1:26" ht="21" customHeight="1" x14ac:dyDescent="0.85">
      <c r="A627" s="708"/>
      <c r="B627" s="708"/>
      <c r="C627" s="708"/>
      <c r="D627" s="708"/>
      <c r="E627" s="708"/>
      <c r="F627" s="708"/>
      <c r="G627" s="30"/>
      <c r="H627" s="30"/>
      <c r="I627" s="30"/>
      <c r="J627" s="30"/>
      <c r="K627" s="30"/>
      <c r="L627" s="30"/>
      <c r="M627" s="30"/>
      <c r="N627" s="30"/>
      <c r="O627" s="30"/>
      <c r="P627" s="30"/>
      <c r="Q627" s="30"/>
      <c r="R627" s="30"/>
      <c r="S627" s="30"/>
      <c r="T627" s="30"/>
      <c r="U627" s="30"/>
      <c r="V627" s="30"/>
      <c r="W627" s="30"/>
      <c r="X627" s="30"/>
      <c r="Y627" s="30"/>
      <c r="Z627" s="30"/>
    </row>
    <row r="628" spans="1:26" ht="21" customHeight="1" x14ac:dyDescent="0.85">
      <c r="A628" s="708"/>
      <c r="B628" s="708"/>
      <c r="C628" s="708"/>
      <c r="D628" s="708"/>
      <c r="E628" s="708"/>
      <c r="F628" s="708"/>
      <c r="G628" s="30"/>
      <c r="H628" s="30"/>
      <c r="I628" s="30"/>
      <c r="J628" s="30"/>
      <c r="K628" s="30"/>
      <c r="L628" s="30"/>
      <c r="M628" s="30"/>
      <c r="N628" s="30"/>
      <c r="O628" s="30"/>
      <c r="P628" s="30"/>
      <c r="Q628" s="30"/>
      <c r="R628" s="30"/>
      <c r="S628" s="30"/>
      <c r="T628" s="30"/>
      <c r="U628" s="30"/>
      <c r="V628" s="30"/>
      <c r="W628" s="30"/>
      <c r="X628" s="30"/>
      <c r="Y628" s="30"/>
      <c r="Z628" s="30"/>
    </row>
    <row r="629" spans="1:26" ht="21" customHeight="1" x14ac:dyDescent="0.85">
      <c r="A629" s="708"/>
      <c r="B629" s="708"/>
      <c r="C629" s="708"/>
      <c r="D629" s="708"/>
      <c r="E629" s="708"/>
      <c r="F629" s="708"/>
      <c r="G629" s="30"/>
      <c r="H629" s="30"/>
      <c r="I629" s="30"/>
      <c r="J629" s="30"/>
      <c r="K629" s="30"/>
      <c r="L629" s="30"/>
      <c r="M629" s="30"/>
      <c r="N629" s="30"/>
      <c r="O629" s="30"/>
      <c r="P629" s="30"/>
      <c r="Q629" s="30"/>
      <c r="R629" s="30"/>
      <c r="S629" s="30"/>
      <c r="T629" s="30"/>
      <c r="U629" s="30"/>
      <c r="V629" s="30"/>
      <c r="W629" s="30"/>
      <c r="X629" s="30"/>
      <c r="Y629" s="30"/>
      <c r="Z629" s="30"/>
    </row>
    <row r="630" spans="1:26" ht="21" customHeight="1" x14ac:dyDescent="0.85">
      <c r="A630" s="708"/>
      <c r="B630" s="708"/>
      <c r="C630" s="708"/>
      <c r="D630" s="708"/>
      <c r="E630" s="708"/>
      <c r="F630" s="708"/>
      <c r="G630" s="30"/>
      <c r="H630" s="30"/>
      <c r="I630" s="30"/>
      <c r="J630" s="30"/>
      <c r="K630" s="30"/>
      <c r="L630" s="30"/>
      <c r="M630" s="30"/>
      <c r="N630" s="30"/>
      <c r="O630" s="30"/>
      <c r="P630" s="30"/>
      <c r="Q630" s="30"/>
      <c r="R630" s="30"/>
      <c r="S630" s="30"/>
      <c r="T630" s="30"/>
      <c r="U630" s="30"/>
      <c r="V630" s="30"/>
      <c r="W630" s="30"/>
      <c r="X630" s="30"/>
      <c r="Y630" s="30"/>
      <c r="Z630" s="30"/>
    </row>
    <row r="631" spans="1:26" ht="21" customHeight="1" x14ac:dyDescent="0.85">
      <c r="A631" s="708"/>
      <c r="B631" s="708"/>
      <c r="C631" s="708"/>
      <c r="D631" s="708"/>
      <c r="E631" s="708"/>
      <c r="F631" s="708"/>
      <c r="G631" s="30"/>
      <c r="H631" s="30"/>
      <c r="I631" s="30"/>
      <c r="J631" s="30"/>
      <c r="K631" s="30"/>
      <c r="L631" s="30"/>
      <c r="M631" s="30"/>
      <c r="N631" s="30"/>
      <c r="O631" s="30"/>
      <c r="P631" s="30"/>
      <c r="Q631" s="30"/>
      <c r="R631" s="30"/>
      <c r="S631" s="30"/>
      <c r="T631" s="30"/>
      <c r="U631" s="30"/>
      <c r="V631" s="30"/>
      <c r="W631" s="30"/>
      <c r="X631" s="30"/>
      <c r="Y631" s="30"/>
      <c r="Z631" s="30"/>
    </row>
    <row r="632" spans="1:26" ht="21" customHeight="1" x14ac:dyDescent="0.85">
      <c r="A632" s="708"/>
      <c r="B632" s="708"/>
      <c r="C632" s="708"/>
      <c r="D632" s="708"/>
      <c r="E632" s="708"/>
      <c r="F632" s="708"/>
      <c r="G632" s="30"/>
      <c r="H632" s="30"/>
      <c r="I632" s="30"/>
      <c r="J632" s="30"/>
      <c r="K632" s="30"/>
      <c r="L632" s="30"/>
      <c r="M632" s="30"/>
      <c r="N632" s="30"/>
      <c r="O632" s="30"/>
      <c r="P632" s="30"/>
      <c r="Q632" s="30"/>
      <c r="R632" s="30"/>
      <c r="S632" s="30"/>
      <c r="T632" s="30"/>
      <c r="U632" s="30"/>
      <c r="V632" s="30"/>
      <c r="W632" s="30"/>
      <c r="X632" s="30"/>
      <c r="Y632" s="30"/>
      <c r="Z632" s="30"/>
    </row>
    <row r="633" spans="1:26" ht="21" customHeight="1" x14ac:dyDescent="0.85">
      <c r="A633" s="708"/>
      <c r="B633" s="708"/>
      <c r="C633" s="708"/>
      <c r="D633" s="708"/>
      <c r="E633" s="708"/>
      <c r="F633" s="708"/>
      <c r="G633" s="30"/>
      <c r="H633" s="30"/>
      <c r="I633" s="30"/>
      <c r="J633" s="30"/>
      <c r="K633" s="30"/>
      <c r="L633" s="30"/>
      <c r="M633" s="30"/>
      <c r="N633" s="30"/>
      <c r="O633" s="30"/>
      <c r="P633" s="30"/>
      <c r="Q633" s="30"/>
      <c r="R633" s="30"/>
      <c r="S633" s="30"/>
      <c r="T633" s="30"/>
      <c r="U633" s="30"/>
      <c r="V633" s="30"/>
      <c r="W633" s="30"/>
      <c r="X633" s="30"/>
      <c r="Y633" s="30"/>
      <c r="Z633" s="30"/>
    </row>
    <row r="634" spans="1:26" ht="21" customHeight="1" x14ac:dyDescent="0.85">
      <c r="A634" s="708"/>
      <c r="B634" s="708"/>
      <c r="C634" s="708"/>
      <c r="D634" s="708"/>
      <c r="E634" s="708"/>
      <c r="F634" s="708"/>
      <c r="G634" s="30"/>
      <c r="H634" s="30"/>
      <c r="I634" s="30"/>
      <c r="J634" s="30"/>
      <c r="K634" s="30"/>
      <c r="L634" s="30"/>
      <c r="M634" s="30"/>
      <c r="N634" s="30"/>
      <c r="O634" s="30"/>
      <c r="P634" s="30"/>
      <c r="Q634" s="30"/>
      <c r="R634" s="30"/>
      <c r="S634" s="30"/>
      <c r="T634" s="30"/>
      <c r="U634" s="30"/>
      <c r="V634" s="30"/>
      <c r="W634" s="30"/>
      <c r="X634" s="30"/>
      <c r="Y634" s="30"/>
      <c r="Z634" s="30"/>
    </row>
    <row r="635" spans="1:26" ht="21" customHeight="1" x14ac:dyDescent="0.85">
      <c r="A635" s="708"/>
      <c r="B635" s="708"/>
      <c r="C635" s="708"/>
      <c r="D635" s="708"/>
      <c r="E635" s="708"/>
      <c r="F635" s="708"/>
      <c r="G635" s="30"/>
      <c r="H635" s="30"/>
      <c r="I635" s="30"/>
      <c r="J635" s="30"/>
      <c r="K635" s="30"/>
      <c r="L635" s="30"/>
      <c r="M635" s="30"/>
      <c r="N635" s="30"/>
      <c r="O635" s="30"/>
      <c r="P635" s="30"/>
      <c r="Q635" s="30"/>
      <c r="R635" s="30"/>
      <c r="S635" s="30"/>
      <c r="T635" s="30"/>
      <c r="U635" s="30"/>
      <c r="V635" s="30"/>
      <c r="W635" s="30"/>
      <c r="X635" s="30"/>
      <c r="Y635" s="30"/>
      <c r="Z635" s="30"/>
    </row>
    <row r="636" spans="1:26" ht="21" customHeight="1" x14ac:dyDescent="0.85">
      <c r="A636" s="708"/>
      <c r="B636" s="708"/>
      <c r="C636" s="708"/>
      <c r="D636" s="708"/>
      <c r="E636" s="708"/>
      <c r="F636" s="708"/>
      <c r="G636" s="30"/>
      <c r="H636" s="30"/>
      <c r="I636" s="30"/>
      <c r="J636" s="30"/>
      <c r="K636" s="30"/>
      <c r="L636" s="30"/>
      <c r="M636" s="30"/>
      <c r="N636" s="30"/>
      <c r="O636" s="30"/>
      <c r="P636" s="30"/>
      <c r="Q636" s="30"/>
      <c r="R636" s="30"/>
      <c r="S636" s="30"/>
      <c r="T636" s="30"/>
      <c r="U636" s="30"/>
      <c r="V636" s="30"/>
      <c r="W636" s="30"/>
      <c r="X636" s="30"/>
      <c r="Y636" s="30"/>
      <c r="Z636" s="30"/>
    </row>
    <row r="637" spans="1:26" ht="21" customHeight="1" x14ac:dyDescent="0.85">
      <c r="A637" s="708"/>
      <c r="B637" s="708"/>
      <c r="C637" s="708"/>
      <c r="D637" s="708"/>
      <c r="E637" s="708"/>
      <c r="F637" s="708"/>
      <c r="G637" s="30"/>
      <c r="H637" s="30"/>
      <c r="I637" s="30"/>
      <c r="J637" s="30"/>
      <c r="K637" s="30"/>
      <c r="L637" s="30"/>
      <c r="M637" s="30"/>
      <c r="N637" s="30"/>
      <c r="O637" s="30"/>
      <c r="P637" s="30"/>
      <c r="Q637" s="30"/>
      <c r="R637" s="30"/>
      <c r="S637" s="30"/>
      <c r="T637" s="30"/>
      <c r="U637" s="30"/>
      <c r="V637" s="30"/>
      <c r="W637" s="30"/>
      <c r="X637" s="30"/>
      <c r="Y637" s="30"/>
      <c r="Z637" s="30"/>
    </row>
    <row r="638" spans="1:26" ht="21" customHeight="1" x14ac:dyDescent="0.85">
      <c r="A638" s="708"/>
      <c r="B638" s="708"/>
      <c r="C638" s="708"/>
      <c r="D638" s="708"/>
      <c r="E638" s="708"/>
      <c r="F638" s="708"/>
      <c r="G638" s="30"/>
      <c r="H638" s="30"/>
      <c r="I638" s="30"/>
      <c r="J638" s="30"/>
      <c r="K638" s="30"/>
      <c r="L638" s="30"/>
      <c r="M638" s="30"/>
      <c r="N638" s="30"/>
      <c r="O638" s="30"/>
      <c r="P638" s="30"/>
      <c r="Q638" s="30"/>
      <c r="R638" s="30"/>
      <c r="S638" s="30"/>
      <c r="T638" s="30"/>
      <c r="U638" s="30"/>
      <c r="V638" s="30"/>
      <c r="W638" s="30"/>
      <c r="X638" s="30"/>
      <c r="Y638" s="30"/>
      <c r="Z638" s="30"/>
    </row>
    <row r="639" spans="1:26" ht="21" customHeight="1" x14ac:dyDescent="0.85">
      <c r="A639" s="708"/>
      <c r="B639" s="708"/>
      <c r="C639" s="708"/>
      <c r="D639" s="708"/>
      <c r="E639" s="708"/>
      <c r="F639" s="708"/>
      <c r="G639" s="30"/>
      <c r="H639" s="30"/>
      <c r="I639" s="30"/>
      <c r="J639" s="30"/>
      <c r="K639" s="30"/>
      <c r="L639" s="30"/>
      <c r="M639" s="30"/>
      <c r="N639" s="30"/>
      <c r="O639" s="30"/>
      <c r="P639" s="30"/>
      <c r="Q639" s="30"/>
      <c r="R639" s="30"/>
      <c r="S639" s="30"/>
      <c r="T639" s="30"/>
      <c r="U639" s="30"/>
      <c r="V639" s="30"/>
      <c r="W639" s="30"/>
      <c r="X639" s="30"/>
      <c r="Y639" s="30"/>
      <c r="Z639" s="30"/>
    </row>
    <row r="640" spans="1:26" ht="21" customHeight="1" x14ac:dyDescent="0.85">
      <c r="A640" s="708"/>
      <c r="B640" s="708"/>
      <c r="C640" s="708"/>
      <c r="D640" s="708"/>
      <c r="E640" s="708"/>
      <c r="F640" s="708"/>
      <c r="G640" s="30"/>
      <c r="H640" s="30"/>
      <c r="I640" s="30"/>
      <c r="J640" s="30"/>
      <c r="K640" s="30"/>
      <c r="L640" s="30"/>
      <c r="M640" s="30"/>
      <c r="N640" s="30"/>
      <c r="O640" s="30"/>
      <c r="P640" s="30"/>
      <c r="Q640" s="30"/>
      <c r="R640" s="30"/>
      <c r="S640" s="30"/>
      <c r="T640" s="30"/>
      <c r="U640" s="30"/>
      <c r="V640" s="30"/>
      <c r="W640" s="30"/>
      <c r="X640" s="30"/>
      <c r="Y640" s="30"/>
      <c r="Z640" s="30"/>
    </row>
    <row r="641" spans="1:26" ht="21" customHeight="1" x14ac:dyDescent="0.85">
      <c r="A641" s="708"/>
      <c r="B641" s="708"/>
      <c r="C641" s="708"/>
      <c r="D641" s="708"/>
      <c r="E641" s="708"/>
      <c r="F641" s="708"/>
      <c r="G641" s="30"/>
      <c r="H641" s="30"/>
      <c r="I641" s="30"/>
      <c r="J641" s="30"/>
      <c r="K641" s="30"/>
      <c r="L641" s="30"/>
      <c r="M641" s="30"/>
      <c r="N641" s="30"/>
      <c r="O641" s="30"/>
      <c r="P641" s="30"/>
      <c r="Q641" s="30"/>
      <c r="R641" s="30"/>
      <c r="S641" s="30"/>
      <c r="T641" s="30"/>
      <c r="U641" s="30"/>
      <c r="V641" s="30"/>
      <c r="W641" s="30"/>
      <c r="X641" s="30"/>
      <c r="Y641" s="30"/>
      <c r="Z641" s="30"/>
    </row>
    <row r="642" spans="1:26" ht="21" customHeight="1" x14ac:dyDescent="0.85">
      <c r="A642" s="708"/>
      <c r="B642" s="708"/>
      <c r="C642" s="708"/>
      <c r="D642" s="708"/>
      <c r="E642" s="708"/>
      <c r="F642" s="708"/>
      <c r="G642" s="30"/>
      <c r="H642" s="30"/>
      <c r="I642" s="30"/>
      <c r="J642" s="30"/>
      <c r="K642" s="30"/>
      <c r="L642" s="30"/>
      <c r="M642" s="30"/>
      <c r="N642" s="30"/>
      <c r="O642" s="30"/>
      <c r="P642" s="30"/>
      <c r="Q642" s="30"/>
      <c r="R642" s="30"/>
      <c r="S642" s="30"/>
      <c r="T642" s="30"/>
      <c r="U642" s="30"/>
      <c r="V642" s="30"/>
      <c r="W642" s="30"/>
      <c r="X642" s="30"/>
      <c r="Y642" s="30"/>
      <c r="Z642" s="30"/>
    </row>
    <row r="643" spans="1:26" ht="21" customHeight="1" x14ac:dyDescent="0.85">
      <c r="A643" s="708"/>
      <c r="B643" s="708"/>
      <c r="C643" s="708"/>
      <c r="D643" s="708"/>
      <c r="E643" s="708"/>
      <c r="F643" s="708"/>
      <c r="G643" s="30"/>
      <c r="H643" s="30"/>
      <c r="I643" s="30"/>
      <c r="J643" s="30"/>
      <c r="K643" s="30"/>
      <c r="L643" s="30"/>
      <c r="M643" s="30"/>
      <c r="N643" s="30"/>
      <c r="O643" s="30"/>
      <c r="P643" s="30"/>
      <c r="Q643" s="30"/>
      <c r="R643" s="30"/>
      <c r="S643" s="30"/>
      <c r="T643" s="30"/>
      <c r="U643" s="30"/>
      <c r="V643" s="30"/>
      <c r="W643" s="30"/>
      <c r="X643" s="30"/>
      <c r="Y643" s="30"/>
      <c r="Z643" s="30"/>
    </row>
    <row r="644" spans="1:26" ht="21" customHeight="1" x14ac:dyDescent="0.85">
      <c r="A644" s="708"/>
      <c r="B644" s="708"/>
      <c r="C644" s="708"/>
      <c r="D644" s="708"/>
      <c r="E644" s="708"/>
      <c r="F644" s="708"/>
      <c r="G644" s="30"/>
      <c r="H644" s="30"/>
      <c r="I644" s="30"/>
      <c r="J644" s="30"/>
      <c r="K644" s="30"/>
      <c r="L644" s="30"/>
      <c r="M644" s="30"/>
      <c r="N644" s="30"/>
      <c r="O644" s="30"/>
      <c r="P644" s="30"/>
      <c r="Q644" s="30"/>
      <c r="R644" s="30"/>
      <c r="S644" s="30"/>
      <c r="T644" s="30"/>
      <c r="U644" s="30"/>
      <c r="V644" s="30"/>
      <c r="W644" s="30"/>
      <c r="X644" s="30"/>
      <c r="Y644" s="30"/>
      <c r="Z644" s="30"/>
    </row>
    <row r="645" spans="1:26" ht="21" customHeight="1" x14ac:dyDescent="0.85">
      <c r="A645" s="708"/>
      <c r="B645" s="708"/>
      <c r="C645" s="708"/>
      <c r="D645" s="708"/>
      <c r="E645" s="708"/>
      <c r="F645" s="708"/>
      <c r="G645" s="30"/>
      <c r="H645" s="30"/>
      <c r="I645" s="30"/>
      <c r="J645" s="30"/>
      <c r="K645" s="30"/>
      <c r="L645" s="30"/>
      <c r="M645" s="30"/>
      <c r="N645" s="30"/>
      <c r="O645" s="30"/>
      <c r="P645" s="30"/>
      <c r="Q645" s="30"/>
      <c r="R645" s="30"/>
      <c r="S645" s="30"/>
      <c r="T645" s="30"/>
      <c r="U645" s="30"/>
      <c r="V645" s="30"/>
      <c r="W645" s="30"/>
      <c r="X645" s="30"/>
      <c r="Y645" s="30"/>
      <c r="Z645" s="30"/>
    </row>
    <row r="646" spans="1:26" ht="21" customHeight="1" x14ac:dyDescent="0.85">
      <c r="A646" s="708"/>
      <c r="B646" s="708"/>
      <c r="C646" s="708"/>
      <c r="D646" s="708"/>
      <c r="E646" s="708"/>
      <c r="F646" s="708"/>
      <c r="G646" s="30"/>
      <c r="H646" s="30"/>
      <c r="I646" s="30"/>
      <c r="J646" s="30"/>
      <c r="K646" s="30"/>
      <c r="L646" s="30"/>
      <c r="M646" s="30"/>
      <c r="N646" s="30"/>
      <c r="O646" s="30"/>
      <c r="P646" s="30"/>
      <c r="Q646" s="30"/>
      <c r="R646" s="30"/>
      <c r="S646" s="30"/>
      <c r="T646" s="30"/>
      <c r="U646" s="30"/>
      <c r="V646" s="30"/>
      <c r="W646" s="30"/>
      <c r="X646" s="30"/>
      <c r="Y646" s="30"/>
      <c r="Z646" s="30"/>
    </row>
    <row r="647" spans="1:26" ht="21" customHeight="1" x14ac:dyDescent="0.85">
      <c r="A647" s="708"/>
      <c r="B647" s="708"/>
      <c r="C647" s="708"/>
      <c r="D647" s="708"/>
      <c r="E647" s="708"/>
      <c r="F647" s="708"/>
      <c r="G647" s="30"/>
      <c r="H647" s="30"/>
      <c r="I647" s="30"/>
      <c r="J647" s="30"/>
      <c r="K647" s="30"/>
      <c r="L647" s="30"/>
      <c r="M647" s="30"/>
      <c r="N647" s="30"/>
      <c r="O647" s="30"/>
      <c r="P647" s="30"/>
      <c r="Q647" s="30"/>
      <c r="R647" s="30"/>
      <c r="S647" s="30"/>
      <c r="T647" s="30"/>
      <c r="U647" s="30"/>
      <c r="V647" s="30"/>
      <c r="W647" s="30"/>
      <c r="X647" s="30"/>
      <c r="Y647" s="30"/>
      <c r="Z647" s="30"/>
    </row>
    <row r="648" spans="1:26" ht="21" customHeight="1" x14ac:dyDescent="0.85">
      <c r="A648" s="708"/>
      <c r="B648" s="708"/>
      <c r="C648" s="708"/>
      <c r="D648" s="708"/>
      <c r="E648" s="708"/>
      <c r="F648" s="708"/>
      <c r="G648" s="30"/>
      <c r="H648" s="30"/>
      <c r="I648" s="30"/>
      <c r="J648" s="30"/>
      <c r="K648" s="30"/>
      <c r="L648" s="30"/>
      <c r="M648" s="30"/>
      <c r="N648" s="30"/>
      <c r="O648" s="30"/>
      <c r="P648" s="30"/>
      <c r="Q648" s="30"/>
      <c r="R648" s="30"/>
      <c r="S648" s="30"/>
      <c r="T648" s="30"/>
      <c r="U648" s="30"/>
      <c r="V648" s="30"/>
      <c r="W648" s="30"/>
      <c r="X648" s="30"/>
      <c r="Y648" s="30"/>
      <c r="Z648" s="30"/>
    </row>
    <row r="649" spans="1:26" ht="21" customHeight="1" x14ac:dyDescent="0.85">
      <c r="A649" s="708"/>
      <c r="B649" s="708"/>
      <c r="C649" s="708"/>
      <c r="D649" s="708"/>
      <c r="E649" s="708"/>
      <c r="F649" s="708"/>
      <c r="G649" s="30"/>
      <c r="H649" s="30"/>
      <c r="I649" s="30"/>
      <c r="J649" s="30"/>
      <c r="K649" s="30"/>
      <c r="L649" s="30"/>
      <c r="M649" s="30"/>
      <c r="N649" s="30"/>
      <c r="O649" s="30"/>
      <c r="P649" s="30"/>
      <c r="Q649" s="30"/>
      <c r="R649" s="30"/>
      <c r="S649" s="30"/>
      <c r="T649" s="30"/>
      <c r="U649" s="30"/>
      <c r="V649" s="30"/>
      <c r="W649" s="30"/>
      <c r="X649" s="30"/>
      <c r="Y649" s="30"/>
      <c r="Z649" s="30"/>
    </row>
    <row r="650" spans="1:26" ht="21" customHeight="1" x14ac:dyDescent="0.85">
      <c r="A650" s="708"/>
      <c r="B650" s="708"/>
      <c r="C650" s="708"/>
      <c r="D650" s="708"/>
      <c r="E650" s="708"/>
      <c r="F650" s="708"/>
      <c r="G650" s="30"/>
      <c r="H650" s="30"/>
      <c r="I650" s="30"/>
      <c r="J650" s="30"/>
      <c r="K650" s="30"/>
      <c r="L650" s="30"/>
      <c r="M650" s="30"/>
      <c r="N650" s="30"/>
      <c r="O650" s="30"/>
      <c r="P650" s="30"/>
      <c r="Q650" s="30"/>
      <c r="R650" s="30"/>
      <c r="S650" s="30"/>
      <c r="T650" s="30"/>
      <c r="U650" s="30"/>
      <c r="V650" s="30"/>
      <c r="W650" s="30"/>
      <c r="X650" s="30"/>
      <c r="Y650" s="30"/>
      <c r="Z650" s="30"/>
    </row>
    <row r="651" spans="1:26" ht="21" customHeight="1" x14ac:dyDescent="0.85">
      <c r="A651" s="708"/>
      <c r="B651" s="708"/>
      <c r="C651" s="708"/>
      <c r="D651" s="708"/>
      <c r="E651" s="708"/>
      <c r="F651" s="708"/>
      <c r="G651" s="30"/>
      <c r="H651" s="30"/>
      <c r="I651" s="30"/>
      <c r="J651" s="30"/>
      <c r="K651" s="30"/>
      <c r="L651" s="30"/>
      <c r="M651" s="30"/>
      <c r="N651" s="30"/>
      <c r="O651" s="30"/>
      <c r="P651" s="30"/>
      <c r="Q651" s="30"/>
      <c r="R651" s="30"/>
      <c r="S651" s="30"/>
      <c r="T651" s="30"/>
      <c r="U651" s="30"/>
      <c r="V651" s="30"/>
      <c r="W651" s="30"/>
      <c r="X651" s="30"/>
      <c r="Y651" s="30"/>
      <c r="Z651" s="30"/>
    </row>
    <row r="652" spans="1:26" ht="21" customHeight="1" x14ac:dyDescent="0.85">
      <c r="A652" s="708"/>
      <c r="B652" s="708"/>
      <c r="C652" s="708"/>
      <c r="D652" s="708"/>
      <c r="E652" s="708"/>
      <c r="F652" s="708"/>
      <c r="G652" s="30"/>
      <c r="H652" s="30"/>
      <c r="I652" s="30"/>
      <c r="J652" s="30"/>
      <c r="K652" s="30"/>
      <c r="L652" s="30"/>
      <c r="M652" s="30"/>
      <c r="N652" s="30"/>
      <c r="O652" s="30"/>
      <c r="P652" s="30"/>
      <c r="Q652" s="30"/>
      <c r="R652" s="30"/>
      <c r="S652" s="30"/>
      <c r="T652" s="30"/>
      <c r="U652" s="30"/>
      <c r="V652" s="30"/>
      <c r="W652" s="30"/>
      <c r="X652" s="30"/>
      <c r="Y652" s="30"/>
      <c r="Z652" s="30"/>
    </row>
    <row r="653" spans="1:26" ht="21" customHeight="1" x14ac:dyDescent="0.85">
      <c r="A653" s="708"/>
      <c r="B653" s="708"/>
      <c r="C653" s="708"/>
      <c r="D653" s="708"/>
      <c r="E653" s="708"/>
      <c r="F653" s="708"/>
      <c r="G653" s="30"/>
      <c r="H653" s="30"/>
      <c r="I653" s="30"/>
      <c r="J653" s="30"/>
      <c r="K653" s="30"/>
      <c r="L653" s="30"/>
      <c r="M653" s="30"/>
      <c r="N653" s="30"/>
      <c r="O653" s="30"/>
      <c r="P653" s="30"/>
      <c r="Q653" s="30"/>
      <c r="R653" s="30"/>
      <c r="S653" s="30"/>
      <c r="T653" s="30"/>
      <c r="U653" s="30"/>
      <c r="V653" s="30"/>
      <c r="W653" s="30"/>
      <c r="X653" s="30"/>
      <c r="Y653" s="30"/>
      <c r="Z653" s="30"/>
    </row>
    <row r="654" spans="1:26" ht="21" customHeight="1" x14ac:dyDescent="0.85">
      <c r="A654" s="708"/>
      <c r="B654" s="708"/>
      <c r="C654" s="708"/>
      <c r="D654" s="708"/>
      <c r="E654" s="708"/>
      <c r="F654" s="708"/>
      <c r="G654" s="30"/>
      <c r="H654" s="30"/>
      <c r="I654" s="30"/>
      <c r="J654" s="30"/>
      <c r="K654" s="30"/>
      <c r="L654" s="30"/>
      <c r="M654" s="30"/>
      <c r="N654" s="30"/>
      <c r="O654" s="30"/>
      <c r="P654" s="30"/>
      <c r="Q654" s="30"/>
      <c r="R654" s="30"/>
      <c r="S654" s="30"/>
      <c r="T654" s="30"/>
      <c r="U654" s="30"/>
      <c r="V654" s="30"/>
      <c r="W654" s="30"/>
      <c r="X654" s="30"/>
      <c r="Y654" s="30"/>
      <c r="Z654" s="30"/>
    </row>
    <row r="655" spans="1:26" ht="21" customHeight="1" x14ac:dyDescent="0.85">
      <c r="A655" s="708"/>
      <c r="B655" s="708"/>
      <c r="C655" s="708"/>
      <c r="D655" s="708"/>
      <c r="E655" s="708"/>
      <c r="F655" s="708"/>
      <c r="G655" s="30"/>
      <c r="H655" s="30"/>
      <c r="I655" s="30"/>
      <c r="J655" s="30"/>
      <c r="K655" s="30"/>
      <c r="L655" s="30"/>
      <c r="M655" s="30"/>
      <c r="N655" s="30"/>
      <c r="O655" s="30"/>
      <c r="P655" s="30"/>
      <c r="Q655" s="30"/>
      <c r="R655" s="30"/>
      <c r="S655" s="30"/>
      <c r="T655" s="30"/>
      <c r="U655" s="30"/>
      <c r="V655" s="30"/>
      <c r="W655" s="30"/>
      <c r="X655" s="30"/>
      <c r="Y655" s="30"/>
      <c r="Z655" s="30"/>
    </row>
    <row r="656" spans="1:26" ht="21" customHeight="1" x14ac:dyDescent="0.85">
      <c r="A656" s="708"/>
      <c r="B656" s="708"/>
      <c r="C656" s="708"/>
      <c r="D656" s="708"/>
      <c r="E656" s="708"/>
      <c r="F656" s="708"/>
      <c r="G656" s="30"/>
      <c r="H656" s="30"/>
      <c r="I656" s="30"/>
      <c r="J656" s="30"/>
      <c r="K656" s="30"/>
      <c r="L656" s="30"/>
      <c r="M656" s="30"/>
      <c r="N656" s="30"/>
      <c r="O656" s="30"/>
      <c r="P656" s="30"/>
      <c r="Q656" s="30"/>
      <c r="R656" s="30"/>
      <c r="S656" s="30"/>
      <c r="T656" s="30"/>
      <c r="U656" s="30"/>
      <c r="V656" s="30"/>
      <c r="W656" s="30"/>
      <c r="X656" s="30"/>
      <c r="Y656" s="30"/>
      <c r="Z656" s="30"/>
    </row>
    <row r="657" spans="1:26" ht="21" customHeight="1" x14ac:dyDescent="0.85">
      <c r="A657" s="708"/>
      <c r="B657" s="708"/>
      <c r="C657" s="708"/>
      <c r="D657" s="708"/>
      <c r="E657" s="708"/>
      <c r="F657" s="708"/>
      <c r="G657" s="30"/>
      <c r="H657" s="30"/>
      <c r="I657" s="30"/>
      <c r="J657" s="30"/>
      <c r="K657" s="30"/>
      <c r="L657" s="30"/>
      <c r="M657" s="30"/>
      <c r="N657" s="30"/>
      <c r="O657" s="30"/>
      <c r="P657" s="30"/>
      <c r="Q657" s="30"/>
      <c r="R657" s="30"/>
      <c r="S657" s="30"/>
      <c r="T657" s="30"/>
      <c r="U657" s="30"/>
      <c r="V657" s="30"/>
      <c r="W657" s="30"/>
      <c r="X657" s="30"/>
      <c r="Y657" s="30"/>
      <c r="Z657" s="30"/>
    </row>
    <row r="658" spans="1:26" ht="21" customHeight="1" x14ac:dyDescent="0.85">
      <c r="A658" s="708"/>
      <c r="B658" s="708"/>
      <c r="C658" s="708"/>
      <c r="D658" s="708"/>
      <c r="E658" s="708"/>
      <c r="F658" s="708"/>
      <c r="G658" s="30"/>
      <c r="H658" s="30"/>
      <c r="I658" s="30"/>
      <c r="J658" s="30"/>
      <c r="K658" s="30"/>
      <c r="L658" s="30"/>
      <c r="M658" s="30"/>
      <c r="N658" s="30"/>
      <c r="O658" s="30"/>
      <c r="P658" s="30"/>
      <c r="Q658" s="30"/>
      <c r="R658" s="30"/>
      <c r="S658" s="30"/>
      <c r="T658" s="30"/>
      <c r="U658" s="30"/>
      <c r="V658" s="30"/>
      <c r="W658" s="30"/>
      <c r="X658" s="30"/>
      <c r="Y658" s="30"/>
      <c r="Z658" s="30"/>
    </row>
    <row r="659" spans="1:26" ht="21" customHeight="1" x14ac:dyDescent="0.85">
      <c r="A659" s="708"/>
      <c r="B659" s="708"/>
      <c r="C659" s="708"/>
      <c r="D659" s="708"/>
      <c r="E659" s="708"/>
      <c r="F659" s="708"/>
      <c r="G659" s="30"/>
      <c r="H659" s="30"/>
      <c r="I659" s="30"/>
      <c r="J659" s="30"/>
      <c r="K659" s="30"/>
      <c r="L659" s="30"/>
      <c r="M659" s="30"/>
      <c r="N659" s="30"/>
      <c r="O659" s="30"/>
      <c r="P659" s="30"/>
      <c r="Q659" s="30"/>
      <c r="R659" s="30"/>
      <c r="S659" s="30"/>
      <c r="T659" s="30"/>
      <c r="U659" s="30"/>
      <c r="V659" s="30"/>
      <c r="W659" s="30"/>
      <c r="X659" s="30"/>
      <c r="Y659" s="30"/>
      <c r="Z659" s="30"/>
    </row>
    <row r="660" spans="1:26" ht="21" customHeight="1" x14ac:dyDescent="0.85">
      <c r="A660" s="708"/>
      <c r="B660" s="708"/>
      <c r="C660" s="708"/>
      <c r="D660" s="708"/>
      <c r="E660" s="708"/>
      <c r="F660" s="708"/>
      <c r="G660" s="30"/>
      <c r="H660" s="30"/>
      <c r="I660" s="30"/>
      <c r="J660" s="30"/>
      <c r="K660" s="30"/>
      <c r="L660" s="30"/>
      <c r="M660" s="30"/>
      <c r="N660" s="30"/>
      <c r="O660" s="30"/>
      <c r="P660" s="30"/>
      <c r="Q660" s="30"/>
      <c r="R660" s="30"/>
      <c r="S660" s="30"/>
      <c r="T660" s="30"/>
      <c r="U660" s="30"/>
      <c r="V660" s="30"/>
      <c r="W660" s="30"/>
      <c r="X660" s="30"/>
      <c r="Y660" s="30"/>
      <c r="Z660" s="30"/>
    </row>
    <row r="661" spans="1:26" ht="21" customHeight="1" x14ac:dyDescent="0.85">
      <c r="A661" s="708"/>
      <c r="B661" s="708"/>
      <c r="C661" s="708"/>
      <c r="D661" s="708"/>
      <c r="E661" s="708"/>
      <c r="F661" s="708"/>
      <c r="G661" s="30"/>
      <c r="H661" s="30"/>
      <c r="I661" s="30"/>
      <c r="J661" s="30"/>
      <c r="K661" s="30"/>
      <c r="L661" s="30"/>
      <c r="M661" s="30"/>
      <c r="N661" s="30"/>
      <c r="O661" s="30"/>
      <c r="P661" s="30"/>
      <c r="Q661" s="30"/>
      <c r="R661" s="30"/>
      <c r="S661" s="30"/>
      <c r="T661" s="30"/>
      <c r="U661" s="30"/>
      <c r="V661" s="30"/>
      <c r="W661" s="30"/>
      <c r="X661" s="30"/>
      <c r="Y661" s="30"/>
      <c r="Z661" s="30"/>
    </row>
    <row r="662" spans="1:26" ht="21" customHeight="1" x14ac:dyDescent="0.85">
      <c r="A662" s="708"/>
      <c r="B662" s="708"/>
      <c r="C662" s="708"/>
      <c r="D662" s="708"/>
      <c r="E662" s="708"/>
      <c r="F662" s="708"/>
      <c r="G662" s="30"/>
      <c r="H662" s="30"/>
      <c r="I662" s="30"/>
      <c r="J662" s="30"/>
      <c r="K662" s="30"/>
      <c r="L662" s="30"/>
      <c r="M662" s="30"/>
      <c r="N662" s="30"/>
      <c r="O662" s="30"/>
      <c r="P662" s="30"/>
      <c r="Q662" s="30"/>
      <c r="R662" s="30"/>
      <c r="S662" s="30"/>
      <c r="T662" s="30"/>
      <c r="U662" s="30"/>
      <c r="V662" s="30"/>
      <c r="W662" s="30"/>
      <c r="X662" s="30"/>
      <c r="Y662" s="30"/>
      <c r="Z662" s="30"/>
    </row>
    <row r="663" spans="1:26" ht="21" customHeight="1" x14ac:dyDescent="0.85">
      <c r="A663" s="708"/>
      <c r="B663" s="708"/>
      <c r="C663" s="708"/>
      <c r="D663" s="708"/>
      <c r="E663" s="708"/>
      <c r="F663" s="708"/>
      <c r="G663" s="30"/>
      <c r="H663" s="30"/>
      <c r="I663" s="30"/>
      <c r="J663" s="30"/>
      <c r="K663" s="30"/>
      <c r="L663" s="30"/>
      <c r="M663" s="30"/>
      <c r="N663" s="30"/>
      <c r="O663" s="30"/>
      <c r="P663" s="30"/>
      <c r="Q663" s="30"/>
      <c r="R663" s="30"/>
      <c r="S663" s="30"/>
      <c r="T663" s="30"/>
      <c r="U663" s="30"/>
      <c r="V663" s="30"/>
      <c r="W663" s="30"/>
      <c r="X663" s="30"/>
      <c r="Y663" s="30"/>
      <c r="Z663" s="30"/>
    </row>
    <row r="664" spans="1:26" ht="21" customHeight="1" x14ac:dyDescent="0.85">
      <c r="A664" s="708"/>
      <c r="B664" s="708"/>
      <c r="C664" s="708"/>
      <c r="D664" s="708"/>
      <c r="E664" s="708"/>
      <c r="F664" s="708"/>
      <c r="G664" s="30"/>
      <c r="H664" s="30"/>
      <c r="I664" s="30"/>
      <c r="J664" s="30"/>
      <c r="K664" s="30"/>
      <c r="L664" s="30"/>
      <c r="M664" s="30"/>
      <c r="N664" s="30"/>
      <c r="O664" s="30"/>
      <c r="P664" s="30"/>
      <c r="Q664" s="30"/>
      <c r="R664" s="30"/>
      <c r="S664" s="30"/>
      <c r="T664" s="30"/>
      <c r="U664" s="30"/>
      <c r="V664" s="30"/>
      <c r="W664" s="30"/>
      <c r="X664" s="30"/>
      <c r="Y664" s="30"/>
      <c r="Z664" s="30"/>
    </row>
    <row r="665" spans="1:26" ht="21" customHeight="1" x14ac:dyDescent="0.85">
      <c r="A665" s="708"/>
      <c r="B665" s="708"/>
      <c r="C665" s="708"/>
      <c r="D665" s="708"/>
      <c r="E665" s="708"/>
      <c r="F665" s="708"/>
      <c r="G665" s="30"/>
      <c r="H665" s="30"/>
      <c r="I665" s="30"/>
      <c r="J665" s="30"/>
      <c r="K665" s="30"/>
      <c r="L665" s="30"/>
      <c r="M665" s="30"/>
      <c r="N665" s="30"/>
      <c r="O665" s="30"/>
      <c r="P665" s="30"/>
      <c r="Q665" s="30"/>
      <c r="R665" s="30"/>
      <c r="S665" s="30"/>
      <c r="T665" s="30"/>
      <c r="U665" s="30"/>
      <c r="V665" s="30"/>
      <c r="W665" s="30"/>
      <c r="X665" s="30"/>
      <c r="Y665" s="30"/>
      <c r="Z665" s="30"/>
    </row>
    <row r="666" spans="1:26" ht="21" customHeight="1" x14ac:dyDescent="0.85">
      <c r="A666" s="708"/>
      <c r="B666" s="708"/>
      <c r="C666" s="708"/>
      <c r="D666" s="708"/>
      <c r="E666" s="708"/>
      <c r="F666" s="708"/>
      <c r="G666" s="30"/>
      <c r="H666" s="30"/>
      <c r="I666" s="30"/>
      <c r="J666" s="30"/>
      <c r="K666" s="30"/>
      <c r="L666" s="30"/>
      <c r="M666" s="30"/>
      <c r="N666" s="30"/>
      <c r="O666" s="30"/>
      <c r="P666" s="30"/>
      <c r="Q666" s="30"/>
      <c r="R666" s="30"/>
      <c r="S666" s="30"/>
      <c r="T666" s="30"/>
      <c r="U666" s="30"/>
      <c r="V666" s="30"/>
      <c r="W666" s="30"/>
      <c r="X666" s="30"/>
      <c r="Y666" s="30"/>
      <c r="Z666" s="30"/>
    </row>
    <row r="667" spans="1:26" ht="21" customHeight="1" x14ac:dyDescent="0.85">
      <c r="A667" s="708"/>
      <c r="B667" s="708"/>
      <c r="C667" s="708"/>
      <c r="D667" s="708"/>
      <c r="E667" s="708"/>
      <c r="F667" s="708"/>
      <c r="G667" s="30"/>
      <c r="H667" s="30"/>
      <c r="I667" s="30"/>
      <c r="J667" s="30"/>
      <c r="K667" s="30"/>
      <c r="L667" s="30"/>
      <c r="M667" s="30"/>
      <c r="N667" s="30"/>
      <c r="O667" s="30"/>
      <c r="P667" s="30"/>
      <c r="Q667" s="30"/>
      <c r="R667" s="30"/>
      <c r="S667" s="30"/>
      <c r="T667" s="30"/>
      <c r="U667" s="30"/>
      <c r="V667" s="30"/>
      <c r="W667" s="30"/>
      <c r="X667" s="30"/>
      <c r="Y667" s="30"/>
      <c r="Z667" s="30"/>
    </row>
    <row r="668" spans="1:26" ht="21" customHeight="1" x14ac:dyDescent="0.85">
      <c r="A668" s="708"/>
      <c r="B668" s="708"/>
      <c r="C668" s="708"/>
      <c r="D668" s="708"/>
      <c r="E668" s="708"/>
      <c r="F668" s="708"/>
      <c r="G668" s="30"/>
      <c r="H668" s="30"/>
      <c r="I668" s="30"/>
      <c r="J668" s="30"/>
      <c r="K668" s="30"/>
      <c r="L668" s="30"/>
      <c r="M668" s="30"/>
      <c r="N668" s="30"/>
      <c r="O668" s="30"/>
      <c r="P668" s="30"/>
      <c r="Q668" s="30"/>
      <c r="R668" s="30"/>
      <c r="S668" s="30"/>
      <c r="T668" s="30"/>
      <c r="U668" s="30"/>
      <c r="V668" s="30"/>
      <c r="W668" s="30"/>
      <c r="X668" s="30"/>
      <c r="Y668" s="30"/>
      <c r="Z668" s="30"/>
    </row>
    <row r="669" spans="1:26" ht="21" customHeight="1" x14ac:dyDescent="0.85">
      <c r="A669" s="708"/>
      <c r="B669" s="708"/>
      <c r="C669" s="708"/>
      <c r="D669" s="708"/>
      <c r="E669" s="708"/>
      <c r="F669" s="708"/>
      <c r="G669" s="30"/>
      <c r="H669" s="30"/>
      <c r="I669" s="30"/>
      <c r="J669" s="30"/>
      <c r="K669" s="30"/>
      <c r="L669" s="30"/>
      <c r="M669" s="30"/>
      <c r="N669" s="30"/>
      <c r="O669" s="30"/>
      <c r="P669" s="30"/>
      <c r="Q669" s="30"/>
      <c r="R669" s="30"/>
      <c r="S669" s="30"/>
      <c r="T669" s="30"/>
      <c r="U669" s="30"/>
      <c r="V669" s="30"/>
      <c r="W669" s="30"/>
      <c r="X669" s="30"/>
      <c r="Y669" s="30"/>
      <c r="Z669" s="30"/>
    </row>
    <row r="670" spans="1:26" ht="21" customHeight="1" x14ac:dyDescent="0.85">
      <c r="A670" s="708"/>
      <c r="B670" s="708"/>
      <c r="C670" s="708"/>
      <c r="D670" s="708"/>
      <c r="E670" s="708"/>
      <c r="F670" s="708"/>
      <c r="G670" s="30"/>
      <c r="H670" s="30"/>
      <c r="I670" s="30"/>
      <c r="J670" s="30"/>
      <c r="K670" s="30"/>
      <c r="L670" s="30"/>
      <c r="M670" s="30"/>
      <c r="N670" s="30"/>
      <c r="O670" s="30"/>
      <c r="P670" s="30"/>
      <c r="Q670" s="30"/>
      <c r="R670" s="30"/>
      <c r="S670" s="30"/>
      <c r="T670" s="30"/>
      <c r="U670" s="30"/>
      <c r="V670" s="30"/>
      <c r="W670" s="30"/>
      <c r="X670" s="30"/>
      <c r="Y670" s="30"/>
      <c r="Z670" s="30"/>
    </row>
    <row r="671" spans="1:26" ht="21" customHeight="1" x14ac:dyDescent="0.85">
      <c r="A671" s="708"/>
      <c r="B671" s="708"/>
      <c r="C671" s="708"/>
      <c r="D671" s="708"/>
      <c r="E671" s="708"/>
      <c r="F671" s="708"/>
      <c r="G671" s="30"/>
      <c r="H671" s="30"/>
      <c r="I671" s="30"/>
      <c r="J671" s="30"/>
      <c r="K671" s="30"/>
      <c r="L671" s="30"/>
      <c r="M671" s="30"/>
      <c r="N671" s="30"/>
      <c r="O671" s="30"/>
      <c r="P671" s="30"/>
      <c r="Q671" s="30"/>
      <c r="R671" s="30"/>
      <c r="S671" s="30"/>
      <c r="T671" s="30"/>
      <c r="U671" s="30"/>
      <c r="V671" s="30"/>
      <c r="W671" s="30"/>
      <c r="X671" s="30"/>
      <c r="Y671" s="30"/>
      <c r="Z671" s="30"/>
    </row>
    <row r="672" spans="1:26" ht="21" customHeight="1" x14ac:dyDescent="0.85">
      <c r="A672" s="708"/>
      <c r="B672" s="708"/>
      <c r="C672" s="708"/>
      <c r="D672" s="708"/>
      <c r="E672" s="708"/>
      <c r="F672" s="708"/>
      <c r="G672" s="30"/>
      <c r="H672" s="30"/>
      <c r="I672" s="30"/>
      <c r="J672" s="30"/>
      <c r="K672" s="30"/>
      <c r="L672" s="30"/>
      <c r="M672" s="30"/>
      <c r="N672" s="30"/>
      <c r="O672" s="30"/>
      <c r="P672" s="30"/>
      <c r="Q672" s="30"/>
      <c r="R672" s="30"/>
      <c r="S672" s="30"/>
      <c r="T672" s="30"/>
      <c r="U672" s="30"/>
      <c r="V672" s="30"/>
      <c r="W672" s="30"/>
      <c r="X672" s="30"/>
      <c r="Y672" s="30"/>
      <c r="Z672" s="30"/>
    </row>
    <row r="673" spans="1:26" ht="21" customHeight="1" x14ac:dyDescent="0.85">
      <c r="A673" s="708"/>
      <c r="B673" s="708"/>
      <c r="C673" s="708"/>
      <c r="D673" s="708"/>
      <c r="E673" s="708"/>
      <c r="F673" s="708"/>
      <c r="G673" s="30"/>
      <c r="H673" s="30"/>
      <c r="I673" s="30"/>
      <c r="J673" s="30"/>
      <c r="K673" s="30"/>
      <c r="L673" s="30"/>
      <c r="M673" s="30"/>
      <c r="N673" s="30"/>
      <c r="O673" s="30"/>
      <c r="P673" s="30"/>
      <c r="Q673" s="30"/>
      <c r="R673" s="30"/>
      <c r="S673" s="30"/>
      <c r="T673" s="30"/>
      <c r="U673" s="30"/>
      <c r="V673" s="30"/>
      <c r="W673" s="30"/>
      <c r="X673" s="30"/>
      <c r="Y673" s="30"/>
      <c r="Z673" s="30"/>
    </row>
    <row r="674" spans="1:26" ht="21" customHeight="1" x14ac:dyDescent="0.85">
      <c r="A674" s="708"/>
      <c r="B674" s="708"/>
      <c r="C674" s="708"/>
      <c r="D674" s="708"/>
      <c r="E674" s="708"/>
      <c r="F674" s="708"/>
      <c r="G674" s="30"/>
      <c r="H674" s="30"/>
      <c r="I674" s="30"/>
      <c r="J674" s="30"/>
      <c r="K674" s="30"/>
      <c r="L674" s="30"/>
      <c r="M674" s="30"/>
      <c r="N674" s="30"/>
      <c r="O674" s="30"/>
      <c r="P674" s="30"/>
      <c r="Q674" s="30"/>
      <c r="R674" s="30"/>
      <c r="S674" s="30"/>
      <c r="T674" s="30"/>
      <c r="U674" s="30"/>
      <c r="V674" s="30"/>
      <c r="W674" s="30"/>
      <c r="X674" s="30"/>
      <c r="Y674" s="30"/>
      <c r="Z674" s="30"/>
    </row>
    <row r="675" spans="1:26" ht="21" customHeight="1" x14ac:dyDescent="0.85">
      <c r="A675" s="708"/>
      <c r="B675" s="708"/>
      <c r="C675" s="708"/>
      <c r="D675" s="708"/>
      <c r="E675" s="708"/>
      <c r="F675" s="708"/>
      <c r="G675" s="30"/>
      <c r="H675" s="30"/>
      <c r="I675" s="30"/>
      <c r="J675" s="30"/>
      <c r="K675" s="30"/>
      <c r="L675" s="30"/>
      <c r="M675" s="30"/>
      <c r="N675" s="30"/>
      <c r="O675" s="30"/>
      <c r="P675" s="30"/>
      <c r="Q675" s="30"/>
      <c r="R675" s="30"/>
      <c r="S675" s="30"/>
      <c r="T675" s="30"/>
      <c r="U675" s="30"/>
      <c r="V675" s="30"/>
      <c r="W675" s="30"/>
      <c r="X675" s="30"/>
      <c r="Y675" s="30"/>
      <c r="Z675" s="30"/>
    </row>
    <row r="676" spans="1:26" ht="21" customHeight="1" x14ac:dyDescent="0.85">
      <c r="A676" s="708"/>
      <c r="B676" s="708"/>
      <c r="C676" s="708"/>
      <c r="D676" s="708"/>
      <c r="E676" s="708"/>
      <c r="F676" s="708"/>
      <c r="G676" s="30"/>
      <c r="H676" s="30"/>
      <c r="I676" s="30"/>
      <c r="J676" s="30"/>
      <c r="K676" s="30"/>
      <c r="L676" s="30"/>
      <c r="M676" s="30"/>
      <c r="N676" s="30"/>
      <c r="O676" s="30"/>
      <c r="P676" s="30"/>
      <c r="Q676" s="30"/>
      <c r="R676" s="30"/>
      <c r="S676" s="30"/>
      <c r="T676" s="30"/>
      <c r="U676" s="30"/>
      <c r="V676" s="30"/>
      <c r="W676" s="30"/>
      <c r="X676" s="30"/>
      <c r="Y676" s="30"/>
      <c r="Z676" s="30"/>
    </row>
    <row r="677" spans="1:26" ht="21" customHeight="1" x14ac:dyDescent="0.85">
      <c r="A677" s="708"/>
      <c r="B677" s="708"/>
      <c r="C677" s="708"/>
      <c r="D677" s="708"/>
      <c r="E677" s="708"/>
      <c r="F677" s="708"/>
      <c r="G677" s="30"/>
      <c r="H677" s="30"/>
      <c r="I677" s="30"/>
      <c r="J677" s="30"/>
      <c r="K677" s="30"/>
      <c r="L677" s="30"/>
      <c r="M677" s="30"/>
      <c r="N677" s="30"/>
      <c r="O677" s="30"/>
      <c r="P677" s="30"/>
      <c r="Q677" s="30"/>
      <c r="R677" s="30"/>
      <c r="S677" s="30"/>
      <c r="T677" s="30"/>
      <c r="U677" s="30"/>
      <c r="V677" s="30"/>
      <c r="W677" s="30"/>
      <c r="X677" s="30"/>
      <c r="Y677" s="30"/>
      <c r="Z677" s="30"/>
    </row>
    <row r="678" spans="1:26" ht="21" customHeight="1" x14ac:dyDescent="0.85">
      <c r="A678" s="708"/>
      <c r="B678" s="708"/>
      <c r="C678" s="708"/>
      <c r="D678" s="708"/>
      <c r="E678" s="708"/>
      <c r="F678" s="708"/>
      <c r="G678" s="30"/>
      <c r="H678" s="30"/>
      <c r="I678" s="30"/>
      <c r="J678" s="30"/>
      <c r="K678" s="30"/>
      <c r="L678" s="30"/>
      <c r="M678" s="30"/>
      <c r="N678" s="30"/>
      <c r="O678" s="30"/>
      <c r="P678" s="30"/>
      <c r="Q678" s="30"/>
      <c r="R678" s="30"/>
      <c r="S678" s="30"/>
      <c r="T678" s="30"/>
      <c r="U678" s="30"/>
      <c r="V678" s="30"/>
      <c r="W678" s="30"/>
      <c r="X678" s="30"/>
      <c r="Y678" s="30"/>
      <c r="Z678" s="30"/>
    </row>
    <row r="679" spans="1:26" ht="21" customHeight="1" x14ac:dyDescent="0.85">
      <c r="A679" s="708"/>
      <c r="B679" s="708"/>
      <c r="C679" s="708"/>
      <c r="D679" s="708"/>
      <c r="E679" s="708"/>
      <c r="F679" s="708"/>
      <c r="G679" s="30"/>
      <c r="H679" s="30"/>
      <c r="I679" s="30"/>
      <c r="J679" s="30"/>
      <c r="K679" s="30"/>
      <c r="L679" s="30"/>
      <c r="M679" s="30"/>
      <c r="N679" s="30"/>
      <c r="O679" s="30"/>
      <c r="P679" s="30"/>
      <c r="Q679" s="30"/>
      <c r="R679" s="30"/>
      <c r="S679" s="30"/>
      <c r="T679" s="30"/>
      <c r="U679" s="30"/>
      <c r="V679" s="30"/>
      <c r="W679" s="30"/>
      <c r="X679" s="30"/>
      <c r="Y679" s="30"/>
      <c r="Z679" s="30"/>
    </row>
    <row r="680" spans="1:26" ht="21" customHeight="1" x14ac:dyDescent="0.85">
      <c r="A680" s="708"/>
      <c r="B680" s="708"/>
      <c r="C680" s="708"/>
      <c r="D680" s="708"/>
      <c r="E680" s="708"/>
      <c r="F680" s="708"/>
      <c r="G680" s="30"/>
      <c r="H680" s="30"/>
      <c r="I680" s="30"/>
      <c r="J680" s="30"/>
      <c r="K680" s="30"/>
      <c r="L680" s="30"/>
      <c r="M680" s="30"/>
      <c r="N680" s="30"/>
      <c r="O680" s="30"/>
      <c r="P680" s="30"/>
      <c r="Q680" s="30"/>
      <c r="R680" s="30"/>
      <c r="S680" s="30"/>
      <c r="T680" s="30"/>
      <c r="U680" s="30"/>
      <c r="V680" s="30"/>
      <c r="W680" s="30"/>
      <c r="X680" s="30"/>
      <c r="Y680" s="30"/>
      <c r="Z680" s="30"/>
    </row>
    <row r="681" spans="1:26" ht="21" customHeight="1" x14ac:dyDescent="0.85">
      <c r="A681" s="708"/>
      <c r="B681" s="708"/>
      <c r="C681" s="708"/>
      <c r="D681" s="708"/>
      <c r="E681" s="708"/>
      <c r="F681" s="708"/>
      <c r="G681" s="30"/>
      <c r="H681" s="30"/>
      <c r="I681" s="30"/>
      <c r="J681" s="30"/>
      <c r="K681" s="30"/>
      <c r="L681" s="30"/>
      <c r="M681" s="30"/>
      <c r="N681" s="30"/>
      <c r="O681" s="30"/>
      <c r="P681" s="30"/>
      <c r="Q681" s="30"/>
      <c r="R681" s="30"/>
      <c r="S681" s="30"/>
      <c r="T681" s="30"/>
      <c r="U681" s="30"/>
      <c r="V681" s="30"/>
      <c r="W681" s="30"/>
      <c r="X681" s="30"/>
      <c r="Y681" s="30"/>
      <c r="Z681" s="30"/>
    </row>
    <row r="682" spans="1:26" ht="21" customHeight="1" x14ac:dyDescent="0.85">
      <c r="A682" s="708"/>
      <c r="B682" s="708"/>
      <c r="C682" s="708"/>
      <c r="D682" s="708"/>
      <c r="E682" s="708"/>
      <c r="F682" s="708"/>
      <c r="G682" s="30"/>
      <c r="H682" s="30"/>
      <c r="I682" s="30"/>
      <c r="J682" s="30"/>
      <c r="K682" s="30"/>
      <c r="L682" s="30"/>
      <c r="M682" s="30"/>
      <c r="N682" s="30"/>
      <c r="O682" s="30"/>
      <c r="P682" s="30"/>
      <c r="Q682" s="30"/>
      <c r="R682" s="30"/>
      <c r="S682" s="30"/>
      <c r="T682" s="30"/>
      <c r="U682" s="30"/>
      <c r="V682" s="30"/>
      <c r="W682" s="30"/>
      <c r="X682" s="30"/>
      <c r="Y682" s="30"/>
      <c r="Z682" s="30"/>
    </row>
    <row r="683" spans="1:26" ht="21" customHeight="1" x14ac:dyDescent="0.85">
      <c r="A683" s="708"/>
      <c r="B683" s="708"/>
      <c r="C683" s="708"/>
      <c r="D683" s="708"/>
      <c r="E683" s="708"/>
      <c r="F683" s="708"/>
      <c r="G683" s="30"/>
      <c r="H683" s="30"/>
      <c r="I683" s="30"/>
      <c r="J683" s="30"/>
      <c r="K683" s="30"/>
      <c r="L683" s="30"/>
      <c r="M683" s="30"/>
      <c r="N683" s="30"/>
      <c r="O683" s="30"/>
      <c r="P683" s="30"/>
      <c r="Q683" s="30"/>
      <c r="R683" s="30"/>
      <c r="S683" s="30"/>
      <c r="T683" s="30"/>
      <c r="U683" s="30"/>
      <c r="V683" s="30"/>
      <c r="W683" s="30"/>
      <c r="X683" s="30"/>
      <c r="Y683" s="30"/>
      <c r="Z683" s="30"/>
    </row>
    <row r="684" spans="1:26" ht="21" customHeight="1" x14ac:dyDescent="0.85">
      <c r="A684" s="708"/>
      <c r="B684" s="708"/>
      <c r="C684" s="708"/>
      <c r="D684" s="708"/>
      <c r="E684" s="708"/>
      <c r="F684" s="708"/>
      <c r="G684" s="30"/>
      <c r="H684" s="30"/>
      <c r="I684" s="30"/>
      <c r="J684" s="30"/>
      <c r="K684" s="30"/>
      <c r="L684" s="30"/>
      <c r="M684" s="30"/>
      <c r="N684" s="30"/>
      <c r="O684" s="30"/>
      <c r="P684" s="30"/>
      <c r="Q684" s="30"/>
      <c r="R684" s="30"/>
      <c r="S684" s="30"/>
      <c r="T684" s="30"/>
      <c r="U684" s="30"/>
      <c r="V684" s="30"/>
      <c r="W684" s="30"/>
      <c r="X684" s="30"/>
      <c r="Y684" s="30"/>
      <c r="Z684" s="30"/>
    </row>
    <row r="685" spans="1:26" ht="21" customHeight="1" x14ac:dyDescent="0.85">
      <c r="A685" s="708"/>
      <c r="B685" s="708"/>
      <c r="C685" s="708"/>
      <c r="D685" s="708"/>
      <c r="E685" s="708"/>
      <c r="F685" s="708"/>
      <c r="G685" s="30"/>
      <c r="H685" s="30"/>
      <c r="I685" s="30"/>
      <c r="J685" s="30"/>
      <c r="K685" s="30"/>
      <c r="L685" s="30"/>
      <c r="M685" s="30"/>
      <c r="N685" s="30"/>
      <c r="O685" s="30"/>
      <c r="P685" s="30"/>
      <c r="Q685" s="30"/>
      <c r="R685" s="30"/>
      <c r="S685" s="30"/>
      <c r="T685" s="30"/>
      <c r="U685" s="30"/>
      <c r="V685" s="30"/>
      <c r="W685" s="30"/>
      <c r="X685" s="30"/>
      <c r="Y685" s="30"/>
      <c r="Z685" s="30"/>
    </row>
    <row r="686" spans="1:26" ht="21" customHeight="1" x14ac:dyDescent="0.85">
      <c r="A686" s="708"/>
      <c r="B686" s="708"/>
      <c r="C686" s="708"/>
      <c r="D686" s="708"/>
      <c r="E686" s="708"/>
      <c r="F686" s="708"/>
      <c r="G686" s="30"/>
      <c r="H686" s="30"/>
      <c r="I686" s="30"/>
      <c r="J686" s="30"/>
      <c r="K686" s="30"/>
      <c r="L686" s="30"/>
      <c r="M686" s="30"/>
      <c r="N686" s="30"/>
      <c r="O686" s="30"/>
      <c r="P686" s="30"/>
      <c r="Q686" s="30"/>
      <c r="R686" s="30"/>
      <c r="S686" s="30"/>
      <c r="T686" s="30"/>
      <c r="U686" s="30"/>
      <c r="V686" s="30"/>
      <c r="W686" s="30"/>
      <c r="X686" s="30"/>
      <c r="Y686" s="30"/>
      <c r="Z686" s="30"/>
    </row>
    <row r="687" spans="1:26" ht="21" customHeight="1" x14ac:dyDescent="0.85">
      <c r="A687" s="708"/>
      <c r="B687" s="708"/>
      <c r="C687" s="708"/>
      <c r="D687" s="708"/>
      <c r="E687" s="708"/>
      <c r="F687" s="708"/>
      <c r="G687" s="30"/>
      <c r="H687" s="30"/>
      <c r="I687" s="30"/>
      <c r="J687" s="30"/>
      <c r="K687" s="30"/>
      <c r="L687" s="30"/>
      <c r="M687" s="30"/>
      <c r="N687" s="30"/>
      <c r="O687" s="30"/>
      <c r="P687" s="30"/>
      <c r="Q687" s="30"/>
      <c r="R687" s="30"/>
      <c r="S687" s="30"/>
      <c r="T687" s="30"/>
      <c r="U687" s="30"/>
      <c r="V687" s="30"/>
      <c r="W687" s="30"/>
      <c r="X687" s="30"/>
      <c r="Y687" s="30"/>
      <c r="Z687" s="30"/>
    </row>
    <row r="688" spans="1:26" ht="21" customHeight="1" x14ac:dyDescent="0.85">
      <c r="A688" s="708"/>
      <c r="B688" s="708"/>
      <c r="C688" s="708"/>
      <c r="D688" s="708"/>
      <c r="E688" s="708"/>
      <c r="F688" s="708"/>
      <c r="G688" s="30"/>
      <c r="H688" s="30"/>
      <c r="I688" s="30"/>
      <c r="J688" s="30"/>
      <c r="K688" s="30"/>
      <c r="L688" s="30"/>
      <c r="M688" s="30"/>
      <c r="N688" s="30"/>
      <c r="O688" s="30"/>
      <c r="P688" s="30"/>
      <c r="Q688" s="30"/>
      <c r="R688" s="30"/>
      <c r="S688" s="30"/>
      <c r="T688" s="30"/>
      <c r="U688" s="30"/>
      <c r="V688" s="30"/>
      <c r="W688" s="30"/>
      <c r="X688" s="30"/>
      <c r="Y688" s="30"/>
      <c r="Z688" s="30"/>
    </row>
    <row r="689" spans="1:26" ht="21" customHeight="1" x14ac:dyDescent="0.85">
      <c r="A689" s="708"/>
      <c r="B689" s="708"/>
      <c r="C689" s="708"/>
      <c r="D689" s="708"/>
      <c r="E689" s="708"/>
      <c r="F689" s="708"/>
      <c r="G689" s="30"/>
      <c r="H689" s="30"/>
      <c r="I689" s="30"/>
      <c r="J689" s="30"/>
      <c r="K689" s="30"/>
      <c r="L689" s="30"/>
      <c r="M689" s="30"/>
      <c r="N689" s="30"/>
      <c r="O689" s="30"/>
      <c r="P689" s="30"/>
      <c r="Q689" s="30"/>
      <c r="R689" s="30"/>
      <c r="S689" s="30"/>
      <c r="T689" s="30"/>
      <c r="U689" s="30"/>
      <c r="V689" s="30"/>
      <c r="W689" s="30"/>
      <c r="X689" s="30"/>
      <c r="Y689" s="30"/>
      <c r="Z689" s="30"/>
    </row>
    <row r="690" spans="1:26" ht="21" customHeight="1" x14ac:dyDescent="0.85">
      <c r="A690" s="708"/>
      <c r="B690" s="708"/>
      <c r="C690" s="708"/>
      <c r="D690" s="708"/>
      <c r="E690" s="708"/>
      <c r="F690" s="708"/>
      <c r="G690" s="30"/>
      <c r="H690" s="30"/>
      <c r="I690" s="30"/>
      <c r="J690" s="30"/>
      <c r="K690" s="30"/>
      <c r="L690" s="30"/>
      <c r="M690" s="30"/>
      <c r="N690" s="30"/>
      <c r="O690" s="30"/>
      <c r="P690" s="30"/>
      <c r="Q690" s="30"/>
      <c r="R690" s="30"/>
      <c r="S690" s="30"/>
      <c r="T690" s="30"/>
      <c r="U690" s="30"/>
      <c r="V690" s="30"/>
      <c r="W690" s="30"/>
      <c r="X690" s="30"/>
      <c r="Y690" s="30"/>
      <c r="Z690" s="30"/>
    </row>
    <row r="691" spans="1:26" ht="21" customHeight="1" x14ac:dyDescent="0.85">
      <c r="A691" s="708"/>
      <c r="B691" s="708"/>
      <c r="C691" s="708"/>
      <c r="D691" s="708"/>
      <c r="E691" s="708"/>
      <c r="F691" s="708"/>
      <c r="G691" s="30"/>
      <c r="H691" s="30"/>
      <c r="I691" s="30"/>
      <c r="J691" s="30"/>
      <c r="K691" s="30"/>
      <c r="L691" s="30"/>
      <c r="M691" s="30"/>
      <c r="N691" s="30"/>
      <c r="O691" s="30"/>
      <c r="P691" s="30"/>
      <c r="Q691" s="30"/>
      <c r="R691" s="30"/>
      <c r="S691" s="30"/>
      <c r="T691" s="30"/>
      <c r="U691" s="30"/>
      <c r="V691" s="30"/>
      <c r="W691" s="30"/>
      <c r="X691" s="30"/>
      <c r="Y691" s="30"/>
      <c r="Z691" s="30"/>
    </row>
    <row r="692" spans="1:26" ht="21" customHeight="1" x14ac:dyDescent="0.85">
      <c r="A692" s="708"/>
      <c r="B692" s="708"/>
      <c r="C692" s="708"/>
      <c r="D692" s="708"/>
      <c r="E692" s="708"/>
      <c r="F692" s="708"/>
      <c r="G692" s="30"/>
      <c r="H692" s="30"/>
      <c r="I692" s="30"/>
      <c r="J692" s="30"/>
      <c r="K692" s="30"/>
      <c r="L692" s="30"/>
      <c r="M692" s="30"/>
      <c r="N692" s="30"/>
      <c r="O692" s="30"/>
      <c r="P692" s="30"/>
      <c r="Q692" s="30"/>
      <c r="R692" s="30"/>
      <c r="S692" s="30"/>
      <c r="T692" s="30"/>
      <c r="U692" s="30"/>
      <c r="V692" s="30"/>
      <c r="W692" s="30"/>
      <c r="X692" s="30"/>
      <c r="Y692" s="30"/>
      <c r="Z692" s="30"/>
    </row>
    <row r="693" spans="1:26" ht="21" customHeight="1" x14ac:dyDescent="0.85">
      <c r="A693" s="708"/>
      <c r="B693" s="708"/>
      <c r="C693" s="708"/>
      <c r="D693" s="708"/>
      <c r="E693" s="708"/>
      <c r="F693" s="708"/>
      <c r="G693" s="30"/>
      <c r="H693" s="30"/>
      <c r="I693" s="30"/>
      <c r="J693" s="30"/>
      <c r="K693" s="30"/>
      <c r="L693" s="30"/>
      <c r="M693" s="30"/>
      <c r="N693" s="30"/>
      <c r="O693" s="30"/>
      <c r="P693" s="30"/>
      <c r="Q693" s="30"/>
      <c r="R693" s="30"/>
      <c r="S693" s="30"/>
      <c r="T693" s="30"/>
      <c r="U693" s="30"/>
      <c r="V693" s="30"/>
      <c r="W693" s="30"/>
      <c r="X693" s="30"/>
      <c r="Y693" s="30"/>
      <c r="Z693" s="30"/>
    </row>
    <row r="694" spans="1:26" ht="21" customHeight="1" x14ac:dyDescent="0.85">
      <c r="A694" s="708"/>
      <c r="B694" s="708"/>
      <c r="C694" s="708"/>
      <c r="D694" s="708"/>
      <c r="E694" s="708"/>
      <c r="F694" s="708"/>
      <c r="G694" s="30"/>
      <c r="H694" s="30"/>
      <c r="I694" s="30"/>
      <c r="J694" s="30"/>
      <c r="K694" s="30"/>
      <c r="L694" s="30"/>
      <c r="M694" s="30"/>
      <c r="N694" s="30"/>
      <c r="O694" s="30"/>
      <c r="P694" s="30"/>
      <c r="Q694" s="30"/>
      <c r="R694" s="30"/>
      <c r="S694" s="30"/>
      <c r="T694" s="30"/>
      <c r="U694" s="30"/>
      <c r="V694" s="30"/>
      <c r="W694" s="30"/>
      <c r="X694" s="30"/>
      <c r="Y694" s="30"/>
      <c r="Z694" s="30"/>
    </row>
    <row r="695" spans="1:26" ht="21" customHeight="1" x14ac:dyDescent="0.85">
      <c r="A695" s="708"/>
      <c r="B695" s="708"/>
      <c r="C695" s="708"/>
      <c r="D695" s="708"/>
      <c r="E695" s="708"/>
      <c r="F695" s="708"/>
      <c r="G695" s="30"/>
      <c r="H695" s="30"/>
      <c r="I695" s="30"/>
      <c r="J695" s="30"/>
      <c r="K695" s="30"/>
      <c r="L695" s="30"/>
      <c r="M695" s="30"/>
      <c r="N695" s="30"/>
      <c r="O695" s="30"/>
      <c r="P695" s="30"/>
      <c r="Q695" s="30"/>
      <c r="R695" s="30"/>
      <c r="S695" s="30"/>
      <c r="T695" s="30"/>
      <c r="U695" s="30"/>
      <c r="V695" s="30"/>
      <c r="W695" s="30"/>
      <c r="X695" s="30"/>
      <c r="Y695" s="30"/>
      <c r="Z695" s="30"/>
    </row>
    <row r="696" spans="1:26" ht="21" customHeight="1" x14ac:dyDescent="0.85">
      <c r="A696" s="708"/>
      <c r="B696" s="708"/>
      <c r="C696" s="708"/>
      <c r="D696" s="708"/>
      <c r="E696" s="708"/>
      <c r="F696" s="708"/>
      <c r="G696" s="30"/>
      <c r="H696" s="30"/>
      <c r="I696" s="30"/>
      <c r="J696" s="30"/>
      <c r="K696" s="30"/>
      <c r="L696" s="30"/>
      <c r="M696" s="30"/>
      <c r="N696" s="30"/>
      <c r="O696" s="30"/>
      <c r="P696" s="30"/>
      <c r="Q696" s="30"/>
      <c r="R696" s="30"/>
      <c r="S696" s="30"/>
      <c r="T696" s="30"/>
      <c r="U696" s="30"/>
      <c r="V696" s="30"/>
      <c r="W696" s="30"/>
      <c r="X696" s="30"/>
      <c r="Y696" s="30"/>
      <c r="Z696" s="30"/>
    </row>
    <row r="697" spans="1:26" ht="21" customHeight="1" x14ac:dyDescent="0.85">
      <c r="A697" s="708"/>
      <c r="B697" s="708"/>
      <c r="C697" s="708"/>
      <c r="D697" s="708"/>
      <c r="E697" s="708"/>
      <c r="F697" s="708"/>
      <c r="G697" s="30"/>
      <c r="H697" s="30"/>
      <c r="I697" s="30"/>
      <c r="J697" s="30"/>
      <c r="K697" s="30"/>
      <c r="L697" s="30"/>
      <c r="M697" s="30"/>
      <c r="N697" s="30"/>
      <c r="O697" s="30"/>
      <c r="P697" s="30"/>
      <c r="Q697" s="30"/>
      <c r="R697" s="30"/>
      <c r="S697" s="30"/>
      <c r="T697" s="30"/>
      <c r="U697" s="30"/>
      <c r="V697" s="30"/>
      <c r="W697" s="30"/>
      <c r="X697" s="30"/>
      <c r="Y697" s="30"/>
      <c r="Z697" s="30"/>
    </row>
    <row r="698" spans="1:26" ht="21" customHeight="1" x14ac:dyDescent="0.85">
      <c r="A698" s="708"/>
      <c r="B698" s="708"/>
      <c r="C698" s="708"/>
      <c r="D698" s="708"/>
      <c r="E698" s="708"/>
      <c r="F698" s="708"/>
      <c r="G698" s="30"/>
      <c r="H698" s="30"/>
      <c r="I698" s="30"/>
      <c r="J698" s="30"/>
      <c r="K698" s="30"/>
      <c r="L698" s="30"/>
      <c r="M698" s="30"/>
      <c r="N698" s="30"/>
      <c r="O698" s="30"/>
      <c r="P698" s="30"/>
      <c r="Q698" s="30"/>
      <c r="R698" s="30"/>
      <c r="S698" s="30"/>
      <c r="T698" s="30"/>
      <c r="U698" s="30"/>
      <c r="V698" s="30"/>
      <c r="W698" s="30"/>
      <c r="X698" s="30"/>
      <c r="Y698" s="30"/>
      <c r="Z698" s="30"/>
    </row>
    <row r="699" spans="1:26" ht="21" customHeight="1" x14ac:dyDescent="0.85">
      <c r="A699" s="708"/>
      <c r="B699" s="708"/>
      <c r="C699" s="708"/>
      <c r="D699" s="708"/>
      <c r="E699" s="708"/>
      <c r="F699" s="708"/>
      <c r="G699" s="30"/>
      <c r="H699" s="30"/>
      <c r="I699" s="30"/>
      <c r="J699" s="30"/>
      <c r="K699" s="30"/>
      <c r="L699" s="30"/>
      <c r="M699" s="30"/>
      <c r="N699" s="30"/>
      <c r="O699" s="30"/>
      <c r="P699" s="30"/>
      <c r="Q699" s="30"/>
      <c r="R699" s="30"/>
      <c r="S699" s="30"/>
      <c r="T699" s="30"/>
      <c r="U699" s="30"/>
      <c r="V699" s="30"/>
      <c r="W699" s="30"/>
      <c r="X699" s="30"/>
      <c r="Y699" s="30"/>
      <c r="Z699" s="30"/>
    </row>
    <row r="700" spans="1:26" ht="21" customHeight="1" x14ac:dyDescent="0.85">
      <c r="A700" s="708"/>
      <c r="B700" s="708"/>
      <c r="C700" s="708"/>
      <c r="D700" s="708"/>
      <c r="E700" s="708"/>
      <c r="F700" s="708"/>
      <c r="G700" s="30"/>
      <c r="H700" s="30"/>
      <c r="I700" s="30"/>
      <c r="J700" s="30"/>
      <c r="K700" s="30"/>
      <c r="L700" s="30"/>
      <c r="M700" s="30"/>
      <c r="N700" s="30"/>
      <c r="O700" s="30"/>
      <c r="P700" s="30"/>
      <c r="Q700" s="30"/>
      <c r="R700" s="30"/>
      <c r="S700" s="30"/>
      <c r="T700" s="30"/>
      <c r="U700" s="30"/>
      <c r="V700" s="30"/>
      <c r="W700" s="30"/>
      <c r="X700" s="30"/>
      <c r="Y700" s="30"/>
      <c r="Z700" s="30"/>
    </row>
    <row r="701" spans="1:26" ht="21" customHeight="1" x14ac:dyDescent="0.85">
      <c r="A701" s="708"/>
      <c r="B701" s="708"/>
      <c r="C701" s="708"/>
      <c r="D701" s="708"/>
      <c r="E701" s="708"/>
      <c r="F701" s="708"/>
      <c r="G701" s="30"/>
      <c r="H701" s="30"/>
      <c r="I701" s="30"/>
      <c r="J701" s="30"/>
      <c r="K701" s="30"/>
      <c r="L701" s="30"/>
      <c r="M701" s="30"/>
      <c r="N701" s="30"/>
      <c r="O701" s="30"/>
      <c r="P701" s="30"/>
      <c r="Q701" s="30"/>
      <c r="R701" s="30"/>
      <c r="S701" s="30"/>
      <c r="T701" s="30"/>
      <c r="U701" s="30"/>
      <c r="V701" s="30"/>
      <c r="W701" s="30"/>
      <c r="X701" s="30"/>
      <c r="Y701" s="30"/>
      <c r="Z701" s="30"/>
    </row>
    <row r="702" spans="1:26" ht="21" customHeight="1" x14ac:dyDescent="0.85">
      <c r="A702" s="708"/>
      <c r="B702" s="708"/>
      <c r="C702" s="708"/>
      <c r="D702" s="708"/>
      <c r="E702" s="708"/>
      <c r="F702" s="708"/>
      <c r="G702" s="30"/>
      <c r="H702" s="30"/>
      <c r="I702" s="30"/>
      <c r="J702" s="30"/>
      <c r="K702" s="30"/>
      <c r="L702" s="30"/>
      <c r="M702" s="30"/>
      <c r="N702" s="30"/>
      <c r="O702" s="30"/>
      <c r="P702" s="30"/>
      <c r="Q702" s="30"/>
      <c r="R702" s="30"/>
      <c r="S702" s="30"/>
      <c r="T702" s="30"/>
      <c r="U702" s="30"/>
      <c r="V702" s="30"/>
      <c r="W702" s="30"/>
      <c r="X702" s="30"/>
      <c r="Y702" s="30"/>
      <c r="Z702" s="30"/>
    </row>
    <row r="703" spans="1:26" ht="21" customHeight="1" x14ac:dyDescent="0.85">
      <c r="A703" s="708"/>
      <c r="B703" s="708"/>
      <c r="C703" s="708"/>
      <c r="D703" s="708"/>
      <c r="E703" s="708"/>
      <c r="F703" s="708"/>
      <c r="G703" s="30"/>
      <c r="H703" s="30"/>
      <c r="I703" s="30"/>
      <c r="J703" s="30"/>
      <c r="K703" s="30"/>
      <c r="L703" s="30"/>
      <c r="M703" s="30"/>
      <c r="N703" s="30"/>
      <c r="O703" s="30"/>
      <c r="P703" s="30"/>
      <c r="Q703" s="30"/>
      <c r="R703" s="30"/>
      <c r="S703" s="30"/>
      <c r="T703" s="30"/>
      <c r="U703" s="30"/>
      <c r="V703" s="30"/>
      <c r="W703" s="30"/>
      <c r="X703" s="30"/>
      <c r="Y703" s="30"/>
      <c r="Z703" s="30"/>
    </row>
    <row r="704" spans="1:26" ht="21" customHeight="1" x14ac:dyDescent="0.85">
      <c r="A704" s="708"/>
      <c r="B704" s="708"/>
      <c r="C704" s="708"/>
      <c r="D704" s="708"/>
      <c r="E704" s="708"/>
      <c r="F704" s="708"/>
      <c r="G704" s="30"/>
      <c r="H704" s="30"/>
      <c r="I704" s="30"/>
      <c r="J704" s="30"/>
      <c r="K704" s="30"/>
      <c r="L704" s="30"/>
      <c r="M704" s="30"/>
      <c r="N704" s="30"/>
      <c r="O704" s="30"/>
      <c r="P704" s="30"/>
      <c r="Q704" s="30"/>
      <c r="R704" s="30"/>
      <c r="S704" s="30"/>
      <c r="T704" s="30"/>
      <c r="U704" s="30"/>
      <c r="V704" s="30"/>
      <c r="W704" s="30"/>
      <c r="X704" s="30"/>
      <c r="Y704" s="30"/>
      <c r="Z704" s="30"/>
    </row>
    <row r="705" spans="1:26" ht="21" customHeight="1" x14ac:dyDescent="0.85">
      <c r="A705" s="708"/>
      <c r="B705" s="708"/>
      <c r="C705" s="708"/>
      <c r="D705" s="708"/>
      <c r="E705" s="708"/>
      <c r="F705" s="708"/>
      <c r="G705" s="30"/>
      <c r="H705" s="30"/>
      <c r="I705" s="30"/>
      <c r="J705" s="30"/>
      <c r="K705" s="30"/>
      <c r="L705" s="30"/>
      <c r="M705" s="30"/>
      <c r="N705" s="30"/>
      <c r="O705" s="30"/>
      <c r="P705" s="30"/>
      <c r="Q705" s="30"/>
      <c r="R705" s="30"/>
      <c r="S705" s="30"/>
      <c r="T705" s="30"/>
      <c r="U705" s="30"/>
      <c r="V705" s="30"/>
      <c r="W705" s="30"/>
      <c r="X705" s="30"/>
      <c r="Y705" s="30"/>
      <c r="Z705" s="30"/>
    </row>
    <row r="706" spans="1:26" ht="21" customHeight="1" x14ac:dyDescent="0.85">
      <c r="A706" s="708"/>
      <c r="B706" s="708"/>
      <c r="C706" s="708"/>
      <c r="D706" s="708"/>
      <c r="E706" s="708"/>
      <c r="F706" s="708"/>
      <c r="G706" s="30"/>
      <c r="H706" s="30"/>
      <c r="I706" s="30"/>
      <c r="J706" s="30"/>
      <c r="K706" s="30"/>
      <c r="L706" s="30"/>
      <c r="M706" s="30"/>
      <c r="N706" s="30"/>
      <c r="O706" s="30"/>
      <c r="P706" s="30"/>
      <c r="Q706" s="30"/>
      <c r="R706" s="30"/>
      <c r="S706" s="30"/>
      <c r="T706" s="30"/>
      <c r="U706" s="30"/>
      <c r="V706" s="30"/>
      <c r="W706" s="30"/>
      <c r="X706" s="30"/>
      <c r="Y706" s="30"/>
      <c r="Z706" s="30"/>
    </row>
    <row r="707" spans="1:26" ht="21" customHeight="1" x14ac:dyDescent="0.85">
      <c r="A707" s="708"/>
      <c r="B707" s="708"/>
      <c r="C707" s="708"/>
      <c r="D707" s="708"/>
      <c r="E707" s="708"/>
      <c r="F707" s="708"/>
      <c r="G707" s="30"/>
      <c r="H707" s="30"/>
      <c r="I707" s="30"/>
      <c r="J707" s="30"/>
      <c r="K707" s="30"/>
      <c r="L707" s="30"/>
      <c r="M707" s="30"/>
      <c r="N707" s="30"/>
      <c r="O707" s="30"/>
      <c r="P707" s="30"/>
      <c r="Q707" s="30"/>
      <c r="R707" s="30"/>
      <c r="S707" s="30"/>
      <c r="T707" s="30"/>
      <c r="U707" s="30"/>
      <c r="V707" s="30"/>
      <c r="W707" s="30"/>
      <c r="X707" s="30"/>
      <c r="Y707" s="30"/>
      <c r="Z707" s="30"/>
    </row>
    <row r="708" spans="1:26" ht="21" customHeight="1" x14ac:dyDescent="0.85">
      <c r="A708" s="708"/>
      <c r="B708" s="708"/>
      <c r="C708" s="708"/>
      <c r="D708" s="708"/>
      <c r="E708" s="708"/>
      <c r="F708" s="708"/>
      <c r="G708" s="30"/>
      <c r="H708" s="30"/>
      <c r="I708" s="30"/>
      <c r="J708" s="30"/>
      <c r="K708" s="30"/>
      <c r="L708" s="30"/>
      <c r="M708" s="30"/>
      <c r="N708" s="30"/>
      <c r="O708" s="30"/>
      <c r="P708" s="30"/>
      <c r="Q708" s="30"/>
      <c r="R708" s="30"/>
      <c r="S708" s="30"/>
      <c r="T708" s="30"/>
      <c r="U708" s="30"/>
      <c r="V708" s="30"/>
      <c r="W708" s="30"/>
      <c r="X708" s="30"/>
      <c r="Y708" s="30"/>
      <c r="Z708" s="30"/>
    </row>
    <row r="709" spans="1:26" ht="21" customHeight="1" x14ac:dyDescent="0.85">
      <c r="A709" s="708"/>
      <c r="B709" s="708"/>
      <c r="C709" s="708"/>
      <c r="D709" s="708"/>
      <c r="E709" s="708"/>
      <c r="F709" s="708"/>
      <c r="G709" s="30"/>
      <c r="H709" s="30"/>
      <c r="I709" s="30"/>
      <c r="J709" s="30"/>
      <c r="K709" s="30"/>
      <c r="L709" s="30"/>
      <c r="M709" s="30"/>
      <c r="N709" s="30"/>
      <c r="O709" s="30"/>
      <c r="P709" s="30"/>
      <c r="Q709" s="30"/>
      <c r="R709" s="30"/>
      <c r="S709" s="30"/>
      <c r="T709" s="30"/>
      <c r="U709" s="30"/>
      <c r="V709" s="30"/>
      <c r="W709" s="30"/>
      <c r="X709" s="30"/>
      <c r="Y709" s="30"/>
      <c r="Z709" s="30"/>
    </row>
    <row r="710" spans="1:26" ht="21" customHeight="1" x14ac:dyDescent="0.85">
      <c r="A710" s="708"/>
      <c r="B710" s="708"/>
      <c r="C710" s="708"/>
      <c r="D710" s="708"/>
      <c r="E710" s="708"/>
      <c r="F710" s="708"/>
      <c r="G710" s="30"/>
      <c r="H710" s="30"/>
      <c r="I710" s="30"/>
      <c r="J710" s="30"/>
      <c r="K710" s="30"/>
      <c r="L710" s="30"/>
      <c r="M710" s="30"/>
      <c r="N710" s="30"/>
      <c r="O710" s="30"/>
      <c r="P710" s="30"/>
      <c r="Q710" s="30"/>
      <c r="R710" s="30"/>
      <c r="S710" s="30"/>
      <c r="T710" s="30"/>
      <c r="U710" s="30"/>
      <c r="V710" s="30"/>
      <c r="W710" s="30"/>
      <c r="X710" s="30"/>
      <c r="Y710" s="30"/>
      <c r="Z710" s="30"/>
    </row>
    <row r="711" spans="1:26" ht="21" customHeight="1" x14ac:dyDescent="0.85">
      <c r="A711" s="708"/>
      <c r="B711" s="708"/>
      <c r="C711" s="708"/>
      <c r="D711" s="708"/>
      <c r="E711" s="708"/>
      <c r="F711" s="708"/>
      <c r="G711" s="30"/>
      <c r="H711" s="30"/>
      <c r="I711" s="30"/>
      <c r="J711" s="30"/>
      <c r="K711" s="30"/>
      <c r="L711" s="30"/>
      <c r="M711" s="30"/>
      <c r="N711" s="30"/>
      <c r="O711" s="30"/>
      <c r="P711" s="30"/>
      <c r="Q711" s="30"/>
      <c r="R711" s="30"/>
      <c r="S711" s="30"/>
      <c r="T711" s="30"/>
      <c r="U711" s="30"/>
      <c r="V711" s="30"/>
      <c r="W711" s="30"/>
      <c r="X711" s="30"/>
      <c r="Y711" s="30"/>
      <c r="Z711" s="30"/>
    </row>
    <row r="712" spans="1:26" ht="21" customHeight="1" x14ac:dyDescent="0.85">
      <c r="A712" s="708"/>
      <c r="B712" s="708"/>
      <c r="C712" s="708"/>
      <c r="D712" s="708"/>
      <c r="E712" s="708"/>
      <c r="F712" s="708"/>
      <c r="G712" s="30"/>
      <c r="H712" s="30"/>
      <c r="I712" s="30"/>
      <c r="J712" s="30"/>
      <c r="K712" s="30"/>
      <c r="L712" s="30"/>
      <c r="M712" s="30"/>
      <c r="N712" s="30"/>
      <c r="O712" s="30"/>
      <c r="P712" s="30"/>
      <c r="Q712" s="30"/>
      <c r="R712" s="30"/>
      <c r="S712" s="30"/>
      <c r="T712" s="30"/>
      <c r="U712" s="30"/>
      <c r="V712" s="30"/>
      <c r="W712" s="30"/>
      <c r="X712" s="30"/>
      <c r="Y712" s="30"/>
      <c r="Z712" s="30"/>
    </row>
    <row r="713" spans="1:26" ht="21" customHeight="1" x14ac:dyDescent="0.85">
      <c r="A713" s="708"/>
      <c r="B713" s="708"/>
      <c r="C713" s="708"/>
      <c r="D713" s="708"/>
      <c r="E713" s="708"/>
      <c r="F713" s="708"/>
      <c r="G713" s="30"/>
      <c r="H713" s="30"/>
      <c r="I713" s="30"/>
      <c r="J713" s="30"/>
      <c r="K713" s="30"/>
      <c r="L713" s="30"/>
      <c r="M713" s="30"/>
      <c r="N713" s="30"/>
      <c r="O713" s="30"/>
      <c r="P713" s="30"/>
      <c r="Q713" s="30"/>
      <c r="R713" s="30"/>
      <c r="S713" s="30"/>
      <c r="T713" s="30"/>
      <c r="U713" s="30"/>
      <c r="V713" s="30"/>
      <c r="W713" s="30"/>
      <c r="X713" s="30"/>
      <c r="Y713" s="30"/>
      <c r="Z713" s="30"/>
    </row>
    <row r="714" spans="1:26" ht="21" customHeight="1" x14ac:dyDescent="0.85">
      <c r="A714" s="708"/>
      <c r="B714" s="708"/>
      <c r="C714" s="708"/>
      <c r="D714" s="708"/>
      <c r="E714" s="708"/>
      <c r="F714" s="708"/>
      <c r="G714" s="30"/>
      <c r="H714" s="30"/>
      <c r="I714" s="30"/>
      <c r="J714" s="30"/>
      <c r="K714" s="30"/>
      <c r="L714" s="30"/>
      <c r="M714" s="30"/>
      <c r="N714" s="30"/>
      <c r="O714" s="30"/>
      <c r="P714" s="30"/>
      <c r="Q714" s="30"/>
      <c r="R714" s="30"/>
      <c r="S714" s="30"/>
      <c r="T714" s="30"/>
      <c r="U714" s="30"/>
      <c r="V714" s="30"/>
      <c r="W714" s="30"/>
      <c r="X714" s="30"/>
      <c r="Y714" s="30"/>
      <c r="Z714" s="30"/>
    </row>
    <row r="715" spans="1:26" ht="21" customHeight="1" x14ac:dyDescent="0.85">
      <c r="A715" s="708"/>
      <c r="B715" s="708"/>
      <c r="C715" s="708"/>
      <c r="D715" s="708"/>
      <c r="E715" s="708"/>
      <c r="F715" s="708"/>
      <c r="G715" s="30"/>
      <c r="H715" s="30"/>
      <c r="I715" s="30"/>
      <c r="J715" s="30"/>
      <c r="K715" s="30"/>
      <c r="L715" s="30"/>
      <c r="M715" s="30"/>
      <c r="N715" s="30"/>
      <c r="O715" s="30"/>
      <c r="P715" s="30"/>
      <c r="Q715" s="30"/>
      <c r="R715" s="30"/>
      <c r="S715" s="30"/>
      <c r="T715" s="30"/>
      <c r="U715" s="30"/>
      <c r="V715" s="30"/>
      <c r="W715" s="30"/>
      <c r="X715" s="30"/>
      <c r="Y715" s="30"/>
      <c r="Z715" s="30"/>
    </row>
    <row r="716" spans="1:26" ht="21" customHeight="1" x14ac:dyDescent="0.85">
      <c r="A716" s="708"/>
      <c r="B716" s="708"/>
      <c r="C716" s="708"/>
      <c r="D716" s="708"/>
      <c r="E716" s="708"/>
      <c r="F716" s="708"/>
      <c r="G716" s="30"/>
      <c r="H716" s="30"/>
      <c r="I716" s="30"/>
      <c r="J716" s="30"/>
      <c r="K716" s="30"/>
      <c r="L716" s="30"/>
      <c r="M716" s="30"/>
      <c r="N716" s="30"/>
      <c r="O716" s="30"/>
      <c r="P716" s="30"/>
      <c r="Q716" s="30"/>
      <c r="R716" s="30"/>
      <c r="S716" s="30"/>
      <c r="T716" s="30"/>
      <c r="U716" s="30"/>
      <c r="V716" s="30"/>
      <c r="W716" s="30"/>
      <c r="X716" s="30"/>
      <c r="Y716" s="30"/>
      <c r="Z716" s="30"/>
    </row>
    <row r="717" spans="1:26" ht="21" customHeight="1" x14ac:dyDescent="0.85">
      <c r="A717" s="708"/>
      <c r="B717" s="708"/>
      <c r="C717" s="708"/>
      <c r="D717" s="708"/>
      <c r="E717" s="708"/>
      <c r="F717" s="708"/>
      <c r="G717" s="30"/>
      <c r="H717" s="30"/>
      <c r="I717" s="30"/>
      <c r="J717" s="30"/>
      <c r="K717" s="30"/>
      <c r="L717" s="30"/>
      <c r="M717" s="30"/>
      <c r="N717" s="30"/>
      <c r="O717" s="30"/>
      <c r="P717" s="30"/>
      <c r="Q717" s="30"/>
      <c r="R717" s="30"/>
      <c r="S717" s="30"/>
      <c r="T717" s="30"/>
      <c r="U717" s="30"/>
      <c r="V717" s="30"/>
      <c r="W717" s="30"/>
      <c r="X717" s="30"/>
      <c r="Y717" s="30"/>
      <c r="Z717" s="30"/>
    </row>
    <row r="718" spans="1:26" ht="21" customHeight="1" x14ac:dyDescent="0.85">
      <c r="A718" s="708"/>
      <c r="B718" s="708"/>
      <c r="C718" s="708"/>
      <c r="D718" s="708"/>
      <c r="E718" s="708"/>
      <c r="F718" s="708"/>
      <c r="G718" s="30"/>
      <c r="H718" s="30"/>
      <c r="I718" s="30"/>
      <c r="J718" s="30"/>
      <c r="K718" s="30"/>
      <c r="L718" s="30"/>
      <c r="M718" s="30"/>
      <c r="N718" s="30"/>
      <c r="O718" s="30"/>
      <c r="P718" s="30"/>
      <c r="Q718" s="30"/>
      <c r="R718" s="30"/>
      <c r="S718" s="30"/>
      <c r="T718" s="30"/>
      <c r="U718" s="30"/>
      <c r="V718" s="30"/>
      <c r="W718" s="30"/>
      <c r="X718" s="30"/>
      <c r="Y718" s="30"/>
      <c r="Z718" s="30"/>
    </row>
    <row r="719" spans="1:26" ht="21" customHeight="1" x14ac:dyDescent="0.85">
      <c r="A719" s="708"/>
      <c r="B719" s="708"/>
      <c r="C719" s="708"/>
      <c r="D719" s="708"/>
      <c r="E719" s="708"/>
      <c r="F719" s="708"/>
      <c r="G719" s="30"/>
      <c r="H719" s="30"/>
      <c r="I719" s="30"/>
      <c r="J719" s="30"/>
      <c r="K719" s="30"/>
      <c r="L719" s="30"/>
      <c r="M719" s="30"/>
      <c r="N719" s="30"/>
      <c r="O719" s="30"/>
      <c r="P719" s="30"/>
      <c r="Q719" s="30"/>
      <c r="R719" s="30"/>
      <c r="S719" s="30"/>
      <c r="T719" s="30"/>
      <c r="U719" s="30"/>
      <c r="V719" s="30"/>
      <c r="W719" s="30"/>
      <c r="X719" s="30"/>
      <c r="Y719" s="30"/>
      <c r="Z719" s="30"/>
    </row>
    <row r="720" spans="1:26" ht="21" customHeight="1" x14ac:dyDescent="0.85">
      <c r="A720" s="708"/>
      <c r="B720" s="708"/>
      <c r="C720" s="708"/>
      <c r="D720" s="708"/>
      <c r="E720" s="708"/>
      <c r="F720" s="708"/>
      <c r="G720" s="30"/>
      <c r="H720" s="30"/>
      <c r="I720" s="30"/>
      <c r="J720" s="30"/>
      <c r="K720" s="30"/>
      <c r="L720" s="30"/>
      <c r="M720" s="30"/>
      <c r="N720" s="30"/>
      <c r="O720" s="30"/>
      <c r="P720" s="30"/>
      <c r="Q720" s="30"/>
      <c r="R720" s="30"/>
      <c r="S720" s="30"/>
      <c r="T720" s="30"/>
      <c r="U720" s="30"/>
      <c r="V720" s="30"/>
      <c r="W720" s="30"/>
      <c r="X720" s="30"/>
      <c r="Y720" s="30"/>
      <c r="Z720" s="30"/>
    </row>
    <row r="721" spans="1:26" ht="21" customHeight="1" x14ac:dyDescent="0.85">
      <c r="A721" s="708"/>
      <c r="B721" s="708"/>
      <c r="C721" s="708"/>
      <c r="D721" s="708"/>
      <c r="E721" s="708"/>
      <c r="F721" s="708"/>
      <c r="G721" s="30"/>
      <c r="H721" s="30"/>
      <c r="I721" s="30"/>
      <c r="J721" s="30"/>
      <c r="K721" s="30"/>
      <c r="L721" s="30"/>
      <c r="M721" s="30"/>
      <c r="N721" s="30"/>
      <c r="O721" s="30"/>
      <c r="P721" s="30"/>
      <c r="Q721" s="30"/>
      <c r="R721" s="30"/>
      <c r="S721" s="30"/>
      <c r="T721" s="30"/>
      <c r="U721" s="30"/>
      <c r="V721" s="30"/>
      <c r="W721" s="30"/>
      <c r="X721" s="30"/>
      <c r="Y721" s="30"/>
      <c r="Z721" s="30"/>
    </row>
    <row r="722" spans="1:26" ht="21" customHeight="1" x14ac:dyDescent="0.85">
      <c r="A722" s="708"/>
      <c r="B722" s="708"/>
      <c r="C722" s="708"/>
      <c r="D722" s="708"/>
      <c r="E722" s="708"/>
      <c r="F722" s="708"/>
      <c r="G722" s="30"/>
      <c r="H722" s="30"/>
      <c r="I722" s="30"/>
      <c r="J722" s="30"/>
      <c r="K722" s="30"/>
      <c r="L722" s="30"/>
      <c r="M722" s="30"/>
      <c r="N722" s="30"/>
      <c r="O722" s="30"/>
      <c r="P722" s="30"/>
      <c r="Q722" s="30"/>
      <c r="R722" s="30"/>
      <c r="S722" s="30"/>
      <c r="T722" s="30"/>
      <c r="U722" s="30"/>
      <c r="V722" s="30"/>
      <c r="W722" s="30"/>
      <c r="X722" s="30"/>
      <c r="Y722" s="30"/>
      <c r="Z722" s="30"/>
    </row>
    <row r="723" spans="1:26" ht="21" customHeight="1" x14ac:dyDescent="0.85">
      <c r="A723" s="708"/>
      <c r="B723" s="708"/>
      <c r="C723" s="708"/>
      <c r="D723" s="708"/>
      <c r="E723" s="708"/>
      <c r="F723" s="708"/>
      <c r="G723" s="30"/>
      <c r="H723" s="30"/>
      <c r="I723" s="30"/>
      <c r="J723" s="30"/>
      <c r="K723" s="30"/>
      <c r="L723" s="30"/>
      <c r="M723" s="30"/>
      <c r="N723" s="30"/>
      <c r="O723" s="30"/>
      <c r="P723" s="30"/>
      <c r="Q723" s="30"/>
      <c r="R723" s="30"/>
      <c r="S723" s="30"/>
      <c r="T723" s="30"/>
      <c r="U723" s="30"/>
      <c r="V723" s="30"/>
      <c r="W723" s="30"/>
      <c r="X723" s="30"/>
      <c r="Y723" s="30"/>
      <c r="Z723" s="30"/>
    </row>
    <row r="724" spans="1:26" ht="21" customHeight="1" x14ac:dyDescent="0.85">
      <c r="A724" s="708"/>
      <c r="B724" s="708"/>
      <c r="C724" s="708"/>
      <c r="D724" s="708"/>
      <c r="E724" s="708"/>
      <c r="F724" s="708"/>
      <c r="G724" s="30"/>
      <c r="H724" s="30"/>
      <c r="I724" s="30"/>
      <c r="J724" s="30"/>
      <c r="K724" s="30"/>
      <c r="L724" s="30"/>
      <c r="M724" s="30"/>
      <c r="N724" s="30"/>
      <c r="O724" s="30"/>
      <c r="P724" s="30"/>
      <c r="Q724" s="30"/>
      <c r="R724" s="30"/>
      <c r="S724" s="30"/>
      <c r="T724" s="30"/>
      <c r="U724" s="30"/>
      <c r="V724" s="30"/>
      <c r="W724" s="30"/>
      <c r="X724" s="30"/>
      <c r="Y724" s="30"/>
      <c r="Z724" s="30"/>
    </row>
    <row r="725" spans="1:26" ht="21" customHeight="1" x14ac:dyDescent="0.85">
      <c r="A725" s="708"/>
      <c r="B725" s="708"/>
      <c r="C725" s="708"/>
      <c r="D725" s="708"/>
      <c r="E725" s="708"/>
      <c r="F725" s="708"/>
      <c r="G725" s="30"/>
      <c r="H725" s="30"/>
      <c r="I725" s="30"/>
      <c r="J725" s="30"/>
      <c r="K725" s="30"/>
      <c r="L725" s="30"/>
      <c r="M725" s="30"/>
      <c r="N725" s="30"/>
      <c r="O725" s="30"/>
      <c r="P725" s="30"/>
      <c r="Q725" s="30"/>
      <c r="R725" s="30"/>
      <c r="S725" s="30"/>
      <c r="T725" s="30"/>
      <c r="U725" s="30"/>
      <c r="V725" s="30"/>
      <c r="W725" s="30"/>
      <c r="X725" s="30"/>
      <c r="Y725" s="30"/>
      <c r="Z725" s="30"/>
    </row>
    <row r="726" spans="1:26" ht="21" customHeight="1" x14ac:dyDescent="0.85">
      <c r="A726" s="708"/>
      <c r="B726" s="708"/>
      <c r="C726" s="708"/>
      <c r="D726" s="708"/>
      <c r="E726" s="708"/>
      <c r="F726" s="708"/>
      <c r="G726" s="30"/>
      <c r="H726" s="30"/>
      <c r="I726" s="30"/>
      <c r="J726" s="30"/>
      <c r="K726" s="30"/>
      <c r="L726" s="30"/>
      <c r="M726" s="30"/>
      <c r="N726" s="30"/>
      <c r="O726" s="30"/>
      <c r="P726" s="30"/>
      <c r="Q726" s="30"/>
      <c r="R726" s="30"/>
      <c r="S726" s="30"/>
      <c r="T726" s="30"/>
      <c r="U726" s="30"/>
      <c r="V726" s="30"/>
      <c r="W726" s="30"/>
      <c r="X726" s="30"/>
      <c r="Y726" s="30"/>
      <c r="Z726" s="30"/>
    </row>
    <row r="727" spans="1:26" ht="21" customHeight="1" x14ac:dyDescent="0.85">
      <c r="A727" s="708"/>
      <c r="B727" s="708"/>
      <c r="C727" s="708"/>
      <c r="D727" s="708"/>
      <c r="E727" s="708"/>
      <c r="F727" s="708"/>
      <c r="G727" s="30"/>
      <c r="H727" s="30"/>
      <c r="I727" s="30"/>
      <c r="J727" s="30"/>
      <c r="K727" s="30"/>
      <c r="L727" s="30"/>
      <c r="M727" s="30"/>
      <c r="N727" s="30"/>
      <c r="O727" s="30"/>
      <c r="P727" s="30"/>
      <c r="Q727" s="30"/>
      <c r="R727" s="30"/>
      <c r="S727" s="30"/>
      <c r="T727" s="30"/>
      <c r="U727" s="30"/>
      <c r="V727" s="30"/>
      <c r="W727" s="30"/>
      <c r="X727" s="30"/>
      <c r="Y727" s="30"/>
      <c r="Z727" s="30"/>
    </row>
    <row r="728" spans="1:26" ht="21" customHeight="1" x14ac:dyDescent="0.85">
      <c r="A728" s="708"/>
      <c r="B728" s="708"/>
      <c r="C728" s="708"/>
      <c r="D728" s="708"/>
      <c r="E728" s="708"/>
      <c r="F728" s="708"/>
      <c r="G728" s="30"/>
      <c r="H728" s="30"/>
      <c r="I728" s="30"/>
      <c r="J728" s="30"/>
      <c r="K728" s="30"/>
      <c r="L728" s="30"/>
      <c r="M728" s="30"/>
      <c r="N728" s="30"/>
      <c r="O728" s="30"/>
      <c r="P728" s="30"/>
      <c r="Q728" s="30"/>
      <c r="R728" s="30"/>
      <c r="S728" s="30"/>
      <c r="T728" s="30"/>
      <c r="U728" s="30"/>
      <c r="V728" s="30"/>
      <c r="W728" s="30"/>
      <c r="X728" s="30"/>
      <c r="Y728" s="30"/>
      <c r="Z728" s="30"/>
    </row>
    <row r="729" spans="1:26" ht="21" customHeight="1" x14ac:dyDescent="0.85">
      <c r="A729" s="708"/>
      <c r="B729" s="708"/>
      <c r="C729" s="708"/>
      <c r="D729" s="708"/>
      <c r="E729" s="708"/>
      <c r="F729" s="708"/>
      <c r="G729" s="30"/>
      <c r="H729" s="30"/>
      <c r="I729" s="30"/>
      <c r="J729" s="30"/>
      <c r="K729" s="30"/>
      <c r="L729" s="30"/>
      <c r="M729" s="30"/>
      <c r="N729" s="30"/>
      <c r="O729" s="30"/>
      <c r="P729" s="30"/>
      <c r="Q729" s="30"/>
      <c r="R729" s="30"/>
      <c r="S729" s="30"/>
      <c r="T729" s="30"/>
      <c r="U729" s="30"/>
      <c r="V729" s="30"/>
      <c r="W729" s="30"/>
      <c r="X729" s="30"/>
      <c r="Y729" s="30"/>
      <c r="Z729" s="30"/>
    </row>
    <row r="730" spans="1:26" ht="21" customHeight="1" x14ac:dyDescent="0.85">
      <c r="A730" s="708"/>
      <c r="B730" s="708"/>
      <c r="C730" s="708"/>
      <c r="D730" s="708"/>
      <c r="E730" s="708"/>
      <c r="F730" s="708"/>
      <c r="G730" s="30"/>
      <c r="H730" s="30"/>
      <c r="I730" s="30"/>
      <c r="J730" s="30"/>
      <c r="K730" s="30"/>
      <c r="L730" s="30"/>
      <c r="M730" s="30"/>
      <c r="N730" s="30"/>
      <c r="O730" s="30"/>
      <c r="P730" s="30"/>
      <c r="Q730" s="30"/>
      <c r="R730" s="30"/>
      <c r="S730" s="30"/>
      <c r="T730" s="30"/>
      <c r="U730" s="30"/>
      <c r="V730" s="30"/>
      <c r="W730" s="30"/>
      <c r="X730" s="30"/>
      <c r="Y730" s="30"/>
      <c r="Z730" s="30"/>
    </row>
    <row r="731" spans="1:26" ht="21" customHeight="1" x14ac:dyDescent="0.85">
      <c r="A731" s="708"/>
      <c r="B731" s="708"/>
      <c r="C731" s="708"/>
      <c r="D731" s="708"/>
      <c r="E731" s="708"/>
      <c r="F731" s="708"/>
      <c r="G731" s="30"/>
      <c r="H731" s="30"/>
      <c r="I731" s="30"/>
      <c r="J731" s="30"/>
      <c r="K731" s="30"/>
      <c r="L731" s="30"/>
      <c r="M731" s="30"/>
      <c r="N731" s="30"/>
      <c r="O731" s="30"/>
      <c r="P731" s="30"/>
      <c r="Q731" s="30"/>
      <c r="R731" s="30"/>
      <c r="S731" s="30"/>
      <c r="T731" s="30"/>
      <c r="U731" s="30"/>
      <c r="V731" s="30"/>
      <c r="W731" s="30"/>
      <c r="X731" s="30"/>
      <c r="Y731" s="30"/>
      <c r="Z731" s="30"/>
    </row>
    <row r="732" spans="1:26" ht="21" customHeight="1" x14ac:dyDescent="0.85">
      <c r="A732" s="708"/>
      <c r="B732" s="708"/>
      <c r="C732" s="708"/>
      <c r="D732" s="708"/>
      <c r="E732" s="708"/>
      <c r="F732" s="708"/>
      <c r="G732" s="30"/>
      <c r="H732" s="30"/>
      <c r="I732" s="30"/>
      <c r="J732" s="30"/>
      <c r="K732" s="30"/>
      <c r="L732" s="30"/>
      <c r="M732" s="30"/>
      <c r="N732" s="30"/>
      <c r="O732" s="30"/>
      <c r="P732" s="30"/>
      <c r="Q732" s="30"/>
      <c r="R732" s="30"/>
      <c r="S732" s="30"/>
      <c r="T732" s="30"/>
      <c r="U732" s="30"/>
      <c r="V732" s="30"/>
      <c r="W732" s="30"/>
      <c r="X732" s="30"/>
      <c r="Y732" s="30"/>
      <c r="Z732" s="30"/>
    </row>
    <row r="733" spans="1:26" ht="21" customHeight="1" x14ac:dyDescent="0.85">
      <c r="A733" s="708"/>
      <c r="B733" s="708"/>
      <c r="C733" s="708"/>
      <c r="D733" s="708"/>
      <c r="E733" s="708"/>
      <c r="F733" s="708"/>
      <c r="G733" s="30"/>
      <c r="H733" s="30"/>
      <c r="I733" s="30"/>
      <c r="J733" s="30"/>
      <c r="K733" s="30"/>
      <c r="L733" s="30"/>
      <c r="M733" s="30"/>
      <c r="N733" s="30"/>
      <c r="O733" s="30"/>
      <c r="P733" s="30"/>
      <c r="Q733" s="30"/>
      <c r="R733" s="30"/>
      <c r="S733" s="30"/>
      <c r="T733" s="30"/>
      <c r="U733" s="30"/>
      <c r="V733" s="30"/>
      <c r="W733" s="30"/>
      <c r="X733" s="30"/>
      <c r="Y733" s="30"/>
      <c r="Z733" s="30"/>
    </row>
    <row r="734" spans="1:26" ht="21" customHeight="1" x14ac:dyDescent="0.85">
      <c r="A734" s="708"/>
      <c r="B734" s="708"/>
      <c r="C734" s="708"/>
      <c r="D734" s="708"/>
      <c r="E734" s="708"/>
      <c r="F734" s="708"/>
      <c r="G734" s="30"/>
      <c r="H734" s="30"/>
      <c r="I734" s="30"/>
      <c r="J734" s="30"/>
      <c r="K734" s="30"/>
      <c r="L734" s="30"/>
      <c r="M734" s="30"/>
      <c r="N734" s="30"/>
      <c r="O734" s="30"/>
      <c r="P734" s="30"/>
      <c r="Q734" s="30"/>
      <c r="R734" s="30"/>
      <c r="S734" s="30"/>
      <c r="T734" s="30"/>
      <c r="U734" s="30"/>
      <c r="V734" s="30"/>
      <c r="W734" s="30"/>
      <c r="X734" s="30"/>
      <c r="Y734" s="30"/>
      <c r="Z734" s="30"/>
    </row>
    <row r="735" spans="1:26" ht="21" customHeight="1" x14ac:dyDescent="0.85">
      <c r="A735" s="708"/>
      <c r="B735" s="708"/>
      <c r="C735" s="708"/>
      <c r="D735" s="708"/>
      <c r="E735" s="708"/>
      <c r="F735" s="708"/>
      <c r="G735" s="30"/>
      <c r="H735" s="30"/>
      <c r="I735" s="30"/>
      <c r="J735" s="30"/>
      <c r="K735" s="30"/>
      <c r="L735" s="30"/>
      <c r="M735" s="30"/>
      <c r="N735" s="30"/>
      <c r="O735" s="30"/>
      <c r="P735" s="30"/>
      <c r="Q735" s="30"/>
      <c r="R735" s="30"/>
      <c r="S735" s="30"/>
      <c r="T735" s="30"/>
      <c r="U735" s="30"/>
      <c r="V735" s="30"/>
      <c r="W735" s="30"/>
      <c r="X735" s="30"/>
      <c r="Y735" s="30"/>
      <c r="Z735" s="30"/>
    </row>
    <row r="736" spans="1:26" ht="21" customHeight="1" x14ac:dyDescent="0.85">
      <c r="A736" s="708"/>
      <c r="B736" s="708"/>
      <c r="C736" s="708"/>
      <c r="D736" s="708"/>
      <c r="E736" s="708"/>
      <c r="F736" s="708"/>
      <c r="G736" s="30"/>
      <c r="H736" s="30"/>
      <c r="I736" s="30"/>
      <c r="J736" s="30"/>
      <c r="K736" s="30"/>
      <c r="L736" s="30"/>
      <c r="M736" s="30"/>
      <c r="N736" s="30"/>
      <c r="O736" s="30"/>
      <c r="P736" s="30"/>
      <c r="Q736" s="30"/>
      <c r="R736" s="30"/>
      <c r="S736" s="30"/>
      <c r="T736" s="30"/>
      <c r="U736" s="30"/>
      <c r="V736" s="30"/>
      <c r="W736" s="30"/>
      <c r="X736" s="30"/>
      <c r="Y736" s="30"/>
      <c r="Z736" s="30"/>
    </row>
    <row r="737" spans="1:26" ht="21" customHeight="1" x14ac:dyDescent="0.85">
      <c r="A737" s="708"/>
      <c r="B737" s="708"/>
      <c r="C737" s="708"/>
      <c r="D737" s="708"/>
      <c r="E737" s="708"/>
      <c r="F737" s="708"/>
      <c r="G737" s="30"/>
      <c r="H737" s="30"/>
      <c r="I737" s="30"/>
      <c r="J737" s="30"/>
      <c r="K737" s="30"/>
      <c r="L737" s="30"/>
      <c r="M737" s="30"/>
      <c r="N737" s="30"/>
      <c r="O737" s="30"/>
      <c r="P737" s="30"/>
      <c r="Q737" s="30"/>
      <c r="R737" s="30"/>
      <c r="S737" s="30"/>
      <c r="T737" s="30"/>
      <c r="U737" s="30"/>
      <c r="V737" s="30"/>
      <c r="W737" s="30"/>
      <c r="X737" s="30"/>
      <c r="Y737" s="30"/>
      <c r="Z737" s="30"/>
    </row>
    <row r="738" spans="1:26" ht="21" customHeight="1" x14ac:dyDescent="0.85">
      <c r="A738" s="708"/>
      <c r="B738" s="708"/>
      <c r="C738" s="708"/>
      <c r="D738" s="708"/>
      <c r="E738" s="708"/>
      <c r="F738" s="708"/>
      <c r="G738" s="30"/>
      <c r="H738" s="30"/>
      <c r="I738" s="30"/>
      <c r="J738" s="30"/>
      <c r="K738" s="30"/>
      <c r="L738" s="30"/>
      <c r="M738" s="30"/>
      <c r="N738" s="30"/>
      <c r="O738" s="30"/>
      <c r="P738" s="30"/>
      <c r="Q738" s="30"/>
      <c r="R738" s="30"/>
      <c r="S738" s="30"/>
      <c r="T738" s="30"/>
      <c r="U738" s="30"/>
      <c r="V738" s="30"/>
      <c r="W738" s="30"/>
      <c r="X738" s="30"/>
      <c r="Y738" s="30"/>
      <c r="Z738" s="30"/>
    </row>
    <row r="739" spans="1:26" ht="21" customHeight="1" x14ac:dyDescent="0.85">
      <c r="A739" s="708"/>
      <c r="B739" s="708"/>
      <c r="C739" s="708"/>
      <c r="D739" s="708"/>
      <c r="E739" s="708"/>
      <c r="F739" s="708"/>
      <c r="G739" s="30"/>
      <c r="H739" s="30"/>
      <c r="I739" s="30"/>
      <c r="J739" s="30"/>
      <c r="K739" s="30"/>
      <c r="L739" s="30"/>
      <c r="M739" s="30"/>
      <c r="N739" s="30"/>
      <c r="O739" s="30"/>
      <c r="P739" s="30"/>
      <c r="Q739" s="30"/>
      <c r="R739" s="30"/>
      <c r="S739" s="30"/>
      <c r="T739" s="30"/>
      <c r="U739" s="30"/>
      <c r="V739" s="30"/>
      <c r="W739" s="30"/>
      <c r="X739" s="30"/>
      <c r="Y739" s="30"/>
      <c r="Z739" s="30"/>
    </row>
    <row r="740" spans="1:26" ht="21" customHeight="1" x14ac:dyDescent="0.85">
      <c r="A740" s="708"/>
      <c r="B740" s="708"/>
      <c r="C740" s="708"/>
      <c r="D740" s="708"/>
      <c r="E740" s="708"/>
      <c r="F740" s="708"/>
      <c r="G740" s="30"/>
      <c r="H740" s="30"/>
      <c r="I740" s="30"/>
      <c r="J740" s="30"/>
      <c r="K740" s="30"/>
      <c r="L740" s="30"/>
      <c r="M740" s="30"/>
      <c r="N740" s="30"/>
      <c r="O740" s="30"/>
      <c r="P740" s="30"/>
      <c r="Q740" s="30"/>
      <c r="R740" s="30"/>
      <c r="S740" s="30"/>
      <c r="T740" s="30"/>
      <c r="U740" s="30"/>
      <c r="V740" s="30"/>
      <c r="W740" s="30"/>
      <c r="X740" s="30"/>
      <c r="Y740" s="30"/>
      <c r="Z740" s="30"/>
    </row>
    <row r="741" spans="1:26" ht="21" customHeight="1" x14ac:dyDescent="0.85">
      <c r="A741" s="708"/>
      <c r="B741" s="708"/>
      <c r="C741" s="708"/>
      <c r="D741" s="708"/>
      <c r="E741" s="708"/>
      <c r="F741" s="708"/>
      <c r="G741" s="30"/>
      <c r="H741" s="30"/>
      <c r="I741" s="30"/>
      <c r="J741" s="30"/>
      <c r="K741" s="30"/>
      <c r="L741" s="30"/>
      <c r="M741" s="30"/>
      <c r="N741" s="30"/>
      <c r="O741" s="30"/>
      <c r="P741" s="30"/>
      <c r="Q741" s="30"/>
      <c r="R741" s="30"/>
      <c r="S741" s="30"/>
      <c r="T741" s="30"/>
      <c r="U741" s="30"/>
      <c r="V741" s="30"/>
      <c r="W741" s="30"/>
      <c r="X741" s="30"/>
      <c r="Y741" s="30"/>
      <c r="Z741" s="30"/>
    </row>
    <row r="742" spans="1:26" ht="21" customHeight="1" x14ac:dyDescent="0.85">
      <c r="A742" s="708"/>
      <c r="B742" s="708"/>
      <c r="C742" s="708"/>
      <c r="D742" s="708"/>
      <c r="E742" s="708"/>
      <c r="F742" s="708"/>
      <c r="G742" s="30"/>
      <c r="H742" s="30"/>
      <c r="I742" s="30"/>
      <c r="J742" s="30"/>
      <c r="K742" s="30"/>
      <c r="L742" s="30"/>
      <c r="M742" s="30"/>
      <c r="N742" s="30"/>
      <c r="O742" s="30"/>
      <c r="P742" s="30"/>
      <c r="Q742" s="30"/>
      <c r="R742" s="30"/>
      <c r="S742" s="30"/>
      <c r="T742" s="30"/>
      <c r="U742" s="30"/>
      <c r="V742" s="30"/>
      <c r="W742" s="30"/>
      <c r="X742" s="30"/>
      <c r="Y742" s="30"/>
      <c r="Z742" s="30"/>
    </row>
    <row r="743" spans="1:26" ht="21" customHeight="1" x14ac:dyDescent="0.85">
      <c r="A743" s="708"/>
      <c r="B743" s="708"/>
      <c r="C743" s="708"/>
      <c r="D743" s="708"/>
      <c r="E743" s="708"/>
      <c r="F743" s="708"/>
      <c r="G743" s="30"/>
      <c r="H743" s="30"/>
      <c r="I743" s="30"/>
      <c r="J743" s="30"/>
      <c r="K743" s="30"/>
      <c r="L743" s="30"/>
      <c r="M743" s="30"/>
      <c r="N743" s="30"/>
      <c r="O743" s="30"/>
      <c r="P743" s="30"/>
      <c r="Q743" s="30"/>
      <c r="R743" s="30"/>
      <c r="S743" s="30"/>
      <c r="T743" s="30"/>
      <c r="U743" s="30"/>
      <c r="V743" s="30"/>
      <c r="W743" s="30"/>
      <c r="X743" s="30"/>
      <c r="Y743" s="30"/>
      <c r="Z743" s="30"/>
    </row>
    <row r="744" spans="1:26" ht="21" customHeight="1" x14ac:dyDescent="0.85">
      <c r="A744" s="708"/>
      <c r="B744" s="708"/>
      <c r="C744" s="708"/>
      <c r="D744" s="708"/>
      <c r="E744" s="708"/>
      <c r="F744" s="708"/>
      <c r="G744" s="30"/>
      <c r="H744" s="30"/>
      <c r="I744" s="30"/>
      <c r="J744" s="30"/>
      <c r="K744" s="30"/>
      <c r="L744" s="30"/>
      <c r="M744" s="30"/>
      <c r="N744" s="30"/>
      <c r="O744" s="30"/>
      <c r="P744" s="30"/>
      <c r="Q744" s="30"/>
      <c r="R744" s="30"/>
      <c r="S744" s="30"/>
      <c r="T744" s="30"/>
      <c r="U744" s="30"/>
      <c r="V744" s="30"/>
      <c r="W744" s="30"/>
      <c r="X744" s="30"/>
      <c r="Y744" s="30"/>
      <c r="Z744" s="30"/>
    </row>
    <row r="745" spans="1:26" ht="21" customHeight="1" x14ac:dyDescent="0.85">
      <c r="A745" s="708"/>
      <c r="B745" s="708"/>
      <c r="C745" s="708"/>
      <c r="D745" s="708"/>
      <c r="E745" s="708"/>
      <c r="F745" s="708"/>
      <c r="G745" s="30"/>
      <c r="H745" s="30"/>
      <c r="I745" s="30"/>
      <c r="J745" s="30"/>
      <c r="K745" s="30"/>
      <c r="L745" s="30"/>
      <c r="M745" s="30"/>
      <c r="N745" s="30"/>
      <c r="O745" s="30"/>
      <c r="P745" s="30"/>
      <c r="Q745" s="30"/>
      <c r="R745" s="30"/>
      <c r="S745" s="30"/>
      <c r="T745" s="30"/>
      <c r="U745" s="30"/>
      <c r="V745" s="30"/>
      <c r="W745" s="30"/>
      <c r="X745" s="30"/>
      <c r="Y745" s="30"/>
      <c r="Z745" s="30"/>
    </row>
    <row r="746" spans="1:26" ht="21" customHeight="1" x14ac:dyDescent="0.85">
      <c r="A746" s="708"/>
      <c r="B746" s="708"/>
      <c r="C746" s="708"/>
      <c r="D746" s="708"/>
      <c r="E746" s="708"/>
      <c r="F746" s="708"/>
      <c r="G746" s="30"/>
      <c r="H746" s="30"/>
      <c r="I746" s="30"/>
      <c r="J746" s="30"/>
      <c r="K746" s="30"/>
      <c r="L746" s="30"/>
      <c r="M746" s="30"/>
      <c r="N746" s="30"/>
      <c r="O746" s="30"/>
      <c r="P746" s="30"/>
      <c r="Q746" s="30"/>
      <c r="R746" s="30"/>
      <c r="S746" s="30"/>
      <c r="T746" s="30"/>
      <c r="U746" s="30"/>
      <c r="V746" s="30"/>
      <c r="W746" s="30"/>
      <c r="X746" s="30"/>
      <c r="Y746" s="30"/>
      <c r="Z746" s="30"/>
    </row>
    <row r="747" spans="1:26" ht="21" customHeight="1" x14ac:dyDescent="0.85">
      <c r="A747" s="708"/>
      <c r="B747" s="708"/>
      <c r="C747" s="708"/>
      <c r="D747" s="708"/>
      <c r="E747" s="708"/>
      <c r="F747" s="708"/>
      <c r="G747" s="30"/>
      <c r="H747" s="30"/>
      <c r="I747" s="30"/>
      <c r="J747" s="30"/>
      <c r="K747" s="30"/>
      <c r="L747" s="30"/>
      <c r="M747" s="30"/>
      <c r="N747" s="30"/>
      <c r="O747" s="30"/>
      <c r="P747" s="30"/>
      <c r="Q747" s="30"/>
      <c r="R747" s="30"/>
      <c r="S747" s="30"/>
      <c r="T747" s="30"/>
      <c r="U747" s="30"/>
      <c r="V747" s="30"/>
      <c r="W747" s="30"/>
      <c r="X747" s="30"/>
      <c r="Y747" s="30"/>
      <c r="Z747" s="30"/>
    </row>
    <row r="748" spans="1:26" ht="21" customHeight="1" x14ac:dyDescent="0.85">
      <c r="A748" s="708"/>
      <c r="B748" s="708"/>
      <c r="C748" s="708"/>
      <c r="D748" s="708"/>
      <c r="E748" s="708"/>
      <c r="F748" s="708"/>
      <c r="G748" s="30"/>
      <c r="H748" s="30"/>
      <c r="I748" s="30"/>
      <c r="J748" s="30"/>
      <c r="K748" s="30"/>
      <c r="L748" s="30"/>
      <c r="M748" s="30"/>
      <c r="N748" s="30"/>
      <c r="O748" s="30"/>
      <c r="P748" s="30"/>
      <c r="Q748" s="30"/>
      <c r="R748" s="30"/>
      <c r="S748" s="30"/>
      <c r="T748" s="30"/>
      <c r="U748" s="30"/>
      <c r="V748" s="30"/>
      <c r="W748" s="30"/>
      <c r="X748" s="30"/>
      <c r="Y748" s="30"/>
      <c r="Z748" s="30"/>
    </row>
    <row r="749" spans="1:26" ht="21" customHeight="1" x14ac:dyDescent="0.85">
      <c r="A749" s="708"/>
      <c r="B749" s="708"/>
      <c r="C749" s="708"/>
      <c r="D749" s="708"/>
      <c r="E749" s="708"/>
      <c r="F749" s="708"/>
      <c r="G749" s="30"/>
      <c r="H749" s="30"/>
      <c r="I749" s="30"/>
      <c r="J749" s="30"/>
      <c r="K749" s="30"/>
      <c r="L749" s="30"/>
      <c r="M749" s="30"/>
      <c r="N749" s="30"/>
      <c r="O749" s="30"/>
      <c r="P749" s="30"/>
      <c r="Q749" s="30"/>
      <c r="R749" s="30"/>
      <c r="S749" s="30"/>
      <c r="T749" s="30"/>
      <c r="U749" s="30"/>
      <c r="V749" s="30"/>
      <c r="W749" s="30"/>
      <c r="X749" s="30"/>
      <c r="Y749" s="30"/>
      <c r="Z749" s="30"/>
    </row>
    <row r="750" spans="1:26" ht="21" customHeight="1" x14ac:dyDescent="0.85">
      <c r="A750" s="708"/>
      <c r="B750" s="708"/>
      <c r="C750" s="708"/>
      <c r="D750" s="708"/>
      <c r="E750" s="708"/>
      <c r="F750" s="708"/>
      <c r="G750" s="30"/>
      <c r="H750" s="30"/>
      <c r="I750" s="30"/>
      <c r="J750" s="30"/>
      <c r="K750" s="30"/>
      <c r="L750" s="30"/>
      <c r="M750" s="30"/>
      <c r="N750" s="30"/>
      <c r="O750" s="30"/>
      <c r="P750" s="30"/>
      <c r="Q750" s="30"/>
      <c r="R750" s="30"/>
      <c r="S750" s="30"/>
      <c r="T750" s="30"/>
      <c r="U750" s="30"/>
      <c r="V750" s="30"/>
      <c r="W750" s="30"/>
      <c r="X750" s="30"/>
      <c r="Y750" s="30"/>
      <c r="Z750" s="30"/>
    </row>
    <row r="751" spans="1:26" ht="21" customHeight="1" x14ac:dyDescent="0.85">
      <c r="A751" s="708"/>
      <c r="B751" s="708"/>
      <c r="C751" s="708"/>
      <c r="D751" s="708"/>
      <c r="E751" s="708"/>
      <c r="F751" s="708"/>
      <c r="G751" s="30"/>
      <c r="H751" s="30"/>
      <c r="I751" s="30"/>
      <c r="J751" s="30"/>
      <c r="K751" s="30"/>
      <c r="L751" s="30"/>
      <c r="M751" s="30"/>
      <c r="N751" s="30"/>
      <c r="O751" s="30"/>
      <c r="P751" s="30"/>
      <c r="Q751" s="30"/>
      <c r="R751" s="30"/>
      <c r="S751" s="30"/>
      <c r="T751" s="30"/>
      <c r="U751" s="30"/>
      <c r="V751" s="30"/>
      <c r="W751" s="30"/>
      <c r="X751" s="30"/>
      <c r="Y751" s="30"/>
      <c r="Z751" s="30"/>
    </row>
    <row r="752" spans="1:26" ht="21" customHeight="1" x14ac:dyDescent="0.85">
      <c r="A752" s="708"/>
      <c r="B752" s="708"/>
      <c r="C752" s="708"/>
      <c r="D752" s="708"/>
      <c r="E752" s="708"/>
      <c r="F752" s="708"/>
      <c r="G752" s="30"/>
      <c r="H752" s="30"/>
      <c r="I752" s="30"/>
      <c r="J752" s="30"/>
      <c r="K752" s="30"/>
      <c r="L752" s="30"/>
      <c r="M752" s="30"/>
      <c r="N752" s="30"/>
      <c r="O752" s="30"/>
      <c r="P752" s="30"/>
      <c r="Q752" s="30"/>
      <c r="R752" s="30"/>
      <c r="S752" s="30"/>
      <c r="T752" s="30"/>
      <c r="U752" s="30"/>
      <c r="V752" s="30"/>
      <c r="W752" s="30"/>
      <c r="X752" s="30"/>
      <c r="Y752" s="30"/>
      <c r="Z752" s="30"/>
    </row>
    <row r="753" spans="1:26" ht="21" customHeight="1" x14ac:dyDescent="0.85">
      <c r="A753" s="708"/>
      <c r="B753" s="708"/>
      <c r="C753" s="708"/>
      <c r="D753" s="708"/>
      <c r="E753" s="708"/>
      <c r="F753" s="708"/>
      <c r="G753" s="30"/>
      <c r="H753" s="30"/>
      <c r="I753" s="30"/>
      <c r="J753" s="30"/>
      <c r="K753" s="30"/>
      <c r="L753" s="30"/>
      <c r="M753" s="30"/>
      <c r="N753" s="30"/>
      <c r="O753" s="30"/>
      <c r="P753" s="30"/>
      <c r="Q753" s="30"/>
      <c r="R753" s="30"/>
      <c r="S753" s="30"/>
      <c r="T753" s="30"/>
      <c r="U753" s="30"/>
      <c r="V753" s="30"/>
      <c r="W753" s="30"/>
      <c r="X753" s="30"/>
      <c r="Y753" s="30"/>
      <c r="Z753" s="30"/>
    </row>
    <row r="754" spans="1:26" ht="21" customHeight="1" x14ac:dyDescent="0.85">
      <c r="A754" s="708"/>
      <c r="B754" s="708"/>
      <c r="C754" s="708"/>
      <c r="D754" s="708"/>
      <c r="E754" s="708"/>
      <c r="F754" s="708"/>
      <c r="G754" s="30"/>
      <c r="H754" s="30"/>
      <c r="I754" s="30"/>
      <c r="J754" s="30"/>
      <c r="K754" s="30"/>
      <c r="L754" s="30"/>
      <c r="M754" s="30"/>
      <c r="N754" s="30"/>
      <c r="O754" s="30"/>
      <c r="P754" s="30"/>
      <c r="Q754" s="30"/>
      <c r="R754" s="30"/>
      <c r="S754" s="30"/>
      <c r="T754" s="30"/>
      <c r="U754" s="30"/>
      <c r="V754" s="30"/>
      <c r="W754" s="30"/>
      <c r="X754" s="30"/>
      <c r="Y754" s="30"/>
      <c r="Z754" s="30"/>
    </row>
    <row r="755" spans="1:26" ht="21" customHeight="1" x14ac:dyDescent="0.85">
      <c r="A755" s="708"/>
      <c r="B755" s="708"/>
      <c r="C755" s="708"/>
      <c r="D755" s="708"/>
      <c r="E755" s="708"/>
      <c r="F755" s="708"/>
      <c r="G755" s="30"/>
      <c r="H755" s="30"/>
      <c r="I755" s="30"/>
      <c r="J755" s="30"/>
      <c r="K755" s="30"/>
      <c r="L755" s="30"/>
      <c r="M755" s="30"/>
      <c r="N755" s="30"/>
      <c r="O755" s="30"/>
      <c r="P755" s="30"/>
      <c r="Q755" s="30"/>
      <c r="R755" s="30"/>
      <c r="S755" s="30"/>
      <c r="T755" s="30"/>
      <c r="U755" s="30"/>
      <c r="V755" s="30"/>
      <c r="W755" s="30"/>
      <c r="X755" s="30"/>
      <c r="Y755" s="30"/>
      <c r="Z755" s="30"/>
    </row>
    <row r="756" spans="1:26" ht="21" customHeight="1" x14ac:dyDescent="0.85">
      <c r="A756" s="708"/>
      <c r="B756" s="708"/>
      <c r="C756" s="708"/>
      <c r="D756" s="708"/>
      <c r="E756" s="708"/>
      <c r="F756" s="708"/>
      <c r="G756" s="30"/>
      <c r="H756" s="30"/>
      <c r="I756" s="30"/>
      <c r="J756" s="30"/>
      <c r="K756" s="30"/>
      <c r="L756" s="30"/>
      <c r="M756" s="30"/>
      <c r="N756" s="30"/>
      <c r="O756" s="30"/>
      <c r="P756" s="30"/>
      <c r="Q756" s="30"/>
      <c r="R756" s="30"/>
      <c r="S756" s="30"/>
      <c r="T756" s="30"/>
      <c r="U756" s="30"/>
      <c r="V756" s="30"/>
      <c r="W756" s="30"/>
      <c r="X756" s="30"/>
      <c r="Y756" s="30"/>
      <c r="Z756" s="30"/>
    </row>
    <row r="757" spans="1:26" ht="21" customHeight="1" x14ac:dyDescent="0.85">
      <c r="A757" s="708"/>
      <c r="B757" s="708"/>
      <c r="C757" s="708"/>
      <c r="D757" s="708"/>
      <c r="E757" s="708"/>
      <c r="F757" s="708"/>
      <c r="G757" s="30"/>
      <c r="H757" s="30"/>
      <c r="I757" s="30"/>
      <c r="J757" s="30"/>
      <c r="K757" s="30"/>
      <c r="L757" s="30"/>
      <c r="M757" s="30"/>
      <c r="N757" s="30"/>
      <c r="O757" s="30"/>
      <c r="P757" s="30"/>
      <c r="Q757" s="30"/>
      <c r="R757" s="30"/>
      <c r="S757" s="30"/>
      <c r="T757" s="30"/>
      <c r="U757" s="30"/>
      <c r="V757" s="30"/>
      <c r="W757" s="30"/>
      <c r="X757" s="30"/>
      <c r="Y757" s="30"/>
      <c r="Z757" s="30"/>
    </row>
    <row r="758" spans="1:26" ht="21" customHeight="1" x14ac:dyDescent="0.85">
      <c r="A758" s="708"/>
      <c r="B758" s="708"/>
      <c r="C758" s="708"/>
      <c r="D758" s="708"/>
      <c r="E758" s="708"/>
      <c r="F758" s="708"/>
      <c r="G758" s="30"/>
      <c r="H758" s="30"/>
      <c r="I758" s="30"/>
      <c r="J758" s="30"/>
      <c r="K758" s="30"/>
      <c r="L758" s="30"/>
      <c r="M758" s="30"/>
      <c r="N758" s="30"/>
      <c r="O758" s="30"/>
      <c r="P758" s="30"/>
      <c r="Q758" s="30"/>
      <c r="R758" s="30"/>
      <c r="S758" s="30"/>
      <c r="T758" s="30"/>
      <c r="U758" s="30"/>
      <c r="V758" s="30"/>
      <c r="W758" s="30"/>
      <c r="X758" s="30"/>
      <c r="Y758" s="30"/>
      <c r="Z758" s="30"/>
    </row>
    <row r="759" spans="1:26" ht="21" customHeight="1" x14ac:dyDescent="0.85">
      <c r="A759" s="708"/>
      <c r="B759" s="708"/>
      <c r="C759" s="708"/>
      <c r="D759" s="708"/>
      <c r="E759" s="708"/>
      <c r="F759" s="708"/>
      <c r="G759" s="30"/>
      <c r="H759" s="30"/>
      <c r="I759" s="30"/>
      <c r="J759" s="30"/>
      <c r="K759" s="30"/>
      <c r="L759" s="30"/>
      <c r="M759" s="30"/>
      <c r="N759" s="30"/>
      <c r="O759" s="30"/>
      <c r="P759" s="30"/>
      <c r="Q759" s="30"/>
      <c r="R759" s="30"/>
      <c r="S759" s="30"/>
      <c r="T759" s="30"/>
      <c r="U759" s="30"/>
      <c r="V759" s="30"/>
      <c r="W759" s="30"/>
      <c r="X759" s="30"/>
      <c r="Y759" s="30"/>
      <c r="Z759" s="30"/>
    </row>
    <row r="760" spans="1:26" ht="21" customHeight="1" x14ac:dyDescent="0.85">
      <c r="A760" s="708"/>
      <c r="B760" s="708"/>
      <c r="C760" s="708"/>
      <c r="D760" s="708"/>
      <c r="E760" s="708"/>
      <c r="F760" s="708"/>
      <c r="G760" s="30"/>
      <c r="H760" s="30"/>
      <c r="I760" s="30"/>
      <c r="J760" s="30"/>
      <c r="K760" s="30"/>
      <c r="L760" s="30"/>
      <c r="M760" s="30"/>
      <c r="N760" s="30"/>
      <c r="O760" s="30"/>
      <c r="P760" s="30"/>
      <c r="Q760" s="30"/>
      <c r="R760" s="30"/>
      <c r="S760" s="30"/>
      <c r="T760" s="30"/>
      <c r="U760" s="30"/>
      <c r="V760" s="30"/>
      <c r="W760" s="30"/>
      <c r="X760" s="30"/>
      <c r="Y760" s="30"/>
      <c r="Z760" s="30"/>
    </row>
    <row r="761" spans="1:26" ht="21" customHeight="1" x14ac:dyDescent="0.85">
      <c r="A761" s="708"/>
      <c r="B761" s="708"/>
      <c r="C761" s="708"/>
      <c r="D761" s="708"/>
      <c r="E761" s="708"/>
      <c r="F761" s="708"/>
      <c r="G761" s="30"/>
      <c r="H761" s="30"/>
      <c r="I761" s="30"/>
      <c r="J761" s="30"/>
      <c r="K761" s="30"/>
      <c r="L761" s="30"/>
      <c r="M761" s="30"/>
      <c r="N761" s="30"/>
      <c r="O761" s="30"/>
      <c r="P761" s="30"/>
      <c r="Q761" s="30"/>
      <c r="R761" s="30"/>
      <c r="S761" s="30"/>
      <c r="T761" s="30"/>
      <c r="U761" s="30"/>
      <c r="V761" s="30"/>
      <c r="W761" s="30"/>
      <c r="X761" s="30"/>
      <c r="Y761" s="30"/>
      <c r="Z761" s="30"/>
    </row>
    <row r="762" spans="1:26" ht="21" customHeight="1" x14ac:dyDescent="0.85">
      <c r="A762" s="708"/>
      <c r="B762" s="708"/>
      <c r="C762" s="708"/>
      <c r="D762" s="708"/>
      <c r="E762" s="708"/>
      <c r="F762" s="708"/>
      <c r="G762" s="30"/>
      <c r="H762" s="30"/>
      <c r="I762" s="30"/>
      <c r="J762" s="30"/>
      <c r="K762" s="30"/>
      <c r="L762" s="30"/>
      <c r="M762" s="30"/>
      <c r="N762" s="30"/>
      <c r="O762" s="30"/>
      <c r="P762" s="30"/>
      <c r="Q762" s="30"/>
      <c r="R762" s="30"/>
      <c r="S762" s="30"/>
      <c r="T762" s="30"/>
      <c r="U762" s="30"/>
      <c r="V762" s="30"/>
      <c r="W762" s="30"/>
      <c r="X762" s="30"/>
      <c r="Y762" s="30"/>
      <c r="Z762" s="30"/>
    </row>
    <row r="763" spans="1:26" ht="21" customHeight="1" x14ac:dyDescent="0.85">
      <c r="A763" s="708"/>
      <c r="B763" s="708"/>
      <c r="C763" s="708"/>
      <c r="D763" s="708"/>
      <c r="E763" s="708"/>
      <c r="F763" s="708"/>
      <c r="G763" s="30"/>
      <c r="H763" s="30"/>
      <c r="I763" s="30"/>
      <c r="J763" s="30"/>
      <c r="K763" s="30"/>
      <c r="L763" s="30"/>
      <c r="M763" s="30"/>
      <c r="N763" s="30"/>
      <c r="O763" s="30"/>
      <c r="P763" s="30"/>
      <c r="Q763" s="30"/>
      <c r="R763" s="30"/>
      <c r="S763" s="30"/>
      <c r="T763" s="30"/>
      <c r="U763" s="30"/>
      <c r="V763" s="30"/>
      <c r="W763" s="30"/>
      <c r="X763" s="30"/>
      <c r="Y763" s="30"/>
      <c r="Z763" s="30"/>
    </row>
    <row r="764" spans="1:26" ht="21" customHeight="1" x14ac:dyDescent="0.85">
      <c r="A764" s="708"/>
      <c r="B764" s="708"/>
      <c r="C764" s="708"/>
      <c r="D764" s="708"/>
      <c r="E764" s="708"/>
      <c r="F764" s="708"/>
      <c r="G764" s="30"/>
      <c r="H764" s="30"/>
      <c r="I764" s="30"/>
      <c r="J764" s="30"/>
      <c r="K764" s="30"/>
      <c r="L764" s="30"/>
      <c r="M764" s="30"/>
      <c r="N764" s="30"/>
      <c r="O764" s="30"/>
      <c r="P764" s="30"/>
      <c r="Q764" s="30"/>
      <c r="R764" s="30"/>
      <c r="S764" s="30"/>
      <c r="T764" s="30"/>
      <c r="U764" s="30"/>
      <c r="V764" s="30"/>
      <c r="W764" s="30"/>
      <c r="X764" s="30"/>
      <c r="Y764" s="30"/>
      <c r="Z764" s="30"/>
    </row>
    <row r="765" spans="1:26" ht="21" customHeight="1" x14ac:dyDescent="0.85">
      <c r="A765" s="708"/>
      <c r="B765" s="708"/>
      <c r="C765" s="708"/>
      <c r="D765" s="708"/>
      <c r="E765" s="708"/>
      <c r="F765" s="708"/>
      <c r="G765" s="30"/>
      <c r="H765" s="30"/>
      <c r="I765" s="30"/>
      <c r="J765" s="30"/>
      <c r="K765" s="30"/>
      <c r="L765" s="30"/>
      <c r="M765" s="30"/>
      <c r="N765" s="30"/>
      <c r="O765" s="30"/>
      <c r="P765" s="30"/>
      <c r="Q765" s="30"/>
      <c r="R765" s="30"/>
      <c r="S765" s="30"/>
      <c r="T765" s="30"/>
      <c r="U765" s="30"/>
      <c r="V765" s="30"/>
      <c r="W765" s="30"/>
      <c r="X765" s="30"/>
      <c r="Y765" s="30"/>
      <c r="Z765" s="30"/>
    </row>
    <row r="766" spans="1:26" ht="21" customHeight="1" x14ac:dyDescent="0.85">
      <c r="A766" s="708"/>
      <c r="B766" s="708"/>
      <c r="C766" s="708"/>
      <c r="D766" s="708"/>
      <c r="E766" s="708"/>
      <c r="F766" s="708"/>
      <c r="G766" s="30"/>
      <c r="H766" s="30"/>
      <c r="I766" s="30"/>
      <c r="J766" s="30"/>
      <c r="K766" s="30"/>
      <c r="L766" s="30"/>
      <c r="M766" s="30"/>
      <c r="N766" s="30"/>
      <c r="O766" s="30"/>
      <c r="P766" s="30"/>
      <c r="Q766" s="30"/>
      <c r="R766" s="30"/>
      <c r="S766" s="30"/>
      <c r="T766" s="30"/>
      <c r="U766" s="30"/>
      <c r="V766" s="30"/>
      <c r="W766" s="30"/>
      <c r="X766" s="30"/>
      <c r="Y766" s="30"/>
      <c r="Z766" s="30"/>
    </row>
    <row r="767" spans="1:26" ht="21" customHeight="1" x14ac:dyDescent="0.85">
      <c r="A767" s="708"/>
      <c r="B767" s="708"/>
      <c r="C767" s="708"/>
      <c r="D767" s="708"/>
      <c r="E767" s="708"/>
      <c r="F767" s="708"/>
      <c r="G767" s="30"/>
      <c r="H767" s="30"/>
      <c r="I767" s="30"/>
      <c r="J767" s="30"/>
      <c r="K767" s="30"/>
      <c r="L767" s="30"/>
      <c r="M767" s="30"/>
      <c r="N767" s="30"/>
      <c r="O767" s="30"/>
      <c r="P767" s="30"/>
      <c r="Q767" s="30"/>
      <c r="R767" s="30"/>
      <c r="S767" s="30"/>
      <c r="T767" s="30"/>
      <c r="U767" s="30"/>
      <c r="V767" s="30"/>
      <c r="W767" s="30"/>
      <c r="X767" s="30"/>
      <c r="Y767" s="30"/>
      <c r="Z767" s="30"/>
    </row>
    <row r="768" spans="1:26" ht="21" customHeight="1" x14ac:dyDescent="0.85">
      <c r="A768" s="708"/>
      <c r="B768" s="708"/>
      <c r="C768" s="708"/>
      <c r="D768" s="708"/>
      <c r="E768" s="708"/>
      <c r="F768" s="708"/>
      <c r="G768" s="30"/>
      <c r="H768" s="30"/>
      <c r="I768" s="30"/>
      <c r="J768" s="30"/>
      <c r="K768" s="30"/>
      <c r="L768" s="30"/>
      <c r="M768" s="30"/>
      <c r="N768" s="30"/>
      <c r="O768" s="30"/>
      <c r="P768" s="30"/>
      <c r="Q768" s="30"/>
      <c r="R768" s="30"/>
      <c r="S768" s="30"/>
      <c r="T768" s="30"/>
      <c r="U768" s="30"/>
      <c r="V768" s="30"/>
      <c r="W768" s="30"/>
      <c r="X768" s="30"/>
      <c r="Y768" s="30"/>
      <c r="Z768" s="30"/>
    </row>
    <row r="769" spans="1:26" ht="21" customHeight="1" x14ac:dyDescent="0.85">
      <c r="A769" s="708"/>
      <c r="B769" s="708"/>
      <c r="C769" s="708"/>
      <c r="D769" s="708"/>
      <c r="E769" s="708"/>
      <c r="F769" s="708"/>
      <c r="G769" s="30"/>
      <c r="H769" s="30"/>
      <c r="I769" s="30"/>
      <c r="J769" s="30"/>
      <c r="K769" s="30"/>
      <c r="L769" s="30"/>
      <c r="M769" s="30"/>
      <c r="N769" s="30"/>
      <c r="O769" s="30"/>
      <c r="P769" s="30"/>
      <c r="Q769" s="30"/>
      <c r="R769" s="30"/>
      <c r="S769" s="30"/>
      <c r="T769" s="30"/>
      <c r="U769" s="30"/>
      <c r="V769" s="30"/>
      <c r="W769" s="30"/>
      <c r="X769" s="30"/>
      <c r="Y769" s="30"/>
      <c r="Z769" s="30"/>
    </row>
    <row r="770" spans="1:26" ht="21" customHeight="1" x14ac:dyDescent="0.85">
      <c r="A770" s="708"/>
      <c r="B770" s="708"/>
      <c r="C770" s="708"/>
      <c r="D770" s="708"/>
      <c r="E770" s="708"/>
      <c r="F770" s="708"/>
      <c r="G770" s="30"/>
      <c r="H770" s="30"/>
      <c r="I770" s="30"/>
      <c r="J770" s="30"/>
      <c r="K770" s="30"/>
      <c r="L770" s="30"/>
      <c r="M770" s="30"/>
      <c r="N770" s="30"/>
      <c r="O770" s="30"/>
      <c r="P770" s="30"/>
      <c r="Q770" s="30"/>
      <c r="R770" s="30"/>
      <c r="S770" s="30"/>
      <c r="T770" s="30"/>
      <c r="U770" s="30"/>
      <c r="V770" s="30"/>
      <c r="W770" s="30"/>
      <c r="X770" s="30"/>
      <c r="Y770" s="30"/>
      <c r="Z770" s="30"/>
    </row>
    <row r="771" spans="1:26" ht="21" customHeight="1" x14ac:dyDescent="0.85">
      <c r="A771" s="708"/>
      <c r="B771" s="708"/>
      <c r="C771" s="708"/>
      <c r="D771" s="708"/>
      <c r="E771" s="708"/>
      <c r="F771" s="708"/>
      <c r="G771" s="30"/>
      <c r="H771" s="30"/>
      <c r="I771" s="30"/>
      <c r="J771" s="30"/>
      <c r="K771" s="30"/>
      <c r="L771" s="30"/>
      <c r="M771" s="30"/>
      <c r="N771" s="30"/>
      <c r="O771" s="30"/>
      <c r="P771" s="30"/>
      <c r="Q771" s="30"/>
      <c r="R771" s="30"/>
      <c r="S771" s="30"/>
      <c r="T771" s="30"/>
      <c r="U771" s="30"/>
      <c r="V771" s="30"/>
      <c r="W771" s="30"/>
      <c r="X771" s="30"/>
      <c r="Y771" s="30"/>
      <c r="Z771" s="30"/>
    </row>
    <row r="772" spans="1:26" ht="21" customHeight="1" x14ac:dyDescent="0.85">
      <c r="A772" s="708"/>
      <c r="B772" s="708"/>
      <c r="C772" s="708"/>
      <c r="D772" s="708"/>
      <c r="E772" s="708"/>
      <c r="F772" s="708"/>
      <c r="G772" s="30"/>
      <c r="H772" s="30"/>
      <c r="I772" s="30"/>
      <c r="J772" s="30"/>
      <c r="K772" s="30"/>
      <c r="L772" s="30"/>
      <c r="M772" s="30"/>
      <c r="N772" s="30"/>
      <c r="O772" s="30"/>
      <c r="P772" s="30"/>
      <c r="Q772" s="30"/>
      <c r="R772" s="30"/>
      <c r="S772" s="30"/>
      <c r="T772" s="30"/>
      <c r="U772" s="30"/>
      <c r="V772" s="30"/>
      <c r="W772" s="30"/>
      <c r="X772" s="30"/>
      <c r="Y772" s="30"/>
      <c r="Z772" s="30"/>
    </row>
    <row r="773" spans="1:26" ht="21" customHeight="1" x14ac:dyDescent="0.85">
      <c r="A773" s="708"/>
      <c r="B773" s="708"/>
      <c r="C773" s="708"/>
      <c r="D773" s="708"/>
      <c r="E773" s="708"/>
      <c r="F773" s="708"/>
      <c r="G773" s="30"/>
      <c r="H773" s="30"/>
      <c r="I773" s="30"/>
      <c r="J773" s="30"/>
      <c r="K773" s="30"/>
      <c r="L773" s="30"/>
      <c r="M773" s="30"/>
      <c r="N773" s="30"/>
      <c r="O773" s="30"/>
      <c r="P773" s="30"/>
      <c r="Q773" s="30"/>
      <c r="R773" s="30"/>
      <c r="S773" s="30"/>
      <c r="T773" s="30"/>
      <c r="U773" s="30"/>
      <c r="V773" s="30"/>
      <c r="W773" s="30"/>
      <c r="X773" s="30"/>
      <c r="Y773" s="30"/>
      <c r="Z773" s="30"/>
    </row>
    <row r="774" spans="1:26" ht="21" customHeight="1" x14ac:dyDescent="0.85">
      <c r="A774" s="708"/>
      <c r="B774" s="708"/>
      <c r="C774" s="708"/>
      <c r="D774" s="708"/>
      <c r="E774" s="708"/>
      <c r="F774" s="708"/>
      <c r="G774" s="30"/>
      <c r="H774" s="30"/>
      <c r="I774" s="30"/>
      <c r="J774" s="30"/>
      <c r="K774" s="30"/>
      <c r="L774" s="30"/>
      <c r="M774" s="30"/>
      <c r="N774" s="30"/>
      <c r="O774" s="30"/>
      <c r="P774" s="30"/>
      <c r="Q774" s="30"/>
      <c r="R774" s="30"/>
      <c r="S774" s="30"/>
      <c r="T774" s="30"/>
      <c r="U774" s="30"/>
      <c r="V774" s="30"/>
      <c r="W774" s="30"/>
      <c r="X774" s="30"/>
      <c r="Y774" s="30"/>
      <c r="Z774" s="30"/>
    </row>
    <row r="775" spans="1:26" ht="21" customHeight="1" x14ac:dyDescent="0.85">
      <c r="A775" s="708"/>
      <c r="B775" s="708"/>
      <c r="C775" s="708"/>
      <c r="D775" s="708"/>
      <c r="E775" s="708"/>
      <c r="F775" s="708"/>
      <c r="G775" s="30"/>
      <c r="H775" s="30"/>
      <c r="I775" s="30"/>
      <c r="J775" s="30"/>
      <c r="K775" s="30"/>
      <c r="L775" s="30"/>
      <c r="M775" s="30"/>
      <c r="N775" s="30"/>
      <c r="O775" s="30"/>
      <c r="P775" s="30"/>
      <c r="Q775" s="30"/>
      <c r="R775" s="30"/>
      <c r="S775" s="30"/>
      <c r="T775" s="30"/>
      <c r="U775" s="30"/>
      <c r="V775" s="30"/>
      <c r="W775" s="30"/>
      <c r="X775" s="30"/>
      <c r="Y775" s="30"/>
      <c r="Z775" s="30"/>
    </row>
    <row r="776" spans="1:26" ht="21" customHeight="1" x14ac:dyDescent="0.85">
      <c r="A776" s="708"/>
      <c r="B776" s="708"/>
      <c r="C776" s="708"/>
      <c r="D776" s="708"/>
      <c r="E776" s="708"/>
      <c r="F776" s="708"/>
      <c r="G776" s="30"/>
      <c r="H776" s="30"/>
      <c r="I776" s="30"/>
      <c r="J776" s="30"/>
      <c r="K776" s="30"/>
      <c r="L776" s="30"/>
      <c r="M776" s="30"/>
      <c r="N776" s="30"/>
      <c r="O776" s="30"/>
      <c r="P776" s="30"/>
      <c r="Q776" s="30"/>
      <c r="R776" s="30"/>
      <c r="S776" s="30"/>
      <c r="T776" s="30"/>
      <c r="U776" s="30"/>
      <c r="V776" s="30"/>
      <c r="W776" s="30"/>
      <c r="X776" s="30"/>
      <c r="Y776" s="30"/>
      <c r="Z776" s="30"/>
    </row>
    <row r="777" spans="1:26" ht="21" customHeight="1" x14ac:dyDescent="0.85">
      <c r="A777" s="708"/>
      <c r="B777" s="708"/>
      <c r="C777" s="708"/>
      <c r="D777" s="708"/>
      <c r="E777" s="708"/>
      <c r="F777" s="708"/>
      <c r="G777" s="30"/>
      <c r="H777" s="30"/>
      <c r="I777" s="30"/>
      <c r="J777" s="30"/>
      <c r="K777" s="30"/>
      <c r="L777" s="30"/>
      <c r="M777" s="30"/>
      <c r="N777" s="30"/>
      <c r="O777" s="30"/>
      <c r="P777" s="30"/>
      <c r="Q777" s="30"/>
      <c r="R777" s="30"/>
      <c r="S777" s="30"/>
      <c r="T777" s="30"/>
      <c r="U777" s="30"/>
      <c r="V777" s="30"/>
      <c r="W777" s="30"/>
      <c r="X777" s="30"/>
      <c r="Y777" s="30"/>
      <c r="Z777" s="30"/>
    </row>
    <row r="778" spans="1:26" ht="21" customHeight="1" x14ac:dyDescent="0.85">
      <c r="A778" s="708"/>
      <c r="B778" s="708"/>
      <c r="C778" s="708"/>
      <c r="D778" s="708"/>
      <c r="E778" s="708"/>
      <c r="F778" s="708"/>
      <c r="G778" s="30"/>
      <c r="H778" s="30"/>
      <c r="I778" s="30"/>
      <c r="J778" s="30"/>
      <c r="K778" s="30"/>
      <c r="L778" s="30"/>
      <c r="M778" s="30"/>
      <c r="N778" s="30"/>
      <c r="O778" s="30"/>
      <c r="P778" s="30"/>
      <c r="Q778" s="30"/>
      <c r="R778" s="30"/>
      <c r="S778" s="30"/>
      <c r="T778" s="30"/>
      <c r="U778" s="30"/>
      <c r="V778" s="30"/>
      <c r="W778" s="30"/>
      <c r="X778" s="30"/>
      <c r="Y778" s="30"/>
      <c r="Z778" s="30"/>
    </row>
    <row r="779" spans="1:26" ht="21" customHeight="1" x14ac:dyDescent="0.85">
      <c r="A779" s="708"/>
      <c r="B779" s="708"/>
      <c r="C779" s="708"/>
      <c r="D779" s="708"/>
      <c r="E779" s="708"/>
      <c r="F779" s="708"/>
      <c r="G779" s="30"/>
      <c r="H779" s="30"/>
      <c r="I779" s="30"/>
      <c r="J779" s="30"/>
      <c r="K779" s="30"/>
      <c r="L779" s="30"/>
      <c r="M779" s="30"/>
      <c r="N779" s="30"/>
      <c r="O779" s="30"/>
      <c r="P779" s="30"/>
      <c r="Q779" s="30"/>
      <c r="R779" s="30"/>
      <c r="S779" s="30"/>
      <c r="T779" s="30"/>
      <c r="U779" s="30"/>
      <c r="V779" s="30"/>
      <c r="W779" s="30"/>
      <c r="X779" s="30"/>
      <c r="Y779" s="30"/>
      <c r="Z779" s="30"/>
    </row>
    <row r="780" spans="1:26" ht="21" customHeight="1" x14ac:dyDescent="0.85">
      <c r="A780" s="708"/>
      <c r="B780" s="708"/>
      <c r="C780" s="708"/>
      <c r="D780" s="708"/>
      <c r="E780" s="708"/>
      <c r="F780" s="708"/>
      <c r="G780" s="30"/>
      <c r="H780" s="30"/>
      <c r="I780" s="30"/>
      <c r="J780" s="30"/>
      <c r="K780" s="30"/>
      <c r="L780" s="30"/>
      <c r="M780" s="30"/>
      <c r="N780" s="30"/>
      <c r="O780" s="30"/>
      <c r="P780" s="30"/>
      <c r="Q780" s="30"/>
      <c r="R780" s="30"/>
      <c r="S780" s="30"/>
      <c r="T780" s="30"/>
      <c r="U780" s="30"/>
      <c r="V780" s="30"/>
      <c r="W780" s="30"/>
      <c r="X780" s="30"/>
      <c r="Y780" s="30"/>
      <c r="Z780" s="30"/>
    </row>
    <row r="781" spans="1:26" ht="21" customHeight="1" x14ac:dyDescent="0.85">
      <c r="A781" s="708"/>
      <c r="B781" s="708"/>
      <c r="C781" s="708"/>
      <c r="D781" s="708"/>
      <c r="E781" s="708"/>
      <c r="F781" s="708"/>
      <c r="G781" s="30"/>
      <c r="H781" s="30"/>
      <c r="I781" s="30"/>
      <c r="J781" s="30"/>
      <c r="K781" s="30"/>
      <c r="L781" s="30"/>
      <c r="M781" s="30"/>
      <c r="N781" s="30"/>
      <c r="O781" s="30"/>
      <c r="P781" s="30"/>
      <c r="Q781" s="30"/>
      <c r="R781" s="30"/>
      <c r="S781" s="30"/>
      <c r="T781" s="30"/>
      <c r="U781" s="30"/>
      <c r="V781" s="30"/>
      <c r="W781" s="30"/>
      <c r="X781" s="30"/>
      <c r="Y781" s="30"/>
      <c r="Z781" s="30"/>
    </row>
    <row r="782" spans="1:26" ht="21" customHeight="1" x14ac:dyDescent="0.85">
      <c r="A782" s="708"/>
      <c r="B782" s="708"/>
      <c r="C782" s="708"/>
      <c r="D782" s="708"/>
      <c r="E782" s="708"/>
      <c r="F782" s="708"/>
      <c r="G782" s="30"/>
      <c r="H782" s="30"/>
      <c r="I782" s="30"/>
      <c r="J782" s="30"/>
      <c r="K782" s="30"/>
      <c r="L782" s="30"/>
      <c r="M782" s="30"/>
      <c r="N782" s="30"/>
      <c r="O782" s="30"/>
      <c r="P782" s="30"/>
      <c r="Q782" s="30"/>
      <c r="R782" s="30"/>
      <c r="S782" s="30"/>
      <c r="T782" s="30"/>
      <c r="U782" s="30"/>
      <c r="V782" s="30"/>
      <c r="W782" s="30"/>
      <c r="X782" s="30"/>
      <c r="Y782" s="30"/>
      <c r="Z782" s="30"/>
    </row>
    <row r="783" spans="1:26" ht="21" customHeight="1" x14ac:dyDescent="0.85">
      <c r="A783" s="708"/>
      <c r="B783" s="708"/>
      <c r="C783" s="708"/>
      <c r="D783" s="708"/>
      <c r="E783" s="708"/>
      <c r="F783" s="708"/>
      <c r="G783" s="30"/>
      <c r="H783" s="30"/>
      <c r="I783" s="30"/>
      <c r="J783" s="30"/>
      <c r="K783" s="30"/>
      <c r="L783" s="30"/>
      <c r="M783" s="30"/>
      <c r="N783" s="30"/>
      <c r="O783" s="30"/>
      <c r="P783" s="30"/>
      <c r="Q783" s="30"/>
      <c r="R783" s="30"/>
      <c r="S783" s="30"/>
      <c r="T783" s="30"/>
      <c r="U783" s="30"/>
      <c r="V783" s="30"/>
      <c r="W783" s="30"/>
      <c r="X783" s="30"/>
      <c r="Y783" s="30"/>
      <c r="Z783" s="30"/>
    </row>
    <row r="784" spans="1:26" ht="21" customHeight="1" x14ac:dyDescent="0.85">
      <c r="A784" s="708"/>
      <c r="B784" s="708"/>
      <c r="C784" s="708"/>
      <c r="D784" s="708"/>
      <c r="E784" s="708"/>
      <c r="F784" s="708"/>
      <c r="G784" s="30"/>
      <c r="H784" s="30"/>
      <c r="I784" s="30"/>
      <c r="J784" s="30"/>
      <c r="K784" s="30"/>
      <c r="L784" s="30"/>
      <c r="M784" s="30"/>
      <c r="N784" s="30"/>
      <c r="O784" s="30"/>
      <c r="P784" s="30"/>
      <c r="Q784" s="30"/>
      <c r="R784" s="30"/>
      <c r="S784" s="30"/>
      <c r="T784" s="30"/>
      <c r="U784" s="30"/>
      <c r="V784" s="30"/>
      <c r="W784" s="30"/>
      <c r="X784" s="30"/>
      <c r="Y784" s="30"/>
      <c r="Z784" s="30"/>
    </row>
    <row r="785" spans="1:26" ht="21" customHeight="1" x14ac:dyDescent="0.85">
      <c r="A785" s="708"/>
      <c r="B785" s="708"/>
      <c r="C785" s="708"/>
      <c r="D785" s="708"/>
      <c r="E785" s="708"/>
      <c r="F785" s="708"/>
      <c r="G785" s="30"/>
      <c r="H785" s="30"/>
      <c r="I785" s="30"/>
      <c r="J785" s="30"/>
      <c r="K785" s="30"/>
      <c r="L785" s="30"/>
      <c r="M785" s="30"/>
      <c r="N785" s="30"/>
      <c r="O785" s="30"/>
      <c r="P785" s="30"/>
      <c r="Q785" s="30"/>
      <c r="R785" s="30"/>
      <c r="S785" s="30"/>
      <c r="T785" s="30"/>
      <c r="U785" s="30"/>
      <c r="V785" s="30"/>
      <c r="W785" s="30"/>
      <c r="X785" s="30"/>
      <c r="Y785" s="30"/>
      <c r="Z785" s="30"/>
    </row>
    <row r="786" spans="1:26" ht="21" customHeight="1" x14ac:dyDescent="0.85">
      <c r="A786" s="708"/>
      <c r="B786" s="708"/>
      <c r="C786" s="708"/>
      <c r="D786" s="708"/>
      <c r="E786" s="708"/>
      <c r="F786" s="708"/>
      <c r="G786" s="30"/>
      <c r="H786" s="30"/>
      <c r="I786" s="30"/>
      <c r="J786" s="30"/>
      <c r="K786" s="30"/>
      <c r="L786" s="30"/>
      <c r="M786" s="30"/>
      <c r="N786" s="30"/>
      <c r="O786" s="30"/>
      <c r="P786" s="30"/>
      <c r="Q786" s="30"/>
      <c r="R786" s="30"/>
      <c r="S786" s="30"/>
      <c r="T786" s="30"/>
      <c r="U786" s="30"/>
      <c r="V786" s="30"/>
      <c r="W786" s="30"/>
      <c r="X786" s="30"/>
      <c r="Y786" s="30"/>
      <c r="Z786" s="30"/>
    </row>
    <row r="787" spans="1:26" ht="21" customHeight="1" x14ac:dyDescent="0.85">
      <c r="A787" s="708"/>
      <c r="B787" s="708"/>
      <c r="C787" s="708"/>
      <c r="D787" s="708"/>
      <c r="E787" s="708"/>
      <c r="F787" s="708"/>
      <c r="G787" s="30"/>
      <c r="H787" s="30"/>
      <c r="I787" s="30"/>
      <c r="J787" s="30"/>
      <c r="K787" s="30"/>
      <c r="L787" s="30"/>
      <c r="M787" s="30"/>
      <c r="N787" s="30"/>
      <c r="O787" s="30"/>
      <c r="P787" s="30"/>
      <c r="Q787" s="30"/>
      <c r="R787" s="30"/>
      <c r="S787" s="30"/>
      <c r="T787" s="30"/>
      <c r="U787" s="30"/>
      <c r="V787" s="30"/>
      <c r="W787" s="30"/>
      <c r="X787" s="30"/>
      <c r="Y787" s="30"/>
      <c r="Z787" s="30"/>
    </row>
    <row r="788" spans="1:26" ht="21" customHeight="1" x14ac:dyDescent="0.85">
      <c r="A788" s="708"/>
      <c r="B788" s="708"/>
      <c r="C788" s="708"/>
      <c r="D788" s="708"/>
      <c r="E788" s="708"/>
      <c r="F788" s="708"/>
      <c r="G788" s="30"/>
      <c r="H788" s="30"/>
      <c r="I788" s="30"/>
      <c r="J788" s="30"/>
      <c r="K788" s="30"/>
      <c r="L788" s="30"/>
      <c r="M788" s="30"/>
      <c r="N788" s="30"/>
      <c r="O788" s="30"/>
      <c r="P788" s="30"/>
      <c r="Q788" s="30"/>
      <c r="R788" s="30"/>
      <c r="S788" s="30"/>
      <c r="T788" s="30"/>
      <c r="U788" s="30"/>
      <c r="V788" s="30"/>
      <c r="W788" s="30"/>
      <c r="X788" s="30"/>
      <c r="Y788" s="30"/>
      <c r="Z788" s="30"/>
    </row>
    <row r="789" spans="1:26" ht="21" customHeight="1" x14ac:dyDescent="0.85">
      <c r="A789" s="708"/>
      <c r="B789" s="708"/>
      <c r="C789" s="708"/>
      <c r="D789" s="708"/>
      <c r="E789" s="708"/>
      <c r="F789" s="708"/>
      <c r="G789" s="30"/>
      <c r="H789" s="30"/>
      <c r="I789" s="30"/>
      <c r="J789" s="30"/>
      <c r="K789" s="30"/>
      <c r="L789" s="30"/>
      <c r="M789" s="30"/>
      <c r="N789" s="30"/>
      <c r="O789" s="30"/>
      <c r="P789" s="30"/>
      <c r="Q789" s="30"/>
      <c r="R789" s="30"/>
      <c r="S789" s="30"/>
      <c r="T789" s="30"/>
      <c r="U789" s="30"/>
      <c r="V789" s="30"/>
      <c r="W789" s="30"/>
      <c r="X789" s="30"/>
      <c r="Y789" s="30"/>
      <c r="Z789" s="30"/>
    </row>
    <row r="790" spans="1:26" ht="21" customHeight="1" x14ac:dyDescent="0.85">
      <c r="A790" s="708"/>
      <c r="B790" s="708"/>
      <c r="C790" s="708"/>
      <c r="D790" s="708"/>
      <c r="E790" s="708"/>
      <c r="F790" s="708"/>
      <c r="G790" s="30"/>
      <c r="H790" s="30"/>
      <c r="I790" s="30"/>
      <c r="J790" s="30"/>
      <c r="K790" s="30"/>
      <c r="L790" s="30"/>
      <c r="M790" s="30"/>
      <c r="N790" s="30"/>
      <c r="O790" s="30"/>
      <c r="P790" s="30"/>
      <c r="Q790" s="30"/>
      <c r="R790" s="30"/>
      <c r="S790" s="30"/>
      <c r="T790" s="30"/>
      <c r="U790" s="30"/>
      <c r="V790" s="30"/>
      <c r="W790" s="30"/>
      <c r="X790" s="30"/>
      <c r="Y790" s="30"/>
      <c r="Z790" s="30"/>
    </row>
    <row r="791" spans="1:26" ht="21" customHeight="1" x14ac:dyDescent="0.85">
      <c r="A791" s="708"/>
      <c r="B791" s="708"/>
      <c r="C791" s="708"/>
      <c r="D791" s="708"/>
      <c r="E791" s="708"/>
      <c r="F791" s="708"/>
      <c r="G791" s="30"/>
      <c r="H791" s="30"/>
      <c r="I791" s="30"/>
      <c r="J791" s="30"/>
      <c r="K791" s="30"/>
      <c r="L791" s="30"/>
      <c r="M791" s="30"/>
      <c r="N791" s="30"/>
      <c r="O791" s="30"/>
      <c r="P791" s="30"/>
      <c r="Q791" s="30"/>
      <c r="R791" s="30"/>
      <c r="S791" s="30"/>
      <c r="T791" s="30"/>
      <c r="U791" s="30"/>
      <c r="V791" s="30"/>
      <c r="W791" s="30"/>
      <c r="X791" s="30"/>
      <c r="Y791" s="30"/>
      <c r="Z791" s="30"/>
    </row>
    <row r="792" spans="1:26" ht="21" customHeight="1" x14ac:dyDescent="0.85">
      <c r="A792" s="708"/>
      <c r="B792" s="708"/>
      <c r="C792" s="708"/>
      <c r="D792" s="708"/>
      <c r="E792" s="708"/>
      <c r="F792" s="708"/>
      <c r="G792" s="30"/>
      <c r="H792" s="30"/>
      <c r="I792" s="30"/>
      <c r="J792" s="30"/>
      <c r="K792" s="30"/>
      <c r="L792" s="30"/>
      <c r="M792" s="30"/>
      <c r="N792" s="30"/>
      <c r="O792" s="30"/>
      <c r="P792" s="30"/>
      <c r="Q792" s="30"/>
      <c r="R792" s="30"/>
      <c r="S792" s="30"/>
      <c r="T792" s="30"/>
      <c r="U792" s="30"/>
      <c r="V792" s="30"/>
      <c r="W792" s="30"/>
      <c r="X792" s="30"/>
      <c r="Y792" s="30"/>
      <c r="Z792" s="30"/>
    </row>
    <row r="793" spans="1:26" ht="21" customHeight="1" x14ac:dyDescent="0.85">
      <c r="A793" s="708"/>
      <c r="B793" s="708"/>
      <c r="C793" s="708"/>
      <c r="D793" s="708"/>
      <c r="E793" s="708"/>
      <c r="F793" s="708"/>
      <c r="G793" s="30"/>
      <c r="H793" s="30"/>
      <c r="I793" s="30"/>
      <c r="J793" s="30"/>
      <c r="K793" s="30"/>
      <c r="L793" s="30"/>
      <c r="M793" s="30"/>
      <c r="N793" s="30"/>
      <c r="O793" s="30"/>
      <c r="P793" s="30"/>
      <c r="Q793" s="30"/>
      <c r="R793" s="30"/>
      <c r="S793" s="30"/>
      <c r="T793" s="30"/>
      <c r="U793" s="30"/>
      <c r="V793" s="30"/>
      <c r="W793" s="30"/>
      <c r="X793" s="30"/>
      <c r="Y793" s="30"/>
      <c r="Z793" s="30"/>
    </row>
    <row r="794" spans="1:26" ht="21" customHeight="1" x14ac:dyDescent="0.85">
      <c r="A794" s="708"/>
      <c r="B794" s="708"/>
      <c r="C794" s="708"/>
      <c r="D794" s="708"/>
      <c r="E794" s="708"/>
      <c r="F794" s="708"/>
      <c r="G794" s="30"/>
      <c r="H794" s="30"/>
      <c r="I794" s="30"/>
      <c r="J794" s="30"/>
      <c r="K794" s="30"/>
      <c r="L794" s="30"/>
      <c r="M794" s="30"/>
      <c r="N794" s="30"/>
      <c r="O794" s="30"/>
      <c r="P794" s="30"/>
      <c r="Q794" s="30"/>
      <c r="R794" s="30"/>
      <c r="S794" s="30"/>
      <c r="T794" s="30"/>
      <c r="U794" s="30"/>
      <c r="V794" s="30"/>
      <c r="W794" s="30"/>
      <c r="X794" s="30"/>
      <c r="Y794" s="30"/>
      <c r="Z794" s="30"/>
    </row>
    <row r="795" spans="1:26" ht="21" customHeight="1" x14ac:dyDescent="0.85">
      <c r="A795" s="708"/>
      <c r="B795" s="708"/>
      <c r="C795" s="708"/>
      <c r="D795" s="708"/>
      <c r="E795" s="708"/>
      <c r="F795" s="708"/>
      <c r="G795" s="30"/>
      <c r="H795" s="30"/>
      <c r="I795" s="30"/>
      <c r="J795" s="30"/>
      <c r="K795" s="30"/>
      <c r="L795" s="30"/>
      <c r="M795" s="30"/>
      <c r="N795" s="30"/>
      <c r="O795" s="30"/>
      <c r="P795" s="30"/>
      <c r="Q795" s="30"/>
      <c r="R795" s="30"/>
      <c r="S795" s="30"/>
      <c r="T795" s="30"/>
      <c r="U795" s="30"/>
      <c r="V795" s="30"/>
      <c r="W795" s="30"/>
      <c r="X795" s="30"/>
      <c r="Y795" s="30"/>
      <c r="Z795" s="30"/>
    </row>
    <row r="796" spans="1:26" ht="21" customHeight="1" x14ac:dyDescent="0.85">
      <c r="A796" s="708"/>
      <c r="B796" s="708"/>
      <c r="C796" s="708"/>
      <c r="D796" s="708"/>
      <c r="E796" s="708"/>
      <c r="F796" s="708"/>
      <c r="G796" s="30"/>
      <c r="H796" s="30"/>
      <c r="I796" s="30"/>
      <c r="J796" s="30"/>
      <c r="K796" s="30"/>
      <c r="L796" s="30"/>
      <c r="M796" s="30"/>
      <c r="N796" s="30"/>
      <c r="O796" s="30"/>
      <c r="P796" s="30"/>
      <c r="Q796" s="30"/>
      <c r="R796" s="30"/>
      <c r="S796" s="30"/>
      <c r="T796" s="30"/>
      <c r="U796" s="30"/>
      <c r="V796" s="30"/>
      <c r="W796" s="30"/>
      <c r="X796" s="30"/>
      <c r="Y796" s="30"/>
      <c r="Z796" s="30"/>
    </row>
    <row r="797" spans="1:26" ht="21" customHeight="1" x14ac:dyDescent="0.85">
      <c r="A797" s="708"/>
      <c r="B797" s="708"/>
      <c r="C797" s="708"/>
      <c r="D797" s="708"/>
      <c r="E797" s="708"/>
      <c r="F797" s="708"/>
      <c r="G797" s="30"/>
      <c r="H797" s="30"/>
      <c r="I797" s="30"/>
      <c r="J797" s="30"/>
      <c r="K797" s="30"/>
      <c r="L797" s="30"/>
      <c r="M797" s="30"/>
      <c r="N797" s="30"/>
      <c r="O797" s="30"/>
      <c r="P797" s="30"/>
      <c r="Q797" s="30"/>
      <c r="R797" s="30"/>
      <c r="S797" s="30"/>
      <c r="T797" s="30"/>
      <c r="U797" s="30"/>
      <c r="V797" s="30"/>
      <c r="W797" s="30"/>
      <c r="X797" s="30"/>
      <c r="Y797" s="30"/>
      <c r="Z797" s="30"/>
    </row>
    <row r="798" spans="1:26" ht="21" customHeight="1" x14ac:dyDescent="0.85">
      <c r="A798" s="708"/>
      <c r="B798" s="708"/>
      <c r="C798" s="708"/>
      <c r="D798" s="708"/>
      <c r="E798" s="708"/>
      <c r="F798" s="708"/>
      <c r="G798" s="30"/>
      <c r="H798" s="30"/>
      <c r="I798" s="30"/>
      <c r="J798" s="30"/>
      <c r="K798" s="30"/>
      <c r="L798" s="30"/>
      <c r="M798" s="30"/>
      <c r="N798" s="30"/>
      <c r="O798" s="30"/>
      <c r="P798" s="30"/>
      <c r="Q798" s="30"/>
      <c r="R798" s="30"/>
      <c r="S798" s="30"/>
      <c r="T798" s="30"/>
      <c r="U798" s="30"/>
      <c r="V798" s="30"/>
      <c r="W798" s="30"/>
      <c r="X798" s="30"/>
      <c r="Y798" s="30"/>
      <c r="Z798" s="30"/>
    </row>
    <row r="799" spans="1:26" ht="21" customHeight="1" x14ac:dyDescent="0.85">
      <c r="A799" s="708"/>
      <c r="B799" s="708"/>
      <c r="C799" s="708"/>
      <c r="D799" s="708"/>
      <c r="E799" s="708"/>
      <c r="F799" s="708"/>
      <c r="G799" s="30"/>
      <c r="H799" s="30"/>
      <c r="I799" s="30"/>
      <c r="J799" s="30"/>
      <c r="K799" s="30"/>
      <c r="L799" s="30"/>
      <c r="M799" s="30"/>
      <c r="N799" s="30"/>
      <c r="O799" s="30"/>
      <c r="P799" s="30"/>
      <c r="Q799" s="30"/>
      <c r="R799" s="30"/>
      <c r="S799" s="30"/>
      <c r="T799" s="30"/>
      <c r="U799" s="30"/>
      <c r="V799" s="30"/>
      <c r="W799" s="30"/>
      <c r="X799" s="30"/>
      <c r="Y799" s="30"/>
      <c r="Z799" s="30"/>
    </row>
    <row r="800" spans="1:26" ht="21" customHeight="1" x14ac:dyDescent="0.85">
      <c r="A800" s="708"/>
      <c r="B800" s="708"/>
      <c r="C800" s="708"/>
      <c r="D800" s="708"/>
      <c r="E800" s="708"/>
      <c r="F800" s="708"/>
      <c r="G800" s="30"/>
      <c r="H800" s="30"/>
      <c r="I800" s="30"/>
      <c r="J800" s="30"/>
      <c r="K800" s="30"/>
      <c r="L800" s="30"/>
      <c r="M800" s="30"/>
      <c r="N800" s="30"/>
      <c r="O800" s="30"/>
      <c r="P800" s="30"/>
      <c r="Q800" s="30"/>
      <c r="R800" s="30"/>
      <c r="S800" s="30"/>
      <c r="T800" s="30"/>
      <c r="U800" s="30"/>
      <c r="V800" s="30"/>
      <c r="W800" s="30"/>
      <c r="X800" s="30"/>
      <c r="Y800" s="30"/>
      <c r="Z800" s="30"/>
    </row>
    <row r="801" spans="1:26" ht="21" customHeight="1" x14ac:dyDescent="0.85">
      <c r="A801" s="708"/>
      <c r="B801" s="708"/>
      <c r="C801" s="708"/>
      <c r="D801" s="708"/>
      <c r="E801" s="708"/>
      <c r="F801" s="708"/>
      <c r="G801" s="30"/>
      <c r="H801" s="30"/>
      <c r="I801" s="30"/>
      <c r="J801" s="30"/>
      <c r="K801" s="30"/>
      <c r="L801" s="30"/>
      <c r="M801" s="30"/>
      <c r="N801" s="30"/>
      <c r="O801" s="30"/>
      <c r="P801" s="30"/>
      <c r="Q801" s="30"/>
      <c r="R801" s="30"/>
      <c r="S801" s="30"/>
      <c r="T801" s="30"/>
      <c r="U801" s="30"/>
      <c r="V801" s="30"/>
      <c r="W801" s="30"/>
      <c r="X801" s="30"/>
      <c r="Y801" s="30"/>
      <c r="Z801" s="30"/>
    </row>
    <row r="802" spans="1:26" ht="21" customHeight="1" x14ac:dyDescent="0.85">
      <c r="A802" s="708"/>
      <c r="B802" s="708"/>
      <c r="C802" s="708"/>
      <c r="D802" s="708"/>
      <c r="E802" s="708"/>
      <c r="F802" s="708"/>
      <c r="G802" s="30"/>
      <c r="H802" s="30"/>
      <c r="I802" s="30"/>
      <c r="J802" s="30"/>
      <c r="K802" s="30"/>
      <c r="L802" s="30"/>
      <c r="M802" s="30"/>
      <c r="N802" s="30"/>
      <c r="O802" s="30"/>
      <c r="P802" s="30"/>
      <c r="Q802" s="30"/>
      <c r="R802" s="30"/>
      <c r="S802" s="30"/>
      <c r="T802" s="30"/>
      <c r="U802" s="30"/>
      <c r="V802" s="30"/>
      <c r="W802" s="30"/>
      <c r="X802" s="30"/>
      <c r="Y802" s="30"/>
      <c r="Z802" s="30"/>
    </row>
    <row r="803" spans="1:26" ht="21" customHeight="1" x14ac:dyDescent="0.85">
      <c r="A803" s="708"/>
      <c r="B803" s="708"/>
      <c r="C803" s="708"/>
      <c r="D803" s="708"/>
      <c r="E803" s="708"/>
      <c r="F803" s="708"/>
      <c r="G803" s="30"/>
      <c r="H803" s="30"/>
      <c r="I803" s="30"/>
      <c r="J803" s="30"/>
      <c r="K803" s="30"/>
      <c r="L803" s="30"/>
      <c r="M803" s="30"/>
      <c r="N803" s="30"/>
      <c r="O803" s="30"/>
      <c r="P803" s="30"/>
      <c r="Q803" s="30"/>
      <c r="R803" s="30"/>
      <c r="S803" s="30"/>
      <c r="T803" s="30"/>
      <c r="U803" s="30"/>
      <c r="V803" s="30"/>
      <c r="W803" s="30"/>
      <c r="X803" s="30"/>
      <c r="Y803" s="30"/>
      <c r="Z803" s="30"/>
    </row>
    <row r="804" spans="1:26" ht="21" customHeight="1" x14ac:dyDescent="0.85">
      <c r="A804" s="708"/>
      <c r="B804" s="708"/>
      <c r="C804" s="708"/>
      <c r="D804" s="708"/>
      <c r="E804" s="708"/>
      <c r="F804" s="708"/>
      <c r="G804" s="30"/>
      <c r="H804" s="30"/>
      <c r="I804" s="30"/>
      <c r="J804" s="30"/>
      <c r="K804" s="30"/>
      <c r="L804" s="30"/>
      <c r="M804" s="30"/>
      <c r="N804" s="30"/>
      <c r="O804" s="30"/>
      <c r="P804" s="30"/>
      <c r="Q804" s="30"/>
      <c r="R804" s="30"/>
      <c r="S804" s="30"/>
      <c r="T804" s="30"/>
      <c r="U804" s="30"/>
      <c r="V804" s="30"/>
      <c r="W804" s="30"/>
      <c r="X804" s="30"/>
      <c r="Y804" s="30"/>
      <c r="Z804" s="30"/>
    </row>
    <row r="805" spans="1:26" ht="21" customHeight="1" x14ac:dyDescent="0.85">
      <c r="A805" s="708"/>
      <c r="B805" s="708"/>
      <c r="C805" s="708"/>
      <c r="D805" s="708"/>
      <c r="E805" s="708"/>
      <c r="F805" s="708"/>
      <c r="G805" s="30"/>
      <c r="H805" s="30"/>
      <c r="I805" s="30"/>
      <c r="J805" s="30"/>
      <c r="K805" s="30"/>
      <c r="L805" s="30"/>
      <c r="M805" s="30"/>
      <c r="N805" s="30"/>
      <c r="O805" s="30"/>
      <c r="P805" s="30"/>
      <c r="Q805" s="30"/>
      <c r="R805" s="30"/>
      <c r="S805" s="30"/>
      <c r="T805" s="30"/>
      <c r="U805" s="30"/>
      <c r="V805" s="30"/>
      <c r="W805" s="30"/>
      <c r="X805" s="30"/>
      <c r="Y805" s="30"/>
      <c r="Z805" s="30"/>
    </row>
    <row r="806" spans="1:26" ht="21" customHeight="1" x14ac:dyDescent="0.85">
      <c r="A806" s="708"/>
      <c r="B806" s="708"/>
      <c r="C806" s="708"/>
      <c r="D806" s="708"/>
      <c r="E806" s="708"/>
      <c r="F806" s="708"/>
      <c r="G806" s="30"/>
      <c r="H806" s="30"/>
      <c r="I806" s="30"/>
      <c r="J806" s="30"/>
      <c r="K806" s="30"/>
      <c r="L806" s="30"/>
      <c r="M806" s="30"/>
      <c r="N806" s="30"/>
      <c r="O806" s="30"/>
      <c r="P806" s="30"/>
      <c r="Q806" s="30"/>
      <c r="R806" s="30"/>
      <c r="S806" s="30"/>
      <c r="T806" s="30"/>
      <c r="U806" s="30"/>
      <c r="V806" s="30"/>
      <c r="W806" s="30"/>
      <c r="X806" s="30"/>
      <c r="Y806" s="30"/>
      <c r="Z806" s="30"/>
    </row>
    <row r="807" spans="1:26" ht="21" customHeight="1" x14ac:dyDescent="0.85">
      <c r="A807" s="708"/>
      <c r="B807" s="708"/>
      <c r="C807" s="708"/>
      <c r="D807" s="708"/>
      <c r="E807" s="708"/>
      <c r="F807" s="708"/>
      <c r="G807" s="30"/>
      <c r="H807" s="30"/>
      <c r="I807" s="30"/>
      <c r="J807" s="30"/>
      <c r="K807" s="30"/>
      <c r="L807" s="30"/>
      <c r="M807" s="30"/>
      <c r="N807" s="30"/>
      <c r="O807" s="30"/>
      <c r="P807" s="30"/>
      <c r="Q807" s="30"/>
      <c r="R807" s="30"/>
      <c r="S807" s="30"/>
      <c r="T807" s="30"/>
      <c r="U807" s="30"/>
      <c r="V807" s="30"/>
      <c r="W807" s="30"/>
      <c r="X807" s="30"/>
      <c r="Y807" s="30"/>
      <c r="Z807" s="30"/>
    </row>
    <row r="808" spans="1:26" ht="21" customHeight="1" x14ac:dyDescent="0.85">
      <c r="A808" s="708"/>
      <c r="B808" s="708"/>
      <c r="C808" s="708"/>
      <c r="D808" s="708"/>
      <c r="E808" s="708"/>
      <c r="F808" s="708"/>
      <c r="G808" s="30"/>
      <c r="H808" s="30"/>
      <c r="I808" s="30"/>
      <c r="J808" s="30"/>
      <c r="K808" s="30"/>
      <c r="L808" s="30"/>
      <c r="M808" s="30"/>
      <c r="N808" s="30"/>
      <c r="O808" s="30"/>
      <c r="P808" s="30"/>
      <c r="Q808" s="30"/>
      <c r="R808" s="30"/>
      <c r="S808" s="30"/>
      <c r="T808" s="30"/>
      <c r="U808" s="30"/>
      <c r="V808" s="30"/>
      <c r="W808" s="30"/>
      <c r="X808" s="30"/>
      <c r="Y808" s="30"/>
      <c r="Z808" s="30"/>
    </row>
    <row r="809" spans="1:26" ht="21" customHeight="1" x14ac:dyDescent="0.85">
      <c r="A809" s="708"/>
      <c r="B809" s="708"/>
      <c r="C809" s="708"/>
      <c r="D809" s="708"/>
      <c r="E809" s="708"/>
      <c r="F809" s="708"/>
      <c r="G809" s="30"/>
      <c r="H809" s="30"/>
      <c r="I809" s="30"/>
      <c r="J809" s="30"/>
      <c r="K809" s="30"/>
      <c r="L809" s="30"/>
      <c r="M809" s="30"/>
      <c r="N809" s="30"/>
      <c r="O809" s="30"/>
      <c r="P809" s="30"/>
      <c r="Q809" s="30"/>
      <c r="R809" s="30"/>
      <c r="S809" s="30"/>
      <c r="T809" s="30"/>
      <c r="U809" s="30"/>
      <c r="V809" s="30"/>
      <c r="W809" s="30"/>
      <c r="X809" s="30"/>
      <c r="Y809" s="30"/>
      <c r="Z809" s="30"/>
    </row>
    <row r="810" spans="1:26" ht="21" customHeight="1" x14ac:dyDescent="0.85">
      <c r="A810" s="708"/>
      <c r="B810" s="708"/>
      <c r="C810" s="708"/>
      <c r="D810" s="708"/>
      <c r="E810" s="708"/>
      <c r="F810" s="708"/>
      <c r="G810" s="30"/>
      <c r="H810" s="30"/>
      <c r="I810" s="30"/>
      <c r="J810" s="30"/>
      <c r="K810" s="30"/>
      <c r="L810" s="30"/>
      <c r="M810" s="30"/>
      <c r="N810" s="30"/>
      <c r="O810" s="30"/>
      <c r="P810" s="30"/>
      <c r="Q810" s="30"/>
      <c r="R810" s="30"/>
      <c r="S810" s="30"/>
      <c r="T810" s="30"/>
      <c r="U810" s="30"/>
      <c r="V810" s="30"/>
      <c r="W810" s="30"/>
      <c r="X810" s="30"/>
      <c r="Y810" s="30"/>
      <c r="Z810" s="30"/>
    </row>
    <row r="811" spans="1:26" ht="21" customHeight="1" x14ac:dyDescent="0.85">
      <c r="A811" s="708"/>
      <c r="B811" s="708"/>
      <c r="C811" s="708"/>
      <c r="D811" s="708"/>
      <c r="E811" s="708"/>
      <c r="F811" s="708"/>
      <c r="G811" s="30"/>
      <c r="H811" s="30"/>
      <c r="I811" s="30"/>
      <c r="J811" s="30"/>
      <c r="K811" s="30"/>
      <c r="L811" s="30"/>
      <c r="M811" s="30"/>
      <c r="N811" s="30"/>
      <c r="O811" s="30"/>
      <c r="P811" s="30"/>
      <c r="Q811" s="30"/>
      <c r="R811" s="30"/>
      <c r="S811" s="30"/>
      <c r="T811" s="30"/>
      <c r="U811" s="30"/>
      <c r="V811" s="30"/>
      <c r="W811" s="30"/>
      <c r="X811" s="30"/>
      <c r="Y811" s="30"/>
      <c r="Z811" s="30"/>
    </row>
    <row r="812" spans="1:26" ht="21" customHeight="1" x14ac:dyDescent="0.85">
      <c r="A812" s="708"/>
      <c r="B812" s="708"/>
      <c r="C812" s="708"/>
      <c r="D812" s="708"/>
      <c r="E812" s="708"/>
      <c r="F812" s="708"/>
      <c r="G812" s="30"/>
      <c r="H812" s="30"/>
      <c r="I812" s="30"/>
      <c r="J812" s="30"/>
      <c r="K812" s="30"/>
      <c r="L812" s="30"/>
      <c r="M812" s="30"/>
      <c r="N812" s="30"/>
      <c r="O812" s="30"/>
      <c r="P812" s="30"/>
      <c r="Q812" s="30"/>
      <c r="R812" s="30"/>
      <c r="S812" s="30"/>
      <c r="T812" s="30"/>
      <c r="U812" s="30"/>
      <c r="V812" s="30"/>
      <c r="W812" s="30"/>
      <c r="X812" s="30"/>
      <c r="Y812" s="30"/>
      <c r="Z812" s="30"/>
    </row>
    <row r="813" spans="1:26" ht="21" customHeight="1" x14ac:dyDescent="0.85">
      <c r="A813" s="708"/>
      <c r="B813" s="708"/>
      <c r="C813" s="708"/>
      <c r="D813" s="708"/>
      <c r="E813" s="708"/>
      <c r="F813" s="708"/>
      <c r="G813" s="30"/>
      <c r="H813" s="30"/>
      <c r="I813" s="30"/>
      <c r="J813" s="30"/>
      <c r="K813" s="30"/>
      <c r="L813" s="30"/>
      <c r="M813" s="30"/>
      <c r="N813" s="30"/>
      <c r="O813" s="30"/>
      <c r="P813" s="30"/>
      <c r="Q813" s="30"/>
      <c r="R813" s="30"/>
      <c r="S813" s="30"/>
      <c r="T813" s="30"/>
      <c r="U813" s="30"/>
      <c r="V813" s="30"/>
      <c r="W813" s="30"/>
      <c r="X813" s="30"/>
      <c r="Y813" s="30"/>
      <c r="Z813" s="30"/>
    </row>
    <row r="814" spans="1:26" ht="21" customHeight="1" x14ac:dyDescent="0.85">
      <c r="A814" s="708"/>
      <c r="B814" s="708"/>
      <c r="C814" s="708"/>
      <c r="D814" s="708"/>
      <c r="E814" s="708"/>
      <c r="F814" s="708"/>
      <c r="G814" s="30"/>
      <c r="H814" s="30"/>
      <c r="I814" s="30"/>
      <c r="J814" s="30"/>
      <c r="K814" s="30"/>
      <c r="L814" s="30"/>
      <c r="M814" s="30"/>
      <c r="N814" s="30"/>
      <c r="O814" s="30"/>
      <c r="P814" s="30"/>
      <c r="Q814" s="30"/>
      <c r="R814" s="30"/>
      <c r="S814" s="30"/>
      <c r="T814" s="30"/>
      <c r="U814" s="30"/>
      <c r="V814" s="30"/>
      <c r="W814" s="30"/>
      <c r="X814" s="30"/>
      <c r="Y814" s="30"/>
      <c r="Z814" s="30"/>
    </row>
    <row r="815" spans="1:26" ht="21" customHeight="1" x14ac:dyDescent="0.85">
      <c r="A815" s="708"/>
      <c r="B815" s="708"/>
      <c r="C815" s="708"/>
      <c r="D815" s="708"/>
      <c r="E815" s="708"/>
      <c r="F815" s="708"/>
      <c r="G815" s="30"/>
      <c r="H815" s="30"/>
      <c r="I815" s="30"/>
      <c r="J815" s="30"/>
      <c r="K815" s="30"/>
      <c r="L815" s="30"/>
      <c r="M815" s="30"/>
      <c r="N815" s="30"/>
      <c r="O815" s="30"/>
      <c r="P815" s="30"/>
      <c r="Q815" s="30"/>
      <c r="R815" s="30"/>
      <c r="S815" s="30"/>
      <c r="T815" s="30"/>
      <c r="U815" s="30"/>
      <c r="V815" s="30"/>
      <c r="W815" s="30"/>
      <c r="X815" s="30"/>
      <c r="Y815" s="30"/>
      <c r="Z815" s="30"/>
    </row>
    <row r="816" spans="1:26" ht="21" customHeight="1" x14ac:dyDescent="0.85">
      <c r="A816" s="708"/>
      <c r="B816" s="708"/>
      <c r="C816" s="708"/>
      <c r="D816" s="708"/>
      <c r="E816" s="708"/>
      <c r="F816" s="708"/>
      <c r="G816" s="30"/>
      <c r="H816" s="30"/>
      <c r="I816" s="30"/>
      <c r="J816" s="30"/>
      <c r="K816" s="30"/>
      <c r="L816" s="30"/>
      <c r="M816" s="30"/>
      <c r="N816" s="30"/>
      <c r="O816" s="30"/>
      <c r="P816" s="30"/>
      <c r="Q816" s="30"/>
      <c r="R816" s="30"/>
      <c r="S816" s="30"/>
      <c r="T816" s="30"/>
      <c r="U816" s="30"/>
      <c r="V816" s="30"/>
      <c r="W816" s="30"/>
      <c r="X816" s="30"/>
      <c r="Y816" s="30"/>
      <c r="Z816" s="30"/>
    </row>
    <row r="817" spans="1:26" ht="21" customHeight="1" x14ac:dyDescent="0.85">
      <c r="A817" s="708"/>
      <c r="B817" s="708"/>
      <c r="C817" s="708"/>
      <c r="D817" s="708"/>
      <c r="E817" s="708"/>
      <c r="F817" s="708"/>
      <c r="G817" s="30"/>
      <c r="H817" s="30"/>
      <c r="I817" s="30"/>
      <c r="J817" s="30"/>
      <c r="K817" s="30"/>
      <c r="L817" s="30"/>
      <c r="M817" s="30"/>
      <c r="N817" s="30"/>
      <c r="O817" s="30"/>
      <c r="P817" s="30"/>
      <c r="Q817" s="30"/>
      <c r="R817" s="30"/>
      <c r="S817" s="30"/>
      <c r="T817" s="30"/>
      <c r="U817" s="30"/>
      <c r="V817" s="30"/>
      <c r="W817" s="30"/>
      <c r="X817" s="30"/>
      <c r="Y817" s="30"/>
      <c r="Z817" s="30"/>
    </row>
    <row r="818" spans="1:26" ht="21" customHeight="1" x14ac:dyDescent="0.85">
      <c r="A818" s="708"/>
      <c r="B818" s="708"/>
      <c r="C818" s="708"/>
      <c r="D818" s="708"/>
      <c r="E818" s="708"/>
      <c r="F818" s="708"/>
      <c r="G818" s="30"/>
      <c r="H818" s="30"/>
      <c r="I818" s="30"/>
      <c r="J818" s="30"/>
      <c r="K818" s="30"/>
      <c r="L818" s="30"/>
      <c r="M818" s="30"/>
      <c r="N818" s="30"/>
      <c r="O818" s="30"/>
      <c r="P818" s="30"/>
      <c r="Q818" s="30"/>
      <c r="R818" s="30"/>
      <c r="S818" s="30"/>
      <c r="T818" s="30"/>
      <c r="U818" s="30"/>
      <c r="V818" s="30"/>
      <c r="W818" s="30"/>
      <c r="X818" s="30"/>
      <c r="Y818" s="30"/>
      <c r="Z818" s="30"/>
    </row>
    <row r="819" spans="1:26" ht="21" customHeight="1" x14ac:dyDescent="0.85">
      <c r="A819" s="708"/>
      <c r="B819" s="708"/>
      <c r="C819" s="708"/>
      <c r="D819" s="708"/>
      <c r="E819" s="708"/>
      <c r="F819" s="708"/>
      <c r="G819" s="30"/>
      <c r="H819" s="30"/>
      <c r="I819" s="30"/>
      <c r="J819" s="30"/>
      <c r="K819" s="30"/>
      <c r="L819" s="30"/>
      <c r="M819" s="30"/>
      <c r="N819" s="30"/>
      <c r="O819" s="30"/>
      <c r="P819" s="30"/>
      <c r="Q819" s="30"/>
      <c r="R819" s="30"/>
      <c r="S819" s="30"/>
      <c r="T819" s="30"/>
      <c r="U819" s="30"/>
      <c r="V819" s="30"/>
      <c r="W819" s="30"/>
      <c r="X819" s="30"/>
      <c r="Y819" s="30"/>
      <c r="Z819" s="30"/>
    </row>
    <row r="820" spans="1:26" ht="21" customHeight="1" x14ac:dyDescent="0.85">
      <c r="A820" s="708"/>
      <c r="B820" s="708"/>
      <c r="C820" s="708"/>
      <c r="D820" s="708"/>
      <c r="E820" s="708"/>
      <c r="F820" s="708"/>
      <c r="G820" s="30"/>
      <c r="H820" s="30"/>
      <c r="I820" s="30"/>
      <c r="J820" s="30"/>
      <c r="K820" s="30"/>
      <c r="L820" s="30"/>
      <c r="M820" s="30"/>
      <c r="N820" s="30"/>
      <c r="O820" s="30"/>
      <c r="P820" s="30"/>
      <c r="Q820" s="30"/>
      <c r="R820" s="30"/>
      <c r="S820" s="30"/>
      <c r="T820" s="30"/>
      <c r="U820" s="30"/>
      <c r="V820" s="30"/>
      <c r="W820" s="30"/>
      <c r="X820" s="30"/>
      <c r="Y820" s="30"/>
      <c r="Z820" s="30"/>
    </row>
    <row r="821" spans="1:26" ht="21" customHeight="1" x14ac:dyDescent="0.85">
      <c r="A821" s="708"/>
      <c r="B821" s="708"/>
      <c r="C821" s="708"/>
      <c r="D821" s="708"/>
      <c r="E821" s="708"/>
      <c r="F821" s="708"/>
      <c r="G821" s="30"/>
      <c r="H821" s="30"/>
      <c r="I821" s="30"/>
      <c r="J821" s="30"/>
      <c r="K821" s="30"/>
      <c r="L821" s="30"/>
      <c r="M821" s="30"/>
      <c r="N821" s="30"/>
      <c r="O821" s="30"/>
      <c r="P821" s="30"/>
      <c r="Q821" s="30"/>
      <c r="R821" s="30"/>
      <c r="S821" s="30"/>
      <c r="T821" s="30"/>
      <c r="U821" s="30"/>
      <c r="V821" s="30"/>
      <c r="W821" s="30"/>
      <c r="X821" s="30"/>
      <c r="Y821" s="30"/>
      <c r="Z821" s="30"/>
    </row>
    <row r="822" spans="1:26" ht="21" customHeight="1" x14ac:dyDescent="0.85">
      <c r="A822" s="708"/>
      <c r="B822" s="708"/>
      <c r="C822" s="708"/>
      <c r="D822" s="708"/>
      <c r="E822" s="708"/>
      <c r="F822" s="708"/>
      <c r="G822" s="30"/>
      <c r="H822" s="30"/>
      <c r="I822" s="30"/>
      <c r="J822" s="30"/>
      <c r="K822" s="30"/>
      <c r="L822" s="30"/>
      <c r="M822" s="30"/>
      <c r="N822" s="30"/>
      <c r="O822" s="30"/>
      <c r="P822" s="30"/>
      <c r="Q822" s="30"/>
      <c r="R822" s="30"/>
      <c r="S822" s="30"/>
      <c r="T822" s="30"/>
      <c r="U822" s="30"/>
      <c r="V822" s="30"/>
      <c r="W822" s="30"/>
      <c r="X822" s="30"/>
      <c r="Y822" s="30"/>
      <c r="Z822" s="30"/>
    </row>
    <row r="823" spans="1:26" ht="21" customHeight="1" x14ac:dyDescent="0.85">
      <c r="A823" s="708"/>
      <c r="B823" s="708"/>
      <c r="C823" s="708"/>
      <c r="D823" s="708"/>
      <c r="E823" s="708"/>
      <c r="F823" s="708"/>
      <c r="G823" s="30"/>
      <c r="H823" s="30"/>
      <c r="I823" s="30"/>
      <c r="J823" s="30"/>
      <c r="K823" s="30"/>
      <c r="L823" s="30"/>
      <c r="M823" s="30"/>
      <c r="N823" s="30"/>
      <c r="O823" s="30"/>
      <c r="P823" s="30"/>
      <c r="Q823" s="30"/>
      <c r="R823" s="30"/>
      <c r="S823" s="30"/>
      <c r="T823" s="30"/>
      <c r="U823" s="30"/>
      <c r="V823" s="30"/>
      <c r="W823" s="30"/>
      <c r="X823" s="30"/>
      <c r="Y823" s="30"/>
      <c r="Z823" s="30"/>
    </row>
    <row r="824" spans="1:26" ht="21" customHeight="1" x14ac:dyDescent="0.85">
      <c r="A824" s="708"/>
      <c r="B824" s="708"/>
      <c r="C824" s="708"/>
      <c r="D824" s="708"/>
      <c r="E824" s="708"/>
      <c r="F824" s="708"/>
      <c r="G824" s="30"/>
      <c r="H824" s="30"/>
      <c r="I824" s="30"/>
      <c r="J824" s="30"/>
      <c r="K824" s="30"/>
      <c r="L824" s="30"/>
      <c r="M824" s="30"/>
      <c r="N824" s="30"/>
      <c r="O824" s="30"/>
      <c r="P824" s="30"/>
      <c r="Q824" s="30"/>
      <c r="R824" s="30"/>
      <c r="S824" s="30"/>
      <c r="T824" s="30"/>
      <c r="U824" s="30"/>
      <c r="V824" s="30"/>
      <c r="W824" s="30"/>
      <c r="X824" s="30"/>
      <c r="Y824" s="30"/>
      <c r="Z824" s="30"/>
    </row>
    <row r="825" spans="1:26" ht="21" customHeight="1" x14ac:dyDescent="0.85">
      <c r="A825" s="708"/>
      <c r="B825" s="708"/>
      <c r="C825" s="708"/>
      <c r="D825" s="708"/>
      <c r="E825" s="708"/>
      <c r="F825" s="708"/>
      <c r="G825" s="30"/>
      <c r="H825" s="30"/>
      <c r="I825" s="30"/>
      <c r="J825" s="30"/>
      <c r="K825" s="30"/>
      <c r="L825" s="30"/>
      <c r="M825" s="30"/>
      <c r="N825" s="30"/>
      <c r="O825" s="30"/>
      <c r="P825" s="30"/>
      <c r="Q825" s="30"/>
      <c r="R825" s="30"/>
      <c r="S825" s="30"/>
      <c r="T825" s="30"/>
      <c r="U825" s="30"/>
      <c r="V825" s="30"/>
      <c r="W825" s="30"/>
      <c r="X825" s="30"/>
      <c r="Y825" s="30"/>
      <c r="Z825" s="30"/>
    </row>
    <row r="826" spans="1:26" ht="21" customHeight="1" x14ac:dyDescent="0.85">
      <c r="A826" s="708"/>
      <c r="B826" s="708"/>
      <c r="C826" s="708"/>
      <c r="D826" s="708"/>
      <c r="E826" s="708"/>
      <c r="F826" s="708"/>
      <c r="G826" s="30"/>
      <c r="H826" s="30"/>
      <c r="I826" s="30"/>
      <c r="J826" s="30"/>
      <c r="K826" s="30"/>
      <c r="L826" s="30"/>
      <c r="M826" s="30"/>
      <c r="N826" s="30"/>
      <c r="O826" s="30"/>
      <c r="P826" s="30"/>
      <c r="Q826" s="30"/>
      <c r="R826" s="30"/>
      <c r="S826" s="30"/>
      <c r="T826" s="30"/>
      <c r="U826" s="30"/>
      <c r="V826" s="30"/>
      <c r="W826" s="30"/>
      <c r="X826" s="30"/>
      <c r="Y826" s="30"/>
      <c r="Z826" s="30"/>
    </row>
    <row r="827" spans="1:26" ht="21" customHeight="1" x14ac:dyDescent="0.85">
      <c r="A827" s="708"/>
      <c r="B827" s="708"/>
      <c r="C827" s="708"/>
      <c r="D827" s="708"/>
      <c r="E827" s="708"/>
      <c r="F827" s="708"/>
      <c r="G827" s="30"/>
      <c r="H827" s="30"/>
      <c r="I827" s="30"/>
      <c r="J827" s="30"/>
      <c r="K827" s="30"/>
      <c r="L827" s="30"/>
      <c r="M827" s="30"/>
      <c r="N827" s="30"/>
      <c r="O827" s="30"/>
      <c r="P827" s="30"/>
      <c r="Q827" s="30"/>
      <c r="R827" s="30"/>
      <c r="S827" s="30"/>
      <c r="T827" s="30"/>
      <c r="U827" s="30"/>
      <c r="V827" s="30"/>
      <c r="W827" s="30"/>
      <c r="X827" s="30"/>
      <c r="Y827" s="30"/>
      <c r="Z827" s="30"/>
    </row>
    <row r="828" spans="1:26" ht="21" customHeight="1" x14ac:dyDescent="0.85">
      <c r="A828" s="708"/>
      <c r="B828" s="708"/>
      <c r="C828" s="708"/>
      <c r="D828" s="708"/>
      <c r="E828" s="708"/>
      <c r="F828" s="708"/>
      <c r="G828" s="30"/>
      <c r="H828" s="30"/>
      <c r="I828" s="30"/>
      <c r="J828" s="30"/>
      <c r="K828" s="30"/>
      <c r="L828" s="30"/>
      <c r="M828" s="30"/>
      <c r="N828" s="30"/>
      <c r="O828" s="30"/>
      <c r="P828" s="30"/>
      <c r="Q828" s="30"/>
      <c r="R828" s="30"/>
      <c r="S828" s="30"/>
      <c r="T828" s="30"/>
      <c r="U828" s="30"/>
      <c r="V828" s="30"/>
      <c r="W828" s="30"/>
      <c r="X828" s="30"/>
      <c r="Y828" s="30"/>
      <c r="Z828" s="30"/>
    </row>
    <row r="829" spans="1:26" ht="21" customHeight="1" x14ac:dyDescent="0.85">
      <c r="A829" s="708"/>
      <c r="B829" s="708"/>
      <c r="C829" s="708"/>
      <c r="D829" s="708"/>
      <c r="E829" s="708"/>
      <c r="F829" s="708"/>
      <c r="G829" s="30"/>
      <c r="H829" s="30"/>
      <c r="I829" s="30"/>
      <c r="J829" s="30"/>
      <c r="K829" s="30"/>
      <c r="L829" s="30"/>
      <c r="M829" s="30"/>
      <c r="N829" s="30"/>
      <c r="O829" s="30"/>
      <c r="P829" s="30"/>
      <c r="Q829" s="30"/>
      <c r="R829" s="30"/>
      <c r="S829" s="30"/>
      <c r="T829" s="30"/>
      <c r="U829" s="30"/>
      <c r="V829" s="30"/>
      <c r="W829" s="30"/>
      <c r="X829" s="30"/>
      <c r="Y829" s="30"/>
      <c r="Z829" s="30"/>
    </row>
    <row r="830" spans="1:26" ht="21" customHeight="1" x14ac:dyDescent="0.85">
      <c r="A830" s="708"/>
      <c r="B830" s="708"/>
      <c r="C830" s="708"/>
      <c r="D830" s="708"/>
      <c r="E830" s="708"/>
      <c r="F830" s="708"/>
      <c r="G830" s="30"/>
      <c r="H830" s="30"/>
      <c r="I830" s="30"/>
      <c r="J830" s="30"/>
      <c r="K830" s="30"/>
      <c r="L830" s="30"/>
      <c r="M830" s="30"/>
      <c r="N830" s="30"/>
      <c r="O830" s="30"/>
      <c r="P830" s="30"/>
      <c r="Q830" s="30"/>
      <c r="R830" s="30"/>
      <c r="S830" s="30"/>
      <c r="T830" s="30"/>
      <c r="U830" s="30"/>
      <c r="V830" s="30"/>
      <c r="W830" s="30"/>
      <c r="X830" s="30"/>
      <c r="Y830" s="30"/>
      <c r="Z830" s="30"/>
    </row>
    <row r="831" spans="1:26" ht="21" customHeight="1" x14ac:dyDescent="0.85">
      <c r="A831" s="708"/>
      <c r="B831" s="708"/>
      <c r="C831" s="708"/>
      <c r="D831" s="708"/>
      <c r="E831" s="708"/>
      <c r="F831" s="708"/>
      <c r="G831" s="30"/>
      <c r="H831" s="30"/>
      <c r="I831" s="30"/>
      <c r="J831" s="30"/>
      <c r="K831" s="30"/>
      <c r="L831" s="30"/>
      <c r="M831" s="30"/>
      <c r="N831" s="30"/>
      <c r="O831" s="30"/>
      <c r="P831" s="30"/>
      <c r="Q831" s="30"/>
      <c r="R831" s="30"/>
      <c r="S831" s="30"/>
      <c r="T831" s="30"/>
      <c r="U831" s="30"/>
      <c r="V831" s="30"/>
      <c r="W831" s="30"/>
      <c r="X831" s="30"/>
      <c r="Y831" s="30"/>
      <c r="Z831" s="30"/>
    </row>
    <row r="832" spans="1:26" ht="21" customHeight="1" x14ac:dyDescent="0.85">
      <c r="A832" s="708"/>
      <c r="B832" s="708"/>
      <c r="C832" s="708"/>
      <c r="D832" s="708"/>
      <c r="E832" s="708"/>
      <c r="F832" s="708"/>
      <c r="G832" s="30"/>
      <c r="H832" s="30"/>
      <c r="I832" s="30"/>
      <c r="J832" s="30"/>
      <c r="K832" s="30"/>
      <c r="L832" s="30"/>
      <c r="M832" s="30"/>
      <c r="N832" s="30"/>
      <c r="O832" s="30"/>
      <c r="P832" s="30"/>
      <c r="Q832" s="30"/>
      <c r="R832" s="30"/>
      <c r="S832" s="30"/>
      <c r="T832" s="30"/>
      <c r="U832" s="30"/>
      <c r="V832" s="30"/>
      <c r="W832" s="30"/>
      <c r="X832" s="30"/>
      <c r="Y832" s="30"/>
      <c r="Z832" s="30"/>
    </row>
    <row r="833" spans="1:26" ht="21" customHeight="1" x14ac:dyDescent="0.85">
      <c r="A833" s="708"/>
      <c r="B833" s="708"/>
      <c r="C833" s="708"/>
      <c r="D833" s="708"/>
      <c r="E833" s="708"/>
      <c r="F833" s="708"/>
      <c r="G833" s="30"/>
      <c r="H833" s="30"/>
      <c r="I833" s="30"/>
      <c r="J833" s="30"/>
      <c r="K833" s="30"/>
      <c r="L833" s="30"/>
      <c r="M833" s="30"/>
      <c r="N833" s="30"/>
      <c r="O833" s="30"/>
      <c r="P833" s="30"/>
      <c r="Q833" s="30"/>
      <c r="R833" s="30"/>
      <c r="S833" s="30"/>
      <c r="T833" s="30"/>
      <c r="U833" s="30"/>
      <c r="V833" s="30"/>
      <c r="W833" s="30"/>
      <c r="X833" s="30"/>
      <c r="Y833" s="30"/>
      <c r="Z833" s="30"/>
    </row>
    <row r="834" spans="1:26" ht="21" customHeight="1" x14ac:dyDescent="0.85">
      <c r="A834" s="708"/>
      <c r="B834" s="708"/>
      <c r="C834" s="708"/>
      <c r="D834" s="708"/>
      <c r="E834" s="708"/>
      <c r="F834" s="708"/>
      <c r="G834" s="30"/>
      <c r="H834" s="30"/>
      <c r="I834" s="30"/>
      <c r="J834" s="30"/>
      <c r="K834" s="30"/>
      <c r="L834" s="30"/>
      <c r="M834" s="30"/>
      <c r="N834" s="30"/>
      <c r="O834" s="30"/>
      <c r="P834" s="30"/>
      <c r="Q834" s="30"/>
      <c r="R834" s="30"/>
      <c r="S834" s="30"/>
      <c r="T834" s="30"/>
      <c r="U834" s="30"/>
      <c r="V834" s="30"/>
      <c r="W834" s="30"/>
      <c r="X834" s="30"/>
      <c r="Y834" s="30"/>
      <c r="Z834" s="30"/>
    </row>
    <row r="835" spans="1:26" ht="21" customHeight="1" x14ac:dyDescent="0.85">
      <c r="A835" s="708"/>
      <c r="B835" s="708"/>
      <c r="C835" s="708"/>
      <c r="D835" s="708"/>
      <c r="E835" s="708"/>
      <c r="F835" s="708"/>
      <c r="G835" s="30"/>
      <c r="H835" s="30"/>
      <c r="I835" s="30"/>
      <c r="J835" s="30"/>
      <c r="K835" s="30"/>
      <c r="L835" s="30"/>
      <c r="M835" s="30"/>
      <c r="N835" s="30"/>
      <c r="O835" s="30"/>
      <c r="P835" s="30"/>
      <c r="Q835" s="30"/>
      <c r="R835" s="30"/>
      <c r="S835" s="30"/>
      <c r="T835" s="30"/>
      <c r="U835" s="30"/>
      <c r="V835" s="30"/>
      <c r="W835" s="30"/>
      <c r="X835" s="30"/>
      <c r="Y835" s="30"/>
      <c r="Z835" s="30"/>
    </row>
    <row r="836" spans="1:26" ht="21" customHeight="1" x14ac:dyDescent="0.85">
      <c r="A836" s="708"/>
      <c r="B836" s="708"/>
      <c r="C836" s="708"/>
      <c r="D836" s="708"/>
      <c r="E836" s="708"/>
      <c r="F836" s="708"/>
      <c r="G836" s="30"/>
      <c r="H836" s="30"/>
      <c r="I836" s="30"/>
      <c r="J836" s="30"/>
      <c r="K836" s="30"/>
      <c r="L836" s="30"/>
      <c r="M836" s="30"/>
      <c r="N836" s="30"/>
      <c r="O836" s="30"/>
      <c r="P836" s="30"/>
      <c r="Q836" s="30"/>
      <c r="R836" s="30"/>
      <c r="S836" s="30"/>
      <c r="T836" s="30"/>
      <c r="U836" s="30"/>
      <c r="V836" s="30"/>
      <c r="W836" s="30"/>
      <c r="X836" s="30"/>
      <c r="Y836" s="30"/>
      <c r="Z836" s="30"/>
    </row>
    <row r="837" spans="1:26" ht="21" customHeight="1" x14ac:dyDescent="0.85">
      <c r="A837" s="708"/>
      <c r="B837" s="708"/>
      <c r="C837" s="708"/>
      <c r="D837" s="708"/>
      <c r="E837" s="708"/>
      <c r="F837" s="708"/>
      <c r="G837" s="30"/>
      <c r="H837" s="30"/>
      <c r="I837" s="30"/>
      <c r="J837" s="30"/>
      <c r="K837" s="30"/>
      <c r="L837" s="30"/>
      <c r="M837" s="30"/>
      <c r="N837" s="30"/>
      <c r="O837" s="30"/>
      <c r="P837" s="30"/>
      <c r="Q837" s="30"/>
      <c r="R837" s="30"/>
      <c r="S837" s="30"/>
      <c r="T837" s="30"/>
      <c r="U837" s="30"/>
      <c r="V837" s="30"/>
      <c r="W837" s="30"/>
      <c r="X837" s="30"/>
      <c r="Y837" s="30"/>
      <c r="Z837" s="30"/>
    </row>
    <row r="838" spans="1:26" ht="21" customHeight="1" x14ac:dyDescent="0.85">
      <c r="A838" s="708"/>
      <c r="B838" s="708"/>
      <c r="C838" s="708"/>
      <c r="D838" s="708"/>
      <c r="E838" s="708"/>
      <c r="F838" s="708"/>
      <c r="G838" s="30"/>
      <c r="H838" s="30"/>
      <c r="I838" s="30"/>
      <c r="J838" s="30"/>
      <c r="K838" s="30"/>
      <c r="L838" s="30"/>
      <c r="M838" s="30"/>
      <c r="N838" s="30"/>
      <c r="O838" s="30"/>
      <c r="P838" s="30"/>
      <c r="Q838" s="30"/>
      <c r="R838" s="30"/>
      <c r="S838" s="30"/>
      <c r="T838" s="30"/>
      <c r="U838" s="30"/>
      <c r="V838" s="30"/>
      <c r="W838" s="30"/>
      <c r="X838" s="30"/>
      <c r="Y838" s="30"/>
      <c r="Z838" s="30"/>
    </row>
    <row r="839" spans="1:26" ht="21" customHeight="1" x14ac:dyDescent="0.85">
      <c r="A839" s="708"/>
      <c r="B839" s="708"/>
      <c r="C839" s="708"/>
      <c r="D839" s="708"/>
      <c r="E839" s="708"/>
      <c r="F839" s="708"/>
      <c r="G839" s="30"/>
      <c r="H839" s="30"/>
      <c r="I839" s="30"/>
      <c r="J839" s="30"/>
      <c r="K839" s="30"/>
      <c r="L839" s="30"/>
      <c r="M839" s="30"/>
      <c r="N839" s="30"/>
      <c r="O839" s="30"/>
      <c r="P839" s="30"/>
      <c r="Q839" s="30"/>
      <c r="R839" s="30"/>
      <c r="S839" s="30"/>
      <c r="T839" s="30"/>
      <c r="U839" s="30"/>
      <c r="V839" s="30"/>
      <c r="W839" s="30"/>
      <c r="X839" s="30"/>
      <c r="Y839" s="30"/>
      <c r="Z839" s="30"/>
    </row>
    <row r="840" spans="1:26" ht="21" customHeight="1" x14ac:dyDescent="0.85">
      <c r="A840" s="708"/>
      <c r="B840" s="708"/>
      <c r="C840" s="708"/>
      <c r="D840" s="708"/>
      <c r="E840" s="708"/>
      <c r="F840" s="708"/>
      <c r="G840" s="30"/>
      <c r="H840" s="30"/>
      <c r="I840" s="30"/>
      <c r="J840" s="30"/>
      <c r="K840" s="30"/>
      <c r="L840" s="30"/>
      <c r="M840" s="30"/>
      <c r="N840" s="30"/>
      <c r="O840" s="30"/>
      <c r="P840" s="30"/>
      <c r="Q840" s="30"/>
      <c r="R840" s="30"/>
      <c r="S840" s="30"/>
      <c r="T840" s="30"/>
      <c r="U840" s="30"/>
      <c r="V840" s="30"/>
      <c r="W840" s="30"/>
      <c r="X840" s="30"/>
      <c r="Y840" s="30"/>
      <c r="Z840" s="30"/>
    </row>
    <row r="841" spans="1:26" ht="21" customHeight="1" x14ac:dyDescent="0.85">
      <c r="A841" s="708"/>
      <c r="B841" s="708"/>
      <c r="C841" s="708"/>
      <c r="D841" s="708"/>
      <c r="E841" s="708"/>
      <c r="F841" s="708"/>
      <c r="G841" s="30"/>
      <c r="H841" s="30"/>
      <c r="I841" s="30"/>
      <c r="J841" s="30"/>
      <c r="K841" s="30"/>
      <c r="L841" s="30"/>
      <c r="M841" s="30"/>
      <c r="N841" s="30"/>
      <c r="O841" s="30"/>
      <c r="P841" s="30"/>
      <c r="Q841" s="30"/>
      <c r="R841" s="30"/>
      <c r="S841" s="30"/>
      <c r="T841" s="30"/>
      <c r="U841" s="30"/>
      <c r="V841" s="30"/>
      <c r="W841" s="30"/>
      <c r="X841" s="30"/>
      <c r="Y841" s="30"/>
      <c r="Z841" s="30"/>
    </row>
    <row r="842" spans="1:26" ht="21" customHeight="1" x14ac:dyDescent="0.85">
      <c r="A842" s="708"/>
      <c r="B842" s="708"/>
      <c r="C842" s="708"/>
      <c r="D842" s="708"/>
      <c r="E842" s="708"/>
      <c r="F842" s="708"/>
      <c r="G842" s="30"/>
      <c r="H842" s="30"/>
      <c r="I842" s="30"/>
      <c r="J842" s="30"/>
      <c r="K842" s="30"/>
      <c r="L842" s="30"/>
      <c r="M842" s="30"/>
      <c r="N842" s="30"/>
      <c r="O842" s="30"/>
      <c r="P842" s="30"/>
      <c r="Q842" s="30"/>
      <c r="R842" s="30"/>
      <c r="S842" s="30"/>
      <c r="T842" s="30"/>
      <c r="U842" s="30"/>
      <c r="V842" s="30"/>
      <c r="W842" s="30"/>
      <c r="X842" s="30"/>
      <c r="Y842" s="30"/>
      <c r="Z842" s="30"/>
    </row>
    <row r="843" spans="1:26" ht="21" customHeight="1" x14ac:dyDescent="0.85">
      <c r="A843" s="708"/>
      <c r="B843" s="708"/>
      <c r="C843" s="708"/>
      <c r="D843" s="708"/>
      <c r="E843" s="708"/>
      <c r="F843" s="708"/>
      <c r="G843" s="30"/>
      <c r="H843" s="30"/>
      <c r="I843" s="30"/>
      <c r="J843" s="30"/>
      <c r="K843" s="30"/>
      <c r="L843" s="30"/>
      <c r="M843" s="30"/>
      <c r="N843" s="30"/>
      <c r="O843" s="30"/>
      <c r="P843" s="30"/>
      <c r="Q843" s="30"/>
      <c r="R843" s="30"/>
      <c r="S843" s="30"/>
      <c r="T843" s="30"/>
      <c r="U843" s="30"/>
      <c r="V843" s="30"/>
      <c r="W843" s="30"/>
      <c r="X843" s="30"/>
      <c r="Y843" s="30"/>
      <c r="Z843" s="30"/>
    </row>
    <row r="844" spans="1:26" ht="21" customHeight="1" x14ac:dyDescent="0.85">
      <c r="A844" s="708"/>
      <c r="B844" s="708"/>
      <c r="C844" s="708"/>
      <c r="D844" s="708"/>
      <c r="E844" s="708"/>
      <c r="F844" s="708"/>
      <c r="G844" s="30"/>
      <c r="H844" s="30"/>
      <c r="I844" s="30"/>
      <c r="J844" s="30"/>
      <c r="K844" s="30"/>
      <c r="L844" s="30"/>
      <c r="M844" s="30"/>
      <c r="N844" s="30"/>
      <c r="O844" s="30"/>
      <c r="P844" s="30"/>
      <c r="Q844" s="30"/>
      <c r="R844" s="30"/>
      <c r="S844" s="30"/>
      <c r="T844" s="30"/>
      <c r="U844" s="30"/>
      <c r="V844" s="30"/>
      <c r="W844" s="30"/>
      <c r="X844" s="30"/>
      <c r="Y844" s="30"/>
      <c r="Z844" s="30"/>
    </row>
    <row r="845" spans="1:26" ht="21" customHeight="1" x14ac:dyDescent="0.85">
      <c r="A845" s="708"/>
      <c r="B845" s="708"/>
      <c r="C845" s="708"/>
      <c r="D845" s="708"/>
      <c r="E845" s="708"/>
      <c r="F845" s="708"/>
      <c r="G845" s="30"/>
      <c r="H845" s="30"/>
      <c r="I845" s="30"/>
      <c r="J845" s="30"/>
      <c r="K845" s="30"/>
      <c r="L845" s="30"/>
      <c r="M845" s="30"/>
      <c r="N845" s="30"/>
      <c r="O845" s="30"/>
      <c r="P845" s="30"/>
      <c r="Q845" s="30"/>
      <c r="R845" s="30"/>
      <c r="S845" s="30"/>
      <c r="T845" s="30"/>
      <c r="U845" s="30"/>
      <c r="V845" s="30"/>
      <c r="W845" s="30"/>
      <c r="X845" s="30"/>
      <c r="Y845" s="30"/>
      <c r="Z845" s="30"/>
    </row>
    <row r="846" spans="1:26" ht="21" customHeight="1" x14ac:dyDescent="0.85">
      <c r="A846" s="708"/>
      <c r="B846" s="708"/>
      <c r="C846" s="708"/>
      <c r="D846" s="708"/>
      <c r="E846" s="708"/>
      <c r="F846" s="708"/>
      <c r="G846" s="30"/>
      <c r="H846" s="30"/>
      <c r="I846" s="30"/>
      <c r="J846" s="30"/>
      <c r="K846" s="30"/>
      <c r="L846" s="30"/>
      <c r="M846" s="30"/>
      <c r="N846" s="30"/>
      <c r="O846" s="30"/>
      <c r="P846" s="30"/>
      <c r="Q846" s="30"/>
      <c r="R846" s="30"/>
      <c r="S846" s="30"/>
      <c r="T846" s="30"/>
      <c r="U846" s="30"/>
      <c r="V846" s="30"/>
      <c r="W846" s="30"/>
      <c r="X846" s="30"/>
      <c r="Y846" s="30"/>
      <c r="Z846" s="30"/>
    </row>
    <row r="847" spans="1:26" ht="21" customHeight="1" x14ac:dyDescent="0.85">
      <c r="A847" s="708"/>
      <c r="B847" s="708"/>
      <c r="C847" s="708"/>
      <c r="D847" s="708"/>
      <c r="E847" s="708"/>
      <c r="F847" s="708"/>
      <c r="G847" s="30"/>
      <c r="H847" s="30"/>
      <c r="I847" s="30"/>
      <c r="J847" s="30"/>
      <c r="K847" s="30"/>
      <c r="L847" s="30"/>
      <c r="M847" s="30"/>
      <c r="N847" s="30"/>
      <c r="O847" s="30"/>
      <c r="P847" s="30"/>
      <c r="Q847" s="30"/>
      <c r="R847" s="30"/>
      <c r="S847" s="30"/>
      <c r="T847" s="30"/>
      <c r="U847" s="30"/>
      <c r="V847" s="30"/>
      <c r="W847" s="30"/>
      <c r="X847" s="30"/>
      <c r="Y847" s="30"/>
      <c r="Z847" s="30"/>
    </row>
    <row r="848" spans="1:26" ht="21" customHeight="1" x14ac:dyDescent="0.85">
      <c r="A848" s="708"/>
      <c r="B848" s="708"/>
      <c r="C848" s="708"/>
      <c r="D848" s="708"/>
      <c r="E848" s="708"/>
      <c r="F848" s="708"/>
      <c r="G848" s="30"/>
      <c r="H848" s="30"/>
      <c r="I848" s="30"/>
      <c r="J848" s="30"/>
      <c r="K848" s="30"/>
      <c r="L848" s="30"/>
      <c r="M848" s="30"/>
      <c r="N848" s="30"/>
      <c r="O848" s="30"/>
      <c r="P848" s="30"/>
      <c r="Q848" s="30"/>
      <c r="R848" s="30"/>
      <c r="S848" s="30"/>
      <c r="T848" s="30"/>
      <c r="U848" s="30"/>
      <c r="V848" s="30"/>
      <c r="W848" s="30"/>
      <c r="X848" s="30"/>
      <c r="Y848" s="30"/>
      <c r="Z848" s="30"/>
    </row>
    <row r="849" spans="1:26" ht="21" customHeight="1" x14ac:dyDescent="0.85">
      <c r="A849" s="708"/>
      <c r="B849" s="708"/>
      <c r="C849" s="708"/>
      <c r="D849" s="708"/>
      <c r="E849" s="708"/>
      <c r="F849" s="708"/>
      <c r="G849" s="30"/>
      <c r="H849" s="30"/>
      <c r="I849" s="30"/>
      <c r="J849" s="30"/>
      <c r="K849" s="30"/>
      <c r="L849" s="30"/>
      <c r="M849" s="30"/>
      <c r="N849" s="30"/>
      <c r="O849" s="30"/>
      <c r="P849" s="30"/>
      <c r="Q849" s="30"/>
      <c r="R849" s="30"/>
      <c r="S849" s="30"/>
      <c r="T849" s="30"/>
      <c r="U849" s="30"/>
      <c r="V849" s="30"/>
      <c r="W849" s="30"/>
      <c r="X849" s="30"/>
      <c r="Y849" s="30"/>
      <c r="Z849" s="30"/>
    </row>
    <row r="850" spans="1:26" ht="21" customHeight="1" x14ac:dyDescent="0.85">
      <c r="A850" s="708"/>
      <c r="B850" s="708"/>
      <c r="C850" s="708"/>
      <c r="D850" s="708"/>
      <c r="E850" s="708"/>
      <c r="F850" s="708"/>
      <c r="G850" s="30"/>
      <c r="H850" s="30"/>
      <c r="I850" s="30"/>
      <c r="J850" s="30"/>
      <c r="K850" s="30"/>
      <c r="L850" s="30"/>
      <c r="M850" s="30"/>
      <c r="N850" s="30"/>
      <c r="O850" s="30"/>
      <c r="P850" s="30"/>
      <c r="Q850" s="30"/>
      <c r="R850" s="30"/>
      <c r="S850" s="30"/>
      <c r="T850" s="30"/>
      <c r="U850" s="30"/>
      <c r="V850" s="30"/>
      <c r="W850" s="30"/>
      <c r="X850" s="30"/>
      <c r="Y850" s="30"/>
      <c r="Z850" s="30"/>
    </row>
    <row r="851" spans="1:26" ht="21" customHeight="1" x14ac:dyDescent="0.85">
      <c r="A851" s="708"/>
      <c r="B851" s="708"/>
      <c r="C851" s="708"/>
      <c r="D851" s="708"/>
      <c r="E851" s="708"/>
      <c r="F851" s="708"/>
      <c r="G851" s="30"/>
      <c r="H851" s="30"/>
      <c r="I851" s="30"/>
      <c r="J851" s="30"/>
      <c r="K851" s="30"/>
      <c r="L851" s="30"/>
      <c r="M851" s="30"/>
      <c r="N851" s="30"/>
      <c r="O851" s="30"/>
      <c r="P851" s="30"/>
      <c r="Q851" s="30"/>
      <c r="R851" s="30"/>
      <c r="S851" s="30"/>
      <c r="T851" s="30"/>
      <c r="U851" s="30"/>
      <c r="V851" s="30"/>
      <c r="W851" s="30"/>
      <c r="X851" s="30"/>
      <c r="Y851" s="30"/>
      <c r="Z851" s="30"/>
    </row>
    <row r="852" spans="1:26" ht="21" customHeight="1" x14ac:dyDescent="0.85">
      <c r="A852" s="708"/>
      <c r="B852" s="708"/>
      <c r="C852" s="708"/>
      <c r="D852" s="708"/>
      <c r="E852" s="708"/>
      <c r="F852" s="708"/>
      <c r="G852" s="30"/>
      <c r="H852" s="30"/>
      <c r="I852" s="30"/>
      <c r="J852" s="30"/>
      <c r="K852" s="30"/>
      <c r="L852" s="30"/>
      <c r="M852" s="30"/>
      <c r="N852" s="30"/>
      <c r="O852" s="30"/>
      <c r="P852" s="30"/>
      <c r="Q852" s="30"/>
      <c r="R852" s="30"/>
      <c r="S852" s="30"/>
      <c r="T852" s="30"/>
      <c r="U852" s="30"/>
      <c r="V852" s="30"/>
      <c r="W852" s="30"/>
      <c r="X852" s="30"/>
      <c r="Y852" s="30"/>
      <c r="Z852" s="30"/>
    </row>
    <row r="853" spans="1:26" ht="21" customHeight="1" x14ac:dyDescent="0.85">
      <c r="A853" s="708"/>
      <c r="B853" s="708"/>
      <c r="C853" s="708"/>
      <c r="D853" s="708"/>
      <c r="E853" s="708"/>
      <c r="F853" s="708"/>
      <c r="G853" s="30"/>
      <c r="H853" s="30"/>
      <c r="I853" s="30"/>
      <c r="J853" s="30"/>
      <c r="K853" s="30"/>
      <c r="L853" s="30"/>
      <c r="M853" s="30"/>
      <c r="N853" s="30"/>
      <c r="O853" s="30"/>
      <c r="P853" s="30"/>
      <c r="Q853" s="30"/>
      <c r="R853" s="30"/>
      <c r="S853" s="30"/>
      <c r="T853" s="30"/>
      <c r="U853" s="30"/>
      <c r="V853" s="30"/>
      <c r="W853" s="30"/>
      <c r="X853" s="30"/>
      <c r="Y853" s="30"/>
      <c r="Z853" s="30"/>
    </row>
    <row r="854" spans="1:26" ht="21" customHeight="1" x14ac:dyDescent="0.85">
      <c r="A854" s="708"/>
      <c r="B854" s="708"/>
      <c r="C854" s="708"/>
      <c r="D854" s="708"/>
      <c r="E854" s="708"/>
      <c r="F854" s="708"/>
      <c r="G854" s="30"/>
      <c r="H854" s="30"/>
      <c r="I854" s="30"/>
      <c r="J854" s="30"/>
      <c r="K854" s="30"/>
      <c r="L854" s="30"/>
      <c r="M854" s="30"/>
      <c r="N854" s="30"/>
      <c r="O854" s="30"/>
      <c r="P854" s="30"/>
      <c r="Q854" s="30"/>
      <c r="R854" s="30"/>
      <c r="S854" s="30"/>
      <c r="T854" s="30"/>
      <c r="U854" s="30"/>
      <c r="V854" s="30"/>
      <c r="W854" s="30"/>
      <c r="X854" s="30"/>
      <c r="Y854" s="30"/>
      <c r="Z854" s="30"/>
    </row>
    <row r="855" spans="1:26" ht="21" customHeight="1" x14ac:dyDescent="0.85">
      <c r="A855" s="708"/>
      <c r="B855" s="708"/>
      <c r="C855" s="708"/>
      <c r="D855" s="708"/>
      <c r="E855" s="708"/>
      <c r="F855" s="708"/>
      <c r="G855" s="30"/>
      <c r="H855" s="30"/>
      <c r="I855" s="30"/>
      <c r="J855" s="30"/>
      <c r="K855" s="30"/>
      <c r="L855" s="30"/>
      <c r="M855" s="30"/>
      <c r="N855" s="30"/>
      <c r="O855" s="30"/>
      <c r="P855" s="30"/>
      <c r="Q855" s="30"/>
      <c r="R855" s="30"/>
      <c r="S855" s="30"/>
      <c r="T855" s="30"/>
      <c r="U855" s="30"/>
      <c r="V855" s="30"/>
      <c r="W855" s="30"/>
      <c r="X855" s="30"/>
      <c r="Y855" s="30"/>
      <c r="Z855" s="30"/>
    </row>
    <row r="856" spans="1:26" ht="21" customHeight="1" x14ac:dyDescent="0.85">
      <c r="A856" s="708"/>
      <c r="B856" s="708"/>
      <c r="C856" s="708"/>
      <c r="D856" s="708"/>
      <c r="E856" s="708"/>
      <c r="F856" s="708"/>
      <c r="G856" s="30"/>
      <c r="H856" s="30"/>
      <c r="I856" s="30"/>
      <c r="J856" s="30"/>
      <c r="K856" s="30"/>
      <c r="L856" s="30"/>
      <c r="M856" s="30"/>
      <c r="N856" s="30"/>
      <c r="O856" s="30"/>
      <c r="P856" s="30"/>
      <c r="Q856" s="30"/>
      <c r="R856" s="30"/>
      <c r="S856" s="30"/>
      <c r="T856" s="30"/>
      <c r="U856" s="30"/>
      <c r="V856" s="30"/>
      <c r="W856" s="30"/>
      <c r="X856" s="30"/>
      <c r="Y856" s="30"/>
      <c r="Z856" s="30"/>
    </row>
    <row r="857" spans="1:26" ht="21" customHeight="1" x14ac:dyDescent="0.85">
      <c r="A857" s="708"/>
      <c r="B857" s="708"/>
      <c r="C857" s="708"/>
      <c r="D857" s="708"/>
      <c r="E857" s="708"/>
      <c r="F857" s="708"/>
      <c r="G857" s="30"/>
      <c r="H857" s="30"/>
      <c r="I857" s="30"/>
      <c r="J857" s="30"/>
      <c r="K857" s="30"/>
      <c r="L857" s="30"/>
      <c r="M857" s="30"/>
      <c r="N857" s="30"/>
      <c r="O857" s="30"/>
      <c r="P857" s="30"/>
      <c r="Q857" s="30"/>
      <c r="R857" s="30"/>
      <c r="S857" s="30"/>
      <c r="T857" s="30"/>
      <c r="U857" s="30"/>
      <c r="V857" s="30"/>
      <c r="W857" s="30"/>
      <c r="X857" s="30"/>
      <c r="Y857" s="30"/>
      <c r="Z857" s="30"/>
    </row>
    <row r="858" spans="1:26" ht="21" customHeight="1" x14ac:dyDescent="0.85">
      <c r="A858" s="708"/>
      <c r="B858" s="708"/>
      <c r="C858" s="708"/>
      <c r="D858" s="708"/>
      <c r="E858" s="708"/>
      <c r="F858" s="708"/>
      <c r="G858" s="30"/>
      <c r="H858" s="30"/>
      <c r="I858" s="30"/>
      <c r="J858" s="30"/>
      <c r="K858" s="30"/>
      <c r="L858" s="30"/>
      <c r="M858" s="30"/>
      <c r="N858" s="30"/>
      <c r="O858" s="30"/>
      <c r="P858" s="30"/>
      <c r="Q858" s="30"/>
      <c r="R858" s="30"/>
      <c r="S858" s="30"/>
      <c r="T858" s="30"/>
      <c r="U858" s="30"/>
      <c r="V858" s="30"/>
      <c r="W858" s="30"/>
      <c r="X858" s="30"/>
      <c r="Y858" s="30"/>
      <c r="Z858" s="30"/>
    </row>
    <row r="859" spans="1:26" ht="21" customHeight="1" x14ac:dyDescent="0.85">
      <c r="A859" s="708"/>
      <c r="B859" s="708"/>
      <c r="C859" s="708"/>
      <c r="D859" s="708"/>
      <c r="E859" s="708"/>
      <c r="F859" s="708"/>
      <c r="G859" s="30"/>
      <c r="H859" s="30"/>
      <c r="I859" s="30"/>
      <c r="J859" s="30"/>
      <c r="K859" s="30"/>
      <c r="L859" s="30"/>
      <c r="M859" s="30"/>
      <c r="N859" s="30"/>
      <c r="O859" s="30"/>
      <c r="P859" s="30"/>
      <c r="Q859" s="30"/>
      <c r="R859" s="30"/>
      <c r="S859" s="30"/>
      <c r="T859" s="30"/>
      <c r="U859" s="30"/>
      <c r="V859" s="30"/>
      <c r="W859" s="30"/>
      <c r="X859" s="30"/>
      <c r="Y859" s="30"/>
      <c r="Z859" s="30"/>
    </row>
    <row r="860" spans="1:26" ht="21" customHeight="1" x14ac:dyDescent="0.85">
      <c r="A860" s="708"/>
      <c r="B860" s="708"/>
      <c r="C860" s="708"/>
      <c r="D860" s="708"/>
      <c r="E860" s="708"/>
      <c r="F860" s="708"/>
      <c r="G860" s="30"/>
      <c r="H860" s="30"/>
      <c r="I860" s="30"/>
      <c r="J860" s="30"/>
      <c r="K860" s="30"/>
      <c r="L860" s="30"/>
      <c r="M860" s="30"/>
      <c r="N860" s="30"/>
      <c r="O860" s="30"/>
      <c r="P860" s="30"/>
      <c r="Q860" s="30"/>
      <c r="R860" s="30"/>
      <c r="S860" s="30"/>
      <c r="T860" s="30"/>
      <c r="U860" s="30"/>
      <c r="V860" s="30"/>
      <c r="W860" s="30"/>
      <c r="X860" s="30"/>
      <c r="Y860" s="30"/>
      <c r="Z860" s="30"/>
    </row>
    <row r="861" spans="1:26" ht="21" customHeight="1" x14ac:dyDescent="0.85">
      <c r="A861" s="708"/>
      <c r="B861" s="708"/>
      <c r="C861" s="708"/>
      <c r="D861" s="708"/>
      <c r="E861" s="708"/>
      <c r="F861" s="708"/>
      <c r="G861" s="30"/>
      <c r="H861" s="30"/>
      <c r="I861" s="30"/>
      <c r="J861" s="30"/>
      <c r="K861" s="30"/>
      <c r="L861" s="30"/>
      <c r="M861" s="30"/>
      <c r="N861" s="30"/>
      <c r="O861" s="30"/>
      <c r="P861" s="30"/>
      <c r="Q861" s="30"/>
      <c r="R861" s="30"/>
      <c r="S861" s="30"/>
      <c r="T861" s="30"/>
      <c r="U861" s="30"/>
      <c r="V861" s="30"/>
      <c r="W861" s="30"/>
      <c r="X861" s="30"/>
      <c r="Y861" s="30"/>
      <c r="Z861" s="30"/>
    </row>
    <row r="862" spans="1:26" ht="21" customHeight="1" x14ac:dyDescent="0.85">
      <c r="A862" s="708"/>
      <c r="B862" s="708"/>
      <c r="C862" s="708"/>
      <c r="D862" s="708"/>
      <c r="E862" s="708"/>
      <c r="F862" s="708"/>
      <c r="G862" s="30"/>
      <c r="H862" s="30"/>
      <c r="I862" s="30"/>
      <c r="J862" s="30"/>
      <c r="K862" s="30"/>
      <c r="L862" s="30"/>
      <c r="M862" s="30"/>
      <c r="N862" s="30"/>
      <c r="O862" s="30"/>
      <c r="P862" s="30"/>
      <c r="Q862" s="30"/>
      <c r="R862" s="30"/>
      <c r="S862" s="30"/>
      <c r="T862" s="30"/>
      <c r="U862" s="30"/>
      <c r="V862" s="30"/>
      <c r="W862" s="30"/>
      <c r="X862" s="30"/>
      <c r="Y862" s="30"/>
      <c r="Z862" s="30"/>
    </row>
    <row r="863" spans="1:26" ht="21" customHeight="1" x14ac:dyDescent="0.85">
      <c r="A863" s="708"/>
      <c r="B863" s="708"/>
      <c r="C863" s="708"/>
      <c r="D863" s="708"/>
      <c r="E863" s="708"/>
      <c r="F863" s="708"/>
      <c r="G863" s="30"/>
      <c r="H863" s="30"/>
      <c r="I863" s="30"/>
      <c r="J863" s="30"/>
      <c r="K863" s="30"/>
      <c r="L863" s="30"/>
      <c r="M863" s="30"/>
      <c r="N863" s="30"/>
      <c r="O863" s="30"/>
      <c r="P863" s="30"/>
      <c r="Q863" s="30"/>
      <c r="R863" s="30"/>
      <c r="S863" s="30"/>
      <c r="T863" s="30"/>
      <c r="U863" s="30"/>
      <c r="V863" s="30"/>
      <c r="W863" s="30"/>
      <c r="X863" s="30"/>
      <c r="Y863" s="30"/>
      <c r="Z863" s="30"/>
    </row>
    <row r="864" spans="1:26" ht="21" customHeight="1" x14ac:dyDescent="0.85">
      <c r="A864" s="708"/>
      <c r="B864" s="708"/>
      <c r="C864" s="708"/>
      <c r="D864" s="708"/>
      <c r="E864" s="708"/>
      <c r="F864" s="708"/>
      <c r="G864" s="30"/>
      <c r="H864" s="30"/>
      <c r="I864" s="30"/>
      <c r="J864" s="30"/>
      <c r="K864" s="30"/>
      <c r="L864" s="30"/>
      <c r="M864" s="30"/>
      <c r="N864" s="30"/>
      <c r="O864" s="30"/>
      <c r="P864" s="30"/>
      <c r="Q864" s="30"/>
      <c r="R864" s="30"/>
      <c r="S864" s="30"/>
      <c r="T864" s="30"/>
      <c r="U864" s="30"/>
      <c r="V864" s="30"/>
      <c r="W864" s="30"/>
      <c r="X864" s="30"/>
      <c r="Y864" s="30"/>
      <c r="Z864" s="30"/>
    </row>
    <row r="865" spans="1:26" ht="21" customHeight="1" x14ac:dyDescent="0.85">
      <c r="A865" s="708"/>
      <c r="B865" s="708"/>
      <c r="C865" s="708"/>
      <c r="D865" s="708"/>
      <c r="E865" s="708"/>
      <c r="F865" s="708"/>
      <c r="G865" s="30"/>
      <c r="H865" s="30"/>
      <c r="I865" s="30"/>
      <c r="J865" s="30"/>
      <c r="K865" s="30"/>
      <c r="L865" s="30"/>
      <c r="M865" s="30"/>
      <c r="N865" s="30"/>
      <c r="O865" s="30"/>
      <c r="P865" s="30"/>
      <c r="Q865" s="30"/>
      <c r="R865" s="30"/>
      <c r="S865" s="30"/>
      <c r="T865" s="30"/>
      <c r="U865" s="30"/>
      <c r="V865" s="30"/>
      <c r="W865" s="30"/>
      <c r="X865" s="30"/>
      <c r="Y865" s="30"/>
      <c r="Z865" s="30"/>
    </row>
    <row r="866" spans="1:26" ht="21" customHeight="1" x14ac:dyDescent="0.85">
      <c r="A866" s="708"/>
      <c r="B866" s="708"/>
      <c r="C866" s="708"/>
      <c r="D866" s="708"/>
      <c r="E866" s="708"/>
      <c r="F866" s="708"/>
      <c r="G866" s="30"/>
      <c r="H866" s="30"/>
      <c r="I866" s="30"/>
      <c r="J866" s="30"/>
      <c r="K866" s="30"/>
      <c r="L866" s="30"/>
      <c r="M866" s="30"/>
      <c r="N866" s="30"/>
      <c r="O866" s="30"/>
      <c r="P866" s="30"/>
      <c r="Q866" s="30"/>
      <c r="R866" s="30"/>
      <c r="S866" s="30"/>
      <c r="T866" s="30"/>
      <c r="U866" s="30"/>
      <c r="V866" s="30"/>
      <c r="W866" s="30"/>
      <c r="X866" s="30"/>
      <c r="Y866" s="30"/>
      <c r="Z866" s="30"/>
    </row>
    <row r="867" spans="1:26" ht="21" customHeight="1" x14ac:dyDescent="0.85">
      <c r="A867" s="708"/>
      <c r="B867" s="708"/>
      <c r="C867" s="708"/>
      <c r="D867" s="708"/>
      <c r="E867" s="708"/>
      <c r="F867" s="708"/>
      <c r="G867" s="30"/>
      <c r="H867" s="30"/>
      <c r="I867" s="30"/>
      <c r="J867" s="30"/>
      <c r="K867" s="30"/>
      <c r="L867" s="30"/>
      <c r="M867" s="30"/>
      <c r="N867" s="30"/>
      <c r="O867" s="30"/>
      <c r="P867" s="30"/>
      <c r="Q867" s="30"/>
      <c r="R867" s="30"/>
      <c r="S867" s="30"/>
      <c r="T867" s="30"/>
      <c r="U867" s="30"/>
      <c r="V867" s="30"/>
      <c r="W867" s="30"/>
      <c r="X867" s="30"/>
      <c r="Y867" s="30"/>
      <c r="Z867" s="30"/>
    </row>
    <row r="868" spans="1:26" ht="21" customHeight="1" x14ac:dyDescent="0.85">
      <c r="A868" s="708"/>
      <c r="B868" s="708"/>
      <c r="C868" s="708"/>
      <c r="D868" s="708"/>
      <c r="E868" s="708"/>
      <c r="F868" s="708"/>
      <c r="G868" s="30"/>
      <c r="H868" s="30"/>
      <c r="I868" s="30"/>
      <c r="J868" s="30"/>
      <c r="K868" s="30"/>
      <c r="L868" s="30"/>
      <c r="M868" s="30"/>
      <c r="N868" s="30"/>
      <c r="O868" s="30"/>
      <c r="P868" s="30"/>
      <c r="Q868" s="30"/>
      <c r="R868" s="30"/>
      <c r="S868" s="30"/>
      <c r="T868" s="30"/>
      <c r="U868" s="30"/>
      <c r="V868" s="30"/>
      <c r="W868" s="30"/>
      <c r="X868" s="30"/>
      <c r="Y868" s="30"/>
      <c r="Z868" s="30"/>
    </row>
    <row r="869" spans="1:26" ht="21" customHeight="1" x14ac:dyDescent="0.85">
      <c r="A869" s="708"/>
      <c r="B869" s="708"/>
      <c r="C869" s="708"/>
      <c r="D869" s="708"/>
      <c r="E869" s="708"/>
      <c r="F869" s="708"/>
      <c r="G869" s="30"/>
      <c r="H869" s="30"/>
      <c r="I869" s="30"/>
      <c r="J869" s="30"/>
      <c r="K869" s="30"/>
      <c r="L869" s="30"/>
      <c r="M869" s="30"/>
      <c r="N869" s="30"/>
      <c r="O869" s="30"/>
      <c r="P869" s="30"/>
      <c r="Q869" s="30"/>
      <c r="R869" s="30"/>
      <c r="S869" s="30"/>
      <c r="T869" s="30"/>
      <c r="U869" s="30"/>
      <c r="V869" s="30"/>
      <c r="W869" s="30"/>
      <c r="X869" s="30"/>
      <c r="Y869" s="30"/>
      <c r="Z869" s="30"/>
    </row>
    <row r="870" spans="1:26" ht="21" customHeight="1" x14ac:dyDescent="0.85">
      <c r="A870" s="708"/>
      <c r="B870" s="708"/>
      <c r="C870" s="708"/>
      <c r="D870" s="708"/>
      <c r="E870" s="708"/>
      <c r="F870" s="708"/>
      <c r="G870" s="30"/>
      <c r="H870" s="30"/>
      <c r="I870" s="30"/>
      <c r="J870" s="30"/>
      <c r="K870" s="30"/>
      <c r="L870" s="30"/>
      <c r="M870" s="30"/>
      <c r="N870" s="30"/>
      <c r="O870" s="30"/>
      <c r="P870" s="30"/>
      <c r="Q870" s="30"/>
      <c r="R870" s="30"/>
      <c r="S870" s="30"/>
      <c r="T870" s="30"/>
      <c r="U870" s="30"/>
      <c r="V870" s="30"/>
      <c r="W870" s="30"/>
      <c r="X870" s="30"/>
      <c r="Y870" s="30"/>
      <c r="Z870" s="30"/>
    </row>
    <row r="871" spans="1:26" ht="21" customHeight="1" x14ac:dyDescent="0.85">
      <c r="A871" s="708"/>
      <c r="B871" s="708"/>
      <c r="C871" s="708"/>
      <c r="D871" s="708"/>
      <c r="E871" s="708"/>
      <c r="F871" s="708"/>
      <c r="G871" s="30"/>
      <c r="H871" s="30"/>
      <c r="I871" s="30"/>
      <c r="J871" s="30"/>
      <c r="K871" s="30"/>
      <c r="L871" s="30"/>
      <c r="M871" s="30"/>
      <c r="N871" s="30"/>
      <c r="O871" s="30"/>
      <c r="P871" s="30"/>
      <c r="Q871" s="30"/>
      <c r="R871" s="30"/>
      <c r="S871" s="30"/>
      <c r="T871" s="30"/>
      <c r="U871" s="30"/>
      <c r="V871" s="30"/>
      <c r="W871" s="30"/>
      <c r="X871" s="30"/>
      <c r="Y871" s="30"/>
      <c r="Z871" s="30"/>
    </row>
    <row r="872" spans="1:26" ht="21" customHeight="1" x14ac:dyDescent="0.85">
      <c r="A872" s="708"/>
      <c r="B872" s="708"/>
      <c r="C872" s="708"/>
      <c r="D872" s="708"/>
      <c r="E872" s="708"/>
      <c r="F872" s="708"/>
      <c r="G872" s="30"/>
      <c r="H872" s="30"/>
      <c r="I872" s="30"/>
      <c r="J872" s="30"/>
      <c r="K872" s="30"/>
      <c r="L872" s="30"/>
      <c r="M872" s="30"/>
      <c r="N872" s="30"/>
      <c r="O872" s="30"/>
      <c r="P872" s="30"/>
      <c r="Q872" s="30"/>
      <c r="R872" s="30"/>
      <c r="S872" s="30"/>
      <c r="T872" s="30"/>
      <c r="U872" s="30"/>
      <c r="V872" s="30"/>
      <c r="W872" s="30"/>
      <c r="X872" s="30"/>
      <c r="Y872" s="30"/>
      <c r="Z872" s="30"/>
    </row>
    <row r="873" spans="1:26" ht="21" customHeight="1" x14ac:dyDescent="0.85">
      <c r="A873" s="708"/>
      <c r="B873" s="708"/>
      <c r="C873" s="708"/>
      <c r="D873" s="708"/>
      <c r="E873" s="708"/>
      <c r="F873" s="708"/>
      <c r="G873" s="30"/>
      <c r="H873" s="30"/>
      <c r="I873" s="30"/>
      <c r="J873" s="30"/>
      <c r="K873" s="30"/>
      <c r="L873" s="30"/>
      <c r="M873" s="30"/>
      <c r="N873" s="30"/>
      <c r="O873" s="30"/>
      <c r="P873" s="30"/>
      <c r="Q873" s="30"/>
      <c r="R873" s="30"/>
      <c r="S873" s="30"/>
      <c r="T873" s="30"/>
      <c r="U873" s="30"/>
      <c r="V873" s="30"/>
      <c r="W873" s="30"/>
      <c r="X873" s="30"/>
      <c r="Y873" s="30"/>
      <c r="Z873" s="30"/>
    </row>
    <row r="874" spans="1:26" ht="21" customHeight="1" x14ac:dyDescent="0.85">
      <c r="A874" s="708"/>
      <c r="B874" s="708"/>
      <c r="C874" s="708"/>
      <c r="D874" s="708"/>
      <c r="E874" s="708"/>
      <c r="F874" s="708"/>
      <c r="G874" s="30"/>
      <c r="H874" s="30"/>
      <c r="I874" s="30"/>
      <c r="J874" s="30"/>
      <c r="K874" s="30"/>
      <c r="L874" s="30"/>
      <c r="M874" s="30"/>
      <c r="N874" s="30"/>
      <c r="O874" s="30"/>
      <c r="P874" s="30"/>
      <c r="Q874" s="30"/>
      <c r="R874" s="30"/>
      <c r="S874" s="30"/>
      <c r="T874" s="30"/>
      <c r="U874" s="30"/>
      <c r="V874" s="30"/>
      <c r="W874" s="30"/>
      <c r="X874" s="30"/>
      <c r="Y874" s="30"/>
      <c r="Z874" s="30"/>
    </row>
    <row r="875" spans="1:26" ht="21" customHeight="1" x14ac:dyDescent="0.85">
      <c r="A875" s="708"/>
      <c r="B875" s="708"/>
      <c r="C875" s="708"/>
      <c r="D875" s="708"/>
      <c r="E875" s="708"/>
      <c r="F875" s="708"/>
      <c r="G875" s="30"/>
      <c r="H875" s="30"/>
      <c r="I875" s="30"/>
      <c r="J875" s="30"/>
      <c r="K875" s="30"/>
      <c r="L875" s="30"/>
      <c r="M875" s="30"/>
      <c r="N875" s="30"/>
      <c r="O875" s="30"/>
      <c r="P875" s="30"/>
      <c r="Q875" s="30"/>
      <c r="R875" s="30"/>
      <c r="S875" s="30"/>
      <c r="T875" s="30"/>
      <c r="U875" s="30"/>
      <c r="V875" s="30"/>
      <c r="W875" s="30"/>
      <c r="X875" s="30"/>
      <c r="Y875" s="30"/>
      <c r="Z875" s="30"/>
    </row>
    <row r="876" spans="1:26" ht="21" customHeight="1" x14ac:dyDescent="0.85">
      <c r="A876" s="708"/>
      <c r="B876" s="708"/>
      <c r="C876" s="708"/>
      <c r="D876" s="708"/>
      <c r="E876" s="708"/>
      <c r="F876" s="708"/>
      <c r="G876" s="30"/>
      <c r="H876" s="30"/>
      <c r="I876" s="30"/>
      <c r="J876" s="30"/>
      <c r="K876" s="30"/>
      <c r="L876" s="30"/>
      <c r="M876" s="30"/>
      <c r="N876" s="30"/>
      <c r="O876" s="30"/>
      <c r="P876" s="30"/>
      <c r="Q876" s="30"/>
      <c r="R876" s="30"/>
      <c r="S876" s="30"/>
      <c r="T876" s="30"/>
      <c r="U876" s="30"/>
      <c r="V876" s="30"/>
      <c r="W876" s="30"/>
      <c r="X876" s="30"/>
      <c r="Y876" s="30"/>
      <c r="Z876" s="30"/>
    </row>
    <row r="877" spans="1:26" ht="21" customHeight="1" x14ac:dyDescent="0.85">
      <c r="A877" s="708"/>
      <c r="B877" s="708"/>
      <c r="C877" s="708"/>
      <c r="D877" s="708"/>
      <c r="E877" s="708"/>
      <c r="F877" s="708"/>
      <c r="G877" s="30"/>
      <c r="H877" s="30"/>
      <c r="I877" s="30"/>
      <c r="J877" s="30"/>
      <c r="K877" s="30"/>
      <c r="L877" s="30"/>
      <c r="M877" s="30"/>
      <c r="N877" s="30"/>
      <c r="O877" s="30"/>
      <c r="P877" s="30"/>
      <c r="Q877" s="30"/>
      <c r="R877" s="30"/>
      <c r="S877" s="30"/>
      <c r="T877" s="30"/>
      <c r="U877" s="30"/>
      <c r="V877" s="30"/>
      <c r="W877" s="30"/>
      <c r="X877" s="30"/>
      <c r="Y877" s="30"/>
      <c r="Z877" s="30"/>
    </row>
    <row r="878" spans="1:26" ht="21" customHeight="1" x14ac:dyDescent="0.85">
      <c r="A878" s="708"/>
      <c r="B878" s="708"/>
      <c r="C878" s="708"/>
      <c r="D878" s="708"/>
      <c r="E878" s="708"/>
      <c r="F878" s="708"/>
      <c r="G878" s="30"/>
      <c r="H878" s="30"/>
      <c r="I878" s="30"/>
      <c r="J878" s="30"/>
      <c r="K878" s="30"/>
      <c r="L878" s="30"/>
      <c r="M878" s="30"/>
      <c r="N878" s="30"/>
      <c r="O878" s="30"/>
      <c r="P878" s="30"/>
      <c r="Q878" s="30"/>
      <c r="R878" s="30"/>
      <c r="S878" s="30"/>
      <c r="T878" s="30"/>
      <c r="U878" s="30"/>
      <c r="V878" s="30"/>
      <c r="W878" s="30"/>
      <c r="X878" s="30"/>
      <c r="Y878" s="30"/>
      <c r="Z878" s="30"/>
    </row>
    <row r="879" spans="1:26" ht="21" customHeight="1" x14ac:dyDescent="0.85">
      <c r="A879" s="708"/>
      <c r="B879" s="708"/>
      <c r="C879" s="708"/>
      <c r="D879" s="708"/>
      <c r="E879" s="708"/>
      <c r="F879" s="708"/>
      <c r="G879" s="30"/>
      <c r="H879" s="30"/>
      <c r="I879" s="30"/>
      <c r="J879" s="30"/>
      <c r="K879" s="30"/>
      <c r="L879" s="30"/>
      <c r="M879" s="30"/>
      <c r="N879" s="30"/>
      <c r="O879" s="30"/>
      <c r="P879" s="30"/>
      <c r="Q879" s="30"/>
      <c r="R879" s="30"/>
      <c r="S879" s="30"/>
      <c r="T879" s="30"/>
      <c r="U879" s="30"/>
      <c r="V879" s="30"/>
      <c r="W879" s="30"/>
      <c r="X879" s="30"/>
      <c r="Y879" s="30"/>
      <c r="Z879" s="30"/>
    </row>
    <row r="880" spans="1:26" ht="21" customHeight="1" x14ac:dyDescent="0.85">
      <c r="A880" s="708"/>
      <c r="B880" s="708"/>
      <c r="C880" s="708"/>
      <c r="D880" s="708"/>
      <c r="E880" s="708"/>
      <c r="F880" s="708"/>
      <c r="G880" s="30"/>
      <c r="H880" s="30"/>
      <c r="I880" s="30"/>
      <c r="J880" s="30"/>
      <c r="K880" s="30"/>
      <c r="L880" s="30"/>
      <c r="M880" s="30"/>
      <c r="N880" s="30"/>
      <c r="O880" s="30"/>
      <c r="P880" s="30"/>
      <c r="Q880" s="30"/>
      <c r="R880" s="30"/>
      <c r="S880" s="30"/>
      <c r="T880" s="30"/>
      <c r="U880" s="30"/>
      <c r="V880" s="30"/>
      <c r="W880" s="30"/>
      <c r="X880" s="30"/>
      <c r="Y880" s="30"/>
      <c r="Z880" s="30"/>
    </row>
    <row r="881" spans="1:26" ht="21" customHeight="1" x14ac:dyDescent="0.85">
      <c r="A881" s="708"/>
      <c r="B881" s="708"/>
      <c r="C881" s="708"/>
      <c r="D881" s="708"/>
      <c r="E881" s="708"/>
      <c r="F881" s="708"/>
      <c r="G881" s="30"/>
      <c r="H881" s="30"/>
      <c r="I881" s="30"/>
      <c r="J881" s="30"/>
      <c r="K881" s="30"/>
      <c r="L881" s="30"/>
      <c r="M881" s="30"/>
      <c r="N881" s="30"/>
      <c r="O881" s="30"/>
      <c r="P881" s="30"/>
      <c r="Q881" s="30"/>
      <c r="R881" s="30"/>
      <c r="S881" s="30"/>
      <c r="T881" s="30"/>
      <c r="U881" s="30"/>
      <c r="V881" s="30"/>
      <c r="W881" s="30"/>
      <c r="X881" s="30"/>
      <c r="Y881" s="30"/>
      <c r="Z881" s="30"/>
    </row>
    <row r="882" spans="1:26" ht="21" customHeight="1" x14ac:dyDescent="0.85">
      <c r="A882" s="708"/>
      <c r="B882" s="708"/>
      <c r="C882" s="708"/>
      <c r="D882" s="708"/>
      <c r="E882" s="708"/>
      <c r="F882" s="708"/>
      <c r="G882" s="30"/>
      <c r="H882" s="30"/>
      <c r="I882" s="30"/>
      <c r="J882" s="30"/>
      <c r="K882" s="30"/>
      <c r="L882" s="30"/>
      <c r="M882" s="30"/>
      <c r="N882" s="30"/>
      <c r="O882" s="30"/>
      <c r="P882" s="30"/>
      <c r="Q882" s="30"/>
      <c r="R882" s="30"/>
      <c r="S882" s="30"/>
      <c r="T882" s="30"/>
      <c r="U882" s="30"/>
      <c r="V882" s="30"/>
      <c r="W882" s="30"/>
      <c r="X882" s="30"/>
      <c r="Y882" s="30"/>
      <c r="Z882" s="30"/>
    </row>
    <row r="883" spans="1:26" ht="21" customHeight="1" x14ac:dyDescent="0.85">
      <c r="A883" s="708"/>
      <c r="B883" s="708"/>
      <c r="C883" s="708"/>
      <c r="D883" s="708"/>
      <c r="E883" s="708"/>
      <c r="F883" s="708"/>
      <c r="G883" s="30"/>
      <c r="H883" s="30"/>
      <c r="I883" s="30"/>
      <c r="J883" s="30"/>
      <c r="K883" s="30"/>
      <c r="L883" s="30"/>
      <c r="M883" s="30"/>
      <c r="N883" s="30"/>
      <c r="O883" s="30"/>
      <c r="P883" s="30"/>
      <c r="Q883" s="30"/>
      <c r="R883" s="30"/>
      <c r="S883" s="30"/>
      <c r="T883" s="30"/>
      <c r="U883" s="30"/>
      <c r="V883" s="30"/>
      <c r="W883" s="30"/>
      <c r="X883" s="30"/>
      <c r="Y883" s="30"/>
      <c r="Z883" s="30"/>
    </row>
    <row r="884" spans="1:26" ht="21" customHeight="1" x14ac:dyDescent="0.85">
      <c r="A884" s="708"/>
      <c r="B884" s="708"/>
      <c r="C884" s="708"/>
      <c r="D884" s="708"/>
      <c r="E884" s="708"/>
      <c r="F884" s="708"/>
      <c r="G884" s="30"/>
      <c r="H884" s="30"/>
      <c r="I884" s="30"/>
      <c r="J884" s="30"/>
      <c r="K884" s="30"/>
      <c r="L884" s="30"/>
      <c r="M884" s="30"/>
      <c r="N884" s="30"/>
      <c r="O884" s="30"/>
      <c r="P884" s="30"/>
      <c r="Q884" s="30"/>
      <c r="R884" s="30"/>
      <c r="S884" s="30"/>
      <c r="T884" s="30"/>
      <c r="U884" s="30"/>
      <c r="V884" s="30"/>
      <c r="W884" s="30"/>
      <c r="X884" s="30"/>
      <c r="Y884" s="30"/>
      <c r="Z884" s="30"/>
    </row>
    <row r="885" spans="1:26" ht="21" customHeight="1" x14ac:dyDescent="0.85">
      <c r="A885" s="708"/>
      <c r="B885" s="708"/>
      <c r="C885" s="708"/>
      <c r="D885" s="708"/>
      <c r="E885" s="708"/>
      <c r="F885" s="708"/>
      <c r="G885" s="30"/>
      <c r="H885" s="30"/>
      <c r="I885" s="30"/>
      <c r="J885" s="30"/>
      <c r="K885" s="30"/>
      <c r="L885" s="30"/>
      <c r="M885" s="30"/>
      <c r="N885" s="30"/>
      <c r="O885" s="30"/>
      <c r="P885" s="30"/>
      <c r="Q885" s="30"/>
      <c r="R885" s="30"/>
      <c r="S885" s="30"/>
      <c r="T885" s="30"/>
      <c r="U885" s="30"/>
      <c r="V885" s="30"/>
      <c r="W885" s="30"/>
      <c r="X885" s="30"/>
      <c r="Y885" s="30"/>
      <c r="Z885" s="30"/>
    </row>
    <row r="886" spans="1:26" ht="21" customHeight="1" x14ac:dyDescent="0.85">
      <c r="A886" s="708"/>
      <c r="B886" s="708"/>
      <c r="C886" s="708"/>
      <c r="D886" s="708"/>
      <c r="E886" s="708"/>
      <c r="F886" s="708"/>
      <c r="G886" s="30"/>
      <c r="H886" s="30"/>
      <c r="I886" s="30"/>
      <c r="J886" s="30"/>
      <c r="K886" s="30"/>
      <c r="L886" s="30"/>
      <c r="M886" s="30"/>
      <c r="N886" s="30"/>
      <c r="O886" s="30"/>
      <c r="P886" s="30"/>
      <c r="Q886" s="30"/>
      <c r="R886" s="30"/>
      <c r="S886" s="30"/>
      <c r="T886" s="30"/>
      <c r="U886" s="30"/>
      <c r="V886" s="30"/>
      <c r="W886" s="30"/>
      <c r="X886" s="30"/>
      <c r="Y886" s="30"/>
      <c r="Z886" s="30"/>
    </row>
    <row r="887" spans="1:26" ht="21" customHeight="1" x14ac:dyDescent="0.85">
      <c r="A887" s="708"/>
      <c r="B887" s="708"/>
      <c r="C887" s="708"/>
      <c r="D887" s="708"/>
      <c r="E887" s="708"/>
      <c r="F887" s="708"/>
      <c r="G887" s="30"/>
      <c r="H887" s="30"/>
      <c r="I887" s="30"/>
      <c r="J887" s="30"/>
      <c r="K887" s="30"/>
      <c r="L887" s="30"/>
      <c r="M887" s="30"/>
      <c r="N887" s="30"/>
      <c r="O887" s="30"/>
      <c r="P887" s="30"/>
      <c r="Q887" s="30"/>
      <c r="R887" s="30"/>
      <c r="S887" s="30"/>
      <c r="T887" s="30"/>
      <c r="U887" s="30"/>
      <c r="V887" s="30"/>
      <c r="W887" s="30"/>
      <c r="X887" s="30"/>
      <c r="Y887" s="30"/>
      <c r="Z887" s="30"/>
    </row>
    <row r="888" spans="1:26" ht="21" customHeight="1" x14ac:dyDescent="0.85">
      <c r="A888" s="708"/>
      <c r="B888" s="708"/>
      <c r="C888" s="708"/>
      <c r="D888" s="708"/>
      <c r="E888" s="708"/>
      <c r="F888" s="708"/>
      <c r="G888" s="30"/>
      <c r="H888" s="30"/>
      <c r="I888" s="30"/>
      <c r="J888" s="30"/>
      <c r="K888" s="30"/>
      <c r="L888" s="30"/>
      <c r="M888" s="30"/>
      <c r="N888" s="30"/>
      <c r="O888" s="30"/>
      <c r="P888" s="30"/>
      <c r="Q888" s="30"/>
      <c r="R888" s="30"/>
      <c r="S888" s="30"/>
      <c r="T888" s="30"/>
      <c r="U888" s="30"/>
      <c r="V888" s="30"/>
      <c r="W888" s="30"/>
      <c r="X888" s="30"/>
      <c r="Y888" s="30"/>
      <c r="Z888" s="30"/>
    </row>
    <row r="889" spans="1:26" ht="21" customHeight="1" x14ac:dyDescent="0.85">
      <c r="A889" s="708"/>
      <c r="B889" s="708"/>
      <c r="C889" s="708"/>
      <c r="D889" s="708"/>
      <c r="E889" s="708"/>
      <c r="F889" s="708"/>
      <c r="G889" s="30"/>
      <c r="H889" s="30"/>
      <c r="I889" s="30"/>
      <c r="J889" s="30"/>
      <c r="K889" s="30"/>
      <c r="L889" s="30"/>
      <c r="M889" s="30"/>
      <c r="N889" s="30"/>
      <c r="O889" s="30"/>
      <c r="P889" s="30"/>
      <c r="Q889" s="30"/>
      <c r="R889" s="30"/>
      <c r="S889" s="30"/>
      <c r="T889" s="30"/>
      <c r="U889" s="30"/>
      <c r="V889" s="30"/>
      <c r="W889" s="30"/>
      <c r="X889" s="30"/>
      <c r="Y889" s="30"/>
      <c r="Z889" s="30"/>
    </row>
    <row r="890" spans="1:26" ht="21" customHeight="1" x14ac:dyDescent="0.85">
      <c r="A890" s="708"/>
      <c r="B890" s="708"/>
      <c r="C890" s="708"/>
      <c r="D890" s="708"/>
      <c r="E890" s="708"/>
      <c r="F890" s="708"/>
      <c r="G890" s="30"/>
      <c r="H890" s="30"/>
      <c r="I890" s="30"/>
      <c r="J890" s="30"/>
      <c r="K890" s="30"/>
      <c r="L890" s="30"/>
      <c r="M890" s="30"/>
      <c r="N890" s="30"/>
      <c r="O890" s="30"/>
      <c r="P890" s="30"/>
      <c r="Q890" s="30"/>
      <c r="R890" s="30"/>
      <c r="S890" s="30"/>
      <c r="T890" s="30"/>
      <c r="U890" s="30"/>
      <c r="V890" s="30"/>
      <c r="W890" s="30"/>
      <c r="X890" s="30"/>
      <c r="Y890" s="30"/>
      <c r="Z890" s="30"/>
    </row>
    <row r="891" spans="1:26" ht="21" customHeight="1" x14ac:dyDescent="0.85">
      <c r="A891" s="708"/>
      <c r="B891" s="708"/>
      <c r="C891" s="708"/>
      <c r="D891" s="708"/>
      <c r="E891" s="708"/>
      <c r="F891" s="708"/>
      <c r="G891" s="30"/>
      <c r="H891" s="30"/>
      <c r="I891" s="30"/>
      <c r="J891" s="30"/>
      <c r="K891" s="30"/>
      <c r="L891" s="30"/>
      <c r="M891" s="30"/>
      <c r="N891" s="30"/>
      <c r="O891" s="30"/>
      <c r="P891" s="30"/>
      <c r="Q891" s="30"/>
      <c r="R891" s="30"/>
      <c r="S891" s="30"/>
      <c r="T891" s="30"/>
      <c r="U891" s="30"/>
      <c r="V891" s="30"/>
      <c r="W891" s="30"/>
      <c r="X891" s="30"/>
      <c r="Y891" s="30"/>
      <c r="Z891" s="30"/>
    </row>
    <row r="892" spans="1:26" ht="21" customHeight="1" x14ac:dyDescent="0.85">
      <c r="A892" s="708"/>
      <c r="B892" s="708"/>
      <c r="C892" s="708"/>
      <c r="D892" s="708"/>
      <c r="E892" s="708"/>
      <c r="F892" s="708"/>
      <c r="G892" s="30"/>
      <c r="H892" s="30"/>
      <c r="I892" s="30"/>
      <c r="J892" s="30"/>
      <c r="K892" s="30"/>
      <c r="L892" s="30"/>
      <c r="M892" s="30"/>
      <c r="N892" s="30"/>
      <c r="O892" s="30"/>
      <c r="P892" s="30"/>
      <c r="Q892" s="30"/>
      <c r="R892" s="30"/>
      <c r="S892" s="30"/>
      <c r="T892" s="30"/>
      <c r="U892" s="30"/>
      <c r="V892" s="30"/>
      <c r="W892" s="30"/>
      <c r="X892" s="30"/>
      <c r="Y892" s="30"/>
      <c r="Z892" s="30"/>
    </row>
    <row r="893" spans="1:26" ht="21" customHeight="1" x14ac:dyDescent="0.85">
      <c r="A893" s="708"/>
      <c r="B893" s="708"/>
      <c r="C893" s="708"/>
      <c r="D893" s="708"/>
      <c r="E893" s="708"/>
      <c r="F893" s="708"/>
      <c r="G893" s="30"/>
      <c r="H893" s="30"/>
      <c r="I893" s="30"/>
      <c r="J893" s="30"/>
      <c r="K893" s="30"/>
      <c r="L893" s="30"/>
      <c r="M893" s="30"/>
      <c r="N893" s="30"/>
      <c r="O893" s="30"/>
      <c r="P893" s="30"/>
      <c r="Q893" s="30"/>
      <c r="R893" s="30"/>
      <c r="S893" s="30"/>
      <c r="T893" s="30"/>
      <c r="U893" s="30"/>
      <c r="V893" s="30"/>
      <c r="W893" s="30"/>
      <c r="X893" s="30"/>
      <c r="Y893" s="30"/>
      <c r="Z893" s="30"/>
    </row>
    <row r="894" spans="1:26" ht="21" customHeight="1" x14ac:dyDescent="0.85">
      <c r="A894" s="708"/>
      <c r="B894" s="708"/>
      <c r="C894" s="708"/>
      <c r="D894" s="708"/>
      <c r="E894" s="708"/>
      <c r="F894" s="708"/>
      <c r="G894" s="30"/>
      <c r="H894" s="30"/>
      <c r="I894" s="30"/>
      <c r="J894" s="30"/>
      <c r="K894" s="30"/>
      <c r="L894" s="30"/>
      <c r="M894" s="30"/>
      <c r="N894" s="30"/>
      <c r="O894" s="30"/>
      <c r="P894" s="30"/>
      <c r="Q894" s="30"/>
      <c r="R894" s="30"/>
      <c r="S894" s="30"/>
      <c r="T894" s="30"/>
      <c r="U894" s="30"/>
      <c r="V894" s="30"/>
      <c r="W894" s="30"/>
      <c r="X894" s="30"/>
      <c r="Y894" s="30"/>
      <c r="Z894" s="30"/>
    </row>
    <row r="895" spans="1:26" ht="21" customHeight="1" x14ac:dyDescent="0.85">
      <c r="A895" s="708"/>
      <c r="B895" s="708"/>
      <c r="C895" s="708"/>
      <c r="D895" s="708"/>
      <c r="E895" s="708"/>
      <c r="F895" s="708"/>
      <c r="G895" s="30"/>
      <c r="H895" s="30"/>
      <c r="I895" s="30"/>
      <c r="J895" s="30"/>
      <c r="K895" s="30"/>
      <c r="L895" s="30"/>
      <c r="M895" s="30"/>
      <c r="N895" s="30"/>
      <c r="O895" s="30"/>
      <c r="P895" s="30"/>
      <c r="Q895" s="30"/>
      <c r="R895" s="30"/>
      <c r="S895" s="30"/>
      <c r="T895" s="30"/>
      <c r="U895" s="30"/>
      <c r="V895" s="30"/>
      <c r="W895" s="30"/>
      <c r="X895" s="30"/>
      <c r="Y895" s="30"/>
      <c r="Z895" s="30"/>
    </row>
    <row r="896" spans="1:26" ht="21" customHeight="1" x14ac:dyDescent="0.85">
      <c r="A896" s="708"/>
      <c r="B896" s="708"/>
      <c r="C896" s="708"/>
      <c r="D896" s="708"/>
      <c r="E896" s="708"/>
      <c r="F896" s="708"/>
      <c r="G896" s="30"/>
      <c r="H896" s="30"/>
      <c r="I896" s="30"/>
      <c r="J896" s="30"/>
      <c r="K896" s="30"/>
      <c r="L896" s="30"/>
      <c r="M896" s="30"/>
      <c r="N896" s="30"/>
      <c r="O896" s="30"/>
      <c r="P896" s="30"/>
      <c r="Q896" s="30"/>
      <c r="R896" s="30"/>
      <c r="S896" s="30"/>
      <c r="T896" s="30"/>
      <c r="U896" s="30"/>
      <c r="V896" s="30"/>
      <c r="W896" s="30"/>
      <c r="X896" s="30"/>
      <c r="Y896" s="30"/>
      <c r="Z896" s="30"/>
    </row>
    <row r="897" spans="1:26" ht="21" customHeight="1" x14ac:dyDescent="0.85">
      <c r="A897" s="708"/>
      <c r="B897" s="708"/>
      <c r="C897" s="708"/>
      <c r="D897" s="708"/>
      <c r="E897" s="708"/>
      <c r="F897" s="708"/>
      <c r="G897" s="30"/>
      <c r="H897" s="30"/>
      <c r="I897" s="30"/>
      <c r="J897" s="30"/>
      <c r="K897" s="30"/>
      <c r="L897" s="30"/>
      <c r="M897" s="30"/>
      <c r="N897" s="30"/>
      <c r="O897" s="30"/>
      <c r="P897" s="30"/>
      <c r="Q897" s="30"/>
      <c r="R897" s="30"/>
      <c r="S897" s="30"/>
      <c r="T897" s="30"/>
      <c r="U897" s="30"/>
      <c r="V897" s="30"/>
      <c r="W897" s="30"/>
      <c r="X897" s="30"/>
      <c r="Y897" s="30"/>
      <c r="Z897" s="30"/>
    </row>
    <row r="898" spans="1:26" ht="21" customHeight="1" x14ac:dyDescent="0.85">
      <c r="A898" s="708"/>
      <c r="B898" s="708"/>
      <c r="C898" s="708"/>
      <c r="D898" s="708"/>
      <c r="E898" s="708"/>
      <c r="F898" s="708"/>
      <c r="G898" s="30"/>
      <c r="H898" s="30"/>
      <c r="I898" s="30"/>
      <c r="J898" s="30"/>
      <c r="K898" s="30"/>
      <c r="L898" s="30"/>
      <c r="M898" s="30"/>
      <c r="N898" s="30"/>
      <c r="O898" s="30"/>
      <c r="P898" s="30"/>
      <c r="Q898" s="30"/>
      <c r="R898" s="30"/>
      <c r="S898" s="30"/>
      <c r="T898" s="30"/>
      <c r="U898" s="30"/>
      <c r="V898" s="30"/>
      <c r="W898" s="30"/>
      <c r="X898" s="30"/>
      <c r="Y898" s="30"/>
      <c r="Z898" s="30"/>
    </row>
    <row r="899" spans="1:26" ht="21" customHeight="1" x14ac:dyDescent="0.85">
      <c r="A899" s="708"/>
      <c r="B899" s="708"/>
      <c r="C899" s="708"/>
      <c r="D899" s="708"/>
      <c r="E899" s="708"/>
      <c r="F899" s="708"/>
      <c r="G899" s="30"/>
      <c r="H899" s="30"/>
      <c r="I899" s="30"/>
      <c r="J899" s="30"/>
      <c r="K899" s="30"/>
      <c r="L899" s="30"/>
      <c r="M899" s="30"/>
      <c r="N899" s="30"/>
      <c r="O899" s="30"/>
      <c r="P899" s="30"/>
      <c r="Q899" s="30"/>
      <c r="R899" s="30"/>
      <c r="S899" s="30"/>
      <c r="T899" s="30"/>
      <c r="U899" s="30"/>
      <c r="V899" s="30"/>
      <c r="W899" s="30"/>
      <c r="X899" s="30"/>
      <c r="Y899" s="30"/>
      <c r="Z899" s="30"/>
    </row>
    <row r="900" spans="1:26" ht="21" customHeight="1" x14ac:dyDescent="0.85">
      <c r="A900" s="708"/>
      <c r="B900" s="708"/>
      <c r="C900" s="708"/>
      <c r="D900" s="708"/>
      <c r="E900" s="708"/>
      <c r="F900" s="708"/>
      <c r="G900" s="30"/>
      <c r="H900" s="30"/>
      <c r="I900" s="30"/>
      <c r="J900" s="30"/>
      <c r="K900" s="30"/>
      <c r="L900" s="30"/>
      <c r="M900" s="30"/>
      <c r="N900" s="30"/>
      <c r="O900" s="30"/>
      <c r="P900" s="30"/>
      <c r="Q900" s="30"/>
      <c r="R900" s="30"/>
      <c r="S900" s="30"/>
      <c r="T900" s="30"/>
      <c r="U900" s="30"/>
      <c r="V900" s="30"/>
      <c r="W900" s="30"/>
      <c r="X900" s="30"/>
      <c r="Y900" s="30"/>
      <c r="Z900" s="30"/>
    </row>
    <row r="901" spans="1:26" ht="21" customHeight="1" x14ac:dyDescent="0.85">
      <c r="A901" s="708"/>
      <c r="B901" s="708"/>
      <c r="C901" s="708"/>
      <c r="D901" s="708"/>
      <c r="E901" s="708"/>
      <c r="F901" s="708"/>
      <c r="G901" s="30"/>
      <c r="H901" s="30"/>
      <c r="I901" s="30"/>
      <c r="J901" s="30"/>
      <c r="K901" s="30"/>
      <c r="L901" s="30"/>
      <c r="M901" s="30"/>
      <c r="N901" s="30"/>
      <c r="O901" s="30"/>
      <c r="P901" s="30"/>
      <c r="Q901" s="30"/>
      <c r="R901" s="30"/>
      <c r="S901" s="30"/>
      <c r="T901" s="30"/>
      <c r="U901" s="30"/>
      <c r="V901" s="30"/>
      <c r="W901" s="30"/>
      <c r="X901" s="30"/>
      <c r="Y901" s="30"/>
      <c r="Z901" s="30"/>
    </row>
    <row r="902" spans="1:26" ht="21" customHeight="1" x14ac:dyDescent="0.85">
      <c r="A902" s="708"/>
      <c r="B902" s="708"/>
      <c r="C902" s="708"/>
      <c r="D902" s="708"/>
      <c r="E902" s="708"/>
      <c r="F902" s="708"/>
      <c r="G902" s="30"/>
      <c r="H902" s="30"/>
      <c r="I902" s="30"/>
      <c r="J902" s="30"/>
      <c r="K902" s="30"/>
      <c r="L902" s="30"/>
      <c r="M902" s="30"/>
      <c r="N902" s="30"/>
      <c r="O902" s="30"/>
      <c r="P902" s="30"/>
      <c r="Q902" s="30"/>
      <c r="R902" s="30"/>
      <c r="S902" s="30"/>
      <c r="T902" s="30"/>
      <c r="U902" s="30"/>
      <c r="V902" s="30"/>
      <c r="W902" s="30"/>
      <c r="X902" s="30"/>
      <c r="Y902" s="30"/>
      <c r="Z902" s="30"/>
    </row>
    <row r="903" spans="1:26" ht="21" customHeight="1" x14ac:dyDescent="0.85">
      <c r="A903" s="708"/>
      <c r="B903" s="708"/>
      <c r="C903" s="708"/>
      <c r="D903" s="708"/>
      <c r="E903" s="708"/>
      <c r="F903" s="708"/>
      <c r="G903" s="30"/>
      <c r="H903" s="30"/>
      <c r="I903" s="30"/>
      <c r="J903" s="30"/>
      <c r="K903" s="30"/>
      <c r="L903" s="30"/>
      <c r="M903" s="30"/>
      <c r="N903" s="30"/>
      <c r="O903" s="30"/>
      <c r="P903" s="30"/>
      <c r="Q903" s="30"/>
      <c r="R903" s="30"/>
      <c r="S903" s="30"/>
      <c r="T903" s="30"/>
      <c r="U903" s="30"/>
      <c r="V903" s="30"/>
      <c r="W903" s="30"/>
      <c r="X903" s="30"/>
      <c r="Y903" s="30"/>
      <c r="Z903" s="30"/>
    </row>
    <row r="904" spans="1:26" ht="21" customHeight="1" x14ac:dyDescent="0.85">
      <c r="A904" s="708"/>
      <c r="B904" s="708"/>
      <c r="C904" s="708"/>
      <c r="D904" s="708"/>
      <c r="E904" s="708"/>
      <c r="F904" s="708"/>
      <c r="G904" s="30"/>
      <c r="H904" s="30"/>
      <c r="I904" s="30"/>
      <c r="J904" s="30"/>
      <c r="K904" s="30"/>
      <c r="L904" s="30"/>
      <c r="M904" s="30"/>
      <c r="N904" s="30"/>
      <c r="O904" s="30"/>
      <c r="P904" s="30"/>
      <c r="Q904" s="30"/>
      <c r="R904" s="30"/>
      <c r="S904" s="30"/>
      <c r="T904" s="30"/>
      <c r="U904" s="30"/>
      <c r="V904" s="30"/>
      <c r="W904" s="30"/>
      <c r="X904" s="30"/>
      <c r="Y904" s="30"/>
      <c r="Z904" s="30"/>
    </row>
    <row r="905" spans="1:26" ht="21" customHeight="1" x14ac:dyDescent="0.85">
      <c r="A905" s="708"/>
      <c r="B905" s="708"/>
      <c r="C905" s="708"/>
      <c r="D905" s="708"/>
      <c r="E905" s="708"/>
      <c r="F905" s="708"/>
      <c r="G905" s="30"/>
      <c r="H905" s="30"/>
      <c r="I905" s="30"/>
      <c r="J905" s="30"/>
      <c r="K905" s="30"/>
      <c r="L905" s="30"/>
      <c r="M905" s="30"/>
      <c r="N905" s="30"/>
      <c r="O905" s="30"/>
      <c r="P905" s="30"/>
      <c r="Q905" s="30"/>
      <c r="R905" s="30"/>
      <c r="S905" s="30"/>
      <c r="T905" s="30"/>
      <c r="U905" s="30"/>
      <c r="V905" s="30"/>
      <c r="W905" s="30"/>
      <c r="X905" s="30"/>
      <c r="Y905" s="30"/>
      <c r="Z905" s="30"/>
    </row>
    <row r="906" spans="1:26" ht="21" customHeight="1" x14ac:dyDescent="0.85">
      <c r="A906" s="708"/>
      <c r="B906" s="708"/>
      <c r="C906" s="708"/>
      <c r="D906" s="708"/>
      <c r="E906" s="708"/>
      <c r="F906" s="708"/>
      <c r="G906" s="30"/>
      <c r="H906" s="30"/>
      <c r="I906" s="30"/>
      <c r="J906" s="30"/>
      <c r="K906" s="30"/>
      <c r="L906" s="30"/>
      <c r="M906" s="30"/>
      <c r="N906" s="30"/>
      <c r="O906" s="30"/>
      <c r="P906" s="30"/>
      <c r="Q906" s="30"/>
      <c r="R906" s="30"/>
      <c r="S906" s="30"/>
      <c r="T906" s="30"/>
      <c r="U906" s="30"/>
      <c r="V906" s="30"/>
      <c r="W906" s="30"/>
      <c r="X906" s="30"/>
      <c r="Y906" s="30"/>
      <c r="Z906" s="30"/>
    </row>
    <row r="907" spans="1:26" ht="21" customHeight="1" x14ac:dyDescent="0.85">
      <c r="A907" s="708"/>
      <c r="B907" s="708"/>
      <c r="C907" s="708"/>
      <c r="D907" s="708"/>
      <c r="E907" s="708"/>
      <c r="F907" s="708"/>
      <c r="G907" s="30"/>
      <c r="H907" s="30"/>
      <c r="I907" s="30"/>
      <c r="J907" s="30"/>
      <c r="K907" s="30"/>
      <c r="L907" s="30"/>
      <c r="M907" s="30"/>
      <c r="N907" s="30"/>
      <c r="O907" s="30"/>
      <c r="P907" s="30"/>
      <c r="Q907" s="30"/>
      <c r="R907" s="30"/>
      <c r="S907" s="30"/>
      <c r="T907" s="30"/>
      <c r="U907" s="30"/>
      <c r="V907" s="30"/>
      <c r="W907" s="30"/>
      <c r="X907" s="30"/>
      <c r="Y907" s="30"/>
      <c r="Z907" s="30"/>
    </row>
    <row r="908" spans="1:26" ht="21" customHeight="1" x14ac:dyDescent="0.85">
      <c r="A908" s="708"/>
      <c r="B908" s="708"/>
      <c r="C908" s="708"/>
      <c r="D908" s="708"/>
      <c r="E908" s="708"/>
      <c r="F908" s="708"/>
      <c r="G908" s="30"/>
      <c r="H908" s="30"/>
      <c r="I908" s="30"/>
      <c r="J908" s="30"/>
      <c r="K908" s="30"/>
      <c r="L908" s="30"/>
      <c r="M908" s="30"/>
      <c r="N908" s="30"/>
      <c r="O908" s="30"/>
      <c r="P908" s="30"/>
      <c r="Q908" s="30"/>
      <c r="R908" s="30"/>
      <c r="S908" s="30"/>
      <c r="T908" s="30"/>
      <c r="U908" s="30"/>
      <c r="V908" s="30"/>
      <c r="W908" s="30"/>
      <c r="X908" s="30"/>
      <c r="Y908" s="30"/>
      <c r="Z908" s="30"/>
    </row>
    <row r="909" spans="1:26" ht="21" customHeight="1" x14ac:dyDescent="0.85">
      <c r="A909" s="708"/>
      <c r="B909" s="708"/>
      <c r="C909" s="708"/>
      <c r="D909" s="708"/>
      <c r="E909" s="708"/>
      <c r="F909" s="708"/>
      <c r="G909" s="30"/>
      <c r="H909" s="30"/>
      <c r="I909" s="30"/>
      <c r="J909" s="30"/>
      <c r="K909" s="30"/>
      <c r="L909" s="30"/>
      <c r="M909" s="30"/>
      <c r="N909" s="30"/>
      <c r="O909" s="30"/>
      <c r="P909" s="30"/>
      <c r="Q909" s="30"/>
      <c r="R909" s="30"/>
      <c r="S909" s="30"/>
      <c r="T909" s="30"/>
      <c r="U909" s="30"/>
      <c r="V909" s="30"/>
      <c r="W909" s="30"/>
      <c r="X909" s="30"/>
      <c r="Y909" s="30"/>
      <c r="Z909" s="30"/>
    </row>
    <row r="910" spans="1:26" ht="21" customHeight="1" x14ac:dyDescent="0.85">
      <c r="A910" s="708"/>
      <c r="B910" s="708"/>
      <c r="C910" s="708"/>
      <c r="D910" s="708"/>
      <c r="E910" s="708"/>
      <c r="F910" s="708"/>
      <c r="G910" s="30"/>
      <c r="H910" s="30"/>
      <c r="I910" s="30"/>
      <c r="J910" s="30"/>
      <c r="K910" s="30"/>
      <c r="L910" s="30"/>
      <c r="M910" s="30"/>
      <c r="N910" s="30"/>
      <c r="O910" s="30"/>
      <c r="P910" s="30"/>
      <c r="Q910" s="30"/>
      <c r="R910" s="30"/>
      <c r="S910" s="30"/>
      <c r="T910" s="30"/>
      <c r="U910" s="30"/>
      <c r="V910" s="30"/>
      <c r="W910" s="30"/>
      <c r="X910" s="30"/>
      <c r="Y910" s="30"/>
      <c r="Z910" s="30"/>
    </row>
    <row r="911" spans="1:26" ht="21" customHeight="1" x14ac:dyDescent="0.85">
      <c r="A911" s="708"/>
      <c r="B911" s="708"/>
      <c r="C911" s="708"/>
      <c r="D911" s="708"/>
      <c r="E911" s="708"/>
      <c r="F911" s="708"/>
      <c r="G911" s="30"/>
      <c r="H911" s="30"/>
      <c r="I911" s="30"/>
      <c r="J911" s="30"/>
      <c r="K911" s="30"/>
      <c r="L911" s="30"/>
      <c r="M911" s="30"/>
      <c r="N911" s="30"/>
      <c r="O911" s="30"/>
      <c r="P911" s="30"/>
      <c r="Q911" s="30"/>
      <c r="R911" s="30"/>
      <c r="S911" s="30"/>
      <c r="T911" s="30"/>
      <c r="U911" s="30"/>
      <c r="V911" s="30"/>
      <c r="W911" s="30"/>
      <c r="X911" s="30"/>
      <c r="Y911" s="30"/>
      <c r="Z911" s="30"/>
    </row>
    <row r="912" spans="1:26" ht="21" customHeight="1" x14ac:dyDescent="0.85">
      <c r="A912" s="708"/>
      <c r="B912" s="708"/>
      <c r="C912" s="708"/>
      <c r="D912" s="708"/>
      <c r="E912" s="708"/>
      <c r="F912" s="708"/>
      <c r="G912" s="30"/>
      <c r="H912" s="30"/>
      <c r="I912" s="30"/>
      <c r="J912" s="30"/>
      <c r="K912" s="30"/>
      <c r="L912" s="30"/>
      <c r="M912" s="30"/>
      <c r="N912" s="30"/>
      <c r="O912" s="30"/>
      <c r="P912" s="30"/>
      <c r="Q912" s="30"/>
      <c r="R912" s="30"/>
      <c r="S912" s="30"/>
      <c r="T912" s="30"/>
      <c r="U912" s="30"/>
      <c r="V912" s="30"/>
      <c r="W912" s="30"/>
      <c r="X912" s="30"/>
      <c r="Y912" s="30"/>
      <c r="Z912" s="30"/>
    </row>
    <row r="913" spans="1:26" ht="21" customHeight="1" x14ac:dyDescent="0.85">
      <c r="A913" s="708"/>
      <c r="B913" s="708"/>
      <c r="C913" s="708"/>
      <c r="D913" s="708"/>
      <c r="E913" s="708"/>
      <c r="F913" s="708"/>
      <c r="G913" s="30"/>
      <c r="H913" s="30"/>
      <c r="I913" s="30"/>
      <c r="J913" s="30"/>
      <c r="K913" s="30"/>
      <c r="L913" s="30"/>
      <c r="M913" s="30"/>
      <c r="N913" s="30"/>
      <c r="O913" s="30"/>
      <c r="P913" s="30"/>
      <c r="Q913" s="30"/>
      <c r="R913" s="30"/>
      <c r="S913" s="30"/>
      <c r="T913" s="30"/>
      <c r="U913" s="30"/>
      <c r="V913" s="30"/>
      <c r="W913" s="30"/>
      <c r="X913" s="30"/>
      <c r="Y913" s="30"/>
      <c r="Z913" s="30"/>
    </row>
    <row r="914" spans="1:26" ht="21" customHeight="1" x14ac:dyDescent="0.85">
      <c r="A914" s="708"/>
      <c r="B914" s="708"/>
      <c r="C914" s="708"/>
      <c r="D914" s="708"/>
      <c r="E914" s="708"/>
      <c r="F914" s="708"/>
      <c r="G914" s="30"/>
      <c r="H914" s="30"/>
      <c r="I914" s="30"/>
      <c r="J914" s="30"/>
      <c r="K914" s="30"/>
      <c r="L914" s="30"/>
      <c r="M914" s="30"/>
      <c r="N914" s="30"/>
      <c r="O914" s="30"/>
      <c r="P914" s="30"/>
      <c r="Q914" s="30"/>
      <c r="R914" s="30"/>
      <c r="S914" s="30"/>
      <c r="T914" s="30"/>
      <c r="U914" s="30"/>
      <c r="V914" s="30"/>
      <c r="W914" s="30"/>
      <c r="X914" s="30"/>
      <c r="Y914" s="30"/>
      <c r="Z914" s="30"/>
    </row>
    <row r="915" spans="1:26" ht="21" customHeight="1" x14ac:dyDescent="0.85">
      <c r="A915" s="708"/>
      <c r="B915" s="708"/>
      <c r="C915" s="708"/>
      <c r="D915" s="708"/>
      <c r="E915" s="708"/>
      <c r="F915" s="708"/>
      <c r="G915" s="30"/>
      <c r="H915" s="30"/>
      <c r="I915" s="30"/>
      <c r="J915" s="30"/>
      <c r="K915" s="30"/>
      <c r="L915" s="30"/>
      <c r="M915" s="30"/>
      <c r="N915" s="30"/>
      <c r="O915" s="30"/>
      <c r="P915" s="30"/>
      <c r="Q915" s="30"/>
      <c r="R915" s="30"/>
      <c r="S915" s="30"/>
      <c r="T915" s="30"/>
      <c r="U915" s="30"/>
      <c r="V915" s="30"/>
      <c r="W915" s="30"/>
      <c r="X915" s="30"/>
      <c r="Y915" s="30"/>
      <c r="Z915" s="30"/>
    </row>
    <row r="916" spans="1:26" ht="21" customHeight="1" x14ac:dyDescent="0.85">
      <c r="A916" s="708"/>
      <c r="B916" s="708"/>
      <c r="C916" s="708"/>
      <c r="D916" s="708"/>
      <c r="E916" s="708"/>
      <c r="F916" s="708"/>
      <c r="G916" s="30"/>
      <c r="H916" s="30"/>
      <c r="I916" s="30"/>
      <c r="J916" s="30"/>
      <c r="K916" s="30"/>
      <c r="L916" s="30"/>
      <c r="M916" s="30"/>
      <c r="N916" s="30"/>
      <c r="O916" s="30"/>
      <c r="P916" s="30"/>
      <c r="Q916" s="30"/>
      <c r="R916" s="30"/>
      <c r="S916" s="30"/>
      <c r="T916" s="30"/>
      <c r="U916" s="30"/>
      <c r="V916" s="30"/>
      <c r="W916" s="30"/>
      <c r="X916" s="30"/>
      <c r="Y916" s="30"/>
      <c r="Z916" s="30"/>
    </row>
    <row r="917" spans="1:26" ht="21" customHeight="1" x14ac:dyDescent="0.85">
      <c r="A917" s="708"/>
      <c r="B917" s="708"/>
      <c r="C917" s="708"/>
      <c r="D917" s="708"/>
      <c r="E917" s="708"/>
      <c r="F917" s="708"/>
      <c r="G917" s="30"/>
      <c r="H917" s="30"/>
      <c r="I917" s="30"/>
      <c r="J917" s="30"/>
      <c r="K917" s="30"/>
      <c r="L917" s="30"/>
      <c r="M917" s="30"/>
      <c r="N917" s="30"/>
      <c r="O917" s="30"/>
      <c r="P917" s="30"/>
      <c r="Q917" s="30"/>
      <c r="R917" s="30"/>
      <c r="S917" s="30"/>
      <c r="T917" s="30"/>
      <c r="U917" s="30"/>
      <c r="V917" s="30"/>
      <c r="W917" s="30"/>
      <c r="X917" s="30"/>
      <c r="Y917" s="30"/>
      <c r="Z917" s="30"/>
    </row>
    <row r="918" spans="1:26" ht="21" customHeight="1" x14ac:dyDescent="0.85">
      <c r="A918" s="708"/>
      <c r="B918" s="708"/>
      <c r="C918" s="708"/>
      <c r="D918" s="708"/>
      <c r="E918" s="708"/>
      <c r="F918" s="708"/>
      <c r="G918" s="30"/>
      <c r="H918" s="30"/>
      <c r="I918" s="30"/>
      <c r="J918" s="30"/>
      <c r="K918" s="30"/>
      <c r="L918" s="30"/>
      <c r="M918" s="30"/>
      <c r="N918" s="30"/>
      <c r="O918" s="30"/>
      <c r="P918" s="30"/>
      <c r="Q918" s="30"/>
      <c r="R918" s="30"/>
      <c r="S918" s="30"/>
      <c r="T918" s="30"/>
      <c r="U918" s="30"/>
      <c r="V918" s="30"/>
      <c r="W918" s="30"/>
      <c r="X918" s="30"/>
      <c r="Y918" s="30"/>
      <c r="Z918" s="30"/>
    </row>
    <row r="919" spans="1:26" ht="21" customHeight="1" x14ac:dyDescent="0.85">
      <c r="A919" s="708"/>
      <c r="B919" s="708"/>
      <c r="C919" s="708"/>
      <c r="D919" s="708"/>
      <c r="E919" s="708"/>
      <c r="F919" s="708"/>
      <c r="G919" s="30"/>
      <c r="H919" s="30"/>
      <c r="I919" s="30"/>
      <c r="J919" s="30"/>
      <c r="K919" s="30"/>
      <c r="L919" s="30"/>
      <c r="M919" s="30"/>
      <c r="N919" s="30"/>
      <c r="O919" s="30"/>
      <c r="P919" s="30"/>
      <c r="Q919" s="30"/>
      <c r="R919" s="30"/>
      <c r="S919" s="30"/>
      <c r="T919" s="30"/>
      <c r="U919" s="30"/>
      <c r="V919" s="30"/>
      <c r="W919" s="30"/>
      <c r="X919" s="30"/>
      <c r="Y919" s="30"/>
      <c r="Z919" s="30"/>
    </row>
    <row r="920" spans="1:26" ht="21" customHeight="1" x14ac:dyDescent="0.85">
      <c r="A920" s="708"/>
      <c r="B920" s="708"/>
      <c r="C920" s="708"/>
      <c r="D920" s="708"/>
      <c r="E920" s="708"/>
      <c r="F920" s="708"/>
      <c r="G920" s="30"/>
      <c r="H920" s="30"/>
      <c r="I920" s="30"/>
      <c r="J920" s="30"/>
      <c r="K920" s="30"/>
      <c r="L920" s="30"/>
      <c r="M920" s="30"/>
      <c r="N920" s="30"/>
      <c r="O920" s="30"/>
      <c r="P920" s="30"/>
      <c r="Q920" s="30"/>
      <c r="R920" s="30"/>
      <c r="S920" s="30"/>
      <c r="T920" s="30"/>
      <c r="U920" s="30"/>
      <c r="V920" s="30"/>
      <c r="W920" s="30"/>
      <c r="X920" s="30"/>
      <c r="Y920" s="30"/>
      <c r="Z920" s="30"/>
    </row>
    <row r="921" spans="1:26" ht="21" customHeight="1" x14ac:dyDescent="0.85">
      <c r="A921" s="708"/>
      <c r="B921" s="708"/>
      <c r="C921" s="708"/>
      <c r="D921" s="708"/>
      <c r="E921" s="708"/>
      <c r="F921" s="708"/>
      <c r="G921" s="30"/>
      <c r="H921" s="30"/>
      <c r="I921" s="30"/>
      <c r="J921" s="30"/>
      <c r="K921" s="30"/>
      <c r="L921" s="30"/>
      <c r="M921" s="30"/>
      <c r="N921" s="30"/>
      <c r="O921" s="30"/>
      <c r="P921" s="30"/>
      <c r="Q921" s="30"/>
      <c r="R921" s="30"/>
      <c r="S921" s="30"/>
      <c r="T921" s="30"/>
      <c r="U921" s="30"/>
      <c r="V921" s="30"/>
      <c r="W921" s="30"/>
      <c r="X921" s="30"/>
      <c r="Y921" s="30"/>
      <c r="Z921" s="30"/>
    </row>
    <row r="922" spans="1:26" ht="21" customHeight="1" x14ac:dyDescent="0.85">
      <c r="A922" s="708"/>
      <c r="B922" s="708"/>
      <c r="C922" s="708"/>
      <c r="D922" s="708"/>
      <c r="E922" s="708"/>
      <c r="F922" s="708"/>
      <c r="G922" s="30"/>
      <c r="H922" s="30"/>
      <c r="I922" s="30"/>
      <c r="J922" s="30"/>
      <c r="K922" s="30"/>
      <c r="L922" s="30"/>
      <c r="M922" s="30"/>
      <c r="N922" s="30"/>
      <c r="O922" s="30"/>
      <c r="P922" s="30"/>
      <c r="Q922" s="30"/>
      <c r="R922" s="30"/>
      <c r="S922" s="30"/>
      <c r="T922" s="30"/>
      <c r="U922" s="30"/>
      <c r="V922" s="30"/>
      <c r="W922" s="30"/>
      <c r="X922" s="30"/>
      <c r="Y922" s="30"/>
      <c r="Z922" s="30"/>
    </row>
    <row r="923" spans="1:26" ht="21" customHeight="1" x14ac:dyDescent="0.85">
      <c r="A923" s="708"/>
      <c r="B923" s="708"/>
      <c r="C923" s="708"/>
      <c r="D923" s="708"/>
      <c r="E923" s="708"/>
      <c r="F923" s="708"/>
      <c r="G923" s="30"/>
      <c r="H923" s="30"/>
      <c r="I923" s="30"/>
      <c r="J923" s="30"/>
      <c r="K923" s="30"/>
      <c r="L923" s="30"/>
      <c r="M923" s="30"/>
      <c r="N923" s="30"/>
      <c r="O923" s="30"/>
      <c r="P923" s="30"/>
      <c r="Q923" s="30"/>
      <c r="R923" s="30"/>
      <c r="S923" s="30"/>
      <c r="T923" s="30"/>
      <c r="U923" s="30"/>
      <c r="V923" s="30"/>
      <c r="W923" s="30"/>
      <c r="X923" s="30"/>
      <c r="Y923" s="30"/>
      <c r="Z923" s="30"/>
    </row>
    <row r="924" spans="1:26" ht="21" customHeight="1" x14ac:dyDescent="0.85">
      <c r="A924" s="708"/>
      <c r="B924" s="708"/>
      <c r="C924" s="708"/>
      <c r="D924" s="708"/>
      <c r="E924" s="708"/>
      <c r="F924" s="708"/>
      <c r="G924" s="30"/>
      <c r="H924" s="30"/>
      <c r="I924" s="30"/>
      <c r="J924" s="30"/>
      <c r="K924" s="30"/>
      <c r="L924" s="30"/>
      <c r="M924" s="30"/>
      <c r="N924" s="30"/>
      <c r="O924" s="30"/>
      <c r="P924" s="30"/>
      <c r="Q924" s="30"/>
      <c r="R924" s="30"/>
      <c r="S924" s="30"/>
      <c r="T924" s="30"/>
      <c r="U924" s="30"/>
      <c r="V924" s="30"/>
      <c r="W924" s="30"/>
      <c r="X924" s="30"/>
      <c r="Y924" s="30"/>
      <c r="Z924" s="30"/>
    </row>
    <row r="925" spans="1:26" ht="21" customHeight="1" x14ac:dyDescent="0.85">
      <c r="A925" s="708"/>
      <c r="B925" s="708"/>
      <c r="C925" s="708"/>
      <c r="D925" s="708"/>
      <c r="E925" s="708"/>
      <c r="F925" s="708"/>
      <c r="G925" s="30"/>
      <c r="H925" s="30"/>
      <c r="I925" s="30"/>
      <c r="J925" s="30"/>
      <c r="K925" s="30"/>
      <c r="L925" s="30"/>
      <c r="M925" s="30"/>
      <c r="N925" s="30"/>
      <c r="O925" s="30"/>
      <c r="P925" s="30"/>
      <c r="Q925" s="30"/>
      <c r="R925" s="30"/>
      <c r="S925" s="30"/>
      <c r="T925" s="30"/>
      <c r="U925" s="30"/>
      <c r="V925" s="30"/>
      <c r="W925" s="30"/>
      <c r="X925" s="30"/>
      <c r="Y925" s="30"/>
      <c r="Z925" s="30"/>
    </row>
    <row r="926" spans="1:26" ht="21" customHeight="1" x14ac:dyDescent="0.85">
      <c r="A926" s="708"/>
      <c r="B926" s="708"/>
      <c r="C926" s="708"/>
      <c r="D926" s="708"/>
      <c r="E926" s="708"/>
      <c r="F926" s="708"/>
      <c r="G926" s="30"/>
      <c r="H926" s="30"/>
      <c r="I926" s="30"/>
      <c r="J926" s="30"/>
      <c r="K926" s="30"/>
      <c r="L926" s="30"/>
      <c r="M926" s="30"/>
      <c r="N926" s="30"/>
      <c r="O926" s="30"/>
      <c r="P926" s="30"/>
      <c r="Q926" s="30"/>
      <c r="R926" s="30"/>
      <c r="S926" s="30"/>
      <c r="T926" s="30"/>
      <c r="U926" s="30"/>
      <c r="V926" s="30"/>
      <c r="W926" s="30"/>
      <c r="X926" s="30"/>
      <c r="Y926" s="30"/>
      <c r="Z926" s="30"/>
    </row>
    <row r="927" spans="1:26" ht="21" customHeight="1" x14ac:dyDescent="0.85">
      <c r="A927" s="708"/>
      <c r="B927" s="708"/>
      <c r="C927" s="708"/>
      <c r="D927" s="708"/>
      <c r="E927" s="708"/>
      <c r="F927" s="708"/>
      <c r="G927" s="30"/>
      <c r="H927" s="30"/>
      <c r="I927" s="30"/>
      <c r="J927" s="30"/>
      <c r="K927" s="30"/>
      <c r="L927" s="30"/>
      <c r="M927" s="30"/>
      <c r="N927" s="30"/>
      <c r="O927" s="30"/>
      <c r="P927" s="30"/>
      <c r="Q927" s="30"/>
      <c r="R927" s="30"/>
      <c r="S927" s="30"/>
      <c r="T927" s="30"/>
      <c r="U927" s="30"/>
      <c r="V927" s="30"/>
      <c r="W927" s="30"/>
      <c r="X927" s="30"/>
      <c r="Y927" s="30"/>
      <c r="Z927" s="30"/>
    </row>
    <row r="928" spans="1:26" ht="21" customHeight="1" x14ac:dyDescent="0.85">
      <c r="A928" s="708"/>
      <c r="B928" s="708"/>
      <c r="C928" s="708"/>
      <c r="D928" s="708"/>
      <c r="E928" s="708"/>
      <c r="F928" s="708"/>
      <c r="G928" s="30"/>
      <c r="H928" s="30"/>
      <c r="I928" s="30"/>
      <c r="J928" s="30"/>
      <c r="K928" s="30"/>
      <c r="L928" s="30"/>
      <c r="M928" s="30"/>
      <c r="N928" s="30"/>
      <c r="O928" s="30"/>
      <c r="P928" s="30"/>
      <c r="Q928" s="30"/>
      <c r="R928" s="30"/>
      <c r="S928" s="30"/>
      <c r="T928" s="30"/>
      <c r="U928" s="30"/>
      <c r="V928" s="30"/>
      <c r="W928" s="30"/>
      <c r="X928" s="30"/>
      <c r="Y928" s="30"/>
      <c r="Z928" s="30"/>
    </row>
    <row r="929" spans="1:26" ht="21" customHeight="1" x14ac:dyDescent="0.85">
      <c r="A929" s="708"/>
      <c r="B929" s="708"/>
      <c r="C929" s="708"/>
      <c r="D929" s="708"/>
      <c r="E929" s="708"/>
      <c r="F929" s="708"/>
      <c r="G929" s="30"/>
      <c r="H929" s="30"/>
      <c r="I929" s="30"/>
      <c r="J929" s="30"/>
      <c r="K929" s="30"/>
      <c r="L929" s="30"/>
      <c r="M929" s="30"/>
      <c r="N929" s="30"/>
      <c r="O929" s="30"/>
      <c r="P929" s="30"/>
      <c r="Q929" s="30"/>
      <c r="R929" s="30"/>
      <c r="S929" s="30"/>
      <c r="T929" s="30"/>
      <c r="U929" s="30"/>
      <c r="V929" s="30"/>
      <c r="W929" s="30"/>
      <c r="X929" s="30"/>
      <c r="Y929" s="30"/>
      <c r="Z929" s="30"/>
    </row>
    <row r="930" spans="1:26" ht="21" customHeight="1" x14ac:dyDescent="0.85">
      <c r="A930" s="708"/>
      <c r="B930" s="708"/>
      <c r="C930" s="708"/>
      <c r="D930" s="708"/>
      <c r="E930" s="708"/>
      <c r="F930" s="708"/>
      <c r="G930" s="30"/>
      <c r="H930" s="30"/>
      <c r="I930" s="30"/>
      <c r="J930" s="30"/>
      <c r="K930" s="30"/>
      <c r="L930" s="30"/>
      <c r="M930" s="30"/>
      <c r="N930" s="30"/>
      <c r="O930" s="30"/>
      <c r="P930" s="30"/>
      <c r="Q930" s="30"/>
      <c r="R930" s="30"/>
      <c r="S930" s="30"/>
      <c r="T930" s="30"/>
      <c r="U930" s="30"/>
      <c r="V930" s="30"/>
      <c r="W930" s="30"/>
      <c r="X930" s="30"/>
      <c r="Y930" s="30"/>
      <c r="Z930" s="30"/>
    </row>
    <row r="931" spans="1:26" ht="21" customHeight="1" x14ac:dyDescent="0.85">
      <c r="A931" s="708"/>
      <c r="B931" s="708"/>
      <c r="C931" s="708"/>
      <c r="D931" s="708"/>
      <c r="E931" s="708"/>
      <c r="F931" s="708"/>
      <c r="G931" s="30"/>
      <c r="H931" s="30"/>
      <c r="I931" s="30"/>
      <c r="J931" s="30"/>
      <c r="K931" s="30"/>
      <c r="L931" s="30"/>
      <c r="M931" s="30"/>
      <c r="N931" s="30"/>
      <c r="O931" s="30"/>
      <c r="P931" s="30"/>
      <c r="Q931" s="30"/>
      <c r="R931" s="30"/>
      <c r="S931" s="30"/>
      <c r="T931" s="30"/>
      <c r="U931" s="30"/>
      <c r="V931" s="30"/>
      <c r="W931" s="30"/>
      <c r="X931" s="30"/>
      <c r="Y931" s="30"/>
      <c r="Z931" s="30"/>
    </row>
    <row r="932" spans="1:26" ht="21" customHeight="1" x14ac:dyDescent="0.85">
      <c r="A932" s="708"/>
      <c r="B932" s="708"/>
      <c r="C932" s="708"/>
      <c r="D932" s="708"/>
      <c r="E932" s="708"/>
      <c r="F932" s="708"/>
      <c r="G932" s="30"/>
      <c r="H932" s="30"/>
      <c r="I932" s="30"/>
      <c r="J932" s="30"/>
      <c r="K932" s="30"/>
      <c r="L932" s="30"/>
      <c r="M932" s="30"/>
      <c r="N932" s="30"/>
      <c r="O932" s="30"/>
      <c r="P932" s="30"/>
      <c r="Q932" s="30"/>
      <c r="R932" s="30"/>
      <c r="S932" s="30"/>
      <c r="T932" s="30"/>
      <c r="U932" s="30"/>
      <c r="V932" s="30"/>
      <c r="W932" s="30"/>
      <c r="X932" s="30"/>
      <c r="Y932" s="30"/>
      <c r="Z932" s="30"/>
    </row>
    <row r="933" spans="1:26" ht="21" customHeight="1" x14ac:dyDescent="0.85">
      <c r="A933" s="708"/>
      <c r="B933" s="708"/>
      <c r="C933" s="708"/>
      <c r="D933" s="708"/>
      <c r="E933" s="708"/>
      <c r="F933" s="708"/>
      <c r="G933" s="30"/>
      <c r="H933" s="30"/>
      <c r="I933" s="30"/>
      <c r="J933" s="30"/>
      <c r="K933" s="30"/>
      <c r="L933" s="30"/>
      <c r="M933" s="30"/>
      <c r="N933" s="30"/>
      <c r="O933" s="30"/>
      <c r="P933" s="30"/>
      <c r="Q933" s="30"/>
      <c r="R933" s="30"/>
      <c r="S933" s="30"/>
      <c r="T933" s="30"/>
      <c r="U933" s="30"/>
      <c r="V933" s="30"/>
      <c r="W933" s="30"/>
      <c r="X933" s="30"/>
      <c r="Y933" s="30"/>
      <c r="Z933" s="30"/>
    </row>
    <row r="934" spans="1:26" ht="21" customHeight="1" x14ac:dyDescent="0.85">
      <c r="A934" s="708"/>
      <c r="B934" s="708"/>
      <c r="C934" s="708"/>
      <c r="D934" s="708"/>
      <c r="E934" s="708"/>
      <c r="F934" s="708"/>
      <c r="G934" s="30"/>
      <c r="H934" s="30"/>
      <c r="I934" s="30"/>
      <c r="J934" s="30"/>
      <c r="K934" s="30"/>
      <c r="L934" s="30"/>
      <c r="M934" s="30"/>
      <c r="N934" s="30"/>
      <c r="O934" s="30"/>
      <c r="P934" s="30"/>
      <c r="Q934" s="30"/>
      <c r="R934" s="30"/>
      <c r="S934" s="30"/>
      <c r="T934" s="30"/>
      <c r="U934" s="30"/>
      <c r="V934" s="30"/>
      <c r="W934" s="30"/>
      <c r="X934" s="30"/>
      <c r="Y934" s="30"/>
      <c r="Z934" s="30"/>
    </row>
    <row r="935" spans="1:26" ht="21" customHeight="1" x14ac:dyDescent="0.85">
      <c r="A935" s="708"/>
      <c r="B935" s="708"/>
      <c r="C935" s="708"/>
      <c r="D935" s="708"/>
      <c r="E935" s="708"/>
      <c r="F935" s="708"/>
      <c r="G935" s="30"/>
      <c r="H935" s="30"/>
      <c r="I935" s="30"/>
      <c r="J935" s="30"/>
      <c r="K935" s="30"/>
      <c r="L935" s="30"/>
      <c r="M935" s="30"/>
      <c r="N935" s="30"/>
      <c r="O935" s="30"/>
      <c r="P935" s="30"/>
      <c r="Q935" s="30"/>
      <c r="R935" s="30"/>
      <c r="S935" s="30"/>
      <c r="T935" s="30"/>
      <c r="U935" s="30"/>
      <c r="V935" s="30"/>
      <c r="W935" s="30"/>
      <c r="X935" s="30"/>
      <c r="Y935" s="30"/>
      <c r="Z935" s="30"/>
    </row>
    <row r="936" spans="1:26" ht="21" customHeight="1" x14ac:dyDescent="0.85">
      <c r="A936" s="708"/>
      <c r="B936" s="708"/>
      <c r="C936" s="708"/>
      <c r="D936" s="708"/>
      <c r="E936" s="708"/>
      <c r="F936" s="708"/>
      <c r="G936" s="30"/>
      <c r="H936" s="30"/>
      <c r="I936" s="30"/>
      <c r="J936" s="30"/>
      <c r="K936" s="30"/>
      <c r="L936" s="30"/>
      <c r="M936" s="30"/>
      <c r="N936" s="30"/>
      <c r="O936" s="30"/>
      <c r="P936" s="30"/>
      <c r="Q936" s="30"/>
      <c r="R936" s="30"/>
      <c r="S936" s="30"/>
      <c r="T936" s="30"/>
      <c r="U936" s="30"/>
      <c r="V936" s="30"/>
      <c r="W936" s="30"/>
      <c r="X936" s="30"/>
      <c r="Y936" s="30"/>
      <c r="Z936" s="30"/>
    </row>
    <row r="937" spans="1:26" ht="21" customHeight="1" x14ac:dyDescent="0.85">
      <c r="A937" s="708"/>
      <c r="B937" s="708"/>
      <c r="C937" s="708"/>
      <c r="D937" s="708"/>
      <c r="E937" s="708"/>
      <c r="F937" s="708"/>
      <c r="G937" s="30"/>
      <c r="H937" s="30"/>
      <c r="I937" s="30"/>
      <c r="J937" s="30"/>
      <c r="K937" s="30"/>
      <c r="L937" s="30"/>
      <c r="M937" s="30"/>
      <c r="N937" s="30"/>
      <c r="O937" s="30"/>
      <c r="P937" s="30"/>
      <c r="Q937" s="30"/>
      <c r="R937" s="30"/>
      <c r="S937" s="30"/>
      <c r="T937" s="30"/>
      <c r="U937" s="30"/>
      <c r="V937" s="30"/>
      <c r="W937" s="30"/>
      <c r="X937" s="30"/>
      <c r="Y937" s="30"/>
      <c r="Z937" s="30"/>
    </row>
    <row r="938" spans="1:26" ht="21" customHeight="1" x14ac:dyDescent="0.85">
      <c r="A938" s="708"/>
      <c r="B938" s="708"/>
      <c r="C938" s="708"/>
      <c r="D938" s="708"/>
      <c r="E938" s="708"/>
      <c r="F938" s="708"/>
      <c r="G938" s="30"/>
      <c r="H938" s="30"/>
      <c r="I938" s="30"/>
      <c r="J938" s="30"/>
      <c r="K938" s="30"/>
      <c r="L938" s="30"/>
      <c r="M938" s="30"/>
      <c r="N938" s="30"/>
      <c r="O938" s="30"/>
      <c r="P938" s="30"/>
      <c r="Q938" s="30"/>
      <c r="R938" s="30"/>
      <c r="S938" s="30"/>
      <c r="T938" s="30"/>
      <c r="U938" s="30"/>
      <c r="V938" s="30"/>
      <c r="W938" s="30"/>
      <c r="X938" s="30"/>
      <c r="Y938" s="30"/>
      <c r="Z938" s="30"/>
    </row>
    <row r="939" spans="1:26" ht="21" customHeight="1" x14ac:dyDescent="0.85">
      <c r="A939" s="708"/>
      <c r="B939" s="708"/>
      <c r="C939" s="708"/>
      <c r="D939" s="708"/>
      <c r="E939" s="708"/>
      <c r="F939" s="708"/>
      <c r="G939" s="30"/>
      <c r="H939" s="30"/>
      <c r="I939" s="30"/>
      <c r="J939" s="30"/>
      <c r="K939" s="30"/>
      <c r="L939" s="30"/>
      <c r="M939" s="30"/>
      <c r="N939" s="30"/>
      <c r="O939" s="30"/>
      <c r="P939" s="30"/>
      <c r="Q939" s="30"/>
      <c r="R939" s="30"/>
      <c r="S939" s="30"/>
      <c r="T939" s="30"/>
      <c r="U939" s="30"/>
      <c r="V939" s="30"/>
      <c r="W939" s="30"/>
      <c r="X939" s="30"/>
      <c r="Y939" s="30"/>
      <c r="Z939" s="30"/>
    </row>
    <row r="940" spans="1:26" ht="21" customHeight="1" x14ac:dyDescent="0.85">
      <c r="A940" s="708"/>
      <c r="B940" s="708"/>
      <c r="C940" s="708"/>
      <c r="D940" s="708"/>
      <c r="E940" s="708"/>
      <c r="F940" s="708"/>
      <c r="G940" s="30"/>
      <c r="H940" s="30"/>
      <c r="I940" s="30"/>
      <c r="J940" s="30"/>
      <c r="K940" s="30"/>
      <c r="L940" s="30"/>
      <c r="M940" s="30"/>
      <c r="N940" s="30"/>
      <c r="O940" s="30"/>
      <c r="P940" s="30"/>
      <c r="Q940" s="30"/>
      <c r="R940" s="30"/>
      <c r="S940" s="30"/>
      <c r="T940" s="30"/>
      <c r="U940" s="30"/>
      <c r="V940" s="30"/>
      <c r="W940" s="30"/>
      <c r="X940" s="30"/>
      <c r="Y940" s="30"/>
      <c r="Z940" s="30"/>
    </row>
    <row r="941" spans="1:26" ht="21" customHeight="1" x14ac:dyDescent="0.85">
      <c r="A941" s="708"/>
      <c r="B941" s="708"/>
      <c r="C941" s="708"/>
      <c r="D941" s="708"/>
      <c r="E941" s="708"/>
      <c r="F941" s="708"/>
      <c r="G941" s="30"/>
      <c r="H941" s="30"/>
      <c r="I941" s="30"/>
      <c r="J941" s="30"/>
      <c r="K941" s="30"/>
      <c r="L941" s="30"/>
      <c r="M941" s="30"/>
      <c r="N941" s="30"/>
      <c r="O941" s="30"/>
      <c r="P941" s="30"/>
      <c r="Q941" s="30"/>
      <c r="R941" s="30"/>
      <c r="S941" s="30"/>
      <c r="T941" s="30"/>
      <c r="U941" s="30"/>
      <c r="V941" s="30"/>
      <c r="W941" s="30"/>
      <c r="X941" s="30"/>
      <c r="Y941" s="30"/>
      <c r="Z941" s="30"/>
    </row>
    <row r="942" spans="1:26" ht="21" customHeight="1" x14ac:dyDescent="0.85">
      <c r="A942" s="708"/>
      <c r="B942" s="708"/>
      <c r="C942" s="708"/>
      <c r="D942" s="708"/>
      <c r="E942" s="708"/>
      <c r="F942" s="708"/>
      <c r="G942" s="30"/>
      <c r="H942" s="30"/>
      <c r="I942" s="30"/>
      <c r="J942" s="30"/>
      <c r="K942" s="30"/>
      <c r="L942" s="30"/>
      <c r="M942" s="30"/>
      <c r="N942" s="30"/>
      <c r="O942" s="30"/>
      <c r="P942" s="30"/>
      <c r="Q942" s="30"/>
      <c r="R942" s="30"/>
      <c r="S942" s="30"/>
      <c r="T942" s="30"/>
      <c r="U942" s="30"/>
      <c r="V942" s="30"/>
      <c r="W942" s="30"/>
      <c r="X942" s="30"/>
      <c r="Y942" s="30"/>
      <c r="Z942" s="30"/>
    </row>
    <row r="943" spans="1:26" ht="21" customHeight="1" x14ac:dyDescent="0.85">
      <c r="A943" s="708"/>
      <c r="B943" s="708"/>
      <c r="C943" s="708"/>
      <c r="D943" s="708"/>
      <c r="E943" s="708"/>
      <c r="F943" s="708"/>
      <c r="G943" s="30"/>
      <c r="H943" s="30"/>
      <c r="I943" s="30"/>
      <c r="J943" s="30"/>
      <c r="K943" s="30"/>
      <c r="L943" s="30"/>
      <c r="M943" s="30"/>
      <c r="N943" s="30"/>
      <c r="O943" s="30"/>
      <c r="P943" s="30"/>
      <c r="Q943" s="30"/>
      <c r="R943" s="30"/>
      <c r="S943" s="30"/>
      <c r="T943" s="30"/>
      <c r="U943" s="30"/>
      <c r="V943" s="30"/>
      <c r="W943" s="30"/>
      <c r="X943" s="30"/>
      <c r="Y943" s="30"/>
      <c r="Z943" s="30"/>
    </row>
    <row r="944" spans="1:26" ht="21" customHeight="1" x14ac:dyDescent="0.85">
      <c r="A944" s="708"/>
      <c r="B944" s="708"/>
      <c r="C944" s="708"/>
      <c r="D944" s="708"/>
      <c r="E944" s="708"/>
      <c r="F944" s="708"/>
      <c r="G944" s="30"/>
      <c r="H944" s="30"/>
      <c r="I944" s="30"/>
      <c r="J944" s="30"/>
      <c r="K944" s="30"/>
      <c r="L944" s="30"/>
      <c r="M944" s="30"/>
      <c r="N944" s="30"/>
      <c r="O944" s="30"/>
      <c r="P944" s="30"/>
      <c r="Q944" s="30"/>
      <c r="R944" s="30"/>
      <c r="S944" s="30"/>
      <c r="T944" s="30"/>
      <c r="U944" s="30"/>
      <c r="V944" s="30"/>
      <c r="W944" s="30"/>
      <c r="X944" s="30"/>
      <c r="Y944" s="30"/>
      <c r="Z944" s="30"/>
    </row>
    <row r="945" spans="1:26" ht="21" customHeight="1" x14ac:dyDescent="0.85">
      <c r="A945" s="708"/>
      <c r="B945" s="708"/>
      <c r="C945" s="708"/>
      <c r="D945" s="708"/>
      <c r="E945" s="708"/>
      <c r="F945" s="708"/>
      <c r="G945" s="30"/>
      <c r="H945" s="30"/>
      <c r="I945" s="30"/>
      <c r="J945" s="30"/>
      <c r="K945" s="30"/>
      <c r="L945" s="30"/>
      <c r="M945" s="30"/>
      <c r="N945" s="30"/>
      <c r="O945" s="30"/>
      <c r="P945" s="30"/>
      <c r="Q945" s="30"/>
      <c r="R945" s="30"/>
      <c r="S945" s="30"/>
      <c r="T945" s="30"/>
      <c r="U945" s="30"/>
      <c r="V945" s="30"/>
      <c r="W945" s="30"/>
      <c r="X945" s="30"/>
      <c r="Y945" s="30"/>
      <c r="Z945" s="30"/>
    </row>
    <row r="946" spans="1:26" ht="21" customHeight="1" x14ac:dyDescent="0.85">
      <c r="A946" s="708"/>
      <c r="B946" s="708"/>
      <c r="C946" s="708"/>
      <c r="D946" s="708"/>
      <c r="E946" s="708"/>
      <c r="F946" s="708"/>
      <c r="G946" s="30"/>
      <c r="H946" s="30"/>
      <c r="I946" s="30"/>
      <c r="J946" s="30"/>
      <c r="K946" s="30"/>
      <c r="L946" s="30"/>
      <c r="M946" s="30"/>
      <c r="N946" s="30"/>
      <c r="O946" s="30"/>
      <c r="P946" s="30"/>
      <c r="Q946" s="30"/>
      <c r="R946" s="30"/>
      <c r="S946" s="30"/>
      <c r="T946" s="30"/>
      <c r="U946" s="30"/>
      <c r="V946" s="30"/>
      <c r="W946" s="30"/>
      <c r="X946" s="30"/>
      <c r="Y946" s="30"/>
      <c r="Z946" s="30"/>
    </row>
    <row r="947" spans="1:26" ht="21" customHeight="1" x14ac:dyDescent="0.85">
      <c r="A947" s="708"/>
      <c r="B947" s="708"/>
      <c r="C947" s="708"/>
      <c r="D947" s="708"/>
      <c r="E947" s="708"/>
      <c r="F947" s="708"/>
      <c r="G947" s="30"/>
      <c r="H947" s="30"/>
      <c r="I947" s="30"/>
      <c r="J947" s="30"/>
      <c r="K947" s="30"/>
      <c r="L947" s="30"/>
      <c r="M947" s="30"/>
      <c r="N947" s="30"/>
      <c r="O947" s="30"/>
      <c r="P947" s="30"/>
      <c r="Q947" s="30"/>
      <c r="R947" s="30"/>
      <c r="S947" s="30"/>
      <c r="T947" s="30"/>
      <c r="U947" s="30"/>
      <c r="V947" s="30"/>
      <c r="W947" s="30"/>
      <c r="X947" s="30"/>
      <c r="Y947" s="30"/>
      <c r="Z947" s="30"/>
    </row>
    <row r="948" spans="1:26" ht="21" customHeight="1" x14ac:dyDescent="0.85">
      <c r="A948" s="708"/>
      <c r="B948" s="708"/>
      <c r="C948" s="708"/>
      <c r="D948" s="708"/>
      <c r="E948" s="708"/>
      <c r="F948" s="708"/>
      <c r="G948" s="30"/>
      <c r="H948" s="30"/>
      <c r="I948" s="30"/>
      <c r="J948" s="30"/>
      <c r="K948" s="30"/>
      <c r="L948" s="30"/>
      <c r="M948" s="30"/>
      <c r="N948" s="30"/>
      <c r="O948" s="30"/>
      <c r="P948" s="30"/>
      <c r="Q948" s="30"/>
      <c r="R948" s="30"/>
      <c r="S948" s="30"/>
      <c r="T948" s="30"/>
      <c r="U948" s="30"/>
      <c r="V948" s="30"/>
      <c r="W948" s="30"/>
      <c r="X948" s="30"/>
      <c r="Y948" s="30"/>
      <c r="Z948" s="30"/>
    </row>
    <row r="949" spans="1:26" ht="21" customHeight="1" x14ac:dyDescent="0.85">
      <c r="A949" s="708"/>
      <c r="B949" s="708"/>
      <c r="C949" s="708"/>
      <c r="D949" s="708"/>
      <c r="E949" s="708"/>
      <c r="F949" s="708"/>
      <c r="G949" s="30"/>
      <c r="H949" s="30"/>
      <c r="I949" s="30"/>
      <c r="J949" s="30"/>
      <c r="K949" s="30"/>
      <c r="L949" s="30"/>
      <c r="M949" s="30"/>
      <c r="N949" s="30"/>
      <c r="O949" s="30"/>
      <c r="P949" s="30"/>
      <c r="Q949" s="30"/>
      <c r="R949" s="30"/>
      <c r="S949" s="30"/>
      <c r="T949" s="30"/>
      <c r="U949" s="30"/>
      <c r="V949" s="30"/>
      <c r="W949" s="30"/>
      <c r="X949" s="30"/>
      <c r="Y949" s="30"/>
      <c r="Z949" s="30"/>
    </row>
    <row r="950" spans="1:26" ht="21" customHeight="1" x14ac:dyDescent="0.85">
      <c r="A950" s="708"/>
      <c r="B950" s="708"/>
      <c r="C950" s="708"/>
      <c r="D950" s="708"/>
      <c r="E950" s="708"/>
      <c r="F950" s="708"/>
      <c r="G950" s="30"/>
      <c r="H950" s="30"/>
      <c r="I950" s="30"/>
      <c r="J950" s="30"/>
      <c r="K950" s="30"/>
      <c r="L950" s="30"/>
      <c r="M950" s="30"/>
      <c r="N950" s="30"/>
      <c r="O950" s="30"/>
      <c r="P950" s="30"/>
      <c r="Q950" s="30"/>
      <c r="R950" s="30"/>
      <c r="S950" s="30"/>
      <c r="T950" s="30"/>
      <c r="U950" s="30"/>
      <c r="V950" s="30"/>
      <c r="W950" s="30"/>
      <c r="X950" s="30"/>
      <c r="Y950" s="30"/>
      <c r="Z950" s="30"/>
    </row>
    <row r="951" spans="1:26" ht="21" customHeight="1" x14ac:dyDescent="0.85">
      <c r="A951" s="708"/>
      <c r="B951" s="708"/>
      <c r="C951" s="708"/>
      <c r="D951" s="708"/>
      <c r="E951" s="708"/>
      <c r="F951" s="708"/>
      <c r="G951" s="30"/>
      <c r="H951" s="30"/>
      <c r="I951" s="30"/>
      <c r="J951" s="30"/>
      <c r="K951" s="30"/>
      <c r="L951" s="30"/>
      <c r="M951" s="30"/>
      <c r="N951" s="30"/>
      <c r="O951" s="30"/>
      <c r="P951" s="30"/>
      <c r="Q951" s="30"/>
      <c r="R951" s="30"/>
      <c r="S951" s="30"/>
      <c r="T951" s="30"/>
      <c r="U951" s="30"/>
      <c r="V951" s="30"/>
      <c r="W951" s="30"/>
      <c r="X951" s="30"/>
      <c r="Y951" s="30"/>
      <c r="Z951" s="30"/>
    </row>
    <row r="952" spans="1:26" ht="21" customHeight="1" x14ac:dyDescent="0.85">
      <c r="A952" s="708"/>
      <c r="B952" s="708"/>
      <c r="C952" s="708"/>
      <c r="D952" s="708"/>
      <c r="E952" s="708"/>
      <c r="F952" s="708"/>
      <c r="G952" s="30"/>
      <c r="H952" s="30"/>
      <c r="I952" s="30"/>
      <c r="J952" s="30"/>
      <c r="K952" s="30"/>
      <c r="L952" s="30"/>
      <c r="M952" s="30"/>
      <c r="N952" s="30"/>
      <c r="O952" s="30"/>
      <c r="P952" s="30"/>
      <c r="Q952" s="30"/>
      <c r="R952" s="30"/>
      <c r="S952" s="30"/>
      <c r="T952" s="30"/>
      <c r="U952" s="30"/>
      <c r="V952" s="30"/>
      <c r="W952" s="30"/>
      <c r="X952" s="30"/>
      <c r="Y952" s="30"/>
      <c r="Z952" s="30"/>
    </row>
    <row r="953" spans="1:26" ht="21" customHeight="1" x14ac:dyDescent="0.85">
      <c r="A953" s="708"/>
      <c r="B953" s="708"/>
      <c r="C953" s="708"/>
      <c r="D953" s="708"/>
      <c r="E953" s="708"/>
      <c r="F953" s="708"/>
      <c r="G953" s="30"/>
      <c r="H953" s="30"/>
      <c r="I953" s="30"/>
      <c r="J953" s="30"/>
      <c r="K953" s="30"/>
      <c r="L953" s="30"/>
      <c r="M953" s="30"/>
      <c r="N953" s="30"/>
      <c r="O953" s="30"/>
      <c r="P953" s="30"/>
      <c r="Q953" s="30"/>
      <c r="R953" s="30"/>
      <c r="S953" s="30"/>
      <c r="T953" s="30"/>
      <c r="U953" s="30"/>
      <c r="V953" s="30"/>
      <c r="W953" s="30"/>
      <c r="X953" s="30"/>
      <c r="Y953" s="30"/>
      <c r="Z953" s="30"/>
    </row>
    <row r="954" spans="1:26" ht="21" customHeight="1" x14ac:dyDescent="0.85">
      <c r="A954" s="708"/>
      <c r="B954" s="708"/>
      <c r="C954" s="708"/>
      <c r="D954" s="708"/>
      <c r="E954" s="708"/>
      <c r="F954" s="708"/>
      <c r="G954" s="30"/>
      <c r="H954" s="30"/>
      <c r="I954" s="30"/>
      <c r="J954" s="30"/>
      <c r="K954" s="30"/>
      <c r="L954" s="30"/>
      <c r="M954" s="30"/>
      <c r="N954" s="30"/>
      <c r="O954" s="30"/>
      <c r="P954" s="30"/>
      <c r="Q954" s="30"/>
      <c r="R954" s="30"/>
      <c r="S954" s="30"/>
      <c r="T954" s="30"/>
      <c r="U954" s="30"/>
      <c r="V954" s="30"/>
      <c r="W954" s="30"/>
      <c r="X954" s="30"/>
      <c r="Y954" s="30"/>
      <c r="Z954" s="30"/>
    </row>
    <row r="955" spans="1:26" ht="21" customHeight="1" x14ac:dyDescent="0.85">
      <c r="A955" s="708"/>
      <c r="B955" s="708"/>
      <c r="C955" s="708"/>
      <c r="D955" s="708"/>
      <c r="E955" s="708"/>
      <c r="F955" s="708"/>
      <c r="G955" s="30"/>
      <c r="H955" s="30"/>
      <c r="I955" s="30"/>
      <c r="J955" s="30"/>
      <c r="K955" s="30"/>
      <c r="L955" s="30"/>
      <c r="M955" s="30"/>
      <c r="N955" s="30"/>
      <c r="O955" s="30"/>
      <c r="P955" s="30"/>
      <c r="Q955" s="30"/>
      <c r="R955" s="30"/>
      <c r="S955" s="30"/>
      <c r="T955" s="30"/>
      <c r="U955" s="30"/>
      <c r="V955" s="30"/>
      <c r="W955" s="30"/>
      <c r="X955" s="30"/>
      <c r="Y955" s="30"/>
      <c r="Z955" s="30"/>
    </row>
    <row r="956" spans="1:26" ht="21" customHeight="1" x14ac:dyDescent="0.85">
      <c r="A956" s="708"/>
      <c r="B956" s="708"/>
      <c r="C956" s="708"/>
      <c r="D956" s="708"/>
      <c r="E956" s="708"/>
      <c r="F956" s="708"/>
      <c r="G956" s="30"/>
      <c r="H956" s="30"/>
      <c r="I956" s="30"/>
      <c r="J956" s="30"/>
      <c r="K956" s="30"/>
      <c r="L956" s="30"/>
      <c r="M956" s="30"/>
      <c r="N956" s="30"/>
      <c r="O956" s="30"/>
      <c r="P956" s="30"/>
      <c r="Q956" s="30"/>
      <c r="R956" s="30"/>
      <c r="S956" s="30"/>
      <c r="T956" s="30"/>
      <c r="U956" s="30"/>
      <c r="V956" s="30"/>
      <c r="W956" s="30"/>
      <c r="X956" s="30"/>
      <c r="Y956" s="30"/>
      <c r="Z956" s="30"/>
    </row>
    <row r="957" spans="1:26" ht="21" customHeight="1" x14ac:dyDescent="0.85">
      <c r="A957" s="708"/>
      <c r="B957" s="708"/>
      <c r="C957" s="708"/>
      <c r="D957" s="708"/>
      <c r="E957" s="708"/>
      <c r="F957" s="708"/>
      <c r="G957" s="30"/>
      <c r="H957" s="30"/>
      <c r="I957" s="30"/>
      <c r="J957" s="30"/>
      <c r="K957" s="30"/>
      <c r="L957" s="30"/>
      <c r="M957" s="30"/>
      <c r="N957" s="30"/>
      <c r="O957" s="30"/>
      <c r="P957" s="30"/>
      <c r="Q957" s="30"/>
      <c r="R957" s="30"/>
      <c r="S957" s="30"/>
      <c r="T957" s="30"/>
      <c r="U957" s="30"/>
      <c r="V957" s="30"/>
      <c r="W957" s="30"/>
      <c r="X957" s="30"/>
      <c r="Y957" s="30"/>
      <c r="Z957" s="30"/>
    </row>
    <row r="958" spans="1:26" ht="21" customHeight="1" x14ac:dyDescent="0.85">
      <c r="A958" s="708"/>
      <c r="B958" s="708"/>
      <c r="C958" s="708"/>
      <c r="D958" s="708"/>
      <c r="E958" s="708"/>
      <c r="F958" s="708"/>
      <c r="G958" s="30"/>
      <c r="H958" s="30"/>
      <c r="I958" s="30"/>
      <c r="J958" s="30"/>
      <c r="K958" s="30"/>
      <c r="L958" s="30"/>
      <c r="M958" s="30"/>
      <c r="N958" s="30"/>
      <c r="O958" s="30"/>
      <c r="P958" s="30"/>
      <c r="Q958" s="30"/>
      <c r="R958" s="30"/>
      <c r="S958" s="30"/>
      <c r="T958" s="30"/>
      <c r="U958" s="30"/>
      <c r="V958" s="30"/>
      <c r="W958" s="30"/>
      <c r="X958" s="30"/>
      <c r="Y958" s="30"/>
      <c r="Z958" s="30"/>
    </row>
    <row r="959" spans="1:26" ht="21" customHeight="1" x14ac:dyDescent="0.85">
      <c r="A959" s="708"/>
      <c r="B959" s="708"/>
      <c r="C959" s="708"/>
      <c r="D959" s="708"/>
      <c r="E959" s="708"/>
      <c r="F959" s="708"/>
      <c r="G959" s="30"/>
      <c r="H959" s="30"/>
      <c r="I959" s="30"/>
      <c r="J959" s="30"/>
      <c r="K959" s="30"/>
      <c r="L959" s="30"/>
      <c r="M959" s="30"/>
      <c r="N959" s="30"/>
      <c r="O959" s="30"/>
      <c r="P959" s="30"/>
      <c r="Q959" s="30"/>
      <c r="R959" s="30"/>
      <c r="S959" s="30"/>
      <c r="T959" s="30"/>
      <c r="U959" s="30"/>
      <c r="V959" s="30"/>
      <c r="W959" s="30"/>
      <c r="X959" s="30"/>
      <c r="Y959" s="30"/>
      <c r="Z959" s="30"/>
    </row>
    <row r="960" spans="1:26" ht="21" customHeight="1" x14ac:dyDescent="0.85">
      <c r="A960" s="708"/>
      <c r="B960" s="708"/>
      <c r="C960" s="708"/>
      <c r="D960" s="708"/>
      <c r="E960" s="708"/>
      <c r="F960" s="708"/>
      <c r="G960" s="30"/>
      <c r="H960" s="30"/>
      <c r="I960" s="30"/>
      <c r="J960" s="30"/>
      <c r="K960" s="30"/>
      <c r="L960" s="30"/>
      <c r="M960" s="30"/>
      <c r="N960" s="30"/>
      <c r="O960" s="30"/>
      <c r="P960" s="30"/>
      <c r="Q960" s="30"/>
      <c r="R960" s="30"/>
      <c r="S960" s="30"/>
      <c r="T960" s="30"/>
      <c r="U960" s="30"/>
      <c r="V960" s="30"/>
      <c r="W960" s="30"/>
      <c r="X960" s="30"/>
      <c r="Y960" s="30"/>
      <c r="Z960" s="30"/>
    </row>
    <row r="961" spans="1:26" ht="21" customHeight="1" x14ac:dyDescent="0.85">
      <c r="A961" s="708"/>
      <c r="B961" s="708"/>
      <c r="C961" s="708"/>
      <c r="D961" s="708"/>
      <c r="E961" s="708"/>
      <c r="F961" s="708"/>
      <c r="G961" s="30"/>
      <c r="H961" s="30"/>
      <c r="I961" s="30"/>
      <c r="J961" s="30"/>
      <c r="K961" s="30"/>
      <c r="L961" s="30"/>
      <c r="M961" s="30"/>
      <c r="N961" s="30"/>
      <c r="O961" s="30"/>
      <c r="P961" s="30"/>
      <c r="Q961" s="30"/>
      <c r="R961" s="30"/>
      <c r="S961" s="30"/>
      <c r="T961" s="30"/>
      <c r="U961" s="30"/>
      <c r="V961" s="30"/>
      <c r="W961" s="30"/>
      <c r="X961" s="30"/>
      <c r="Y961" s="30"/>
      <c r="Z961" s="30"/>
    </row>
    <row r="962" spans="1:26" ht="21" customHeight="1" x14ac:dyDescent="0.85">
      <c r="A962" s="708"/>
      <c r="B962" s="708"/>
      <c r="C962" s="708"/>
      <c r="D962" s="708"/>
      <c r="E962" s="708"/>
      <c r="F962" s="708"/>
      <c r="G962" s="30"/>
      <c r="H962" s="30"/>
      <c r="I962" s="30"/>
      <c r="J962" s="30"/>
      <c r="K962" s="30"/>
      <c r="L962" s="30"/>
      <c r="M962" s="30"/>
      <c r="N962" s="30"/>
      <c r="O962" s="30"/>
      <c r="P962" s="30"/>
      <c r="Q962" s="30"/>
      <c r="R962" s="30"/>
      <c r="S962" s="30"/>
      <c r="T962" s="30"/>
      <c r="U962" s="30"/>
      <c r="V962" s="30"/>
      <c r="W962" s="30"/>
      <c r="X962" s="30"/>
      <c r="Y962" s="30"/>
      <c r="Z962" s="30"/>
    </row>
    <row r="963" spans="1:26" ht="21" customHeight="1" x14ac:dyDescent="0.85">
      <c r="A963" s="708"/>
      <c r="B963" s="708"/>
      <c r="C963" s="708"/>
      <c r="D963" s="708"/>
      <c r="E963" s="708"/>
      <c r="F963" s="708"/>
      <c r="G963" s="30"/>
      <c r="H963" s="30"/>
      <c r="I963" s="30"/>
      <c r="J963" s="30"/>
      <c r="K963" s="30"/>
      <c r="L963" s="30"/>
      <c r="M963" s="30"/>
      <c r="N963" s="30"/>
      <c r="O963" s="30"/>
      <c r="P963" s="30"/>
      <c r="Q963" s="30"/>
      <c r="R963" s="30"/>
      <c r="S963" s="30"/>
      <c r="T963" s="30"/>
      <c r="U963" s="30"/>
      <c r="V963" s="30"/>
      <c r="W963" s="30"/>
      <c r="X963" s="30"/>
      <c r="Y963" s="30"/>
      <c r="Z963" s="30"/>
    </row>
    <row r="964" spans="1:26" ht="21" customHeight="1" x14ac:dyDescent="0.85">
      <c r="A964" s="708"/>
      <c r="B964" s="708"/>
      <c r="C964" s="708"/>
      <c r="D964" s="708"/>
      <c r="E964" s="708"/>
      <c r="F964" s="708"/>
      <c r="G964" s="30"/>
      <c r="H964" s="30"/>
      <c r="I964" s="30"/>
      <c r="J964" s="30"/>
      <c r="K964" s="30"/>
      <c r="L964" s="30"/>
      <c r="M964" s="30"/>
      <c r="N964" s="30"/>
      <c r="O964" s="30"/>
      <c r="P964" s="30"/>
      <c r="Q964" s="30"/>
      <c r="R964" s="30"/>
      <c r="S964" s="30"/>
      <c r="T964" s="30"/>
      <c r="U964" s="30"/>
      <c r="V964" s="30"/>
      <c r="W964" s="30"/>
      <c r="X964" s="30"/>
      <c r="Y964" s="30"/>
      <c r="Z964" s="30"/>
    </row>
    <row r="965" spans="1:26" ht="21" customHeight="1" x14ac:dyDescent="0.85">
      <c r="A965" s="708"/>
      <c r="B965" s="708"/>
      <c r="C965" s="708"/>
      <c r="D965" s="708"/>
      <c r="E965" s="708"/>
      <c r="F965" s="708"/>
      <c r="G965" s="30"/>
      <c r="H965" s="30"/>
      <c r="I965" s="30"/>
      <c r="J965" s="30"/>
      <c r="K965" s="30"/>
      <c r="L965" s="30"/>
      <c r="M965" s="30"/>
      <c r="N965" s="30"/>
      <c r="O965" s="30"/>
      <c r="P965" s="30"/>
      <c r="Q965" s="30"/>
      <c r="R965" s="30"/>
      <c r="S965" s="30"/>
      <c r="T965" s="30"/>
      <c r="U965" s="30"/>
      <c r="V965" s="30"/>
      <c r="W965" s="30"/>
      <c r="X965" s="30"/>
      <c r="Y965" s="30"/>
      <c r="Z965" s="30"/>
    </row>
    <row r="966" spans="1:26" ht="21" customHeight="1" x14ac:dyDescent="0.85">
      <c r="A966" s="708"/>
      <c r="B966" s="708"/>
      <c r="C966" s="708"/>
      <c r="D966" s="708"/>
      <c r="E966" s="708"/>
      <c r="F966" s="708"/>
      <c r="G966" s="30"/>
      <c r="H966" s="30"/>
      <c r="I966" s="30"/>
      <c r="J966" s="30"/>
      <c r="K966" s="30"/>
      <c r="L966" s="30"/>
      <c r="M966" s="30"/>
      <c r="N966" s="30"/>
      <c r="O966" s="30"/>
      <c r="P966" s="30"/>
      <c r="Q966" s="30"/>
      <c r="R966" s="30"/>
      <c r="S966" s="30"/>
      <c r="T966" s="30"/>
      <c r="U966" s="30"/>
      <c r="V966" s="30"/>
      <c r="W966" s="30"/>
      <c r="X966" s="30"/>
      <c r="Y966" s="30"/>
      <c r="Z966" s="30"/>
    </row>
    <row r="967" spans="1:26" ht="21" customHeight="1" x14ac:dyDescent="0.85">
      <c r="A967" s="708"/>
      <c r="B967" s="708"/>
      <c r="C967" s="708"/>
      <c r="D967" s="708"/>
      <c r="E967" s="708"/>
      <c r="F967" s="708"/>
      <c r="G967" s="30"/>
      <c r="H967" s="30"/>
      <c r="I967" s="30"/>
      <c r="J967" s="30"/>
      <c r="K967" s="30"/>
      <c r="L967" s="30"/>
      <c r="M967" s="30"/>
      <c r="N967" s="30"/>
      <c r="O967" s="30"/>
      <c r="P967" s="30"/>
      <c r="Q967" s="30"/>
      <c r="R967" s="30"/>
      <c r="S967" s="30"/>
      <c r="T967" s="30"/>
      <c r="U967" s="30"/>
      <c r="V967" s="30"/>
      <c r="W967" s="30"/>
      <c r="X967" s="30"/>
      <c r="Y967" s="30"/>
      <c r="Z967" s="30"/>
    </row>
    <row r="968" spans="1:26" ht="21" customHeight="1" x14ac:dyDescent="0.85">
      <c r="A968" s="708"/>
      <c r="B968" s="708"/>
      <c r="C968" s="708"/>
      <c r="D968" s="708"/>
      <c r="E968" s="708"/>
      <c r="F968" s="708"/>
      <c r="G968" s="30"/>
      <c r="H968" s="30"/>
      <c r="I968" s="30"/>
      <c r="J968" s="30"/>
      <c r="K968" s="30"/>
      <c r="L968" s="30"/>
      <c r="M968" s="30"/>
      <c r="N968" s="30"/>
      <c r="O968" s="30"/>
      <c r="P968" s="30"/>
      <c r="Q968" s="30"/>
      <c r="R968" s="30"/>
      <c r="S968" s="30"/>
      <c r="T968" s="30"/>
      <c r="U968" s="30"/>
      <c r="V968" s="30"/>
      <c r="W968" s="30"/>
      <c r="X968" s="30"/>
      <c r="Y968" s="30"/>
      <c r="Z968" s="30"/>
    </row>
    <row r="969" spans="1:26" ht="21" customHeight="1" x14ac:dyDescent="0.85">
      <c r="A969" s="708"/>
      <c r="B969" s="708"/>
      <c r="C969" s="708"/>
      <c r="D969" s="708"/>
      <c r="E969" s="708"/>
      <c r="F969" s="708"/>
      <c r="G969" s="30"/>
      <c r="H969" s="30"/>
      <c r="I969" s="30"/>
      <c r="J969" s="30"/>
      <c r="K969" s="30"/>
      <c r="L969" s="30"/>
      <c r="M969" s="30"/>
      <c r="N969" s="30"/>
      <c r="O969" s="30"/>
      <c r="P969" s="30"/>
      <c r="Q969" s="30"/>
      <c r="R969" s="30"/>
      <c r="S969" s="30"/>
      <c r="T969" s="30"/>
      <c r="U969" s="30"/>
      <c r="V969" s="30"/>
      <c r="W969" s="30"/>
      <c r="X969" s="30"/>
      <c r="Y969" s="30"/>
      <c r="Z969" s="30"/>
    </row>
    <row r="970" spans="1:26" ht="21" customHeight="1" x14ac:dyDescent="0.85">
      <c r="A970" s="708"/>
      <c r="B970" s="708"/>
      <c r="C970" s="708"/>
      <c r="D970" s="708"/>
      <c r="E970" s="708"/>
      <c r="F970" s="708"/>
      <c r="G970" s="30"/>
      <c r="H970" s="30"/>
      <c r="I970" s="30"/>
      <c r="J970" s="30"/>
      <c r="K970" s="30"/>
      <c r="L970" s="30"/>
      <c r="M970" s="30"/>
      <c r="N970" s="30"/>
      <c r="O970" s="30"/>
      <c r="P970" s="30"/>
      <c r="Q970" s="30"/>
      <c r="R970" s="30"/>
      <c r="S970" s="30"/>
      <c r="T970" s="30"/>
      <c r="U970" s="30"/>
      <c r="V970" s="30"/>
      <c r="W970" s="30"/>
      <c r="X970" s="30"/>
      <c r="Y970" s="30"/>
      <c r="Z970" s="30"/>
    </row>
    <row r="971" spans="1:26" ht="21" customHeight="1" x14ac:dyDescent="0.85">
      <c r="A971" s="708"/>
      <c r="B971" s="708"/>
      <c r="C971" s="708"/>
      <c r="D971" s="708"/>
      <c r="E971" s="708"/>
      <c r="F971" s="708"/>
      <c r="G971" s="30"/>
      <c r="H971" s="30"/>
      <c r="I971" s="30"/>
      <c r="J971" s="30"/>
      <c r="K971" s="30"/>
      <c r="L971" s="30"/>
      <c r="M971" s="30"/>
      <c r="N971" s="30"/>
      <c r="O971" s="30"/>
      <c r="P971" s="30"/>
      <c r="Q971" s="30"/>
      <c r="R971" s="30"/>
      <c r="S971" s="30"/>
      <c r="T971" s="30"/>
      <c r="U971" s="30"/>
      <c r="V971" s="30"/>
      <c r="W971" s="30"/>
      <c r="X971" s="30"/>
      <c r="Y971" s="30"/>
      <c r="Z971" s="30"/>
    </row>
    <row r="972" spans="1:26" ht="21" customHeight="1" x14ac:dyDescent="0.85">
      <c r="A972" s="708"/>
      <c r="B972" s="708"/>
      <c r="C972" s="708"/>
      <c r="D972" s="708"/>
      <c r="E972" s="708"/>
      <c r="F972" s="708"/>
      <c r="G972" s="30"/>
      <c r="H972" s="30"/>
      <c r="I972" s="30"/>
      <c r="J972" s="30"/>
      <c r="K972" s="30"/>
      <c r="L972" s="30"/>
      <c r="M972" s="30"/>
      <c r="N972" s="30"/>
      <c r="O972" s="30"/>
      <c r="P972" s="30"/>
      <c r="Q972" s="30"/>
      <c r="R972" s="30"/>
      <c r="S972" s="30"/>
      <c r="T972" s="30"/>
      <c r="U972" s="30"/>
      <c r="V972" s="30"/>
      <c r="W972" s="30"/>
      <c r="X972" s="30"/>
      <c r="Y972" s="30"/>
      <c r="Z972" s="30"/>
    </row>
    <row r="973" spans="1:26" ht="21" customHeight="1" x14ac:dyDescent="0.85">
      <c r="A973" s="708"/>
      <c r="B973" s="708"/>
      <c r="C973" s="708"/>
      <c r="D973" s="708"/>
      <c r="E973" s="708"/>
      <c r="F973" s="708"/>
      <c r="G973" s="30"/>
      <c r="H973" s="30"/>
      <c r="I973" s="30"/>
      <c r="J973" s="30"/>
      <c r="K973" s="30"/>
      <c r="L973" s="30"/>
      <c r="M973" s="30"/>
      <c r="N973" s="30"/>
      <c r="O973" s="30"/>
      <c r="P973" s="30"/>
      <c r="Q973" s="30"/>
      <c r="R973" s="30"/>
      <c r="S973" s="30"/>
      <c r="T973" s="30"/>
      <c r="U973" s="30"/>
      <c r="V973" s="30"/>
      <c r="W973" s="30"/>
      <c r="X973" s="30"/>
      <c r="Y973" s="30"/>
      <c r="Z973" s="30"/>
    </row>
    <row r="974" spans="1:26" ht="21" customHeight="1" x14ac:dyDescent="0.85">
      <c r="A974" s="708"/>
      <c r="B974" s="708"/>
      <c r="C974" s="708"/>
      <c r="D974" s="708"/>
      <c r="E974" s="708"/>
      <c r="F974" s="708"/>
      <c r="G974" s="30"/>
      <c r="H974" s="30"/>
      <c r="I974" s="30"/>
      <c r="J974" s="30"/>
      <c r="K974" s="30"/>
      <c r="L974" s="30"/>
      <c r="M974" s="30"/>
      <c r="N974" s="30"/>
      <c r="O974" s="30"/>
      <c r="P974" s="30"/>
      <c r="Q974" s="30"/>
      <c r="R974" s="30"/>
      <c r="S974" s="30"/>
      <c r="T974" s="30"/>
      <c r="U974" s="30"/>
      <c r="V974" s="30"/>
      <c r="W974" s="30"/>
      <c r="X974" s="30"/>
      <c r="Y974" s="30"/>
      <c r="Z974" s="30"/>
    </row>
    <row r="975" spans="1:26" ht="21" customHeight="1" x14ac:dyDescent="0.85">
      <c r="A975" s="708"/>
      <c r="B975" s="708"/>
      <c r="C975" s="708"/>
      <c r="D975" s="708"/>
      <c r="E975" s="708"/>
      <c r="F975" s="708"/>
      <c r="G975" s="30"/>
      <c r="H975" s="30"/>
      <c r="I975" s="30"/>
      <c r="J975" s="30"/>
      <c r="K975" s="30"/>
      <c r="L975" s="30"/>
      <c r="M975" s="30"/>
      <c r="N975" s="30"/>
      <c r="O975" s="30"/>
      <c r="P975" s="30"/>
      <c r="Q975" s="30"/>
      <c r="R975" s="30"/>
      <c r="S975" s="30"/>
      <c r="T975" s="30"/>
      <c r="U975" s="30"/>
      <c r="V975" s="30"/>
      <c r="W975" s="30"/>
      <c r="X975" s="30"/>
      <c r="Y975" s="30"/>
      <c r="Z975" s="30"/>
    </row>
    <row r="976" spans="1:26" ht="21" customHeight="1" x14ac:dyDescent="0.85">
      <c r="A976" s="708"/>
      <c r="B976" s="708"/>
      <c r="C976" s="708"/>
      <c r="D976" s="708"/>
      <c r="E976" s="708"/>
      <c r="F976" s="708"/>
      <c r="G976" s="30"/>
      <c r="H976" s="30"/>
      <c r="I976" s="30"/>
      <c r="J976" s="30"/>
      <c r="K976" s="30"/>
      <c r="L976" s="30"/>
      <c r="M976" s="30"/>
      <c r="N976" s="30"/>
      <c r="O976" s="30"/>
      <c r="P976" s="30"/>
      <c r="Q976" s="30"/>
      <c r="R976" s="30"/>
      <c r="S976" s="30"/>
      <c r="T976" s="30"/>
      <c r="U976" s="30"/>
      <c r="V976" s="30"/>
      <c r="W976" s="30"/>
      <c r="X976" s="30"/>
      <c r="Y976" s="30"/>
      <c r="Z976" s="30"/>
    </row>
    <row r="977" spans="1:26" ht="21" customHeight="1" x14ac:dyDescent="0.85">
      <c r="A977" s="708"/>
      <c r="B977" s="708"/>
      <c r="C977" s="708"/>
      <c r="D977" s="708"/>
      <c r="E977" s="708"/>
      <c r="F977" s="708"/>
      <c r="G977" s="30"/>
      <c r="H977" s="30"/>
      <c r="I977" s="30"/>
      <c r="J977" s="30"/>
      <c r="K977" s="30"/>
      <c r="L977" s="30"/>
      <c r="M977" s="30"/>
      <c r="N977" s="30"/>
      <c r="O977" s="30"/>
      <c r="P977" s="30"/>
      <c r="Q977" s="30"/>
      <c r="R977" s="30"/>
      <c r="S977" s="30"/>
      <c r="T977" s="30"/>
      <c r="U977" s="30"/>
      <c r="V977" s="30"/>
      <c r="W977" s="30"/>
      <c r="X977" s="30"/>
      <c r="Y977" s="30"/>
      <c r="Z977" s="30"/>
    </row>
    <row r="978" spans="1:26" ht="21" customHeight="1" x14ac:dyDescent="0.85">
      <c r="A978" s="708"/>
      <c r="B978" s="708"/>
      <c r="C978" s="708"/>
      <c r="D978" s="708"/>
      <c r="E978" s="708"/>
      <c r="F978" s="708"/>
      <c r="G978" s="30"/>
      <c r="H978" s="30"/>
      <c r="I978" s="30"/>
      <c r="J978" s="30"/>
      <c r="K978" s="30"/>
      <c r="L978" s="30"/>
      <c r="M978" s="30"/>
      <c r="N978" s="30"/>
      <c r="O978" s="30"/>
      <c r="P978" s="30"/>
      <c r="Q978" s="30"/>
      <c r="R978" s="30"/>
      <c r="S978" s="30"/>
      <c r="T978" s="30"/>
      <c r="U978" s="30"/>
      <c r="V978" s="30"/>
      <c r="W978" s="30"/>
      <c r="X978" s="30"/>
      <c r="Y978" s="30"/>
      <c r="Z978" s="30"/>
    </row>
    <row r="979" spans="1:26" ht="21" customHeight="1" x14ac:dyDescent="0.85">
      <c r="A979" s="708"/>
      <c r="B979" s="708"/>
      <c r="C979" s="708"/>
      <c r="D979" s="708"/>
      <c r="E979" s="708"/>
      <c r="F979" s="708"/>
      <c r="G979" s="30"/>
      <c r="H979" s="30"/>
      <c r="I979" s="30"/>
      <c r="J979" s="30"/>
      <c r="K979" s="30"/>
      <c r="L979" s="30"/>
      <c r="M979" s="30"/>
      <c r="N979" s="30"/>
      <c r="O979" s="30"/>
      <c r="P979" s="30"/>
      <c r="Q979" s="30"/>
      <c r="R979" s="30"/>
      <c r="S979" s="30"/>
      <c r="T979" s="30"/>
      <c r="U979" s="30"/>
      <c r="V979" s="30"/>
      <c r="W979" s="30"/>
      <c r="X979" s="30"/>
      <c r="Y979" s="30"/>
      <c r="Z979" s="30"/>
    </row>
    <row r="980" spans="1:26" ht="21" customHeight="1" x14ac:dyDescent="0.85">
      <c r="A980" s="708"/>
      <c r="B980" s="708"/>
      <c r="C980" s="708"/>
      <c r="D980" s="708"/>
      <c r="E980" s="708"/>
      <c r="F980" s="708"/>
      <c r="G980" s="30"/>
      <c r="H980" s="30"/>
      <c r="I980" s="30"/>
      <c r="J980" s="30"/>
      <c r="K980" s="30"/>
      <c r="L980" s="30"/>
      <c r="M980" s="30"/>
      <c r="N980" s="30"/>
      <c r="O980" s="30"/>
      <c r="P980" s="30"/>
      <c r="Q980" s="30"/>
      <c r="R980" s="30"/>
      <c r="S980" s="30"/>
      <c r="T980" s="30"/>
      <c r="U980" s="30"/>
      <c r="V980" s="30"/>
      <c r="W980" s="30"/>
      <c r="X980" s="30"/>
      <c r="Y980" s="30"/>
      <c r="Z980" s="30"/>
    </row>
    <row r="981" spans="1:26" ht="21" customHeight="1" x14ac:dyDescent="0.85">
      <c r="A981" s="708"/>
      <c r="B981" s="708"/>
      <c r="C981" s="708"/>
      <c r="D981" s="708"/>
      <c r="E981" s="708"/>
      <c r="F981" s="708"/>
      <c r="G981" s="30"/>
      <c r="H981" s="30"/>
      <c r="I981" s="30"/>
      <c r="J981" s="30"/>
      <c r="K981" s="30"/>
      <c r="L981" s="30"/>
      <c r="M981" s="30"/>
      <c r="N981" s="30"/>
      <c r="O981" s="30"/>
      <c r="P981" s="30"/>
      <c r="Q981" s="30"/>
      <c r="R981" s="30"/>
      <c r="S981" s="30"/>
      <c r="T981" s="30"/>
      <c r="U981" s="30"/>
      <c r="V981" s="30"/>
      <c r="W981" s="30"/>
      <c r="X981" s="30"/>
      <c r="Y981" s="30"/>
      <c r="Z981" s="30"/>
    </row>
    <row r="982" spans="1:26" ht="21" customHeight="1" x14ac:dyDescent="0.85">
      <c r="A982" s="708"/>
      <c r="B982" s="708"/>
      <c r="C982" s="708"/>
      <c r="D982" s="708"/>
      <c r="E982" s="708"/>
      <c r="F982" s="708"/>
      <c r="G982" s="30"/>
      <c r="H982" s="30"/>
      <c r="I982" s="30"/>
      <c r="J982" s="30"/>
      <c r="K982" s="30"/>
      <c r="L982" s="30"/>
      <c r="M982" s="30"/>
      <c r="N982" s="30"/>
      <c r="O982" s="30"/>
      <c r="P982" s="30"/>
      <c r="Q982" s="30"/>
      <c r="R982" s="30"/>
      <c r="S982" s="30"/>
      <c r="T982" s="30"/>
      <c r="U982" s="30"/>
      <c r="V982" s="30"/>
      <c r="W982" s="30"/>
      <c r="X982" s="30"/>
      <c r="Y982" s="30"/>
      <c r="Z982" s="30"/>
    </row>
    <row r="983" spans="1:26" ht="21" customHeight="1" x14ac:dyDescent="0.85">
      <c r="A983" s="708"/>
      <c r="B983" s="708"/>
      <c r="C983" s="708"/>
      <c r="D983" s="708"/>
      <c r="E983" s="708"/>
      <c r="F983" s="708"/>
      <c r="G983" s="30"/>
      <c r="H983" s="30"/>
      <c r="I983" s="30"/>
      <c r="J983" s="30"/>
      <c r="K983" s="30"/>
      <c r="L983" s="30"/>
      <c r="M983" s="30"/>
      <c r="N983" s="30"/>
      <c r="O983" s="30"/>
      <c r="P983" s="30"/>
      <c r="Q983" s="30"/>
      <c r="R983" s="30"/>
      <c r="S983" s="30"/>
      <c r="T983" s="30"/>
      <c r="U983" s="30"/>
      <c r="V983" s="30"/>
      <c r="W983" s="30"/>
      <c r="X983" s="30"/>
      <c r="Y983" s="30"/>
      <c r="Z983" s="30"/>
    </row>
    <row r="984" spans="1:26" ht="21" customHeight="1" x14ac:dyDescent="0.85">
      <c r="A984" s="708"/>
      <c r="B984" s="708"/>
      <c r="C984" s="708"/>
      <c r="D984" s="708"/>
      <c r="E984" s="708"/>
      <c r="F984" s="708"/>
      <c r="G984" s="30"/>
      <c r="H984" s="30"/>
      <c r="I984" s="30"/>
      <c r="J984" s="30"/>
      <c r="K984" s="30"/>
      <c r="L984" s="30"/>
      <c r="M984" s="30"/>
      <c r="N984" s="30"/>
      <c r="O984" s="30"/>
      <c r="P984" s="30"/>
      <c r="Q984" s="30"/>
      <c r="R984" s="30"/>
      <c r="S984" s="30"/>
      <c r="T984" s="30"/>
      <c r="U984" s="30"/>
      <c r="V984" s="30"/>
      <c r="W984" s="30"/>
      <c r="X984" s="30"/>
      <c r="Y984" s="30"/>
      <c r="Z984" s="30"/>
    </row>
    <row r="985" spans="1:26" ht="21" customHeight="1" x14ac:dyDescent="0.85">
      <c r="A985" s="708"/>
      <c r="B985" s="708"/>
      <c r="C985" s="708"/>
      <c r="D985" s="708"/>
      <c r="E985" s="708"/>
      <c r="F985" s="708"/>
      <c r="G985" s="30"/>
      <c r="H985" s="30"/>
      <c r="I985" s="30"/>
      <c r="J985" s="30"/>
      <c r="K985" s="30"/>
      <c r="L985" s="30"/>
      <c r="M985" s="30"/>
      <c r="N985" s="30"/>
      <c r="O985" s="30"/>
      <c r="P985" s="30"/>
      <c r="Q985" s="30"/>
      <c r="R985" s="30"/>
      <c r="S985" s="30"/>
      <c r="T985" s="30"/>
      <c r="U985" s="30"/>
      <c r="V985" s="30"/>
      <c r="W985" s="30"/>
      <c r="X985" s="30"/>
      <c r="Y985" s="30"/>
      <c r="Z985" s="30"/>
    </row>
    <row r="986" spans="1:26" ht="21" customHeight="1" x14ac:dyDescent="0.85">
      <c r="A986" s="708"/>
      <c r="B986" s="708"/>
      <c r="C986" s="708"/>
      <c r="D986" s="708"/>
      <c r="E986" s="708"/>
      <c r="F986" s="708"/>
      <c r="G986" s="30"/>
      <c r="H986" s="30"/>
      <c r="I986" s="30"/>
      <c r="J986" s="30"/>
      <c r="K986" s="30"/>
      <c r="L986" s="30"/>
      <c r="M986" s="30"/>
      <c r="N986" s="30"/>
      <c r="O986" s="30"/>
      <c r="P986" s="30"/>
      <c r="Q986" s="30"/>
      <c r="R986" s="30"/>
      <c r="S986" s="30"/>
      <c r="T986" s="30"/>
      <c r="U986" s="30"/>
      <c r="V986" s="30"/>
      <c r="W986" s="30"/>
      <c r="X986" s="30"/>
      <c r="Y986" s="30"/>
      <c r="Z986" s="30"/>
    </row>
    <row r="987" spans="1:26" ht="21" customHeight="1" x14ac:dyDescent="0.85">
      <c r="A987" s="708"/>
      <c r="B987" s="708"/>
      <c r="C987" s="708"/>
      <c r="D987" s="708"/>
      <c r="E987" s="708"/>
      <c r="F987" s="708"/>
      <c r="G987" s="30"/>
      <c r="H987" s="30"/>
      <c r="I987" s="30"/>
      <c r="J987" s="30"/>
      <c r="K987" s="30"/>
      <c r="L987" s="30"/>
      <c r="M987" s="30"/>
      <c r="N987" s="30"/>
      <c r="O987" s="30"/>
      <c r="P987" s="30"/>
      <c r="Q987" s="30"/>
      <c r="R987" s="30"/>
      <c r="S987" s="30"/>
      <c r="T987" s="30"/>
      <c r="U987" s="30"/>
      <c r="V987" s="30"/>
      <c r="W987" s="30"/>
      <c r="X987" s="30"/>
      <c r="Y987" s="30"/>
      <c r="Z987" s="30"/>
    </row>
    <row r="988" spans="1:26" ht="21" customHeight="1" x14ac:dyDescent="0.85">
      <c r="A988" s="708"/>
      <c r="B988" s="708"/>
      <c r="C988" s="708"/>
      <c r="D988" s="708"/>
      <c r="E988" s="708"/>
      <c r="F988" s="708"/>
      <c r="G988" s="30"/>
      <c r="H988" s="30"/>
      <c r="I988" s="30"/>
      <c r="J988" s="30"/>
      <c r="K988" s="30"/>
      <c r="L988" s="30"/>
      <c r="M988" s="30"/>
      <c r="N988" s="30"/>
      <c r="O988" s="30"/>
      <c r="P988" s="30"/>
      <c r="Q988" s="30"/>
      <c r="R988" s="30"/>
      <c r="S988" s="30"/>
      <c r="T988" s="30"/>
      <c r="U988" s="30"/>
      <c r="V988" s="30"/>
      <c r="W988" s="30"/>
      <c r="X988" s="30"/>
      <c r="Y988" s="30"/>
      <c r="Z988" s="30"/>
    </row>
    <row r="989" spans="1:26" ht="21" customHeight="1" x14ac:dyDescent="0.85">
      <c r="A989" s="708"/>
      <c r="B989" s="708"/>
      <c r="C989" s="708"/>
      <c r="D989" s="708"/>
      <c r="E989" s="708"/>
      <c r="F989" s="708"/>
      <c r="G989" s="30"/>
      <c r="H989" s="30"/>
      <c r="I989" s="30"/>
      <c r="J989" s="30"/>
      <c r="K989" s="30"/>
      <c r="L989" s="30"/>
      <c r="M989" s="30"/>
      <c r="N989" s="30"/>
      <c r="O989" s="30"/>
      <c r="P989" s="30"/>
      <c r="Q989" s="30"/>
      <c r="R989" s="30"/>
      <c r="S989" s="30"/>
      <c r="T989" s="30"/>
      <c r="U989" s="30"/>
      <c r="V989" s="30"/>
      <c r="W989" s="30"/>
      <c r="X989" s="30"/>
      <c r="Y989" s="30"/>
      <c r="Z989" s="30"/>
    </row>
    <row r="990" spans="1:26" ht="21" customHeight="1" x14ac:dyDescent="0.85">
      <c r="A990" s="708"/>
      <c r="B990" s="708"/>
      <c r="C990" s="708"/>
      <c r="D990" s="708"/>
      <c r="E990" s="708"/>
      <c r="F990" s="708"/>
      <c r="G990" s="30"/>
      <c r="H990" s="30"/>
      <c r="I990" s="30"/>
      <c r="J990" s="30"/>
      <c r="K990" s="30"/>
      <c r="L990" s="30"/>
      <c r="M990" s="30"/>
      <c r="N990" s="30"/>
      <c r="O990" s="30"/>
      <c r="P990" s="30"/>
      <c r="Q990" s="30"/>
      <c r="R990" s="30"/>
      <c r="S990" s="30"/>
      <c r="T990" s="30"/>
      <c r="U990" s="30"/>
      <c r="V990" s="30"/>
      <c r="W990" s="30"/>
      <c r="X990" s="30"/>
      <c r="Y990" s="30"/>
      <c r="Z990" s="30"/>
    </row>
    <row r="991" spans="1:26" ht="21" customHeight="1" x14ac:dyDescent="0.85">
      <c r="A991" s="708"/>
      <c r="B991" s="708"/>
      <c r="C991" s="708"/>
      <c r="D991" s="708"/>
      <c r="E991" s="708"/>
      <c r="F991" s="708"/>
      <c r="G991" s="30"/>
      <c r="H991" s="30"/>
      <c r="I991" s="30"/>
      <c r="J991" s="30"/>
      <c r="K991" s="30"/>
      <c r="L991" s="30"/>
      <c r="M991" s="30"/>
      <c r="N991" s="30"/>
      <c r="O991" s="30"/>
      <c r="P991" s="30"/>
      <c r="Q991" s="30"/>
      <c r="R991" s="30"/>
      <c r="S991" s="30"/>
      <c r="T991" s="30"/>
      <c r="U991" s="30"/>
      <c r="V991" s="30"/>
      <c r="W991" s="30"/>
      <c r="X991" s="30"/>
      <c r="Y991" s="30"/>
      <c r="Z991" s="30"/>
    </row>
    <row r="992" spans="1:26" ht="21" customHeight="1" x14ac:dyDescent="0.85">
      <c r="A992" s="708"/>
      <c r="B992" s="708"/>
      <c r="C992" s="708"/>
      <c r="D992" s="708"/>
      <c r="E992" s="708"/>
      <c r="F992" s="708"/>
      <c r="G992" s="30"/>
      <c r="H992" s="30"/>
      <c r="I992" s="30"/>
      <c r="J992" s="30"/>
      <c r="K992" s="30"/>
      <c r="L992" s="30"/>
      <c r="M992" s="30"/>
      <c r="N992" s="30"/>
      <c r="O992" s="30"/>
      <c r="P992" s="30"/>
      <c r="Q992" s="30"/>
      <c r="R992" s="30"/>
      <c r="S992" s="30"/>
      <c r="T992" s="30"/>
      <c r="U992" s="30"/>
      <c r="V992" s="30"/>
      <c r="W992" s="30"/>
      <c r="X992" s="30"/>
      <c r="Y992" s="30"/>
      <c r="Z992" s="30"/>
    </row>
    <row r="993" spans="1:26" ht="21" customHeight="1" x14ac:dyDescent="0.85">
      <c r="A993" s="708"/>
      <c r="B993" s="708"/>
      <c r="C993" s="708"/>
      <c r="D993" s="708"/>
      <c r="E993" s="708"/>
      <c r="F993" s="708"/>
      <c r="G993" s="30"/>
      <c r="H993" s="30"/>
      <c r="I993" s="30"/>
      <c r="J993" s="30"/>
      <c r="K993" s="30"/>
      <c r="L993" s="30"/>
      <c r="M993" s="30"/>
      <c r="N993" s="30"/>
      <c r="O993" s="30"/>
      <c r="P993" s="30"/>
      <c r="Q993" s="30"/>
      <c r="R993" s="30"/>
      <c r="S993" s="30"/>
      <c r="T993" s="30"/>
      <c r="U993" s="30"/>
      <c r="V993" s="30"/>
      <c r="W993" s="30"/>
      <c r="X993" s="30"/>
      <c r="Y993" s="30"/>
      <c r="Z993" s="30"/>
    </row>
    <row r="994" spans="1:26" ht="21" customHeight="1" x14ac:dyDescent="0.85">
      <c r="A994" s="708"/>
      <c r="B994" s="708"/>
      <c r="C994" s="708"/>
      <c r="D994" s="708"/>
      <c r="E994" s="708"/>
      <c r="F994" s="708"/>
      <c r="G994" s="30"/>
      <c r="H994" s="30"/>
      <c r="I994" s="30"/>
      <c r="J994" s="30"/>
      <c r="K994" s="30"/>
      <c r="L994" s="30"/>
      <c r="M994" s="30"/>
      <c r="N994" s="30"/>
      <c r="O994" s="30"/>
      <c r="P994" s="30"/>
      <c r="Q994" s="30"/>
      <c r="R994" s="30"/>
      <c r="S994" s="30"/>
      <c r="T994" s="30"/>
      <c r="U994" s="30"/>
      <c r="V994" s="30"/>
      <c r="W994" s="30"/>
      <c r="X994" s="30"/>
      <c r="Y994" s="30"/>
      <c r="Z994" s="30"/>
    </row>
    <row r="995" spans="1:26" ht="21" customHeight="1" x14ac:dyDescent="0.85">
      <c r="A995" s="708"/>
      <c r="B995" s="708"/>
      <c r="C995" s="708"/>
      <c r="D995" s="708"/>
      <c r="E995" s="708"/>
      <c r="F995" s="708"/>
      <c r="G995" s="30"/>
      <c r="H995" s="30"/>
      <c r="I995" s="30"/>
      <c r="J995" s="30"/>
      <c r="K995" s="30"/>
      <c r="L995" s="30"/>
      <c r="M995" s="30"/>
      <c r="N995" s="30"/>
      <c r="O995" s="30"/>
      <c r="P995" s="30"/>
      <c r="Q995" s="30"/>
      <c r="R995" s="30"/>
      <c r="S995" s="30"/>
      <c r="T995" s="30"/>
      <c r="U995" s="30"/>
      <c r="V995" s="30"/>
      <c r="W995" s="30"/>
      <c r="X995" s="30"/>
      <c r="Y995" s="30"/>
      <c r="Z995" s="30"/>
    </row>
    <row r="996" spans="1:26" ht="21" customHeight="1" x14ac:dyDescent="0.85">
      <c r="A996" s="708"/>
      <c r="B996" s="708"/>
      <c r="C996" s="708"/>
      <c r="D996" s="708"/>
      <c r="E996" s="708"/>
      <c r="F996" s="708"/>
      <c r="G996" s="30"/>
      <c r="H996" s="30"/>
      <c r="I996" s="30"/>
      <c r="J996" s="30"/>
      <c r="K996" s="30"/>
      <c r="L996" s="30"/>
      <c r="M996" s="30"/>
      <c r="N996" s="30"/>
      <c r="O996" s="30"/>
      <c r="P996" s="30"/>
      <c r="Q996" s="30"/>
      <c r="R996" s="30"/>
      <c r="S996" s="30"/>
      <c r="T996" s="30"/>
      <c r="U996" s="30"/>
      <c r="V996" s="30"/>
      <c r="W996" s="30"/>
      <c r="X996" s="30"/>
      <c r="Y996" s="30"/>
      <c r="Z996" s="30"/>
    </row>
    <row r="997" spans="1:26" ht="21" customHeight="1" x14ac:dyDescent="0.85">
      <c r="A997" s="708"/>
      <c r="B997" s="708"/>
      <c r="C997" s="708"/>
      <c r="D997" s="708"/>
      <c r="E997" s="708"/>
      <c r="F997" s="708"/>
      <c r="G997" s="30"/>
      <c r="H997" s="30"/>
      <c r="I997" s="30"/>
      <c r="J997" s="30"/>
      <c r="K997" s="30"/>
      <c r="L997" s="30"/>
      <c r="M997" s="30"/>
      <c r="N997" s="30"/>
      <c r="O997" s="30"/>
      <c r="P997" s="30"/>
      <c r="Q997" s="30"/>
      <c r="R997" s="30"/>
      <c r="S997" s="30"/>
      <c r="T997" s="30"/>
      <c r="U997" s="30"/>
      <c r="V997" s="30"/>
      <c r="W997" s="30"/>
      <c r="X997" s="30"/>
      <c r="Y997" s="30"/>
      <c r="Z997" s="30"/>
    </row>
    <row r="998" spans="1:26" ht="21" customHeight="1" x14ac:dyDescent="0.85">
      <c r="A998" s="708"/>
      <c r="B998" s="708"/>
      <c r="C998" s="708"/>
      <c r="D998" s="708"/>
      <c r="E998" s="708"/>
      <c r="F998" s="708"/>
      <c r="G998" s="30"/>
      <c r="H998" s="30"/>
      <c r="I998" s="30"/>
      <c r="J998" s="30"/>
      <c r="K998" s="30"/>
      <c r="L998" s="30"/>
      <c r="M998" s="30"/>
      <c r="N998" s="30"/>
      <c r="O998" s="30"/>
      <c r="P998" s="30"/>
      <c r="Q998" s="30"/>
      <c r="R998" s="30"/>
      <c r="S998" s="30"/>
      <c r="T998" s="30"/>
      <c r="U998" s="30"/>
      <c r="V998" s="30"/>
      <c r="W998" s="30"/>
      <c r="X998" s="30"/>
      <c r="Y998" s="30"/>
      <c r="Z998" s="30"/>
    </row>
    <row r="999" spans="1:26" ht="21" customHeight="1" x14ac:dyDescent="0.85">
      <c r="A999" s="708"/>
      <c r="B999" s="708"/>
      <c r="C999" s="708"/>
      <c r="D999" s="708"/>
      <c r="E999" s="708"/>
      <c r="F999" s="708"/>
      <c r="G999" s="30"/>
      <c r="H999" s="30"/>
      <c r="I999" s="30"/>
      <c r="J999" s="30"/>
      <c r="K999" s="30"/>
      <c r="L999" s="30"/>
      <c r="M999" s="30"/>
      <c r="N999" s="30"/>
      <c r="O999" s="30"/>
      <c r="P999" s="30"/>
      <c r="Q999" s="30"/>
      <c r="R999" s="30"/>
      <c r="S999" s="30"/>
      <c r="T999" s="30"/>
      <c r="U999" s="30"/>
      <c r="V999" s="30"/>
      <c r="W999" s="30"/>
      <c r="X999" s="30"/>
      <c r="Y999" s="30"/>
      <c r="Z999" s="30"/>
    </row>
    <row r="1000" spans="1:26" ht="21" customHeight="1" x14ac:dyDescent="0.85">
      <c r="A1000" s="708"/>
      <c r="B1000" s="708"/>
      <c r="C1000" s="708"/>
      <c r="D1000" s="708"/>
      <c r="E1000" s="708"/>
      <c r="F1000" s="708"/>
      <c r="G1000" s="30"/>
      <c r="H1000" s="30"/>
      <c r="I1000" s="30"/>
      <c r="J1000" s="30"/>
      <c r="K1000" s="30"/>
      <c r="L1000" s="30"/>
      <c r="M1000" s="30"/>
      <c r="N1000" s="30"/>
      <c r="O1000" s="30"/>
      <c r="P1000" s="30"/>
      <c r="Q1000" s="30"/>
      <c r="R1000" s="30"/>
      <c r="S1000" s="30"/>
      <c r="T1000" s="30"/>
      <c r="U1000" s="30"/>
      <c r="V1000" s="30"/>
      <c r="W1000" s="30"/>
      <c r="X1000" s="30"/>
      <c r="Y1000" s="30"/>
      <c r="Z1000" s="30"/>
    </row>
  </sheetData>
  <mergeCells count="7">
    <mergeCell ref="A69:F69"/>
    <mergeCell ref="A87:F87"/>
    <mergeCell ref="A13:F13"/>
    <mergeCell ref="A14:F14"/>
    <mergeCell ref="A15:F15"/>
    <mergeCell ref="A33:F33"/>
    <mergeCell ref="A51:F51"/>
  </mergeCells>
  <pageMargins left="0.7" right="0.7" top="0.75" bottom="0.75" header="0" footer="0"/>
  <pageSetup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BFBFBF"/>
  </sheetPr>
  <dimension ref="A1:AA1000"/>
  <sheetViews>
    <sheetView workbookViewId="0">
      <selection sqref="A1:X1"/>
    </sheetView>
  </sheetViews>
  <sheetFormatPr defaultColWidth="11.23046875" defaultRowHeight="15" customHeight="1" x14ac:dyDescent="0.85"/>
  <cols>
    <col min="1" max="1" width="33.921875" customWidth="1"/>
    <col min="2" max="4" width="16.61328125" customWidth="1"/>
    <col min="5" max="7" width="14.765625" customWidth="1"/>
    <col min="8" max="9" width="12.3046875" customWidth="1"/>
    <col min="10" max="10" width="13.3828125" customWidth="1"/>
    <col min="11" max="11" width="13" customWidth="1"/>
    <col min="12" max="12" width="12.23046875" customWidth="1"/>
    <col min="13" max="13" width="19.3828125" customWidth="1"/>
    <col min="14" max="15" width="15.61328125" customWidth="1"/>
    <col min="16" max="27" width="10.61328125" customWidth="1"/>
  </cols>
  <sheetData>
    <row r="1" spans="1:27" ht="22.5" customHeight="1" x14ac:dyDescent="0.85">
      <c r="A1" s="786" t="s">
        <v>100</v>
      </c>
      <c r="B1" s="765"/>
      <c r="C1" s="765"/>
      <c r="D1" s="765"/>
      <c r="E1" s="765"/>
      <c r="F1" s="765"/>
      <c r="G1" s="765"/>
      <c r="H1" s="765"/>
      <c r="I1" s="765"/>
      <c r="J1" s="765"/>
      <c r="K1" s="765"/>
      <c r="L1" s="765"/>
      <c r="M1" s="765"/>
      <c r="N1" s="765"/>
      <c r="O1" s="765"/>
      <c r="P1" s="765"/>
      <c r="Q1" s="765"/>
      <c r="R1" s="765"/>
      <c r="S1" s="765"/>
      <c r="T1" s="765"/>
      <c r="U1" s="765"/>
      <c r="V1" s="765"/>
      <c r="W1" s="765"/>
      <c r="X1" s="762"/>
      <c r="Y1" s="15"/>
      <c r="Z1" s="15"/>
      <c r="AA1" s="15"/>
    </row>
    <row r="2" spans="1:27" ht="22.5" customHeight="1" x14ac:dyDescent="1.1000000000000001">
      <c r="A2" s="793" t="s">
        <v>101</v>
      </c>
      <c r="B2" s="765"/>
      <c r="C2" s="765"/>
      <c r="D2" s="765"/>
      <c r="E2" s="765"/>
      <c r="F2" s="765"/>
      <c r="G2" s="765"/>
      <c r="H2" s="765"/>
      <c r="I2" s="765"/>
      <c r="J2" s="765"/>
      <c r="K2" s="765"/>
      <c r="L2" s="765"/>
      <c r="M2" s="765"/>
      <c r="N2" s="765"/>
      <c r="O2" s="765"/>
      <c r="P2" s="765"/>
      <c r="Q2" s="765"/>
      <c r="R2" s="765"/>
      <c r="S2" s="765"/>
      <c r="T2" s="765"/>
      <c r="U2" s="765"/>
      <c r="V2" s="765"/>
      <c r="W2" s="765"/>
      <c r="X2" s="762"/>
      <c r="Y2" s="3"/>
      <c r="Z2" s="3"/>
      <c r="AA2" s="3"/>
    </row>
    <row r="3" spans="1:27" ht="22.5" customHeight="1" x14ac:dyDescent="0.85">
      <c r="A3" s="42" t="s">
        <v>102</v>
      </c>
      <c r="B3" s="42" t="s">
        <v>103</v>
      </c>
      <c r="C3" s="42" t="s">
        <v>104</v>
      </c>
      <c r="D3" s="15"/>
      <c r="E3" s="15"/>
      <c r="F3" s="15"/>
      <c r="G3" s="15"/>
      <c r="H3" s="15"/>
      <c r="I3" s="15"/>
      <c r="J3" s="15"/>
      <c r="K3" s="15"/>
      <c r="L3" s="15"/>
      <c r="M3" s="15"/>
      <c r="N3" s="15"/>
      <c r="O3" s="15"/>
      <c r="P3" s="15"/>
      <c r="Q3" s="15"/>
      <c r="R3" s="15"/>
      <c r="S3" s="15"/>
      <c r="T3" s="3"/>
      <c r="U3" s="3"/>
      <c r="V3" s="3"/>
      <c r="W3" s="3"/>
      <c r="X3" s="3"/>
      <c r="Y3" s="3"/>
      <c r="Z3" s="3"/>
      <c r="AA3" s="3"/>
    </row>
    <row r="4" spans="1:27" ht="22.5" customHeight="1" x14ac:dyDescent="0.85">
      <c r="A4" s="43" t="s">
        <v>105</v>
      </c>
      <c r="B4" s="44">
        <f t="shared" ref="B4:B9" si="0">B13</f>
        <v>5523225.6227587098</v>
      </c>
      <c r="C4" s="45" t="s">
        <v>106</v>
      </c>
      <c r="D4" s="15"/>
      <c r="E4" s="15"/>
      <c r="F4" s="15"/>
      <c r="G4" s="15"/>
      <c r="H4" s="15"/>
      <c r="I4" s="15"/>
      <c r="J4" s="15"/>
      <c r="K4" s="15"/>
      <c r="L4" s="15"/>
      <c r="M4" s="15"/>
      <c r="N4" s="15"/>
      <c r="O4" s="15"/>
      <c r="P4" s="15"/>
      <c r="Q4" s="15"/>
      <c r="R4" s="15"/>
      <c r="S4" s="15"/>
      <c r="T4" s="3"/>
      <c r="U4" s="3"/>
      <c r="V4" s="3"/>
      <c r="W4" s="3"/>
      <c r="X4" s="3"/>
      <c r="Y4" s="3"/>
      <c r="Z4" s="3"/>
      <c r="AA4" s="3"/>
    </row>
    <row r="5" spans="1:27" ht="22.5" customHeight="1" x14ac:dyDescent="0.85">
      <c r="A5" s="43" t="s">
        <v>107</v>
      </c>
      <c r="B5" s="44">
        <f t="shared" si="0"/>
        <v>7346622.7465461874</v>
      </c>
      <c r="C5" s="45">
        <f t="shared" ref="C5:C8" si="1">B5/$B$9</f>
        <v>0.73444515384214804</v>
      </c>
      <c r="D5" s="15"/>
      <c r="E5" s="15"/>
      <c r="F5" s="15"/>
      <c r="G5" s="15"/>
      <c r="H5" s="15"/>
      <c r="I5" s="15"/>
      <c r="J5" s="15"/>
      <c r="K5" s="15"/>
      <c r="L5" s="15"/>
      <c r="M5" s="15"/>
      <c r="N5" s="15"/>
      <c r="O5" s="15"/>
      <c r="P5" s="15"/>
      <c r="Q5" s="15"/>
      <c r="R5" s="15"/>
      <c r="S5" s="15"/>
      <c r="T5" s="3"/>
      <c r="U5" s="3"/>
      <c r="V5" s="3"/>
      <c r="W5" s="3"/>
      <c r="X5" s="3"/>
      <c r="Y5" s="3"/>
      <c r="Z5" s="3"/>
      <c r="AA5" s="3"/>
    </row>
    <row r="6" spans="1:27" ht="22.5" customHeight="1" x14ac:dyDescent="0.85">
      <c r="A6" s="43" t="s">
        <v>108</v>
      </c>
      <c r="B6" s="44">
        <f t="shared" si="0"/>
        <v>1474957.7909026011</v>
      </c>
      <c r="C6" s="45">
        <f t="shared" si="1"/>
        <v>0.14745218844392247</v>
      </c>
      <c r="D6" s="15"/>
      <c r="E6" s="15"/>
      <c r="F6" s="15"/>
      <c r="G6" s="15"/>
      <c r="H6" s="15"/>
      <c r="I6" s="15"/>
      <c r="J6" s="15"/>
      <c r="K6" s="15"/>
      <c r="L6" s="15"/>
      <c r="M6" s="15"/>
      <c r="N6" s="15"/>
      <c r="O6" s="15"/>
      <c r="P6" s="15"/>
      <c r="Q6" s="15"/>
      <c r="R6" s="15"/>
      <c r="S6" s="15"/>
      <c r="T6" s="3"/>
      <c r="U6" s="3"/>
      <c r="V6" s="3"/>
      <c r="W6" s="3"/>
      <c r="X6" s="3"/>
      <c r="Y6" s="3"/>
      <c r="Z6" s="3"/>
      <c r="AA6" s="3"/>
    </row>
    <row r="7" spans="1:27" ht="22.5" customHeight="1" x14ac:dyDescent="0.85">
      <c r="A7" s="43" t="s">
        <v>109</v>
      </c>
      <c r="B7" s="44">
        <f t="shared" si="0"/>
        <v>480358.86853029125</v>
      </c>
      <c r="C7" s="45">
        <f t="shared" si="1"/>
        <v>4.8021690410471642E-2</v>
      </c>
      <c r="D7" s="15"/>
      <c r="E7" s="15"/>
      <c r="F7" s="15"/>
      <c r="G7" s="15"/>
      <c r="H7" s="15"/>
      <c r="I7" s="15"/>
      <c r="J7" s="15"/>
      <c r="K7" s="15"/>
      <c r="L7" s="15"/>
      <c r="M7" s="15"/>
      <c r="N7" s="15"/>
      <c r="O7" s="15"/>
      <c r="P7" s="15"/>
      <c r="Q7" s="15"/>
      <c r="R7" s="15"/>
      <c r="S7" s="15"/>
      <c r="T7" s="3"/>
      <c r="U7" s="3"/>
      <c r="V7" s="3"/>
      <c r="W7" s="3"/>
      <c r="X7" s="3"/>
      <c r="Y7" s="3"/>
      <c r="Z7" s="3"/>
      <c r="AA7" s="3"/>
    </row>
    <row r="8" spans="1:27" ht="22.5" customHeight="1" x14ac:dyDescent="0.85">
      <c r="A8" s="43" t="s">
        <v>110</v>
      </c>
      <c r="B8" s="44">
        <f t="shared" si="0"/>
        <v>701016.85033679265</v>
      </c>
      <c r="C8" s="45">
        <f t="shared" si="1"/>
        <v>7.0080967303457933E-2</v>
      </c>
      <c r="D8" s="15"/>
      <c r="E8" s="15"/>
      <c r="F8" s="15"/>
      <c r="G8" s="15"/>
      <c r="H8" s="15"/>
      <c r="I8" s="15"/>
      <c r="J8" s="15"/>
      <c r="K8" s="15"/>
      <c r="L8" s="15"/>
      <c r="M8" s="15"/>
      <c r="N8" s="15"/>
      <c r="O8" s="15"/>
      <c r="P8" s="15"/>
      <c r="Q8" s="15"/>
      <c r="R8" s="15"/>
      <c r="S8" s="15"/>
      <c r="T8" s="3"/>
      <c r="U8" s="3"/>
      <c r="V8" s="3"/>
      <c r="W8" s="3"/>
      <c r="X8" s="3"/>
      <c r="Y8" s="3"/>
      <c r="Z8" s="3"/>
      <c r="AA8" s="3"/>
    </row>
    <row r="9" spans="1:27" ht="22.5" customHeight="1" x14ac:dyDescent="0.85">
      <c r="A9" s="46" t="s">
        <v>111</v>
      </c>
      <c r="B9" s="47">
        <f t="shared" si="0"/>
        <v>10002956.256315872</v>
      </c>
      <c r="C9" s="48">
        <f>SUM(C5:C8)</f>
        <v>1.0000000000000002</v>
      </c>
      <c r="D9" s="15"/>
      <c r="E9" s="15"/>
      <c r="F9" s="15"/>
      <c r="G9" s="15"/>
      <c r="H9" s="15"/>
      <c r="I9" s="15"/>
      <c r="J9" s="15"/>
      <c r="K9" s="15"/>
      <c r="L9" s="15"/>
      <c r="M9" s="15"/>
      <c r="N9" s="15"/>
      <c r="O9" s="15"/>
      <c r="P9" s="15"/>
      <c r="Q9" s="15"/>
      <c r="R9" s="15"/>
      <c r="S9" s="15"/>
      <c r="T9" s="3"/>
      <c r="U9" s="3"/>
      <c r="V9" s="3"/>
      <c r="W9" s="3"/>
      <c r="X9" s="3"/>
      <c r="Y9" s="3"/>
      <c r="Z9" s="3"/>
      <c r="AA9" s="3"/>
    </row>
    <row r="10" spans="1:27" ht="105.75" customHeight="1" x14ac:dyDescent="0.85">
      <c r="A10" s="15"/>
      <c r="B10" s="15"/>
      <c r="C10" s="15"/>
      <c r="D10" s="15"/>
      <c r="E10" s="15"/>
      <c r="F10" s="15"/>
      <c r="G10" s="15"/>
      <c r="H10" s="15"/>
      <c r="I10" s="15"/>
      <c r="J10" s="15"/>
      <c r="K10" s="15"/>
      <c r="L10" s="15"/>
      <c r="M10" s="15"/>
      <c r="N10" s="15"/>
      <c r="O10" s="15"/>
      <c r="P10" s="15"/>
      <c r="Q10" s="15"/>
      <c r="R10" s="15"/>
      <c r="S10" s="15"/>
      <c r="T10" s="15"/>
      <c r="U10" s="15"/>
      <c r="V10" s="3"/>
      <c r="W10" s="3"/>
      <c r="X10" s="3"/>
      <c r="Y10" s="3"/>
      <c r="Z10" s="3"/>
      <c r="AA10" s="3"/>
    </row>
    <row r="11" spans="1:27" ht="22.5" customHeight="1" x14ac:dyDescent="1.1000000000000001">
      <c r="A11" s="793" t="s">
        <v>112</v>
      </c>
      <c r="B11" s="765"/>
      <c r="C11" s="765"/>
      <c r="D11" s="765"/>
      <c r="E11" s="765"/>
      <c r="F11" s="765"/>
      <c r="G11" s="765"/>
      <c r="H11" s="765"/>
      <c r="I11" s="765"/>
      <c r="J11" s="765"/>
      <c r="K11" s="765"/>
      <c r="L11" s="765"/>
      <c r="M11" s="765"/>
      <c r="N11" s="765"/>
      <c r="O11" s="765"/>
      <c r="P11" s="765"/>
      <c r="Q11" s="765"/>
      <c r="R11" s="765"/>
      <c r="S11" s="765"/>
      <c r="T11" s="765"/>
      <c r="U11" s="765"/>
      <c r="V11" s="765"/>
      <c r="W11" s="765"/>
      <c r="X11" s="762"/>
      <c r="Y11" s="3"/>
      <c r="Z11" s="3"/>
      <c r="AA11" s="3"/>
    </row>
    <row r="12" spans="1:27" ht="22.5" customHeight="1" x14ac:dyDescent="0.85">
      <c r="A12" s="42" t="s">
        <v>102</v>
      </c>
      <c r="B12" s="42" t="s">
        <v>113</v>
      </c>
      <c r="C12" s="49" t="s">
        <v>114</v>
      </c>
      <c r="D12" s="42" t="s">
        <v>115</v>
      </c>
      <c r="E12" s="15"/>
      <c r="F12" s="15"/>
      <c r="G12" s="15"/>
      <c r="H12" s="15"/>
      <c r="I12" s="15"/>
      <c r="J12" s="15"/>
      <c r="K12" s="15"/>
      <c r="L12" s="15"/>
      <c r="M12" s="15"/>
      <c r="N12" s="15"/>
      <c r="O12" s="15"/>
      <c r="P12" s="15"/>
      <c r="Q12" s="15"/>
      <c r="R12" s="3"/>
      <c r="S12" s="3"/>
      <c r="T12" s="3"/>
      <c r="U12" s="3"/>
      <c r="V12" s="3"/>
      <c r="W12" s="3"/>
      <c r="X12" s="3"/>
      <c r="Y12" s="3"/>
      <c r="Z12" s="3"/>
      <c r="AA12" s="3"/>
    </row>
    <row r="13" spans="1:27" ht="22.5" customHeight="1" x14ac:dyDescent="0.85">
      <c r="A13" s="43" t="s">
        <v>105</v>
      </c>
      <c r="B13" s="44">
        <f>B26</f>
        <v>5523225.6227587098</v>
      </c>
      <c r="C13" s="44">
        <f>'City of Albuquerque Data'!B5</f>
        <v>561006</v>
      </c>
      <c r="D13" s="50">
        <f t="shared" ref="D13:D18" si="2">B13/C13</f>
        <v>9.8452166692668346</v>
      </c>
      <c r="E13" s="15"/>
      <c r="F13" s="15"/>
      <c r="G13" s="15"/>
      <c r="H13" s="15"/>
      <c r="I13" s="15"/>
      <c r="J13" s="15"/>
      <c r="K13" s="15"/>
      <c r="L13" s="15"/>
      <c r="M13" s="15"/>
      <c r="N13" s="15"/>
      <c r="O13" s="15"/>
      <c r="P13" s="15"/>
      <c r="Q13" s="15"/>
      <c r="R13" s="3"/>
      <c r="S13" s="3"/>
      <c r="T13" s="3"/>
      <c r="U13" s="3"/>
      <c r="V13" s="3"/>
      <c r="W13" s="3"/>
      <c r="X13" s="3"/>
      <c r="Y13" s="3"/>
      <c r="Z13" s="3"/>
      <c r="AA13" s="3"/>
    </row>
    <row r="14" spans="1:27" ht="22.5" customHeight="1" x14ac:dyDescent="0.85">
      <c r="A14" s="43" t="s">
        <v>107</v>
      </c>
      <c r="B14" s="44">
        <f>C26</f>
        <v>7346622.7465461874</v>
      </c>
      <c r="C14" s="44">
        <f>'Bernalillo County Data'!B5</f>
        <v>672508</v>
      </c>
      <c r="D14" s="50">
        <f t="shared" si="2"/>
        <v>10.924216138017968</v>
      </c>
      <c r="E14" s="15"/>
      <c r="F14" s="15"/>
      <c r="G14" s="15"/>
      <c r="H14" s="15"/>
      <c r="I14" s="15"/>
      <c r="J14" s="15"/>
      <c r="K14" s="15"/>
      <c r="L14" s="15"/>
      <c r="M14" s="15"/>
      <c r="N14" s="15"/>
      <c r="O14" s="15"/>
      <c r="P14" s="15"/>
      <c r="Q14" s="15"/>
      <c r="R14" s="3"/>
      <c r="S14" s="3"/>
      <c r="T14" s="3"/>
      <c r="U14" s="3"/>
      <c r="V14" s="3"/>
      <c r="W14" s="3"/>
      <c r="X14" s="3"/>
      <c r="Y14" s="3"/>
      <c r="Z14" s="3"/>
      <c r="AA14" s="3"/>
    </row>
    <row r="15" spans="1:27" ht="22.5" customHeight="1" x14ac:dyDescent="0.85">
      <c r="A15" s="43" t="s">
        <v>108</v>
      </c>
      <c r="B15" s="44">
        <f>D26</f>
        <v>1474957.7909026011</v>
      </c>
      <c r="C15" s="44">
        <f>'Sandoval County Data'!B5</f>
        <v>153501</v>
      </c>
      <c r="D15" s="50">
        <f t="shared" si="2"/>
        <v>9.6087829454049238</v>
      </c>
      <c r="E15" s="15"/>
      <c r="F15" s="15"/>
      <c r="G15" s="15"/>
      <c r="H15" s="15"/>
      <c r="I15" s="15"/>
      <c r="J15" s="15"/>
      <c r="K15" s="15"/>
      <c r="L15" s="15"/>
      <c r="M15" s="15"/>
      <c r="N15" s="15"/>
      <c r="O15" s="15"/>
      <c r="P15" s="15"/>
      <c r="Q15" s="15"/>
      <c r="R15" s="3"/>
      <c r="S15" s="3"/>
      <c r="T15" s="3"/>
      <c r="U15" s="3"/>
      <c r="V15" s="3"/>
      <c r="W15" s="3"/>
      <c r="X15" s="3"/>
      <c r="Y15" s="3"/>
      <c r="Z15" s="3"/>
      <c r="AA15" s="3"/>
    </row>
    <row r="16" spans="1:27" ht="22.5" customHeight="1" x14ac:dyDescent="0.85">
      <c r="A16" s="43" t="s">
        <v>109</v>
      </c>
      <c r="B16" s="44">
        <f>E26</f>
        <v>480358.86853029125</v>
      </c>
      <c r="C16" s="44">
        <f>'Torrance County Data'!B5</f>
        <v>15203</v>
      </c>
      <c r="D16" s="50">
        <f t="shared" si="2"/>
        <v>31.596321024159131</v>
      </c>
      <c r="E16" s="3"/>
      <c r="F16" s="3"/>
      <c r="G16" s="3"/>
      <c r="H16" s="3"/>
      <c r="I16" s="3"/>
      <c r="J16" s="3"/>
      <c r="K16" s="3"/>
      <c r="L16" s="15"/>
      <c r="M16" s="15"/>
      <c r="N16" s="15"/>
      <c r="O16" s="15"/>
      <c r="P16" s="15"/>
      <c r="Q16" s="15"/>
      <c r="R16" s="3"/>
      <c r="S16" s="3"/>
      <c r="T16" s="3"/>
      <c r="U16" s="3"/>
      <c r="V16" s="3"/>
      <c r="W16" s="3"/>
      <c r="X16" s="3"/>
      <c r="Y16" s="3"/>
      <c r="Z16" s="3"/>
      <c r="AA16" s="3"/>
    </row>
    <row r="17" spans="1:27" ht="22.5" customHeight="1" x14ac:dyDescent="0.85">
      <c r="A17" s="43" t="s">
        <v>110</v>
      </c>
      <c r="B17" s="44">
        <f>F26</f>
        <v>701016.85033679265</v>
      </c>
      <c r="C17" s="44">
        <f>'Valencia County Data'!B5</f>
        <v>78080</v>
      </c>
      <c r="D17" s="50">
        <f t="shared" si="2"/>
        <v>8.9781871200921195</v>
      </c>
      <c r="E17" s="15"/>
      <c r="F17" s="15"/>
      <c r="G17" s="15"/>
      <c r="H17" s="15"/>
      <c r="I17" s="15"/>
      <c r="J17" s="15"/>
      <c r="K17" s="15"/>
      <c r="L17" s="15"/>
      <c r="M17" s="15"/>
      <c r="N17" s="15"/>
      <c r="O17" s="15"/>
      <c r="P17" s="15"/>
      <c r="Q17" s="15"/>
      <c r="R17" s="3"/>
      <c r="S17" s="3"/>
      <c r="T17" s="3"/>
      <c r="U17" s="3"/>
      <c r="V17" s="3"/>
      <c r="W17" s="3"/>
      <c r="X17" s="3"/>
      <c r="Y17" s="3"/>
      <c r="Z17" s="3"/>
      <c r="AA17" s="3"/>
    </row>
    <row r="18" spans="1:27" ht="22.5" customHeight="1" x14ac:dyDescent="0.85">
      <c r="A18" s="46" t="s">
        <v>111</v>
      </c>
      <c r="B18" s="47">
        <f t="shared" ref="B18:C18" si="3">SUM(B14:B17)</f>
        <v>10002956.256315872</v>
      </c>
      <c r="C18" s="47">
        <f t="shared" si="3"/>
        <v>919292</v>
      </c>
      <c r="D18" s="51">
        <f t="shared" si="2"/>
        <v>10.881152295805764</v>
      </c>
      <c r="E18" s="15"/>
      <c r="F18" s="15"/>
      <c r="G18" s="15"/>
      <c r="H18" s="15"/>
      <c r="I18" s="15"/>
      <c r="J18" s="15"/>
      <c r="K18" s="15"/>
      <c r="L18" s="15"/>
      <c r="M18" s="15"/>
      <c r="N18" s="15"/>
      <c r="O18" s="15"/>
      <c r="P18" s="15"/>
      <c r="Q18" s="15"/>
      <c r="R18" s="3"/>
      <c r="S18" s="3"/>
      <c r="T18" s="3"/>
      <c r="U18" s="3"/>
      <c r="V18" s="3"/>
      <c r="W18" s="3"/>
      <c r="X18" s="3"/>
      <c r="Y18" s="3"/>
      <c r="Z18" s="3"/>
      <c r="AA18" s="3"/>
    </row>
    <row r="19" spans="1:27" ht="105" customHeight="1" x14ac:dyDescent="0.85">
      <c r="A19" s="794"/>
      <c r="B19" s="769"/>
      <c r="C19" s="769"/>
      <c r="D19" s="795"/>
      <c r="E19" s="15"/>
      <c r="F19" s="15"/>
      <c r="G19" s="15"/>
      <c r="H19" s="15"/>
      <c r="I19" s="15"/>
      <c r="J19" s="15"/>
      <c r="K19" s="15"/>
      <c r="L19" s="15"/>
      <c r="M19" s="15"/>
      <c r="N19" s="15"/>
      <c r="O19" s="15"/>
      <c r="P19" s="15"/>
      <c r="Q19" s="15"/>
      <c r="R19" s="15"/>
      <c r="S19" s="3"/>
      <c r="T19" s="3"/>
      <c r="U19" s="3"/>
      <c r="V19" s="3"/>
      <c r="W19" s="3"/>
      <c r="X19" s="3"/>
      <c r="Y19" s="3"/>
      <c r="Z19" s="3"/>
      <c r="AA19" s="3"/>
    </row>
    <row r="20" spans="1:27" ht="22.5" customHeight="1" x14ac:dyDescent="1.1000000000000001">
      <c r="A20" s="793" t="s">
        <v>116</v>
      </c>
      <c r="B20" s="765"/>
      <c r="C20" s="765"/>
      <c r="D20" s="765"/>
      <c r="E20" s="765"/>
      <c r="F20" s="765"/>
      <c r="G20" s="765"/>
      <c r="H20" s="765"/>
      <c r="I20" s="765"/>
      <c r="J20" s="765"/>
      <c r="K20" s="765"/>
      <c r="L20" s="765"/>
      <c r="M20" s="765"/>
      <c r="N20" s="765"/>
      <c r="O20" s="765"/>
      <c r="P20" s="765"/>
      <c r="Q20" s="765"/>
      <c r="R20" s="765"/>
      <c r="S20" s="765"/>
      <c r="T20" s="765"/>
      <c r="U20" s="765"/>
      <c r="V20" s="765"/>
      <c r="W20" s="765"/>
      <c r="X20" s="762"/>
      <c r="Y20" s="3"/>
      <c r="Z20" s="3"/>
      <c r="AA20" s="3"/>
    </row>
    <row r="21" spans="1:27" ht="22.5" customHeight="1" x14ac:dyDescent="0.85">
      <c r="A21" s="796" t="s">
        <v>117</v>
      </c>
      <c r="B21" s="798" t="s">
        <v>118</v>
      </c>
      <c r="C21" s="765"/>
      <c r="D21" s="765"/>
      <c r="E21" s="765"/>
      <c r="F21" s="765"/>
      <c r="G21" s="762"/>
      <c r="H21" s="15"/>
      <c r="I21" s="15"/>
      <c r="J21" s="15"/>
      <c r="K21" s="15"/>
      <c r="L21" s="15"/>
      <c r="M21" s="15"/>
      <c r="N21" s="15"/>
      <c r="O21" s="15"/>
      <c r="P21" s="15"/>
      <c r="Q21" s="15"/>
      <c r="R21" s="15"/>
      <c r="S21" s="3"/>
      <c r="T21" s="3"/>
      <c r="U21" s="3"/>
      <c r="V21" s="3"/>
      <c r="W21" s="3"/>
      <c r="X21" s="3"/>
      <c r="Y21" s="3"/>
      <c r="Z21" s="3"/>
      <c r="AA21" s="3"/>
    </row>
    <row r="22" spans="1:27" ht="46.5" customHeight="1" x14ac:dyDescent="0.85">
      <c r="A22" s="797"/>
      <c r="B22" s="52" t="s">
        <v>105</v>
      </c>
      <c r="C22" s="52" t="s">
        <v>107</v>
      </c>
      <c r="D22" s="52" t="s">
        <v>108</v>
      </c>
      <c r="E22" s="52" t="s">
        <v>109</v>
      </c>
      <c r="F22" s="52" t="s">
        <v>110</v>
      </c>
      <c r="G22" s="52" t="s">
        <v>119</v>
      </c>
      <c r="H22" s="15"/>
      <c r="I22" s="15"/>
      <c r="J22" s="53"/>
      <c r="K22" s="53"/>
      <c r="L22" s="53"/>
      <c r="M22" s="53"/>
      <c r="N22" s="3"/>
      <c r="O22" s="3"/>
      <c r="P22" s="3"/>
      <c r="Q22" s="3"/>
      <c r="R22" s="3"/>
      <c r="S22" s="3"/>
      <c r="T22" s="3"/>
      <c r="U22" s="3"/>
      <c r="V22" s="3"/>
      <c r="W22" s="3"/>
      <c r="X22" s="3"/>
      <c r="Y22" s="3"/>
      <c r="Z22" s="3"/>
      <c r="AA22" s="3"/>
    </row>
    <row r="23" spans="1:27" ht="22.5" customHeight="1" x14ac:dyDescent="0.85">
      <c r="A23" s="54" t="s">
        <v>120</v>
      </c>
      <c r="B23" s="44">
        <f>'City of Albuquerque Data'!H20</f>
        <v>4112962.4387353244</v>
      </c>
      <c r="C23" s="44">
        <f>'Bernalillo County Data'!H19</f>
        <v>5839109.7776345816</v>
      </c>
      <c r="D23" s="44">
        <f>'Sandoval County Data'!H19</f>
        <v>1247314.4743895091</v>
      </c>
      <c r="E23" s="44">
        <f>'Torrance County Data'!H19</f>
        <v>345697.433504991</v>
      </c>
      <c r="F23" s="44">
        <f>'Valencia County Data'!H19</f>
        <v>578305.17524846049</v>
      </c>
      <c r="G23" s="44">
        <f>'Albuquerque MSA Data'!H18</f>
        <v>8010426.860777542</v>
      </c>
      <c r="H23" s="15"/>
      <c r="I23" s="15"/>
      <c r="J23" s="15"/>
      <c r="K23" s="15"/>
      <c r="L23" s="15"/>
      <c r="M23" s="15"/>
      <c r="N23" s="3"/>
      <c r="O23" s="3"/>
      <c r="P23" s="3"/>
      <c r="Q23" s="3"/>
      <c r="R23" s="3"/>
      <c r="S23" s="3"/>
      <c r="T23" s="3"/>
      <c r="U23" s="3"/>
      <c r="V23" s="3"/>
      <c r="W23" s="3"/>
      <c r="X23" s="3"/>
      <c r="Y23" s="3"/>
      <c r="Z23" s="3"/>
      <c r="AA23" s="3"/>
    </row>
    <row r="24" spans="1:27" ht="22.5" customHeight="1" x14ac:dyDescent="0.85">
      <c r="A24" s="54" t="s">
        <v>121</v>
      </c>
      <c r="B24" s="44">
        <f>'City of Albuquerque Data'!H21</f>
        <v>994939.62821341818</v>
      </c>
      <c r="C24" s="44">
        <f>'Bernalillo County Data'!H20</f>
        <v>1220427.4420006776</v>
      </c>
      <c r="D24" s="44">
        <f>'Sandoval County Data'!H20</f>
        <v>221418.95973599801</v>
      </c>
      <c r="E24" s="44">
        <f>'Torrance County Data'!H20</f>
        <v>129991.55706511979</v>
      </c>
      <c r="F24" s="44">
        <f>'Valencia County Data'!H20</f>
        <v>119380.70581178389</v>
      </c>
      <c r="G24" s="44">
        <f>'Albuquerque MSA Data'!H19</f>
        <v>1691218.6646135794</v>
      </c>
      <c r="H24" s="15"/>
      <c r="I24" s="15"/>
      <c r="J24" s="15"/>
      <c r="K24" s="15"/>
      <c r="L24" s="15"/>
      <c r="M24" s="15"/>
      <c r="N24" s="3"/>
      <c r="O24" s="3"/>
      <c r="P24" s="3"/>
      <c r="Q24" s="3"/>
      <c r="R24" s="3"/>
      <c r="S24" s="3"/>
      <c r="T24" s="3"/>
      <c r="U24" s="3"/>
      <c r="V24" s="3"/>
      <c r="W24" s="3"/>
      <c r="X24" s="3"/>
      <c r="Y24" s="3"/>
      <c r="Z24" s="3"/>
      <c r="AA24" s="3"/>
    </row>
    <row r="25" spans="1:27" ht="22.5" customHeight="1" x14ac:dyDescent="0.85">
      <c r="A25" s="54" t="s">
        <v>122</v>
      </c>
      <c r="B25" s="44">
        <f>'City of Albuquerque Data'!H22</f>
        <v>415323.55580996751</v>
      </c>
      <c r="C25" s="44">
        <f>'Bernalillo County Data'!H21</f>
        <v>287085.52691092808</v>
      </c>
      <c r="D25" s="44">
        <f>'Sandoval County Data'!H21</f>
        <v>6224.3567770941654</v>
      </c>
      <c r="E25" s="44">
        <f>'Torrance County Data'!H21</f>
        <v>4669.8779601804399</v>
      </c>
      <c r="F25" s="44">
        <f>'Valencia County Data'!H21</f>
        <v>3330.9692765482887</v>
      </c>
      <c r="G25" s="44">
        <f>'Albuquerque MSA Data'!H20</f>
        <v>301310.73092475103</v>
      </c>
      <c r="H25" s="15"/>
      <c r="I25" s="15"/>
      <c r="J25" s="15"/>
      <c r="K25" s="15"/>
      <c r="L25" s="15"/>
      <c r="M25" s="15"/>
      <c r="N25" s="3"/>
      <c r="O25" s="3"/>
      <c r="P25" s="3"/>
      <c r="Q25" s="3"/>
      <c r="R25" s="3"/>
      <c r="S25" s="3"/>
      <c r="T25" s="3"/>
      <c r="U25" s="3"/>
      <c r="V25" s="3"/>
      <c r="W25" s="3"/>
      <c r="X25" s="3"/>
      <c r="Y25" s="3"/>
      <c r="Z25" s="3"/>
      <c r="AA25" s="3"/>
    </row>
    <row r="26" spans="1:27" ht="22.5" customHeight="1" x14ac:dyDescent="0.85">
      <c r="A26" s="55" t="s">
        <v>123</v>
      </c>
      <c r="B26" s="56">
        <f t="shared" ref="B26:G26" si="4">SUM(B23:B25)</f>
        <v>5523225.6227587098</v>
      </c>
      <c r="C26" s="56">
        <f t="shared" si="4"/>
        <v>7346622.7465461874</v>
      </c>
      <c r="D26" s="56">
        <f t="shared" si="4"/>
        <v>1474957.7909026011</v>
      </c>
      <c r="E26" s="56">
        <f t="shared" si="4"/>
        <v>480358.86853029125</v>
      </c>
      <c r="F26" s="56">
        <f t="shared" si="4"/>
        <v>701016.85033679265</v>
      </c>
      <c r="G26" s="56">
        <f t="shared" si="4"/>
        <v>10002956.256315872</v>
      </c>
      <c r="H26" s="3"/>
      <c r="I26" s="3"/>
      <c r="J26" s="3"/>
      <c r="K26" s="3"/>
      <c r="L26" s="3"/>
      <c r="M26" s="3"/>
      <c r="N26" s="3"/>
      <c r="O26" s="3"/>
      <c r="P26" s="3"/>
      <c r="Q26" s="3"/>
      <c r="R26" s="3"/>
      <c r="S26" s="3"/>
      <c r="T26" s="3"/>
      <c r="U26" s="3"/>
      <c r="V26" s="3"/>
      <c r="W26" s="3"/>
      <c r="X26" s="3"/>
      <c r="Y26" s="3"/>
      <c r="Z26" s="3"/>
      <c r="AA26" s="3"/>
    </row>
    <row r="27" spans="1:27" ht="22.5" customHeight="1" x14ac:dyDescent="0.85">
      <c r="A27" s="3"/>
      <c r="B27" s="3"/>
      <c r="C27" s="3"/>
      <c r="D27" s="3"/>
      <c r="E27" s="3"/>
      <c r="F27" s="3"/>
      <c r="G27" s="3"/>
      <c r="H27" s="3"/>
      <c r="I27" s="3"/>
      <c r="J27" s="3"/>
      <c r="K27" s="3"/>
      <c r="L27" s="3"/>
      <c r="M27" s="3"/>
      <c r="N27" s="3"/>
      <c r="O27" s="3"/>
      <c r="P27" s="3"/>
      <c r="Q27" s="3"/>
      <c r="R27" s="3"/>
      <c r="S27" s="3"/>
      <c r="T27" s="3"/>
      <c r="U27" s="3"/>
      <c r="V27" s="3"/>
      <c r="W27" s="3"/>
      <c r="X27" s="3"/>
      <c r="Y27" s="3"/>
      <c r="Z27" s="3"/>
      <c r="AA27" s="3"/>
    </row>
    <row r="28" spans="1:27" ht="164.25" customHeight="1" x14ac:dyDescent="0.85">
      <c r="A28" s="3"/>
      <c r="B28" s="3"/>
      <c r="C28" s="3"/>
      <c r="D28" s="3"/>
      <c r="E28" s="3"/>
      <c r="F28" s="3"/>
      <c r="G28" s="3"/>
      <c r="H28" s="3"/>
      <c r="I28" s="3"/>
      <c r="J28" s="3"/>
      <c r="K28" s="3"/>
      <c r="L28" s="3"/>
      <c r="M28" s="3"/>
      <c r="N28" s="3"/>
      <c r="O28" s="3"/>
      <c r="P28" s="3"/>
      <c r="Q28" s="3"/>
      <c r="R28" s="3"/>
      <c r="S28" s="3"/>
      <c r="T28" s="3"/>
      <c r="U28" s="3"/>
      <c r="V28" s="3"/>
      <c r="W28" s="3"/>
      <c r="X28" s="3"/>
      <c r="Y28" s="3"/>
      <c r="Z28" s="3"/>
      <c r="AA28" s="3"/>
    </row>
    <row r="29" spans="1:27" ht="22.5" customHeight="1" x14ac:dyDescent="1.1000000000000001">
      <c r="A29" s="793" t="s">
        <v>124</v>
      </c>
      <c r="B29" s="765"/>
      <c r="C29" s="765"/>
      <c r="D29" s="765"/>
      <c r="E29" s="765"/>
      <c r="F29" s="765"/>
      <c r="G29" s="765"/>
      <c r="H29" s="765"/>
      <c r="I29" s="765"/>
      <c r="J29" s="765"/>
      <c r="K29" s="765"/>
      <c r="L29" s="765"/>
      <c r="M29" s="765"/>
      <c r="N29" s="765"/>
      <c r="O29" s="765"/>
      <c r="P29" s="765"/>
      <c r="Q29" s="765"/>
      <c r="R29" s="765"/>
      <c r="S29" s="765"/>
      <c r="T29" s="765"/>
      <c r="U29" s="765"/>
      <c r="V29" s="765"/>
      <c r="W29" s="765"/>
      <c r="X29" s="762"/>
      <c r="Y29" s="3"/>
      <c r="Z29" s="3"/>
      <c r="AA29" s="3"/>
    </row>
    <row r="30" spans="1:27" ht="22.5" customHeight="1" x14ac:dyDescent="0.85">
      <c r="A30" s="796" t="s">
        <v>125</v>
      </c>
      <c r="B30" s="798" t="s">
        <v>118</v>
      </c>
      <c r="C30" s="765"/>
      <c r="D30" s="765"/>
      <c r="E30" s="765"/>
      <c r="F30" s="765"/>
      <c r="G30" s="762"/>
      <c r="H30" s="3"/>
      <c r="I30" s="3"/>
      <c r="J30" s="3"/>
      <c r="K30" s="3"/>
      <c r="L30" s="3"/>
      <c r="M30" s="3"/>
      <c r="N30" s="3"/>
      <c r="O30" s="3"/>
      <c r="P30" s="3"/>
      <c r="Q30" s="3"/>
      <c r="R30" s="3"/>
      <c r="S30" s="3"/>
      <c r="T30" s="3"/>
      <c r="U30" s="3"/>
      <c r="V30" s="3"/>
      <c r="W30" s="3"/>
      <c r="X30" s="3"/>
      <c r="Y30" s="3"/>
      <c r="Z30" s="3"/>
      <c r="AA30" s="3"/>
    </row>
    <row r="31" spans="1:27" ht="22.5" customHeight="1" x14ac:dyDescent="0.85">
      <c r="A31" s="797"/>
      <c r="B31" s="42" t="s">
        <v>105</v>
      </c>
      <c r="C31" s="42" t="s">
        <v>126</v>
      </c>
      <c r="D31" s="42" t="s">
        <v>127</v>
      </c>
      <c r="E31" s="42" t="s">
        <v>128</v>
      </c>
      <c r="F31" s="42" t="s">
        <v>129</v>
      </c>
      <c r="G31" s="42" t="s">
        <v>111</v>
      </c>
      <c r="H31" s="3"/>
      <c r="I31" s="3"/>
      <c r="J31" s="3"/>
      <c r="K31" s="3"/>
      <c r="L31" s="3"/>
      <c r="M31" s="3"/>
      <c r="N31" s="3"/>
      <c r="O31" s="3"/>
      <c r="P31" s="3"/>
      <c r="Q31" s="3"/>
      <c r="R31" s="3"/>
      <c r="S31" s="3"/>
      <c r="T31" s="3"/>
      <c r="U31" s="3"/>
      <c r="V31" s="3"/>
      <c r="W31" s="3"/>
      <c r="X31" s="3"/>
      <c r="Y31" s="3"/>
      <c r="Z31" s="3"/>
      <c r="AA31" s="3"/>
    </row>
    <row r="32" spans="1:27" ht="22.5" customHeight="1" x14ac:dyDescent="0.85">
      <c r="A32" s="54" t="s">
        <v>130</v>
      </c>
      <c r="B32" s="57">
        <f t="shared" ref="B32:G32" si="5">SUM(B46:B51)</f>
        <v>3113205.2661262383</v>
      </c>
      <c r="C32" s="57">
        <f t="shared" si="5"/>
        <v>3377317.7432731218</v>
      </c>
      <c r="D32" s="57">
        <f t="shared" si="5"/>
        <v>510223.41018259263</v>
      </c>
      <c r="E32" s="57">
        <f t="shared" si="5"/>
        <v>161216.68966536983</v>
      </c>
      <c r="F32" s="57">
        <f t="shared" si="5"/>
        <v>232074.61414731728</v>
      </c>
      <c r="G32" s="57">
        <f t="shared" si="5"/>
        <v>4280832.457268402</v>
      </c>
      <c r="H32" s="58"/>
      <c r="I32" s="3"/>
      <c r="J32" s="3"/>
      <c r="K32" s="3"/>
      <c r="L32" s="3"/>
      <c r="M32" s="3"/>
      <c r="N32" s="3"/>
      <c r="O32" s="3"/>
      <c r="P32" s="3"/>
      <c r="Q32" s="3"/>
      <c r="R32" s="3"/>
      <c r="S32" s="3"/>
      <c r="T32" s="3"/>
      <c r="U32" s="3"/>
      <c r="V32" s="3"/>
      <c r="W32" s="3"/>
      <c r="X32" s="3"/>
      <c r="Y32" s="3"/>
      <c r="Z32" s="3"/>
      <c r="AA32" s="3"/>
    </row>
    <row r="33" spans="1:27" ht="22.5" customHeight="1" x14ac:dyDescent="0.85">
      <c r="A33" s="54" t="s">
        <v>131</v>
      </c>
      <c r="B33" s="57">
        <f t="shared" ref="B33:G33" si="6">SUM(B52:B60)</f>
        <v>2169199.1952947495</v>
      </c>
      <c r="C33" s="57">
        <f t="shared" si="6"/>
        <v>3152640.1192794964</v>
      </c>
      <c r="D33" s="57">
        <f t="shared" si="6"/>
        <v>726278.19225831667</v>
      </c>
      <c r="E33" s="57">
        <f t="shared" si="6"/>
        <v>422830.48464846879</v>
      </c>
      <c r="F33" s="57">
        <f t="shared" si="6"/>
        <v>358089.16974116769</v>
      </c>
      <c r="G33" s="57">
        <f t="shared" si="6"/>
        <v>4659837.9659274491</v>
      </c>
      <c r="H33" s="58"/>
      <c r="I33" s="3"/>
      <c r="J33" s="3"/>
      <c r="K33" s="3"/>
      <c r="L33" s="3"/>
      <c r="M33" s="3"/>
      <c r="N33" s="3"/>
      <c r="O33" s="3"/>
      <c r="P33" s="3"/>
      <c r="Q33" s="3"/>
      <c r="R33" s="3"/>
      <c r="S33" s="3"/>
      <c r="T33" s="3"/>
      <c r="U33" s="3"/>
      <c r="V33" s="3"/>
      <c r="W33" s="3"/>
      <c r="X33" s="3"/>
      <c r="Y33" s="3"/>
      <c r="Z33" s="3"/>
      <c r="AA33" s="3"/>
    </row>
    <row r="34" spans="1:27" ht="22.5" customHeight="1" x14ac:dyDescent="0.85">
      <c r="A34" s="54" t="s">
        <v>132</v>
      </c>
      <c r="B34" s="57">
        <f t="shared" ref="B34:G34" si="7">SUM(B61:B63)</f>
        <v>136912.18570696271</v>
      </c>
      <c r="C34" s="57">
        <f t="shared" si="7"/>
        <v>339839.08414599882</v>
      </c>
      <c r="D34" s="57">
        <f t="shared" si="7"/>
        <v>138418.04148346401</v>
      </c>
      <c r="E34" s="57">
        <f t="shared" si="7"/>
        <v>15137.006699024601</v>
      </c>
      <c r="F34" s="57">
        <f t="shared" si="7"/>
        <v>9486.4670208000007</v>
      </c>
      <c r="G34" s="57">
        <f t="shared" si="7"/>
        <v>502880.5993492874</v>
      </c>
      <c r="H34" s="58"/>
      <c r="I34" s="3"/>
      <c r="J34" s="3"/>
      <c r="K34" s="3"/>
      <c r="L34" s="3"/>
      <c r="M34" s="3"/>
      <c r="N34" s="3"/>
      <c r="O34" s="3"/>
      <c r="P34" s="3"/>
      <c r="Q34" s="3"/>
      <c r="R34" s="3"/>
      <c r="S34" s="3"/>
      <c r="T34" s="3"/>
      <c r="U34" s="3"/>
      <c r="V34" s="3"/>
      <c r="W34" s="3"/>
      <c r="X34" s="3"/>
      <c r="Y34" s="3"/>
      <c r="Z34" s="3"/>
      <c r="AA34" s="3"/>
    </row>
    <row r="35" spans="1:27" ht="22.5" customHeight="1" x14ac:dyDescent="0.85">
      <c r="A35" s="54" t="s">
        <v>133</v>
      </c>
      <c r="B35" s="57">
        <f t="shared" ref="B35:G35" si="8">SUM(B64:B65)</f>
        <v>110903.37603337824</v>
      </c>
      <c r="C35" s="57">
        <f t="shared" si="8"/>
        <v>511003.5249872345</v>
      </c>
      <c r="D35" s="57">
        <f t="shared" si="8"/>
        <v>146050.13232848886</v>
      </c>
      <c r="E35" s="57">
        <f t="shared" si="8"/>
        <v>5810.9391485375436</v>
      </c>
      <c r="F35" s="57">
        <f t="shared" si="8"/>
        <v>29833.51699514901</v>
      </c>
      <c r="G35" s="57">
        <f t="shared" si="8"/>
        <v>692698.1134594098</v>
      </c>
      <c r="H35" s="58"/>
      <c r="I35" s="3"/>
      <c r="J35" s="3"/>
      <c r="K35" s="3"/>
      <c r="L35" s="3"/>
      <c r="M35" s="3"/>
      <c r="N35" s="3"/>
      <c r="O35" s="3"/>
      <c r="P35" s="3"/>
      <c r="Q35" s="3"/>
      <c r="R35" s="3"/>
      <c r="S35" s="3"/>
      <c r="T35" s="3"/>
      <c r="U35" s="3"/>
      <c r="V35" s="3"/>
      <c r="W35" s="3"/>
      <c r="X35" s="3"/>
      <c r="Y35" s="3"/>
      <c r="Z35" s="3"/>
      <c r="AA35" s="3"/>
    </row>
    <row r="36" spans="1:27" ht="22.5" customHeight="1" x14ac:dyDescent="0.85">
      <c r="A36" s="54" t="s">
        <v>134</v>
      </c>
      <c r="B36" s="57">
        <f t="shared" ref="B36:G36" si="9">B66</f>
        <v>96.599597381866147</v>
      </c>
      <c r="C36" s="57">
        <f t="shared" si="9"/>
        <v>20934.274860335296</v>
      </c>
      <c r="D36" s="57">
        <f t="shared" si="9"/>
        <v>65257.014649739183</v>
      </c>
      <c r="E36" s="57">
        <f t="shared" si="9"/>
        <v>172567.74836889049</v>
      </c>
      <c r="F36" s="57">
        <f t="shared" si="9"/>
        <v>90044.082432358715</v>
      </c>
      <c r="G36" s="57">
        <f t="shared" si="9"/>
        <v>348803.12031132373</v>
      </c>
      <c r="H36" s="58"/>
      <c r="I36" s="3"/>
      <c r="J36" s="3"/>
      <c r="K36" s="3"/>
      <c r="L36" s="3"/>
      <c r="M36" s="3"/>
      <c r="N36" s="3"/>
      <c r="O36" s="3"/>
      <c r="P36" s="3"/>
      <c r="Q36" s="3"/>
      <c r="R36" s="3"/>
      <c r="S36" s="3"/>
      <c r="T36" s="3"/>
      <c r="U36" s="3"/>
      <c r="V36" s="3"/>
      <c r="W36" s="3"/>
      <c r="X36" s="3"/>
      <c r="Y36" s="3"/>
      <c r="Z36" s="3"/>
      <c r="AA36" s="3"/>
    </row>
    <row r="37" spans="1:27" ht="22.5" customHeight="1" x14ac:dyDescent="0.85">
      <c r="A37" s="54" t="s">
        <v>135</v>
      </c>
      <c r="B37" s="44">
        <f t="shared" ref="B37:G37" si="10">B67</f>
        <v>-7091</v>
      </c>
      <c r="C37" s="44">
        <f t="shared" si="10"/>
        <v>-55112</v>
      </c>
      <c r="D37" s="44">
        <f t="shared" si="10"/>
        <v>-111269</v>
      </c>
      <c r="E37" s="44">
        <f t="shared" si="10"/>
        <v>-297204</v>
      </c>
      <c r="F37" s="44">
        <f t="shared" si="10"/>
        <v>-18511</v>
      </c>
      <c r="G37" s="44">
        <f t="shared" si="10"/>
        <v>-482096</v>
      </c>
      <c r="H37" s="58"/>
      <c r="I37" s="3"/>
      <c r="J37" s="3"/>
      <c r="K37" s="3"/>
      <c r="L37" s="3"/>
      <c r="M37" s="3"/>
      <c r="N37" s="3"/>
      <c r="O37" s="3"/>
      <c r="P37" s="3"/>
      <c r="Q37" s="3"/>
      <c r="R37" s="3"/>
      <c r="S37" s="3"/>
      <c r="T37" s="3"/>
      <c r="U37" s="3"/>
      <c r="V37" s="3"/>
      <c r="W37" s="3"/>
      <c r="X37" s="3"/>
      <c r="Y37" s="3"/>
      <c r="Z37" s="3"/>
      <c r="AA37" s="3"/>
    </row>
    <row r="38" spans="1:27" ht="22.5" customHeight="1" x14ac:dyDescent="0.85">
      <c r="A38" s="55" t="s">
        <v>101</v>
      </c>
      <c r="B38" s="56">
        <f t="shared" ref="B38:G38" si="11">SUM(B32:B36)</f>
        <v>5530316.6227587098</v>
      </c>
      <c r="C38" s="56">
        <f t="shared" si="11"/>
        <v>7401734.7465461874</v>
      </c>
      <c r="D38" s="56">
        <f t="shared" si="11"/>
        <v>1586226.7909026013</v>
      </c>
      <c r="E38" s="56">
        <f t="shared" si="11"/>
        <v>777562.86853029125</v>
      </c>
      <c r="F38" s="56">
        <f t="shared" si="11"/>
        <v>719527.85033679265</v>
      </c>
      <c r="G38" s="56">
        <f t="shared" si="11"/>
        <v>10485052.256315872</v>
      </c>
      <c r="H38" s="58"/>
      <c r="I38" s="3"/>
      <c r="J38" s="3"/>
      <c r="K38" s="3"/>
      <c r="L38" s="3"/>
      <c r="M38" s="3"/>
      <c r="N38" s="3"/>
      <c r="O38" s="3"/>
      <c r="P38" s="3"/>
      <c r="Q38" s="3"/>
      <c r="R38" s="3"/>
      <c r="S38" s="3"/>
      <c r="T38" s="3"/>
      <c r="U38" s="3"/>
      <c r="V38" s="3"/>
      <c r="W38" s="3"/>
      <c r="X38" s="3"/>
      <c r="Y38" s="3"/>
      <c r="Z38" s="3"/>
      <c r="AA38" s="3"/>
    </row>
    <row r="39" spans="1:27" ht="22.5" customHeight="1" x14ac:dyDescent="0.85">
      <c r="A39" s="55" t="s">
        <v>136</v>
      </c>
      <c r="B39" s="56">
        <f t="shared" ref="B39:G39" si="12">B37</f>
        <v>-7091</v>
      </c>
      <c r="C39" s="56">
        <f t="shared" si="12"/>
        <v>-55112</v>
      </c>
      <c r="D39" s="56">
        <f t="shared" si="12"/>
        <v>-111269</v>
      </c>
      <c r="E39" s="56">
        <f t="shared" si="12"/>
        <v>-297204</v>
      </c>
      <c r="F39" s="56">
        <f t="shared" si="12"/>
        <v>-18511</v>
      </c>
      <c r="G39" s="56">
        <f t="shared" si="12"/>
        <v>-482096</v>
      </c>
      <c r="H39" s="58"/>
      <c r="I39" s="3"/>
      <c r="J39" s="3"/>
      <c r="K39" s="3"/>
      <c r="L39" s="3"/>
      <c r="M39" s="3"/>
      <c r="N39" s="3"/>
      <c r="O39" s="3"/>
      <c r="P39" s="3"/>
      <c r="Q39" s="3"/>
      <c r="R39" s="3"/>
      <c r="S39" s="3"/>
      <c r="T39" s="3"/>
      <c r="U39" s="3"/>
      <c r="V39" s="3"/>
      <c r="W39" s="3"/>
      <c r="X39" s="3"/>
      <c r="Y39" s="3"/>
      <c r="Z39" s="3"/>
      <c r="AA39" s="3"/>
    </row>
    <row r="40" spans="1:27" ht="22.5" customHeight="1" x14ac:dyDescent="0.85">
      <c r="A40" s="55" t="s">
        <v>123</v>
      </c>
      <c r="B40" s="56">
        <f t="shared" ref="B40:G40" si="13">B38+B39</f>
        <v>5523225.6227587098</v>
      </c>
      <c r="C40" s="56">
        <f t="shared" si="13"/>
        <v>7346622.7465461874</v>
      </c>
      <c r="D40" s="56">
        <f t="shared" si="13"/>
        <v>1474957.7909026013</v>
      </c>
      <c r="E40" s="56">
        <f t="shared" si="13"/>
        <v>480358.86853029125</v>
      </c>
      <c r="F40" s="56">
        <f t="shared" si="13"/>
        <v>701016.85033679265</v>
      </c>
      <c r="G40" s="56">
        <f t="shared" si="13"/>
        <v>10002956.256315872</v>
      </c>
      <c r="H40" s="58"/>
      <c r="I40" s="3"/>
      <c r="J40" s="3"/>
      <c r="K40" s="3"/>
      <c r="L40" s="3"/>
      <c r="M40" s="3"/>
      <c r="N40" s="3"/>
      <c r="O40" s="3"/>
      <c r="P40" s="3"/>
      <c r="Q40" s="3"/>
      <c r="R40" s="3"/>
      <c r="S40" s="3"/>
      <c r="T40" s="3"/>
      <c r="U40" s="3"/>
      <c r="V40" s="3"/>
      <c r="W40" s="3"/>
      <c r="X40" s="3"/>
      <c r="Y40" s="3"/>
      <c r="Z40" s="3"/>
      <c r="AA40" s="3"/>
    </row>
    <row r="41" spans="1:27" ht="22.5" customHeight="1" x14ac:dyDescent="0.85">
      <c r="A41" s="3"/>
      <c r="B41" s="3"/>
      <c r="C41" s="3"/>
      <c r="D41" s="3"/>
      <c r="E41" s="3"/>
      <c r="F41" s="3"/>
      <c r="G41" s="3"/>
      <c r="H41" s="58"/>
      <c r="I41" s="3"/>
      <c r="J41" s="3"/>
      <c r="K41" s="3"/>
      <c r="L41" s="3"/>
      <c r="M41" s="3"/>
      <c r="N41" s="3"/>
      <c r="O41" s="3"/>
      <c r="P41" s="3"/>
      <c r="Q41" s="3"/>
      <c r="R41" s="3"/>
      <c r="S41" s="3"/>
      <c r="T41" s="3"/>
      <c r="U41" s="3"/>
      <c r="V41" s="3"/>
      <c r="W41" s="3"/>
      <c r="X41" s="3"/>
      <c r="Y41" s="3"/>
      <c r="Z41" s="3"/>
      <c r="AA41" s="3"/>
    </row>
    <row r="42" spans="1:27" ht="137.25" customHeight="1" x14ac:dyDescent="0.85">
      <c r="A42" s="3"/>
      <c r="B42" s="3"/>
      <c r="C42" s="3"/>
      <c r="D42" s="3"/>
      <c r="E42" s="3"/>
      <c r="F42" s="3"/>
      <c r="G42" s="59"/>
      <c r="H42" s="3"/>
      <c r="I42" s="3"/>
      <c r="J42" s="3"/>
      <c r="K42" s="3"/>
      <c r="L42" s="3"/>
      <c r="M42" s="3"/>
      <c r="N42" s="3"/>
      <c r="O42" s="3"/>
      <c r="P42" s="3"/>
      <c r="Q42" s="3"/>
      <c r="R42" s="3"/>
      <c r="S42" s="3"/>
      <c r="T42" s="3"/>
      <c r="U42" s="3"/>
      <c r="V42" s="3"/>
      <c r="W42" s="3"/>
      <c r="X42" s="3"/>
      <c r="Y42" s="3"/>
      <c r="Z42" s="3"/>
      <c r="AA42" s="3"/>
    </row>
    <row r="43" spans="1:27" ht="22.5" customHeight="1" x14ac:dyDescent="1.1000000000000001">
      <c r="A43" s="793" t="s">
        <v>137</v>
      </c>
      <c r="B43" s="765"/>
      <c r="C43" s="765"/>
      <c r="D43" s="765"/>
      <c r="E43" s="765"/>
      <c r="F43" s="765"/>
      <c r="G43" s="765"/>
      <c r="H43" s="765"/>
      <c r="I43" s="765"/>
      <c r="J43" s="765"/>
      <c r="K43" s="765"/>
      <c r="L43" s="765"/>
      <c r="M43" s="765"/>
      <c r="N43" s="765"/>
      <c r="O43" s="765"/>
      <c r="P43" s="765"/>
      <c r="Q43" s="765"/>
      <c r="R43" s="765"/>
      <c r="S43" s="765"/>
      <c r="T43" s="765"/>
      <c r="U43" s="765"/>
      <c r="V43" s="765"/>
      <c r="W43" s="765"/>
      <c r="X43" s="762"/>
      <c r="Y43" s="3"/>
      <c r="Z43" s="3"/>
      <c r="AA43" s="3"/>
    </row>
    <row r="44" spans="1:27" ht="22.5" customHeight="1" x14ac:dyDescent="0.85">
      <c r="A44" s="796" t="s">
        <v>138</v>
      </c>
      <c r="B44" s="798" t="s">
        <v>118</v>
      </c>
      <c r="C44" s="765"/>
      <c r="D44" s="765"/>
      <c r="E44" s="765"/>
      <c r="F44" s="765"/>
      <c r="G44" s="762"/>
      <c r="H44" s="3"/>
      <c r="I44" s="3"/>
      <c r="J44" s="3"/>
      <c r="K44" s="3"/>
      <c r="L44" s="3"/>
      <c r="M44" s="3"/>
      <c r="N44" s="3"/>
      <c r="O44" s="3"/>
      <c r="P44" s="3"/>
      <c r="Q44" s="3"/>
      <c r="R44" s="3"/>
      <c r="S44" s="3"/>
      <c r="T44" s="3"/>
      <c r="U44" s="3"/>
      <c r="V44" s="3"/>
      <c r="W44" s="3"/>
      <c r="X44" s="3"/>
      <c r="Y44" s="3"/>
      <c r="Z44" s="3"/>
      <c r="AA44" s="3"/>
    </row>
    <row r="45" spans="1:27" ht="22.5" customHeight="1" x14ac:dyDescent="0.85">
      <c r="A45" s="797"/>
      <c r="B45" s="42" t="s">
        <v>105</v>
      </c>
      <c r="C45" s="42" t="s">
        <v>107</v>
      </c>
      <c r="D45" s="42" t="s">
        <v>108</v>
      </c>
      <c r="E45" s="42" t="s">
        <v>109</v>
      </c>
      <c r="F45" s="42" t="s">
        <v>110</v>
      </c>
      <c r="G45" s="42" t="s">
        <v>111</v>
      </c>
      <c r="H45" s="3"/>
      <c r="I45" s="3"/>
      <c r="J45" s="3"/>
      <c r="K45" s="3"/>
      <c r="L45" s="3"/>
      <c r="M45" s="3"/>
      <c r="N45" s="3"/>
      <c r="O45" s="3"/>
      <c r="P45" s="3"/>
      <c r="Q45" s="3"/>
      <c r="R45" s="3"/>
      <c r="S45" s="3"/>
      <c r="T45" s="3"/>
      <c r="U45" s="3"/>
      <c r="V45" s="3"/>
      <c r="W45" s="3"/>
      <c r="X45" s="3"/>
      <c r="Y45" s="3"/>
      <c r="Z45" s="3"/>
      <c r="AA45" s="3"/>
    </row>
    <row r="46" spans="1:27" ht="22.5" customHeight="1" x14ac:dyDescent="0.85">
      <c r="A46" s="60" t="s">
        <v>139</v>
      </c>
      <c r="B46" s="61">
        <f>'City of Albuquerque Data'!B20</f>
        <v>987528.6662180156</v>
      </c>
      <c r="C46" s="61">
        <f>'Bernalillo County Data'!B19</f>
        <v>1212396.8176889275</v>
      </c>
      <c r="D46" s="61">
        <f>'Sandoval County Data'!B19</f>
        <v>219561.31878066956</v>
      </c>
      <c r="E46" s="61">
        <f>'Torrance County Data'!B19</f>
        <v>129954.64500862057</v>
      </c>
      <c r="F46" s="61">
        <f>'Valencia County Data'!B19</f>
        <v>118984.42212488731</v>
      </c>
      <c r="G46" s="61">
        <f>'Albuquerque MSA Data'!B18</f>
        <v>1680897.2036031049</v>
      </c>
      <c r="H46" s="3"/>
      <c r="I46" s="3"/>
      <c r="J46" s="3"/>
      <c r="K46" s="3"/>
      <c r="L46" s="3"/>
      <c r="M46" s="3"/>
      <c r="N46" s="3"/>
      <c r="O46" s="3"/>
      <c r="P46" s="3"/>
      <c r="Q46" s="3"/>
      <c r="R46" s="3"/>
      <c r="S46" s="3"/>
      <c r="T46" s="3"/>
      <c r="U46" s="3"/>
      <c r="V46" s="3"/>
      <c r="W46" s="3"/>
      <c r="X46" s="3"/>
      <c r="Y46" s="3"/>
      <c r="Z46" s="3"/>
      <c r="AA46" s="3"/>
    </row>
    <row r="47" spans="1:27" ht="22.5" customHeight="1" x14ac:dyDescent="0.85">
      <c r="A47" s="60" t="s">
        <v>140</v>
      </c>
      <c r="B47" s="61">
        <f>'City of Albuquerque Data'!B21</f>
        <v>2027036.4164636249</v>
      </c>
      <c r="C47" s="61">
        <f>'Bernalillo County Data'!B20</f>
        <v>2048231.4551218757</v>
      </c>
      <c r="D47" s="61">
        <f>'Sandoval County Data'!B20</f>
        <v>269579.91565794119</v>
      </c>
      <c r="E47" s="61">
        <f>'Torrance County Data'!B20</f>
        <v>24712.40569067925</v>
      </c>
      <c r="F47" s="61">
        <f>'Valencia County Data'!B20</f>
        <v>100024.44834162401</v>
      </c>
      <c r="G47" s="61">
        <f>'Albuquerque MSA Data'!B19</f>
        <v>2442548.2248121202</v>
      </c>
      <c r="H47" s="3"/>
      <c r="I47" s="3"/>
      <c r="J47" s="3"/>
      <c r="K47" s="3"/>
      <c r="L47" s="3"/>
      <c r="M47" s="3"/>
      <c r="N47" s="3"/>
      <c r="O47" s="3"/>
      <c r="P47" s="3"/>
      <c r="Q47" s="3"/>
      <c r="R47" s="3"/>
      <c r="S47" s="3"/>
      <c r="T47" s="3"/>
      <c r="U47" s="3"/>
      <c r="V47" s="3"/>
      <c r="W47" s="3"/>
      <c r="X47" s="3"/>
      <c r="Y47" s="3"/>
      <c r="Z47" s="3"/>
      <c r="AA47" s="3"/>
    </row>
    <row r="48" spans="1:27" ht="22.5" customHeight="1" x14ac:dyDescent="0.85">
      <c r="A48" s="60" t="s">
        <v>141</v>
      </c>
      <c r="B48" s="61">
        <f>'City of Albuquerque Data'!B23</f>
        <v>6145.0806318442628</v>
      </c>
      <c r="C48" s="61">
        <f>'Bernalillo County Data'!B22</f>
        <v>16929.752792262298</v>
      </c>
      <c r="D48" s="61">
        <f>'Sandoval County Data'!B22</f>
        <v>6104.6016522065584</v>
      </c>
      <c r="E48" s="61">
        <f>'Torrance County Data'!B22</f>
        <v>1063.4741440049183</v>
      </c>
      <c r="F48" s="61">
        <f>'Valencia County Data'!B22</f>
        <v>6465.787278939345</v>
      </c>
      <c r="G48" s="61">
        <f>'Albuquerque MSA Data'!B21</f>
        <v>30563.615867413118</v>
      </c>
      <c r="H48" s="3"/>
      <c r="I48" s="3"/>
      <c r="J48" s="3"/>
      <c r="K48" s="3"/>
      <c r="L48" s="3"/>
      <c r="M48" s="3"/>
      <c r="N48" s="3"/>
      <c r="O48" s="3"/>
      <c r="P48" s="3"/>
      <c r="Q48" s="3"/>
      <c r="R48" s="3"/>
      <c r="S48" s="3"/>
      <c r="T48" s="3"/>
      <c r="U48" s="3"/>
      <c r="V48" s="3"/>
      <c r="W48" s="3"/>
      <c r="X48" s="3"/>
      <c r="Y48" s="3"/>
      <c r="Z48" s="3"/>
      <c r="AA48" s="3"/>
    </row>
    <row r="49" spans="1:27" ht="22.5" customHeight="1" x14ac:dyDescent="0.85">
      <c r="A49" s="60" t="s">
        <v>142</v>
      </c>
      <c r="B49" s="61">
        <f>'City of Albuquerque Data'!B24</f>
        <v>16.13682</v>
      </c>
      <c r="C49" s="61">
        <f>'Bernalillo County Data'!B23</f>
        <v>42.862183000000002</v>
      </c>
      <c r="D49" s="61">
        <f>'Sandoval County Data'!B23</f>
        <v>24.822811999999999</v>
      </c>
      <c r="E49" s="61">
        <f>'Torrance County Data'!B23</f>
        <v>12.819806999999999</v>
      </c>
      <c r="F49" s="61">
        <f>'Valencia County Data'!B23</f>
        <v>22.362445000000001</v>
      </c>
      <c r="G49" s="61">
        <f>'Albuquerque MSA Data'!B22</f>
        <v>102.86724699999999</v>
      </c>
      <c r="H49" s="3"/>
      <c r="I49" s="3"/>
      <c r="J49" s="3"/>
      <c r="K49" s="3"/>
      <c r="L49" s="3"/>
      <c r="M49" s="3"/>
      <c r="N49" s="3"/>
      <c r="O49" s="3"/>
      <c r="P49" s="3"/>
      <c r="Q49" s="3"/>
      <c r="R49" s="3"/>
      <c r="S49" s="3"/>
      <c r="T49" s="3"/>
      <c r="U49" s="3"/>
      <c r="V49" s="3"/>
      <c r="W49" s="3"/>
      <c r="X49" s="3"/>
      <c r="Y49" s="3"/>
      <c r="Z49" s="3"/>
      <c r="AA49" s="3"/>
    </row>
    <row r="50" spans="1:27" ht="22.5" customHeight="1" x14ac:dyDescent="0.85">
      <c r="A50" s="60" t="s">
        <v>143</v>
      </c>
      <c r="B50" s="61">
        <f>'City of Albuquerque Data'!B25</f>
        <v>66013.197738110437</v>
      </c>
      <c r="C50" s="61">
        <f>'Bernalillo County Data'!B24</f>
        <v>66703.442997963735</v>
      </c>
      <c r="D50" s="61">
        <f>'Sandoval County Data'!B24</f>
        <v>8779.2365909229611</v>
      </c>
      <c r="E50" s="61">
        <f>'Torrance County Data'!B24</f>
        <v>804.79310099878001</v>
      </c>
      <c r="F50" s="61">
        <f>'Valencia County Data'!B24</f>
        <v>3257.4321967735245</v>
      </c>
      <c r="G50" s="61">
        <f>'Albuquerque MSA Data'!B23</f>
        <v>79544.904886659002</v>
      </c>
      <c r="H50" s="3"/>
      <c r="I50" s="3"/>
      <c r="J50" s="3"/>
      <c r="K50" s="3"/>
      <c r="L50" s="3"/>
      <c r="M50" s="3"/>
      <c r="N50" s="3"/>
      <c r="O50" s="3"/>
      <c r="P50" s="3"/>
      <c r="Q50" s="3"/>
      <c r="R50" s="3"/>
      <c r="S50" s="3"/>
      <c r="T50" s="3"/>
      <c r="U50" s="3"/>
      <c r="V50" s="3"/>
      <c r="W50" s="3"/>
      <c r="X50" s="3"/>
      <c r="Y50" s="3"/>
      <c r="Z50" s="3"/>
      <c r="AA50" s="3"/>
    </row>
    <row r="51" spans="1:27" ht="22.5" customHeight="1" x14ac:dyDescent="0.85">
      <c r="A51" s="60" t="s">
        <v>144</v>
      </c>
      <c r="B51" s="61">
        <f>'City of Albuquerque Data'!B26</f>
        <v>26465.768254642815</v>
      </c>
      <c r="C51" s="61">
        <f>'Bernalillo County Data'!B25</f>
        <v>33013.412489092647</v>
      </c>
      <c r="D51" s="61">
        <f>'Sandoval County Data'!B25</f>
        <v>6173.5146888523595</v>
      </c>
      <c r="E51" s="61">
        <f>'Torrance County Data'!B25</f>
        <v>4668.5519140663509</v>
      </c>
      <c r="F51" s="61">
        <f>'Valencia County Data'!B25</f>
        <v>3320.1617600930649</v>
      </c>
      <c r="G51" s="61">
        <f>'Albuquerque MSA Data'!B24</f>
        <v>47175.640852104421</v>
      </c>
      <c r="H51" s="3"/>
      <c r="I51" s="3"/>
      <c r="J51" s="3"/>
      <c r="K51" s="3"/>
      <c r="L51" s="3"/>
      <c r="M51" s="3"/>
      <c r="N51" s="3"/>
      <c r="O51" s="3"/>
      <c r="P51" s="3"/>
      <c r="Q51" s="3"/>
      <c r="R51" s="3"/>
      <c r="S51" s="3"/>
      <c r="T51" s="3"/>
      <c r="U51" s="3"/>
      <c r="V51" s="3"/>
      <c r="W51" s="3"/>
      <c r="X51" s="3"/>
      <c r="Y51" s="3"/>
      <c r="Z51" s="3"/>
      <c r="AA51" s="3"/>
    </row>
    <row r="52" spans="1:27" ht="22.5" customHeight="1" x14ac:dyDescent="0.85">
      <c r="A52" s="62" t="s">
        <v>145</v>
      </c>
      <c r="B52" s="63">
        <f>'City of Albuquerque Data'!B27</f>
        <v>1789334.2677238872</v>
      </c>
      <c r="C52" s="63">
        <f>'Bernalillo County Data'!B26</f>
        <v>2360967.4784859195</v>
      </c>
      <c r="D52" s="63">
        <f>'Sandoval County Data'!B26</f>
        <v>616620.66545622272</v>
      </c>
      <c r="E52" s="63">
        <f>'Torrance County Data'!B26</f>
        <v>261263.02352377659</v>
      </c>
      <c r="F52" s="63">
        <f>'Valencia County Data'!B26</f>
        <v>229053.68304265582</v>
      </c>
      <c r="G52" s="63">
        <f>'Albuquerque MSA Data'!B25</f>
        <v>3467904.8505085749</v>
      </c>
      <c r="H52" s="64"/>
      <c r="I52" s="3"/>
      <c r="J52" s="3"/>
      <c r="K52" s="3"/>
      <c r="L52" s="3"/>
      <c r="M52" s="3"/>
      <c r="N52" s="3"/>
      <c r="O52" s="3"/>
      <c r="P52" s="3"/>
      <c r="Q52" s="3"/>
      <c r="R52" s="3"/>
      <c r="S52" s="3"/>
      <c r="T52" s="3"/>
      <c r="U52" s="3"/>
      <c r="V52" s="3"/>
      <c r="W52" s="3"/>
      <c r="X52" s="3"/>
      <c r="Y52" s="3"/>
      <c r="Z52" s="3"/>
      <c r="AA52" s="3"/>
    </row>
    <row r="53" spans="1:27" ht="22.5" customHeight="1" x14ac:dyDescent="0.85">
      <c r="A53" s="62" t="s">
        <v>146</v>
      </c>
      <c r="B53" s="63">
        <f>'City of Albuquerque Data'!B28</f>
        <v>7388.038727467545</v>
      </c>
      <c r="C53" s="63">
        <f>'Bernalillo County Data'!B27</f>
        <v>8007.7010438152029</v>
      </c>
      <c r="D53" s="63">
        <f>'Sandoval County Data'!B27</f>
        <v>1857.6409553284582</v>
      </c>
      <c r="E53" s="63">
        <f>'Torrance County Data'!B27</f>
        <v>36.912056499215289</v>
      </c>
      <c r="F53" s="63">
        <f>'Valencia County Data'!B27</f>
        <v>396.28368689658913</v>
      </c>
      <c r="G53" s="63">
        <f>'Albuquerque MSA Data'!B26</f>
        <v>10298.537742539465</v>
      </c>
      <c r="H53" s="64"/>
      <c r="I53" s="3"/>
      <c r="J53" s="3"/>
      <c r="K53" s="3"/>
      <c r="L53" s="3"/>
      <c r="M53" s="3"/>
      <c r="N53" s="3"/>
      <c r="O53" s="3"/>
      <c r="P53" s="3"/>
      <c r="Q53" s="3"/>
      <c r="R53" s="3"/>
      <c r="S53" s="3"/>
      <c r="T53" s="3"/>
      <c r="U53" s="3"/>
      <c r="V53" s="3"/>
      <c r="W53" s="3"/>
      <c r="X53" s="3"/>
      <c r="Y53" s="3"/>
      <c r="Z53" s="3"/>
      <c r="AA53" s="3"/>
    </row>
    <row r="54" spans="1:27" ht="22.5" customHeight="1" x14ac:dyDescent="0.85">
      <c r="A54" s="62" t="s">
        <v>147</v>
      </c>
      <c r="B54" s="63">
        <f>'City of Albuquerque Data'!B29</f>
        <v>197.99943789613022</v>
      </c>
      <c r="C54" s="63">
        <f>'Bernalillo County Data'!B28</f>
        <v>216.00638093327544</v>
      </c>
      <c r="D54" s="63">
        <f>'Sandoval County Data'!B28</f>
        <v>50.842088241805953</v>
      </c>
      <c r="E54" s="63">
        <f>'Torrance County Data'!B28</f>
        <v>1.3260461140893085</v>
      </c>
      <c r="F54" s="63">
        <f>'Valencia County Data'!B28</f>
        <v>10.807516455223976</v>
      </c>
      <c r="G54" s="63">
        <f>'Albuquerque MSA Data'!B27</f>
        <v>278.9820317443947</v>
      </c>
      <c r="H54" s="64"/>
      <c r="I54" s="3"/>
      <c r="J54" s="3"/>
      <c r="K54" s="3"/>
      <c r="L54" s="3"/>
      <c r="M54" s="3"/>
      <c r="N54" s="3"/>
      <c r="O54" s="3"/>
      <c r="P54" s="3"/>
      <c r="Q54" s="3"/>
      <c r="R54" s="3"/>
      <c r="S54" s="3"/>
      <c r="T54" s="3"/>
      <c r="U54" s="3"/>
      <c r="V54" s="3"/>
      <c r="W54" s="3"/>
      <c r="X54" s="3"/>
      <c r="Y54" s="3"/>
      <c r="Z54" s="3"/>
      <c r="AA54" s="3"/>
    </row>
    <row r="55" spans="1:27" ht="22.5" customHeight="1" x14ac:dyDescent="0.85">
      <c r="A55" s="62" t="s">
        <v>148</v>
      </c>
      <c r="B55" s="63">
        <f>'City of Albuquerque Data'!B30</f>
        <v>10881.175140508007</v>
      </c>
      <c r="C55" s="63">
        <f>'Bernalillo County Data'!B29</f>
        <v>10973.189929590135</v>
      </c>
      <c r="D55" s="63">
        <f>'Sandoval County Data'!B29</f>
        <v>597.66495907857188</v>
      </c>
      <c r="E55" s="63">
        <f>'Torrance County Data'!B29</f>
        <v>0</v>
      </c>
      <c r="F55" s="63">
        <f>'Valencia County Data'!B29</f>
        <v>605.93503775015995</v>
      </c>
      <c r="G55" s="63">
        <f>'Albuquerque MSA Data'!B28</f>
        <v>23978.041616818868</v>
      </c>
      <c r="H55" s="64"/>
      <c r="I55" s="3"/>
      <c r="J55" s="3"/>
      <c r="K55" s="3"/>
      <c r="L55" s="3"/>
      <c r="M55" s="3"/>
      <c r="N55" s="3"/>
      <c r="O55" s="3"/>
      <c r="P55" s="3"/>
      <c r="Q55" s="3"/>
      <c r="R55" s="3"/>
      <c r="S55" s="3"/>
      <c r="T55" s="3"/>
      <c r="U55" s="3"/>
      <c r="V55" s="3"/>
      <c r="W55" s="3"/>
      <c r="X55" s="3"/>
      <c r="Y55" s="3"/>
      <c r="Z55" s="3"/>
      <c r="AA55" s="3"/>
    </row>
    <row r="56" spans="1:27" ht="22.5" customHeight="1" x14ac:dyDescent="0.85">
      <c r="A56" s="62" t="s">
        <v>149</v>
      </c>
      <c r="B56" s="63">
        <f>'City of Albuquerque Data'!B31</f>
        <v>23.537611515685484</v>
      </c>
      <c r="C56" s="63">
        <f>'Bernalillo County Data'!B30</f>
        <v>23.537611515685484</v>
      </c>
      <c r="D56" s="63">
        <f>'Sandoval County Data'!B30</f>
        <v>0</v>
      </c>
      <c r="E56" s="63">
        <f>'Torrance County Data'!B30</f>
        <v>0</v>
      </c>
      <c r="F56" s="63">
        <f>'Valencia County Data'!B30</f>
        <v>0</v>
      </c>
      <c r="G56" s="63">
        <f>'Albuquerque MSA Data'!B29</f>
        <v>23.537611515685484</v>
      </c>
      <c r="H56" s="64"/>
      <c r="I56" s="3"/>
      <c r="J56" s="3"/>
      <c r="K56" s="3"/>
      <c r="L56" s="3"/>
      <c r="M56" s="3"/>
      <c r="N56" s="3"/>
      <c r="O56" s="3"/>
      <c r="P56" s="3"/>
      <c r="Q56" s="3"/>
      <c r="R56" s="3"/>
      <c r="S56" s="3"/>
      <c r="T56" s="3"/>
      <c r="U56" s="3"/>
      <c r="V56" s="3"/>
      <c r="W56" s="3"/>
      <c r="X56" s="3"/>
      <c r="Y56" s="3"/>
      <c r="Z56" s="3"/>
      <c r="AA56" s="3"/>
    </row>
    <row r="57" spans="1:27" ht="22.5" customHeight="1" x14ac:dyDescent="0.85">
      <c r="A57" s="62" t="s">
        <v>150</v>
      </c>
      <c r="B57" s="63">
        <f>'City of Albuquerque Data'!B32</f>
        <v>28249.864606659077</v>
      </c>
      <c r="C57" s="63">
        <f>'Bernalillo County Data'!B31</f>
        <v>28249.864606659077</v>
      </c>
      <c r="D57" s="63">
        <f>'Sandoval County Data'!B31</f>
        <v>0</v>
      </c>
      <c r="E57" s="63">
        <f>'Torrance County Data'!B31</f>
        <v>0</v>
      </c>
      <c r="F57" s="63">
        <f>'Valencia County Data'!B31</f>
        <v>0</v>
      </c>
      <c r="G57" s="63">
        <f>'Albuquerque MSA Data'!B30</f>
        <v>28249.864606659077</v>
      </c>
      <c r="H57" s="3"/>
      <c r="I57" s="3"/>
      <c r="J57" s="3"/>
      <c r="K57" s="3"/>
      <c r="L57" s="3"/>
      <c r="M57" s="3"/>
      <c r="N57" s="3"/>
      <c r="O57" s="3"/>
      <c r="P57" s="3"/>
      <c r="Q57" s="3"/>
      <c r="R57" s="3"/>
      <c r="S57" s="3"/>
      <c r="T57" s="3"/>
      <c r="U57" s="3"/>
      <c r="V57" s="3"/>
      <c r="W57" s="3"/>
      <c r="X57" s="3"/>
      <c r="Y57" s="3"/>
      <c r="Z57" s="3"/>
      <c r="AA57" s="3"/>
    </row>
    <row r="58" spans="1:27" ht="22.5" customHeight="1" x14ac:dyDescent="0.85">
      <c r="A58" s="62" t="s">
        <v>151</v>
      </c>
      <c r="B58" s="63">
        <f>'City of Albuquerque Data'!B33</f>
        <v>253855.49369732151</v>
      </c>
      <c r="C58" s="63">
        <f>'Bernalillo County Data'!B32</f>
        <v>253855.49369732151</v>
      </c>
      <c r="D58" s="63">
        <f>'Sandoval County Data'!B32</f>
        <v>0</v>
      </c>
      <c r="E58" s="63">
        <f>'Torrance County Data'!B32</f>
        <v>0</v>
      </c>
      <c r="F58" s="63">
        <f>'Valencia County Data'!B32</f>
        <v>0</v>
      </c>
      <c r="G58" s="63">
        <f>'Albuquerque MSA Data'!B31</f>
        <v>253855.49369732151</v>
      </c>
      <c r="H58" s="3"/>
      <c r="I58" s="3"/>
      <c r="J58" s="3"/>
      <c r="K58" s="3"/>
      <c r="L58" s="3"/>
      <c r="M58" s="3"/>
      <c r="N58" s="3"/>
      <c r="O58" s="3"/>
      <c r="P58" s="3"/>
      <c r="Q58" s="3"/>
      <c r="R58" s="3"/>
      <c r="S58" s="3"/>
      <c r="T58" s="3"/>
      <c r="U58" s="3"/>
      <c r="V58" s="3"/>
      <c r="W58" s="3"/>
      <c r="X58" s="3"/>
      <c r="Y58" s="3"/>
      <c r="Z58" s="3"/>
      <c r="AA58" s="3"/>
    </row>
    <row r="59" spans="1:27" ht="22.5" customHeight="1" x14ac:dyDescent="0.85">
      <c r="A59" s="62" t="s">
        <v>152</v>
      </c>
      <c r="B59" s="63">
        <f>'City of Albuquerque Data'!B34</f>
        <v>79004.937282497689</v>
      </c>
      <c r="C59" s="63">
        <f>'Bernalillo County Data'!B33</f>
        <v>489904.86153308279</v>
      </c>
      <c r="D59" s="63">
        <f>'Sandoval County Data'!B33</f>
        <v>106643.84104664477</v>
      </c>
      <c r="E59" s="63">
        <f>'Torrance County Data'!B33</f>
        <v>16681.795604508501</v>
      </c>
      <c r="F59" s="63">
        <f>'Valencia County Data'!B33</f>
        <v>19166.497934357136</v>
      </c>
      <c r="G59" s="63">
        <f>'Albuquerque MSA Data'!B32</f>
        <v>632396.99611859315</v>
      </c>
      <c r="H59" s="3"/>
      <c r="I59" s="3"/>
      <c r="J59" s="3"/>
      <c r="K59" s="3"/>
      <c r="L59" s="3"/>
      <c r="M59" s="3"/>
      <c r="N59" s="3"/>
      <c r="O59" s="3"/>
      <c r="P59" s="3"/>
      <c r="Q59" s="3"/>
      <c r="R59" s="3"/>
      <c r="S59" s="3"/>
      <c r="T59" s="3"/>
      <c r="U59" s="3"/>
      <c r="V59" s="3"/>
      <c r="W59" s="3"/>
      <c r="X59" s="3"/>
      <c r="Y59" s="3"/>
      <c r="Z59" s="3"/>
      <c r="AA59" s="3"/>
    </row>
    <row r="60" spans="1:27" ht="22.5" customHeight="1" x14ac:dyDescent="0.85">
      <c r="A60" s="62" t="s">
        <v>153</v>
      </c>
      <c r="B60" s="63">
        <f>'City of Albuquerque Data'!B35</f>
        <v>263.88106699674921</v>
      </c>
      <c r="C60" s="63">
        <f>'Bernalillo County Data'!B34</f>
        <v>441.98599065915096</v>
      </c>
      <c r="D60" s="63">
        <f>'Sandoval County Data'!B34</f>
        <v>507.53775280040867</v>
      </c>
      <c r="E60" s="63">
        <f>'Torrance County Data'!B34</f>
        <v>144847.42741757038</v>
      </c>
      <c r="F60" s="63">
        <f>'Valencia County Data'!B34</f>
        <v>108855.96252305277</v>
      </c>
      <c r="G60" s="63">
        <f>'Albuquerque MSA Data'!B33</f>
        <v>242851.66199368268</v>
      </c>
      <c r="H60" s="3"/>
      <c r="I60" s="3"/>
      <c r="J60" s="3"/>
      <c r="K60" s="3"/>
      <c r="L60" s="3"/>
      <c r="M60" s="3"/>
      <c r="N60" s="3"/>
      <c r="O60" s="3"/>
      <c r="P60" s="3"/>
      <c r="Q60" s="3"/>
      <c r="R60" s="3"/>
      <c r="S60" s="3"/>
      <c r="T60" s="3"/>
      <c r="U60" s="3"/>
      <c r="V60" s="3"/>
      <c r="W60" s="3"/>
      <c r="X60" s="3"/>
      <c r="Y60" s="3"/>
      <c r="Z60" s="3"/>
      <c r="AA60" s="3"/>
    </row>
    <row r="61" spans="1:27" ht="22.5" customHeight="1" x14ac:dyDescent="0.85">
      <c r="A61" s="65" t="s">
        <v>154</v>
      </c>
      <c r="B61" s="66">
        <f>'City of Albuquerque Data'!B36</f>
        <v>134803.68007652636</v>
      </c>
      <c r="C61" s="66">
        <f>'Bernalillo County Data'!B35</f>
        <v>335580.12755129451</v>
      </c>
      <c r="D61" s="66">
        <f>'Sandoval County Data'!B35</f>
        <v>132798.02499013249</v>
      </c>
      <c r="E61" s="66">
        <f>'Torrance County Data'!B35</f>
        <v>11479.950052449298</v>
      </c>
      <c r="F61" s="66">
        <f>'Valencia County Data'!B35</f>
        <v>0</v>
      </c>
      <c r="G61" s="66">
        <f>'Albuquerque MSA Data'!B34</f>
        <v>479858.10259387631</v>
      </c>
      <c r="H61" s="3"/>
      <c r="I61" s="3"/>
      <c r="J61" s="3"/>
      <c r="K61" s="3"/>
      <c r="L61" s="3"/>
      <c r="M61" s="3"/>
      <c r="N61" s="3"/>
      <c r="O61" s="3"/>
      <c r="P61" s="3"/>
      <c r="Q61" s="3"/>
      <c r="R61" s="3"/>
      <c r="S61" s="3"/>
      <c r="T61" s="3"/>
      <c r="U61" s="3"/>
      <c r="V61" s="3"/>
      <c r="W61" s="3"/>
      <c r="X61" s="3"/>
      <c r="Y61" s="3"/>
      <c r="Z61" s="3"/>
      <c r="AA61" s="3"/>
    </row>
    <row r="62" spans="1:27" ht="22.5" customHeight="1" x14ac:dyDescent="0.85">
      <c r="A62" s="65" t="s">
        <v>155</v>
      </c>
      <c r="B62" s="66">
        <f>'City of Albuquerque Data'!B37</f>
        <v>416.3541744966443</v>
      </c>
      <c r="C62" s="66">
        <f>'Bernalillo County Data'!B36</f>
        <v>416.3541744966443</v>
      </c>
      <c r="D62" s="66">
        <f>'Sandoval County Data'!B36</f>
        <v>0</v>
      </c>
      <c r="E62" s="66">
        <f>'Torrance County Data'!B36</f>
        <v>1809.9414042953022</v>
      </c>
      <c r="F62" s="66">
        <f>'Valencia County Data'!B36</f>
        <v>0</v>
      </c>
      <c r="G62" s="66">
        <f>'Albuquerque MSA Data'!B35</f>
        <v>2226.2955787919464</v>
      </c>
      <c r="H62" s="3"/>
      <c r="I62" s="3"/>
      <c r="J62" s="3"/>
      <c r="K62" s="3"/>
      <c r="L62" s="3"/>
      <c r="M62" s="3"/>
      <c r="N62" s="3"/>
      <c r="O62" s="3"/>
      <c r="P62" s="3"/>
      <c r="Q62" s="3"/>
      <c r="R62" s="3"/>
      <c r="S62" s="3"/>
      <c r="T62" s="3"/>
      <c r="U62" s="3"/>
      <c r="V62" s="3"/>
      <c r="W62" s="3"/>
      <c r="X62" s="3"/>
      <c r="Y62" s="3"/>
      <c r="Z62" s="3"/>
      <c r="AA62" s="3"/>
    </row>
    <row r="63" spans="1:27" ht="22.5" customHeight="1" x14ac:dyDescent="0.85">
      <c r="A63" s="65" t="s">
        <v>156</v>
      </c>
      <c r="B63" s="66">
        <f>'City of Albuquerque Data'!B38</f>
        <v>1692.1514559397194</v>
      </c>
      <c r="C63" s="66">
        <f>'Bernalillo County Data'!B37</f>
        <v>3842.6024202076096</v>
      </c>
      <c r="D63" s="66">
        <f>'Sandoval County Data'!B37</f>
        <v>5620.0164933315291</v>
      </c>
      <c r="E63" s="66">
        <f>'Torrance County Data'!B37</f>
        <v>1847.1152422799998</v>
      </c>
      <c r="F63" s="66">
        <f>'Valencia County Data'!B37</f>
        <v>9486.4670208000007</v>
      </c>
      <c r="G63" s="66">
        <f>'Albuquerque MSA Data'!B36</f>
        <v>20796.201176619135</v>
      </c>
      <c r="H63" s="64"/>
      <c r="I63" s="3"/>
      <c r="J63" s="3"/>
      <c r="K63" s="3"/>
      <c r="L63" s="3"/>
      <c r="M63" s="3"/>
      <c r="N63" s="3"/>
      <c r="O63" s="3"/>
      <c r="P63" s="3"/>
      <c r="Q63" s="3"/>
      <c r="R63" s="3"/>
      <c r="S63" s="3"/>
      <c r="T63" s="3"/>
      <c r="U63" s="3"/>
      <c r="V63" s="3"/>
      <c r="W63" s="3"/>
      <c r="X63" s="3"/>
      <c r="Y63" s="3"/>
      <c r="Z63" s="3"/>
      <c r="AA63" s="3"/>
    </row>
    <row r="64" spans="1:27" ht="22.5" customHeight="1" x14ac:dyDescent="0.85">
      <c r="A64" s="67" t="s">
        <v>157</v>
      </c>
      <c r="B64" s="68">
        <f>'City of Albuquerque Data'!B39</f>
        <v>0</v>
      </c>
      <c r="C64" s="68">
        <f>'Bernalillo County Data'!B38</f>
        <v>304217.49</v>
      </c>
      <c r="D64" s="68">
        <f>'Sandoval County Data'!B38</f>
        <v>98640.52399999999</v>
      </c>
      <c r="E64" s="68">
        <f>'Torrance County Data'!B38</f>
        <v>1325.48</v>
      </c>
      <c r="F64" s="68">
        <f>'Valencia County Data'!B38</f>
        <v>6589.6</v>
      </c>
      <c r="G64" s="68">
        <f>'Albuquerque MSA Data'!B37</f>
        <v>410773.09399999992</v>
      </c>
      <c r="H64" s="64"/>
      <c r="I64" s="3"/>
      <c r="J64" s="3"/>
      <c r="K64" s="3"/>
      <c r="L64" s="3"/>
      <c r="M64" s="3"/>
      <c r="N64" s="3"/>
      <c r="O64" s="3"/>
      <c r="P64" s="3"/>
      <c r="Q64" s="3"/>
      <c r="R64" s="3"/>
      <c r="S64" s="3"/>
      <c r="T64" s="3"/>
      <c r="U64" s="3"/>
      <c r="V64" s="3"/>
      <c r="W64" s="3"/>
      <c r="X64" s="3"/>
      <c r="Y64" s="3"/>
      <c r="Z64" s="3"/>
      <c r="AA64" s="3"/>
    </row>
    <row r="65" spans="1:27" ht="22.5" customHeight="1" x14ac:dyDescent="0.85">
      <c r="A65" s="67" t="s">
        <v>158</v>
      </c>
      <c r="B65" s="68">
        <f>'City of Albuquerque Data'!B40</f>
        <v>110903.37603337824</v>
      </c>
      <c r="C65" s="68">
        <f>'Bernalillo County Data'!B39</f>
        <v>206786.03498723448</v>
      </c>
      <c r="D65" s="68">
        <f>'Sandoval County Data'!B39</f>
        <v>47409.608328488859</v>
      </c>
      <c r="E65" s="68">
        <f>'Torrance County Data'!B39</f>
        <v>4485.459148537544</v>
      </c>
      <c r="F65" s="68">
        <f>'Valencia County Data'!B39</f>
        <v>23243.916995149011</v>
      </c>
      <c r="G65" s="68">
        <f>'Albuquerque MSA Data'!B38</f>
        <v>281925.01945940987</v>
      </c>
      <c r="H65" s="64"/>
      <c r="I65" s="3"/>
      <c r="J65" s="3"/>
      <c r="K65" s="3"/>
      <c r="L65" s="3"/>
      <c r="M65" s="3"/>
      <c r="N65" s="3"/>
      <c r="O65" s="3"/>
      <c r="P65" s="3"/>
      <c r="Q65" s="3"/>
      <c r="R65" s="3"/>
      <c r="S65" s="3"/>
      <c r="T65" s="3"/>
      <c r="U65" s="3"/>
      <c r="V65" s="3"/>
      <c r="W65" s="3"/>
      <c r="X65" s="3"/>
      <c r="Y65" s="3"/>
      <c r="Z65" s="3"/>
      <c r="AA65" s="3"/>
    </row>
    <row r="66" spans="1:27" ht="22.5" customHeight="1" x14ac:dyDescent="0.85">
      <c r="A66" s="69" t="s">
        <v>159</v>
      </c>
      <c r="B66" s="70">
        <f>SUM('City of Albuquerque Data'!B41:B44)</f>
        <v>96.599597381866147</v>
      </c>
      <c r="C66" s="70">
        <f>SUM('Bernalillo County Data'!B40:B43)</f>
        <v>20934.274860335296</v>
      </c>
      <c r="D66" s="70">
        <f>SUM('Sandoval County Data'!B40:B43)</f>
        <v>65257.014649739183</v>
      </c>
      <c r="E66" s="70">
        <f>SUM('Torrance County Data'!B40:B43)</f>
        <v>172567.74836889049</v>
      </c>
      <c r="F66" s="70">
        <f>SUM('Valencia County Data'!B40:B43)</f>
        <v>90044.082432358715</v>
      </c>
      <c r="G66" s="70">
        <f>SUM('Albuquerque MSA Data'!B39:B42)</f>
        <v>348803.12031132373</v>
      </c>
      <c r="H66" s="64"/>
      <c r="I66" s="3"/>
      <c r="J66" s="3"/>
      <c r="K66" s="3"/>
      <c r="L66" s="3"/>
      <c r="M66" s="3"/>
      <c r="N66" s="3"/>
      <c r="O66" s="3"/>
      <c r="P66" s="3"/>
      <c r="Q66" s="3"/>
      <c r="R66" s="3"/>
      <c r="S66" s="3"/>
      <c r="T66" s="3"/>
      <c r="U66" s="3"/>
      <c r="V66" s="3"/>
      <c r="W66" s="3"/>
      <c r="X66" s="3"/>
      <c r="Y66" s="3"/>
      <c r="Z66" s="3"/>
      <c r="AA66" s="3"/>
    </row>
    <row r="67" spans="1:27" ht="22.5" customHeight="1" x14ac:dyDescent="0.85">
      <c r="A67" s="69" t="s">
        <v>135</v>
      </c>
      <c r="B67" s="70">
        <f>'City of Albuquerque Data'!B45</f>
        <v>-7091</v>
      </c>
      <c r="C67" s="70">
        <f>'Bernalillo County Data'!B44</f>
        <v>-55112</v>
      </c>
      <c r="D67" s="70">
        <f>'Sandoval County Data'!B44</f>
        <v>-111269</v>
      </c>
      <c r="E67" s="70">
        <f>'Torrance County Data'!B44</f>
        <v>-297204</v>
      </c>
      <c r="F67" s="70">
        <f>'Valencia County Data'!B44</f>
        <v>-18511</v>
      </c>
      <c r="G67" s="70">
        <f>'Albuquerque MSA Data'!B43</f>
        <v>-482096</v>
      </c>
      <c r="H67" s="64"/>
      <c r="I67" s="3"/>
      <c r="J67" s="3"/>
      <c r="K67" s="3"/>
      <c r="L67" s="3"/>
      <c r="M67" s="3"/>
      <c r="N67" s="3"/>
      <c r="O67" s="3"/>
      <c r="P67" s="3"/>
      <c r="Q67" s="3"/>
      <c r="R67" s="3"/>
      <c r="S67" s="3"/>
      <c r="T67" s="3"/>
      <c r="U67" s="3"/>
      <c r="V67" s="3"/>
      <c r="W67" s="3"/>
      <c r="X67" s="3"/>
      <c r="Y67" s="3"/>
      <c r="Z67" s="3"/>
      <c r="AA67" s="3"/>
    </row>
    <row r="68" spans="1:27" ht="22.5" customHeight="1" x14ac:dyDescent="0.85">
      <c r="A68" s="55" t="s">
        <v>101</v>
      </c>
      <c r="B68" s="56">
        <f t="shared" ref="B68:G68" si="14">SUM(B46:B66)</f>
        <v>5530316.6227587117</v>
      </c>
      <c r="C68" s="56">
        <f t="shared" si="14"/>
        <v>7401734.7465461893</v>
      </c>
      <c r="D68" s="56">
        <f t="shared" si="14"/>
        <v>1586226.7909026018</v>
      </c>
      <c r="E68" s="56">
        <f t="shared" si="14"/>
        <v>777562.86853029113</v>
      </c>
      <c r="F68" s="56">
        <f t="shared" si="14"/>
        <v>719527.85033679276</v>
      </c>
      <c r="G68" s="56">
        <f t="shared" si="14"/>
        <v>10485052.256315872</v>
      </c>
      <c r="H68" s="64"/>
      <c r="I68" s="3"/>
      <c r="J68" s="3"/>
      <c r="K68" s="3"/>
      <c r="L68" s="3"/>
      <c r="M68" s="3"/>
      <c r="N68" s="3"/>
      <c r="O68" s="3"/>
      <c r="P68" s="3"/>
      <c r="Q68" s="3"/>
      <c r="R68" s="3"/>
      <c r="S68" s="3"/>
      <c r="T68" s="3"/>
      <c r="U68" s="3"/>
      <c r="V68" s="3"/>
      <c r="W68" s="3"/>
      <c r="X68" s="3"/>
      <c r="Y68" s="3"/>
      <c r="Z68" s="3"/>
      <c r="AA68" s="3"/>
    </row>
    <row r="69" spans="1:27" ht="22.5" customHeight="1" x14ac:dyDescent="0.85">
      <c r="A69" s="55" t="s">
        <v>136</v>
      </c>
      <c r="B69" s="56">
        <f t="shared" ref="B69:G69" si="15">B67</f>
        <v>-7091</v>
      </c>
      <c r="C69" s="56">
        <f t="shared" si="15"/>
        <v>-55112</v>
      </c>
      <c r="D69" s="56">
        <f t="shared" si="15"/>
        <v>-111269</v>
      </c>
      <c r="E69" s="56">
        <f t="shared" si="15"/>
        <v>-297204</v>
      </c>
      <c r="F69" s="56">
        <f t="shared" si="15"/>
        <v>-18511</v>
      </c>
      <c r="G69" s="56">
        <f t="shared" si="15"/>
        <v>-482096</v>
      </c>
      <c r="H69" s="64"/>
      <c r="I69" s="3"/>
      <c r="J69" s="3"/>
      <c r="K69" s="3"/>
      <c r="L69" s="3"/>
      <c r="M69" s="3"/>
      <c r="N69" s="3"/>
      <c r="O69" s="3"/>
      <c r="P69" s="3"/>
      <c r="Q69" s="3"/>
      <c r="R69" s="3"/>
      <c r="S69" s="3"/>
      <c r="T69" s="3"/>
      <c r="U69" s="3"/>
      <c r="V69" s="3"/>
      <c r="W69" s="3"/>
      <c r="X69" s="3"/>
      <c r="Y69" s="3"/>
      <c r="Z69" s="3"/>
      <c r="AA69" s="3"/>
    </row>
    <row r="70" spans="1:27" ht="22.5" customHeight="1" x14ac:dyDescent="0.85">
      <c r="A70" s="55" t="s">
        <v>123</v>
      </c>
      <c r="B70" s="56">
        <f t="shared" ref="B70:G70" si="16">B68+B69</f>
        <v>5523225.6227587117</v>
      </c>
      <c r="C70" s="56">
        <f t="shared" si="16"/>
        <v>7346622.7465461893</v>
      </c>
      <c r="D70" s="56">
        <f t="shared" si="16"/>
        <v>1474957.7909026018</v>
      </c>
      <c r="E70" s="56">
        <f t="shared" si="16"/>
        <v>480358.86853029113</v>
      </c>
      <c r="F70" s="56">
        <f t="shared" si="16"/>
        <v>701016.85033679276</v>
      </c>
      <c r="G70" s="56">
        <f t="shared" si="16"/>
        <v>10002956.256315872</v>
      </c>
      <c r="H70" s="3"/>
      <c r="I70" s="3"/>
      <c r="J70" s="3"/>
      <c r="K70" s="3"/>
      <c r="L70" s="3"/>
      <c r="M70" s="3"/>
      <c r="N70" s="3"/>
      <c r="O70" s="3"/>
      <c r="P70" s="3"/>
      <c r="Q70" s="3"/>
      <c r="R70" s="3"/>
      <c r="S70" s="3"/>
      <c r="T70" s="3"/>
      <c r="U70" s="3"/>
      <c r="V70" s="3"/>
      <c r="W70" s="3"/>
      <c r="X70" s="3"/>
      <c r="Y70" s="3"/>
      <c r="Z70" s="3"/>
      <c r="AA70" s="3"/>
    </row>
    <row r="71" spans="1:27" ht="22.5" customHeight="1" x14ac:dyDescent="0.85">
      <c r="A71" s="3"/>
      <c r="B71" s="3"/>
      <c r="C71" s="3"/>
      <c r="D71" s="3"/>
      <c r="E71" s="3"/>
      <c r="F71" s="3"/>
      <c r="G71" s="3"/>
      <c r="H71" s="3"/>
      <c r="I71" s="3"/>
      <c r="J71" s="3"/>
      <c r="K71" s="3"/>
      <c r="L71" s="3"/>
      <c r="M71" s="3"/>
      <c r="N71" s="3"/>
      <c r="O71" s="3"/>
      <c r="P71" s="3"/>
      <c r="Q71" s="3"/>
      <c r="R71" s="3"/>
      <c r="S71" s="3"/>
      <c r="T71" s="3"/>
      <c r="U71" s="3"/>
      <c r="V71" s="3"/>
      <c r="W71" s="3"/>
      <c r="X71" s="3"/>
      <c r="Y71" s="3"/>
      <c r="Z71" s="3"/>
      <c r="AA71" s="3"/>
    </row>
    <row r="72" spans="1:27" ht="22.5" customHeight="1" x14ac:dyDescent="0.85">
      <c r="A72" s="3"/>
      <c r="B72" s="3"/>
      <c r="C72" s="3"/>
      <c r="D72" s="3"/>
      <c r="E72" s="3"/>
      <c r="F72" s="3"/>
      <c r="G72" s="3"/>
      <c r="H72" s="3"/>
      <c r="I72" s="3"/>
      <c r="J72" s="3"/>
      <c r="K72" s="3"/>
      <c r="L72" s="3"/>
      <c r="M72" s="3"/>
      <c r="N72" s="3"/>
      <c r="O72" s="3"/>
      <c r="P72" s="3"/>
      <c r="Q72" s="3"/>
      <c r="R72" s="3"/>
      <c r="S72" s="3"/>
      <c r="T72" s="3"/>
      <c r="U72" s="3"/>
      <c r="V72" s="3"/>
      <c r="W72" s="3"/>
      <c r="X72" s="3"/>
      <c r="Y72" s="3"/>
      <c r="Z72" s="3"/>
      <c r="AA72" s="3"/>
    </row>
    <row r="73" spans="1:27" ht="22.5" customHeight="1" x14ac:dyDescent="0.85">
      <c r="A73" s="3"/>
      <c r="B73" s="3"/>
      <c r="C73" s="3"/>
      <c r="D73" s="3"/>
      <c r="E73" s="3"/>
      <c r="F73" s="3"/>
      <c r="G73" s="3"/>
      <c r="H73" s="3"/>
      <c r="I73" s="3"/>
      <c r="J73" s="3"/>
      <c r="K73" s="3"/>
      <c r="L73" s="3"/>
      <c r="M73" s="3"/>
      <c r="N73" s="3"/>
      <c r="O73" s="3"/>
      <c r="P73" s="3"/>
      <c r="Q73" s="3"/>
      <c r="R73" s="3"/>
      <c r="S73" s="3"/>
      <c r="T73" s="3"/>
      <c r="U73" s="3"/>
      <c r="V73" s="3"/>
      <c r="W73" s="3"/>
      <c r="X73" s="3"/>
      <c r="Y73" s="3"/>
      <c r="Z73" s="3"/>
      <c r="AA73" s="3"/>
    </row>
    <row r="74" spans="1:27" ht="22.5" customHeight="1" x14ac:dyDescent="0.85">
      <c r="A74" s="3"/>
      <c r="B74" s="3"/>
      <c r="C74" s="3"/>
      <c r="D74" s="3"/>
      <c r="E74" s="3"/>
      <c r="F74" s="3"/>
      <c r="G74" s="3"/>
      <c r="H74" s="3"/>
      <c r="I74" s="3"/>
      <c r="J74" s="3"/>
      <c r="K74" s="3"/>
      <c r="L74" s="3"/>
      <c r="M74" s="3"/>
      <c r="N74" s="3"/>
      <c r="O74" s="3"/>
      <c r="P74" s="3"/>
      <c r="Q74" s="3"/>
      <c r="R74" s="3"/>
      <c r="S74" s="3"/>
      <c r="T74" s="3"/>
      <c r="U74" s="3"/>
      <c r="V74" s="3"/>
      <c r="W74" s="3"/>
      <c r="X74" s="3"/>
      <c r="Y74" s="3"/>
      <c r="Z74" s="3"/>
      <c r="AA74" s="3"/>
    </row>
    <row r="75" spans="1:27" ht="22.5" customHeight="1" x14ac:dyDescent="0.85">
      <c r="A75" s="3"/>
      <c r="B75" s="3"/>
      <c r="C75" s="3"/>
      <c r="D75" s="3"/>
      <c r="E75" s="3"/>
      <c r="F75" s="3"/>
      <c r="G75" s="3"/>
      <c r="H75" s="3"/>
      <c r="I75" s="3"/>
      <c r="J75" s="3"/>
      <c r="K75" s="3"/>
      <c r="L75" s="3"/>
      <c r="M75" s="3"/>
      <c r="N75" s="3"/>
      <c r="O75" s="3"/>
      <c r="P75" s="3"/>
      <c r="Q75" s="3"/>
      <c r="R75" s="3"/>
      <c r="S75" s="3"/>
      <c r="T75" s="3"/>
      <c r="U75" s="3"/>
      <c r="V75" s="3"/>
      <c r="W75" s="3"/>
      <c r="X75" s="3"/>
      <c r="Y75" s="3"/>
      <c r="Z75" s="3"/>
      <c r="AA75" s="3"/>
    </row>
    <row r="76" spans="1:27" ht="22.5" customHeight="1" x14ac:dyDescent="0.85">
      <c r="A76" s="3"/>
      <c r="B76" s="3"/>
      <c r="C76" s="3"/>
      <c r="D76" s="3"/>
      <c r="E76" s="3"/>
      <c r="F76" s="3"/>
      <c r="G76" s="3"/>
      <c r="H76" s="3"/>
      <c r="I76" s="3"/>
      <c r="J76" s="3"/>
      <c r="K76" s="3"/>
      <c r="L76" s="3"/>
      <c r="M76" s="3"/>
      <c r="N76" s="3"/>
      <c r="O76" s="3"/>
      <c r="P76" s="3"/>
      <c r="Q76" s="3"/>
      <c r="R76" s="3"/>
      <c r="S76" s="3"/>
      <c r="T76" s="3"/>
      <c r="U76" s="3"/>
      <c r="V76" s="3"/>
      <c r="W76" s="3"/>
      <c r="X76" s="3"/>
      <c r="Y76" s="3"/>
      <c r="Z76" s="3"/>
      <c r="AA76" s="3"/>
    </row>
    <row r="77" spans="1:27" ht="22.5" customHeight="1" x14ac:dyDescent="0.85">
      <c r="A77" s="3"/>
      <c r="B77" s="3"/>
      <c r="C77" s="3"/>
      <c r="D77" s="3"/>
      <c r="E77" s="3"/>
      <c r="F77" s="3"/>
      <c r="G77" s="3"/>
      <c r="H77" s="1"/>
      <c r="I77" s="1"/>
      <c r="J77" s="1"/>
      <c r="K77" s="3"/>
      <c r="L77" s="1"/>
      <c r="M77" s="1"/>
      <c r="N77" s="1"/>
      <c r="O77" s="1"/>
      <c r="P77" s="1"/>
      <c r="Q77" s="1"/>
      <c r="R77" s="1"/>
      <c r="S77" s="1"/>
      <c r="T77" s="1"/>
      <c r="U77" s="1"/>
      <c r="V77" s="1"/>
      <c r="W77" s="1"/>
      <c r="X77" s="3"/>
      <c r="Y77" s="3"/>
      <c r="Z77" s="3"/>
      <c r="AA77" s="3"/>
    </row>
    <row r="78" spans="1:27" ht="22.5" customHeight="1" x14ac:dyDescent="0.85">
      <c r="A78" s="3"/>
      <c r="B78" s="3"/>
      <c r="C78" s="3"/>
      <c r="D78" s="3"/>
      <c r="E78" s="3"/>
      <c r="F78" s="3"/>
      <c r="G78" s="3"/>
      <c r="H78" s="71"/>
      <c r="I78" s="71"/>
      <c r="J78" s="71"/>
      <c r="K78" s="71"/>
      <c r="L78" s="1"/>
      <c r="M78" s="1"/>
      <c r="N78" s="1"/>
      <c r="O78" s="1"/>
      <c r="P78" s="3"/>
      <c r="Q78" s="1"/>
      <c r="R78" s="1"/>
      <c r="S78" s="1"/>
      <c r="T78" s="1"/>
      <c r="U78" s="1"/>
      <c r="V78" s="1"/>
      <c r="W78" s="1"/>
      <c r="X78" s="1"/>
      <c r="Y78" s="1"/>
      <c r="Z78" s="1"/>
      <c r="AA78" s="1"/>
    </row>
    <row r="79" spans="1:27" ht="22.5" customHeight="1" x14ac:dyDescent="0.85">
      <c r="A79" s="3"/>
      <c r="B79" s="3"/>
      <c r="C79" s="3"/>
      <c r="D79" s="3"/>
      <c r="E79" s="3"/>
      <c r="F79" s="3"/>
      <c r="G79" s="3"/>
      <c r="H79" s="3"/>
      <c r="I79" s="3"/>
      <c r="J79" s="3"/>
      <c r="K79" s="3"/>
      <c r="L79" s="3"/>
      <c r="M79" s="3"/>
      <c r="N79" s="3"/>
      <c r="O79" s="3"/>
      <c r="P79" s="3"/>
      <c r="Q79" s="3"/>
      <c r="R79" s="3"/>
      <c r="S79" s="3"/>
      <c r="T79" s="3"/>
      <c r="U79" s="3"/>
      <c r="V79" s="3"/>
      <c r="W79" s="3"/>
      <c r="X79" s="3"/>
      <c r="Y79" s="3"/>
      <c r="Z79" s="3"/>
      <c r="AA79" s="3"/>
    </row>
    <row r="80" spans="1:27" ht="22.5" customHeight="1" x14ac:dyDescent="0.85">
      <c r="A80" s="3"/>
      <c r="B80" s="3"/>
      <c r="C80" s="3"/>
      <c r="D80" s="3"/>
      <c r="E80" s="3"/>
      <c r="F80" s="3"/>
      <c r="G80" s="3"/>
      <c r="H80" s="3"/>
      <c r="I80" s="3"/>
      <c r="J80" s="3"/>
      <c r="K80" s="3"/>
      <c r="L80" s="3"/>
      <c r="M80" s="3"/>
      <c r="N80" s="3"/>
      <c r="O80" s="3"/>
      <c r="P80" s="3"/>
      <c r="Q80" s="3"/>
      <c r="R80" s="3"/>
      <c r="S80" s="3"/>
      <c r="T80" s="3"/>
      <c r="U80" s="3"/>
      <c r="V80" s="3"/>
      <c r="W80" s="3"/>
      <c r="X80" s="3"/>
      <c r="Y80" s="3"/>
      <c r="Z80" s="3"/>
      <c r="AA80" s="3"/>
    </row>
    <row r="81" spans="1:27" ht="22.5" customHeight="1" x14ac:dyDescent="0.85">
      <c r="A81" s="3"/>
      <c r="B81" s="3"/>
      <c r="C81" s="3"/>
      <c r="D81" s="3"/>
      <c r="E81" s="3"/>
      <c r="F81" s="3"/>
      <c r="G81" s="3"/>
      <c r="H81" s="3"/>
      <c r="I81" s="3"/>
      <c r="J81" s="3"/>
      <c r="K81" s="3"/>
      <c r="L81" s="3"/>
      <c r="M81" s="3"/>
      <c r="N81" s="3"/>
      <c r="O81" s="3"/>
      <c r="P81" s="3"/>
      <c r="Q81" s="3"/>
      <c r="R81" s="3"/>
      <c r="S81" s="3"/>
      <c r="T81" s="3"/>
      <c r="U81" s="3"/>
      <c r="V81" s="3"/>
      <c r="W81" s="3"/>
      <c r="X81" s="3"/>
      <c r="Y81" s="3"/>
      <c r="Z81" s="3"/>
      <c r="AA81" s="3"/>
    </row>
    <row r="82" spans="1:27" ht="22.5" customHeight="1" x14ac:dyDescent="0.85">
      <c r="A82" s="3"/>
      <c r="B82" s="3"/>
      <c r="C82" s="3"/>
      <c r="D82" s="3"/>
      <c r="E82" s="3"/>
      <c r="F82" s="3"/>
      <c r="G82" s="3"/>
      <c r="H82" s="3"/>
      <c r="I82" s="3"/>
      <c r="J82" s="3"/>
      <c r="K82" s="3"/>
      <c r="L82" s="3"/>
      <c r="M82" s="3"/>
      <c r="N82" s="3"/>
      <c r="O82" s="3"/>
      <c r="P82" s="3"/>
      <c r="Q82" s="3"/>
      <c r="R82" s="3"/>
      <c r="S82" s="3"/>
      <c r="T82" s="3"/>
      <c r="U82" s="3"/>
      <c r="V82" s="3"/>
      <c r="W82" s="3"/>
      <c r="X82" s="3"/>
      <c r="Y82" s="3"/>
      <c r="Z82" s="3"/>
      <c r="AA82" s="3"/>
    </row>
    <row r="83" spans="1:27" ht="22.5" customHeight="1" x14ac:dyDescent="0.85">
      <c r="A83" s="3"/>
      <c r="B83" s="3"/>
      <c r="C83" s="3"/>
      <c r="D83" s="3"/>
      <c r="E83" s="3"/>
      <c r="F83" s="3"/>
      <c r="G83" s="3"/>
      <c r="H83" s="3"/>
      <c r="I83" s="3"/>
      <c r="J83" s="3"/>
      <c r="K83" s="3"/>
      <c r="L83" s="3"/>
      <c r="M83" s="3"/>
      <c r="N83" s="3"/>
      <c r="O83" s="3"/>
      <c r="P83" s="3"/>
      <c r="Q83" s="3"/>
      <c r="R83" s="3"/>
      <c r="S83" s="3"/>
      <c r="T83" s="3"/>
      <c r="U83" s="3"/>
      <c r="V83" s="3"/>
      <c r="W83" s="3"/>
      <c r="X83" s="3"/>
      <c r="Y83" s="3"/>
      <c r="Z83" s="3"/>
      <c r="AA83" s="3"/>
    </row>
    <row r="84" spans="1:27" ht="22.5" customHeight="1" x14ac:dyDescent="0.85">
      <c r="A84" s="3"/>
      <c r="B84" s="3"/>
      <c r="C84" s="3"/>
      <c r="D84" s="3"/>
      <c r="E84" s="3"/>
      <c r="F84" s="3"/>
      <c r="G84" s="3"/>
      <c r="H84" s="3"/>
      <c r="I84" s="3"/>
      <c r="J84" s="59"/>
      <c r="K84" s="3"/>
      <c r="L84" s="3"/>
      <c r="M84" s="3"/>
      <c r="N84" s="3"/>
      <c r="O84" s="3"/>
      <c r="P84" s="3"/>
      <c r="Q84" s="3"/>
      <c r="R84" s="3"/>
      <c r="S84" s="3"/>
      <c r="T84" s="3"/>
      <c r="U84" s="3"/>
      <c r="V84" s="3"/>
      <c r="W84" s="3"/>
      <c r="X84" s="3"/>
      <c r="Y84" s="3"/>
      <c r="Z84" s="3"/>
      <c r="AA84" s="3"/>
    </row>
    <row r="85" spans="1:27" ht="22.5" customHeight="1" x14ac:dyDescent="0.85">
      <c r="A85" s="3"/>
      <c r="B85" s="3"/>
      <c r="C85" s="3"/>
      <c r="D85" s="3"/>
      <c r="E85" s="3"/>
      <c r="F85" s="3"/>
      <c r="G85" s="3"/>
      <c r="H85" s="3"/>
      <c r="I85" s="3"/>
      <c r="J85" s="3"/>
      <c r="K85" s="3"/>
      <c r="L85" s="3"/>
      <c r="M85" s="3"/>
      <c r="N85" s="3"/>
      <c r="O85" s="3"/>
      <c r="P85" s="3"/>
      <c r="Q85" s="3"/>
      <c r="R85" s="3"/>
      <c r="S85" s="3"/>
      <c r="T85" s="3"/>
      <c r="U85" s="3"/>
      <c r="V85" s="3"/>
      <c r="W85" s="3"/>
      <c r="X85" s="3"/>
      <c r="Y85" s="3"/>
      <c r="Z85" s="3"/>
      <c r="AA85" s="3"/>
    </row>
    <row r="86" spans="1:27" ht="22.5" customHeight="1" x14ac:dyDescent="0.85">
      <c r="A86" s="3"/>
      <c r="B86" s="3"/>
      <c r="C86" s="3"/>
      <c r="D86" s="3"/>
      <c r="E86" s="3"/>
      <c r="F86" s="3"/>
      <c r="G86" s="3"/>
      <c r="H86" s="3"/>
      <c r="I86" s="3"/>
      <c r="J86" s="3"/>
      <c r="K86" s="3"/>
      <c r="L86" s="3"/>
      <c r="M86" s="3"/>
      <c r="N86" s="3"/>
      <c r="O86" s="3"/>
      <c r="P86" s="3"/>
      <c r="Q86" s="3"/>
      <c r="R86" s="3"/>
      <c r="S86" s="3"/>
      <c r="T86" s="3"/>
      <c r="U86" s="3"/>
      <c r="V86" s="3"/>
      <c r="W86" s="3"/>
      <c r="X86" s="3"/>
      <c r="Y86" s="3"/>
      <c r="Z86" s="3"/>
      <c r="AA86" s="3"/>
    </row>
    <row r="87" spans="1:27" ht="22.5" customHeight="1" x14ac:dyDescent="0.85">
      <c r="A87" s="3"/>
      <c r="B87" s="3"/>
      <c r="C87" s="3"/>
      <c r="D87" s="3"/>
      <c r="E87" s="3"/>
      <c r="F87" s="3"/>
      <c r="G87" s="3"/>
      <c r="H87" s="3"/>
      <c r="I87" s="3"/>
      <c r="J87" s="3"/>
      <c r="K87" s="3"/>
      <c r="L87" s="3"/>
      <c r="M87" s="3"/>
      <c r="N87" s="3"/>
      <c r="O87" s="3"/>
      <c r="P87" s="3"/>
      <c r="Q87" s="3"/>
      <c r="R87" s="3"/>
      <c r="S87" s="3"/>
      <c r="T87" s="3"/>
      <c r="U87" s="3"/>
      <c r="V87" s="3"/>
      <c r="W87" s="3"/>
      <c r="X87" s="3"/>
      <c r="Y87" s="3"/>
      <c r="Z87" s="3"/>
      <c r="AA87" s="3"/>
    </row>
    <row r="88" spans="1:27" ht="22.5" customHeight="1" x14ac:dyDescent="0.85">
      <c r="A88" s="3"/>
      <c r="B88" s="3"/>
      <c r="C88" s="3"/>
      <c r="D88" s="3"/>
      <c r="E88" s="3"/>
      <c r="F88" s="3"/>
      <c r="G88" s="3"/>
      <c r="H88" s="3"/>
      <c r="I88" s="3"/>
      <c r="J88" s="3"/>
      <c r="K88" s="3"/>
      <c r="L88" s="3"/>
      <c r="M88" s="3"/>
      <c r="N88" s="3"/>
      <c r="O88" s="3"/>
      <c r="P88" s="3"/>
      <c r="Q88" s="3"/>
      <c r="R88" s="3"/>
      <c r="S88" s="3"/>
      <c r="T88" s="3"/>
      <c r="U88" s="3"/>
      <c r="V88" s="3"/>
      <c r="W88" s="3"/>
      <c r="X88" s="3"/>
      <c r="Y88" s="3"/>
      <c r="Z88" s="3"/>
      <c r="AA88" s="3"/>
    </row>
    <row r="89" spans="1:27" ht="22.5" customHeight="1" x14ac:dyDescent="0.85">
      <c r="A89" s="3"/>
      <c r="B89" s="3"/>
      <c r="C89" s="3"/>
      <c r="D89" s="3"/>
      <c r="E89" s="3"/>
      <c r="F89" s="3"/>
      <c r="G89" s="3"/>
      <c r="H89" s="3"/>
      <c r="I89" s="3"/>
      <c r="J89" s="3"/>
      <c r="K89" s="3"/>
      <c r="L89" s="3"/>
      <c r="M89" s="3"/>
      <c r="N89" s="3"/>
      <c r="O89" s="3"/>
      <c r="P89" s="3"/>
      <c r="Q89" s="3"/>
      <c r="R89" s="3"/>
      <c r="S89" s="3"/>
      <c r="T89" s="3"/>
      <c r="U89" s="3"/>
      <c r="V89" s="3"/>
      <c r="W89" s="3"/>
      <c r="X89" s="3"/>
      <c r="Y89" s="3"/>
      <c r="Z89" s="3"/>
      <c r="AA89" s="3"/>
    </row>
    <row r="90" spans="1:27" ht="22.5" customHeight="1" x14ac:dyDescent="0.85">
      <c r="A90" s="3"/>
      <c r="B90" s="3"/>
      <c r="C90" s="3"/>
      <c r="D90" s="3"/>
      <c r="E90" s="3"/>
      <c r="F90" s="3"/>
      <c r="G90" s="3"/>
      <c r="H90" s="3"/>
      <c r="I90" s="3"/>
      <c r="J90" s="3"/>
      <c r="K90" s="3"/>
      <c r="L90" s="3"/>
      <c r="M90" s="3"/>
      <c r="N90" s="3"/>
      <c r="O90" s="3"/>
      <c r="P90" s="3"/>
      <c r="Q90" s="3"/>
      <c r="R90" s="3"/>
      <c r="S90" s="3"/>
      <c r="T90" s="3"/>
      <c r="U90" s="3"/>
      <c r="V90" s="3"/>
      <c r="W90" s="3"/>
      <c r="X90" s="3"/>
      <c r="Y90" s="3"/>
      <c r="Z90" s="3"/>
      <c r="AA90" s="3"/>
    </row>
    <row r="91" spans="1:27" ht="22.5" customHeight="1" x14ac:dyDescent="0.85">
      <c r="A91" s="3"/>
      <c r="B91" s="3"/>
      <c r="C91" s="3"/>
      <c r="D91" s="3"/>
      <c r="E91" s="3"/>
      <c r="F91" s="3"/>
      <c r="G91" s="3"/>
      <c r="H91" s="3"/>
      <c r="I91" s="3"/>
      <c r="J91" s="3"/>
      <c r="K91" s="3"/>
      <c r="L91" s="3"/>
      <c r="M91" s="3"/>
      <c r="N91" s="59"/>
      <c r="O91" s="3"/>
      <c r="P91" s="3"/>
      <c r="Q91" s="3"/>
      <c r="R91" s="3"/>
      <c r="S91" s="3"/>
      <c r="T91" s="3"/>
      <c r="U91" s="3"/>
      <c r="V91" s="3"/>
      <c r="W91" s="3"/>
      <c r="X91" s="3"/>
      <c r="Y91" s="3"/>
      <c r="Z91" s="3"/>
      <c r="AA91" s="3"/>
    </row>
    <row r="92" spans="1:27" ht="22.5" customHeight="1" x14ac:dyDescent="0.85">
      <c r="A92" s="3"/>
      <c r="B92" s="3"/>
      <c r="C92" s="3"/>
      <c r="D92" s="3"/>
      <c r="E92" s="3"/>
      <c r="F92" s="3"/>
      <c r="G92" s="3"/>
      <c r="H92" s="3"/>
      <c r="I92" s="3"/>
      <c r="J92" s="3"/>
      <c r="K92" s="3"/>
      <c r="L92" s="3"/>
      <c r="M92" s="3"/>
      <c r="N92" s="59"/>
      <c r="O92" s="3"/>
      <c r="P92" s="3"/>
      <c r="Q92" s="3"/>
      <c r="R92" s="3"/>
      <c r="S92" s="3"/>
      <c r="T92" s="3"/>
      <c r="U92" s="3"/>
      <c r="V92" s="3"/>
      <c r="W92" s="3"/>
      <c r="X92" s="3"/>
      <c r="Y92" s="3"/>
      <c r="Z92" s="3"/>
      <c r="AA92" s="3"/>
    </row>
    <row r="93" spans="1:27" ht="22.5" customHeight="1" x14ac:dyDescent="0.85">
      <c r="A93" s="3"/>
      <c r="B93" s="3"/>
      <c r="C93" s="3"/>
      <c r="D93" s="3"/>
      <c r="E93" s="3"/>
      <c r="F93" s="3"/>
      <c r="G93" s="3"/>
      <c r="H93" s="3"/>
      <c r="I93" s="3"/>
      <c r="J93" s="3"/>
      <c r="K93" s="3"/>
      <c r="L93" s="3"/>
      <c r="M93" s="3"/>
      <c r="N93" s="59"/>
      <c r="O93" s="3"/>
      <c r="P93" s="3"/>
      <c r="Q93" s="3"/>
      <c r="R93" s="3"/>
      <c r="S93" s="3"/>
      <c r="T93" s="3"/>
      <c r="U93" s="3"/>
      <c r="V93" s="3"/>
      <c r="W93" s="3"/>
      <c r="X93" s="3"/>
      <c r="Y93" s="3"/>
      <c r="Z93" s="3"/>
      <c r="AA93" s="3"/>
    </row>
    <row r="94" spans="1:27" ht="22.5" customHeight="1" x14ac:dyDescent="0.85">
      <c r="A94" s="3"/>
      <c r="B94" s="3"/>
      <c r="C94" s="3"/>
      <c r="D94" s="3"/>
      <c r="E94" s="3"/>
      <c r="F94" s="3"/>
      <c r="G94" s="3"/>
      <c r="H94" s="3"/>
      <c r="I94" s="3"/>
      <c r="J94" s="3"/>
      <c r="K94" s="3"/>
      <c r="L94" s="3"/>
      <c r="M94" s="3"/>
      <c r="N94" s="59"/>
      <c r="O94" s="3"/>
      <c r="P94" s="3"/>
      <c r="Q94" s="3"/>
      <c r="R94" s="3"/>
      <c r="S94" s="3"/>
      <c r="T94" s="3"/>
      <c r="U94" s="3"/>
      <c r="V94" s="3"/>
      <c r="W94" s="3"/>
      <c r="X94" s="3"/>
      <c r="Y94" s="3"/>
      <c r="Z94" s="3"/>
      <c r="AA94" s="3"/>
    </row>
    <row r="95" spans="1:27" ht="22.5" customHeight="1" x14ac:dyDescent="0.85">
      <c r="A95" s="3"/>
      <c r="B95" s="3"/>
      <c r="C95" s="3"/>
      <c r="D95" s="3"/>
      <c r="E95" s="3"/>
      <c r="F95" s="3"/>
      <c r="G95" s="3"/>
      <c r="H95" s="3"/>
      <c r="I95" s="3"/>
      <c r="J95" s="3"/>
      <c r="K95" s="3"/>
      <c r="L95" s="3"/>
      <c r="M95" s="3"/>
      <c r="N95" s="59"/>
      <c r="O95" s="3"/>
      <c r="P95" s="3"/>
      <c r="Q95" s="3"/>
      <c r="R95" s="3"/>
      <c r="S95" s="3"/>
      <c r="T95" s="3"/>
      <c r="U95" s="3"/>
      <c r="V95" s="3"/>
      <c r="W95" s="3"/>
      <c r="X95" s="3"/>
      <c r="Y95" s="3"/>
      <c r="Z95" s="3"/>
      <c r="AA95" s="3"/>
    </row>
    <row r="96" spans="1:27" ht="22.5" customHeight="1" x14ac:dyDescent="0.85">
      <c r="A96" s="3"/>
      <c r="B96" s="3"/>
      <c r="C96" s="3"/>
      <c r="D96" s="3"/>
      <c r="E96" s="3"/>
      <c r="F96" s="3"/>
      <c r="G96" s="3"/>
      <c r="H96" s="3"/>
      <c r="I96" s="3"/>
      <c r="J96" s="3"/>
      <c r="K96" s="3"/>
      <c r="L96" s="3"/>
      <c r="M96" s="3"/>
      <c r="N96" s="59"/>
      <c r="O96" s="3"/>
      <c r="P96" s="3"/>
      <c r="Q96" s="3"/>
      <c r="R96" s="3"/>
      <c r="S96" s="3"/>
      <c r="T96" s="3"/>
      <c r="U96" s="3"/>
      <c r="V96" s="3"/>
      <c r="W96" s="3"/>
      <c r="X96" s="3"/>
      <c r="Y96" s="3"/>
      <c r="Z96" s="3"/>
      <c r="AA96" s="3"/>
    </row>
    <row r="97" spans="1:27" ht="22.5" customHeight="1" x14ac:dyDescent="0.85">
      <c r="A97" s="3"/>
      <c r="B97" s="3"/>
      <c r="C97" s="3"/>
      <c r="D97" s="3"/>
      <c r="E97" s="3"/>
      <c r="F97" s="3"/>
      <c r="G97" s="3"/>
      <c r="H97" s="3"/>
      <c r="I97" s="3"/>
      <c r="J97" s="3"/>
      <c r="K97" s="3"/>
      <c r="L97" s="3"/>
      <c r="M97" s="3"/>
      <c r="N97" s="59"/>
      <c r="O97" s="3"/>
      <c r="P97" s="3"/>
      <c r="Q97" s="3"/>
      <c r="R97" s="3"/>
      <c r="S97" s="3"/>
      <c r="T97" s="3"/>
      <c r="U97" s="3"/>
      <c r="V97" s="3"/>
      <c r="W97" s="3"/>
      <c r="X97" s="3"/>
      <c r="Y97" s="3"/>
      <c r="Z97" s="3"/>
      <c r="AA97" s="3"/>
    </row>
    <row r="98" spans="1:27" ht="22.5" customHeight="1" x14ac:dyDescent="0.85">
      <c r="A98" s="3"/>
      <c r="B98" s="3"/>
      <c r="C98" s="3"/>
      <c r="D98" s="3"/>
      <c r="E98" s="3"/>
      <c r="F98" s="3"/>
      <c r="G98" s="3"/>
      <c r="H98" s="3"/>
      <c r="I98" s="3"/>
      <c r="J98" s="3"/>
      <c r="K98" s="3"/>
      <c r="L98" s="3"/>
      <c r="M98" s="3"/>
      <c r="N98" s="59"/>
      <c r="O98" s="3"/>
      <c r="P98" s="3"/>
      <c r="Q98" s="3"/>
      <c r="R98" s="3"/>
      <c r="S98" s="3"/>
      <c r="T98" s="3"/>
      <c r="U98" s="3"/>
      <c r="V98" s="3"/>
      <c r="W98" s="3"/>
      <c r="X98" s="3"/>
      <c r="Y98" s="3"/>
      <c r="Z98" s="3"/>
      <c r="AA98" s="3"/>
    </row>
    <row r="99" spans="1:27" ht="22.5" customHeight="1" x14ac:dyDescent="0.85">
      <c r="A99" s="3"/>
      <c r="B99" s="3"/>
      <c r="C99" s="3"/>
      <c r="D99" s="3"/>
      <c r="E99" s="3"/>
      <c r="F99" s="3"/>
      <c r="G99" s="3"/>
      <c r="H99" s="3"/>
      <c r="I99" s="3"/>
      <c r="J99" s="3"/>
      <c r="K99" s="3"/>
      <c r="L99" s="3"/>
      <c r="M99" s="3"/>
      <c r="N99" s="59"/>
      <c r="O99" s="3"/>
      <c r="P99" s="3"/>
      <c r="Q99" s="3"/>
      <c r="R99" s="3"/>
      <c r="S99" s="3"/>
      <c r="T99" s="3"/>
      <c r="U99" s="3"/>
      <c r="V99" s="3"/>
      <c r="W99" s="3"/>
      <c r="X99" s="3"/>
      <c r="Y99" s="3"/>
      <c r="Z99" s="3"/>
      <c r="AA99" s="3"/>
    </row>
    <row r="100" spans="1:27" ht="22.5" customHeight="1" x14ac:dyDescent="0.8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row>
    <row r="101" spans="1:27" ht="22.5" customHeight="1" x14ac:dyDescent="0.8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row>
    <row r="102" spans="1:27" ht="22.5" customHeight="1" x14ac:dyDescent="0.8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row>
    <row r="103" spans="1:27" ht="22.5" customHeight="1" x14ac:dyDescent="0.8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row>
    <row r="104" spans="1:27" ht="22.5" customHeight="1" x14ac:dyDescent="0.8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row>
    <row r="105" spans="1:27" ht="22.5" customHeight="1" x14ac:dyDescent="0.8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row>
    <row r="106" spans="1:27" ht="22.5" customHeight="1" x14ac:dyDescent="0.8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row>
    <row r="107" spans="1:27" ht="22.5" customHeight="1" x14ac:dyDescent="0.85">
      <c r="A107" s="3"/>
      <c r="B107" s="3"/>
      <c r="C107" s="3"/>
      <c r="D107" s="3"/>
      <c r="E107" s="3"/>
      <c r="F107" s="3"/>
      <c r="G107" s="3"/>
      <c r="H107" s="59"/>
      <c r="I107" s="3"/>
      <c r="J107" s="3"/>
      <c r="K107" s="3"/>
      <c r="L107" s="3"/>
      <c r="M107" s="3"/>
      <c r="N107" s="3"/>
      <c r="O107" s="3"/>
      <c r="P107" s="3"/>
      <c r="Q107" s="3"/>
      <c r="R107" s="3"/>
      <c r="S107" s="3"/>
      <c r="T107" s="3"/>
      <c r="U107" s="3"/>
      <c r="V107" s="3"/>
      <c r="W107" s="3"/>
      <c r="X107" s="3"/>
      <c r="Y107" s="3"/>
      <c r="Z107" s="3"/>
      <c r="AA107" s="3"/>
    </row>
    <row r="108" spans="1:27" ht="22.5" customHeight="1" x14ac:dyDescent="0.8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row>
    <row r="109" spans="1:27" ht="22.5" customHeight="1" x14ac:dyDescent="0.8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row>
    <row r="110" spans="1:27" ht="22.5" customHeight="1" x14ac:dyDescent="0.8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row>
    <row r="111" spans="1:27" ht="22.5" customHeight="1" x14ac:dyDescent="0.8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row>
    <row r="112" spans="1:27" ht="22.5" customHeight="1" x14ac:dyDescent="0.8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row>
    <row r="113" spans="1:27" ht="22.5" customHeight="1" x14ac:dyDescent="0.8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row>
    <row r="114" spans="1:27" ht="22.5" customHeight="1" x14ac:dyDescent="0.8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row>
    <row r="115" spans="1:27" ht="22.5" customHeight="1" x14ac:dyDescent="0.8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row>
    <row r="116" spans="1:27" ht="22.5" customHeight="1" x14ac:dyDescent="0.8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row>
    <row r="117" spans="1:27" ht="22.5" customHeight="1" x14ac:dyDescent="0.8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row>
    <row r="118" spans="1:27" ht="22.5" customHeight="1" x14ac:dyDescent="0.8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row>
    <row r="119" spans="1:27" ht="22.5" customHeight="1" x14ac:dyDescent="0.8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row>
    <row r="120" spans="1:27" ht="22.5" customHeight="1" x14ac:dyDescent="0.8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row>
    <row r="121" spans="1:27" ht="22.5" customHeight="1" x14ac:dyDescent="0.8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row>
    <row r="122" spans="1:27" ht="22.5" customHeight="1" x14ac:dyDescent="0.8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row>
    <row r="123" spans="1:27" ht="22.5" customHeight="1" x14ac:dyDescent="0.8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row>
    <row r="124" spans="1:27" ht="22.5" customHeight="1" x14ac:dyDescent="0.8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row>
    <row r="125" spans="1:27" ht="22.5" customHeight="1" x14ac:dyDescent="0.8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row>
    <row r="126" spans="1:27" ht="22.5" customHeight="1" x14ac:dyDescent="0.8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row>
    <row r="127" spans="1:27" ht="22.5" customHeight="1" x14ac:dyDescent="0.8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row>
    <row r="128" spans="1:27" ht="22.5" customHeight="1" x14ac:dyDescent="0.8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row>
    <row r="129" spans="1:27" ht="22.5" customHeight="1" x14ac:dyDescent="0.8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row>
    <row r="130" spans="1:27" ht="22.5" customHeight="1" x14ac:dyDescent="0.8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row>
    <row r="131" spans="1:27" ht="22.5" customHeight="1" x14ac:dyDescent="0.8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row>
    <row r="132" spans="1:27" ht="22.5" customHeight="1" x14ac:dyDescent="0.8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row>
    <row r="133" spans="1:27" ht="22.5" customHeight="1" x14ac:dyDescent="0.8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row>
    <row r="134" spans="1:27" ht="22.5" customHeight="1" x14ac:dyDescent="0.8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row>
    <row r="135" spans="1:27" ht="22.5" customHeight="1" x14ac:dyDescent="0.8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row>
    <row r="136" spans="1:27" ht="22.5" customHeight="1" x14ac:dyDescent="0.8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row>
    <row r="137" spans="1:27" ht="22.5" customHeight="1" x14ac:dyDescent="0.8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row>
    <row r="138" spans="1:27" ht="22.5" customHeight="1" x14ac:dyDescent="0.8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row>
    <row r="139" spans="1:27" ht="22.5" customHeight="1" x14ac:dyDescent="0.8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row>
    <row r="140" spans="1:27" ht="22.5" customHeight="1" x14ac:dyDescent="0.8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row>
    <row r="141" spans="1:27" ht="22.5" customHeight="1" x14ac:dyDescent="0.8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row>
    <row r="142" spans="1:27" ht="22.5" customHeight="1" x14ac:dyDescent="0.8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row>
    <row r="143" spans="1:27" ht="22.5" customHeight="1" x14ac:dyDescent="0.8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row>
    <row r="144" spans="1:27" ht="22.5" customHeight="1" x14ac:dyDescent="0.8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row>
    <row r="145" spans="1:27" ht="22.5" customHeight="1" x14ac:dyDescent="0.8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row>
    <row r="146" spans="1:27" ht="22.5" customHeight="1" x14ac:dyDescent="0.8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row>
    <row r="147" spans="1:27" ht="22.5" customHeight="1" x14ac:dyDescent="0.8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row>
    <row r="148" spans="1:27" ht="22.5" customHeight="1" x14ac:dyDescent="0.8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row>
    <row r="149" spans="1:27" ht="22.5" customHeight="1" x14ac:dyDescent="0.8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row>
    <row r="150" spans="1:27" ht="22.5" customHeight="1" x14ac:dyDescent="0.8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row>
    <row r="151" spans="1:27" ht="22.5" customHeight="1" x14ac:dyDescent="0.8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row>
    <row r="152" spans="1:27" ht="22.5" customHeight="1" x14ac:dyDescent="0.8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row>
    <row r="153" spans="1:27" ht="22.5" customHeight="1" x14ac:dyDescent="0.8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row>
    <row r="154" spans="1:27" ht="22.5" customHeight="1" x14ac:dyDescent="0.8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row>
    <row r="155" spans="1:27" ht="22.5" customHeight="1" x14ac:dyDescent="0.8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row>
    <row r="156" spans="1:27" ht="22.5" customHeight="1" x14ac:dyDescent="0.8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row>
    <row r="157" spans="1:27" ht="22.5" customHeight="1" x14ac:dyDescent="0.8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row>
    <row r="158" spans="1:27" ht="22.5" customHeight="1" x14ac:dyDescent="0.8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row>
    <row r="159" spans="1:27" ht="22.5" customHeight="1" x14ac:dyDescent="0.8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row>
    <row r="160" spans="1:27" ht="22.5" customHeight="1" x14ac:dyDescent="0.8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row>
    <row r="161" spans="1:27" ht="22.5" customHeight="1" x14ac:dyDescent="0.8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row>
    <row r="162" spans="1:27" ht="22.5" customHeight="1" x14ac:dyDescent="0.8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row>
    <row r="163" spans="1:27" ht="22.5" customHeight="1" x14ac:dyDescent="0.8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row>
    <row r="164" spans="1:27" ht="22.5" customHeight="1" x14ac:dyDescent="0.8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row>
    <row r="165" spans="1:27" ht="22.5" customHeight="1" x14ac:dyDescent="0.8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row>
    <row r="166" spans="1:27" ht="22.5" customHeight="1" x14ac:dyDescent="0.8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row>
    <row r="167" spans="1:27" ht="22.5" customHeight="1" x14ac:dyDescent="0.8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row>
    <row r="168" spans="1:27" ht="22.5" customHeight="1" x14ac:dyDescent="0.8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row>
    <row r="169" spans="1:27" ht="22.5" customHeight="1" x14ac:dyDescent="0.8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row>
    <row r="170" spans="1:27" ht="22.5" customHeight="1" x14ac:dyDescent="0.8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row>
    <row r="171" spans="1:27" ht="22.5" customHeight="1" x14ac:dyDescent="0.8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row>
    <row r="172" spans="1:27" ht="22.5" customHeight="1" x14ac:dyDescent="0.8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row>
    <row r="173" spans="1:27" ht="22.5" customHeight="1" x14ac:dyDescent="0.8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row>
    <row r="174" spans="1:27" ht="22.5" customHeight="1" x14ac:dyDescent="0.8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row>
    <row r="175" spans="1:27" ht="22.5" customHeight="1" x14ac:dyDescent="0.8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row>
    <row r="176" spans="1:27" ht="22.5" customHeight="1" x14ac:dyDescent="0.8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row>
    <row r="177" spans="1:27" ht="22.5" customHeight="1" x14ac:dyDescent="0.8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row>
    <row r="178" spans="1:27" ht="22.5" customHeight="1" x14ac:dyDescent="0.8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row>
    <row r="179" spans="1:27" ht="22.5" customHeight="1" x14ac:dyDescent="0.8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row>
    <row r="180" spans="1:27" ht="22.5" customHeight="1" x14ac:dyDescent="0.8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row>
    <row r="181" spans="1:27" ht="22.5" customHeight="1" x14ac:dyDescent="0.8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row>
    <row r="182" spans="1:27" ht="22.5" customHeight="1" x14ac:dyDescent="0.8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row>
    <row r="183" spans="1:27" ht="22.5" customHeight="1" x14ac:dyDescent="0.8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row>
    <row r="184" spans="1:27" ht="22.5" customHeight="1" x14ac:dyDescent="0.8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row>
    <row r="185" spans="1:27" ht="22.5" customHeight="1" x14ac:dyDescent="0.8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row>
    <row r="186" spans="1:27" ht="22.5" customHeight="1" x14ac:dyDescent="0.8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row>
    <row r="187" spans="1:27" ht="22.5" customHeight="1" x14ac:dyDescent="0.8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row>
    <row r="188" spans="1:27" ht="22.5" customHeight="1" x14ac:dyDescent="0.8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row>
    <row r="189" spans="1:27" ht="22.5" customHeight="1" x14ac:dyDescent="0.8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row>
    <row r="190" spans="1:27" ht="22.5" customHeight="1" x14ac:dyDescent="0.8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row>
    <row r="191" spans="1:27" ht="22.5" customHeight="1" x14ac:dyDescent="0.8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row>
    <row r="192" spans="1:27" ht="22.5" customHeight="1" x14ac:dyDescent="0.8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row>
    <row r="193" spans="1:27" ht="22.5" customHeight="1" x14ac:dyDescent="0.8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row>
    <row r="194" spans="1:27" ht="22.5" customHeight="1" x14ac:dyDescent="0.8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row>
    <row r="195" spans="1:27" ht="22.5" customHeight="1" x14ac:dyDescent="0.8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row>
    <row r="196" spans="1:27" ht="22.5" customHeight="1" x14ac:dyDescent="0.8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row>
    <row r="197" spans="1:27" ht="22.5" customHeight="1" x14ac:dyDescent="0.8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row>
    <row r="198" spans="1:27" ht="22.5" customHeight="1" x14ac:dyDescent="0.8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row>
    <row r="199" spans="1:27" ht="22.5" customHeight="1" x14ac:dyDescent="0.8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row>
    <row r="200" spans="1:27" ht="22.5" customHeight="1" x14ac:dyDescent="0.8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row>
    <row r="201" spans="1:27" ht="22.5" customHeight="1" x14ac:dyDescent="0.8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row>
    <row r="202" spans="1:27" ht="22.5" customHeight="1" x14ac:dyDescent="0.8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row>
    <row r="203" spans="1:27" ht="22.5" customHeight="1" x14ac:dyDescent="0.8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row>
    <row r="204" spans="1:27" ht="22.5" customHeight="1" x14ac:dyDescent="0.8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row>
    <row r="205" spans="1:27" ht="22.5" customHeight="1" x14ac:dyDescent="0.8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row>
    <row r="206" spans="1:27" ht="22.5" customHeight="1" x14ac:dyDescent="0.8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row>
    <row r="207" spans="1:27" ht="22.5" customHeight="1" x14ac:dyDescent="0.8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row>
    <row r="208" spans="1:27" ht="22.5" customHeight="1" x14ac:dyDescent="0.8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row>
    <row r="209" spans="1:27" ht="22.5" customHeight="1" x14ac:dyDescent="0.8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row>
    <row r="210" spans="1:27" ht="22.5" customHeight="1" x14ac:dyDescent="0.8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row>
    <row r="211" spans="1:27" ht="22.5" customHeight="1" x14ac:dyDescent="0.8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row>
    <row r="212" spans="1:27" ht="22.5" customHeight="1" x14ac:dyDescent="0.8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row>
    <row r="213" spans="1:27" ht="22.5" customHeight="1" x14ac:dyDescent="0.8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row>
    <row r="214" spans="1:27" ht="22.5" customHeight="1" x14ac:dyDescent="0.8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row>
    <row r="215" spans="1:27" ht="22.5" customHeight="1" x14ac:dyDescent="0.8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row>
    <row r="216" spans="1:27" ht="22.5" customHeight="1" x14ac:dyDescent="0.8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row>
    <row r="217" spans="1:27" ht="22.5" customHeight="1" x14ac:dyDescent="0.8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row>
    <row r="218" spans="1:27" ht="22.5" customHeight="1" x14ac:dyDescent="0.8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row>
    <row r="219" spans="1:27" ht="22.5" customHeight="1" x14ac:dyDescent="0.8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row>
    <row r="220" spans="1:27" ht="22.5" customHeight="1" x14ac:dyDescent="0.8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row>
    <row r="221" spans="1:27" ht="22.5" customHeight="1" x14ac:dyDescent="0.8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row>
    <row r="222" spans="1:27" ht="22.5" customHeight="1" x14ac:dyDescent="0.8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row>
    <row r="223" spans="1:27" ht="22.5" customHeight="1" x14ac:dyDescent="0.8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row>
    <row r="224" spans="1:27" ht="22.5" customHeight="1" x14ac:dyDescent="0.8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row>
    <row r="225" spans="1:27" ht="22.5" customHeight="1" x14ac:dyDescent="0.8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row>
    <row r="226" spans="1:27" ht="22.5" customHeight="1" x14ac:dyDescent="0.8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row>
    <row r="227" spans="1:27" ht="22.5" customHeight="1" x14ac:dyDescent="0.8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row>
    <row r="228" spans="1:27" ht="22.5" customHeight="1" x14ac:dyDescent="0.8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row>
    <row r="229" spans="1:27" ht="22.5" customHeight="1" x14ac:dyDescent="0.8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row>
    <row r="230" spans="1:27" ht="22.5" customHeight="1" x14ac:dyDescent="0.8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row>
    <row r="231" spans="1:27" ht="22.5" customHeight="1" x14ac:dyDescent="0.8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row>
    <row r="232" spans="1:27" ht="22.5" customHeight="1" x14ac:dyDescent="0.8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row>
    <row r="233" spans="1:27" ht="22.5" customHeight="1" x14ac:dyDescent="0.8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row>
    <row r="234" spans="1:27" ht="22.5" customHeight="1" x14ac:dyDescent="0.8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row>
    <row r="235" spans="1:27" ht="22.5" customHeight="1" x14ac:dyDescent="0.8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row>
    <row r="236" spans="1:27" ht="22.5" customHeight="1" x14ac:dyDescent="0.8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row>
    <row r="237" spans="1:27" ht="22.5" customHeight="1" x14ac:dyDescent="0.8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row>
    <row r="238" spans="1:27" ht="22.5" customHeight="1" x14ac:dyDescent="0.8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row>
    <row r="239" spans="1:27" ht="22.5" customHeight="1" x14ac:dyDescent="0.8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row>
    <row r="240" spans="1:27" ht="22.5" customHeight="1" x14ac:dyDescent="0.8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row>
    <row r="241" spans="1:27" ht="22.5" customHeight="1" x14ac:dyDescent="0.8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row>
    <row r="242" spans="1:27" ht="22.5" customHeight="1" x14ac:dyDescent="0.8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row>
    <row r="243" spans="1:27" ht="22.5" customHeight="1" x14ac:dyDescent="0.8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row>
    <row r="244" spans="1:27" ht="22.5" customHeight="1" x14ac:dyDescent="0.8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row>
    <row r="245" spans="1:27" ht="22.5" customHeight="1" x14ac:dyDescent="0.8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row>
    <row r="246" spans="1:27" ht="22.5" customHeight="1" x14ac:dyDescent="0.8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row>
    <row r="247" spans="1:27" ht="22.5" customHeight="1" x14ac:dyDescent="0.8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row>
    <row r="248" spans="1:27" ht="22.5" customHeight="1" x14ac:dyDescent="0.8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row>
    <row r="249" spans="1:27" ht="22.5" customHeight="1" x14ac:dyDescent="0.8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row>
    <row r="250" spans="1:27" ht="22.5" customHeight="1" x14ac:dyDescent="0.8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row>
    <row r="251" spans="1:27" ht="22.5" customHeight="1" x14ac:dyDescent="0.8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row>
    <row r="252" spans="1:27" ht="22.5" customHeight="1" x14ac:dyDescent="0.8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row>
    <row r="253" spans="1:27" ht="22.5" customHeight="1" x14ac:dyDescent="0.8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row>
    <row r="254" spans="1:27" ht="22.5" customHeight="1" x14ac:dyDescent="0.8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row>
    <row r="255" spans="1:27" ht="22.5" customHeight="1" x14ac:dyDescent="0.8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row>
    <row r="256" spans="1:27" ht="22.5" customHeight="1" x14ac:dyDescent="0.8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row>
    <row r="257" spans="1:27" ht="22.5" customHeight="1" x14ac:dyDescent="0.8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row>
    <row r="258" spans="1:27" ht="22.5" customHeight="1" x14ac:dyDescent="0.8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row>
    <row r="259" spans="1:27" ht="22.5" customHeight="1" x14ac:dyDescent="0.8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row>
    <row r="260" spans="1:27" ht="22.5" customHeight="1" x14ac:dyDescent="0.8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row>
    <row r="261" spans="1:27" ht="22.5" customHeight="1" x14ac:dyDescent="0.8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row>
    <row r="262" spans="1:27" ht="22.5" customHeight="1" x14ac:dyDescent="0.8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row>
    <row r="263" spans="1:27" ht="22.5" customHeight="1" x14ac:dyDescent="0.8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row>
    <row r="264" spans="1:27" ht="22.5" customHeight="1" x14ac:dyDescent="0.8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row>
    <row r="265" spans="1:27" ht="22.5" customHeight="1" x14ac:dyDescent="0.8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row>
    <row r="266" spans="1:27" ht="22.5" customHeight="1" x14ac:dyDescent="0.8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row>
    <row r="267" spans="1:27" ht="22.5" customHeight="1" x14ac:dyDescent="0.8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row>
    <row r="268" spans="1:27" ht="22.5" customHeight="1" x14ac:dyDescent="0.8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row>
    <row r="269" spans="1:27" ht="22.5" customHeight="1" x14ac:dyDescent="0.8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row>
    <row r="270" spans="1:27" ht="22.5" customHeight="1" x14ac:dyDescent="0.8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row>
    <row r="271" spans="1:27" ht="22.5" customHeight="1" x14ac:dyDescent="0.8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row>
    <row r="272" spans="1:27" ht="22.5" customHeight="1" x14ac:dyDescent="0.8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row>
    <row r="273" spans="1:27" ht="22.5" customHeight="1" x14ac:dyDescent="0.8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row>
    <row r="274" spans="1:27" ht="22.5" customHeight="1" x14ac:dyDescent="0.8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row>
    <row r="275" spans="1:27" ht="22.5" customHeight="1" x14ac:dyDescent="0.8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row>
    <row r="276" spans="1:27" ht="22.5" customHeight="1" x14ac:dyDescent="0.8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row>
    <row r="277" spans="1:27" ht="22.5" customHeight="1" x14ac:dyDescent="0.8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row>
    <row r="278" spans="1:27" ht="22.5" customHeight="1" x14ac:dyDescent="0.8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row>
    <row r="279" spans="1:27" ht="22.5" customHeight="1" x14ac:dyDescent="0.8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row>
    <row r="280" spans="1:27" ht="22.5" customHeight="1" x14ac:dyDescent="0.8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row>
    <row r="281" spans="1:27" ht="22.5" customHeight="1" x14ac:dyDescent="0.8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row>
    <row r="282" spans="1:27" ht="22.5" customHeight="1" x14ac:dyDescent="0.8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row>
    <row r="283" spans="1:27" ht="22.5" customHeight="1" x14ac:dyDescent="0.8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row>
    <row r="284" spans="1:27" ht="22.5" customHeight="1" x14ac:dyDescent="0.8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row>
    <row r="285" spans="1:27" ht="22.5" customHeight="1" x14ac:dyDescent="0.8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row>
    <row r="286" spans="1:27" ht="22.5" customHeight="1" x14ac:dyDescent="0.8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row>
    <row r="287" spans="1:27" ht="22.5" customHeight="1" x14ac:dyDescent="0.8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row>
    <row r="288" spans="1:27" ht="22.5" customHeight="1" x14ac:dyDescent="0.8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row>
    <row r="289" spans="1:27" ht="22.5" customHeight="1" x14ac:dyDescent="0.8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row>
    <row r="290" spans="1:27" ht="22.5" customHeight="1" x14ac:dyDescent="0.8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row>
    <row r="291" spans="1:27" ht="22.5" customHeight="1" x14ac:dyDescent="0.8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row>
    <row r="292" spans="1:27" ht="22.5" customHeight="1" x14ac:dyDescent="0.8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row>
    <row r="293" spans="1:27" ht="22.5" customHeight="1" x14ac:dyDescent="0.8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row>
    <row r="294" spans="1:27" ht="22.5" customHeight="1" x14ac:dyDescent="0.8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row>
    <row r="295" spans="1:27" ht="22.5" customHeight="1" x14ac:dyDescent="0.8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row>
    <row r="296" spans="1:27" ht="22.5" customHeight="1" x14ac:dyDescent="0.8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row>
    <row r="297" spans="1:27" ht="22.5" customHeight="1" x14ac:dyDescent="0.8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row>
    <row r="298" spans="1:27" ht="22.5" customHeight="1" x14ac:dyDescent="0.8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row>
    <row r="299" spans="1:27" ht="22.5" customHeight="1" x14ac:dyDescent="0.8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row>
    <row r="300" spans="1:27" ht="22.5" customHeight="1" x14ac:dyDescent="0.8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row>
    <row r="301" spans="1:27" ht="22.5" customHeight="1" x14ac:dyDescent="0.8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row>
    <row r="302" spans="1:27" ht="22.5" customHeight="1" x14ac:dyDescent="0.8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row>
    <row r="303" spans="1:27" ht="22.5" customHeight="1" x14ac:dyDescent="0.8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row>
    <row r="304" spans="1:27" ht="22.5" customHeight="1" x14ac:dyDescent="0.8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row>
    <row r="305" spans="1:27" ht="22.5" customHeight="1" x14ac:dyDescent="0.8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row>
    <row r="306" spans="1:27" ht="22.5" customHeight="1" x14ac:dyDescent="0.8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row>
    <row r="307" spans="1:27" ht="22.5" customHeight="1" x14ac:dyDescent="0.8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row>
    <row r="308" spans="1:27" ht="22.5" customHeight="1" x14ac:dyDescent="0.8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row>
    <row r="309" spans="1:27" ht="22.5" customHeight="1" x14ac:dyDescent="0.8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row>
    <row r="310" spans="1:27" ht="22.5" customHeight="1" x14ac:dyDescent="0.8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row>
    <row r="311" spans="1:27" ht="22.5" customHeight="1" x14ac:dyDescent="0.8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row>
    <row r="312" spans="1:27" ht="22.5" customHeight="1" x14ac:dyDescent="0.8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row>
    <row r="313" spans="1:27" ht="22.5" customHeight="1" x14ac:dyDescent="0.8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row>
    <row r="314" spans="1:27" ht="22.5" customHeight="1" x14ac:dyDescent="0.8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row>
    <row r="315" spans="1:27" ht="22.5" customHeight="1" x14ac:dyDescent="0.8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row>
    <row r="316" spans="1:27" ht="22.5" customHeight="1" x14ac:dyDescent="0.8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row>
    <row r="317" spans="1:27" ht="22.5" customHeight="1" x14ac:dyDescent="0.8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row>
    <row r="318" spans="1:27" ht="22.5" customHeight="1" x14ac:dyDescent="0.8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row>
    <row r="319" spans="1:27" ht="22.5" customHeight="1" x14ac:dyDescent="0.8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row>
    <row r="320" spans="1:27" ht="22.5" customHeight="1" x14ac:dyDescent="0.8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row>
    <row r="321" spans="1:27" ht="22.5" customHeight="1" x14ac:dyDescent="0.8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row>
    <row r="322" spans="1:27" ht="22.5" customHeight="1" x14ac:dyDescent="0.8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row>
    <row r="323" spans="1:27" ht="22.5" customHeight="1" x14ac:dyDescent="0.8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row>
    <row r="324" spans="1:27" ht="22.5" customHeight="1" x14ac:dyDescent="0.8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row>
    <row r="325" spans="1:27" ht="22.5" customHeight="1" x14ac:dyDescent="0.8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row>
    <row r="326" spans="1:27" ht="22.5" customHeight="1" x14ac:dyDescent="0.8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row>
    <row r="327" spans="1:27" ht="22.5" customHeight="1" x14ac:dyDescent="0.8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row>
    <row r="328" spans="1:27" ht="22.5" customHeight="1" x14ac:dyDescent="0.8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row>
    <row r="329" spans="1:27" ht="22.5" customHeight="1" x14ac:dyDescent="0.8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row>
    <row r="330" spans="1:27" ht="22.5" customHeight="1" x14ac:dyDescent="0.8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row>
    <row r="331" spans="1:27" ht="22.5" customHeight="1" x14ac:dyDescent="0.8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row>
    <row r="332" spans="1:27" ht="22.5" customHeight="1" x14ac:dyDescent="0.8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row>
    <row r="333" spans="1:27" ht="22.5" customHeight="1" x14ac:dyDescent="0.8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row>
    <row r="334" spans="1:27" ht="22.5" customHeight="1" x14ac:dyDescent="0.8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row>
    <row r="335" spans="1:27" ht="22.5" customHeight="1" x14ac:dyDescent="0.8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row>
    <row r="336" spans="1:27" ht="22.5" customHeight="1" x14ac:dyDescent="0.8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row>
    <row r="337" spans="1:27" ht="22.5" customHeight="1" x14ac:dyDescent="0.8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row>
    <row r="338" spans="1:27" ht="22.5" customHeight="1" x14ac:dyDescent="0.8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row>
    <row r="339" spans="1:27" ht="22.5" customHeight="1" x14ac:dyDescent="0.8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row>
    <row r="340" spans="1:27" ht="22.5" customHeight="1" x14ac:dyDescent="0.8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row>
    <row r="341" spans="1:27" ht="22.5" customHeight="1" x14ac:dyDescent="0.8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row>
    <row r="342" spans="1:27" ht="22.5" customHeight="1" x14ac:dyDescent="0.8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row>
    <row r="343" spans="1:27" ht="22.5" customHeight="1" x14ac:dyDescent="0.8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row>
    <row r="344" spans="1:27" ht="22.5" customHeight="1" x14ac:dyDescent="0.8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row>
    <row r="345" spans="1:27" ht="22.5" customHeight="1" x14ac:dyDescent="0.8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row>
    <row r="346" spans="1:27" ht="22.5" customHeight="1" x14ac:dyDescent="0.8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row>
    <row r="347" spans="1:27" ht="22.5" customHeight="1" x14ac:dyDescent="0.8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row>
    <row r="348" spans="1:27" ht="22.5" customHeight="1" x14ac:dyDescent="0.8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row>
    <row r="349" spans="1:27" ht="22.5" customHeight="1" x14ac:dyDescent="0.8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c r="AA349" s="3"/>
    </row>
    <row r="350" spans="1:27" ht="22.5" customHeight="1" x14ac:dyDescent="0.8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c r="AA350" s="3"/>
    </row>
    <row r="351" spans="1:27" ht="22.5" customHeight="1" x14ac:dyDescent="0.8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c r="AA351" s="3"/>
    </row>
    <row r="352" spans="1:27" ht="22.5" customHeight="1" x14ac:dyDescent="0.8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c r="AA352" s="3"/>
    </row>
    <row r="353" spans="1:27" ht="22.5" customHeight="1" x14ac:dyDescent="0.8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c r="AA353" s="3"/>
    </row>
    <row r="354" spans="1:27" ht="22.5" customHeight="1" x14ac:dyDescent="0.8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c r="AA354" s="3"/>
    </row>
    <row r="355" spans="1:27" ht="22.5" customHeight="1" x14ac:dyDescent="0.8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c r="AA355" s="3"/>
    </row>
    <row r="356" spans="1:27" ht="22.5" customHeight="1" x14ac:dyDescent="0.8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c r="AA356" s="3"/>
    </row>
    <row r="357" spans="1:27" ht="22.5" customHeight="1" x14ac:dyDescent="0.8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c r="AA357" s="3"/>
    </row>
    <row r="358" spans="1:27" ht="22.5" customHeight="1" x14ac:dyDescent="0.8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c r="AA358" s="3"/>
    </row>
    <row r="359" spans="1:27" ht="22.5" customHeight="1" x14ac:dyDescent="0.8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c r="AA359" s="3"/>
    </row>
    <row r="360" spans="1:27" ht="22.5" customHeight="1" x14ac:dyDescent="0.8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c r="AA360" s="3"/>
    </row>
    <row r="361" spans="1:27" ht="22.5" customHeight="1" x14ac:dyDescent="0.8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c r="AA361" s="3"/>
    </row>
    <row r="362" spans="1:27" ht="22.5" customHeight="1" x14ac:dyDescent="0.8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c r="AA362" s="3"/>
    </row>
    <row r="363" spans="1:27" ht="22.5" customHeight="1" x14ac:dyDescent="0.8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c r="AA363" s="3"/>
    </row>
    <row r="364" spans="1:27" ht="22.5" customHeight="1" x14ac:dyDescent="0.8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c r="AA364" s="3"/>
    </row>
    <row r="365" spans="1:27" ht="22.5" customHeight="1" x14ac:dyDescent="0.8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c r="AA365" s="3"/>
    </row>
    <row r="366" spans="1:27" ht="22.5" customHeight="1" x14ac:dyDescent="0.8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c r="AA366" s="3"/>
    </row>
    <row r="367" spans="1:27" ht="22.5" customHeight="1" x14ac:dyDescent="0.8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c r="AA367" s="3"/>
    </row>
    <row r="368" spans="1:27" ht="22.5" customHeight="1" x14ac:dyDescent="0.8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c r="AA368" s="3"/>
    </row>
    <row r="369" spans="1:27" ht="22.5" customHeight="1" x14ac:dyDescent="0.8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c r="AA369" s="3"/>
    </row>
    <row r="370" spans="1:27" ht="22.5" customHeight="1" x14ac:dyDescent="0.8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c r="AA370" s="3"/>
    </row>
    <row r="371" spans="1:27" ht="22.5" customHeight="1" x14ac:dyDescent="0.8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c r="AA371" s="3"/>
    </row>
    <row r="372" spans="1:27" ht="22.5" customHeight="1" x14ac:dyDescent="0.8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c r="AA372" s="3"/>
    </row>
    <row r="373" spans="1:27" ht="22.5" customHeight="1" x14ac:dyDescent="0.8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c r="AA373" s="3"/>
    </row>
    <row r="374" spans="1:27" ht="22.5" customHeight="1" x14ac:dyDescent="0.8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c r="AA374" s="3"/>
    </row>
    <row r="375" spans="1:27" ht="22.5" customHeight="1" x14ac:dyDescent="0.8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c r="AA375" s="3"/>
    </row>
    <row r="376" spans="1:27" ht="22.5" customHeight="1" x14ac:dyDescent="0.8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c r="AA376" s="3"/>
    </row>
    <row r="377" spans="1:27" ht="22.5" customHeight="1" x14ac:dyDescent="0.8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c r="AA377" s="3"/>
    </row>
    <row r="378" spans="1:27" ht="22.5" customHeight="1" x14ac:dyDescent="0.8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c r="AA378" s="3"/>
    </row>
    <row r="379" spans="1:27" ht="22.5" customHeight="1" x14ac:dyDescent="0.8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c r="AA379" s="3"/>
    </row>
    <row r="380" spans="1:27" ht="22.5" customHeight="1" x14ac:dyDescent="0.8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c r="AA380" s="3"/>
    </row>
    <row r="381" spans="1:27" ht="22.5" customHeight="1" x14ac:dyDescent="0.8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c r="AA381" s="3"/>
    </row>
    <row r="382" spans="1:27" ht="22.5" customHeight="1" x14ac:dyDescent="0.8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c r="AA382" s="3"/>
    </row>
    <row r="383" spans="1:27" ht="22.5" customHeight="1" x14ac:dyDescent="0.8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c r="AA383" s="3"/>
    </row>
    <row r="384" spans="1:27" ht="22.5" customHeight="1" x14ac:dyDescent="0.8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c r="AA384" s="3"/>
    </row>
    <row r="385" spans="1:27" ht="22.5" customHeight="1" x14ac:dyDescent="0.8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c r="AA385" s="3"/>
    </row>
    <row r="386" spans="1:27" ht="22.5" customHeight="1" x14ac:dyDescent="0.8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c r="AA386" s="3"/>
    </row>
    <row r="387" spans="1:27" ht="22.5" customHeight="1" x14ac:dyDescent="0.8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c r="AA387" s="3"/>
    </row>
    <row r="388" spans="1:27" ht="22.5" customHeight="1" x14ac:dyDescent="0.8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c r="AA388" s="3"/>
    </row>
    <row r="389" spans="1:27" ht="22.5" customHeight="1" x14ac:dyDescent="0.8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c r="AA389" s="3"/>
    </row>
    <row r="390" spans="1:27" ht="22.5" customHeight="1" x14ac:dyDescent="0.8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c r="AA390" s="3"/>
    </row>
    <row r="391" spans="1:27" ht="22.5" customHeight="1" x14ac:dyDescent="0.8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c r="AA391" s="3"/>
    </row>
    <row r="392" spans="1:27" ht="22.5" customHeight="1" x14ac:dyDescent="0.8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c r="AA392" s="3"/>
    </row>
    <row r="393" spans="1:27" ht="22.5" customHeight="1" x14ac:dyDescent="0.8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c r="AA393" s="3"/>
    </row>
    <row r="394" spans="1:27" ht="22.5" customHeight="1" x14ac:dyDescent="0.8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c r="AA394" s="3"/>
    </row>
    <row r="395" spans="1:27" ht="22.5" customHeight="1" x14ac:dyDescent="0.8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c r="AA395" s="3"/>
    </row>
    <row r="396" spans="1:27" ht="22.5" customHeight="1" x14ac:dyDescent="0.8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c r="AA396" s="3"/>
    </row>
    <row r="397" spans="1:27" ht="22.5" customHeight="1" x14ac:dyDescent="0.8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c r="AA397" s="3"/>
    </row>
    <row r="398" spans="1:27" ht="22.5" customHeight="1" x14ac:dyDescent="0.8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c r="AA398" s="3"/>
    </row>
    <row r="399" spans="1:27" ht="22.5" customHeight="1" x14ac:dyDescent="0.8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c r="AA399" s="3"/>
    </row>
    <row r="400" spans="1:27" ht="22.5" customHeight="1" x14ac:dyDescent="0.8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c r="AA400" s="3"/>
    </row>
    <row r="401" spans="1:27" ht="22.5" customHeight="1" x14ac:dyDescent="0.8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c r="AA401" s="3"/>
    </row>
    <row r="402" spans="1:27" ht="22.5" customHeight="1" x14ac:dyDescent="0.8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c r="AA402" s="3"/>
    </row>
    <row r="403" spans="1:27" ht="22.5" customHeight="1" x14ac:dyDescent="0.8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c r="AA403" s="3"/>
    </row>
    <row r="404" spans="1:27" ht="22.5" customHeight="1" x14ac:dyDescent="0.8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c r="AA404" s="3"/>
    </row>
    <row r="405" spans="1:27" ht="22.5" customHeight="1" x14ac:dyDescent="0.8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c r="AA405" s="3"/>
    </row>
    <row r="406" spans="1:27" ht="22.5" customHeight="1" x14ac:dyDescent="0.8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c r="AA406" s="3"/>
    </row>
    <row r="407" spans="1:27" ht="22.5" customHeight="1" x14ac:dyDescent="0.8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c r="AA407" s="3"/>
    </row>
    <row r="408" spans="1:27" ht="22.5" customHeight="1" x14ac:dyDescent="0.8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c r="AA408" s="3"/>
    </row>
    <row r="409" spans="1:27" ht="22.5" customHeight="1" x14ac:dyDescent="0.8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c r="AA409" s="3"/>
    </row>
    <row r="410" spans="1:27" ht="22.5" customHeight="1" x14ac:dyDescent="0.8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c r="AA410" s="3"/>
    </row>
    <row r="411" spans="1:27" ht="22.5" customHeight="1" x14ac:dyDescent="0.8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c r="AA411" s="3"/>
    </row>
    <row r="412" spans="1:27" ht="22.5" customHeight="1" x14ac:dyDescent="0.8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c r="AA412" s="3"/>
    </row>
    <row r="413" spans="1:27" ht="22.5" customHeight="1" x14ac:dyDescent="0.8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c r="AA413" s="3"/>
    </row>
    <row r="414" spans="1:27" ht="22.5" customHeight="1" x14ac:dyDescent="0.8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c r="AA414" s="3"/>
    </row>
    <row r="415" spans="1:27" ht="22.5" customHeight="1" x14ac:dyDescent="0.8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c r="AA415" s="3"/>
    </row>
    <row r="416" spans="1:27" ht="22.5" customHeight="1" x14ac:dyDescent="0.8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c r="AA416" s="3"/>
    </row>
    <row r="417" spans="1:27" ht="22.5" customHeight="1" x14ac:dyDescent="0.8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c r="AA417" s="3"/>
    </row>
    <row r="418" spans="1:27" ht="22.5" customHeight="1" x14ac:dyDescent="0.8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c r="AA418" s="3"/>
    </row>
    <row r="419" spans="1:27" ht="22.5" customHeight="1" x14ac:dyDescent="0.8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c r="AA419" s="3"/>
    </row>
    <row r="420" spans="1:27" ht="22.5" customHeight="1" x14ac:dyDescent="0.8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c r="AA420" s="3"/>
    </row>
    <row r="421" spans="1:27" ht="22.5" customHeight="1" x14ac:dyDescent="0.8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c r="AA421" s="3"/>
    </row>
    <row r="422" spans="1:27" ht="22.5" customHeight="1" x14ac:dyDescent="0.8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c r="AA422" s="3"/>
    </row>
    <row r="423" spans="1:27" ht="22.5" customHeight="1" x14ac:dyDescent="0.8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c r="AA423" s="3"/>
    </row>
    <row r="424" spans="1:27" ht="22.5" customHeight="1" x14ac:dyDescent="0.8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c r="AA424" s="3"/>
    </row>
    <row r="425" spans="1:27" ht="22.5" customHeight="1" x14ac:dyDescent="0.8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c r="AA425" s="3"/>
    </row>
    <row r="426" spans="1:27" ht="22.5" customHeight="1" x14ac:dyDescent="0.8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c r="AA426" s="3"/>
    </row>
    <row r="427" spans="1:27" ht="22.5" customHeight="1" x14ac:dyDescent="0.8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c r="AA427" s="3"/>
    </row>
    <row r="428" spans="1:27" ht="22.5" customHeight="1" x14ac:dyDescent="0.8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c r="AA428" s="3"/>
    </row>
    <row r="429" spans="1:27" ht="22.5" customHeight="1" x14ac:dyDescent="0.8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c r="AA429" s="3"/>
    </row>
    <row r="430" spans="1:27" ht="22.5" customHeight="1" x14ac:dyDescent="0.8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c r="AA430" s="3"/>
    </row>
    <row r="431" spans="1:27" ht="22.5" customHeight="1" x14ac:dyDescent="0.8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c r="AA431" s="3"/>
    </row>
    <row r="432" spans="1:27" ht="22.5" customHeight="1" x14ac:dyDescent="0.8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c r="AA432" s="3"/>
    </row>
    <row r="433" spans="1:27" ht="22.5" customHeight="1" x14ac:dyDescent="0.8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c r="AA433" s="3"/>
    </row>
    <row r="434" spans="1:27" ht="22.5" customHeight="1" x14ac:dyDescent="0.8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c r="AA434" s="3"/>
    </row>
    <row r="435" spans="1:27" ht="22.5" customHeight="1" x14ac:dyDescent="0.8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c r="AA435" s="3"/>
    </row>
    <row r="436" spans="1:27" ht="22.5" customHeight="1" x14ac:dyDescent="0.8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c r="AA436" s="3"/>
    </row>
    <row r="437" spans="1:27" ht="22.5" customHeight="1" x14ac:dyDescent="0.8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c r="AA437" s="3"/>
    </row>
    <row r="438" spans="1:27" ht="22.5" customHeight="1" x14ac:dyDescent="0.8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c r="AA438" s="3"/>
    </row>
    <row r="439" spans="1:27" ht="22.5" customHeight="1" x14ac:dyDescent="0.8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c r="AA439" s="3"/>
    </row>
    <row r="440" spans="1:27" ht="22.5" customHeight="1" x14ac:dyDescent="0.8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c r="AA440" s="3"/>
    </row>
    <row r="441" spans="1:27" ht="22.5" customHeight="1" x14ac:dyDescent="0.8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c r="AA441" s="3"/>
    </row>
    <row r="442" spans="1:27" ht="22.5" customHeight="1" x14ac:dyDescent="0.8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c r="AA442" s="3"/>
    </row>
    <row r="443" spans="1:27" ht="22.5" customHeight="1" x14ac:dyDescent="0.8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c r="AA443" s="3"/>
    </row>
    <row r="444" spans="1:27" ht="22.5" customHeight="1" x14ac:dyDescent="0.8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c r="AA444" s="3"/>
    </row>
    <row r="445" spans="1:27" ht="22.5" customHeight="1" x14ac:dyDescent="0.8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c r="AA445" s="3"/>
    </row>
    <row r="446" spans="1:27" ht="22.5" customHeight="1" x14ac:dyDescent="0.8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c r="AA446" s="3"/>
    </row>
    <row r="447" spans="1:27" ht="22.5" customHeight="1" x14ac:dyDescent="0.8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c r="AA447" s="3"/>
    </row>
    <row r="448" spans="1:27" ht="22.5" customHeight="1" x14ac:dyDescent="0.8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c r="AA448" s="3"/>
    </row>
    <row r="449" spans="1:27" ht="22.5" customHeight="1" x14ac:dyDescent="0.8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c r="AA449" s="3"/>
    </row>
    <row r="450" spans="1:27" ht="22.5" customHeight="1" x14ac:dyDescent="0.8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c r="AA450" s="3"/>
    </row>
    <row r="451" spans="1:27" ht="22.5" customHeight="1" x14ac:dyDescent="0.8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c r="AA451" s="3"/>
    </row>
    <row r="452" spans="1:27" ht="22.5" customHeight="1" x14ac:dyDescent="0.8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c r="AA452" s="3"/>
    </row>
    <row r="453" spans="1:27" ht="22.5" customHeight="1" x14ac:dyDescent="0.8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c r="AA453" s="3"/>
    </row>
    <row r="454" spans="1:27" ht="22.5" customHeight="1" x14ac:dyDescent="0.8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c r="AA454" s="3"/>
    </row>
    <row r="455" spans="1:27" ht="22.5" customHeight="1" x14ac:dyDescent="0.8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c r="AA455" s="3"/>
    </row>
    <row r="456" spans="1:27" ht="22.5" customHeight="1" x14ac:dyDescent="0.8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c r="AA456" s="3"/>
    </row>
    <row r="457" spans="1:27" ht="22.5" customHeight="1" x14ac:dyDescent="0.8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c r="AA457" s="3"/>
    </row>
    <row r="458" spans="1:27" ht="22.5" customHeight="1" x14ac:dyDescent="0.8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c r="AA458" s="3"/>
    </row>
    <row r="459" spans="1:27" ht="22.5" customHeight="1" x14ac:dyDescent="0.8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c r="AA459" s="3"/>
    </row>
    <row r="460" spans="1:27" ht="22.5" customHeight="1" x14ac:dyDescent="0.8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c r="AA460" s="3"/>
    </row>
    <row r="461" spans="1:27" ht="22.5" customHeight="1" x14ac:dyDescent="0.8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c r="AA461" s="3"/>
    </row>
    <row r="462" spans="1:27" ht="22.5" customHeight="1" x14ac:dyDescent="0.8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c r="AA462" s="3"/>
    </row>
    <row r="463" spans="1:27" ht="22.5" customHeight="1" x14ac:dyDescent="0.8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c r="AA463" s="3"/>
    </row>
    <row r="464" spans="1:27" ht="22.5" customHeight="1" x14ac:dyDescent="0.8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c r="AA464" s="3"/>
    </row>
    <row r="465" spans="1:27" ht="22.5" customHeight="1" x14ac:dyDescent="0.8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c r="AA465" s="3"/>
    </row>
    <row r="466" spans="1:27" ht="22.5" customHeight="1" x14ac:dyDescent="0.8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c r="AA466" s="3"/>
    </row>
    <row r="467" spans="1:27" ht="22.5" customHeight="1" x14ac:dyDescent="0.8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c r="AA467" s="3"/>
    </row>
    <row r="468" spans="1:27" ht="22.5" customHeight="1" x14ac:dyDescent="0.8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c r="AA468" s="3"/>
    </row>
    <row r="469" spans="1:27" ht="22.5" customHeight="1" x14ac:dyDescent="0.8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c r="AA469" s="3"/>
    </row>
    <row r="470" spans="1:27" ht="22.5" customHeight="1" x14ac:dyDescent="0.8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c r="AA470" s="3"/>
    </row>
    <row r="471" spans="1:27" ht="22.5" customHeight="1" x14ac:dyDescent="0.8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c r="AA471" s="3"/>
    </row>
    <row r="472" spans="1:27" ht="22.5" customHeight="1" x14ac:dyDescent="0.8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c r="AA472" s="3"/>
    </row>
    <row r="473" spans="1:27" ht="22.5" customHeight="1" x14ac:dyDescent="0.8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c r="AA473" s="3"/>
    </row>
    <row r="474" spans="1:27" ht="22.5" customHeight="1" x14ac:dyDescent="0.8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c r="AA474" s="3"/>
    </row>
    <row r="475" spans="1:27" ht="22.5" customHeight="1" x14ac:dyDescent="0.8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c r="AA475" s="3"/>
    </row>
    <row r="476" spans="1:27" ht="22.5" customHeight="1" x14ac:dyDescent="0.8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c r="AA476" s="3"/>
    </row>
    <row r="477" spans="1:27" ht="22.5" customHeight="1" x14ac:dyDescent="0.8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c r="AA477" s="3"/>
    </row>
    <row r="478" spans="1:27" ht="22.5" customHeight="1" x14ac:dyDescent="0.8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c r="AA478" s="3"/>
    </row>
    <row r="479" spans="1:27" ht="22.5" customHeight="1" x14ac:dyDescent="0.8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c r="AA479" s="3"/>
    </row>
    <row r="480" spans="1:27" ht="22.5" customHeight="1" x14ac:dyDescent="0.8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c r="AA480" s="3"/>
    </row>
    <row r="481" spans="1:27" ht="22.5" customHeight="1" x14ac:dyDescent="0.8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c r="AA481" s="3"/>
    </row>
    <row r="482" spans="1:27" ht="22.5" customHeight="1" x14ac:dyDescent="0.8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c r="AA482" s="3"/>
    </row>
    <row r="483" spans="1:27" ht="22.5" customHeight="1" x14ac:dyDescent="0.8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c r="AA483" s="3"/>
    </row>
    <row r="484" spans="1:27" ht="22.5" customHeight="1" x14ac:dyDescent="0.8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c r="AA484" s="3"/>
    </row>
    <row r="485" spans="1:27" ht="22.5" customHeight="1" x14ac:dyDescent="0.8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c r="AA485" s="3"/>
    </row>
    <row r="486" spans="1:27" ht="22.5" customHeight="1" x14ac:dyDescent="0.8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c r="AA486" s="3"/>
    </row>
    <row r="487" spans="1:27" ht="22.5" customHeight="1" x14ac:dyDescent="0.8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c r="AA487" s="3"/>
    </row>
    <row r="488" spans="1:27" ht="22.5" customHeight="1" x14ac:dyDescent="0.8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c r="AA488" s="3"/>
    </row>
    <row r="489" spans="1:27" ht="22.5" customHeight="1" x14ac:dyDescent="0.8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c r="AA489" s="3"/>
    </row>
    <row r="490" spans="1:27" ht="22.5" customHeight="1" x14ac:dyDescent="0.8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c r="AA490" s="3"/>
    </row>
    <row r="491" spans="1:27" ht="22.5" customHeight="1" x14ac:dyDescent="0.8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c r="AA491" s="3"/>
    </row>
    <row r="492" spans="1:27" ht="22.5" customHeight="1" x14ac:dyDescent="0.8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c r="AA492" s="3"/>
    </row>
    <row r="493" spans="1:27" ht="22.5" customHeight="1" x14ac:dyDescent="0.8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c r="AA493" s="3"/>
    </row>
    <row r="494" spans="1:27" ht="22.5" customHeight="1" x14ac:dyDescent="0.8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c r="AA494" s="3"/>
    </row>
    <row r="495" spans="1:27" ht="22.5" customHeight="1" x14ac:dyDescent="0.8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c r="AA495" s="3"/>
    </row>
    <row r="496" spans="1:27" ht="22.5" customHeight="1" x14ac:dyDescent="0.8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c r="AA496" s="3"/>
    </row>
    <row r="497" spans="1:27" ht="22.5" customHeight="1" x14ac:dyDescent="0.8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c r="AA497" s="3"/>
    </row>
    <row r="498" spans="1:27" ht="22.5" customHeight="1" x14ac:dyDescent="0.8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c r="AA498" s="3"/>
    </row>
    <row r="499" spans="1:27" ht="22.5" customHeight="1" x14ac:dyDescent="0.8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c r="AA499" s="3"/>
    </row>
    <row r="500" spans="1:27" ht="22.5" customHeight="1" x14ac:dyDescent="0.8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c r="AA500" s="3"/>
    </row>
    <row r="501" spans="1:27" ht="22.5" customHeight="1" x14ac:dyDescent="0.8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c r="AA501" s="3"/>
    </row>
    <row r="502" spans="1:27" ht="22.5" customHeight="1" x14ac:dyDescent="0.8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c r="AA502" s="3"/>
    </row>
    <row r="503" spans="1:27" ht="22.5" customHeight="1" x14ac:dyDescent="0.8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c r="AA503" s="3"/>
    </row>
    <row r="504" spans="1:27" ht="22.5" customHeight="1" x14ac:dyDescent="0.8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c r="AA504" s="3"/>
    </row>
    <row r="505" spans="1:27" ht="22.5" customHeight="1" x14ac:dyDescent="0.8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c r="AA505" s="3"/>
    </row>
    <row r="506" spans="1:27" ht="22.5" customHeight="1" x14ac:dyDescent="0.8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c r="AA506" s="3"/>
    </row>
    <row r="507" spans="1:27" ht="22.5" customHeight="1" x14ac:dyDescent="0.8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c r="AA507" s="3"/>
    </row>
    <row r="508" spans="1:27" ht="22.5" customHeight="1" x14ac:dyDescent="0.8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c r="AA508" s="3"/>
    </row>
    <row r="509" spans="1:27" ht="22.5" customHeight="1" x14ac:dyDescent="0.8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c r="AA509" s="3"/>
    </row>
    <row r="510" spans="1:27" ht="22.5" customHeight="1" x14ac:dyDescent="0.8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c r="AA510" s="3"/>
    </row>
    <row r="511" spans="1:27" ht="22.5" customHeight="1" x14ac:dyDescent="0.8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c r="AA511" s="3"/>
    </row>
    <row r="512" spans="1:27" ht="22.5" customHeight="1" x14ac:dyDescent="0.8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c r="AA512" s="3"/>
    </row>
    <row r="513" spans="1:27" ht="22.5" customHeight="1" x14ac:dyDescent="0.8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c r="AA513" s="3"/>
    </row>
    <row r="514" spans="1:27" ht="22.5" customHeight="1" x14ac:dyDescent="0.8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c r="AA514" s="3"/>
    </row>
    <row r="515" spans="1:27" ht="22.5" customHeight="1" x14ac:dyDescent="0.8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c r="AA515" s="3"/>
    </row>
    <row r="516" spans="1:27" ht="22.5" customHeight="1" x14ac:dyDescent="0.8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c r="AA516" s="3"/>
    </row>
    <row r="517" spans="1:27" ht="22.5" customHeight="1" x14ac:dyDescent="0.8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c r="AA517" s="3"/>
    </row>
    <row r="518" spans="1:27" ht="22.5" customHeight="1" x14ac:dyDescent="0.8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c r="AA518" s="3"/>
    </row>
    <row r="519" spans="1:27" ht="22.5" customHeight="1" x14ac:dyDescent="0.8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c r="AA519" s="3"/>
    </row>
    <row r="520" spans="1:27" ht="22.5" customHeight="1" x14ac:dyDescent="0.8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c r="AA520" s="3"/>
    </row>
    <row r="521" spans="1:27" ht="22.5" customHeight="1" x14ac:dyDescent="0.8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c r="AA521" s="3"/>
    </row>
    <row r="522" spans="1:27" ht="22.5" customHeight="1" x14ac:dyDescent="0.8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c r="AA522" s="3"/>
    </row>
    <row r="523" spans="1:27" ht="22.5" customHeight="1" x14ac:dyDescent="0.8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c r="AA523" s="3"/>
    </row>
    <row r="524" spans="1:27" ht="22.5" customHeight="1" x14ac:dyDescent="0.8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c r="AA524" s="3"/>
    </row>
    <row r="525" spans="1:27" ht="22.5" customHeight="1" x14ac:dyDescent="0.8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c r="AA525" s="3"/>
    </row>
    <row r="526" spans="1:27" ht="22.5" customHeight="1" x14ac:dyDescent="0.8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c r="AA526" s="3"/>
    </row>
    <row r="527" spans="1:27" ht="22.5" customHeight="1" x14ac:dyDescent="0.8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c r="AA527" s="3"/>
    </row>
    <row r="528" spans="1:27" ht="22.5" customHeight="1" x14ac:dyDescent="0.8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c r="AA528" s="3"/>
    </row>
    <row r="529" spans="1:27" ht="22.5" customHeight="1" x14ac:dyDescent="0.8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c r="AA529" s="3"/>
    </row>
    <row r="530" spans="1:27" ht="22.5" customHeight="1" x14ac:dyDescent="0.8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c r="AA530" s="3"/>
    </row>
    <row r="531" spans="1:27" ht="22.5" customHeight="1" x14ac:dyDescent="0.8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c r="AA531" s="3"/>
    </row>
    <row r="532" spans="1:27" ht="22.5" customHeight="1" x14ac:dyDescent="0.8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c r="AA532" s="3"/>
    </row>
    <row r="533" spans="1:27" ht="22.5" customHeight="1" x14ac:dyDescent="0.8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c r="AA533" s="3"/>
    </row>
    <row r="534" spans="1:27" ht="22.5" customHeight="1" x14ac:dyDescent="0.8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c r="AA534" s="3"/>
    </row>
    <row r="535" spans="1:27" ht="22.5" customHeight="1" x14ac:dyDescent="0.8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c r="AA535" s="3"/>
    </row>
    <row r="536" spans="1:27" ht="22.5" customHeight="1" x14ac:dyDescent="0.8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c r="AA536" s="3"/>
    </row>
    <row r="537" spans="1:27" ht="22.5" customHeight="1" x14ac:dyDescent="0.8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c r="AA537" s="3"/>
    </row>
    <row r="538" spans="1:27" ht="22.5" customHeight="1" x14ac:dyDescent="0.8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c r="AA538" s="3"/>
    </row>
    <row r="539" spans="1:27" ht="22.5" customHeight="1" x14ac:dyDescent="0.8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c r="AA539" s="3"/>
    </row>
    <row r="540" spans="1:27" ht="22.5" customHeight="1" x14ac:dyDescent="0.8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c r="AA540" s="3"/>
    </row>
    <row r="541" spans="1:27" ht="22.5" customHeight="1" x14ac:dyDescent="0.8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c r="AA541" s="3"/>
    </row>
    <row r="542" spans="1:27" ht="22.5" customHeight="1" x14ac:dyDescent="0.8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c r="AA542" s="3"/>
    </row>
    <row r="543" spans="1:27" ht="22.5" customHeight="1" x14ac:dyDescent="0.8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c r="AA543" s="3"/>
    </row>
    <row r="544" spans="1:27" ht="22.5" customHeight="1" x14ac:dyDescent="0.8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c r="AA544" s="3"/>
    </row>
    <row r="545" spans="1:27" ht="22.5" customHeight="1" x14ac:dyDescent="0.8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c r="AA545" s="3"/>
    </row>
    <row r="546" spans="1:27" ht="22.5" customHeight="1" x14ac:dyDescent="0.8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c r="AA546" s="3"/>
    </row>
    <row r="547" spans="1:27" ht="22.5" customHeight="1" x14ac:dyDescent="0.8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c r="AA547" s="3"/>
    </row>
    <row r="548" spans="1:27" ht="22.5" customHeight="1" x14ac:dyDescent="0.8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c r="AA548" s="3"/>
    </row>
    <row r="549" spans="1:27" ht="22.5" customHeight="1" x14ac:dyDescent="0.8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c r="AA549" s="3"/>
    </row>
    <row r="550" spans="1:27" ht="22.5" customHeight="1" x14ac:dyDescent="0.8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c r="AA550" s="3"/>
    </row>
    <row r="551" spans="1:27" ht="22.5" customHeight="1" x14ac:dyDescent="0.8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c r="AA551" s="3"/>
    </row>
    <row r="552" spans="1:27" ht="22.5" customHeight="1" x14ac:dyDescent="0.8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c r="AA552" s="3"/>
    </row>
    <row r="553" spans="1:27" ht="22.5" customHeight="1" x14ac:dyDescent="0.8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c r="AA553" s="3"/>
    </row>
    <row r="554" spans="1:27" ht="22.5" customHeight="1" x14ac:dyDescent="0.8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c r="AA554" s="3"/>
    </row>
    <row r="555" spans="1:27" ht="22.5" customHeight="1" x14ac:dyDescent="0.8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c r="AA555" s="3"/>
    </row>
    <row r="556" spans="1:27" ht="22.5" customHeight="1" x14ac:dyDescent="0.8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c r="AA556" s="3"/>
    </row>
    <row r="557" spans="1:27" ht="22.5" customHeight="1" x14ac:dyDescent="0.8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c r="AA557" s="3"/>
    </row>
    <row r="558" spans="1:27" ht="22.5" customHeight="1" x14ac:dyDescent="0.8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c r="AA558" s="3"/>
    </row>
    <row r="559" spans="1:27" ht="22.5" customHeight="1" x14ac:dyDescent="0.8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c r="AA559" s="3"/>
    </row>
    <row r="560" spans="1:27" ht="22.5" customHeight="1" x14ac:dyDescent="0.8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c r="AA560" s="3"/>
    </row>
    <row r="561" spans="1:27" ht="22.5" customHeight="1" x14ac:dyDescent="0.8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c r="AA561" s="3"/>
    </row>
    <row r="562" spans="1:27" ht="22.5" customHeight="1" x14ac:dyDescent="0.8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c r="AA562" s="3"/>
    </row>
    <row r="563" spans="1:27" ht="22.5" customHeight="1" x14ac:dyDescent="0.8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c r="AA563" s="3"/>
    </row>
    <row r="564" spans="1:27" ht="22.5" customHeight="1" x14ac:dyDescent="0.8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c r="AA564" s="3"/>
    </row>
    <row r="565" spans="1:27" ht="22.5" customHeight="1" x14ac:dyDescent="0.8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c r="AA565" s="3"/>
    </row>
    <row r="566" spans="1:27" ht="22.5" customHeight="1" x14ac:dyDescent="0.8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c r="AA566" s="3"/>
    </row>
    <row r="567" spans="1:27" ht="22.5" customHeight="1" x14ac:dyDescent="0.8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c r="AA567" s="3"/>
    </row>
    <row r="568" spans="1:27" ht="22.5" customHeight="1" x14ac:dyDescent="0.8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c r="AA568" s="3"/>
    </row>
    <row r="569" spans="1:27" ht="22.5" customHeight="1" x14ac:dyDescent="0.8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c r="AA569" s="3"/>
    </row>
    <row r="570" spans="1:27" ht="22.5" customHeight="1" x14ac:dyDescent="0.8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c r="AA570" s="3"/>
    </row>
    <row r="571" spans="1:27" ht="22.5" customHeight="1" x14ac:dyDescent="0.8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c r="AA571" s="3"/>
    </row>
    <row r="572" spans="1:27" ht="22.5" customHeight="1" x14ac:dyDescent="0.8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c r="AA572" s="3"/>
    </row>
    <row r="573" spans="1:27" ht="22.5" customHeight="1" x14ac:dyDescent="0.8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c r="AA573" s="3"/>
    </row>
    <row r="574" spans="1:27" ht="22.5" customHeight="1" x14ac:dyDescent="0.8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c r="AA574" s="3"/>
    </row>
    <row r="575" spans="1:27" ht="22.5" customHeight="1" x14ac:dyDescent="0.8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c r="AA575" s="3"/>
    </row>
    <row r="576" spans="1:27" ht="22.5" customHeight="1" x14ac:dyDescent="0.8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c r="AA576" s="3"/>
    </row>
    <row r="577" spans="1:27" ht="22.5" customHeight="1" x14ac:dyDescent="0.8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c r="AA577" s="3"/>
    </row>
    <row r="578" spans="1:27" ht="22.5" customHeight="1" x14ac:dyDescent="0.8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c r="AA578" s="3"/>
    </row>
    <row r="579" spans="1:27" ht="22.5" customHeight="1" x14ac:dyDescent="0.8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c r="AA579" s="3"/>
    </row>
    <row r="580" spans="1:27" ht="22.5" customHeight="1" x14ac:dyDescent="0.8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c r="AA580" s="3"/>
    </row>
    <row r="581" spans="1:27" ht="22.5" customHeight="1" x14ac:dyDescent="0.8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c r="AA581" s="3"/>
    </row>
    <row r="582" spans="1:27" ht="22.5" customHeight="1" x14ac:dyDescent="0.8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c r="AA582" s="3"/>
    </row>
    <row r="583" spans="1:27" ht="22.5" customHeight="1" x14ac:dyDescent="0.8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c r="AA583" s="3"/>
    </row>
    <row r="584" spans="1:27" ht="22.5" customHeight="1" x14ac:dyDescent="0.8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c r="AA584" s="3"/>
    </row>
    <row r="585" spans="1:27" ht="22.5" customHeight="1" x14ac:dyDescent="0.8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c r="AA585" s="3"/>
    </row>
    <row r="586" spans="1:27" ht="22.5" customHeight="1" x14ac:dyDescent="0.8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c r="AA586" s="3"/>
    </row>
    <row r="587" spans="1:27" ht="22.5" customHeight="1" x14ac:dyDescent="0.8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c r="AA587" s="3"/>
    </row>
    <row r="588" spans="1:27" ht="22.5" customHeight="1" x14ac:dyDescent="0.8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c r="AA588" s="3"/>
    </row>
    <row r="589" spans="1:27" ht="22.5" customHeight="1" x14ac:dyDescent="0.8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c r="AA589" s="3"/>
    </row>
    <row r="590" spans="1:27" ht="22.5" customHeight="1" x14ac:dyDescent="0.8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c r="AA590" s="3"/>
    </row>
    <row r="591" spans="1:27" ht="22.5" customHeight="1" x14ac:dyDescent="0.8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c r="AA591" s="3"/>
    </row>
    <row r="592" spans="1:27" ht="22.5" customHeight="1" x14ac:dyDescent="0.8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c r="AA592" s="3"/>
    </row>
    <row r="593" spans="1:27" ht="22.5" customHeight="1" x14ac:dyDescent="0.8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c r="AA593" s="3"/>
    </row>
    <row r="594" spans="1:27" ht="22.5" customHeight="1" x14ac:dyDescent="0.8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c r="AA594" s="3"/>
    </row>
    <row r="595" spans="1:27" ht="22.5" customHeight="1" x14ac:dyDescent="0.8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c r="AA595" s="3"/>
    </row>
    <row r="596" spans="1:27" ht="22.5" customHeight="1" x14ac:dyDescent="0.8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c r="AA596" s="3"/>
    </row>
    <row r="597" spans="1:27" ht="22.5" customHeight="1" x14ac:dyDescent="0.8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c r="AA597" s="3"/>
    </row>
    <row r="598" spans="1:27" ht="22.5" customHeight="1" x14ac:dyDescent="0.8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c r="AA598" s="3"/>
    </row>
    <row r="599" spans="1:27" ht="22.5" customHeight="1" x14ac:dyDescent="0.8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c r="AA599" s="3"/>
    </row>
    <row r="600" spans="1:27" ht="22.5" customHeight="1" x14ac:dyDescent="0.8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c r="AA600" s="3"/>
    </row>
    <row r="601" spans="1:27" ht="22.5" customHeight="1" x14ac:dyDescent="0.8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c r="AA601" s="3"/>
    </row>
    <row r="602" spans="1:27" ht="22.5" customHeight="1" x14ac:dyDescent="0.8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c r="AA602" s="3"/>
    </row>
    <row r="603" spans="1:27" ht="22.5" customHeight="1" x14ac:dyDescent="0.8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c r="AA603" s="3"/>
    </row>
    <row r="604" spans="1:27" ht="22.5" customHeight="1" x14ac:dyDescent="0.8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c r="AA604" s="3"/>
    </row>
    <row r="605" spans="1:27" ht="22.5" customHeight="1" x14ac:dyDescent="0.8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c r="AA605" s="3"/>
    </row>
    <row r="606" spans="1:27" ht="22.5" customHeight="1" x14ac:dyDescent="0.8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c r="AA606" s="3"/>
    </row>
    <row r="607" spans="1:27" ht="22.5" customHeight="1" x14ac:dyDescent="0.8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c r="AA607" s="3"/>
    </row>
    <row r="608" spans="1:27" ht="22.5" customHeight="1" x14ac:dyDescent="0.8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c r="AA608" s="3"/>
    </row>
    <row r="609" spans="1:27" ht="22.5" customHeight="1" x14ac:dyDescent="0.8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c r="AA609" s="3"/>
    </row>
    <row r="610" spans="1:27" ht="22.5" customHeight="1" x14ac:dyDescent="0.8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c r="AA610" s="3"/>
    </row>
    <row r="611" spans="1:27" ht="22.5" customHeight="1" x14ac:dyDescent="0.8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c r="AA611" s="3"/>
    </row>
    <row r="612" spans="1:27" ht="22.5" customHeight="1" x14ac:dyDescent="0.8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c r="AA612" s="3"/>
    </row>
    <row r="613" spans="1:27" ht="22.5" customHeight="1" x14ac:dyDescent="0.8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c r="AA613" s="3"/>
    </row>
    <row r="614" spans="1:27" ht="22.5" customHeight="1" x14ac:dyDescent="0.8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c r="AA614" s="3"/>
    </row>
    <row r="615" spans="1:27" ht="22.5" customHeight="1" x14ac:dyDescent="0.8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c r="AA615" s="3"/>
    </row>
    <row r="616" spans="1:27" ht="22.5" customHeight="1" x14ac:dyDescent="0.8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c r="AA616" s="3"/>
    </row>
    <row r="617" spans="1:27" ht="22.5" customHeight="1" x14ac:dyDescent="0.8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c r="AA617" s="3"/>
    </row>
    <row r="618" spans="1:27" ht="22.5" customHeight="1" x14ac:dyDescent="0.8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c r="AA618" s="3"/>
    </row>
    <row r="619" spans="1:27" ht="22.5" customHeight="1" x14ac:dyDescent="0.8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c r="AA619" s="3"/>
    </row>
    <row r="620" spans="1:27" ht="22.5" customHeight="1" x14ac:dyDescent="0.8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c r="AA620" s="3"/>
    </row>
    <row r="621" spans="1:27" ht="22.5" customHeight="1" x14ac:dyDescent="0.8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c r="AA621" s="3"/>
    </row>
    <row r="622" spans="1:27" ht="22.5" customHeight="1" x14ac:dyDescent="0.8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c r="AA622" s="3"/>
    </row>
    <row r="623" spans="1:27" ht="22.5" customHeight="1" x14ac:dyDescent="0.8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c r="AA623" s="3"/>
    </row>
    <row r="624" spans="1:27" ht="22.5" customHeight="1" x14ac:dyDescent="0.8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c r="AA624" s="3"/>
    </row>
    <row r="625" spans="1:27" ht="22.5" customHeight="1" x14ac:dyDescent="0.8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c r="AA625" s="3"/>
    </row>
    <row r="626" spans="1:27" ht="22.5" customHeight="1" x14ac:dyDescent="0.8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c r="AA626" s="3"/>
    </row>
    <row r="627" spans="1:27" ht="22.5" customHeight="1" x14ac:dyDescent="0.8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c r="AA627" s="3"/>
    </row>
    <row r="628" spans="1:27" ht="22.5" customHeight="1" x14ac:dyDescent="0.8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c r="AA628" s="3"/>
    </row>
    <row r="629" spans="1:27" ht="22.5" customHeight="1" x14ac:dyDescent="0.8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c r="AA629" s="3"/>
    </row>
    <row r="630" spans="1:27" ht="22.5" customHeight="1" x14ac:dyDescent="0.8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c r="AA630" s="3"/>
    </row>
    <row r="631" spans="1:27" ht="22.5" customHeight="1" x14ac:dyDescent="0.8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c r="AA631" s="3"/>
    </row>
    <row r="632" spans="1:27" ht="22.5" customHeight="1" x14ac:dyDescent="0.8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c r="AA632" s="3"/>
    </row>
    <row r="633" spans="1:27" ht="22.5" customHeight="1" x14ac:dyDescent="0.8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c r="AA633" s="3"/>
    </row>
    <row r="634" spans="1:27" ht="22.5" customHeight="1" x14ac:dyDescent="0.8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c r="AA634" s="3"/>
    </row>
    <row r="635" spans="1:27" ht="22.5" customHeight="1" x14ac:dyDescent="0.8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c r="AA635" s="3"/>
    </row>
    <row r="636" spans="1:27" ht="22.5" customHeight="1" x14ac:dyDescent="0.8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c r="AA636" s="3"/>
    </row>
    <row r="637" spans="1:27" ht="22.5" customHeight="1" x14ac:dyDescent="0.8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c r="AA637" s="3"/>
    </row>
    <row r="638" spans="1:27" ht="22.5" customHeight="1" x14ac:dyDescent="0.8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c r="AA638" s="3"/>
    </row>
    <row r="639" spans="1:27" ht="22.5" customHeight="1" x14ac:dyDescent="0.8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c r="AA639" s="3"/>
    </row>
    <row r="640" spans="1:27" ht="22.5" customHeight="1" x14ac:dyDescent="0.8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c r="AA640" s="3"/>
    </row>
    <row r="641" spans="1:27" ht="22.5" customHeight="1" x14ac:dyDescent="0.8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c r="AA641" s="3"/>
    </row>
    <row r="642" spans="1:27" ht="22.5" customHeight="1" x14ac:dyDescent="0.8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c r="AA642" s="3"/>
    </row>
    <row r="643" spans="1:27" ht="22.5" customHeight="1" x14ac:dyDescent="0.8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c r="AA643" s="3"/>
    </row>
    <row r="644" spans="1:27" ht="22.5" customHeight="1" x14ac:dyDescent="0.8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c r="AA644" s="3"/>
    </row>
    <row r="645" spans="1:27" ht="22.5" customHeight="1" x14ac:dyDescent="0.8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c r="AA645" s="3"/>
    </row>
    <row r="646" spans="1:27" ht="22.5" customHeight="1" x14ac:dyDescent="0.8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c r="AA646" s="3"/>
    </row>
    <row r="647" spans="1:27" ht="22.5" customHeight="1" x14ac:dyDescent="0.8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c r="AA647" s="3"/>
    </row>
    <row r="648" spans="1:27" ht="22.5" customHeight="1" x14ac:dyDescent="0.8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c r="AA648" s="3"/>
    </row>
    <row r="649" spans="1:27" ht="22.5" customHeight="1" x14ac:dyDescent="0.8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c r="AA649" s="3"/>
    </row>
    <row r="650" spans="1:27" ht="22.5" customHeight="1" x14ac:dyDescent="0.8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c r="AA650" s="3"/>
    </row>
    <row r="651" spans="1:27" ht="22.5" customHeight="1" x14ac:dyDescent="0.8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c r="AA651" s="3"/>
    </row>
    <row r="652" spans="1:27" ht="22.5" customHeight="1" x14ac:dyDescent="0.8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c r="AA652" s="3"/>
    </row>
    <row r="653" spans="1:27" ht="22.5" customHeight="1" x14ac:dyDescent="0.8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c r="AA653" s="3"/>
    </row>
    <row r="654" spans="1:27" ht="22.5" customHeight="1" x14ac:dyDescent="0.8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c r="AA654" s="3"/>
    </row>
    <row r="655" spans="1:27" ht="22.5" customHeight="1" x14ac:dyDescent="0.8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c r="AA655" s="3"/>
    </row>
    <row r="656" spans="1:27" ht="22.5" customHeight="1" x14ac:dyDescent="0.8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c r="AA656" s="3"/>
    </row>
    <row r="657" spans="1:27" ht="22.5" customHeight="1" x14ac:dyDescent="0.8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c r="AA657" s="3"/>
    </row>
    <row r="658" spans="1:27" ht="22.5" customHeight="1" x14ac:dyDescent="0.8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c r="AA658" s="3"/>
    </row>
    <row r="659" spans="1:27" ht="22.5" customHeight="1" x14ac:dyDescent="0.8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c r="AA659" s="3"/>
    </row>
    <row r="660" spans="1:27" ht="22.5" customHeight="1" x14ac:dyDescent="0.8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c r="AA660" s="3"/>
    </row>
    <row r="661" spans="1:27" ht="22.5" customHeight="1" x14ac:dyDescent="0.8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c r="AA661" s="3"/>
    </row>
    <row r="662" spans="1:27" ht="22.5" customHeight="1" x14ac:dyDescent="0.8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c r="AA662" s="3"/>
    </row>
    <row r="663" spans="1:27" ht="22.5" customHeight="1" x14ac:dyDescent="0.8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c r="AA663" s="3"/>
    </row>
    <row r="664" spans="1:27" ht="22.5" customHeight="1" x14ac:dyDescent="0.8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c r="AA664" s="3"/>
    </row>
    <row r="665" spans="1:27" ht="22.5" customHeight="1" x14ac:dyDescent="0.8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c r="AA665" s="3"/>
    </row>
    <row r="666" spans="1:27" ht="22.5" customHeight="1" x14ac:dyDescent="0.8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c r="AA666" s="3"/>
    </row>
    <row r="667" spans="1:27" ht="22.5" customHeight="1" x14ac:dyDescent="0.8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c r="AA667" s="3"/>
    </row>
    <row r="668" spans="1:27" ht="22.5" customHeight="1" x14ac:dyDescent="0.8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c r="AA668" s="3"/>
    </row>
    <row r="669" spans="1:27" ht="22.5" customHeight="1" x14ac:dyDescent="0.8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c r="AA669" s="3"/>
    </row>
    <row r="670" spans="1:27" ht="22.5" customHeight="1" x14ac:dyDescent="0.8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c r="AA670" s="3"/>
    </row>
    <row r="671" spans="1:27" ht="22.5" customHeight="1" x14ac:dyDescent="0.8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c r="AA671" s="3"/>
    </row>
    <row r="672" spans="1:27" ht="22.5" customHeight="1" x14ac:dyDescent="0.8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c r="AA672" s="3"/>
    </row>
    <row r="673" spans="1:27" ht="22.5" customHeight="1" x14ac:dyDescent="0.8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c r="AA673" s="3"/>
    </row>
    <row r="674" spans="1:27" ht="22.5" customHeight="1" x14ac:dyDescent="0.8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c r="AA674" s="3"/>
    </row>
    <row r="675" spans="1:27" ht="22.5" customHeight="1" x14ac:dyDescent="0.8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c r="AA675" s="3"/>
    </row>
    <row r="676" spans="1:27" ht="22.5" customHeight="1" x14ac:dyDescent="0.8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c r="AA676" s="3"/>
    </row>
    <row r="677" spans="1:27" ht="22.5" customHeight="1" x14ac:dyDescent="0.8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c r="AA677" s="3"/>
    </row>
    <row r="678" spans="1:27" ht="22.5" customHeight="1" x14ac:dyDescent="0.8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c r="AA678" s="3"/>
    </row>
    <row r="679" spans="1:27" ht="22.5" customHeight="1" x14ac:dyDescent="0.8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c r="AA679" s="3"/>
    </row>
    <row r="680" spans="1:27" ht="22.5" customHeight="1" x14ac:dyDescent="0.8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c r="AA680" s="3"/>
    </row>
    <row r="681" spans="1:27" ht="22.5" customHeight="1" x14ac:dyDescent="0.8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c r="AA681" s="3"/>
    </row>
    <row r="682" spans="1:27" ht="22.5" customHeight="1" x14ac:dyDescent="0.8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c r="AA682" s="3"/>
    </row>
    <row r="683" spans="1:27" ht="22.5" customHeight="1" x14ac:dyDescent="0.8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c r="AA683" s="3"/>
    </row>
    <row r="684" spans="1:27" ht="22.5" customHeight="1" x14ac:dyDescent="0.8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c r="AA684" s="3"/>
    </row>
    <row r="685" spans="1:27" ht="22.5" customHeight="1" x14ac:dyDescent="0.8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c r="AA685" s="3"/>
    </row>
    <row r="686" spans="1:27" ht="22.5" customHeight="1" x14ac:dyDescent="0.8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c r="AA686" s="3"/>
    </row>
    <row r="687" spans="1:27" ht="22.5" customHeight="1" x14ac:dyDescent="0.8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c r="AA687" s="3"/>
    </row>
    <row r="688" spans="1:27" ht="22.5" customHeight="1" x14ac:dyDescent="0.8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c r="AA688" s="3"/>
    </row>
    <row r="689" spans="1:27" ht="22.5" customHeight="1" x14ac:dyDescent="0.8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c r="AA689" s="3"/>
    </row>
    <row r="690" spans="1:27" ht="22.5" customHeight="1" x14ac:dyDescent="0.8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c r="AA690" s="3"/>
    </row>
    <row r="691" spans="1:27" ht="22.5" customHeight="1" x14ac:dyDescent="0.8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c r="AA691" s="3"/>
    </row>
    <row r="692" spans="1:27" ht="22.5" customHeight="1" x14ac:dyDescent="0.8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c r="AA692" s="3"/>
    </row>
    <row r="693" spans="1:27" ht="22.5" customHeight="1" x14ac:dyDescent="0.8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c r="AA693" s="3"/>
    </row>
    <row r="694" spans="1:27" ht="22.5" customHeight="1" x14ac:dyDescent="0.8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c r="AA694" s="3"/>
    </row>
    <row r="695" spans="1:27" ht="22.5" customHeight="1" x14ac:dyDescent="0.8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c r="AA695" s="3"/>
    </row>
    <row r="696" spans="1:27" ht="22.5" customHeight="1" x14ac:dyDescent="0.8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c r="AA696" s="3"/>
    </row>
    <row r="697" spans="1:27" ht="22.5" customHeight="1" x14ac:dyDescent="0.8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c r="AA697" s="3"/>
    </row>
    <row r="698" spans="1:27" ht="22.5" customHeight="1" x14ac:dyDescent="0.8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c r="AA698" s="3"/>
    </row>
    <row r="699" spans="1:27" ht="22.5" customHeight="1" x14ac:dyDescent="0.8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c r="AA699" s="3"/>
    </row>
    <row r="700" spans="1:27" ht="22.5" customHeight="1" x14ac:dyDescent="0.8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c r="AA700" s="3"/>
    </row>
    <row r="701" spans="1:27" ht="22.5" customHeight="1" x14ac:dyDescent="0.8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c r="AA701" s="3"/>
    </row>
    <row r="702" spans="1:27" ht="22.5" customHeight="1" x14ac:dyDescent="0.8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c r="AA702" s="3"/>
    </row>
    <row r="703" spans="1:27" ht="22.5" customHeight="1" x14ac:dyDescent="0.8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c r="AA703" s="3"/>
    </row>
    <row r="704" spans="1:27" ht="22.5" customHeight="1" x14ac:dyDescent="0.8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c r="AA704" s="3"/>
    </row>
    <row r="705" spans="1:27" ht="22.5" customHeight="1" x14ac:dyDescent="0.8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c r="AA705" s="3"/>
    </row>
    <row r="706" spans="1:27" ht="22.5" customHeight="1" x14ac:dyDescent="0.8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c r="AA706" s="3"/>
    </row>
    <row r="707" spans="1:27" ht="22.5" customHeight="1" x14ac:dyDescent="0.8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c r="AA707" s="3"/>
    </row>
    <row r="708" spans="1:27" ht="22.5" customHeight="1" x14ac:dyDescent="0.8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c r="AA708" s="3"/>
    </row>
    <row r="709" spans="1:27" ht="22.5" customHeight="1" x14ac:dyDescent="0.8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c r="AA709" s="3"/>
    </row>
    <row r="710" spans="1:27" ht="22.5" customHeight="1" x14ac:dyDescent="0.8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c r="AA710" s="3"/>
    </row>
    <row r="711" spans="1:27" ht="22.5" customHeight="1" x14ac:dyDescent="0.8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c r="AA711" s="3"/>
    </row>
    <row r="712" spans="1:27" ht="22.5" customHeight="1" x14ac:dyDescent="0.8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c r="AA712" s="3"/>
    </row>
    <row r="713" spans="1:27" ht="22.5" customHeight="1" x14ac:dyDescent="0.8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c r="AA713" s="3"/>
    </row>
    <row r="714" spans="1:27" ht="22.5" customHeight="1" x14ac:dyDescent="0.8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c r="AA714" s="3"/>
    </row>
    <row r="715" spans="1:27" ht="22.5" customHeight="1" x14ac:dyDescent="0.8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c r="AA715" s="3"/>
    </row>
    <row r="716" spans="1:27" ht="22.5" customHeight="1" x14ac:dyDescent="0.8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c r="AA716" s="3"/>
    </row>
    <row r="717" spans="1:27" ht="22.5" customHeight="1" x14ac:dyDescent="0.8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c r="AA717" s="3"/>
    </row>
    <row r="718" spans="1:27" ht="22.5" customHeight="1" x14ac:dyDescent="0.8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c r="AA718" s="3"/>
    </row>
    <row r="719" spans="1:27" ht="22.5" customHeight="1" x14ac:dyDescent="0.8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c r="AA719" s="3"/>
    </row>
    <row r="720" spans="1:27" ht="22.5" customHeight="1" x14ac:dyDescent="0.8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c r="AA720" s="3"/>
    </row>
    <row r="721" spans="1:27" ht="22.5" customHeight="1" x14ac:dyDescent="0.8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c r="AA721" s="3"/>
    </row>
    <row r="722" spans="1:27" ht="22.5" customHeight="1" x14ac:dyDescent="0.8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c r="AA722" s="3"/>
    </row>
    <row r="723" spans="1:27" ht="22.5" customHeight="1" x14ac:dyDescent="0.8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c r="AA723" s="3"/>
    </row>
    <row r="724" spans="1:27" ht="22.5" customHeight="1" x14ac:dyDescent="0.8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c r="AA724" s="3"/>
    </row>
    <row r="725" spans="1:27" ht="22.5" customHeight="1" x14ac:dyDescent="0.8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c r="AA725" s="3"/>
    </row>
    <row r="726" spans="1:27" ht="22.5" customHeight="1" x14ac:dyDescent="0.8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c r="AA726" s="3"/>
    </row>
    <row r="727" spans="1:27" ht="22.5" customHeight="1" x14ac:dyDescent="0.8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c r="AA727" s="3"/>
    </row>
    <row r="728" spans="1:27" ht="22.5" customHeight="1" x14ac:dyDescent="0.8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c r="AA728" s="3"/>
    </row>
    <row r="729" spans="1:27" ht="22.5" customHeight="1" x14ac:dyDescent="0.8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c r="AA729" s="3"/>
    </row>
    <row r="730" spans="1:27" ht="22.5" customHeight="1" x14ac:dyDescent="0.8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c r="AA730" s="3"/>
    </row>
    <row r="731" spans="1:27" ht="22.5" customHeight="1" x14ac:dyDescent="0.8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c r="AA731" s="3"/>
    </row>
    <row r="732" spans="1:27" ht="22.5" customHeight="1" x14ac:dyDescent="0.8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c r="AA732" s="3"/>
    </row>
    <row r="733" spans="1:27" ht="22.5" customHeight="1" x14ac:dyDescent="0.8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c r="AA733" s="3"/>
    </row>
    <row r="734" spans="1:27" ht="22.5" customHeight="1" x14ac:dyDescent="0.8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c r="AA734" s="3"/>
    </row>
    <row r="735" spans="1:27" ht="22.5" customHeight="1" x14ac:dyDescent="0.8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c r="AA735" s="3"/>
    </row>
    <row r="736" spans="1:27" ht="22.5" customHeight="1" x14ac:dyDescent="0.8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c r="AA736" s="3"/>
    </row>
    <row r="737" spans="1:27" ht="22.5" customHeight="1" x14ac:dyDescent="0.8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c r="AA737" s="3"/>
    </row>
    <row r="738" spans="1:27" ht="22.5" customHeight="1" x14ac:dyDescent="0.8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c r="AA738" s="3"/>
    </row>
    <row r="739" spans="1:27" ht="22.5" customHeight="1" x14ac:dyDescent="0.8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c r="AA739" s="3"/>
    </row>
    <row r="740" spans="1:27" ht="22.5" customHeight="1" x14ac:dyDescent="0.8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c r="AA740" s="3"/>
    </row>
    <row r="741" spans="1:27" ht="22.5" customHeight="1" x14ac:dyDescent="0.8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c r="AA741" s="3"/>
    </row>
    <row r="742" spans="1:27" ht="22.5" customHeight="1" x14ac:dyDescent="0.8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c r="AA742" s="3"/>
    </row>
    <row r="743" spans="1:27" ht="22.5" customHeight="1" x14ac:dyDescent="0.8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c r="AA743" s="3"/>
    </row>
    <row r="744" spans="1:27" ht="22.5" customHeight="1" x14ac:dyDescent="0.8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c r="AA744" s="3"/>
    </row>
    <row r="745" spans="1:27" ht="22.5" customHeight="1" x14ac:dyDescent="0.8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c r="AA745" s="3"/>
    </row>
    <row r="746" spans="1:27" ht="22.5" customHeight="1" x14ac:dyDescent="0.8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c r="AA746" s="3"/>
    </row>
    <row r="747" spans="1:27" ht="22.5" customHeight="1" x14ac:dyDescent="0.8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c r="AA747" s="3"/>
    </row>
    <row r="748" spans="1:27" ht="22.5" customHeight="1" x14ac:dyDescent="0.8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c r="AA748" s="3"/>
    </row>
    <row r="749" spans="1:27" ht="22.5" customHeight="1" x14ac:dyDescent="0.8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c r="AA749" s="3"/>
    </row>
    <row r="750" spans="1:27" ht="22.5" customHeight="1" x14ac:dyDescent="0.8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c r="AA750" s="3"/>
    </row>
    <row r="751" spans="1:27" ht="22.5" customHeight="1" x14ac:dyDescent="0.8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c r="AA751" s="3"/>
    </row>
    <row r="752" spans="1:27" ht="22.5" customHeight="1" x14ac:dyDescent="0.8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c r="AA752" s="3"/>
    </row>
    <row r="753" spans="1:27" ht="22.5" customHeight="1" x14ac:dyDescent="0.8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c r="AA753" s="3"/>
    </row>
    <row r="754" spans="1:27" ht="22.5" customHeight="1" x14ac:dyDescent="0.8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c r="AA754" s="3"/>
    </row>
    <row r="755" spans="1:27" ht="22.5" customHeight="1" x14ac:dyDescent="0.8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c r="AA755" s="3"/>
    </row>
    <row r="756" spans="1:27" ht="22.5" customHeight="1" x14ac:dyDescent="0.8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c r="AA756" s="3"/>
    </row>
    <row r="757" spans="1:27" ht="22.5" customHeight="1" x14ac:dyDescent="0.8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c r="AA757" s="3"/>
    </row>
    <row r="758" spans="1:27" ht="22.5" customHeight="1" x14ac:dyDescent="0.8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c r="AA758" s="3"/>
    </row>
    <row r="759" spans="1:27" ht="22.5" customHeight="1" x14ac:dyDescent="0.8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c r="AA759" s="3"/>
    </row>
    <row r="760" spans="1:27" ht="22.5" customHeight="1" x14ac:dyDescent="0.8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c r="AA760" s="3"/>
    </row>
    <row r="761" spans="1:27" ht="22.5" customHeight="1" x14ac:dyDescent="0.8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c r="AA761" s="3"/>
    </row>
    <row r="762" spans="1:27" ht="22.5" customHeight="1" x14ac:dyDescent="0.8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c r="AA762" s="3"/>
    </row>
    <row r="763" spans="1:27" ht="22.5" customHeight="1" x14ac:dyDescent="0.8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c r="AA763" s="3"/>
    </row>
    <row r="764" spans="1:27" ht="22.5" customHeight="1" x14ac:dyDescent="0.8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c r="AA764" s="3"/>
    </row>
    <row r="765" spans="1:27" ht="22.5" customHeight="1" x14ac:dyDescent="0.8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c r="AA765" s="3"/>
    </row>
    <row r="766" spans="1:27" ht="22.5" customHeight="1" x14ac:dyDescent="0.8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c r="AA766" s="3"/>
    </row>
    <row r="767" spans="1:27" ht="22.5" customHeight="1" x14ac:dyDescent="0.8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c r="AA767" s="3"/>
    </row>
    <row r="768" spans="1:27" ht="22.5" customHeight="1" x14ac:dyDescent="0.8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c r="AA768" s="3"/>
    </row>
    <row r="769" spans="1:27" ht="22.5" customHeight="1" x14ac:dyDescent="0.8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c r="AA769" s="3"/>
    </row>
    <row r="770" spans="1:27" ht="22.5" customHeight="1" x14ac:dyDescent="0.8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c r="AA770" s="3"/>
    </row>
    <row r="771" spans="1:27" ht="22.5" customHeight="1" x14ac:dyDescent="0.8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c r="AA771" s="3"/>
    </row>
    <row r="772" spans="1:27" ht="22.5" customHeight="1" x14ac:dyDescent="0.8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c r="AA772" s="3"/>
    </row>
    <row r="773" spans="1:27" ht="22.5" customHeight="1" x14ac:dyDescent="0.8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c r="AA773" s="3"/>
    </row>
    <row r="774" spans="1:27" ht="22.5" customHeight="1" x14ac:dyDescent="0.8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c r="AA774" s="3"/>
    </row>
    <row r="775" spans="1:27" ht="22.5" customHeight="1" x14ac:dyDescent="0.8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c r="AA775" s="3"/>
    </row>
    <row r="776" spans="1:27" ht="22.5" customHeight="1" x14ac:dyDescent="0.8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c r="AA776" s="3"/>
    </row>
    <row r="777" spans="1:27" ht="22.5" customHeight="1" x14ac:dyDescent="0.8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c r="AA777" s="3"/>
    </row>
    <row r="778" spans="1:27" ht="22.5" customHeight="1" x14ac:dyDescent="0.8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c r="AA778" s="3"/>
    </row>
    <row r="779" spans="1:27" ht="22.5" customHeight="1" x14ac:dyDescent="0.8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c r="AA779" s="3"/>
    </row>
    <row r="780" spans="1:27" ht="22.5" customHeight="1" x14ac:dyDescent="0.8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c r="AA780" s="3"/>
    </row>
    <row r="781" spans="1:27" ht="22.5" customHeight="1" x14ac:dyDescent="0.8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c r="AA781" s="3"/>
    </row>
    <row r="782" spans="1:27" ht="22.5" customHeight="1" x14ac:dyDescent="0.8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c r="AA782" s="3"/>
    </row>
    <row r="783" spans="1:27" ht="22.5" customHeight="1" x14ac:dyDescent="0.8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c r="AA783" s="3"/>
    </row>
    <row r="784" spans="1:27" ht="22.5" customHeight="1" x14ac:dyDescent="0.8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c r="AA784" s="3"/>
    </row>
    <row r="785" spans="1:27" ht="22.5" customHeight="1" x14ac:dyDescent="0.8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c r="AA785" s="3"/>
    </row>
    <row r="786" spans="1:27" ht="22.5" customHeight="1" x14ac:dyDescent="0.8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c r="AA786" s="3"/>
    </row>
    <row r="787" spans="1:27" ht="22.5" customHeight="1" x14ac:dyDescent="0.8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c r="AA787" s="3"/>
    </row>
    <row r="788" spans="1:27" ht="22.5" customHeight="1" x14ac:dyDescent="0.8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c r="AA788" s="3"/>
    </row>
    <row r="789" spans="1:27" ht="22.5" customHeight="1" x14ac:dyDescent="0.8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c r="AA789" s="3"/>
    </row>
    <row r="790" spans="1:27" ht="22.5" customHeight="1" x14ac:dyDescent="0.8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c r="AA790" s="3"/>
    </row>
    <row r="791" spans="1:27" ht="22.5" customHeight="1" x14ac:dyDescent="0.8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c r="AA791" s="3"/>
    </row>
    <row r="792" spans="1:27" ht="22.5" customHeight="1" x14ac:dyDescent="0.8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c r="AA792" s="3"/>
    </row>
    <row r="793" spans="1:27" ht="22.5" customHeight="1" x14ac:dyDescent="0.8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c r="AA793" s="3"/>
    </row>
    <row r="794" spans="1:27" ht="22.5" customHeight="1" x14ac:dyDescent="0.8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c r="AA794" s="3"/>
    </row>
    <row r="795" spans="1:27" ht="22.5" customHeight="1" x14ac:dyDescent="0.8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c r="AA795" s="3"/>
    </row>
    <row r="796" spans="1:27" ht="22.5" customHeight="1" x14ac:dyDescent="0.8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c r="AA796" s="3"/>
    </row>
    <row r="797" spans="1:27" ht="22.5" customHeight="1" x14ac:dyDescent="0.8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c r="AA797" s="3"/>
    </row>
    <row r="798" spans="1:27" ht="22.5" customHeight="1" x14ac:dyDescent="0.8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c r="AA798" s="3"/>
    </row>
    <row r="799" spans="1:27" ht="22.5" customHeight="1" x14ac:dyDescent="0.8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c r="AA799" s="3"/>
    </row>
    <row r="800" spans="1:27" ht="22.5" customHeight="1" x14ac:dyDescent="0.8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c r="AA800" s="3"/>
    </row>
    <row r="801" spans="1:27" ht="22.5" customHeight="1" x14ac:dyDescent="0.8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c r="AA801" s="3"/>
    </row>
    <row r="802" spans="1:27" ht="22.5" customHeight="1" x14ac:dyDescent="0.8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c r="AA802" s="3"/>
    </row>
    <row r="803" spans="1:27" ht="22.5" customHeight="1" x14ac:dyDescent="0.8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c r="AA803" s="3"/>
    </row>
    <row r="804" spans="1:27" ht="22.5" customHeight="1" x14ac:dyDescent="0.8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c r="AA804" s="3"/>
    </row>
    <row r="805" spans="1:27" ht="22.5" customHeight="1" x14ac:dyDescent="0.8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c r="AA805" s="3"/>
    </row>
    <row r="806" spans="1:27" ht="22.5" customHeight="1" x14ac:dyDescent="0.8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c r="AA806" s="3"/>
    </row>
    <row r="807" spans="1:27" ht="22.5" customHeight="1" x14ac:dyDescent="0.8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c r="AA807" s="3"/>
    </row>
    <row r="808" spans="1:27" ht="22.5" customHeight="1" x14ac:dyDescent="0.8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c r="AA808" s="3"/>
    </row>
    <row r="809" spans="1:27" ht="22.5" customHeight="1" x14ac:dyDescent="0.8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c r="AA809" s="3"/>
    </row>
    <row r="810" spans="1:27" ht="22.5" customHeight="1" x14ac:dyDescent="0.8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c r="AA810" s="3"/>
    </row>
    <row r="811" spans="1:27" ht="22.5" customHeight="1" x14ac:dyDescent="0.8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c r="AA811" s="3"/>
    </row>
    <row r="812" spans="1:27" ht="22.5" customHeight="1" x14ac:dyDescent="0.8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c r="AA812" s="3"/>
    </row>
    <row r="813" spans="1:27" ht="22.5" customHeight="1" x14ac:dyDescent="0.8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c r="AA813" s="3"/>
    </row>
    <row r="814" spans="1:27" ht="22.5" customHeight="1" x14ac:dyDescent="0.8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c r="AA814" s="3"/>
    </row>
    <row r="815" spans="1:27" ht="22.5" customHeight="1" x14ac:dyDescent="0.8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c r="AA815" s="3"/>
    </row>
    <row r="816" spans="1:27" ht="22.5" customHeight="1" x14ac:dyDescent="0.8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c r="AA816" s="3"/>
    </row>
    <row r="817" spans="1:27" ht="22.5" customHeight="1" x14ac:dyDescent="0.8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c r="AA817" s="3"/>
    </row>
    <row r="818" spans="1:27" ht="22.5" customHeight="1" x14ac:dyDescent="0.8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c r="AA818" s="3"/>
    </row>
    <row r="819" spans="1:27" ht="22.5" customHeight="1" x14ac:dyDescent="0.8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c r="AA819" s="3"/>
    </row>
    <row r="820" spans="1:27" ht="22.5" customHeight="1" x14ac:dyDescent="0.8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c r="AA820" s="3"/>
    </row>
    <row r="821" spans="1:27" ht="22.5" customHeight="1" x14ac:dyDescent="0.8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c r="AA821" s="3"/>
    </row>
    <row r="822" spans="1:27" ht="22.5" customHeight="1" x14ac:dyDescent="0.8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c r="AA822" s="3"/>
    </row>
    <row r="823" spans="1:27" ht="22.5" customHeight="1" x14ac:dyDescent="0.8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c r="AA823" s="3"/>
    </row>
    <row r="824" spans="1:27" ht="22.5" customHeight="1" x14ac:dyDescent="0.8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c r="AA824" s="3"/>
    </row>
    <row r="825" spans="1:27" ht="22.5" customHeight="1" x14ac:dyDescent="0.8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c r="AA825" s="3"/>
    </row>
    <row r="826" spans="1:27" ht="22.5" customHeight="1" x14ac:dyDescent="0.8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c r="AA826" s="3"/>
    </row>
    <row r="827" spans="1:27" ht="22.5" customHeight="1" x14ac:dyDescent="0.8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c r="AA827" s="3"/>
    </row>
    <row r="828" spans="1:27" ht="22.5" customHeight="1" x14ac:dyDescent="0.8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c r="AA828" s="3"/>
    </row>
    <row r="829" spans="1:27" ht="22.5" customHeight="1" x14ac:dyDescent="0.8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c r="AA829" s="3"/>
    </row>
    <row r="830" spans="1:27" ht="22.5" customHeight="1" x14ac:dyDescent="0.8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c r="AA830" s="3"/>
    </row>
    <row r="831" spans="1:27" ht="22.5" customHeight="1" x14ac:dyDescent="0.8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c r="AA831" s="3"/>
    </row>
    <row r="832" spans="1:27" ht="22.5" customHeight="1" x14ac:dyDescent="0.8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c r="AA832" s="3"/>
    </row>
    <row r="833" spans="1:27" ht="22.5" customHeight="1" x14ac:dyDescent="0.8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c r="AA833" s="3"/>
    </row>
    <row r="834" spans="1:27" ht="22.5" customHeight="1" x14ac:dyDescent="0.8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c r="AA834" s="3"/>
    </row>
    <row r="835" spans="1:27" ht="22.5" customHeight="1" x14ac:dyDescent="0.8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c r="AA835" s="3"/>
    </row>
    <row r="836" spans="1:27" ht="22.5" customHeight="1" x14ac:dyDescent="0.8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c r="AA836" s="3"/>
    </row>
    <row r="837" spans="1:27" ht="22.5" customHeight="1" x14ac:dyDescent="0.8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c r="AA837" s="3"/>
    </row>
    <row r="838" spans="1:27" ht="22.5" customHeight="1" x14ac:dyDescent="0.8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c r="AA838" s="3"/>
    </row>
    <row r="839" spans="1:27" ht="22.5" customHeight="1" x14ac:dyDescent="0.8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c r="AA839" s="3"/>
    </row>
    <row r="840" spans="1:27" ht="22.5" customHeight="1" x14ac:dyDescent="0.8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c r="AA840" s="3"/>
    </row>
    <row r="841" spans="1:27" ht="22.5" customHeight="1" x14ac:dyDescent="0.8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c r="AA841" s="3"/>
    </row>
    <row r="842" spans="1:27" ht="22.5" customHeight="1" x14ac:dyDescent="0.8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c r="AA842" s="3"/>
    </row>
    <row r="843" spans="1:27" ht="22.5" customHeight="1" x14ac:dyDescent="0.8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c r="AA843" s="3"/>
    </row>
    <row r="844" spans="1:27" ht="22.5" customHeight="1" x14ac:dyDescent="0.8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c r="AA844" s="3"/>
    </row>
    <row r="845" spans="1:27" ht="22.5" customHeight="1" x14ac:dyDescent="0.8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c r="AA845" s="3"/>
    </row>
    <row r="846" spans="1:27" ht="22.5" customHeight="1" x14ac:dyDescent="0.8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c r="AA846" s="3"/>
    </row>
    <row r="847" spans="1:27" ht="22.5" customHeight="1" x14ac:dyDescent="0.8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c r="AA847" s="3"/>
    </row>
    <row r="848" spans="1:27" ht="22.5" customHeight="1" x14ac:dyDescent="0.8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c r="AA848" s="3"/>
    </row>
    <row r="849" spans="1:27" ht="22.5" customHeight="1" x14ac:dyDescent="0.8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c r="AA849" s="3"/>
    </row>
    <row r="850" spans="1:27" ht="22.5" customHeight="1" x14ac:dyDescent="0.8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c r="AA850" s="3"/>
    </row>
    <row r="851" spans="1:27" ht="22.5" customHeight="1" x14ac:dyDescent="0.8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c r="AA851" s="3"/>
    </row>
    <row r="852" spans="1:27" ht="22.5" customHeight="1" x14ac:dyDescent="0.8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c r="AA852" s="3"/>
    </row>
    <row r="853" spans="1:27" ht="22.5" customHeight="1" x14ac:dyDescent="0.8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c r="AA853" s="3"/>
    </row>
    <row r="854" spans="1:27" ht="22.5" customHeight="1" x14ac:dyDescent="0.8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c r="AA854" s="3"/>
    </row>
    <row r="855" spans="1:27" ht="22.5" customHeight="1" x14ac:dyDescent="0.8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c r="AA855" s="3"/>
    </row>
    <row r="856" spans="1:27" ht="22.5" customHeight="1" x14ac:dyDescent="0.8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c r="AA856" s="3"/>
    </row>
    <row r="857" spans="1:27" ht="22.5" customHeight="1" x14ac:dyDescent="0.8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c r="AA857" s="3"/>
    </row>
    <row r="858" spans="1:27" ht="22.5" customHeight="1" x14ac:dyDescent="0.8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c r="AA858" s="3"/>
    </row>
    <row r="859" spans="1:27" ht="22.5" customHeight="1" x14ac:dyDescent="0.8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c r="AA859" s="3"/>
    </row>
    <row r="860" spans="1:27" ht="22.5" customHeight="1" x14ac:dyDescent="0.8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c r="AA860" s="3"/>
    </row>
    <row r="861" spans="1:27" ht="22.5" customHeight="1" x14ac:dyDescent="0.8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c r="AA861" s="3"/>
    </row>
    <row r="862" spans="1:27" ht="22.5" customHeight="1" x14ac:dyDescent="0.8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c r="AA862" s="3"/>
    </row>
    <row r="863" spans="1:27" ht="22.5" customHeight="1" x14ac:dyDescent="0.8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c r="AA863" s="3"/>
    </row>
    <row r="864" spans="1:27" ht="22.5" customHeight="1" x14ac:dyDescent="0.8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c r="AA864" s="3"/>
    </row>
    <row r="865" spans="1:27" ht="22.5" customHeight="1" x14ac:dyDescent="0.8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c r="AA865" s="3"/>
    </row>
    <row r="866" spans="1:27" ht="22.5" customHeight="1" x14ac:dyDescent="0.8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c r="AA866" s="3"/>
    </row>
    <row r="867" spans="1:27" ht="22.5" customHeight="1" x14ac:dyDescent="0.8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c r="AA867" s="3"/>
    </row>
    <row r="868" spans="1:27" ht="22.5" customHeight="1" x14ac:dyDescent="0.8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c r="AA868" s="3"/>
    </row>
    <row r="869" spans="1:27" ht="22.5" customHeight="1" x14ac:dyDescent="0.8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c r="AA869" s="3"/>
    </row>
    <row r="870" spans="1:27" ht="22.5" customHeight="1" x14ac:dyDescent="0.8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c r="AA870" s="3"/>
    </row>
    <row r="871" spans="1:27" ht="22.5" customHeight="1" x14ac:dyDescent="0.8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c r="AA871" s="3"/>
    </row>
    <row r="872" spans="1:27" ht="22.5" customHeight="1" x14ac:dyDescent="0.8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c r="AA872" s="3"/>
    </row>
    <row r="873" spans="1:27" ht="22.5" customHeight="1" x14ac:dyDescent="0.8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c r="AA873" s="3"/>
    </row>
    <row r="874" spans="1:27" ht="22.5" customHeight="1" x14ac:dyDescent="0.8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c r="AA874" s="3"/>
    </row>
    <row r="875" spans="1:27" ht="22.5" customHeight="1" x14ac:dyDescent="0.8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c r="AA875" s="3"/>
    </row>
    <row r="876" spans="1:27" ht="22.5" customHeight="1" x14ac:dyDescent="0.8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c r="AA876" s="3"/>
    </row>
    <row r="877" spans="1:27" ht="22.5" customHeight="1" x14ac:dyDescent="0.8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c r="AA877" s="3"/>
    </row>
    <row r="878" spans="1:27" ht="22.5" customHeight="1" x14ac:dyDescent="0.8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c r="AA878" s="3"/>
    </row>
    <row r="879" spans="1:27" ht="22.5" customHeight="1" x14ac:dyDescent="0.8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c r="AA879" s="3"/>
    </row>
    <row r="880" spans="1:27" ht="22.5" customHeight="1" x14ac:dyDescent="0.8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c r="AA880" s="3"/>
    </row>
    <row r="881" spans="1:27" ht="22.5" customHeight="1" x14ac:dyDescent="0.8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c r="AA881" s="3"/>
    </row>
    <row r="882" spans="1:27" ht="22.5" customHeight="1" x14ac:dyDescent="0.8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c r="AA882" s="3"/>
    </row>
    <row r="883" spans="1:27" ht="22.5" customHeight="1" x14ac:dyDescent="0.8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c r="AA883" s="3"/>
    </row>
    <row r="884" spans="1:27" ht="22.5" customHeight="1" x14ac:dyDescent="0.8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c r="AA884" s="3"/>
    </row>
    <row r="885" spans="1:27" ht="22.5" customHeight="1" x14ac:dyDescent="0.8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c r="AA885" s="3"/>
    </row>
    <row r="886" spans="1:27" ht="22.5" customHeight="1" x14ac:dyDescent="0.8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c r="AA886" s="3"/>
    </row>
    <row r="887" spans="1:27" ht="22.5" customHeight="1" x14ac:dyDescent="0.8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c r="AA887" s="3"/>
    </row>
    <row r="888" spans="1:27" ht="22.5" customHeight="1" x14ac:dyDescent="0.8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c r="AA888" s="3"/>
    </row>
    <row r="889" spans="1:27" ht="22.5" customHeight="1" x14ac:dyDescent="0.8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c r="AA889" s="3"/>
    </row>
    <row r="890" spans="1:27" ht="22.5" customHeight="1" x14ac:dyDescent="0.8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c r="AA890" s="3"/>
    </row>
    <row r="891" spans="1:27" ht="22.5" customHeight="1" x14ac:dyDescent="0.8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c r="AA891" s="3"/>
    </row>
    <row r="892" spans="1:27" ht="22.5" customHeight="1" x14ac:dyDescent="0.8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c r="AA892" s="3"/>
    </row>
    <row r="893" spans="1:27" ht="22.5" customHeight="1" x14ac:dyDescent="0.8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c r="AA893" s="3"/>
    </row>
    <row r="894" spans="1:27" ht="22.5" customHeight="1" x14ac:dyDescent="0.8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c r="AA894" s="3"/>
    </row>
    <row r="895" spans="1:27" ht="22.5" customHeight="1" x14ac:dyDescent="0.8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c r="AA895" s="3"/>
    </row>
    <row r="896" spans="1:27" ht="22.5" customHeight="1" x14ac:dyDescent="0.8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c r="AA896" s="3"/>
    </row>
    <row r="897" spans="1:27" ht="22.5" customHeight="1" x14ac:dyDescent="0.8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c r="AA897" s="3"/>
    </row>
    <row r="898" spans="1:27" ht="22.5" customHeight="1" x14ac:dyDescent="0.8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c r="AA898" s="3"/>
    </row>
    <row r="899" spans="1:27" ht="22.5" customHeight="1" x14ac:dyDescent="0.8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c r="AA899" s="3"/>
    </row>
    <row r="900" spans="1:27" ht="22.5" customHeight="1" x14ac:dyDescent="0.8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c r="AA900" s="3"/>
    </row>
    <row r="901" spans="1:27" ht="22.5" customHeight="1" x14ac:dyDescent="0.8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c r="AA901" s="3"/>
    </row>
    <row r="902" spans="1:27" ht="22.5" customHeight="1" x14ac:dyDescent="0.8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c r="AA902" s="3"/>
    </row>
    <row r="903" spans="1:27" ht="22.5" customHeight="1" x14ac:dyDescent="0.8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c r="AA903" s="3"/>
    </row>
    <row r="904" spans="1:27" ht="22.5" customHeight="1" x14ac:dyDescent="0.8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c r="AA904" s="3"/>
    </row>
    <row r="905" spans="1:27" ht="22.5" customHeight="1" x14ac:dyDescent="0.8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c r="AA905" s="3"/>
    </row>
    <row r="906" spans="1:27" ht="22.5" customHeight="1" x14ac:dyDescent="0.8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c r="AA906" s="3"/>
    </row>
    <row r="907" spans="1:27" ht="22.5" customHeight="1" x14ac:dyDescent="0.8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c r="AA907" s="3"/>
    </row>
    <row r="908" spans="1:27" ht="22.5" customHeight="1" x14ac:dyDescent="0.8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c r="AA908" s="3"/>
    </row>
    <row r="909" spans="1:27" ht="22.5" customHeight="1" x14ac:dyDescent="0.8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c r="AA909" s="3"/>
    </row>
    <row r="910" spans="1:27" ht="22.5" customHeight="1" x14ac:dyDescent="0.8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c r="AA910" s="3"/>
    </row>
    <row r="911" spans="1:27" ht="22.5" customHeight="1" x14ac:dyDescent="0.8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c r="AA911" s="3"/>
    </row>
    <row r="912" spans="1:27" ht="22.5" customHeight="1" x14ac:dyDescent="0.8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c r="AA912" s="3"/>
    </row>
    <row r="913" spans="1:27" ht="22.5" customHeight="1" x14ac:dyDescent="0.8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c r="AA913" s="3"/>
    </row>
    <row r="914" spans="1:27" ht="22.5" customHeight="1" x14ac:dyDescent="0.8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c r="AA914" s="3"/>
    </row>
    <row r="915" spans="1:27" ht="22.5" customHeight="1" x14ac:dyDescent="0.8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c r="AA915" s="3"/>
    </row>
    <row r="916" spans="1:27" ht="22.5" customHeight="1" x14ac:dyDescent="0.8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c r="AA916" s="3"/>
    </row>
    <row r="917" spans="1:27" ht="22.5" customHeight="1" x14ac:dyDescent="0.8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c r="AA917" s="3"/>
    </row>
    <row r="918" spans="1:27" ht="22.5" customHeight="1" x14ac:dyDescent="0.8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c r="AA918" s="3"/>
    </row>
    <row r="919" spans="1:27" ht="22.5" customHeight="1" x14ac:dyDescent="0.8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c r="AA919" s="3"/>
    </row>
    <row r="920" spans="1:27" ht="22.5" customHeight="1" x14ac:dyDescent="0.8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c r="AA920" s="3"/>
    </row>
    <row r="921" spans="1:27" ht="22.5" customHeight="1" x14ac:dyDescent="0.8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c r="AA921" s="3"/>
    </row>
    <row r="922" spans="1:27" ht="22.5" customHeight="1" x14ac:dyDescent="0.8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c r="AA922" s="3"/>
    </row>
    <row r="923" spans="1:27" ht="22.5" customHeight="1" x14ac:dyDescent="0.8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c r="AA923" s="3"/>
    </row>
    <row r="924" spans="1:27" ht="22.5" customHeight="1" x14ac:dyDescent="0.8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c r="AA924" s="3"/>
    </row>
    <row r="925" spans="1:27" ht="22.5" customHeight="1" x14ac:dyDescent="0.8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c r="AA925" s="3"/>
    </row>
    <row r="926" spans="1:27" ht="22.5" customHeight="1" x14ac:dyDescent="0.8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c r="AA926" s="3"/>
    </row>
    <row r="927" spans="1:27" ht="22.5" customHeight="1" x14ac:dyDescent="0.8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c r="AA927" s="3"/>
    </row>
    <row r="928" spans="1:27" ht="22.5" customHeight="1" x14ac:dyDescent="0.8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c r="AA928" s="3"/>
    </row>
    <row r="929" spans="1:27" ht="22.5" customHeight="1" x14ac:dyDescent="0.8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c r="AA929" s="3"/>
    </row>
    <row r="930" spans="1:27" ht="22.5" customHeight="1" x14ac:dyDescent="0.8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c r="AA930" s="3"/>
    </row>
    <row r="931" spans="1:27" ht="22.5" customHeight="1" x14ac:dyDescent="0.8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c r="AA931" s="3"/>
    </row>
    <row r="932" spans="1:27" ht="22.5" customHeight="1" x14ac:dyDescent="0.8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c r="AA932" s="3"/>
    </row>
    <row r="933" spans="1:27" ht="22.5" customHeight="1" x14ac:dyDescent="0.8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c r="AA933" s="3"/>
    </row>
    <row r="934" spans="1:27" ht="22.5" customHeight="1" x14ac:dyDescent="0.8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c r="AA934" s="3"/>
    </row>
    <row r="935" spans="1:27" ht="22.5" customHeight="1" x14ac:dyDescent="0.8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c r="AA935" s="3"/>
    </row>
    <row r="936" spans="1:27" ht="22.5" customHeight="1" x14ac:dyDescent="0.8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c r="AA936" s="3"/>
    </row>
    <row r="937" spans="1:27" ht="22.5" customHeight="1" x14ac:dyDescent="0.8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c r="AA937" s="3"/>
    </row>
    <row r="938" spans="1:27" ht="22.5" customHeight="1" x14ac:dyDescent="0.8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c r="AA938" s="3"/>
    </row>
    <row r="939" spans="1:27" ht="22.5" customHeight="1" x14ac:dyDescent="0.8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c r="AA939" s="3"/>
    </row>
    <row r="940" spans="1:27" ht="22.5" customHeight="1" x14ac:dyDescent="0.8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c r="AA940" s="3"/>
    </row>
    <row r="941" spans="1:27" ht="22.5" customHeight="1" x14ac:dyDescent="0.8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c r="AA941" s="3"/>
    </row>
    <row r="942" spans="1:27" ht="22.5" customHeight="1" x14ac:dyDescent="0.8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c r="AA942" s="3"/>
    </row>
    <row r="943" spans="1:27" ht="22.5" customHeight="1" x14ac:dyDescent="0.8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c r="AA943" s="3"/>
    </row>
    <row r="944" spans="1:27" ht="22.5" customHeight="1" x14ac:dyDescent="0.8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c r="AA944" s="3"/>
    </row>
    <row r="945" spans="1:27" ht="22.5" customHeight="1" x14ac:dyDescent="0.8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c r="AA945" s="3"/>
    </row>
    <row r="946" spans="1:27" ht="22.5" customHeight="1" x14ac:dyDescent="0.8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c r="AA946" s="3"/>
    </row>
    <row r="947" spans="1:27" ht="22.5" customHeight="1" x14ac:dyDescent="0.8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c r="AA947" s="3"/>
    </row>
    <row r="948" spans="1:27" ht="22.5" customHeight="1" x14ac:dyDescent="0.8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c r="AA948" s="3"/>
    </row>
    <row r="949" spans="1:27" ht="22.5" customHeight="1" x14ac:dyDescent="0.8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c r="AA949" s="3"/>
    </row>
    <row r="950" spans="1:27" ht="22.5" customHeight="1" x14ac:dyDescent="0.8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c r="AA950" s="3"/>
    </row>
    <row r="951" spans="1:27" ht="22.5" customHeight="1" x14ac:dyDescent="0.8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c r="AA951" s="3"/>
    </row>
    <row r="952" spans="1:27" ht="22.5" customHeight="1" x14ac:dyDescent="0.8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c r="AA952" s="3"/>
    </row>
    <row r="953" spans="1:27" ht="22.5" customHeight="1" x14ac:dyDescent="0.8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c r="AA953" s="3"/>
    </row>
    <row r="954" spans="1:27" ht="22.5" customHeight="1" x14ac:dyDescent="0.8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c r="AA954" s="3"/>
    </row>
    <row r="955" spans="1:27" ht="22.5" customHeight="1" x14ac:dyDescent="0.8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c r="AA955" s="3"/>
    </row>
    <row r="956" spans="1:27" ht="22.5" customHeight="1" x14ac:dyDescent="0.8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c r="AA956" s="3"/>
    </row>
    <row r="957" spans="1:27" ht="22.5" customHeight="1" x14ac:dyDescent="0.8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c r="AA957" s="3"/>
    </row>
    <row r="958" spans="1:27" ht="22.5" customHeight="1" x14ac:dyDescent="0.8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c r="AA958" s="3"/>
    </row>
    <row r="959" spans="1:27" ht="22.5" customHeight="1" x14ac:dyDescent="0.8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c r="AA959" s="3"/>
    </row>
    <row r="960" spans="1:27" ht="22.5" customHeight="1" x14ac:dyDescent="0.8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c r="AA960" s="3"/>
    </row>
    <row r="961" spans="1:27" ht="22.5" customHeight="1" x14ac:dyDescent="0.8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c r="AA961" s="3"/>
    </row>
    <row r="962" spans="1:27" ht="22.5" customHeight="1" x14ac:dyDescent="0.8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c r="AA962" s="3"/>
    </row>
    <row r="963" spans="1:27" ht="22.5" customHeight="1" x14ac:dyDescent="0.8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c r="AA963" s="3"/>
    </row>
    <row r="964" spans="1:27" ht="22.5" customHeight="1" x14ac:dyDescent="0.8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c r="AA964" s="3"/>
    </row>
    <row r="965" spans="1:27" ht="22.5" customHeight="1" x14ac:dyDescent="0.8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c r="AA965" s="3"/>
    </row>
    <row r="966" spans="1:27" ht="22.5" customHeight="1" x14ac:dyDescent="0.8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c r="AA966" s="3"/>
    </row>
    <row r="967" spans="1:27" ht="22.5" customHeight="1" x14ac:dyDescent="0.8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c r="AA967" s="3"/>
    </row>
    <row r="968" spans="1:27" ht="22.5" customHeight="1" x14ac:dyDescent="0.8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c r="AA968" s="3"/>
    </row>
    <row r="969" spans="1:27" ht="22.5" customHeight="1" x14ac:dyDescent="0.8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c r="AA969" s="3"/>
    </row>
    <row r="970" spans="1:27" ht="22.5" customHeight="1" x14ac:dyDescent="0.8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c r="AA970" s="3"/>
    </row>
    <row r="971" spans="1:27" ht="22.5" customHeight="1" x14ac:dyDescent="0.8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c r="AA971" s="3"/>
    </row>
    <row r="972" spans="1:27" ht="22.5" customHeight="1" x14ac:dyDescent="0.8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c r="AA972" s="3"/>
    </row>
    <row r="973" spans="1:27" ht="22.5" customHeight="1" x14ac:dyDescent="0.8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c r="AA973" s="3"/>
    </row>
    <row r="974" spans="1:27" ht="22.5" customHeight="1" x14ac:dyDescent="0.8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c r="AA974" s="3"/>
    </row>
    <row r="975" spans="1:27" ht="22.5" customHeight="1" x14ac:dyDescent="0.8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c r="AA975" s="3"/>
    </row>
    <row r="976" spans="1:27" ht="22.5" customHeight="1" x14ac:dyDescent="0.8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c r="AA976" s="3"/>
    </row>
    <row r="977" spans="1:27" ht="22.5" customHeight="1" x14ac:dyDescent="0.8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c r="AA977" s="3"/>
    </row>
    <row r="978" spans="1:27" ht="22.5" customHeight="1" x14ac:dyDescent="0.8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c r="AA978" s="3"/>
    </row>
    <row r="979" spans="1:27" ht="22.5" customHeight="1" x14ac:dyDescent="0.8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c r="AA979" s="3"/>
    </row>
    <row r="980" spans="1:27" ht="22.5" customHeight="1" x14ac:dyDescent="0.8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c r="AA980" s="3"/>
    </row>
    <row r="981" spans="1:27" ht="22.5" customHeight="1" x14ac:dyDescent="0.8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c r="AA981" s="3"/>
    </row>
    <row r="982" spans="1:27" ht="22.5" customHeight="1" x14ac:dyDescent="0.8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c r="AA982" s="3"/>
    </row>
    <row r="983" spans="1:27" ht="22.5" customHeight="1" x14ac:dyDescent="0.8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c r="AA983" s="3"/>
    </row>
    <row r="984" spans="1:27" ht="22.5" customHeight="1" x14ac:dyDescent="0.8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c r="AA984" s="3"/>
    </row>
    <row r="985" spans="1:27" ht="22.5" customHeight="1" x14ac:dyDescent="0.8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c r="AA985" s="3"/>
    </row>
    <row r="986" spans="1:27" ht="22.5" customHeight="1" x14ac:dyDescent="0.8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c r="AA986" s="3"/>
    </row>
    <row r="987" spans="1:27" ht="22.5" customHeight="1" x14ac:dyDescent="0.8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c r="AA987" s="3"/>
    </row>
    <row r="988" spans="1:27" ht="22.5" customHeight="1" x14ac:dyDescent="0.8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c r="AA988" s="3"/>
    </row>
    <row r="989" spans="1:27" ht="22.5" customHeight="1" x14ac:dyDescent="0.8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c r="AA989" s="3"/>
    </row>
    <row r="990" spans="1:27" ht="22.5" customHeight="1" x14ac:dyDescent="0.8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c r="AA990" s="3"/>
    </row>
    <row r="991" spans="1:27" ht="22.5" customHeight="1" x14ac:dyDescent="0.8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c r="AA991" s="3"/>
    </row>
    <row r="992" spans="1:27" ht="22.5" customHeight="1" x14ac:dyDescent="0.8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c r="AA992" s="3"/>
    </row>
    <row r="993" spans="1:27" ht="22.5" customHeight="1" x14ac:dyDescent="0.8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c r="AA993" s="3"/>
    </row>
    <row r="994" spans="1:27" ht="22.5" customHeight="1" x14ac:dyDescent="0.8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c r="AA994" s="3"/>
    </row>
    <row r="995" spans="1:27" ht="22.5" customHeight="1" x14ac:dyDescent="0.8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c r="AA995" s="3"/>
    </row>
    <row r="996" spans="1:27" ht="22.5" customHeight="1" x14ac:dyDescent="0.8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c r="AA996" s="3"/>
    </row>
    <row r="997" spans="1:27" ht="22.5" customHeight="1" x14ac:dyDescent="0.8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c r="AA997" s="3"/>
    </row>
    <row r="998" spans="1:27" ht="22.5" customHeight="1" x14ac:dyDescent="0.8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c r="AA998" s="3"/>
    </row>
    <row r="999" spans="1:27" ht="22.5" customHeight="1" x14ac:dyDescent="0.8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c r="AA999" s="3"/>
    </row>
    <row r="1000" spans="1:27" ht="22.5" customHeight="1" x14ac:dyDescent="0.8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c r="AA1000" s="3"/>
    </row>
  </sheetData>
  <mergeCells count="13">
    <mergeCell ref="A21:A22"/>
    <mergeCell ref="A30:A31"/>
    <mergeCell ref="A44:A45"/>
    <mergeCell ref="B30:G30"/>
    <mergeCell ref="A43:X43"/>
    <mergeCell ref="B44:G44"/>
    <mergeCell ref="B21:G21"/>
    <mergeCell ref="A29:X29"/>
    <mergeCell ref="A1:X1"/>
    <mergeCell ref="A2:X2"/>
    <mergeCell ref="A11:X11"/>
    <mergeCell ref="A19:D19"/>
    <mergeCell ref="A20:X20"/>
  </mergeCells>
  <pageMargins left="0.7" right="0.7" top="0.75" bottom="0.75" header="0" footer="0"/>
  <pageSetup orientation="portrait"/>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16365C"/>
  </sheetPr>
  <dimension ref="A1:Z1000"/>
  <sheetViews>
    <sheetView workbookViewId="0">
      <selection sqref="A1:M1"/>
    </sheetView>
  </sheetViews>
  <sheetFormatPr defaultColWidth="11.23046875" defaultRowHeight="15" customHeight="1" outlineLevelRow="2" x14ac:dyDescent="0.85"/>
  <cols>
    <col min="1" max="1" width="41.07421875" customWidth="1"/>
    <col min="2" max="2" width="25" customWidth="1"/>
    <col min="3" max="3" width="18.61328125" customWidth="1"/>
    <col min="4" max="5" width="16.3828125" customWidth="1"/>
    <col min="6" max="6" width="21.3828125" customWidth="1"/>
    <col min="7" max="8" width="21.61328125" customWidth="1"/>
    <col min="9" max="9" width="13.3828125" customWidth="1"/>
    <col min="10" max="10" width="12.3828125" customWidth="1"/>
    <col min="11" max="11" width="9.61328125" customWidth="1"/>
    <col min="12" max="12" width="18.3046875" customWidth="1"/>
    <col min="13" max="13" width="9.61328125" customWidth="1"/>
    <col min="14" max="14" width="14.921875" customWidth="1"/>
    <col min="15" max="15" width="11.765625" customWidth="1"/>
    <col min="16" max="16" width="9.3828125" customWidth="1"/>
    <col min="17" max="26" width="7.765625" customWidth="1"/>
  </cols>
  <sheetData>
    <row r="1" spans="1:26" ht="21" customHeight="1" x14ac:dyDescent="0.85">
      <c r="A1" s="786" t="s">
        <v>160</v>
      </c>
      <c r="B1" s="765"/>
      <c r="C1" s="765"/>
      <c r="D1" s="765"/>
      <c r="E1" s="765"/>
      <c r="F1" s="765"/>
      <c r="G1" s="765"/>
      <c r="H1" s="765"/>
      <c r="I1" s="765"/>
      <c r="J1" s="765"/>
      <c r="K1" s="765"/>
      <c r="L1" s="765"/>
      <c r="M1" s="762"/>
      <c r="N1" s="15"/>
      <c r="O1" s="15"/>
      <c r="P1" s="15"/>
      <c r="Q1" s="15"/>
      <c r="R1" s="15"/>
      <c r="S1" s="15"/>
      <c r="T1" s="15"/>
      <c r="U1" s="15"/>
      <c r="V1" s="15"/>
      <c r="W1" s="15"/>
      <c r="X1" s="15"/>
      <c r="Y1" s="15"/>
      <c r="Z1" s="15"/>
    </row>
    <row r="2" spans="1:26" ht="32.25" customHeight="1" x14ac:dyDescent="0.85">
      <c r="A2" s="838" t="s">
        <v>161</v>
      </c>
      <c r="B2" s="765"/>
      <c r="C2" s="765"/>
      <c r="D2" s="765"/>
      <c r="E2" s="765"/>
      <c r="F2" s="765"/>
      <c r="G2" s="765"/>
      <c r="H2" s="765"/>
      <c r="I2" s="765"/>
      <c r="J2" s="765"/>
      <c r="K2" s="765"/>
      <c r="L2" s="765"/>
      <c r="M2" s="762"/>
      <c r="N2" s="15"/>
      <c r="O2" s="15"/>
      <c r="P2" s="15"/>
      <c r="Q2" s="15"/>
      <c r="R2" s="15"/>
      <c r="S2" s="15"/>
      <c r="T2" s="15"/>
      <c r="U2" s="15"/>
      <c r="V2" s="15"/>
      <c r="W2" s="15"/>
      <c r="X2" s="15"/>
      <c r="Y2" s="15"/>
      <c r="Z2" s="15"/>
    </row>
    <row r="3" spans="1:26" ht="21" customHeight="1" outlineLevel="1" x14ac:dyDescent="0.85">
      <c r="A3" s="841" t="s">
        <v>162</v>
      </c>
      <c r="B3" s="842" t="s">
        <v>163</v>
      </c>
      <c r="C3" s="813"/>
      <c r="D3" s="813"/>
      <c r="E3" s="813"/>
      <c r="F3" s="814"/>
      <c r="G3" s="15"/>
      <c r="H3" s="15"/>
      <c r="I3" s="15"/>
      <c r="J3" s="15"/>
      <c r="K3" s="15"/>
      <c r="L3" s="15"/>
      <c r="M3" s="15"/>
      <c r="N3" s="15"/>
      <c r="O3" s="15"/>
      <c r="P3" s="15"/>
      <c r="Q3" s="15"/>
      <c r="R3" s="15"/>
      <c r="S3" s="15"/>
      <c r="T3" s="15"/>
      <c r="U3" s="15"/>
      <c r="V3" s="15"/>
      <c r="W3" s="15"/>
      <c r="X3" s="15"/>
      <c r="Y3" s="15"/>
      <c r="Z3" s="15"/>
    </row>
    <row r="4" spans="1:26" ht="21" customHeight="1" outlineLevel="1" x14ac:dyDescent="0.85">
      <c r="A4" s="797"/>
      <c r="B4" s="72" t="s">
        <v>164</v>
      </c>
      <c r="C4" s="72" t="s">
        <v>165</v>
      </c>
      <c r="D4" s="72" t="s">
        <v>166</v>
      </c>
      <c r="E4" s="72" t="s">
        <v>167</v>
      </c>
      <c r="F4" s="72" t="s">
        <v>168</v>
      </c>
      <c r="G4" s="15"/>
      <c r="H4" s="15"/>
      <c r="I4" s="15"/>
      <c r="J4" s="15"/>
      <c r="K4" s="15"/>
      <c r="L4" s="15"/>
      <c r="M4" s="15"/>
      <c r="N4" s="15"/>
      <c r="O4" s="15"/>
      <c r="P4" s="15"/>
      <c r="Q4" s="15"/>
      <c r="R4" s="15"/>
      <c r="S4" s="15"/>
      <c r="T4" s="15"/>
      <c r="U4" s="15"/>
      <c r="V4" s="15"/>
      <c r="W4" s="15"/>
      <c r="X4" s="15"/>
      <c r="Y4" s="15"/>
      <c r="Z4" s="15"/>
    </row>
    <row r="5" spans="1:26" ht="21" customHeight="1" outlineLevel="1" x14ac:dyDescent="0.85">
      <c r="A5" s="73" t="s">
        <v>119</v>
      </c>
      <c r="B5" s="74">
        <f t="shared" ref="B5:F5" si="0">A164</f>
        <v>11317.255258173069</v>
      </c>
      <c r="C5" s="74">
        <f t="shared" si="0"/>
        <v>80308.412667113589</v>
      </c>
      <c r="D5" s="74">
        <f t="shared" si="0"/>
        <v>2231.8617568910286</v>
      </c>
      <c r="E5" s="74">
        <f t="shared" si="0"/>
        <v>559.18813415873808</v>
      </c>
      <c r="F5" s="74">
        <f t="shared" si="0"/>
        <v>4925.7417740170113</v>
      </c>
      <c r="G5" s="15"/>
      <c r="H5" s="75"/>
      <c r="I5" s="75"/>
      <c r="J5" s="75"/>
      <c r="K5" s="75"/>
      <c r="L5" s="15"/>
      <c r="M5" s="15"/>
      <c r="N5" s="15"/>
      <c r="O5" s="15"/>
      <c r="P5" s="15"/>
      <c r="Q5" s="15"/>
      <c r="R5" s="15"/>
      <c r="S5" s="15"/>
      <c r="T5" s="15"/>
      <c r="U5" s="15"/>
      <c r="V5" s="15"/>
      <c r="W5" s="15"/>
      <c r="X5" s="15"/>
      <c r="Y5" s="15"/>
      <c r="Z5" s="15"/>
    </row>
    <row r="6" spans="1:26" ht="21" customHeight="1" outlineLevel="1" x14ac:dyDescent="0.85">
      <c r="A6" s="76"/>
      <c r="B6" s="76"/>
      <c r="C6" s="76"/>
      <c r="D6" s="76"/>
      <c r="E6" s="76"/>
      <c r="F6" s="76"/>
      <c r="G6" s="76"/>
      <c r="H6" s="77"/>
      <c r="I6" s="75"/>
      <c r="J6" s="75"/>
      <c r="K6" s="75"/>
      <c r="L6" s="15"/>
      <c r="M6" s="15"/>
      <c r="N6" s="15"/>
      <c r="O6" s="15"/>
      <c r="P6" s="15"/>
      <c r="Q6" s="15"/>
      <c r="R6" s="15"/>
      <c r="S6" s="15"/>
      <c r="T6" s="15"/>
      <c r="U6" s="15"/>
      <c r="V6" s="15"/>
      <c r="W6" s="15"/>
      <c r="X6" s="15"/>
      <c r="Y6" s="15"/>
      <c r="Z6" s="15"/>
    </row>
    <row r="7" spans="1:26" ht="32.25" customHeight="1" x14ac:dyDescent="0.85">
      <c r="A7" s="838" t="s">
        <v>169</v>
      </c>
      <c r="B7" s="765"/>
      <c r="C7" s="765"/>
      <c r="D7" s="765"/>
      <c r="E7" s="765"/>
      <c r="F7" s="765"/>
      <c r="G7" s="765"/>
      <c r="H7" s="765"/>
      <c r="I7" s="765"/>
      <c r="J7" s="765"/>
      <c r="K7" s="765"/>
      <c r="L7" s="765"/>
      <c r="M7" s="762"/>
      <c r="N7" s="15"/>
      <c r="O7" s="15"/>
      <c r="P7" s="15"/>
      <c r="Q7" s="15"/>
      <c r="R7" s="15"/>
      <c r="S7" s="15"/>
      <c r="T7" s="15"/>
      <c r="U7" s="15"/>
      <c r="V7" s="15"/>
      <c r="W7" s="15"/>
      <c r="X7" s="15"/>
      <c r="Y7" s="15"/>
      <c r="Z7" s="15"/>
    </row>
    <row r="8" spans="1:26" ht="45" customHeight="1" outlineLevel="1" x14ac:dyDescent="0.85">
      <c r="A8" s="840" t="s">
        <v>170</v>
      </c>
      <c r="B8" s="790"/>
      <c r="C8" s="790"/>
      <c r="D8" s="790"/>
      <c r="E8" s="790"/>
      <c r="F8" s="790"/>
      <c r="G8" s="790"/>
      <c r="H8" s="791"/>
      <c r="I8" s="15"/>
      <c r="J8" s="15"/>
      <c r="K8" s="15"/>
      <c r="L8" s="15"/>
      <c r="M8" s="15"/>
      <c r="N8" s="15"/>
      <c r="O8" s="15"/>
      <c r="P8" s="15"/>
      <c r="Q8" s="15"/>
      <c r="R8" s="15"/>
      <c r="S8" s="15"/>
      <c r="T8" s="15"/>
      <c r="U8" s="15"/>
      <c r="V8" s="15"/>
      <c r="W8" s="15"/>
      <c r="X8" s="15"/>
      <c r="Y8" s="15"/>
      <c r="Z8" s="15"/>
    </row>
    <row r="9" spans="1:26" ht="21" customHeight="1" outlineLevel="1" x14ac:dyDescent="0.85">
      <c r="A9" s="840" t="s">
        <v>171</v>
      </c>
      <c r="B9" s="790"/>
      <c r="C9" s="790"/>
      <c r="D9" s="790"/>
      <c r="E9" s="790"/>
      <c r="F9" s="790"/>
      <c r="G9" s="790"/>
      <c r="H9" s="791"/>
      <c r="I9" s="15"/>
      <c r="J9" s="15"/>
      <c r="K9" s="15"/>
      <c r="L9" s="15"/>
      <c r="M9" s="15"/>
      <c r="N9" s="15"/>
      <c r="O9" s="15"/>
      <c r="P9" s="15"/>
      <c r="Q9" s="15"/>
      <c r="R9" s="15"/>
      <c r="S9" s="15"/>
      <c r="T9" s="15"/>
      <c r="U9" s="15"/>
      <c r="V9" s="15"/>
      <c r="W9" s="15"/>
      <c r="X9" s="15"/>
      <c r="Y9" s="15"/>
      <c r="Z9" s="15"/>
    </row>
    <row r="10" spans="1:26" ht="45" customHeight="1" outlineLevel="1" x14ac:dyDescent="0.85">
      <c r="A10" s="840" t="s">
        <v>172</v>
      </c>
      <c r="B10" s="790"/>
      <c r="C10" s="790"/>
      <c r="D10" s="790"/>
      <c r="E10" s="790"/>
      <c r="F10" s="790"/>
      <c r="G10" s="790"/>
      <c r="H10" s="791"/>
      <c r="I10" s="76"/>
      <c r="J10" s="76"/>
      <c r="K10" s="76"/>
      <c r="L10" s="76"/>
      <c r="M10" s="76"/>
      <c r="N10" s="76"/>
      <c r="O10" s="76"/>
      <c r="P10" s="76"/>
      <c r="Q10" s="76"/>
      <c r="R10" s="76"/>
      <c r="S10" s="76"/>
      <c r="T10" s="76"/>
      <c r="U10" s="76"/>
      <c r="V10" s="76"/>
      <c r="W10" s="76"/>
      <c r="X10" s="76"/>
      <c r="Y10" s="76"/>
      <c r="Z10" s="76"/>
    </row>
    <row r="11" spans="1:26" ht="45" customHeight="1" outlineLevel="1" x14ac:dyDescent="0.85">
      <c r="A11" s="840" t="s">
        <v>173</v>
      </c>
      <c r="B11" s="790"/>
      <c r="C11" s="790"/>
      <c r="D11" s="790"/>
      <c r="E11" s="790"/>
      <c r="F11" s="790"/>
      <c r="G11" s="790"/>
      <c r="H11" s="791"/>
      <c r="I11" s="15"/>
      <c r="J11" s="15"/>
      <c r="K11" s="15"/>
      <c r="L11" s="15"/>
      <c r="M11" s="15"/>
      <c r="N11" s="15"/>
      <c r="O11" s="15"/>
      <c r="P11" s="15"/>
      <c r="Q11" s="15"/>
      <c r="R11" s="15"/>
      <c r="S11" s="15"/>
      <c r="T11" s="15"/>
      <c r="U11" s="15"/>
      <c r="V11" s="15"/>
      <c r="W11" s="15"/>
      <c r="X11" s="15"/>
      <c r="Y11" s="15"/>
      <c r="Z11" s="15"/>
    </row>
    <row r="12" spans="1:26" ht="45" customHeight="1" outlineLevel="1" x14ac:dyDescent="0.85">
      <c r="A12" s="840" t="s">
        <v>174</v>
      </c>
      <c r="B12" s="790"/>
      <c r="C12" s="790"/>
      <c r="D12" s="790"/>
      <c r="E12" s="790"/>
      <c r="F12" s="790"/>
      <c r="G12" s="790"/>
      <c r="H12" s="791"/>
      <c r="I12" s="76"/>
      <c r="J12" s="76"/>
      <c r="K12" s="76"/>
      <c r="L12" s="76"/>
      <c r="M12" s="76"/>
      <c r="N12" s="76"/>
      <c r="O12" s="76"/>
      <c r="P12" s="76"/>
      <c r="Q12" s="76"/>
      <c r="R12" s="76"/>
      <c r="S12" s="76"/>
      <c r="T12" s="76"/>
      <c r="U12" s="76"/>
      <c r="V12" s="76"/>
      <c r="W12" s="76"/>
      <c r="X12" s="76"/>
      <c r="Y12" s="76"/>
      <c r="Z12" s="76"/>
    </row>
    <row r="13" spans="1:26" ht="21" customHeight="1" outlineLevel="1" x14ac:dyDescent="0.85">
      <c r="A13" s="840" t="s">
        <v>175</v>
      </c>
      <c r="B13" s="790"/>
      <c r="C13" s="790"/>
      <c r="D13" s="790"/>
      <c r="E13" s="790"/>
      <c r="F13" s="790"/>
      <c r="G13" s="790"/>
      <c r="H13" s="791"/>
      <c r="I13" s="15"/>
      <c r="J13" s="15"/>
      <c r="K13" s="15"/>
      <c r="L13" s="15"/>
      <c r="M13" s="15"/>
      <c r="N13" s="15"/>
      <c r="O13" s="15"/>
      <c r="P13" s="15"/>
      <c r="Q13" s="15"/>
      <c r="R13" s="15"/>
      <c r="S13" s="15"/>
      <c r="T13" s="15"/>
      <c r="U13" s="15"/>
      <c r="V13" s="15"/>
      <c r="W13" s="15"/>
      <c r="X13" s="15"/>
      <c r="Y13" s="15"/>
      <c r="Z13" s="15"/>
    </row>
    <row r="14" spans="1:26" ht="21" customHeight="1" outlineLevel="1" x14ac:dyDescent="0.85">
      <c r="A14" s="840" t="s">
        <v>176</v>
      </c>
      <c r="B14" s="790"/>
      <c r="C14" s="790"/>
      <c r="D14" s="790"/>
      <c r="E14" s="790"/>
      <c r="F14" s="790"/>
      <c r="G14" s="790"/>
      <c r="H14" s="791"/>
      <c r="I14" s="15"/>
      <c r="J14" s="15"/>
      <c r="K14" s="15"/>
      <c r="L14" s="15"/>
      <c r="M14" s="15"/>
      <c r="N14" s="15"/>
      <c r="O14" s="15"/>
      <c r="P14" s="15"/>
      <c r="Q14" s="15"/>
      <c r="R14" s="15"/>
      <c r="S14" s="15"/>
      <c r="T14" s="15"/>
      <c r="U14" s="15"/>
      <c r="V14" s="15"/>
      <c r="W14" s="15"/>
      <c r="X14" s="15"/>
      <c r="Y14" s="15"/>
      <c r="Z14" s="15"/>
    </row>
    <row r="15" spans="1:26" ht="21" customHeight="1" outlineLevel="1" x14ac:dyDescent="0.85">
      <c r="A15" s="840" t="s">
        <v>177</v>
      </c>
      <c r="B15" s="790"/>
      <c r="C15" s="790"/>
      <c r="D15" s="790"/>
      <c r="E15" s="790"/>
      <c r="F15" s="790"/>
      <c r="G15" s="790"/>
      <c r="H15" s="791"/>
      <c r="I15" s="15"/>
      <c r="J15" s="15"/>
      <c r="K15" s="15"/>
      <c r="L15" s="15"/>
      <c r="M15" s="15"/>
      <c r="N15" s="15"/>
      <c r="O15" s="15"/>
      <c r="P15" s="15"/>
      <c r="Q15" s="15"/>
      <c r="R15" s="15"/>
      <c r="S15" s="15"/>
      <c r="T15" s="15"/>
      <c r="U15" s="15"/>
      <c r="V15" s="15"/>
      <c r="W15" s="15"/>
      <c r="X15" s="15"/>
      <c r="Y15" s="15"/>
      <c r="Z15" s="15"/>
    </row>
    <row r="16" spans="1:26" ht="21" customHeight="1" outlineLevel="1" x14ac:dyDescent="0.85">
      <c r="A16" s="840" t="s">
        <v>178</v>
      </c>
      <c r="B16" s="790"/>
      <c r="C16" s="790"/>
      <c r="D16" s="790"/>
      <c r="E16" s="790"/>
      <c r="F16" s="790"/>
      <c r="G16" s="790"/>
      <c r="H16" s="791"/>
      <c r="I16" s="15"/>
      <c r="J16" s="15"/>
      <c r="K16" s="15"/>
      <c r="L16" s="15"/>
      <c r="M16" s="15"/>
      <c r="N16" s="15"/>
      <c r="O16" s="15"/>
      <c r="P16" s="15"/>
      <c r="Q16" s="15"/>
      <c r="R16" s="15"/>
      <c r="S16" s="15"/>
      <c r="T16" s="15"/>
      <c r="U16" s="15"/>
      <c r="V16" s="15"/>
      <c r="W16" s="15"/>
      <c r="X16" s="15"/>
      <c r="Y16" s="15"/>
      <c r="Z16" s="15"/>
    </row>
    <row r="17" spans="1:26" ht="55.5" customHeight="1" outlineLevel="1" x14ac:dyDescent="0.85">
      <c r="A17" s="840" t="s">
        <v>179</v>
      </c>
      <c r="B17" s="790"/>
      <c r="C17" s="790"/>
      <c r="D17" s="790"/>
      <c r="E17" s="790"/>
      <c r="F17" s="790"/>
      <c r="G17" s="790"/>
      <c r="H17" s="791"/>
      <c r="I17" s="76"/>
      <c r="J17" s="76"/>
      <c r="K17" s="76"/>
      <c r="L17" s="76"/>
      <c r="M17" s="76"/>
      <c r="N17" s="76"/>
      <c r="O17" s="76"/>
      <c r="P17" s="76"/>
      <c r="Q17" s="76"/>
      <c r="R17" s="76"/>
      <c r="S17" s="76"/>
      <c r="T17" s="76"/>
      <c r="U17" s="76"/>
      <c r="V17" s="76"/>
      <c r="W17" s="76"/>
      <c r="X17" s="76"/>
      <c r="Y17" s="76"/>
      <c r="Z17" s="76"/>
    </row>
    <row r="18" spans="1:26" ht="21" customHeight="1" outlineLevel="1" x14ac:dyDescent="0.85">
      <c r="A18" s="840" t="s">
        <v>180</v>
      </c>
      <c r="B18" s="790"/>
      <c r="C18" s="790"/>
      <c r="D18" s="790"/>
      <c r="E18" s="790"/>
      <c r="F18" s="790"/>
      <c r="G18" s="790"/>
      <c r="H18" s="791"/>
      <c r="I18" s="15"/>
      <c r="J18" s="15"/>
      <c r="K18" s="15"/>
      <c r="L18" s="15"/>
      <c r="M18" s="15"/>
      <c r="N18" s="15"/>
      <c r="O18" s="15"/>
      <c r="P18" s="15"/>
      <c r="Q18" s="15"/>
      <c r="R18" s="15"/>
      <c r="S18" s="15"/>
      <c r="T18" s="15"/>
      <c r="U18" s="15"/>
      <c r="V18" s="15"/>
      <c r="W18" s="15"/>
      <c r="X18" s="15"/>
      <c r="Y18" s="15"/>
      <c r="Z18" s="15"/>
    </row>
    <row r="19" spans="1:26" ht="45" customHeight="1" outlineLevel="1" x14ac:dyDescent="0.85">
      <c r="A19" s="840" t="s">
        <v>181</v>
      </c>
      <c r="B19" s="790"/>
      <c r="C19" s="790"/>
      <c r="D19" s="790"/>
      <c r="E19" s="790"/>
      <c r="F19" s="790"/>
      <c r="G19" s="790"/>
      <c r="H19" s="791"/>
      <c r="I19" s="15"/>
      <c r="J19" s="15"/>
      <c r="K19" s="15"/>
      <c r="L19" s="15"/>
      <c r="M19" s="15"/>
      <c r="N19" s="15"/>
      <c r="O19" s="15"/>
      <c r="P19" s="15"/>
      <c r="Q19" s="15"/>
      <c r="R19" s="15"/>
      <c r="S19" s="15"/>
      <c r="T19" s="15"/>
      <c r="U19" s="15"/>
      <c r="V19" s="15"/>
      <c r="W19" s="15"/>
      <c r="X19" s="15"/>
      <c r="Y19" s="15"/>
      <c r="Z19" s="15"/>
    </row>
    <row r="20" spans="1:26" ht="45" customHeight="1" outlineLevel="1" x14ac:dyDescent="0.85">
      <c r="A20" s="840" t="s">
        <v>182</v>
      </c>
      <c r="B20" s="790"/>
      <c r="C20" s="790"/>
      <c r="D20" s="790"/>
      <c r="E20" s="790"/>
      <c r="F20" s="790"/>
      <c r="G20" s="790"/>
      <c r="H20" s="791"/>
      <c r="I20" s="15"/>
      <c r="J20" s="15"/>
      <c r="K20" s="15"/>
      <c r="L20" s="15"/>
      <c r="M20" s="15"/>
      <c r="N20" s="15"/>
      <c r="O20" s="15"/>
      <c r="P20" s="15"/>
      <c r="Q20" s="15"/>
      <c r="R20" s="15"/>
      <c r="S20" s="15"/>
      <c r="T20" s="15"/>
      <c r="U20" s="15"/>
      <c r="V20" s="15"/>
      <c r="W20" s="15"/>
      <c r="X20" s="15"/>
      <c r="Y20" s="15"/>
      <c r="Z20" s="15"/>
    </row>
    <row r="21" spans="1:26" ht="32.25" customHeight="1" x14ac:dyDescent="0.85">
      <c r="A21" s="838" t="s">
        <v>183</v>
      </c>
      <c r="B21" s="765"/>
      <c r="C21" s="765"/>
      <c r="D21" s="765"/>
      <c r="E21" s="765"/>
      <c r="F21" s="765"/>
      <c r="G21" s="765"/>
      <c r="H21" s="765"/>
      <c r="I21" s="765"/>
      <c r="J21" s="765"/>
      <c r="K21" s="765"/>
      <c r="L21" s="765"/>
      <c r="M21" s="762"/>
      <c r="N21" s="15"/>
      <c r="O21" s="15"/>
      <c r="P21" s="15"/>
      <c r="Q21" s="15"/>
      <c r="R21" s="15"/>
      <c r="S21" s="15"/>
      <c r="T21" s="15"/>
      <c r="U21" s="15"/>
      <c r="V21" s="15"/>
      <c r="W21" s="15"/>
      <c r="X21" s="15"/>
      <c r="Y21" s="15"/>
      <c r="Z21" s="15"/>
    </row>
    <row r="22" spans="1:26" ht="19.5" customHeight="1" outlineLevel="1" x14ac:dyDescent="0.85">
      <c r="A22" s="839" t="s">
        <v>184</v>
      </c>
      <c r="B22" s="813"/>
      <c r="C22" s="813"/>
      <c r="D22" s="813"/>
      <c r="E22" s="813"/>
      <c r="F22" s="813"/>
      <c r="G22" s="813"/>
      <c r="H22" s="814"/>
      <c r="I22" s="15"/>
      <c r="J22" s="15"/>
      <c r="K22" s="15"/>
      <c r="L22" s="15"/>
      <c r="M22" s="15"/>
      <c r="N22" s="15"/>
      <c r="O22" s="15"/>
      <c r="P22" s="15"/>
      <c r="Q22" s="15"/>
      <c r="R22" s="15"/>
      <c r="S22" s="15"/>
      <c r="T22" s="15"/>
      <c r="U22" s="15"/>
      <c r="V22" s="15"/>
      <c r="W22" s="15"/>
      <c r="X22" s="15"/>
      <c r="Y22" s="15"/>
      <c r="Z22" s="15"/>
    </row>
    <row r="23" spans="1:26" ht="19.5" customHeight="1" outlineLevel="2" x14ac:dyDescent="0.85">
      <c r="A23" s="806" t="s">
        <v>185</v>
      </c>
      <c r="B23" s="765"/>
      <c r="C23" s="765"/>
      <c r="D23" s="765"/>
      <c r="E23" s="765"/>
      <c r="F23" s="765"/>
      <c r="G23" s="765"/>
      <c r="H23" s="762"/>
      <c r="I23" s="15"/>
      <c r="J23" s="15"/>
      <c r="K23" s="15"/>
      <c r="L23" s="15"/>
      <c r="M23" s="15"/>
      <c r="N23" s="15"/>
      <c r="O23" s="15"/>
      <c r="P23" s="15"/>
      <c r="Q23" s="15"/>
      <c r="R23" s="15"/>
      <c r="S23" s="15"/>
      <c r="T23" s="15"/>
      <c r="U23" s="15"/>
      <c r="V23" s="15"/>
      <c r="W23" s="15"/>
      <c r="X23" s="15"/>
      <c r="Y23" s="15"/>
      <c r="Z23" s="15"/>
    </row>
    <row r="24" spans="1:26" ht="19.5" customHeight="1" outlineLevel="2" x14ac:dyDescent="0.85">
      <c r="A24" s="78" t="s">
        <v>186</v>
      </c>
      <c r="B24" s="78" t="s">
        <v>165</v>
      </c>
      <c r="C24" s="78" t="s">
        <v>166</v>
      </c>
      <c r="D24" s="78" t="s">
        <v>187</v>
      </c>
      <c r="E24" s="78" t="s">
        <v>168</v>
      </c>
      <c r="F24" s="802" t="s">
        <v>138</v>
      </c>
      <c r="G24" s="765"/>
      <c r="H24" s="762"/>
      <c r="I24" s="15"/>
      <c r="J24" s="15"/>
      <c r="K24" s="15"/>
      <c r="L24" s="15"/>
      <c r="M24" s="15"/>
      <c r="N24" s="15"/>
      <c r="O24" s="15"/>
      <c r="P24" s="15"/>
      <c r="Q24" s="15"/>
      <c r="R24" s="15"/>
      <c r="S24" s="15"/>
      <c r="T24" s="15"/>
      <c r="U24" s="15"/>
      <c r="V24" s="15"/>
      <c r="W24" s="15"/>
      <c r="X24" s="15"/>
      <c r="Y24" s="15"/>
      <c r="Z24" s="15"/>
    </row>
    <row r="25" spans="1:26" ht="19.5" customHeight="1" outlineLevel="2" x14ac:dyDescent="0.85">
      <c r="A25" s="79">
        <v>0.41899999999999998</v>
      </c>
      <c r="B25" s="80" t="s">
        <v>188</v>
      </c>
      <c r="C25" s="79">
        <v>0.08</v>
      </c>
      <c r="D25" s="81">
        <v>0.121</v>
      </c>
      <c r="E25" s="81">
        <v>0.02</v>
      </c>
      <c r="F25" s="833" t="s">
        <v>189</v>
      </c>
      <c r="G25" s="765"/>
      <c r="H25" s="762"/>
      <c r="I25" s="15"/>
      <c r="J25" s="15"/>
      <c r="K25" s="15"/>
      <c r="L25" s="15"/>
      <c r="M25" s="15"/>
      <c r="N25" s="15"/>
      <c r="O25" s="15"/>
      <c r="P25" s="15"/>
      <c r="Q25" s="15"/>
      <c r="R25" s="15"/>
      <c r="S25" s="15"/>
      <c r="T25" s="15"/>
      <c r="U25" s="15"/>
      <c r="V25" s="15"/>
      <c r="W25" s="15"/>
      <c r="X25" s="15"/>
      <c r="Y25" s="15"/>
      <c r="Z25" s="15"/>
    </row>
    <row r="26" spans="1:26" ht="19.5" customHeight="1" outlineLevel="2" x14ac:dyDescent="0.85">
      <c r="A26" s="806" t="s">
        <v>190</v>
      </c>
      <c r="B26" s="765"/>
      <c r="C26" s="765"/>
      <c r="D26" s="765"/>
      <c r="E26" s="765"/>
      <c r="F26" s="765"/>
      <c r="G26" s="765"/>
      <c r="H26" s="762"/>
      <c r="I26" s="15"/>
      <c r="J26" s="15"/>
      <c r="K26" s="15"/>
      <c r="L26" s="15"/>
      <c r="M26" s="15"/>
      <c r="N26" s="15"/>
      <c r="O26" s="15"/>
      <c r="P26" s="15"/>
      <c r="Q26" s="15"/>
      <c r="R26" s="15"/>
      <c r="S26" s="15"/>
      <c r="T26" s="15"/>
      <c r="U26" s="15"/>
      <c r="V26" s="15"/>
      <c r="W26" s="15"/>
      <c r="X26" s="15"/>
      <c r="Y26" s="15"/>
      <c r="Z26" s="15"/>
    </row>
    <row r="27" spans="1:26" ht="19.5" customHeight="1" outlineLevel="2" x14ac:dyDescent="0.85">
      <c r="A27" s="805" t="s">
        <v>191</v>
      </c>
      <c r="B27" s="765"/>
      <c r="C27" s="765"/>
      <c r="D27" s="765"/>
      <c r="E27" s="765"/>
      <c r="F27" s="765"/>
      <c r="G27" s="765"/>
      <c r="H27" s="762"/>
      <c r="I27" s="15"/>
      <c r="J27" s="15"/>
      <c r="K27" s="15"/>
      <c r="L27" s="15"/>
      <c r="M27" s="15"/>
      <c r="N27" s="15"/>
      <c r="O27" s="15"/>
      <c r="P27" s="15"/>
      <c r="Q27" s="15"/>
      <c r="R27" s="15"/>
      <c r="S27" s="15"/>
      <c r="T27" s="15"/>
      <c r="U27" s="15"/>
      <c r="V27" s="15"/>
      <c r="W27" s="15"/>
      <c r="X27" s="15"/>
      <c r="Y27" s="15"/>
      <c r="Z27" s="15"/>
    </row>
    <row r="28" spans="1:26" ht="19.5" customHeight="1" outlineLevel="2" x14ac:dyDescent="0.85">
      <c r="A28" s="78" t="s">
        <v>192</v>
      </c>
      <c r="B28" s="78" t="s">
        <v>165</v>
      </c>
      <c r="C28" s="78" t="s">
        <v>166</v>
      </c>
      <c r="D28" s="78" t="s">
        <v>193</v>
      </c>
      <c r="E28" s="78" t="s">
        <v>168</v>
      </c>
      <c r="F28" s="802" t="s">
        <v>138</v>
      </c>
      <c r="G28" s="765"/>
      <c r="H28" s="762"/>
      <c r="I28" s="15"/>
      <c r="J28" s="15"/>
      <c r="K28" s="15"/>
      <c r="L28" s="15"/>
      <c r="M28" s="15"/>
      <c r="N28" s="15"/>
      <c r="O28" s="15"/>
      <c r="P28" s="15"/>
      <c r="Q28" s="15"/>
      <c r="R28" s="15"/>
      <c r="S28" s="15"/>
      <c r="T28" s="15"/>
      <c r="U28" s="15"/>
      <c r="V28" s="15"/>
      <c r="W28" s="15"/>
      <c r="X28" s="15"/>
      <c r="Y28" s="15"/>
      <c r="Z28" s="15"/>
    </row>
    <row r="29" spans="1:26" ht="19.5" customHeight="1" outlineLevel="2" x14ac:dyDescent="0.85">
      <c r="A29" s="80">
        <v>100</v>
      </c>
      <c r="B29" s="80">
        <v>84</v>
      </c>
      <c r="C29" s="81">
        <v>7.6</v>
      </c>
      <c r="D29" s="81">
        <v>0.6</v>
      </c>
      <c r="E29" s="81">
        <v>5.5</v>
      </c>
      <c r="F29" s="833" t="s">
        <v>194</v>
      </c>
      <c r="G29" s="765"/>
      <c r="H29" s="762"/>
      <c r="I29" s="15"/>
      <c r="J29" s="15"/>
      <c r="K29" s="15"/>
      <c r="L29" s="15"/>
      <c r="M29" s="15"/>
      <c r="N29" s="15"/>
      <c r="O29" s="15"/>
      <c r="P29" s="15"/>
      <c r="Q29" s="15"/>
      <c r="R29" s="15"/>
      <c r="S29" s="15"/>
      <c r="T29" s="15"/>
      <c r="U29" s="15"/>
      <c r="V29" s="15"/>
      <c r="W29" s="15"/>
      <c r="X29" s="15"/>
      <c r="Y29" s="15"/>
      <c r="Z29" s="15"/>
    </row>
    <row r="30" spans="1:26" ht="19.5" customHeight="1" outlineLevel="2" x14ac:dyDescent="0.85">
      <c r="A30" s="805" t="s">
        <v>195</v>
      </c>
      <c r="B30" s="765"/>
      <c r="C30" s="765"/>
      <c r="D30" s="765"/>
      <c r="E30" s="765"/>
      <c r="F30" s="765"/>
      <c r="G30" s="765"/>
      <c r="H30" s="762"/>
      <c r="I30" s="15"/>
      <c r="J30" s="15"/>
      <c r="K30" s="15"/>
      <c r="L30" s="15"/>
      <c r="M30" s="15"/>
      <c r="N30" s="15"/>
      <c r="O30" s="15"/>
      <c r="P30" s="15"/>
      <c r="Q30" s="15"/>
      <c r="R30" s="15"/>
      <c r="S30" s="15"/>
      <c r="T30" s="15"/>
      <c r="U30" s="15"/>
      <c r="V30" s="15"/>
      <c r="W30" s="15"/>
      <c r="X30" s="15"/>
      <c r="Y30" s="15"/>
      <c r="Z30" s="15"/>
    </row>
    <row r="31" spans="1:26" ht="19.5" customHeight="1" outlineLevel="2" x14ac:dyDescent="0.85">
      <c r="A31" s="78" t="s">
        <v>196</v>
      </c>
      <c r="B31" s="78" t="s">
        <v>165</v>
      </c>
      <c r="C31" s="78" t="s">
        <v>166</v>
      </c>
      <c r="D31" s="78" t="s">
        <v>197</v>
      </c>
      <c r="E31" s="78" t="s">
        <v>168</v>
      </c>
      <c r="F31" s="802" t="s">
        <v>138</v>
      </c>
      <c r="G31" s="765"/>
      <c r="H31" s="762"/>
      <c r="I31" s="15"/>
      <c r="J31" s="15"/>
      <c r="K31" s="15"/>
      <c r="L31" s="15"/>
      <c r="M31" s="15"/>
      <c r="N31" s="15"/>
      <c r="O31" s="15"/>
      <c r="P31" s="15"/>
      <c r="Q31" s="15"/>
      <c r="R31" s="15"/>
      <c r="S31" s="15"/>
      <c r="T31" s="15"/>
      <c r="U31" s="15"/>
      <c r="V31" s="15"/>
      <c r="W31" s="15"/>
      <c r="X31" s="15"/>
      <c r="Y31" s="15"/>
      <c r="Z31" s="15"/>
    </row>
    <row r="32" spans="1:26" ht="19.5" customHeight="1" outlineLevel="2" x14ac:dyDescent="0.85">
      <c r="A32" s="80">
        <v>94</v>
      </c>
      <c r="B32" s="80">
        <v>40</v>
      </c>
      <c r="C32" s="81">
        <v>7.6</v>
      </c>
      <c r="D32" s="81">
        <v>0.6</v>
      </c>
      <c r="E32" s="81">
        <v>5.5</v>
      </c>
      <c r="F32" s="833" t="s">
        <v>198</v>
      </c>
      <c r="G32" s="765"/>
      <c r="H32" s="762"/>
      <c r="I32" s="15"/>
      <c r="J32" s="15"/>
      <c r="K32" s="15"/>
      <c r="L32" s="15"/>
      <c r="M32" s="15"/>
      <c r="N32" s="15"/>
      <c r="O32" s="15"/>
      <c r="P32" s="15"/>
      <c r="Q32" s="15"/>
      <c r="R32" s="15"/>
      <c r="S32" s="15"/>
      <c r="T32" s="15"/>
      <c r="U32" s="15"/>
      <c r="V32" s="15"/>
      <c r="W32" s="15"/>
      <c r="X32" s="15"/>
      <c r="Y32" s="15"/>
      <c r="Z32" s="15"/>
    </row>
    <row r="33" spans="1:26" ht="19.5" customHeight="1" outlineLevel="2" x14ac:dyDescent="0.85">
      <c r="A33" s="806" t="s">
        <v>199</v>
      </c>
      <c r="B33" s="765"/>
      <c r="C33" s="765"/>
      <c r="D33" s="765"/>
      <c r="E33" s="765"/>
      <c r="F33" s="765"/>
      <c r="G33" s="765"/>
      <c r="H33" s="762"/>
      <c r="I33" s="15"/>
      <c r="J33" s="15"/>
      <c r="K33" s="15"/>
      <c r="L33" s="15"/>
      <c r="M33" s="15"/>
      <c r="N33" s="15"/>
      <c r="O33" s="15"/>
      <c r="P33" s="15"/>
      <c r="Q33" s="15"/>
      <c r="R33" s="15"/>
      <c r="S33" s="15"/>
      <c r="T33" s="15"/>
      <c r="U33" s="15"/>
      <c r="V33" s="15"/>
      <c r="W33" s="15"/>
      <c r="X33" s="15"/>
      <c r="Y33" s="15"/>
      <c r="Z33" s="15"/>
    </row>
    <row r="34" spans="1:26" ht="19.5" customHeight="1" outlineLevel="2" x14ac:dyDescent="0.85">
      <c r="A34" s="78" t="s">
        <v>200</v>
      </c>
      <c r="B34" s="78" t="s">
        <v>165</v>
      </c>
      <c r="C34" s="78" t="s">
        <v>166</v>
      </c>
      <c r="D34" s="78" t="s">
        <v>201</v>
      </c>
      <c r="E34" s="78" t="s">
        <v>168</v>
      </c>
      <c r="F34" s="802" t="s">
        <v>138</v>
      </c>
      <c r="G34" s="765"/>
      <c r="H34" s="762"/>
      <c r="I34" s="15"/>
      <c r="J34" s="15"/>
      <c r="K34" s="15"/>
      <c r="L34" s="15"/>
      <c r="M34" s="15"/>
      <c r="N34" s="15"/>
      <c r="O34" s="15"/>
      <c r="P34" s="15"/>
      <c r="Q34" s="15"/>
      <c r="R34" s="15"/>
      <c r="S34" s="15"/>
      <c r="T34" s="15"/>
      <c r="U34" s="15"/>
      <c r="V34" s="15"/>
      <c r="W34" s="15"/>
      <c r="X34" s="15"/>
      <c r="Y34" s="15"/>
      <c r="Z34" s="15"/>
    </row>
    <row r="35" spans="1:26" ht="19.5" customHeight="1" outlineLevel="2" x14ac:dyDescent="0.85">
      <c r="A35" s="81">
        <v>0.7</v>
      </c>
      <c r="B35" s="81">
        <v>7.5</v>
      </c>
      <c r="C35" s="81">
        <v>0.7</v>
      </c>
      <c r="D35" s="79">
        <f>0.1*0.0254</f>
        <v>2.5400000000000002E-3</v>
      </c>
      <c r="E35" s="81" t="s">
        <v>188</v>
      </c>
      <c r="F35" s="833" t="s">
        <v>202</v>
      </c>
      <c r="G35" s="765"/>
      <c r="H35" s="762"/>
      <c r="I35" s="15"/>
      <c r="J35" s="15"/>
      <c r="K35" s="15"/>
      <c r="L35" s="15"/>
      <c r="M35" s="15"/>
      <c r="N35" s="15"/>
      <c r="O35" s="15"/>
      <c r="P35" s="15"/>
      <c r="Q35" s="15"/>
      <c r="R35" s="15"/>
      <c r="S35" s="15"/>
      <c r="T35" s="15"/>
      <c r="U35" s="15"/>
      <c r="V35" s="15"/>
      <c r="W35" s="15"/>
      <c r="X35" s="15"/>
      <c r="Y35" s="15"/>
      <c r="Z35" s="15"/>
    </row>
    <row r="36" spans="1:26" ht="19.5" customHeight="1" outlineLevel="2" x14ac:dyDescent="0.85">
      <c r="A36" s="806" t="s">
        <v>203</v>
      </c>
      <c r="B36" s="765"/>
      <c r="C36" s="765"/>
      <c r="D36" s="765"/>
      <c r="E36" s="765"/>
      <c r="F36" s="765"/>
      <c r="G36" s="765"/>
      <c r="H36" s="762"/>
      <c r="I36" s="15"/>
      <c r="J36" s="15"/>
      <c r="K36" s="15"/>
      <c r="L36" s="15"/>
      <c r="M36" s="15"/>
      <c r="N36" s="15"/>
      <c r="O36" s="15"/>
      <c r="P36" s="15"/>
      <c r="Q36" s="15"/>
      <c r="R36" s="15"/>
      <c r="S36" s="15"/>
      <c r="T36" s="15"/>
      <c r="U36" s="15"/>
      <c r="V36" s="15"/>
      <c r="W36" s="15"/>
      <c r="X36" s="15"/>
      <c r="Y36" s="15"/>
      <c r="Z36" s="15"/>
    </row>
    <row r="37" spans="1:26" ht="19.5" customHeight="1" outlineLevel="2" x14ac:dyDescent="0.85">
      <c r="A37" s="78" t="s">
        <v>204</v>
      </c>
      <c r="B37" s="78" t="s">
        <v>165</v>
      </c>
      <c r="C37" s="78" t="s">
        <v>166</v>
      </c>
      <c r="D37" s="78" t="s">
        <v>205</v>
      </c>
      <c r="E37" s="78" t="s">
        <v>168</v>
      </c>
      <c r="F37" s="802" t="s">
        <v>138</v>
      </c>
      <c r="G37" s="765"/>
      <c r="H37" s="762"/>
      <c r="I37" s="15"/>
      <c r="J37" s="15"/>
      <c r="K37" s="15"/>
      <c r="L37" s="15"/>
      <c r="M37" s="15"/>
      <c r="N37" s="15"/>
      <c r="O37" s="15"/>
      <c r="P37" s="15"/>
      <c r="Q37" s="15"/>
      <c r="R37" s="15"/>
      <c r="S37" s="15"/>
      <c r="T37" s="15"/>
      <c r="U37" s="15"/>
      <c r="V37" s="15"/>
      <c r="W37" s="15"/>
      <c r="X37" s="15"/>
      <c r="Y37" s="15"/>
      <c r="Z37" s="15"/>
    </row>
    <row r="38" spans="1:26" ht="19.5" customHeight="1" outlineLevel="2" x14ac:dyDescent="0.85">
      <c r="A38" s="80">
        <v>24</v>
      </c>
      <c r="B38" s="80">
        <v>5</v>
      </c>
      <c r="C38" s="80">
        <v>2</v>
      </c>
      <c r="D38" s="79">
        <f>142*0.0015</f>
        <v>0.21299999999999999</v>
      </c>
      <c r="E38" s="81" t="s">
        <v>188</v>
      </c>
      <c r="F38" s="833" t="s">
        <v>206</v>
      </c>
      <c r="G38" s="765"/>
      <c r="H38" s="762"/>
      <c r="I38" s="15"/>
      <c r="J38" s="15"/>
      <c r="K38" s="15"/>
      <c r="L38" s="15"/>
      <c r="M38" s="15"/>
      <c r="N38" s="15"/>
      <c r="O38" s="15"/>
      <c r="P38" s="15"/>
      <c r="Q38" s="15"/>
      <c r="R38" s="15"/>
      <c r="S38" s="15"/>
      <c r="T38" s="15"/>
      <c r="U38" s="15"/>
      <c r="V38" s="15"/>
      <c r="W38" s="15"/>
      <c r="X38" s="15"/>
      <c r="Y38" s="15"/>
      <c r="Z38" s="15"/>
    </row>
    <row r="39" spans="1:26" ht="19.5" customHeight="1" outlineLevel="2" x14ac:dyDescent="0.85">
      <c r="A39" s="806" t="s">
        <v>207</v>
      </c>
      <c r="B39" s="765"/>
      <c r="C39" s="765"/>
      <c r="D39" s="765"/>
      <c r="E39" s="765"/>
      <c r="F39" s="765"/>
      <c r="G39" s="765"/>
      <c r="H39" s="762"/>
      <c r="I39" s="15"/>
      <c r="J39" s="15"/>
      <c r="K39" s="15"/>
      <c r="L39" s="15"/>
      <c r="M39" s="15"/>
      <c r="N39" s="15"/>
      <c r="O39" s="15"/>
      <c r="P39" s="15"/>
      <c r="Q39" s="15"/>
      <c r="R39" s="15"/>
      <c r="S39" s="15"/>
      <c r="T39" s="15"/>
      <c r="U39" s="15"/>
      <c r="V39" s="15"/>
      <c r="W39" s="15"/>
      <c r="X39" s="15"/>
      <c r="Y39" s="15"/>
      <c r="Z39" s="15"/>
    </row>
    <row r="40" spans="1:26" ht="19.5" customHeight="1" outlineLevel="2" x14ac:dyDescent="0.85">
      <c r="A40" s="78" t="s">
        <v>208</v>
      </c>
      <c r="B40" s="78" t="s">
        <v>165</v>
      </c>
      <c r="C40" s="78" t="s">
        <v>166</v>
      </c>
      <c r="D40" s="78" t="s">
        <v>209</v>
      </c>
      <c r="E40" s="78" t="s">
        <v>168</v>
      </c>
      <c r="F40" s="802" t="s">
        <v>138</v>
      </c>
      <c r="G40" s="765"/>
      <c r="H40" s="762"/>
      <c r="I40" s="15"/>
      <c r="J40" s="15"/>
      <c r="K40" s="15"/>
      <c r="L40" s="15"/>
      <c r="M40" s="15"/>
      <c r="N40" s="15"/>
      <c r="O40" s="15"/>
      <c r="P40" s="15"/>
      <c r="Q40" s="15"/>
      <c r="R40" s="15"/>
      <c r="S40" s="15"/>
      <c r="T40" s="15"/>
      <c r="U40" s="15"/>
      <c r="V40" s="15"/>
      <c r="W40" s="15"/>
      <c r="X40" s="15"/>
      <c r="Y40" s="15"/>
      <c r="Z40" s="15"/>
    </row>
    <row r="41" spans="1:26" ht="19.5" customHeight="1" outlineLevel="2" x14ac:dyDescent="0.85">
      <c r="A41" s="82">
        <v>2.8</v>
      </c>
      <c r="B41" s="82">
        <v>230.8</v>
      </c>
      <c r="C41" s="82">
        <v>30.6</v>
      </c>
      <c r="D41" s="83">
        <v>0.4</v>
      </c>
      <c r="E41" s="84" t="s">
        <v>188</v>
      </c>
      <c r="F41" s="833" t="s">
        <v>210</v>
      </c>
      <c r="G41" s="765"/>
      <c r="H41" s="762"/>
      <c r="I41" s="15"/>
      <c r="J41" s="15"/>
      <c r="K41" s="15"/>
      <c r="L41" s="15"/>
      <c r="M41" s="15"/>
      <c r="N41" s="15"/>
      <c r="O41" s="15"/>
      <c r="P41" s="15"/>
      <c r="Q41" s="15"/>
      <c r="R41" s="15"/>
      <c r="S41" s="15"/>
      <c r="T41" s="15"/>
      <c r="U41" s="15"/>
      <c r="V41" s="15"/>
      <c r="W41" s="15"/>
      <c r="X41" s="15"/>
      <c r="Y41" s="15"/>
      <c r="Z41" s="15"/>
    </row>
    <row r="42" spans="1:26" ht="21" customHeight="1" outlineLevel="1" x14ac:dyDescent="0.85">
      <c r="A42" s="804" t="s">
        <v>131</v>
      </c>
      <c r="B42" s="765"/>
      <c r="C42" s="765"/>
      <c r="D42" s="765"/>
      <c r="E42" s="765"/>
      <c r="F42" s="765"/>
      <c r="G42" s="765"/>
      <c r="H42" s="765"/>
      <c r="I42" s="762"/>
      <c r="J42" s="15"/>
      <c r="K42" s="15"/>
      <c r="L42" s="15"/>
      <c r="M42" s="15"/>
      <c r="N42" s="15"/>
      <c r="O42" s="15"/>
      <c r="P42" s="15"/>
      <c r="Q42" s="15"/>
      <c r="R42" s="15"/>
      <c r="S42" s="15"/>
      <c r="T42" s="15"/>
      <c r="U42" s="15"/>
      <c r="V42" s="15"/>
      <c r="W42" s="15"/>
      <c r="X42" s="15"/>
      <c r="Y42" s="15"/>
      <c r="Z42" s="15"/>
    </row>
    <row r="43" spans="1:26" ht="21" customHeight="1" outlineLevel="2" x14ac:dyDescent="0.85">
      <c r="A43" s="806" t="s">
        <v>211</v>
      </c>
      <c r="B43" s="765"/>
      <c r="C43" s="765"/>
      <c r="D43" s="765"/>
      <c r="E43" s="765"/>
      <c r="F43" s="765"/>
      <c r="G43" s="765"/>
      <c r="H43" s="765"/>
      <c r="I43" s="762"/>
      <c r="J43" s="15"/>
      <c r="K43" s="15"/>
      <c r="L43" s="15"/>
      <c r="M43" s="15"/>
      <c r="N43" s="15"/>
      <c r="O43" s="15"/>
      <c r="P43" s="15"/>
      <c r="Q43" s="15"/>
      <c r="R43" s="15"/>
      <c r="S43" s="15"/>
      <c r="T43" s="15"/>
      <c r="U43" s="15"/>
      <c r="V43" s="15"/>
      <c r="W43" s="15"/>
      <c r="X43" s="15"/>
      <c r="Y43" s="15"/>
      <c r="Z43" s="15"/>
    </row>
    <row r="44" spans="1:26" ht="21" customHeight="1" outlineLevel="2" x14ac:dyDescent="0.85">
      <c r="A44" s="85" t="s">
        <v>212</v>
      </c>
      <c r="B44" s="85" t="s">
        <v>213</v>
      </c>
      <c r="C44" s="85" t="s">
        <v>165</v>
      </c>
      <c r="D44" s="85" t="s">
        <v>214</v>
      </c>
      <c r="E44" s="85" t="s">
        <v>215</v>
      </c>
      <c r="F44" s="85" t="s">
        <v>216</v>
      </c>
      <c r="G44" s="85" t="s">
        <v>168</v>
      </c>
      <c r="H44" s="802" t="s">
        <v>138</v>
      </c>
      <c r="I44" s="762"/>
      <c r="J44" s="15"/>
      <c r="K44" s="15"/>
      <c r="L44" s="15"/>
      <c r="M44" s="15"/>
      <c r="N44" s="15"/>
      <c r="O44" s="15"/>
      <c r="P44" s="15"/>
      <c r="Q44" s="15"/>
      <c r="R44" s="15"/>
      <c r="S44" s="15"/>
      <c r="T44" s="15"/>
      <c r="U44" s="15"/>
      <c r="V44" s="15"/>
      <c r="W44" s="15"/>
      <c r="X44" s="15"/>
      <c r="Y44" s="15"/>
      <c r="Z44" s="15"/>
    </row>
    <row r="45" spans="1:26" ht="21" customHeight="1" outlineLevel="2" x14ac:dyDescent="0.85">
      <c r="A45" s="86" t="s">
        <v>217</v>
      </c>
      <c r="B45" s="79">
        <v>0.09</v>
      </c>
      <c r="C45" s="79">
        <v>2.9860000000000002</v>
      </c>
      <c r="D45" s="79">
        <v>6.0000000000000001E-3</v>
      </c>
      <c r="E45" s="79">
        <v>3.3000000000000002E-2</v>
      </c>
      <c r="F45" s="79">
        <v>5.4999999999999997E-3</v>
      </c>
      <c r="G45" s="79">
        <v>0.23799999999999999</v>
      </c>
      <c r="H45" s="834" t="s">
        <v>218</v>
      </c>
      <c r="I45" s="825"/>
      <c r="J45" s="835"/>
      <c r="K45" s="818"/>
      <c r="L45" s="818"/>
      <c r="M45" s="818"/>
      <c r="N45" s="819"/>
      <c r="O45" s="76"/>
      <c r="P45" s="76"/>
      <c r="Q45" s="76"/>
      <c r="R45" s="76"/>
      <c r="S45" s="76"/>
      <c r="T45" s="76"/>
      <c r="U45" s="76"/>
      <c r="V45" s="76"/>
      <c r="W45" s="76"/>
      <c r="X45" s="76"/>
      <c r="Y45" s="76"/>
      <c r="Z45" s="76"/>
    </row>
    <row r="46" spans="1:26" ht="21" customHeight="1" outlineLevel="2" x14ac:dyDescent="0.85">
      <c r="A46" s="86" t="s">
        <v>219</v>
      </c>
      <c r="B46" s="79">
        <v>0.107</v>
      </c>
      <c r="C46" s="79">
        <v>3.0270000000000001</v>
      </c>
      <c r="D46" s="79">
        <v>7.0000000000000001E-3</v>
      </c>
      <c r="E46" s="79">
        <v>3.5000000000000003E-2</v>
      </c>
      <c r="F46" s="79">
        <v>7.3000000000000001E-3</v>
      </c>
      <c r="G46" s="79">
        <v>0.19500000000000001</v>
      </c>
      <c r="H46" s="809"/>
      <c r="I46" s="826"/>
      <c r="J46" s="836"/>
      <c r="K46" s="785"/>
      <c r="L46" s="785"/>
      <c r="M46" s="785"/>
      <c r="N46" s="820"/>
      <c r="O46" s="76"/>
      <c r="P46" s="76"/>
      <c r="Q46" s="76"/>
      <c r="R46" s="76"/>
      <c r="S46" s="76"/>
      <c r="T46" s="76"/>
      <c r="U46" s="76"/>
      <c r="V46" s="76"/>
      <c r="W46" s="76"/>
      <c r="X46" s="76"/>
      <c r="Y46" s="76"/>
      <c r="Z46" s="76"/>
    </row>
    <row r="47" spans="1:26" ht="21" customHeight="1" outlineLevel="2" x14ac:dyDescent="0.85">
      <c r="A47" s="86" t="s">
        <v>220</v>
      </c>
      <c r="B47" s="79" t="s">
        <v>106</v>
      </c>
      <c r="C47" s="79" t="s">
        <v>106</v>
      </c>
      <c r="D47" s="79" t="s">
        <v>106</v>
      </c>
      <c r="E47" s="79" t="s">
        <v>106</v>
      </c>
      <c r="F47" s="79" t="s">
        <v>106</v>
      </c>
      <c r="G47" s="79" t="s">
        <v>106</v>
      </c>
      <c r="H47" s="809"/>
      <c r="I47" s="826"/>
      <c r="J47" s="836"/>
      <c r="K47" s="785"/>
      <c r="L47" s="785"/>
      <c r="M47" s="785"/>
      <c r="N47" s="820"/>
      <c r="O47" s="76"/>
      <c r="P47" s="76"/>
      <c r="Q47" s="76"/>
      <c r="R47" s="76"/>
      <c r="S47" s="76"/>
      <c r="T47" s="76"/>
      <c r="U47" s="76"/>
      <c r="V47" s="76"/>
      <c r="W47" s="76"/>
      <c r="X47" s="76"/>
      <c r="Y47" s="76"/>
      <c r="Z47" s="76"/>
    </row>
    <row r="48" spans="1:26" ht="21" customHeight="1" outlineLevel="2" x14ac:dyDescent="0.85">
      <c r="A48" s="86" t="s">
        <v>221</v>
      </c>
      <c r="B48" s="79">
        <v>0.60299999999999998</v>
      </c>
      <c r="C48" s="79">
        <v>23.84</v>
      </c>
      <c r="D48" s="79">
        <v>3.9E-2</v>
      </c>
      <c r="E48" s="79">
        <v>0.13900000000000001</v>
      </c>
      <c r="F48" s="79">
        <v>1.49E-2</v>
      </c>
      <c r="G48" s="79">
        <v>1.9450000000000001</v>
      </c>
      <c r="H48" s="809"/>
      <c r="I48" s="826"/>
      <c r="J48" s="836"/>
      <c r="K48" s="785"/>
      <c r="L48" s="785"/>
      <c r="M48" s="785"/>
      <c r="N48" s="820"/>
      <c r="O48" s="76"/>
      <c r="P48" s="76"/>
      <c r="Q48" s="76"/>
      <c r="R48" s="76"/>
      <c r="S48" s="76"/>
      <c r="T48" s="76"/>
      <c r="U48" s="76"/>
      <c r="V48" s="76"/>
      <c r="W48" s="76"/>
      <c r="X48" s="76"/>
      <c r="Y48" s="76"/>
      <c r="Z48" s="76"/>
    </row>
    <row r="49" spans="1:26" ht="21" customHeight="1" outlineLevel="2" x14ac:dyDescent="0.85">
      <c r="A49" s="87" t="s">
        <v>222</v>
      </c>
      <c r="B49" s="88">
        <v>0.68769999999999998</v>
      </c>
      <c r="C49" s="88">
        <v>13.046799999999999</v>
      </c>
      <c r="D49" s="88"/>
      <c r="E49" s="88"/>
      <c r="F49" s="88">
        <v>6.3E-3</v>
      </c>
      <c r="G49" s="88">
        <f>0.9648+0.4701</f>
        <v>1.4349000000000001</v>
      </c>
      <c r="H49" s="810"/>
      <c r="I49" s="767"/>
      <c r="J49" s="836"/>
      <c r="K49" s="785"/>
      <c r="L49" s="785"/>
      <c r="M49" s="785"/>
      <c r="N49" s="820"/>
      <c r="O49" s="76"/>
      <c r="P49" s="76"/>
      <c r="Q49" s="76"/>
      <c r="R49" s="76"/>
      <c r="S49" s="76"/>
      <c r="T49" s="76"/>
      <c r="U49" s="76"/>
      <c r="V49" s="76"/>
      <c r="W49" s="76"/>
      <c r="X49" s="76"/>
      <c r="Y49" s="76"/>
      <c r="Z49" s="76"/>
    </row>
    <row r="50" spans="1:26" ht="21" customHeight="1" outlineLevel="2" x14ac:dyDescent="0.85">
      <c r="A50" s="806" t="s">
        <v>223</v>
      </c>
      <c r="B50" s="765"/>
      <c r="C50" s="765"/>
      <c r="D50" s="765"/>
      <c r="E50" s="765"/>
      <c r="F50" s="765"/>
      <c r="G50" s="765"/>
      <c r="H50" s="765"/>
      <c r="I50" s="762"/>
      <c r="J50" s="837"/>
      <c r="K50" s="822"/>
      <c r="L50" s="822"/>
      <c r="M50" s="822"/>
      <c r="N50" s="823"/>
      <c r="O50" s="15"/>
      <c r="P50" s="15"/>
      <c r="Q50" s="15"/>
      <c r="R50" s="15"/>
      <c r="S50" s="15"/>
      <c r="T50" s="15"/>
      <c r="U50" s="15"/>
      <c r="V50" s="15"/>
      <c r="W50" s="15"/>
      <c r="X50" s="15"/>
      <c r="Y50" s="15"/>
      <c r="Z50" s="15"/>
    </row>
    <row r="51" spans="1:26" ht="21" customHeight="1" outlineLevel="2" x14ac:dyDescent="0.85">
      <c r="A51" s="85" t="s">
        <v>212</v>
      </c>
      <c r="B51" s="85" t="s">
        <v>224</v>
      </c>
      <c r="C51" s="85" t="s">
        <v>165</v>
      </c>
      <c r="D51" s="85" t="s">
        <v>225</v>
      </c>
      <c r="E51" s="85" t="s">
        <v>226</v>
      </c>
      <c r="F51" s="85" t="s">
        <v>227</v>
      </c>
      <c r="G51" s="85" t="s">
        <v>168</v>
      </c>
      <c r="H51" s="802" t="s">
        <v>138</v>
      </c>
      <c r="I51" s="762"/>
      <c r="J51" s="817"/>
      <c r="K51" s="818"/>
      <c r="L51" s="818"/>
      <c r="M51" s="818"/>
      <c r="N51" s="819"/>
      <c r="O51" s="15"/>
      <c r="P51" s="15"/>
      <c r="Q51" s="15"/>
      <c r="R51" s="15"/>
      <c r="S51" s="15"/>
      <c r="T51" s="15"/>
      <c r="U51" s="15"/>
      <c r="V51" s="15"/>
      <c r="W51" s="15"/>
      <c r="X51" s="15"/>
      <c r="Y51" s="15"/>
      <c r="Z51" s="15"/>
    </row>
    <row r="52" spans="1:26" ht="21" customHeight="1" outlineLevel="2" x14ac:dyDescent="0.85">
      <c r="A52" s="89" t="s">
        <v>217</v>
      </c>
      <c r="B52" s="79">
        <v>9.8000000000000004E-2</v>
      </c>
      <c r="C52" s="79">
        <v>3.5449999999999999</v>
      </c>
      <c r="D52" s="79">
        <v>5.0000000000000001E-3</v>
      </c>
      <c r="E52" s="79">
        <v>3.3000000000000002E-2</v>
      </c>
      <c r="F52" s="79">
        <v>3.0999999999999999E-3</v>
      </c>
      <c r="G52" s="79">
        <v>0.153</v>
      </c>
      <c r="H52" s="824" t="s">
        <v>228</v>
      </c>
      <c r="I52" s="825"/>
      <c r="J52" s="809"/>
      <c r="K52" s="785"/>
      <c r="L52" s="785"/>
      <c r="M52" s="785"/>
      <c r="N52" s="820"/>
      <c r="O52" s="15"/>
      <c r="P52" s="15"/>
      <c r="Q52" s="15"/>
      <c r="R52" s="15"/>
      <c r="S52" s="15"/>
      <c r="T52" s="15"/>
      <c r="U52" s="15"/>
      <c r="V52" s="15"/>
      <c r="W52" s="15"/>
      <c r="X52" s="15"/>
      <c r="Y52" s="15"/>
      <c r="Z52" s="15"/>
    </row>
    <row r="53" spans="1:26" ht="21" customHeight="1" outlineLevel="2" x14ac:dyDescent="0.85">
      <c r="A53" s="89" t="s">
        <v>219</v>
      </c>
      <c r="B53" s="79">
        <v>8.7999999999999995E-2</v>
      </c>
      <c r="C53" s="79">
        <v>4.9020000000000001</v>
      </c>
      <c r="D53" s="79">
        <v>6.0000000000000001E-3</v>
      </c>
      <c r="E53" s="79">
        <v>3.3000000000000002E-2</v>
      </c>
      <c r="F53" s="79">
        <v>5.3E-3</v>
      </c>
      <c r="G53" s="79">
        <v>0.21000000000000002</v>
      </c>
      <c r="H53" s="809"/>
      <c r="I53" s="826"/>
      <c r="J53" s="809"/>
      <c r="K53" s="785"/>
      <c r="L53" s="785"/>
      <c r="M53" s="785"/>
      <c r="N53" s="820"/>
      <c r="O53" s="15"/>
      <c r="P53" s="15"/>
      <c r="Q53" s="15"/>
      <c r="R53" s="15"/>
      <c r="S53" s="15"/>
      <c r="T53" s="15"/>
      <c r="U53" s="15"/>
      <c r="V53" s="15"/>
      <c r="W53" s="15"/>
      <c r="X53" s="15"/>
      <c r="Y53" s="15"/>
      <c r="Z53" s="15"/>
    </row>
    <row r="54" spans="1:26" ht="21" customHeight="1" outlineLevel="2" x14ac:dyDescent="0.85">
      <c r="A54" s="89" t="s">
        <v>220</v>
      </c>
      <c r="B54" s="79">
        <v>2.9780000000000002</v>
      </c>
      <c r="C54" s="79">
        <v>5.12</v>
      </c>
      <c r="D54" s="79">
        <v>1.7999999999999999E-2</v>
      </c>
      <c r="E54" s="79">
        <v>0.106</v>
      </c>
      <c r="F54" s="90">
        <v>9.4999999999999998E-3</v>
      </c>
      <c r="G54" s="79">
        <v>0.46099999999999997</v>
      </c>
      <c r="H54" s="809"/>
      <c r="I54" s="826"/>
      <c r="J54" s="809"/>
      <c r="K54" s="785"/>
      <c r="L54" s="785"/>
      <c r="M54" s="785"/>
      <c r="N54" s="820"/>
      <c r="O54" s="15"/>
      <c r="P54" s="15"/>
      <c r="Q54" s="15"/>
      <c r="R54" s="15"/>
      <c r="S54" s="15"/>
      <c r="T54" s="15"/>
      <c r="U54" s="15"/>
      <c r="V54" s="15"/>
      <c r="W54" s="15"/>
      <c r="X54" s="15"/>
      <c r="Y54" s="15"/>
      <c r="Z54" s="15"/>
    </row>
    <row r="55" spans="1:26" ht="21" customHeight="1" outlineLevel="2" x14ac:dyDescent="0.85">
      <c r="A55" s="89" t="s">
        <v>221</v>
      </c>
      <c r="B55" s="79">
        <v>1.821</v>
      </c>
      <c r="C55" s="79">
        <v>2.806</v>
      </c>
      <c r="D55" s="79">
        <v>5.6000000000000001E-2</v>
      </c>
      <c r="E55" s="79">
        <v>0.157</v>
      </c>
      <c r="F55" s="79">
        <v>7.7000000000000002E-3</v>
      </c>
      <c r="G55" s="79">
        <v>0.27800000000000002</v>
      </c>
      <c r="H55" s="809"/>
      <c r="I55" s="826"/>
      <c r="J55" s="809"/>
      <c r="K55" s="785"/>
      <c r="L55" s="785"/>
      <c r="M55" s="785"/>
      <c r="N55" s="820"/>
      <c r="O55" s="15"/>
      <c r="P55" s="15"/>
      <c r="Q55" s="15"/>
      <c r="R55" s="15"/>
      <c r="S55" s="15"/>
      <c r="T55" s="15"/>
      <c r="U55" s="15"/>
      <c r="V55" s="15"/>
      <c r="W55" s="15"/>
      <c r="X55" s="15"/>
      <c r="Y55" s="15"/>
      <c r="Z55" s="15"/>
    </row>
    <row r="56" spans="1:26" ht="21" customHeight="1" outlineLevel="2" x14ac:dyDescent="0.85">
      <c r="A56" s="89" t="s">
        <v>229</v>
      </c>
      <c r="B56" s="79">
        <v>3.5249999999999999</v>
      </c>
      <c r="C56" s="79">
        <v>5.2720000000000002</v>
      </c>
      <c r="D56" s="79">
        <v>3.1E-2</v>
      </c>
      <c r="E56" s="79">
        <v>0.20799999999999999</v>
      </c>
      <c r="F56" s="79">
        <v>1.49E-2</v>
      </c>
      <c r="G56" s="79">
        <v>0.48499999999999999</v>
      </c>
      <c r="H56" s="810"/>
      <c r="I56" s="767"/>
      <c r="J56" s="821"/>
      <c r="K56" s="822"/>
      <c r="L56" s="822"/>
      <c r="M56" s="822"/>
      <c r="N56" s="823"/>
      <c r="O56" s="15"/>
      <c r="P56" s="15"/>
      <c r="Q56" s="15"/>
      <c r="R56" s="15"/>
      <c r="S56" s="15"/>
      <c r="T56" s="15"/>
      <c r="U56" s="15"/>
      <c r="V56" s="15"/>
      <c r="W56" s="15"/>
      <c r="X56" s="15"/>
      <c r="Y56" s="15"/>
      <c r="Z56" s="15"/>
    </row>
    <row r="57" spans="1:26" ht="21" customHeight="1" outlineLevel="2" x14ac:dyDescent="0.85">
      <c r="A57" s="806" t="s">
        <v>230</v>
      </c>
      <c r="B57" s="765"/>
      <c r="C57" s="765"/>
      <c r="D57" s="765"/>
      <c r="E57" s="765"/>
      <c r="F57" s="765"/>
      <c r="G57" s="765"/>
      <c r="H57" s="765"/>
      <c r="I57" s="762"/>
      <c r="J57" s="91"/>
      <c r="K57" s="91"/>
      <c r="L57" s="91"/>
      <c r="M57" s="91"/>
      <c r="N57" s="91"/>
      <c r="O57" s="15"/>
      <c r="P57" s="15"/>
      <c r="Q57" s="15"/>
      <c r="R57" s="15"/>
      <c r="S57" s="15"/>
      <c r="T57" s="15"/>
      <c r="U57" s="15"/>
      <c r="V57" s="15"/>
      <c r="W57" s="15"/>
      <c r="X57" s="15"/>
      <c r="Y57" s="15"/>
      <c r="Z57" s="15"/>
    </row>
    <row r="58" spans="1:26" ht="21" customHeight="1" outlineLevel="2" x14ac:dyDescent="0.85">
      <c r="A58" s="85" t="s">
        <v>212</v>
      </c>
      <c r="B58" s="85" t="s">
        <v>231</v>
      </c>
      <c r="C58" s="85" t="s">
        <v>165</v>
      </c>
      <c r="D58" s="85" t="s">
        <v>232</v>
      </c>
      <c r="E58" s="85" t="s">
        <v>233</v>
      </c>
      <c r="F58" s="85" t="s">
        <v>234</v>
      </c>
      <c r="G58" s="85" t="s">
        <v>168</v>
      </c>
      <c r="H58" s="802" t="s">
        <v>138</v>
      </c>
      <c r="I58" s="762"/>
      <c r="J58" s="91"/>
      <c r="K58" s="91"/>
      <c r="L58" s="91"/>
      <c r="M58" s="91"/>
      <c r="N58" s="91"/>
      <c r="O58" s="15"/>
      <c r="P58" s="15"/>
      <c r="Q58" s="15"/>
      <c r="R58" s="15"/>
      <c r="S58" s="15"/>
      <c r="T58" s="15"/>
      <c r="U58" s="15"/>
      <c r="V58" s="15"/>
      <c r="W58" s="15"/>
      <c r="X58" s="15"/>
      <c r="Y58" s="15"/>
      <c r="Z58" s="15"/>
    </row>
    <row r="59" spans="1:26" ht="21" customHeight="1" outlineLevel="2" x14ac:dyDescent="0.85">
      <c r="A59" s="89" t="s">
        <v>235</v>
      </c>
      <c r="B59" s="79">
        <v>0.75900000000000001</v>
      </c>
      <c r="C59" s="79">
        <v>0.127</v>
      </c>
      <c r="D59" s="79">
        <v>4.5999999999999999E-2</v>
      </c>
      <c r="E59" s="79" t="s">
        <v>106</v>
      </c>
      <c r="F59" s="79" t="s">
        <v>106</v>
      </c>
      <c r="G59" s="79" t="s">
        <v>106</v>
      </c>
      <c r="H59" s="827" t="s">
        <v>236</v>
      </c>
      <c r="I59" s="785"/>
      <c r="J59" s="91"/>
      <c r="K59" s="91"/>
      <c r="L59" s="91"/>
      <c r="M59" s="91"/>
      <c r="N59" s="91"/>
      <c r="O59" s="15"/>
      <c r="P59" s="15"/>
      <c r="Q59" s="15"/>
      <c r="R59" s="15"/>
      <c r="S59" s="15"/>
      <c r="T59" s="15"/>
      <c r="U59" s="15"/>
      <c r="V59" s="15"/>
      <c r="W59" s="15"/>
      <c r="X59" s="15"/>
      <c r="Y59" s="15"/>
      <c r="Z59" s="15"/>
    </row>
    <row r="60" spans="1:26" ht="21" customHeight="1" outlineLevel="2" x14ac:dyDescent="0.85">
      <c r="A60" s="806" t="s">
        <v>237</v>
      </c>
      <c r="B60" s="765"/>
      <c r="C60" s="765"/>
      <c r="D60" s="765"/>
      <c r="E60" s="765"/>
      <c r="F60" s="765"/>
      <c r="G60" s="765"/>
      <c r="H60" s="762"/>
      <c r="I60" s="15"/>
      <c r="J60" s="15"/>
      <c r="K60" s="15"/>
      <c r="L60" s="15"/>
      <c r="M60" s="15"/>
      <c r="N60" s="15"/>
      <c r="O60" s="15"/>
      <c r="P60" s="15"/>
      <c r="Q60" s="15"/>
      <c r="R60" s="15"/>
      <c r="S60" s="15"/>
      <c r="T60" s="15"/>
      <c r="U60" s="15"/>
      <c r="V60" s="15"/>
      <c r="W60" s="15"/>
      <c r="X60" s="15"/>
      <c r="Y60" s="15"/>
      <c r="Z60" s="15"/>
    </row>
    <row r="61" spans="1:26" ht="21" customHeight="1" outlineLevel="2" x14ac:dyDescent="0.85">
      <c r="A61" s="85" t="s">
        <v>238</v>
      </c>
      <c r="B61" s="85" t="s">
        <v>165</v>
      </c>
      <c r="C61" s="85" t="s">
        <v>166</v>
      </c>
      <c r="D61" s="85" t="s">
        <v>239</v>
      </c>
      <c r="E61" s="85" t="s">
        <v>168</v>
      </c>
      <c r="F61" s="802" t="s">
        <v>138</v>
      </c>
      <c r="G61" s="765"/>
      <c r="H61" s="762"/>
      <c r="I61" s="15"/>
      <c r="J61" s="15"/>
      <c r="K61" s="15"/>
      <c r="L61" s="15"/>
      <c r="M61" s="15"/>
      <c r="N61" s="15"/>
      <c r="O61" s="15"/>
      <c r="P61" s="15"/>
      <c r="Q61" s="15"/>
      <c r="R61" s="15"/>
      <c r="S61" s="15"/>
      <c r="T61" s="15"/>
      <c r="U61" s="15"/>
      <c r="V61" s="15"/>
      <c r="W61" s="15"/>
      <c r="X61" s="15"/>
      <c r="Y61" s="15"/>
      <c r="Z61" s="15"/>
    </row>
    <row r="62" spans="1:26" ht="21" customHeight="1" outlineLevel="2" x14ac:dyDescent="0.85">
      <c r="A62" s="92">
        <v>2</v>
      </c>
      <c r="B62" s="92">
        <v>600</v>
      </c>
      <c r="C62" s="92" t="s">
        <v>188</v>
      </c>
      <c r="D62" s="92">
        <v>0.5</v>
      </c>
      <c r="E62" s="92">
        <v>9.5</v>
      </c>
      <c r="F62" s="824" t="s">
        <v>240</v>
      </c>
      <c r="G62" s="828"/>
      <c r="H62" s="825"/>
      <c r="I62" s="15"/>
      <c r="J62" s="15"/>
      <c r="K62" s="15"/>
      <c r="L62" s="15"/>
      <c r="M62" s="15"/>
      <c r="N62" s="15"/>
      <c r="O62" s="15"/>
      <c r="P62" s="15"/>
      <c r="Q62" s="15"/>
      <c r="R62" s="15"/>
      <c r="S62" s="15"/>
      <c r="T62" s="15"/>
      <c r="U62" s="15"/>
      <c r="V62" s="15"/>
      <c r="W62" s="15"/>
      <c r="X62" s="15"/>
      <c r="Y62" s="15"/>
      <c r="Z62" s="15"/>
    </row>
    <row r="63" spans="1:26" ht="24" customHeight="1" outlineLevel="2" x14ac:dyDescent="0.85">
      <c r="A63" s="806" t="s">
        <v>241</v>
      </c>
      <c r="B63" s="765"/>
      <c r="C63" s="765"/>
      <c r="D63" s="765"/>
      <c r="E63" s="765"/>
      <c r="F63" s="765"/>
      <c r="G63" s="765"/>
      <c r="H63" s="765"/>
      <c r="I63" s="762"/>
      <c r="J63" s="15"/>
      <c r="K63" s="15"/>
      <c r="L63" s="15"/>
      <c r="M63" s="15"/>
      <c r="N63" s="15"/>
      <c r="O63" s="15"/>
      <c r="P63" s="15"/>
      <c r="Q63" s="15"/>
      <c r="R63" s="15"/>
      <c r="S63" s="15"/>
      <c r="T63" s="15"/>
      <c r="U63" s="15"/>
      <c r="V63" s="15"/>
      <c r="W63" s="15"/>
      <c r="X63" s="15"/>
      <c r="Y63" s="15"/>
      <c r="Z63" s="15"/>
    </row>
    <row r="64" spans="1:26" ht="24" customHeight="1" outlineLevel="2" x14ac:dyDescent="0.85">
      <c r="A64" s="85" t="s">
        <v>242</v>
      </c>
      <c r="B64" s="85" t="s">
        <v>243</v>
      </c>
      <c r="C64" s="85" t="s">
        <v>244</v>
      </c>
      <c r="D64" s="85" t="s">
        <v>165</v>
      </c>
      <c r="E64" s="85" t="s">
        <v>166</v>
      </c>
      <c r="F64" s="85" t="s">
        <v>245</v>
      </c>
      <c r="G64" s="85" t="s">
        <v>168</v>
      </c>
      <c r="H64" s="802" t="s">
        <v>138</v>
      </c>
      <c r="I64" s="762"/>
      <c r="J64" s="15"/>
      <c r="K64" s="15"/>
      <c r="L64" s="15"/>
      <c r="M64" s="15"/>
      <c r="N64" s="15"/>
      <c r="O64" s="15"/>
      <c r="P64" s="15"/>
      <c r="Q64" s="15"/>
      <c r="R64" s="15"/>
      <c r="S64" s="15"/>
      <c r="T64" s="15"/>
      <c r="U64" s="15"/>
      <c r="V64" s="15"/>
      <c r="W64" s="15"/>
      <c r="X64" s="15"/>
      <c r="Y64" s="15"/>
      <c r="Z64" s="15"/>
    </row>
    <row r="65" spans="1:26" ht="21" customHeight="1" outlineLevel="2" x14ac:dyDescent="0.85">
      <c r="A65" s="79" t="s">
        <v>246</v>
      </c>
      <c r="B65" s="80">
        <v>850</v>
      </c>
      <c r="C65" s="81">
        <v>10.199999999999999</v>
      </c>
      <c r="D65" s="81">
        <v>8.1</v>
      </c>
      <c r="E65" s="81" t="s">
        <v>188</v>
      </c>
      <c r="F65" s="81">
        <v>0.8</v>
      </c>
      <c r="G65" s="81">
        <v>2.6</v>
      </c>
      <c r="H65" s="829" t="s">
        <v>247</v>
      </c>
      <c r="I65" s="825"/>
      <c r="J65" s="15"/>
      <c r="K65" s="15"/>
      <c r="L65" s="15"/>
      <c r="M65" s="15"/>
      <c r="N65" s="15"/>
      <c r="O65" s="15"/>
      <c r="P65" s="15"/>
      <c r="Q65" s="15"/>
      <c r="R65" s="15"/>
      <c r="S65" s="15"/>
      <c r="T65" s="15"/>
      <c r="U65" s="15"/>
      <c r="V65" s="15"/>
      <c r="W65" s="15"/>
      <c r="X65" s="15"/>
      <c r="Y65" s="15"/>
      <c r="Z65" s="15"/>
    </row>
    <row r="66" spans="1:26" ht="21" customHeight="1" outlineLevel="2" x14ac:dyDescent="0.85">
      <c r="A66" s="93" t="s">
        <v>248</v>
      </c>
      <c r="B66" s="94">
        <v>2500</v>
      </c>
      <c r="C66" s="81">
        <v>41</v>
      </c>
      <c r="D66" s="81">
        <v>50</v>
      </c>
      <c r="E66" s="81" t="s">
        <v>188</v>
      </c>
      <c r="F66" s="81">
        <v>2.5</v>
      </c>
      <c r="G66" s="81">
        <v>15</v>
      </c>
      <c r="H66" s="830"/>
      <c r="I66" s="767"/>
      <c r="J66" s="15"/>
      <c r="K66" s="15"/>
      <c r="L66" s="15"/>
      <c r="M66" s="15"/>
      <c r="N66" s="15"/>
      <c r="O66" s="15"/>
      <c r="P66" s="15"/>
      <c r="Q66" s="15"/>
      <c r="R66" s="15"/>
      <c r="S66" s="15"/>
      <c r="T66" s="15"/>
      <c r="U66" s="15"/>
      <c r="V66" s="15"/>
      <c r="W66" s="15"/>
      <c r="X66" s="15"/>
      <c r="Y66" s="15"/>
      <c r="Z66" s="15"/>
    </row>
    <row r="67" spans="1:26" ht="21" customHeight="1" outlineLevel="2" x14ac:dyDescent="0.85">
      <c r="A67" s="806" t="s">
        <v>249</v>
      </c>
      <c r="B67" s="765"/>
      <c r="C67" s="765"/>
      <c r="D67" s="765"/>
      <c r="E67" s="765"/>
      <c r="F67" s="765"/>
      <c r="G67" s="765"/>
      <c r="H67" s="765"/>
      <c r="I67" s="762"/>
      <c r="J67" s="15"/>
      <c r="K67" s="15"/>
      <c r="L67" s="15"/>
      <c r="M67" s="15"/>
      <c r="N67" s="15"/>
      <c r="O67" s="15"/>
      <c r="P67" s="15"/>
      <c r="Q67" s="15"/>
      <c r="R67" s="15"/>
      <c r="S67" s="15"/>
      <c r="T67" s="15"/>
      <c r="U67" s="15"/>
      <c r="V67" s="15"/>
      <c r="W67" s="15"/>
      <c r="X67" s="15"/>
      <c r="Y67" s="15"/>
      <c r="Z67" s="15"/>
    </row>
    <row r="68" spans="1:26" ht="21" customHeight="1" outlineLevel="2" x14ac:dyDescent="0.85">
      <c r="A68" s="85" t="s">
        <v>250</v>
      </c>
      <c r="B68" s="85" t="s">
        <v>251</v>
      </c>
      <c r="C68" s="802" t="s">
        <v>138</v>
      </c>
      <c r="D68" s="765"/>
      <c r="E68" s="762"/>
      <c r="F68" s="15"/>
      <c r="G68" s="15"/>
      <c r="H68" s="15"/>
      <c r="I68" s="15"/>
      <c r="J68" s="15"/>
      <c r="K68" s="15"/>
      <c r="L68" s="15"/>
      <c r="M68" s="15"/>
      <c r="N68" s="15"/>
      <c r="O68" s="15"/>
      <c r="P68" s="15"/>
      <c r="Q68" s="15"/>
      <c r="R68" s="15"/>
      <c r="S68" s="15"/>
      <c r="T68" s="15"/>
      <c r="U68" s="15"/>
      <c r="V68" s="15"/>
      <c r="W68" s="15"/>
      <c r="X68" s="15"/>
      <c r="Y68" s="15"/>
      <c r="Z68" s="15"/>
    </row>
    <row r="69" spans="1:26" ht="21" customHeight="1" outlineLevel="2" x14ac:dyDescent="0.85">
      <c r="A69" s="95" t="s">
        <v>252</v>
      </c>
      <c r="B69" s="96">
        <v>0.1</v>
      </c>
      <c r="C69" s="831" t="s">
        <v>253</v>
      </c>
      <c r="D69" s="765"/>
      <c r="E69" s="762"/>
      <c r="F69" s="15"/>
      <c r="G69" s="15"/>
      <c r="H69" s="15"/>
      <c r="I69" s="15"/>
      <c r="J69" s="15"/>
      <c r="K69" s="15"/>
      <c r="L69" s="15"/>
      <c r="M69" s="15"/>
      <c r="N69" s="15"/>
      <c r="O69" s="15"/>
      <c r="P69" s="15"/>
      <c r="Q69" s="15"/>
      <c r="R69" s="15"/>
      <c r="S69" s="15"/>
      <c r="T69" s="15"/>
      <c r="U69" s="15"/>
      <c r="V69" s="15"/>
      <c r="W69" s="15"/>
      <c r="X69" s="15"/>
      <c r="Y69" s="15"/>
      <c r="Z69" s="15"/>
    </row>
    <row r="70" spans="1:26" ht="32.25" customHeight="1" x14ac:dyDescent="0.85">
      <c r="A70" s="832" t="s">
        <v>254</v>
      </c>
      <c r="B70" s="765"/>
      <c r="C70" s="765"/>
      <c r="D70" s="765"/>
      <c r="E70" s="765"/>
      <c r="F70" s="765"/>
      <c r="G70" s="765"/>
      <c r="H70" s="765"/>
      <c r="I70" s="765"/>
      <c r="J70" s="765"/>
      <c r="K70" s="765"/>
      <c r="L70" s="765"/>
      <c r="M70" s="762"/>
      <c r="N70" s="15"/>
      <c r="O70" s="15"/>
      <c r="P70" s="15"/>
      <c r="Q70" s="15"/>
      <c r="R70" s="15"/>
      <c r="S70" s="15"/>
      <c r="T70" s="15"/>
      <c r="U70" s="15"/>
      <c r="V70" s="15"/>
      <c r="W70" s="15"/>
      <c r="X70" s="15"/>
      <c r="Y70" s="15"/>
      <c r="Z70" s="15"/>
    </row>
    <row r="71" spans="1:26" ht="21" customHeight="1" outlineLevel="1" x14ac:dyDescent="0.85">
      <c r="A71" s="804" t="s">
        <v>184</v>
      </c>
      <c r="B71" s="765"/>
      <c r="C71" s="765"/>
      <c r="D71" s="765"/>
      <c r="E71" s="765"/>
      <c r="F71" s="765"/>
      <c r="G71" s="765"/>
      <c r="H71" s="765"/>
      <c r="I71" s="765"/>
      <c r="J71" s="765"/>
      <c r="K71" s="765"/>
      <c r="L71" s="765"/>
      <c r="M71" s="816"/>
      <c r="N71" s="15"/>
      <c r="O71" s="15"/>
      <c r="P71" s="15"/>
      <c r="Q71" s="15"/>
      <c r="R71" s="15"/>
      <c r="S71" s="15"/>
      <c r="T71" s="15"/>
      <c r="U71" s="15"/>
      <c r="V71" s="15"/>
      <c r="W71" s="15"/>
      <c r="X71" s="15"/>
      <c r="Y71" s="15"/>
      <c r="Z71" s="15"/>
    </row>
    <row r="72" spans="1:26" ht="21" customHeight="1" outlineLevel="2" x14ac:dyDescent="0.85">
      <c r="A72" s="812" t="s">
        <v>139</v>
      </c>
      <c r="B72" s="813"/>
      <c r="C72" s="813"/>
      <c r="D72" s="813"/>
      <c r="E72" s="813"/>
      <c r="F72" s="813"/>
      <c r="G72" s="814"/>
      <c r="H72" s="15"/>
      <c r="I72" s="15"/>
      <c r="J72" s="15"/>
      <c r="K72" s="15"/>
      <c r="L72" s="15"/>
      <c r="M72" s="15"/>
      <c r="N72" s="15"/>
      <c r="O72" s="15"/>
      <c r="P72" s="15"/>
      <c r="Q72" s="15"/>
      <c r="R72" s="15"/>
      <c r="S72" s="15"/>
      <c r="T72" s="15"/>
      <c r="U72" s="15"/>
      <c r="V72" s="15"/>
      <c r="W72" s="15"/>
      <c r="X72" s="15"/>
      <c r="Y72" s="15"/>
      <c r="Z72" s="15"/>
    </row>
    <row r="73" spans="1:26" ht="21" customHeight="1" outlineLevel="2" x14ac:dyDescent="0.85">
      <c r="A73" s="801" t="s">
        <v>162</v>
      </c>
      <c r="B73" s="811" t="s">
        <v>255</v>
      </c>
      <c r="C73" s="802" t="s">
        <v>163</v>
      </c>
      <c r="D73" s="765"/>
      <c r="E73" s="765"/>
      <c r="F73" s="765"/>
      <c r="G73" s="762"/>
      <c r="H73" s="15"/>
      <c r="I73" s="15"/>
      <c r="J73" s="15"/>
      <c r="K73" s="15"/>
      <c r="L73" s="15"/>
      <c r="M73" s="15"/>
      <c r="N73" s="15"/>
      <c r="O73" s="15"/>
      <c r="P73" s="15"/>
      <c r="Q73" s="15"/>
      <c r="R73" s="15"/>
      <c r="S73" s="15"/>
      <c r="T73" s="15"/>
      <c r="U73" s="15"/>
      <c r="V73" s="15"/>
      <c r="W73" s="15"/>
      <c r="X73" s="15"/>
      <c r="Y73" s="15"/>
      <c r="Z73" s="15"/>
    </row>
    <row r="74" spans="1:26" ht="21" customHeight="1" outlineLevel="2" x14ac:dyDescent="0.85">
      <c r="A74" s="797"/>
      <c r="B74" s="797"/>
      <c r="C74" s="78" t="s">
        <v>256</v>
      </c>
      <c r="D74" s="78" t="s">
        <v>165</v>
      </c>
      <c r="E74" s="78" t="s">
        <v>166</v>
      </c>
      <c r="F74" s="78" t="s">
        <v>257</v>
      </c>
      <c r="G74" s="78" t="s">
        <v>168</v>
      </c>
      <c r="H74" s="15"/>
      <c r="I74" s="15"/>
      <c r="J74" s="15"/>
      <c r="K74" s="15"/>
      <c r="L74" s="15"/>
      <c r="M74" s="15"/>
      <c r="N74" s="15"/>
      <c r="O74" s="15"/>
      <c r="P74" s="15"/>
      <c r="Q74" s="15"/>
      <c r="R74" s="15"/>
      <c r="S74" s="15"/>
      <c r="T74" s="15"/>
      <c r="U74" s="15"/>
      <c r="V74" s="15"/>
      <c r="W74" s="15"/>
      <c r="X74" s="15"/>
      <c r="Y74" s="15"/>
      <c r="Z74" s="15"/>
    </row>
    <row r="75" spans="1:26" ht="21" customHeight="1" outlineLevel="2" x14ac:dyDescent="0.85">
      <c r="A75" s="97" t="s">
        <v>99</v>
      </c>
      <c r="B75" s="98">
        <f>'Energy Data'!G65+'Energy Data'!G97+'Energy Data'!G120+'Energy Data'!G150-B108</f>
        <v>6104705030.2385139</v>
      </c>
      <c r="C75" s="98">
        <f>((B75/'Conversion Factors and GWP'!$A$5)*$A$25)/'Conversion Factors and GWP'!$A$3</f>
        <v>1160.2323337672422</v>
      </c>
      <c r="D75" s="99" t="s">
        <v>258</v>
      </c>
      <c r="E75" s="100">
        <f>((B75/'Conversion Factors and GWP'!$A$5)*$C$25)/'Conversion Factors and GWP'!$A$3</f>
        <v>221.52407327298181</v>
      </c>
      <c r="F75" s="98">
        <f>((B75/'Conversion Factors and GWP'!$A$5)*$D$25)/'Conversion Factors and GWP'!$A$3</f>
        <v>335.05516082538497</v>
      </c>
      <c r="G75" s="98">
        <f>((B75/'Conversion Factors and GWP'!$A$5)*$E$25)/'Conversion Factors and GWP'!$A$3</f>
        <v>55.381018318245452</v>
      </c>
      <c r="H75" s="15"/>
      <c r="I75" s="15"/>
      <c r="J75" s="15"/>
      <c r="K75" s="15"/>
      <c r="L75" s="15"/>
      <c r="M75" s="15"/>
      <c r="N75" s="15"/>
      <c r="O75" s="15"/>
      <c r="P75" s="15"/>
      <c r="Q75" s="15"/>
      <c r="R75" s="15"/>
      <c r="S75" s="15"/>
      <c r="T75" s="15"/>
      <c r="U75" s="15"/>
      <c r="V75" s="15"/>
      <c r="W75" s="15"/>
      <c r="X75" s="15"/>
      <c r="Y75" s="15"/>
      <c r="Z75" s="15"/>
    </row>
    <row r="76" spans="1:26" ht="21" customHeight="1" outlineLevel="2" x14ac:dyDescent="0.85">
      <c r="A76" s="806" t="s">
        <v>140</v>
      </c>
      <c r="B76" s="765"/>
      <c r="C76" s="765"/>
      <c r="D76" s="765"/>
      <c r="E76" s="765"/>
      <c r="F76" s="765"/>
      <c r="G76" s="765"/>
      <c r="H76" s="762"/>
      <c r="I76" s="15"/>
      <c r="J76" s="15"/>
      <c r="K76" s="15"/>
      <c r="L76" s="15"/>
      <c r="M76" s="15"/>
      <c r="N76" s="15"/>
      <c r="O76" s="15"/>
      <c r="P76" s="15"/>
      <c r="Q76" s="15"/>
      <c r="R76" s="15"/>
      <c r="S76" s="15"/>
      <c r="T76" s="15"/>
      <c r="U76" s="15"/>
      <c r="V76" s="15"/>
      <c r="W76" s="15"/>
      <c r="X76" s="15"/>
      <c r="Y76" s="15"/>
      <c r="Z76" s="15"/>
    </row>
    <row r="77" spans="1:26" ht="21" customHeight="1" outlineLevel="2" x14ac:dyDescent="0.85">
      <c r="A77" s="801" t="s">
        <v>162</v>
      </c>
      <c r="B77" s="801" t="s">
        <v>125</v>
      </c>
      <c r="C77" s="811" t="s">
        <v>259</v>
      </c>
      <c r="D77" s="802" t="s">
        <v>163</v>
      </c>
      <c r="E77" s="765"/>
      <c r="F77" s="765"/>
      <c r="G77" s="765"/>
      <c r="H77" s="762"/>
      <c r="I77" s="15"/>
      <c r="J77" s="15"/>
      <c r="K77" s="15"/>
      <c r="L77" s="15"/>
      <c r="M77" s="101"/>
      <c r="N77" s="102"/>
      <c r="O77" s="15"/>
      <c r="P77" s="15"/>
      <c r="Q77" s="15"/>
      <c r="R77" s="15"/>
      <c r="S77" s="15"/>
      <c r="T77" s="15"/>
      <c r="U77" s="15"/>
      <c r="V77" s="15"/>
      <c r="W77" s="15"/>
      <c r="X77" s="15"/>
      <c r="Y77" s="15"/>
      <c r="Z77" s="15"/>
    </row>
    <row r="78" spans="1:26" ht="21" customHeight="1" outlineLevel="2" x14ac:dyDescent="0.85">
      <c r="A78" s="797"/>
      <c r="B78" s="797"/>
      <c r="C78" s="797"/>
      <c r="D78" s="78" t="s">
        <v>260</v>
      </c>
      <c r="E78" s="78" t="s">
        <v>165</v>
      </c>
      <c r="F78" s="78" t="s">
        <v>166</v>
      </c>
      <c r="G78" s="78" t="s">
        <v>261</v>
      </c>
      <c r="H78" s="78" t="s">
        <v>168</v>
      </c>
      <c r="I78" s="15"/>
      <c r="J78" s="15"/>
      <c r="K78" s="15"/>
      <c r="L78" s="15"/>
      <c r="M78" s="101"/>
      <c r="N78" s="102"/>
      <c r="O78" s="15"/>
      <c r="P78" s="15"/>
      <c r="Q78" s="15"/>
      <c r="R78" s="15"/>
      <c r="S78" s="15"/>
      <c r="T78" s="15"/>
      <c r="U78" s="15"/>
      <c r="V78" s="15"/>
      <c r="W78" s="15"/>
      <c r="X78" s="15"/>
      <c r="Y78" s="15"/>
      <c r="Z78" s="15"/>
    </row>
    <row r="79" spans="1:26" ht="21" customHeight="1" outlineLevel="2" x14ac:dyDescent="0.85">
      <c r="A79" s="808" t="s">
        <v>99</v>
      </c>
      <c r="B79" s="89" t="s">
        <v>195</v>
      </c>
      <c r="C79" s="103">
        <f>'Energy Data'!G219</f>
        <v>194711232.06696165</v>
      </c>
      <c r="D79" s="103">
        <f>(((($C79/'Conversion Factors and GWP'!$C$10))/10000)*A$32)/'Conversion Factors and GWP'!$A$3</f>
        <v>799.81171674246707</v>
      </c>
      <c r="E79" s="103">
        <f>(((($C79/'Conversion Factors and GWP'!$C$10))/10000)*B$32)/'Conversion Factors and GWP'!$A$3</f>
        <v>340.34541137977322</v>
      </c>
      <c r="F79" s="103">
        <f>(((($C79/'Conversion Factors and GWP'!$C$10))/10000)*C$32)/'Conversion Factors and GWP'!$A$3</f>
        <v>64.665628162156921</v>
      </c>
      <c r="G79" s="103">
        <f>(((($C79/'Conversion Factors and GWP'!$C$10))/10000)*D$32)/'Conversion Factors and GWP'!$A$3</f>
        <v>5.1051811706965982</v>
      </c>
      <c r="H79" s="103">
        <f>(((($C79/'Conversion Factors and GWP'!$C$10))/10000)*E$32)/'Conversion Factors and GWP'!$A$3</f>
        <v>46.797494064718819</v>
      </c>
      <c r="I79" s="15"/>
      <c r="J79" s="15"/>
      <c r="K79" s="15"/>
      <c r="L79" s="15"/>
      <c r="M79" s="104"/>
      <c r="N79" s="102"/>
      <c r="O79" s="15"/>
      <c r="P79" s="15"/>
      <c r="Q79" s="15"/>
      <c r="R79" s="15"/>
      <c r="S79" s="15"/>
      <c r="T79" s="15"/>
      <c r="U79" s="15"/>
      <c r="V79" s="15"/>
      <c r="W79" s="15"/>
      <c r="X79" s="15"/>
      <c r="Y79" s="15"/>
      <c r="Z79" s="15"/>
    </row>
    <row r="80" spans="1:26" ht="21" customHeight="1" outlineLevel="2" x14ac:dyDescent="0.85">
      <c r="A80" s="809"/>
      <c r="B80" s="89" t="s">
        <v>262</v>
      </c>
      <c r="C80" s="103">
        <f>'Energy Data'!G227</f>
        <v>265153442.32743534</v>
      </c>
      <c r="D80" s="103">
        <f>(((($C80/'Conversion Factors and GWP'!$C$10))/10000)*A$32)/'Conversion Factors and GWP'!$A$3</f>
        <v>1089.1658773703846</v>
      </c>
      <c r="E80" s="103">
        <f>(((($C80/'Conversion Factors and GWP'!$C$10))/10000)*B$32)/'Conversion Factors and GWP'!$A$3</f>
        <v>463.47484143420616</v>
      </c>
      <c r="F80" s="103">
        <f>(((($C80/'Conversion Factors and GWP'!$C$10))/10000)*C$32)/'Conversion Factors and GWP'!$A$3</f>
        <v>88.060219872499161</v>
      </c>
      <c r="G80" s="103">
        <f>(((($C80/'Conversion Factors and GWP'!$C$10))/10000)*D$32)/'Conversion Factors and GWP'!$A$3</f>
        <v>6.9521226215130918</v>
      </c>
      <c r="H80" s="103">
        <f>(((($C80/'Conversion Factors and GWP'!$C$10))/10000)*E$32)/'Conversion Factors and GWP'!$A$3</f>
        <v>63.727790697203339</v>
      </c>
      <c r="I80" s="15"/>
      <c r="J80" s="15"/>
      <c r="K80" s="15"/>
      <c r="L80" s="15"/>
      <c r="M80" s="105"/>
      <c r="N80" s="102"/>
      <c r="O80" s="15"/>
      <c r="P80" s="15"/>
      <c r="Q80" s="15"/>
      <c r="R80" s="15"/>
      <c r="S80" s="15"/>
      <c r="T80" s="15"/>
      <c r="U80" s="15"/>
      <c r="V80" s="15"/>
      <c r="W80" s="15"/>
      <c r="X80" s="15"/>
      <c r="Y80" s="15"/>
      <c r="Z80" s="15"/>
    </row>
    <row r="81" spans="1:26" ht="21" customHeight="1" outlineLevel="2" x14ac:dyDescent="0.85">
      <c r="A81" s="810"/>
      <c r="B81" s="73" t="s">
        <v>119</v>
      </c>
      <c r="C81" s="74">
        <f t="shared" ref="C81:H81" si="1">SUM(C79:C80)</f>
        <v>459864674.39439702</v>
      </c>
      <c r="D81" s="74">
        <f t="shared" si="1"/>
        <v>1888.9775941128516</v>
      </c>
      <c r="E81" s="74">
        <f t="shared" si="1"/>
        <v>803.82025281397932</v>
      </c>
      <c r="F81" s="74">
        <f t="shared" si="1"/>
        <v>152.72584803465608</v>
      </c>
      <c r="G81" s="74">
        <f t="shared" si="1"/>
        <v>12.057303792209691</v>
      </c>
      <c r="H81" s="74">
        <f t="shared" si="1"/>
        <v>110.52528476192217</v>
      </c>
      <c r="I81" s="15"/>
      <c r="J81" s="15"/>
      <c r="K81" s="15"/>
      <c r="L81" s="106"/>
      <c r="M81" s="107"/>
      <c r="N81" s="108"/>
      <c r="O81" s="15"/>
      <c r="P81" s="15"/>
      <c r="Q81" s="15"/>
      <c r="R81" s="15"/>
      <c r="S81" s="15"/>
      <c r="T81" s="15"/>
      <c r="U81" s="15"/>
      <c r="V81" s="15"/>
      <c r="W81" s="15"/>
      <c r="X81" s="15"/>
      <c r="Y81" s="15"/>
      <c r="Z81" s="15"/>
    </row>
    <row r="82" spans="1:26" ht="21" customHeight="1" outlineLevel="2" x14ac:dyDescent="0.85">
      <c r="A82" s="806" t="s">
        <v>141</v>
      </c>
      <c r="B82" s="765"/>
      <c r="C82" s="765"/>
      <c r="D82" s="765"/>
      <c r="E82" s="765"/>
      <c r="F82" s="765"/>
      <c r="G82" s="762"/>
      <c r="H82" s="15"/>
      <c r="I82" s="15"/>
      <c r="J82" s="15"/>
      <c r="K82" s="15"/>
      <c r="L82" s="15"/>
      <c r="M82" s="101"/>
      <c r="N82" s="102"/>
      <c r="O82" s="15"/>
      <c r="P82" s="15"/>
      <c r="Q82" s="15"/>
      <c r="R82" s="15"/>
      <c r="S82" s="15"/>
      <c r="T82" s="15"/>
      <c r="U82" s="15"/>
      <c r="V82" s="15"/>
      <c r="W82" s="15"/>
      <c r="X82" s="15"/>
      <c r="Y82" s="15"/>
      <c r="Z82" s="15"/>
    </row>
    <row r="83" spans="1:26" ht="21" customHeight="1" outlineLevel="2" x14ac:dyDescent="0.85">
      <c r="A83" s="801" t="s">
        <v>162</v>
      </c>
      <c r="B83" s="811" t="s">
        <v>263</v>
      </c>
      <c r="C83" s="802" t="s">
        <v>163</v>
      </c>
      <c r="D83" s="765"/>
      <c r="E83" s="765"/>
      <c r="F83" s="765"/>
      <c r="G83" s="762"/>
      <c r="H83" s="15"/>
      <c r="I83" s="15"/>
      <c r="J83" s="15"/>
      <c r="K83" s="15"/>
      <c r="L83" s="15"/>
      <c r="M83" s="105"/>
      <c r="N83" s="102"/>
      <c r="O83" s="15"/>
      <c r="P83" s="15"/>
      <c r="Q83" s="15"/>
      <c r="R83" s="15"/>
      <c r="S83" s="15"/>
      <c r="T83" s="15"/>
      <c r="U83" s="15"/>
      <c r="V83" s="15"/>
      <c r="W83" s="15"/>
      <c r="X83" s="15"/>
      <c r="Y83" s="15"/>
      <c r="Z83" s="15"/>
    </row>
    <row r="84" spans="1:26" ht="21" customHeight="1" outlineLevel="2" x14ac:dyDescent="0.85">
      <c r="A84" s="797"/>
      <c r="B84" s="797"/>
      <c r="C84" s="78" t="s">
        <v>264</v>
      </c>
      <c r="D84" s="78" t="s">
        <v>165</v>
      </c>
      <c r="E84" s="78" t="s">
        <v>166</v>
      </c>
      <c r="F84" s="78" t="s">
        <v>265</v>
      </c>
      <c r="G84" s="78" t="s">
        <v>168</v>
      </c>
      <c r="H84" s="15"/>
      <c r="I84" s="15"/>
      <c r="J84" s="15"/>
      <c r="K84" s="15"/>
      <c r="L84" s="15"/>
      <c r="M84" s="105"/>
      <c r="N84" s="102"/>
      <c r="O84" s="15"/>
      <c r="P84" s="15"/>
      <c r="Q84" s="15"/>
      <c r="R84" s="15"/>
      <c r="S84" s="15"/>
      <c r="T84" s="15"/>
      <c r="U84" s="15"/>
      <c r="V84" s="15"/>
      <c r="W84" s="15"/>
      <c r="X84" s="15"/>
      <c r="Y84" s="15"/>
      <c r="Z84" s="15"/>
    </row>
    <row r="85" spans="1:26" ht="21" customHeight="1" outlineLevel="2" x14ac:dyDescent="0.85">
      <c r="A85" s="89" t="s">
        <v>99</v>
      </c>
      <c r="B85" s="109">
        <f>'Energy Data'!G244+'Energy Data'!G252</f>
        <v>5414760.5398907103</v>
      </c>
      <c r="C85" s="110">
        <f>(($B85/1000)*A$35)/'Conversion Factors and GWP'!$A$3</f>
        <v>1.7192678910304255</v>
      </c>
      <c r="D85" s="110">
        <f>(($B85/1000)*B$35)/'Conversion Factors and GWP'!$A$3</f>
        <v>18.42072740389742</v>
      </c>
      <c r="E85" s="110">
        <f>(($B85/1000)*C$35)/'Conversion Factors and GWP'!$A$3</f>
        <v>1.7192678910304255</v>
      </c>
      <c r="F85" s="110">
        <f>(($B85/1000)*D$35)/'Conversion Factors and GWP'!$A$3</f>
        <v>6.2384863474532594E-3</v>
      </c>
      <c r="G85" s="110" t="s">
        <v>258</v>
      </c>
      <c r="H85" s="15"/>
      <c r="I85" s="15"/>
      <c r="J85" s="15"/>
      <c r="K85" s="15"/>
      <c r="L85" s="106"/>
      <c r="M85" s="107"/>
      <c r="N85" s="108"/>
      <c r="O85" s="15"/>
      <c r="P85" s="15"/>
      <c r="Q85" s="15"/>
      <c r="R85" s="15"/>
      <c r="S85" s="15"/>
      <c r="T85" s="15"/>
      <c r="U85" s="15"/>
      <c r="V85" s="15"/>
      <c r="W85" s="15"/>
      <c r="X85" s="15"/>
      <c r="Y85" s="15"/>
      <c r="Z85" s="15"/>
    </row>
    <row r="86" spans="1:26" ht="21" customHeight="1" outlineLevel="2" x14ac:dyDescent="0.85">
      <c r="A86" s="806" t="s">
        <v>266</v>
      </c>
      <c r="B86" s="765"/>
      <c r="C86" s="765"/>
      <c r="D86" s="765"/>
      <c r="E86" s="765"/>
      <c r="F86" s="765"/>
      <c r="G86" s="762"/>
      <c r="H86" s="15"/>
      <c r="I86" s="15"/>
      <c r="J86" s="15"/>
      <c r="K86" s="15"/>
      <c r="L86" s="106"/>
      <c r="M86" s="107"/>
      <c r="N86" s="108"/>
      <c r="O86" s="15"/>
      <c r="P86" s="15"/>
      <c r="Q86" s="15"/>
      <c r="R86" s="15"/>
      <c r="S86" s="15"/>
      <c r="T86" s="15"/>
      <c r="U86" s="15"/>
      <c r="V86" s="15"/>
      <c r="W86" s="15"/>
      <c r="X86" s="15"/>
      <c r="Y86" s="15"/>
      <c r="Z86" s="15"/>
    </row>
    <row r="87" spans="1:26" ht="21" customHeight="1" outlineLevel="2" x14ac:dyDescent="0.85">
      <c r="A87" s="801" t="s">
        <v>162</v>
      </c>
      <c r="B87" s="811" t="s">
        <v>267</v>
      </c>
      <c r="C87" s="802" t="s">
        <v>163</v>
      </c>
      <c r="D87" s="765"/>
      <c r="E87" s="765"/>
      <c r="F87" s="765"/>
      <c r="G87" s="762"/>
      <c r="H87" s="15"/>
      <c r="I87" s="15"/>
      <c r="J87" s="15"/>
      <c r="K87" s="15"/>
      <c r="L87" s="15"/>
      <c r="M87" s="111"/>
      <c r="N87" s="102"/>
      <c r="O87" s="15"/>
      <c r="P87" s="15"/>
      <c r="Q87" s="15"/>
      <c r="R87" s="15"/>
      <c r="S87" s="15"/>
      <c r="T87" s="15"/>
      <c r="U87" s="15"/>
      <c r="V87" s="15"/>
      <c r="W87" s="15"/>
      <c r="X87" s="15"/>
      <c r="Y87" s="15"/>
      <c r="Z87" s="15"/>
    </row>
    <row r="88" spans="1:26" ht="21" customHeight="1" outlineLevel="2" x14ac:dyDescent="0.85">
      <c r="A88" s="797"/>
      <c r="B88" s="797"/>
      <c r="C88" s="78" t="s">
        <v>268</v>
      </c>
      <c r="D88" s="78" t="s">
        <v>165</v>
      </c>
      <c r="E88" s="78" t="s">
        <v>166</v>
      </c>
      <c r="F88" s="78" t="s">
        <v>269</v>
      </c>
      <c r="G88" s="78" t="s">
        <v>168</v>
      </c>
      <c r="H88" s="15"/>
      <c r="I88" s="15"/>
      <c r="J88" s="15"/>
      <c r="K88" s="15"/>
      <c r="L88" s="15"/>
      <c r="M88" s="101"/>
      <c r="N88" s="102"/>
      <c r="O88" s="15"/>
      <c r="P88" s="15"/>
      <c r="Q88" s="15"/>
      <c r="R88" s="15"/>
      <c r="S88" s="15"/>
      <c r="T88" s="15"/>
      <c r="U88" s="15"/>
      <c r="V88" s="15"/>
      <c r="W88" s="15"/>
      <c r="X88" s="15"/>
      <c r="Y88" s="15"/>
      <c r="Z88" s="15"/>
    </row>
    <row r="89" spans="1:26" ht="21" customHeight="1" outlineLevel="2" x14ac:dyDescent="0.85">
      <c r="A89" s="97" t="s">
        <v>99</v>
      </c>
      <c r="B89" s="112">
        <f>'Energy Data'!G236</f>
        <v>0</v>
      </c>
      <c r="C89" s="113">
        <f>(($B89/1000)*A$38)/'Conversion Factors and GWP'!$A$3</f>
        <v>0</v>
      </c>
      <c r="D89" s="113">
        <f>(($B89/1000)*B$38)/'Conversion Factors and GWP'!$A$3</f>
        <v>0</v>
      </c>
      <c r="E89" s="113">
        <f>(($B89/1000)*C$38)/'Conversion Factors and GWP'!$A$3</f>
        <v>0</v>
      </c>
      <c r="F89" s="113">
        <f>(($B89/1000)*D$38)/'Conversion Factors and GWP'!$A$3</f>
        <v>0</v>
      </c>
      <c r="G89" s="113" t="s">
        <v>258</v>
      </c>
      <c r="H89" s="15"/>
      <c r="I89" s="15"/>
      <c r="J89" s="15"/>
      <c r="K89" s="15"/>
      <c r="L89" s="15"/>
      <c r="M89" s="101"/>
      <c r="N89" s="102"/>
      <c r="O89" s="15"/>
      <c r="P89" s="15"/>
      <c r="Q89" s="15"/>
      <c r="R89" s="15"/>
      <c r="S89" s="15"/>
      <c r="T89" s="15"/>
      <c r="U89" s="15"/>
      <c r="V89" s="15"/>
      <c r="W89" s="15"/>
      <c r="X89" s="15"/>
      <c r="Y89" s="15"/>
      <c r="Z89" s="15"/>
    </row>
    <row r="90" spans="1:26" ht="21" customHeight="1" outlineLevel="2" x14ac:dyDescent="0.85">
      <c r="A90" s="806" t="s">
        <v>142</v>
      </c>
      <c r="B90" s="765"/>
      <c r="C90" s="765"/>
      <c r="D90" s="765"/>
      <c r="E90" s="765"/>
      <c r="F90" s="765"/>
      <c r="G90" s="765"/>
      <c r="H90" s="762"/>
      <c r="I90" s="15"/>
      <c r="J90" s="15"/>
      <c r="K90" s="15"/>
      <c r="L90" s="15"/>
      <c r="M90" s="101"/>
      <c r="N90" s="102"/>
      <c r="O90" s="15"/>
      <c r="P90" s="15"/>
      <c r="Q90" s="15"/>
      <c r="R90" s="15"/>
      <c r="S90" s="15"/>
      <c r="T90" s="15"/>
      <c r="U90" s="15"/>
      <c r="V90" s="15"/>
      <c r="W90" s="15"/>
      <c r="X90" s="15"/>
      <c r="Y90" s="15"/>
      <c r="Z90" s="15"/>
    </row>
    <row r="91" spans="1:26" ht="24" customHeight="1" outlineLevel="2" x14ac:dyDescent="0.85">
      <c r="A91" s="801" t="s">
        <v>162</v>
      </c>
      <c r="B91" s="807" t="s">
        <v>270</v>
      </c>
      <c r="C91" s="807" t="s">
        <v>271</v>
      </c>
      <c r="D91" s="802" t="s">
        <v>163</v>
      </c>
      <c r="E91" s="765"/>
      <c r="F91" s="765"/>
      <c r="G91" s="765"/>
      <c r="H91" s="762"/>
      <c r="I91" s="15"/>
      <c r="J91" s="15"/>
      <c r="K91" s="15"/>
      <c r="L91" s="15"/>
      <c r="M91" s="101"/>
      <c r="N91" s="102"/>
      <c r="O91" s="15"/>
      <c r="P91" s="15"/>
      <c r="Q91" s="15"/>
      <c r="R91" s="15"/>
      <c r="S91" s="15"/>
      <c r="T91" s="15"/>
      <c r="U91" s="15"/>
      <c r="V91" s="15"/>
      <c r="W91" s="15"/>
      <c r="X91" s="15"/>
      <c r="Y91" s="15"/>
      <c r="Z91" s="15"/>
    </row>
    <row r="92" spans="1:26" ht="21" customHeight="1" outlineLevel="2" x14ac:dyDescent="0.85">
      <c r="A92" s="797"/>
      <c r="B92" s="797"/>
      <c r="C92" s="797"/>
      <c r="D92" s="78" t="s">
        <v>272</v>
      </c>
      <c r="E92" s="78" t="s">
        <v>165</v>
      </c>
      <c r="F92" s="78" t="s">
        <v>166</v>
      </c>
      <c r="G92" s="78" t="s">
        <v>273</v>
      </c>
      <c r="H92" s="78" t="s">
        <v>168</v>
      </c>
      <c r="I92" s="15"/>
      <c r="J92" s="15"/>
      <c r="K92" s="15"/>
      <c r="L92" s="15"/>
      <c r="M92" s="101"/>
      <c r="N92" s="102"/>
      <c r="O92" s="15"/>
      <c r="P92" s="15"/>
      <c r="Q92" s="15"/>
      <c r="R92" s="15"/>
      <c r="S92" s="15"/>
      <c r="T92" s="15"/>
      <c r="U92" s="15"/>
      <c r="V92" s="15"/>
      <c r="W92" s="15"/>
      <c r="X92" s="15"/>
      <c r="Y92" s="15"/>
      <c r="Z92" s="15"/>
    </row>
    <row r="93" spans="1:26" ht="21" customHeight="1" outlineLevel="2" x14ac:dyDescent="0.85">
      <c r="A93" s="89" t="s">
        <v>99</v>
      </c>
      <c r="B93" s="109">
        <f>'Energy Data'!G261</f>
        <v>718759.2</v>
      </c>
      <c r="C93" s="114">
        <f>((B93*'Conversion Factors and GWP'!$A$18)/8600)/'Conversion Factors and GWP'!$A$4</f>
        <v>41788.325581395351</v>
      </c>
      <c r="D93" s="115">
        <f>($C93*A$41)/'Conversion Factors and GWP'!$A$3</f>
        <v>53.073686906544886</v>
      </c>
      <c r="E93" s="115">
        <f>($C93*B$41)/'Conversion Factors and GWP'!$A$3</f>
        <v>4374.7881921537719</v>
      </c>
      <c r="F93" s="115">
        <f>($C93*C$41)/'Conversion Factors and GWP'!$A$3</f>
        <v>580.01957833581207</v>
      </c>
      <c r="G93" s="115">
        <f>($C93*D$41)/'Conversion Factors and GWP'!$A$3</f>
        <v>7.5819552723635564</v>
      </c>
      <c r="H93" s="115" t="s">
        <v>258</v>
      </c>
      <c r="I93" s="15"/>
      <c r="J93" s="15"/>
      <c r="K93" s="15"/>
      <c r="L93" s="15"/>
      <c r="M93" s="101"/>
      <c r="N93" s="15"/>
      <c r="O93" s="15"/>
      <c r="P93" s="15"/>
      <c r="Q93" s="15"/>
      <c r="R93" s="15"/>
      <c r="S93" s="15"/>
      <c r="T93" s="15"/>
      <c r="U93" s="15"/>
      <c r="V93" s="15"/>
      <c r="W93" s="15"/>
      <c r="X93" s="15"/>
      <c r="Y93" s="15"/>
      <c r="Z93" s="15"/>
    </row>
    <row r="94" spans="1:26" ht="21" customHeight="1" outlineLevel="2" x14ac:dyDescent="0.85">
      <c r="A94" s="116" t="s">
        <v>274</v>
      </c>
      <c r="B94" s="116"/>
      <c r="C94" s="116"/>
      <c r="D94" s="117">
        <f t="shared" ref="D94:H94" si="2">SUM(C75,D81,C85,C89,D93)</f>
        <v>3104.0028826776693</v>
      </c>
      <c r="E94" s="117">
        <f t="shared" si="2"/>
        <v>5197.0291723716491</v>
      </c>
      <c r="F94" s="117">
        <f t="shared" si="2"/>
        <v>955.98876753448042</v>
      </c>
      <c r="G94" s="117">
        <f t="shared" si="2"/>
        <v>354.70065837630563</v>
      </c>
      <c r="H94" s="117">
        <f t="shared" si="2"/>
        <v>165.90630308016762</v>
      </c>
      <c r="I94" s="15"/>
      <c r="J94" s="15"/>
      <c r="K94" s="15"/>
      <c r="L94" s="15"/>
      <c r="M94" s="15"/>
      <c r="N94" s="15"/>
      <c r="O94" s="15"/>
      <c r="P94" s="15"/>
      <c r="Q94" s="15"/>
      <c r="R94" s="15"/>
      <c r="S94" s="15"/>
      <c r="T94" s="15"/>
      <c r="U94" s="15"/>
      <c r="V94" s="15"/>
      <c r="W94" s="15"/>
      <c r="X94" s="15"/>
      <c r="Y94" s="15"/>
      <c r="Z94" s="15"/>
    </row>
    <row r="95" spans="1:26" ht="21" customHeight="1" outlineLevel="2" x14ac:dyDescent="0.85">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row>
    <row r="96" spans="1:26" ht="21" customHeight="1" outlineLevel="1" x14ac:dyDescent="0.85">
      <c r="A96" s="804" t="s">
        <v>131</v>
      </c>
      <c r="B96" s="765"/>
      <c r="C96" s="765"/>
      <c r="D96" s="765"/>
      <c r="E96" s="765"/>
      <c r="F96" s="765"/>
      <c r="G96" s="765"/>
      <c r="H96" s="765"/>
      <c r="I96" s="765"/>
      <c r="J96" s="765"/>
      <c r="K96" s="762"/>
      <c r="L96" s="15"/>
      <c r="M96" s="15"/>
      <c r="N96" s="118"/>
      <c r="O96" s="118"/>
      <c r="P96" s="118"/>
      <c r="Q96" s="118"/>
      <c r="R96" s="119"/>
      <c r="S96" s="119"/>
      <c r="T96" s="15"/>
      <c r="U96" s="15"/>
      <c r="V96" s="15"/>
      <c r="W96" s="15"/>
      <c r="X96" s="15"/>
      <c r="Y96" s="15"/>
      <c r="Z96" s="15"/>
    </row>
    <row r="97" spans="1:26" ht="21" customHeight="1" outlineLevel="2" x14ac:dyDescent="0.85">
      <c r="A97" s="806" t="s">
        <v>275</v>
      </c>
      <c r="B97" s="765"/>
      <c r="C97" s="765"/>
      <c r="D97" s="765"/>
      <c r="E97" s="765"/>
      <c r="F97" s="765"/>
      <c r="G97" s="765"/>
      <c r="H97" s="765"/>
      <c r="I97" s="765"/>
      <c r="J97" s="765"/>
      <c r="K97" s="762"/>
      <c r="L97" s="15"/>
      <c r="M97" s="15"/>
      <c r="N97" s="15"/>
      <c r="O97" s="15"/>
      <c r="P97" s="15"/>
      <c r="Q97" s="15"/>
      <c r="R97" s="15"/>
      <c r="S97" s="15"/>
      <c r="T97" s="15"/>
      <c r="U97" s="15"/>
      <c r="V97" s="15"/>
      <c r="W97" s="15"/>
      <c r="X97" s="15"/>
      <c r="Y97" s="15"/>
      <c r="Z97" s="15"/>
    </row>
    <row r="98" spans="1:26" ht="24" customHeight="1" outlineLevel="2" x14ac:dyDescent="0.85">
      <c r="A98" s="799" t="s">
        <v>162</v>
      </c>
      <c r="B98" s="800" t="s">
        <v>276</v>
      </c>
      <c r="C98" s="800" t="s">
        <v>277</v>
      </c>
      <c r="D98" s="800" t="s">
        <v>278</v>
      </c>
      <c r="E98" s="800" t="s">
        <v>279</v>
      </c>
      <c r="F98" s="802" t="s">
        <v>163</v>
      </c>
      <c r="G98" s="765"/>
      <c r="H98" s="765"/>
      <c r="I98" s="765"/>
      <c r="J98" s="765"/>
      <c r="K98" s="762"/>
      <c r="L98" s="15"/>
      <c r="M98" s="15"/>
      <c r="N98" s="15"/>
      <c r="O98" s="15"/>
      <c r="P98" s="15"/>
      <c r="Q98" s="15"/>
      <c r="R98" s="15"/>
      <c r="S98" s="15"/>
      <c r="T98" s="15"/>
      <c r="U98" s="15"/>
      <c r="V98" s="15"/>
      <c r="W98" s="15"/>
      <c r="X98" s="15"/>
      <c r="Y98" s="15"/>
      <c r="Z98" s="15"/>
    </row>
    <row r="99" spans="1:26" ht="21" customHeight="1" outlineLevel="2" x14ac:dyDescent="0.85">
      <c r="A99" s="797"/>
      <c r="B99" s="797"/>
      <c r="C99" s="797"/>
      <c r="D99" s="797"/>
      <c r="E99" s="797"/>
      <c r="F99" s="78" t="s">
        <v>280</v>
      </c>
      <c r="G99" s="78" t="s">
        <v>165</v>
      </c>
      <c r="H99" s="85" t="s">
        <v>281</v>
      </c>
      <c r="I99" s="85" t="s">
        <v>282</v>
      </c>
      <c r="J99" s="78" t="s">
        <v>283</v>
      </c>
      <c r="K99" s="78" t="s">
        <v>168</v>
      </c>
      <c r="L99" s="3"/>
      <c r="M99" s="3"/>
      <c r="N99" s="15"/>
      <c r="O99" s="15"/>
      <c r="P99" s="15"/>
      <c r="Q99" s="15"/>
      <c r="R99" s="15"/>
      <c r="S99" s="15"/>
      <c r="T99" s="15"/>
      <c r="U99" s="15"/>
      <c r="V99" s="15"/>
      <c r="W99" s="15"/>
      <c r="X99" s="15"/>
      <c r="Y99" s="15"/>
      <c r="Z99" s="15"/>
    </row>
    <row r="100" spans="1:26" ht="21" customHeight="1" outlineLevel="2" x14ac:dyDescent="0.85">
      <c r="A100" s="89" t="s">
        <v>99</v>
      </c>
      <c r="B100" s="103">
        <f>'On-Road Data'!B80+'On-Road Data'!B82+'On-Road Data'!B84+'On-Road Data'!B86+'On-Road Data'!F80+'On-Road Data'!F82+'On-Road Data'!F84+'On-Road Data'!F86</f>
        <v>4393379012.1218681</v>
      </c>
      <c r="C100" s="103">
        <f>'On-Road Data'!C80+'On-Road Data'!C82+'On-Road Data'!C84+'On-Road Data'!C86+'On-Road Data'!G80+'On-Road Data'!G82+'On-Road Data'!G84+'On-Road Data'!G86</f>
        <v>1444364529.6380646</v>
      </c>
      <c r="D100" s="103">
        <f>'On-Road Data'!D80+'On-Road Data'!D82+'On-Road Data'!D84+'On-Road Data'!D86</f>
        <v>360218775.24883813</v>
      </c>
      <c r="E100" s="103">
        <f>'On-Road Data'!E80+'On-Road Data'!E82+'On-Road Data'!E84+'On-Road Data'!E86</f>
        <v>42976212.027424887</v>
      </c>
      <c r="F100" s="39">
        <f>(($B100*B45)+($C100*B46)+($D100*B48)+($E100*B49))/'Conversion Factors and GWP'!$A$8</f>
        <v>796.71777824855042</v>
      </c>
      <c r="G100" s="39">
        <f>(($B100*C45)+($C100*C46)+($D100*C48)+($E100*C49))/'Conversion Factors and GWP'!$A$8</f>
        <v>26639.038806422031</v>
      </c>
      <c r="H100" s="39">
        <f>(($B100*D45)+($C100*D46)+($D100*D48)+($E100*D49))/'Conversion Factors and GWP'!$A$8</f>
        <v>50.519358014902352</v>
      </c>
      <c r="I100" s="39">
        <f>(($B100*E45)+($C100*E46)+($D100*E48)+($E100*E49))/'Conversion Factors and GWP'!$A$8</f>
        <v>245.60467569694242</v>
      </c>
      <c r="J100" s="39">
        <f>(($B100*F45)+($C100*F46)+($D100*F48)+($E100*F49))/'Conversion Factors and GWP'!$A$8</f>
        <v>40.345455520008606</v>
      </c>
      <c r="K100" s="39">
        <f>(($B100*G45)+($C100*G46)+($D100*G48)+($E100*G49))/'Conversion Factors and GWP'!$A$8</f>
        <v>2089.5673726615692</v>
      </c>
      <c r="L100" s="15"/>
      <c r="M100" s="15"/>
      <c r="N100" s="15"/>
      <c r="O100" s="15"/>
      <c r="P100" s="15"/>
      <c r="Q100" s="15"/>
      <c r="R100" s="15"/>
      <c r="S100" s="15"/>
      <c r="T100" s="15"/>
      <c r="U100" s="15"/>
      <c r="V100" s="15"/>
      <c r="W100" s="15"/>
      <c r="X100" s="15"/>
      <c r="Y100" s="15"/>
      <c r="Z100" s="15"/>
    </row>
    <row r="101" spans="1:26" ht="21" customHeight="1" outlineLevel="2" x14ac:dyDescent="0.85">
      <c r="A101" s="806" t="s">
        <v>284</v>
      </c>
      <c r="B101" s="765"/>
      <c r="C101" s="765"/>
      <c r="D101" s="765"/>
      <c r="E101" s="765"/>
      <c r="F101" s="765"/>
      <c r="G101" s="765"/>
      <c r="H101" s="765"/>
      <c r="I101" s="765"/>
      <c r="J101" s="762"/>
      <c r="K101" s="15"/>
      <c r="L101" s="15"/>
      <c r="M101" s="15"/>
      <c r="N101" s="15"/>
      <c r="O101" s="15"/>
      <c r="P101" s="15"/>
      <c r="Q101" s="15"/>
      <c r="R101" s="15"/>
      <c r="S101" s="15"/>
      <c r="T101" s="15"/>
      <c r="U101" s="15"/>
      <c r="V101" s="15"/>
      <c r="W101" s="15"/>
      <c r="X101" s="15"/>
      <c r="Y101" s="15"/>
      <c r="Z101" s="15"/>
    </row>
    <row r="102" spans="1:26" ht="21" customHeight="1" outlineLevel="2" x14ac:dyDescent="0.85">
      <c r="A102" s="799" t="s">
        <v>162</v>
      </c>
      <c r="B102" s="800" t="s">
        <v>276</v>
      </c>
      <c r="C102" s="800" t="s">
        <v>277</v>
      </c>
      <c r="D102" s="800" t="s">
        <v>278</v>
      </c>
      <c r="E102" s="802" t="s">
        <v>163</v>
      </c>
      <c r="F102" s="765"/>
      <c r="G102" s="765"/>
      <c r="H102" s="765"/>
      <c r="I102" s="765"/>
      <c r="J102" s="762"/>
      <c r="K102" s="15"/>
      <c r="L102" s="15"/>
      <c r="M102" s="15"/>
      <c r="N102" s="15"/>
      <c r="O102" s="15"/>
      <c r="P102" s="15"/>
      <c r="Q102" s="15"/>
      <c r="R102" s="15"/>
      <c r="S102" s="15"/>
      <c r="T102" s="15"/>
      <c r="U102" s="15"/>
      <c r="V102" s="15"/>
      <c r="W102" s="15"/>
      <c r="X102" s="15"/>
      <c r="Y102" s="15"/>
      <c r="Z102" s="15"/>
    </row>
    <row r="103" spans="1:26" ht="21" customHeight="1" outlineLevel="2" x14ac:dyDescent="0.85">
      <c r="A103" s="797"/>
      <c r="B103" s="797"/>
      <c r="C103" s="797"/>
      <c r="D103" s="797"/>
      <c r="E103" s="78" t="s">
        <v>285</v>
      </c>
      <c r="F103" s="78" t="s">
        <v>165</v>
      </c>
      <c r="G103" s="85" t="s">
        <v>286</v>
      </c>
      <c r="H103" s="85" t="s">
        <v>287</v>
      </c>
      <c r="I103" s="78" t="s">
        <v>288</v>
      </c>
      <c r="J103" s="78" t="s">
        <v>168</v>
      </c>
      <c r="K103" s="15"/>
      <c r="L103" s="15"/>
      <c r="M103" s="15"/>
      <c r="N103" s="15"/>
      <c r="O103" s="15"/>
      <c r="P103" s="15"/>
      <c r="Q103" s="15"/>
      <c r="R103" s="15"/>
      <c r="S103" s="15"/>
      <c r="T103" s="15"/>
      <c r="U103" s="15"/>
      <c r="V103" s="15"/>
      <c r="W103" s="15"/>
      <c r="X103" s="15"/>
      <c r="Y103" s="15"/>
      <c r="Z103" s="15"/>
    </row>
    <row r="104" spans="1:26" ht="21" customHeight="1" outlineLevel="2" x14ac:dyDescent="0.85">
      <c r="A104" s="89" t="s">
        <v>99</v>
      </c>
      <c r="B104" s="103">
        <f>SUM('On-Road Data'!H80,'On-Road Data'!H82,'On-Road Data'!H84,'On-Road Data'!H86)</f>
        <v>184598294.77813739</v>
      </c>
      <c r="C104" s="103">
        <f>SUM('On-Road Data'!I80,'On-Road Data'!I82,'On-Road Data'!I84,'On-Road Data'!I86)</f>
        <v>60688419.659117997</v>
      </c>
      <c r="D104" s="103">
        <f>SUM('On-Road Data'!J80,'On-Road Data'!J82,'On-Road Data'!J84,'On-Road Data'!J86)</f>
        <v>400243083.60982013</v>
      </c>
      <c r="E104" s="39">
        <f>(($B104*B52)+($C104*B53)+($D104*AVERAGE(B55,B56)))/'Conversion Factors and GWP'!$A$8</f>
        <v>1093.2809763073092</v>
      </c>
      <c r="F104" s="39">
        <f>(($B104*C52)+($C104*C53)+($D104*AVERAGE(C55,C56)))/'Conversion Factors and GWP'!$A$8</f>
        <v>2568.4774028575566</v>
      </c>
      <c r="G104" s="39">
        <f>(($B104*D52)+($C104*D53)+($D104*AVERAGE(D55,D56)))/'Conversion Factors and GWP'!$A$8</f>
        <v>18.697696128872568</v>
      </c>
      <c r="H104" s="39">
        <f>(($B104*E52)+($C104*E53)+($D104*AVERAGE(E55,E56)))/'Conversion Factors and GWP'!$A$8</f>
        <v>81.138824335221599</v>
      </c>
      <c r="I104" s="39">
        <f>(($B104*F52)+($C104*F53)+($D104*AVERAGE(F55,F56)))/'Conversion Factors and GWP'!$A$8</f>
        <v>5.416650182796519</v>
      </c>
      <c r="J104" s="39">
        <f>(($B104*G52)+($C104*G53)+($D104*AVERAGE(G55,G56)))/'Conversion Factors and GWP'!$A$8</f>
        <v>193.68084362661617</v>
      </c>
      <c r="K104" s="15"/>
      <c r="L104" s="15"/>
      <c r="M104" s="15"/>
      <c r="N104" s="15"/>
      <c r="O104" s="15"/>
      <c r="P104" s="15"/>
      <c r="Q104" s="15"/>
      <c r="R104" s="15"/>
      <c r="S104" s="15"/>
      <c r="T104" s="15"/>
      <c r="U104" s="15"/>
      <c r="V104" s="15"/>
      <c r="W104" s="15"/>
      <c r="X104" s="15"/>
      <c r="Y104" s="15"/>
      <c r="Z104" s="15"/>
    </row>
    <row r="105" spans="1:26" ht="21" customHeight="1" outlineLevel="2" x14ac:dyDescent="0.85">
      <c r="A105" s="806" t="s">
        <v>146</v>
      </c>
      <c r="B105" s="765"/>
      <c r="C105" s="765"/>
      <c r="D105" s="765"/>
      <c r="E105" s="765"/>
      <c r="F105" s="765"/>
      <c r="G105" s="762"/>
      <c r="H105" s="15"/>
      <c r="I105" s="15"/>
      <c r="J105" s="15"/>
      <c r="K105" s="15"/>
      <c r="L105" s="15"/>
      <c r="M105" s="15"/>
      <c r="N105" s="15"/>
      <c r="O105" s="15"/>
      <c r="P105" s="15"/>
      <c r="Q105" s="15"/>
      <c r="R105" s="15"/>
      <c r="S105" s="15"/>
      <c r="T105" s="15"/>
      <c r="U105" s="15"/>
      <c r="V105" s="15"/>
      <c r="W105" s="15"/>
      <c r="X105" s="15"/>
      <c r="Y105" s="15"/>
      <c r="Z105" s="15"/>
    </row>
    <row r="106" spans="1:26" ht="21" customHeight="1" outlineLevel="2" x14ac:dyDescent="0.85">
      <c r="A106" s="801" t="s">
        <v>162</v>
      </c>
      <c r="B106" s="811" t="s">
        <v>289</v>
      </c>
      <c r="C106" s="802" t="s">
        <v>163</v>
      </c>
      <c r="D106" s="765"/>
      <c r="E106" s="765"/>
      <c r="F106" s="765"/>
      <c r="G106" s="762"/>
      <c r="H106" s="15"/>
      <c r="I106" s="15"/>
      <c r="J106" s="15"/>
      <c r="K106" s="15"/>
      <c r="L106" s="15"/>
      <c r="M106" s="15"/>
      <c r="N106" s="15"/>
      <c r="O106" s="15"/>
      <c r="P106" s="15"/>
      <c r="Q106" s="15"/>
      <c r="R106" s="15"/>
      <c r="S106" s="15"/>
      <c r="T106" s="15"/>
      <c r="U106" s="15"/>
      <c r="V106" s="15"/>
      <c r="W106" s="15"/>
      <c r="X106" s="15"/>
      <c r="Y106" s="15"/>
      <c r="Z106" s="15"/>
    </row>
    <row r="107" spans="1:26" ht="21" customHeight="1" outlineLevel="2" x14ac:dyDescent="0.85">
      <c r="A107" s="797"/>
      <c r="B107" s="797"/>
      <c r="C107" s="78" t="s">
        <v>290</v>
      </c>
      <c r="D107" s="78" t="s">
        <v>165</v>
      </c>
      <c r="E107" s="78" t="s">
        <v>166</v>
      </c>
      <c r="F107" s="78" t="s">
        <v>291</v>
      </c>
      <c r="G107" s="78" t="s">
        <v>168</v>
      </c>
      <c r="H107" s="15"/>
      <c r="I107" s="15"/>
      <c r="J107" s="15"/>
      <c r="K107" s="15"/>
      <c r="L107" s="15"/>
      <c r="M107" s="15"/>
      <c r="N107" s="15"/>
      <c r="O107" s="15"/>
      <c r="P107" s="15"/>
      <c r="Q107" s="15"/>
      <c r="R107" s="15"/>
      <c r="S107" s="15"/>
      <c r="T107" s="15"/>
      <c r="U107" s="15"/>
      <c r="V107" s="15"/>
      <c r="W107" s="15"/>
      <c r="X107" s="15"/>
      <c r="Y107" s="15"/>
      <c r="Z107" s="15"/>
    </row>
    <row r="108" spans="1:26" ht="21" customHeight="1" outlineLevel="2" x14ac:dyDescent="0.85">
      <c r="A108" s="97" t="s">
        <v>99</v>
      </c>
      <c r="B108" s="120">
        <f>SUM('On-Road Data'!E145:F148)</f>
        <v>38106257.420000002</v>
      </c>
      <c r="C108" s="121">
        <f>(($B108/'Conversion Factors and GWP'!$A$5)*A$25)/'Conversion Factors and GWP'!$A$3</f>
        <v>7.2423011035824771</v>
      </c>
      <c r="D108" s="121" t="s">
        <v>258</v>
      </c>
      <c r="E108" s="121">
        <f>(($B108/'Conversion Factors and GWP'!$A$5)*C$25)/'Conversion Factors and GWP'!$A$3</f>
        <v>1.3827782536672988</v>
      </c>
      <c r="F108" s="121">
        <f>(($B108/'Conversion Factors and GWP'!$A$5)*D$25)/'Conversion Factors and GWP'!$A$3</f>
        <v>2.0914521086717892</v>
      </c>
      <c r="G108" s="121" t="s">
        <v>258</v>
      </c>
      <c r="H108" s="15"/>
      <c r="I108" s="15"/>
      <c r="J108" s="15"/>
      <c r="K108" s="15"/>
      <c r="L108" s="15"/>
      <c r="M108" s="15"/>
      <c r="N108" s="15"/>
      <c r="O108" s="15"/>
      <c r="P108" s="15"/>
      <c r="Q108" s="15"/>
      <c r="R108" s="15"/>
      <c r="S108" s="15"/>
      <c r="T108" s="15"/>
      <c r="U108" s="15"/>
      <c r="V108" s="15"/>
      <c r="W108" s="15"/>
      <c r="X108" s="15"/>
      <c r="Y108" s="15"/>
      <c r="Z108" s="15"/>
    </row>
    <row r="109" spans="1:26" ht="21" customHeight="1" outlineLevel="2" x14ac:dyDescent="0.85">
      <c r="A109" s="803" t="s">
        <v>292</v>
      </c>
      <c r="B109" s="765"/>
      <c r="C109" s="765"/>
      <c r="D109" s="765"/>
      <c r="E109" s="765"/>
      <c r="F109" s="765"/>
      <c r="G109" s="765"/>
      <c r="H109" s="765"/>
      <c r="I109" s="765"/>
      <c r="J109" s="762"/>
      <c r="K109" s="15"/>
      <c r="L109" s="15"/>
      <c r="M109" s="15"/>
      <c r="N109" s="15"/>
      <c r="O109" s="15"/>
      <c r="P109" s="15"/>
      <c r="Q109" s="15"/>
      <c r="R109" s="15"/>
      <c r="S109" s="15"/>
      <c r="T109" s="15"/>
      <c r="U109" s="15"/>
      <c r="V109" s="15"/>
      <c r="W109" s="15"/>
      <c r="X109" s="15"/>
      <c r="Y109" s="15"/>
      <c r="Z109" s="15"/>
    </row>
    <row r="110" spans="1:26" ht="21" customHeight="1" outlineLevel="2" x14ac:dyDescent="0.85">
      <c r="A110" s="805" t="s">
        <v>235</v>
      </c>
      <c r="B110" s="765"/>
      <c r="C110" s="765"/>
      <c r="D110" s="765"/>
      <c r="E110" s="765"/>
      <c r="F110" s="765"/>
      <c r="G110" s="765"/>
      <c r="H110" s="765"/>
      <c r="I110" s="765"/>
      <c r="J110" s="762"/>
      <c r="K110" s="15"/>
      <c r="L110" s="15"/>
      <c r="M110" s="15"/>
      <c r="N110" s="15"/>
      <c r="O110" s="15"/>
      <c r="P110" s="15"/>
      <c r="Q110" s="15"/>
      <c r="R110" s="15"/>
      <c r="S110" s="15"/>
      <c r="T110" s="15"/>
      <c r="U110" s="15"/>
      <c r="V110" s="15"/>
      <c r="W110" s="15"/>
      <c r="X110" s="15"/>
      <c r="Y110" s="15"/>
      <c r="Z110" s="15"/>
    </row>
    <row r="111" spans="1:26" ht="21" customHeight="1" outlineLevel="2" x14ac:dyDescent="0.85">
      <c r="A111" s="801" t="s">
        <v>162</v>
      </c>
      <c r="B111" s="811" t="s">
        <v>293</v>
      </c>
      <c r="C111" s="811" t="s">
        <v>294</v>
      </c>
      <c r="D111" s="811" t="s">
        <v>295</v>
      </c>
      <c r="E111" s="811" t="s">
        <v>296</v>
      </c>
      <c r="F111" s="802" t="s">
        <v>163</v>
      </c>
      <c r="G111" s="765"/>
      <c r="H111" s="765"/>
      <c r="I111" s="765"/>
      <c r="J111" s="762"/>
      <c r="K111" s="15"/>
      <c r="L111" s="15"/>
      <c r="M111" s="15"/>
      <c r="N111" s="15"/>
      <c r="O111" s="15"/>
      <c r="P111" s="15"/>
      <c r="Q111" s="15"/>
      <c r="R111" s="15"/>
      <c r="S111" s="15"/>
      <c r="T111" s="15"/>
      <c r="U111" s="15"/>
      <c r="V111" s="15"/>
      <c r="W111" s="15"/>
      <c r="X111" s="15"/>
      <c r="Y111" s="15"/>
      <c r="Z111" s="15"/>
    </row>
    <row r="112" spans="1:26" ht="21" customHeight="1" outlineLevel="2" x14ac:dyDescent="0.85">
      <c r="A112" s="797"/>
      <c r="B112" s="797"/>
      <c r="C112" s="797"/>
      <c r="D112" s="797"/>
      <c r="E112" s="797"/>
      <c r="F112" s="78" t="s">
        <v>297</v>
      </c>
      <c r="G112" s="78" t="s">
        <v>165</v>
      </c>
      <c r="H112" s="78" t="s">
        <v>166</v>
      </c>
      <c r="I112" s="78" t="s">
        <v>298</v>
      </c>
      <c r="J112" s="78" t="s">
        <v>168</v>
      </c>
      <c r="K112" s="15"/>
      <c r="L112" s="15"/>
      <c r="M112" s="15"/>
      <c r="N112" s="15"/>
      <c r="O112" s="15"/>
      <c r="P112" s="15"/>
      <c r="Q112" s="15"/>
      <c r="R112" s="15"/>
      <c r="S112" s="15"/>
      <c r="T112" s="15"/>
      <c r="U112" s="15"/>
      <c r="V112" s="15"/>
      <c r="W112" s="15"/>
      <c r="X112" s="15"/>
      <c r="Y112" s="15"/>
      <c r="Z112" s="15"/>
    </row>
    <row r="113" spans="1:26" ht="21" customHeight="1" outlineLevel="2" x14ac:dyDescent="0.85">
      <c r="A113" s="89" t="s">
        <v>99</v>
      </c>
      <c r="B113" s="103">
        <f>'Transit Data'!C59</f>
        <v>2948328.9599999995</v>
      </c>
      <c r="C113" s="103">
        <f>'Transit Data'!C65</f>
        <v>5442397.6299999999</v>
      </c>
      <c r="D113" s="103">
        <f>'Transit Data'!B68</f>
        <v>252323.36956521741</v>
      </c>
      <c r="E113" s="103">
        <f>'Transit Data'!B73</f>
        <v>88578.938999999998</v>
      </c>
      <c r="F113" s="122">
        <f>((($B113*B48)+($C113*B54))/'Conversion Factors and GWP'!$A$8)+((($E113/'Conversion Factors and GWP'!$A$5)*A$25)/'Conversion Factors and GWP'!$A$3)+(((D113*'Conversion Factors and GWP'!$C$11)*Co_Pollutants!$B$59)/'Conversion Factors and GWP'!$A$7)</f>
        <v>18.199013227026754</v>
      </c>
      <c r="G113" s="122">
        <f>((($B113*C48)+($C113*C54))/'Conversion Factors and GWP'!$A$8)+(((D113*'Conversion Factors and GWP'!$C$11)*Co_Pollutants!$C$59)/'Conversion Factors and GWP'!$A$7)</f>
        <v>98.186180601836938</v>
      </c>
      <c r="H113" s="122">
        <f>((($B113*D48)+($C113*D54))/'Conversion Factors and GWP'!$A$8)+((($E113/'Conversion Factors and GWP'!$A$5)*C$25)/'Conversion Factors and GWP'!$A$3)+(((D113*'Conversion Factors and GWP'!$C$11)*Co_Pollutants!$D$59)/'Conversion Factors and GWP'!$A$7)</f>
        <v>0.22809415657245855</v>
      </c>
      <c r="I113" s="122">
        <f>((($B113*E48)+($C113*E54))/'Conversion Factors and GWP'!$A$8)+((($E113/'Conversion Factors and GWP'!$A$5)*D$25)/'Conversion Factors and GWP'!$A$3)</f>
        <v>0.99157350643734343</v>
      </c>
      <c r="J113" s="122">
        <f>((($B113*F48)+($C113*F54))/'Conversion Factors and GWP'!$A$8)</f>
        <v>9.5632878988999984E-2</v>
      </c>
      <c r="K113" s="15"/>
      <c r="L113" s="15"/>
      <c r="M113" s="15"/>
      <c r="N113" s="15"/>
      <c r="O113" s="15"/>
      <c r="P113" s="15"/>
      <c r="Q113" s="15"/>
      <c r="R113" s="15"/>
      <c r="S113" s="15"/>
      <c r="T113" s="15"/>
      <c r="U113" s="15"/>
      <c r="V113" s="15"/>
      <c r="W113" s="15"/>
      <c r="X113" s="15"/>
      <c r="Y113" s="15"/>
      <c r="Z113" s="15"/>
    </row>
    <row r="114" spans="1:26" ht="21" customHeight="1" outlineLevel="2" x14ac:dyDescent="0.85">
      <c r="A114" s="803" t="s">
        <v>299</v>
      </c>
      <c r="B114" s="765"/>
      <c r="C114" s="765"/>
      <c r="D114" s="765"/>
      <c r="E114" s="765"/>
      <c r="F114" s="765"/>
      <c r="G114" s="765"/>
      <c r="H114" s="765"/>
      <c r="I114" s="765"/>
      <c r="J114" s="762"/>
      <c r="K114" s="15"/>
      <c r="L114" s="15"/>
      <c r="M114" s="15"/>
      <c r="N114" s="15"/>
      <c r="O114" s="15"/>
      <c r="P114" s="15"/>
      <c r="Q114" s="15"/>
      <c r="R114" s="15"/>
      <c r="S114" s="15"/>
      <c r="T114" s="15"/>
      <c r="U114" s="15"/>
      <c r="V114" s="15"/>
      <c r="W114" s="15"/>
      <c r="X114" s="15"/>
      <c r="Y114" s="15"/>
      <c r="Z114" s="15"/>
    </row>
    <row r="115" spans="1:26" ht="21" customHeight="1" outlineLevel="2" x14ac:dyDescent="0.85">
      <c r="A115" s="801" t="s">
        <v>300</v>
      </c>
      <c r="B115" s="811" t="s">
        <v>301</v>
      </c>
      <c r="C115" s="811" t="s">
        <v>302</v>
      </c>
      <c r="D115" s="811" t="s">
        <v>243</v>
      </c>
      <c r="E115" s="811" t="s">
        <v>303</v>
      </c>
      <c r="F115" s="802" t="s">
        <v>163</v>
      </c>
      <c r="G115" s="765"/>
      <c r="H115" s="765"/>
      <c r="I115" s="765"/>
      <c r="J115" s="762"/>
      <c r="K115" s="15"/>
      <c r="L115" s="15"/>
      <c r="M115" s="15"/>
      <c r="N115" s="15"/>
      <c r="O115" s="15"/>
      <c r="P115" s="15"/>
      <c r="Q115" s="15"/>
      <c r="R115" s="15"/>
      <c r="S115" s="15"/>
      <c r="T115" s="15"/>
      <c r="U115" s="15"/>
      <c r="V115" s="15"/>
      <c r="W115" s="15"/>
      <c r="X115" s="15"/>
      <c r="Y115" s="15"/>
      <c r="Z115" s="15"/>
    </row>
    <row r="116" spans="1:26" ht="21" customHeight="1" outlineLevel="2" x14ac:dyDescent="0.85">
      <c r="A116" s="797"/>
      <c r="B116" s="797"/>
      <c r="C116" s="797"/>
      <c r="D116" s="797"/>
      <c r="E116" s="797"/>
      <c r="F116" s="123" t="s">
        <v>304</v>
      </c>
      <c r="G116" s="123" t="s">
        <v>165</v>
      </c>
      <c r="H116" s="123" t="s">
        <v>166</v>
      </c>
      <c r="I116" s="123" t="s">
        <v>305</v>
      </c>
      <c r="J116" s="123" t="s">
        <v>168</v>
      </c>
      <c r="K116" s="15"/>
      <c r="L116" s="15"/>
      <c r="M116" s="15"/>
      <c r="N116" s="15"/>
      <c r="O116" s="15"/>
      <c r="P116" s="15"/>
      <c r="Q116" s="15"/>
      <c r="R116" s="15"/>
      <c r="S116" s="15"/>
      <c r="T116" s="15"/>
      <c r="U116" s="15"/>
      <c r="V116" s="15"/>
      <c r="W116" s="15"/>
      <c r="X116" s="15"/>
      <c r="Y116" s="15"/>
      <c r="Z116" s="15"/>
    </row>
    <row r="117" spans="1:26" ht="21" customHeight="1" outlineLevel="2" x14ac:dyDescent="0.85">
      <c r="A117" s="124" t="s">
        <v>306</v>
      </c>
      <c r="B117" s="125">
        <f>26041+('Aviation Data'!B56+'Aviation Data'!B58+'Aviation Data'!B59+'Aviation Data'!B61)</f>
        <v>50161</v>
      </c>
      <c r="C117" s="125">
        <v>1</v>
      </c>
      <c r="D117" s="103">
        <f t="shared" ref="D117:D118" si="3">(B117*$B$65)+(C117*$B$66)</f>
        <v>42639350</v>
      </c>
      <c r="E117" s="103">
        <f>(D117*'Conversion Factors and GWP'!$C$9)/'Conversion Factors and GWP'!$A$4</f>
        <v>47009.883374999998</v>
      </c>
      <c r="F117" s="103">
        <f>(($B117*C65)+($C117*C66))/'Conversion Factors and GWP'!$A$7</f>
        <v>511.68319999999994</v>
      </c>
      <c r="G117" s="103">
        <f>(($B117*D65)+($C117*D66))/'Conversion Factors and GWP'!$A$7</f>
        <v>406.35409999999996</v>
      </c>
      <c r="H117" s="103" t="s">
        <v>258</v>
      </c>
      <c r="I117" s="103">
        <f>(($B117*F65)+($C117*F66))/'Conversion Factors and GWP'!$A$7</f>
        <v>40.131300000000003</v>
      </c>
      <c r="J117" s="103">
        <f>(($B117*G65)+($C117*G66))/'Conversion Factors and GWP'!$A$7</f>
        <v>130.43360000000001</v>
      </c>
      <c r="K117" s="15"/>
      <c r="L117" s="15"/>
      <c r="M117" s="15"/>
      <c r="N117" s="15"/>
      <c r="O117" s="15"/>
      <c r="P117" s="15"/>
      <c r="Q117" s="15"/>
      <c r="R117" s="15"/>
      <c r="S117" s="15"/>
      <c r="T117" s="15"/>
      <c r="U117" s="15"/>
      <c r="V117" s="15"/>
      <c r="W117" s="15"/>
      <c r="X117" s="15"/>
      <c r="Y117" s="15"/>
      <c r="Z117" s="15"/>
    </row>
    <row r="118" spans="1:26" ht="21" customHeight="1" outlineLevel="2" x14ac:dyDescent="0.85">
      <c r="A118" s="124" t="s">
        <v>307</v>
      </c>
      <c r="B118" s="125">
        <f>'Aviation Data'!B57+'Aviation Data'!B60</f>
        <v>31486</v>
      </c>
      <c r="C118" s="125">
        <v>0</v>
      </c>
      <c r="D118" s="103">
        <f t="shared" si="3"/>
        <v>26763100</v>
      </c>
      <c r="E118" s="103">
        <f>(D118*'Conversion Factors and GWP'!$C$9)/'Conversion Factors and GWP'!$A$4</f>
        <v>29506.317749999998</v>
      </c>
      <c r="F118" s="103">
        <f>($E118*A$62)/'Conversion Factors and GWP'!$A$7</f>
        <v>59.012635499999995</v>
      </c>
      <c r="G118" s="103">
        <f>($E118*B$62)/'Conversion Factors and GWP'!$A$7</f>
        <v>17703.790649999999</v>
      </c>
      <c r="H118" s="103" t="s">
        <v>258</v>
      </c>
      <c r="I118" s="103">
        <f>($E118*D$62)/'Conversion Factors and GWP'!$A$7</f>
        <v>14.753158874999999</v>
      </c>
      <c r="J118" s="103">
        <f>($E118*E$62)/'Conversion Factors and GWP'!$A$7</f>
        <v>280.31001862499994</v>
      </c>
      <c r="K118" s="15"/>
      <c r="L118" s="15"/>
      <c r="M118" s="15"/>
      <c r="N118" s="15"/>
      <c r="O118" s="15"/>
      <c r="P118" s="15"/>
      <c r="Q118" s="15"/>
      <c r="R118" s="15"/>
      <c r="S118" s="15"/>
      <c r="T118" s="15"/>
      <c r="U118" s="15"/>
      <c r="V118" s="15"/>
      <c r="W118" s="15"/>
      <c r="X118" s="15"/>
      <c r="Y118" s="15"/>
      <c r="Z118" s="15"/>
    </row>
    <row r="119" spans="1:26" ht="21" customHeight="1" outlineLevel="2" x14ac:dyDescent="0.85">
      <c r="A119" s="803" t="s">
        <v>308</v>
      </c>
      <c r="B119" s="765"/>
      <c r="C119" s="765"/>
      <c r="D119" s="765"/>
      <c r="E119" s="765"/>
      <c r="F119" s="765"/>
      <c r="G119" s="762"/>
      <c r="H119" s="15"/>
      <c r="I119" s="15"/>
      <c r="J119" s="15"/>
      <c r="K119" s="15"/>
      <c r="L119" s="15"/>
      <c r="M119" s="15"/>
      <c r="N119" s="15"/>
      <c r="O119" s="15"/>
      <c r="P119" s="15"/>
      <c r="Q119" s="15"/>
      <c r="R119" s="15"/>
      <c r="S119" s="15"/>
      <c r="T119" s="15"/>
      <c r="U119" s="15"/>
      <c r="V119" s="15"/>
      <c r="W119" s="15"/>
      <c r="X119" s="15"/>
      <c r="Y119" s="15"/>
      <c r="Z119" s="15"/>
    </row>
    <row r="120" spans="1:26" ht="21" customHeight="1" outlineLevel="2" x14ac:dyDescent="0.85">
      <c r="A120" s="805" t="s">
        <v>309</v>
      </c>
      <c r="B120" s="765"/>
      <c r="C120" s="765"/>
      <c r="D120" s="765"/>
      <c r="E120" s="765"/>
      <c r="F120" s="765"/>
      <c r="G120" s="762"/>
      <c r="H120" s="15"/>
      <c r="I120" s="15"/>
      <c r="J120" s="15"/>
      <c r="K120" s="15"/>
      <c r="L120" s="15"/>
      <c r="M120" s="15"/>
      <c r="N120" s="15"/>
      <c r="O120" s="15"/>
      <c r="P120" s="15"/>
      <c r="Q120" s="15"/>
      <c r="R120" s="15"/>
      <c r="S120" s="15"/>
      <c r="T120" s="15"/>
      <c r="U120" s="15"/>
      <c r="V120" s="15"/>
      <c r="W120" s="15"/>
      <c r="X120" s="15"/>
      <c r="Y120" s="15"/>
      <c r="Z120" s="15"/>
    </row>
    <row r="121" spans="1:26" ht="21" customHeight="1" outlineLevel="2" x14ac:dyDescent="0.85">
      <c r="A121" s="801" t="s">
        <v>162</v>
      </c>
      <c r="B121" s="802" t="s">
        <v>163</v>
      </c>
      <c r="C121" s="765"/>
      <c r="D121" s="765"/>
      <c r="E121" s="765"/>
      <c r="F121" s="765"/>
      <c r="G121" s="762"/>
      <c r="H121" s="15"/>
      <c r="I121" s="15"/>
      <c r="J121" s="15"/>
      <c r="K121" s="15"/>
      <c r="L121" s="15"/>
      <c r="M121" s="15"/>
      <c r="N121" s="15"/>
      <c r="O121" s="15"/>
      <c r="P121" s="15"/>
      <c r="Q121" s="15"/>
      <c r="R121" s="15"/>
      <c r="S121" s="15"/>
      <c r="T121" s="15"/>
      <c r="U121" s="15"/>
      <c r="V121" s="15"/>
      <c r="W121" s="15"/>
      <c r="X121" s="15"/>
      <c r="Y121" s="15"/>
      <c r="Z121" s="15"/>
    </row>
    <row r="122" spans="1:26" ht="21" customHeight="1" outlineLevel="2" x14ac:dyDescent="0.85">
      <c r="A122" s="797"/>
      <c r="B122" s="78" t="s">
        <v>310</v>
      </c>
      <c r="C122" s="78" t="s">
        <v>165</v>
      </c>
      <c r="D122" s="85" t="s">
        <v>311</v>
      </c>
      <c r="E122" s="85" t="s">
        <v>312</v>
      </c>
      <c r="F122" s="78" t="s">
        <v>313</v>
      </c>
      <c r="G122" s="78" t="s">
        <v>168</v>
      </c>
      <c r="H122" s="15"/>
      <c r="I122" s="15"/>
      <c r="J122" s="15"/>
      <c r="K122" s="15"/>
      <c r="L122" s="15"/>
      <c r="M122" s="15"/>
      <c r="N122" s="15"/>
      <c r="O122" s="15"/>
      <c r="P122" s="15"/>
      <c r="Q122" s="15"/>
      <c r="R122" s="15"/>
      <c r="S122" s="15"/>
      <c r="T122" s="15"/>
      <c r="U122" s="15"/>
      <c r="V122" s="15"/>
      <c r="W122" s="15"/>
      <c r="X122" s="15"/>
      <c r="Y122" s="15"/>
      <c r="Z122" s="15"/>
    </row>
    <row r="123" spans="1:26" ht="21" customHeight="1" outlineLevel="2" x14ac:dyDescent="0.85">
      <c r="A123" s="97" t="s">
        <v>99</v>
      </c>
      <c r="B123" s="126">
        <v>1850.7670802619987</v>
      </c>
      <c r="C123" s="126">
        <v>26656.139210752321</v>
      </c>
      <c r="D123" s="126">
        <v>219.85329959530435</v>
      </c>
      <c r="E123" s="126">
        <v>231.94444644056577</v>
      </c>
      <c r="F123" s="126">
        <v>2.2683433877947219</v>
      </c>
      <c r="G123" s="126">
        <v>1728.7271093314939</v>
      </c>
      <c r="H123" s="15"/>
      <c r="I123" s="15"/>
      <c r="J123" s="15"/>
      <c r="K123" s="15"/>
      <c r="L123" s="15"/>
      <c r="M123" s="15"/>
      <c r="N123" s="15"/>
      <c r="O123" s="15"/>
      <c r="P123" s="15"/>
      <c r="Q123" s="15"/>
      <c r="R123" s="15"/>
      <c r="S123" s="15"/>
      <c r="T123" s="15"/>
      <c r="U123" s="15"/>
      <c r="V123" s="15"/>
      <c r="W123" s="15"/>
      <c r="X123" s="15"/>
      <c r="Y123" s="15"/>
      <c r="Z123" s="15"/>
    </row>
    <row r="124" spans="1:26" ht="21" customHeight="1" outlineLevel="2" x14ac:dyDescent="0.85">
      <c r="A124" s="805" t="s">
        <v>314</v>
      </c>
      <c r="B124" s="765"/>
      <c r="C124" s="765"/>
      <c r="D124" s="765"/>
      <c r="E124" s="765"/>
      <c r="F124" s="765"/>
      <c r="G124" s="765"/>
      <c r="H124" s="765"/>
      <c r="I124" s="762"/>
      <c r="J124" s="15"/>
      <c r="K124" s="15"/>
      <c r="L124" s="15"/>
      <c r="M124" s="15"/>
      <c r="N124" s="15"/>
      <c r="O124" s="15"/>
      <c r="P124" s="15"/>
      <c r="Q124" s="15"/>
      <c r="R124" s="15"/>
      <c r="S124" s="15"/>
      <c r="T124" s="15"/>
      <c r="U124" s="15"/>
      <c r="V124" s="15"/>
      <c r="W124" s="15"/>
      <c r="X124" s="15"/>
      <c r="Y124" s="15"/>
      <c r="Z124" s="15"/>
    </row>
    <row r="125" spans="1:26" ht="21" customHeight="1" outlineLevel="2" x14ac:dyDescent="0.85">
      <c r="A125" s="799" t="s">
        <v>162</v>
      </c>
      <c r="B125" s="800" t="s">
        <v>315</v>
      </c>
      <c r="C125" s="800" t="s">
        <v>316</v>
      </c>
      <c r="D125" s="802" t="s">
        <v>163</v>
      </c>
      <c r="E125" s="765"/>
      <c r="F125" s="765"/>
      <c r="G125" s="765"/>
      <c r="H125" s="765"/>
      <c r="I125" s="762"/>
      <c r="J125" s="15"/>
      <c r="K125" s="15"/>
      <c r="L125" s="15"/>
      <c r="M125" s="15"/>
      <c r="N125" s="15"/>
      <c r="O125" s="15"/>
      <c r="P125" s="15"/>
      <c r="Q125" s="15"/>
      <c r="R125" s="15"/>
      <c r="S125" s="15"/>
      <c r="T125" s="15"/>
      <c r="U125" s="15"/>
      <c r="V125" s="15"/>
      <c r="W125" s="15"/>
      <c r="X125" s="15"/>
      <c r="Y125" s="15"/>
      <c r="Z125" s="15"/>
    </row>
    <row r="126" spans="1:26" ht="21" customHeight="1" outlineLevel="2" x14ac:dyDescent="0.85">
      <c r="A126" s="797"/>
      <c r="B126" s="797"/>
      <c r="C126" s="797"/>
      <c r="D126" s="78" t="s">
        <v>317</v>
      </c>
      <c r="E126" s="78" t="s">
        <v>165</v>
      </c>
      <c r="F126" s="85" t="s">
        <v>318</v>
      </c>
      <c r="G126" s="85" t="s">
        <v>319</v>
      </c>
      <c r="H126" s="78" t="s">
        <v>320</v>
      </c>
      <c r="I126" s="78" t="s">
        <v>168</v>
      </c>
      <c r="J126" s="15"/>
      <c r="K126" s="15"/>
      <c r="L126" s="15"/>
      <c r="M126" s="15"/>
      <c r="N126" s="15"/>
      <c r="O126" s="15"/>
      <c r="P126" s="15"/>
      <c r="Q126" s="15"/>
      <c r="R126" s="15"/>
      <c r="S126" s="15"/>
      <c r="T126" s="15"/>
      <c r="U126" s="15"/>
      <c r="V126" s="15"/>
      <c r="W126" s="15"/>
      <c r="X126" s="15"/>
      <c r="Y126" s="15"/>
      <c r="Z126" s="15"/>
    </row>
    <row r="127" spans="1:26" ht="21" customHeight="1" outlineLevel="2" x14ac:dyDescent="0.85">
      <c r="A127" s="89" t="s">
        <v>99</v>
      </c>
      <c r="B127" s="103">
        <f>'Off-Road Data'!$B$44</f>
        <v>30041</v>
      </c>
      <c r="C127" s="103">
        <f>'Off-Road Data'!$B$45</f>
        <v>43232</v>
      </c>
      <c r="D127" s="127">
        <f>((($B127*'On-Road Data'!$B$55)*B46)+(($C127*'On-Road Data'!$B$61)*Co_Pollutants!B53))/'Conversion Factors and GWP'!$A$8</f>
        <v>0.1435437531</v>
      </c>
      <c r="E127" s="127">
        <f>((($B127*'On-Road Data'!$B$55)*C46)+(($C127*'On-Road Data'!$B$61)*Co_Pollutants!C53))/'Conversion Factors and GWP'!$A$8</f>
        <v>6.3657851139000012</v>
      </c>
      <c r="F127" s="127">
        <f>((($B127*'On-Road Data'!$B$55)*D46)+(($C127*'On-Road Data'!$B$61)*Co_Pollutants!D53))/'Conversion Factors and GWP'!$A$8</f>
        <v>9.6228727E-3</v>
      </c>
      <c r="G127" s="127">
        <f>((($B127*'On-Road Data'!$B$55)*E46)+(($C127*'On-Road Data'!$B$61)*Co_Pollutants!E53))/'Conversion Factors and GWP'!$A$8</f>
        <v>5.0980645100000006E-2</v>
      </c>
      <c r="H127" s="127">
        <f>((($B127*'On-Road Data'!$B$55)*F46)+(($C127*'On-Road Data'!$B$61)*Co_Pollutants!F53))/'Conversion Factors and GWP'!$A$8</f>
        <v>9.1208012100000013E-3</v>
      </c>
      <c r="I127" s="127">
        <f>((($B127*'On-Road Data'!$B$55)*G46)+(($C127*'On-Road Data'!$B$61)*Co_Pollutants!G53))/'Conversion Factors and GWP'!$A$8</f>
        <v>0.30901261950000003</v>
      </c>
      <c r="J127" s="15"/>
      <c r="K127" s="15"/>
      <c r="L127" s="15"/>
      <c r="M127" s="15"/>
      <c r="N127" s="15"/>
      <c r="O127" s="15"/>
      <c r="P127" s="15"/>
      <c r="Q127" s="15"/>
      <c r="R127" s="15"/>
      <c r="S127" s="15"/>
      <c r="T127" s="15"/>
      <c r="U127" s="15"/>
      <c r="V127" s="15"/>
      <c r="W127" s="15"/>
      <c r="X127" s="15"/>
      <c r="Y127" s="15"/>
      <c r="Z127" s="15"/>
    </row>
    <row r="128" spans="1:26" ht="21" customHeight="1" outlineLevel="2" x14ac:dyDescent="0.85">
      <c r="A128" s="803" t="s">
        <v>153</v>
      </c>
      <c r="B128" s="765"/>
      <c r="C128" s="765"/>
      <c r="D128" s="765"/>
      <c r="E128" s="765"/>
      <c r="F128" s="765"/>
      <c r="G128" s="762"/>
      <c r="H128" s="15"/>
      <c r="I128" s="15"/>
      <c r="J128" s="15"/>
      <c r="K128" s="15"/>
      <c r="L128" s="15"/>
      <c r="M128" s="15"/>
      <c r="N128" s="15"/>
      <c r="O128" s="15"/>
      <c r="P128" s="15"/>
      <c r="Q128" s="15"/>
      <c r="R128" s="15"/>
      <c r="S128" s="15"/>
      <c r="T128" s="15"/>
      <c r="U128" s="15"/>
      <c r="V128" s="15"/>
      <c r="W128" s="15"/>
      <c r="X128" s="15"/>
      <c r="Y128" s="15"/>
      <c r="Z128" s="15"/>
    </row>
    <row r="129" spans="1:26" ht="21" customHeight="1" outlineLevel="2" x14ac:dyDescent="0.85">
      <c r="A129" s="801" t="s">
        <v>162</v>
      </c>
      <c r="B129" s="802" t="s">
        <v>163</v>
      </c>
      <c r="C129" s="765"/>
      <c r="D129" s="765"/>
      <c r="E129" s="765"/>
      <c r="F129" s="765"/>
      <c r="G129" s="816"/>
      <c r="H129" s="15"/>
      <c r="I129" s="15"/>
      <c r="J129" s="15"/>
      <c r="K129" s="15"/>
      <c r="L129" s="15"/>
      <c r="M129" s="15"/>
      <c r="N129" s="15"/>
      <c r="O129" s="15"/>
      <c r="P129" s="15"/>
      <c r="Q129" s="15"/>
      <c r="R129" s="15"/>
      <c r="S129" s="15"/>
      <c r="T129" s="15"/>
      <c r="U129" s="15"/>
      <c r="V129" s="15"/>
      <c r="W129" s="15"/>
      <c r="X129" s="15"/>
      <c r="Y129" s="15"/>
      <c r="Z129" s="15"/>
    </row>
    <row r="130" spans="1:26" ht="20.25" customHeight="1" outlineLevel="2" x14ac:dyDescent="0.85">
      <c r="A130" s="797"/>
      <c r="B130" s="78" t="s">
        <v>321</v>
      </c>
      <c r="C130" s="78" t="s">
        <v>165</v>
      </c>
      <c r="D130" s="85" t="s">
        <v>322</v>
      </c>
      <c r="E130" s="85" t="s">
        <v>323</v>
      </c>
      <c r="F130" s="78" t="s">
        <v>324</v>
      </c>
      <c r="G130" s="78" t="s">
        <v>168</v>
      </c>
      <c r="H130" s="15"/>
      <c r="I130" s="15"/>
      <c r="J130" s="15"/>
      <c r="K130" s="15"/>
      <c r="L130" s="15"/>
      <c r="M130" s="15"/>
      <c r="N130" s="15"/>
      <c r="O130" s="15"/>
      <c r="P130" s="15"/>
      <c r="Q130" s="15"/>
      <c r="R130" s="15"/>
      <c r="S130" s="15"/>
      <c r="T130" s="15"/>
      <c r="U130" s="15"/>
      <c r="V130" s="15"/>
      <c r="W130" s="15"/>
      <c r="X130" s="15"/>
      <c r="Y130" s="15"/>
      <c r="Z130" s="15"/>
    </row>
    <row r="131" spans="1:26" ht="21" customHeight="1" outlineLevel="2" x14ac:dyDescent="0.85">
      <c r="A131" s="89" t="s">
        <v>99</v>
      </c>
      <c r="B131" s="125">
        <v>3001.6263186490196</v>
      </c>
      <c r="C131" s="125">
        <v>662.01434926018999</v>
      </c>
      <c r="D131" s="125">
        <v>73.727713458464507</v>
      </c>
      <c r="E131" s="125">
        <v>76.007949250664524</v>
      </c>
      <c r="F131" s="125">
        <v>2.3348180765846265</v>
      </c>
      <c r="G131" s="125">
        <v>121.29256630040553</v>
      </c>
      <c r="H131" s="15"/>
      <c r="I131" s="15"/>
      <c r="J131" s="15"/>
      <c r="K131" s="15"/>
      <c r="L131" s="15"/>
      <c r="M131" s="15"/>
      <c r="N131" s="15"/>
      <c r="O131" s="15"/>
      <c r="P131" s="15"/>
      <c r="Q131" s="15"/>
      <c r="R131" s="15"/>
      <c r="S131" s="15"/>
      <c r="T131" s="15"/>
      <c r="U131" s="15"/>
      <c r="V131" s="15"/>
      <c r="W131" s="15"/>
      <c r="X131" s="15"/>
      <c r="Y131" s="15"/>
      <c r="Z131" s="15"/>
    </row>
    <row r="132" spans="1:26" ht="21" customHeight="1" outlineLevel="2" x14ac:dyDescent="0.85">
      <c r="A132" s="803" t="s">
        <v>325</v>
      </c>
      <c r="B132" s="765"/>
      <c r="C132" s="765"/>
      <c r="D132" s="765"/>
      <c r="E132" s="765"/>
      <c r="F132" s="762"/>
      <c r="G132" s="15"/>
      <c r="H132" s="15"/>
      <c r="I132" s="15"/>
      <c r="J132" s="15"/>
      <c r="K132" s="15"/>
      <c r="L132" s="15"/>
      <c r="M132" s="15"/>
      <c r="N132" s="15"/>
      <c r="O132" s="15"/>
      <c r="P132" s="15"/>
      <c r="Q132" s="15"/>
      <c r="R132" s="15"/>
      <c r="S132" s="15"/>
      <c r="T132" s="15"/>
      <c r="U132" s="15"/>
      <c r="V132" s="15"/>
      <c r="W132" s="15"/>
      <c r="X132" s="15"/>
      <c r="Y132" s="15"/>
      <c r="Z132" s="15"/>
    </row>
    <row r="133" spans="1:26" ht="21" customHeight="1" outlineLevel="2" x14ac:dyDescent="0.85">
      <c r="A133" s="815" t="s">
        <v>326</v>
      </c>
      <c r="B133" s="123" t="s">
        <v>327</v>
      </c>
      <c r="C133" s="123" t="s">
        <v>165</v>
      </c>
      <c r="D133" s="123" t="s">
        <v>166</v>
      </c>
      <c r="E133" s="123" t="s">
        <v>328</v>
      </c>
      <c r="F133" s="123" t="s">
        <v>168</v>
      </c>
      <c r="G133" s="15"/>
      <c r="H133" s="15"/>
      <c r="I133" s="15"/>
      <c r="J133" s="15"/>
      <c r="K133" s="15"/>
      <c r="L133" s="15"/>
      <c r="M133" s="15"/>
      <c r="N133" s="15"/>
      <c r="O133" s="15"/>
      <c r="P133" s="15"/>
      <c r="Q133" s="15"/>
      <c r="R133" s="15"/>
      <c r="S133" s="15"/>
      <c r="T133" s="15"/>
      <c r="U133" s="15"/>
      <c r="V133" s="15"/>
      <c r="W133" s="15"/>
      <c r="X133" s="15"/>
      <c r="Y133" s="15"/>
      <c r="Z133" s="15"/>
    </row>
    <row r="134" spans="1:26" ht="21" customHeight="1" outlineLevel="2" x14ac:dyDescent="0.85">
      <c r="A134" s="797"/>
      <c r="B134" s="117">
        <f t="shared" ref="B134:C134" si="4">SUM(F100,E104,C108,F113,F117,B123,D127,B131,F118)</f>
        <v>7338.6728470505877</v>
      </c>
      <c r="C134" s="117">
        <f t="shared" si="4"/>
        <v>74740.366485007835</v>
      </c>
      <c r="D134" s="117">
        <f>SUM(H100:I100,G104:H104,E108,H113,H117,D123:E123,F127:G127,D131:E131,H118)</f>
        <v>999.16543884897783</v>
      </c>
      <c r="E134" s="117">
        <f t="shared" ref="E134:F134" si="5">SUM(J100,I104,F108,I113,I117,F123,H127,F131,I118)</f>
        <v>108.3418724585036</v>
      </c>
      <c r="F134" s="117">
        <f t="shared" si="5"/>
        <v>4544.4161560435732</v>
      </c>
      <c r="G134" s="15"/>
      <c r="H134" s="15"/>
      <c r="I134" s="15"/>
      <c r="J134" s="15"/>
      <c r="K134" s="15"/>
      <c r="L134" s="15"/>
      <c r="M134" s="15"/>
      <c r="N134" s="15"/>
      <c r="O134" s="15"/>
      <c r="P134" s="15"/>
      <c r="Q134" s="15"/>
      <c r="R134" s="15"/>
      <c r="S134" s="15"/>
      <c r="T134" s="15"/>
      <c r="U134" s="15"/>
      <c r="V134" s="15"/>
      <c r="W134" s="15"/>
      <c r="X134" s="15"/>
      <c r="Y134" s="15"/>
      <c r="Z134" s="15"/>
    </row>
    <row r="135" spans="1:26" ht="21" customHeight="1" outlineLevel="2" x14ac:dyDescent="0.85">
      <c r="A135" s="1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row>
    <row r="136" spans="1:26" ht="21" customHeight="1" outlineLevel="1" x14ac:dyDescent="0.85">
      <c r="A136" s="804" t="s">
        <v>329</v>
      </c>
      <c r="B136" s="765"/>
      <c r="C136" s="765"/>
      <c r="D136" s="765"/>
      <c r="E136" s="765"/>
      <c r="F136" s="765"/>
      <c r="G136" s="765"/>
      <c r="H136" s="765"/>
      <c r="I136" s="765"/>
      <c r="J136" s="765"/>
      <c r="K136" s="762"/>
      <c r="L136" s="15"/>
      <c r="M136" s="15"/>
      <c r="N136" s="118"/>
      <c r="O136" s="118"/>
      <c r="P136" s="118"/>
      <c r="Q136" s="118"/>
      <c r="R136" s="119"/>
      <c r="S136" s="119"/>
      <c r="T136" s="15"/>
      <c r="U136" s="15"/>
      <c r="V136" s="15"/>
      <c r="W136" s="15"/>
      <c r="X136" s="15"/>
      <c r="Y136" s="15"/>
      <c r="Z136" s="15"/>
    </row>
    <row r="137" spans="1:26" ht="21" customHeight="1" outlineLevel="2" x14ac:dyDescent="0.85">
      <c r="A137" s="803" t="s">
        <v>330</v>
      </c>
      <c r="B137" s="765"/>
      <c r="C137" s="765"/>
      <c r="D137" s="765"/>
      <c r="E137" s="765"/>
      <c r="F137" s="765"/>
      <c r="G137" s="762"/>
      <c r="H137" s="15"/>
      <c r="I137" s="15"/>
      <c r="J137" s="15"/>
      <c r="K137" s="15"/>
      <c r="L137" s="15"/>
      <c r="M137" s="15"/>
      <c r="N137" s="15"/>
      <c r="O137" s="15"/>
      <c r="P137" s="15"/>
      <c r="Q137" s="15"/>
      <c r="R137" s="15"/>
      <c r="S137" s="15"/>
      <c r="T137" s="15"/>
      <c r="U137" s="15"/>
      <c r="V137" s="15"/>
      <c r="W137" s="15"/>
      <c r="X137" s="15"/>
      <c r="Y137" s="15"/>
      <c r="Z137" s="15"/>
    </row>
    <row r="138" spans="1:26" ht="21" customHeight="1" outlineLevel="2" x14ac:dyDescent="0.85">
      <c r="A138" s="801" t="s">
        <v>162</v>
      </c>
      <c r="B138" s="802" t="s">
        <v>163</v>
      </c>
      <c r="C138" s="765"/>
      <c r="D138" s="765"/>
      <c r="E138" s="765"/>
      <c r="F138" s="765"/>
      <c r="G138" s="762"/>
      <c r="H138" s="15"/>
      <c r="I138" s="15"/>
      <c r="J138" s="15"/>
      <c r="K138" s="15"/>
      <c r="L138" s="15"/>
      <c r="M138" s="15"/>
      <c r="N138" s="15"/>
      <c r="O138" s="15"/>
      <c r="P138" s="15"/>
      <c r="Q138" s="15"/>
      <c r="R138" s="15"/>
      <c r="S138" s="15"/>
      <c r="T138" s="15"/>
      <c r="U138" s="15"/>
      <c r="V138" s="15"/>
      <c r="W138" s="15"/>
      <c r="X138" s="15"/>
      <c r="Y138" s="15"/>
      <c r="Z138" s="15"/>
    </row>
    <row r="139" spans="1:26" ht="21" customHeight="1" outlineLevel="2" x14ac:dyDescent="0.85">
      <c r="A139" s="797"/>
      <c r="B139" s="78" t="s">
        <v>331</v>
      </c>
      <c r="C139" s="78" t="s">
        <v>165</v>
      </c>
      <c r="D139" s="85" t="s">
        <v>332</v>
      </c>
      <c r="E139" s="85" t="s">
        <v>333</v>
      </c>
      <c r="F139" s="78" t="s">
        <v>334</v>
      </c>
      <c r="G139" s="78" t="s">
        <v>168</v>
      </c>
      <c r="H139" s="15"/>
      <c r="I139" s="15"/>
      <c r="J139" s="15"/>
      <c r="K139" s="15"/>
      <c r="L139" s="15"/>
      <c r="M139" s="15"/>
      <c r="N139" s="15"/>
      <c r="O139" s="15"/>
      <c r="P139" s="15"/>
      <c r="Q139" s="15"/>
      <c r="R139" s="15"/>
      <c r="S139" s="15"/>
      <c r="T139" s="15"/>
      <c r="U139" s="15"/>
      <c r="V139" s="15"/>
      <c r="W139" s="15"/>
      <c r="X139" s="15"/>
      <c r="Y139" s="15"/>
      <c r="Z139" s="15"/>
    </row>
    <row r="140" spans="1:26" ht="21" customHeight="1" outlineLevel="2" x14ac:dyDescent="0.85">
      <c r="A140" s="89" t="s">
        <v>99</v>
      </c>
      <c r="B140" s="125">
        <v>8.4549718318803251</v>
      </c>
      <c r="C140" s="125">
        <v>50.678121399606283</v>
      </c>
      <c r="D140" s="125">
        <v>31.779154684253974</v>
      </c>
      <c r="E140" s="125">
        <v>204.4338706897334</v>
      </c>
      <c r="F140" s="125">
        <v>2.4439585960392267</v>
      </c>
      <c r="G140" s="125">
        <v>14.094946067803066</v>
      </c>
      <c r="H140" s="15"/>
      <c r="I140" s="15"/>
      <c r="J140" s="15"/>
      <c r="K140" s="15"/>
      <c r="L140" s="15"/>
      <c r="M140" s="15"/>
      <c r="N140" s="15"/>
      <c r="O140" s="15"/>
      <c r="P140" s="15"/>
      <c r="Q140" s="15"/>
      <c r="R140" s="15"/>
      <c r="S140" s="15"/>
      <c r="T140" s="15"/>
      <c r="U140" s="15"/>
      <c r="V140" s="15"/>
      <c r="W140" s="15"/>
      <c r="X140" s="15"/>
      <c r="Y140" s="15"/>
      <c r="Z140" s="15"/>
    </row>
    <row r="141" spans="1:26" ht="21" customHeight="1" outlineLevel="2" x14ac:dyDescent="0.85">
      <c r="A141" s="803" t="s">
        <v>335</v>
      </c>
      <c r="B141" s="765"/>
      <c r="C141" s="765"/>
      <c r="D141" s="765"/>
      <c r="E141" s="765"/>
      <c r="F141" s="765"/>
      <c r="G141" s="762"/>
      <c r="H141" s="15"/>
      <c r="I141" s="15"/>
      <c r="J141" s="15"/>
      <c r="K141" s="15"/>
      <c r="L141" s="15"/>
      <c r="M141" s="15"/>
      <c r="N141" s="15"/>
      <c r="O141" s="15"/>
      <c r="P141" s="15"/>
      <c r="Q141" s="15"/>
      <c r="R141" s="15"/>
      <c r="S141" s="15"/>
      <c r="T141" s="15"/>
      <c r="U141" s="15"/>
      <c r="V141" s="15"/>
      <c r="W141" s="15"/>
      <c r="X141" s="15"/>
      <c r="Y141" s="15"/>
      <c r="Z141" s="15"/>
    </row>
    <row r="142" spans="1:26" ht="21" customHeight="1" outlineLevel="2" x14ac:dyDescent="0.85">
      <c r="A142" s="801" t="s">
        <v>162</v>
      </c>
      <c r="B142" s="802" t="s">
        <v>163</v>
      </c>
      <c r="C142" s="765"/>
      <c r="D142" s="765"/>
      <c r="E142" s="765"/>
      <c r="F142" s="765"/>
      <c r="G142" s="762"/>
      <c r="H142" s="15"/>
      <c r="I142" s="15"/>
      <c r="J142" s="15"/>
      <c r="K142" s="15"/>
      <c r="L142" s="15"/>
      <c r="M142" s="15"/>
      <c r="N142" s="15"/>
      <c r="O142" s="15"/>
      <c r="P142" s="15"/>
      <c r="Q142" s="15"/>
      <c r="R142" s="15"/>
      <c r="S142" s="15"/>
      <c r="T142" s="15"/>
      <c r="U142" s="15"/>
      <c r="V142" s="15"/>
      <c r="W142" s="15"/>
      <c r="X142" s="15"/>
      <c r="Y142" s="15"/>
      <c r="Z142" s="15"/>
    </row>
    <row r="143" spans="1:26" ht="21" customHeight="1" outlineLevel="2" x14ac:dyDescent="0.85">
      <c r="A143" s="797"/>
      <c r="B143" s="78" t="s">
        <v>336</v>
      </c>
      <c r="C143" s="78" t="s">
        <v>165</v>
      </c>
      <c r="D143" s="85" t="s">
        <v>337</v>
      </c>
      <c r="E143" s="85" t="s">
        <v>338</v>
      </c>
      <c r="F143" s="78" t="s">
        <v>339</v>
      </c>
      <c r="G143" s="78" t="s">
        <v>168</v>
      </c>
      <c r="H143" s="15"/>
      <c r="I143" s="15"/>
      <c r="J143" s="15"/>
      <c r="K143" s="15"/>
      <c r="L143" s="15"/>
      <c r="M143" s="15"/>
      <c r="N143" s="15"/>
      <c r="O143" s="15"/>
      <c r="P143" s="15"/>
      <c r="Q143" s="15"/>
      <c r="R143" s="15"/>
      <c r="S143" s="15"/>
      <c r="T143" s="15"/>
      <c r="U143" s="15"/>
      <c r="V143" s="15"/>
      <c r="W143" s="15"/>
      <c r="X143" s="15"/>
      <c r="Y143" s="15"/>
      <c r="Z143" s="15"/>
    </row>
    <row r="144" spans="1:26" ht="20.25" customHeight="1" outlineLevel="2" x14ac:dyDescent="0.85">
      <c r="A144" s="89" t="s">
        <v>99</v>
      </c>
      <c r="B144" s="125">
        <v>0</v>
      </c>
      <c r="C144" s="125">
        <v>0</v>
      </c>
      <c r="D144" s="125">
        <v>0</v>
      </c>
      <c r="E144" s="125">
        <v>0</v>
      </c>
      <c r="F144" s="125">
        <v>0</v>
      </c>
      <c r="G144" s="125">
        <v>169.95598334406836</v>
      </c>
      <c r="H144" s="15"/>
      <c r="I144" s="15"/>
      <c r="J144" s="15"/>
      <c r="K144" s="15"/>
      <c r="L144" s="15"/>
      <c r="M144" s="15"/>
      <c r="N144" s="15"/>
      <c r="O144" s="15"/>
      <c r="P144" s="15"/>
      <c r="Q144" s="15"/>
      <c r="R144" s="15"/>
      <c r="S144" s="15"/>
      <c r="T144" s="15"/>
      <c r="U144" s="15"/>
      <c r="V144" s="15"/>
      <c r="W144" s="15"/>
      <c r="X144" s="15"/>
      <c r="Y144" s="15"/>
      <c r="Z144" s="15"/>
    </row>
    <row r="145" spans="1:26" ht="21" customHeight="1" outlineLevel="2" x14ac:dyDescent="0.85">
      <c r="A145" s="803" t="s">
        <v>340</v>
      </c>
      <c r="B145" s="765"/>
      <c r="C145" s="765"/>
      <c r="D145" s="765"/>
      <c r="E145" s="765"/>
      <c r="F145" s="765"/>
      <c r="G145" s="762"/>
      <c r="H145" s="15"/>
      <c r="I145" s="15"/>
      <c r="J145" s="15"/>
      <c r="K145" s="15"/>
      <c r="L145" s="15"/>
      <c r="M145" s="15"/>
      <c r="N145" s="15"/>
      <c r="O145" s="15"/>
      <c r="P145" s="15"/>
      <c r="Q145" s="15"/>
      <c r="R145" s="15"/>
      <c r="S145" s="15"/>
      <c r="T145" s="15"/>
      <c r="U145" s="15"/>
      <c r="V145" s="15"/>
      <c r="W145" s="15"/>
      <c r="X145" s="15"/>
      <c r="Y145" s="15"/>
      <c r="Z145" s="15"/>
    </row>
    <row r="146" spans="1:26" ht="21" customHeight="1" outlineLevel="2" x14ac:dyDescent="0.85">
      <c r="A146" s="801" t="s">
        <v>162</v>
      </c>
      <c r="B146" s="802" t="s">
        <v>163</v>
      </c>
      <c r="C146" s="765"/>
      <c r="D146" s="765"/>
      <c r="E146" s="765"/>
      <c r="F146" s="765"/>
      <c r="G146" s="762"/>
      <c r="H146" s="15"/>
      <c r="I146" s="15"/>
      <c r="J146" s="15"/>
      <c r="K146" s="15"/>
      <c r="L146" s="15"/>
      <c r="M146" s="15"/>
      <c r="N146" s="15"/>
      <c r="O146" s="15"/>
      <c r="P146" s="15"/>
      <c r="Q146" s="15"/>
      <c r="R146" s="15"/>
      <c r="S146" s="15"/>
      <c r="T146" s="15"/>
      <c r="U146" s="15"/>
      <c r="V146" s="15"/>
      <c r="W146" s="15"/>
      <c r="X146" s="15"/>
      <c r="Y146" s="15"/>
      <c r="Z146" s="15"/>
    </row>
    <row r="147" spans="1:26" ht="21" customHeight="1" outlineLevel="2" x14ac:dyDescent="0.85">
      <c r="A147" s="797"/>
      <c r="B147" s="78" t="s">
        <v>341</v>
      </c>
      <c r="C147" s="78" t="s">
        <v>165</v>
      </c>
      <c r="D147" s="85" t="s">
        <v>342</v>
      </c>
      <c r="E147" s="85" t="s">
        <v>343</v>
      </c>
      <c r="F147" s="78" t="s">
        <v>344</v>
      </c>
      <c r="G147" s="78" t="s">
        <v>168</v>
      </c>
      <c r="H147" s="15"/>
      <c r="I147" s="15"/>
      <c r="J147" s="15"/>
      <c r="K147" s="15"/>
      <c r="L147" s="15"/>
      <c r="M147" s="15"/>
      <c r="N147" s="15"/>
      <c r="O147" s="15"/>
      <c r="P147" s="15"/>
      <c r="Q147" s="15"/>
      <c r="R147" s="15"/>
      <c r="S147" s="15"/>
      <c r="T147" s="15"/>
      <c r="U147" s="15"/>
      <c r="V147" s="15"/>
      <c r="W147" s="15"/>
      <c r="X147" s="15"/>
      <c r="Y147" s="15"/>
      <c r="Z147" s="15"/>
    </row>
    <row r="148" spans="1:26" ht="20.25" customHeight="1" outlineLevel="2" x14ac:dyDescent="0.85">
      <c r="A148" s="89" t="s">
        <v>99</v>
      </c>
      <c r="B148" s="125">
        <v>0</v>
      </c>
      <c r="C148" s="125">
        <v>0</v>
      </c>
      <c r="D148" s="125">
        <v>0</v>
      </c>
      <c r="E148" s="125">
        <v>0</v>
      </c>
      <c r="F148" s="125">
        <v>0</v>
      </c>
      <c r="G148" s="125">
        <v>8.4195235460079285</v>
      </c>
      <c r="H148" s="15"/>
      <c r="I148" s="15"/>
      <c r="J148" s="15"/>
      <c r="K148" s="15"/>
      <c r="L148" s="15"/>
      <c r="M148" s="15"/>
      <c r="N148" s="15"/>
      <c r="O148" s="15"/>
      <c r="P148" s="15"/>
      <c r="Q148" s="15"/>
      <c r="R148" s="15"/>
      <c r="S148" s="15"/>
      <c r="T148" s="15"/>
      <c r="U148" s="15"/>
      <c r="V148" s="15"/>
      <c r="W148" s="15"/>
      <c r="X148" s="15"/>
      <c r="Y148" s="15"/>
      <c r="Z148" s="15"/>
    </row>
    <row r="149" spans="1:26" ht="21" customHeight="1" outlineLevel="2" x14ac:dyDescent="0.85">
      <c r="A149" s="128" t="s">
        <v>345</v>
      </c>
      <c r="B149" s="117">
        <f t="shared" ref="B149:G149" si="6">SUM(B140,B144,B148)</f>
        <v>8.4549718318803251</v>
      </c>
      <c r="C149" s="117">
        <f t="shared" si="6"/>
        <v>50.678121399606283</v>
      </c>
      <c r="D149" s="117">
        <f t="shared" si="6"/>
        <v>31.779154684253974</v>
      </c>
      <c r="E149" s="117">
        <f t="shared" si="6"/>
        <v>204.4338706897334</v>
      </c>
      <c r="F149" s="117">
        <f t="shared" si="6"/>
        <v>2.4439585960392267</v>
      </c>
      <c r="G149" s="117">
        <f t="shared" si="6"/>
        <v>192.47045295787936</v>
      </c>
      <c r="H149" s="15"/>
      <c r="I149" s="15"/>
      <c r="J149" s="15"/>
      <c r="K149" s="15"/>
      <c r="L149" s="15"/>
      <c r="M149" s="15"/>
      <c r="N149" s="15"/>
      <c r="O149" s="15"/>
      <c r="P149" s="15"/>
      <c r="Q149" s="15"/>
      <c r="R149" s="15"/>
      <c r="S149" s="15"/>
      <c r="T149" s="15"/>
      <c r="U149" s="15"/>
      <c r="V149" s="15"/>
      <c r="W149" s="15"/>
      <c r="X149" s="15"/>
      <c r="Y149" s="15"/>
      <c r="Z149" s="15"/>
    </row>
    <row r="150" spans="1:26" ht="21" customHeight="1" outlineLevel="2" x14ac:dyDescent="0.85">
      <c r="A150" s="15"/>
      <c r="B150" s="15"/>
      <c r="C150" s="15"/>
      <c r="D150" s="15"/>
      <c r="E150" s="15"/>
      <c r="F150" s="15"/>
      <c r="G150" s="15"/>
      <c r="H150" s="15"/>
      <c r="I150" s="15"/>
      <c r="J150" s="15"/>
      <c r="K150" s="15"/>
      <c r="L150" s="15"/>
      <c r="M150" s="15"/>
      <c r="N150" s="15"/>
      <c r="O150" s="15"/>
      <c r="P150" s="15"/>
      <c r="Q150" s="15"/>
      <c r="R150" s="15"/>
      <c r="S150" s="15"/>
      <c r="T150" s="15"/>
      <c r="U150" s="15"/>
      <c r="V150" s="15"/>
      <c r="W150" s="15"/>
      <c r="X150" s="15"/>
      <c r="Y150" s="15"/>
      <c r="Z150" s="15"/>
    </row>
    <row r="151" spans="1:26" ht="21" customHeight="1" outlineLevel="1" x14ac:dyDescent="0.85">
      <c r="A151" s="804" t="s">
        <v>346</v>
      </c>
      <c r="B151" s="765"/>
      <c r="C151" s="765"/>
      <c r="D151" s="765"/>
      <c r="E151" s="765"/>
      <c r="F151" s="765"/>
      <c r="G151" s="762"/>
      <c r="H151" s="15"/>
      <c r="I151" s="15"/>
      <c r="J151" s="15"/>
      <c r="K151" s="15"/>
      <c r="L151" s="15"/>
      <c r="M151" s="15"/>
      <c r="N151" s="15"/>
      <c r="O151" s="15"/>
      <c r="P151" s="15"/>
      <c r="Q151" s="15"/>
      <c r="R151" s="15"/>
      <c r="S151" s="15"/>
      <c r="T151" s="15"/>
      <c r="U151" s="15"/>
      <c r="V151" s="15"/>
      <c r="W151" s="15"/>
      <c r="X151" s="15"/>
      <c r="Y151" s="15"/>
      <c r="Z151" s="15"/>
    </row>
    <row r="152" spans="1:26" ht="21" customHeight="1" outlineLevel="2" x14ac:dyDescent="0.85">
      <c r="A152" s="801" t="s">
        <v>347</v>
      </c>
      <c r="B152" s="802" t="s">
        <v>163</v>
      </c>
      <c r="C152" s="765"/>
      <c r="D152" s="765"/>
      <c r="E152" s="765"/>
      <c r="F152" s="765"/>
      <c r="G152" s="762"/>
      <c r="H152" s="15"/>
      <c r="I152" s="15"/>
      <c r="J152" s="15"/>
      <c r="K152" s="15"/>
      <c r="L152" s="15"/>
      <c r="M152" s="15"/>
      <c r="N152" s="15"/>
      <c r="O152" s="15"/>
      <c r="P152" s="15"/>
      <c r="Q152" s="15"/>
      <c r="R152" s="15"/>
      <c r="S152" s="15"/>
      <c r="T152" s="15"/>
      <c r="U152" s="15"/>
      <c r="V152" s="15"/>
      <c r="W152" s="15"/>
      <c r="X152" s="15"/>
      <c r="Y152" s="15"/>
      <c r="Z152" s="15"/>
    </row>
    <row r="153" spans="1:26" ht="21" customHeight="1" outlineLevel="2" x14ac:dyDescent="0.85">
      <c r="A153" s="797"/>
      <c r="B153" s="78" t="s">
        <v>348</v>
      </c>
      <c r="C153" s="78" t="s">
        <v>165</v>
      </c>
      <c r="D153" s="85" t="s">
        <v>349</v>
      </c>
      <c r="E153" s="85" t="s">
        <v>350</v>
      </c>
      <c r="F153" s="78" t="s">
        <v>351</v>
      </c>
      <c r="G153" s="78" t="s">
        <v>168</v>
      </c>
      <c r="H153" s="15"/>
      <c r="I153" s="15"/>
      <c r="J153" s="15"/>
      <c r="K153" s="15"/>
      <c r="L153" s="15"/>
      <c r="M153" s="15"/>
      <c r="N153" s="15"/>
      <c r="O153" s="15"/>
      <c r="P153" s="15"/>
      <c r="Q153" s="15"/>
      <c r="R153" s="15"/>
      <c r="S153" s="15"/>
      <c r="T153" s="15"/>
      <c r="U153" s="15"/>
      <c r="V153" s="15"/>
      <c r="W153" s="15"/>
      <c r="X153" s="15"/>
      <c r="Y153" s="15"/>
      <c r="Z153" s="15"/>
    </row>
    <row r="154" spans="1:26" ht="21" customHeight="1" outlineLevel="2" x14ac:dyDescent="0.85">
      <c r="A154" s="89" t="s">
        <v>352</v>
      </c>
      <c r="B154" s="125">
        <v>0</v>
      </c>
      <c r="C154" s="125">
        <v>0</v>
      </c>
      <c r="D154" s="125">
        <v>0</v>
      </c>
      <c r="E154" s="125">
        <v>0</v>
      </c>
      <c r="F154" s="125">
        <v>0</v>
      </c>
      <c r="G154" s="125">
        <v>0</v>
      </c>
      <c r="H154" s="15"/>
      <c r="I154" s="15"/>
      <c r="J154" s="15"/>
      <c r="K154" s="15"/>
      <c r="L154" s="15"/>
      <c r="M154" s="15"/>
      <c r="N154" s="15"/>
      <c r="O154" s="15"/>
      <c r="P154" s="15"/>
      <c r="Q154" s="15"/>
      <c r="R154" s="15"/>
      <c r="S154" s="15"/>
      <c r="T154" s="15"/>
      <c r="U154" s="15"/>
      <c r="V154" s="15"/>
      <c r="W154" s="15"/>
      <c r="X154" s="15"/>
      <c r="Y154" s="15"/>
      <c r="Z154" s="15"/>
    </row>
    <row r="155" spans="1:26" ht="21" customHeight="1" outlineLevel="2" x14ac:dyDescent="0.85">
      <c r="A155" s="89" t="s">
        <v>353</v>
      </c>
      <c r="B155" s="125">
        <v>848.31559180266902</v>
      </c>
      <c r="C155" s="125">
        <v>289.02283386706102</v>
      </c>
      <c r="D155" s="125">
        <v>6.0877974435503619</v>
      </c>
      <c r="E155" s="125">
        <v>29.127813410020778</v>
      </c>
      <c r="F155" s="125">
        <v>93.701644727889615</v>
      </c>
      <c r="G155" s="125">
        <v>14.723408115684334</v>
      </c>
      <c r="H155" s="15"/>
      <c r="I155" s="15"/>
      <c r="J155" s="15"/>
      <c r="K155" s="15"/>
      <c r="L155" s="15"/>
      <c r="M155" s="15"/>
      <c r="N155" s="15"/>
      <c r="O155" s="15"/>
      <c r="P155" s="15"/>
      <c r="Q155" s="15"/>
      <c r="R155" s="15"/>
      <c r="S155" s="15"/>
      <c r="T155" s="15"/>
      <c r="U155" s="15"/>
      <c r="V155" s="15"/>
      <c r="W155" s="15"/>
      <c r="X155" s="15"/>
      <c r="Y155" s="15"/>
      <c r="Z155" s="15"/>
    </row>
    <row r="156" spans="1:26" ht="21" customHeight="1" outlineLevel="2" x14ac:dyDescent="0.85">
      <c r="A156" s="89" t="s">
        <v>354</v>
      </c>
      <c r="B156" s="125">
        <v>17.739111502208999</v>
      </c>
      <c r="C156" s="125">
        <v>31.316054467436565</v>
      </c>
      <c r="D156" s="125">
        <v>0.98248224183759569</v>
      </c>
      <c r="E156" s="125">
        <v>4.2964320381743795</v>
      </c>
      <c r="F156" s="125">
        <v>0</v>
      </c>
      <c r="G156" s="125">
        <v>8.2254538197058906</v>
      </c>
      <c r="H156" s="15"/>
      <c r="I156" s="15"/>
      <c r="J156" s="15"/>
      <c r="K156" s="15"/>
      <c r="L156" s="15"/>
      <c r="M156" s="15"/>
      <c r="N156" s="15"/>
      <c r="O156" s="15"/>
      <c r="P156" s="15"/>
      <c r="Q156" s="15"/>
      <c r="R156" s="15"/>
      <c r="S156" s="15"/>
      <c r="T156" s="15"/>
      <c r="U156" s="15"/>
      <c r="V156" s="15"/>
      <c r="W156" s="15"/>
      <c r="X156" s="15"/>
      <c r="Y156" s="15"/>
      <c r="Z156" s="15"/>
    </row>
    <row r="157" spans="1:26" ht="21" customHeight="1" outlineLevel="2" x14ac:dyDescent="0.85">
      <c r="A157" s="89" t="s">
        <v>355</v>
      </c>
      <c r="B157" s="129">
        <v>5.2616777494534209E-2</v>
      </c>
      <c r="C157" s="125">
        <v>0</v>
      </c>
      <c r="D157" s="125">
        <v>0</v>
      </c>
      <c r="E157" s="125">
        <v>0</v>
      </c>
      <c r="F157" s="125">
        <v>0</v>
      </c>
      <c r="G157" s="125">
        <v>0</v>
      </c>
      <c r="H157" s="15"/>
      <c r="I157" s="15"/>
      <c r="J157" s="15"/>
      <c r="K157" s="15"/>
      <c r="L157" s="15"/>
      <c r="M157" s="15"/>
      <c r="N157" s="15"/>
      <c r="O157" s="15"/>
      <c r="P157" s="15"/>
      <c r="Q157" s="15"/>
      <c r="R157" s="15"/>
      <c r="S157" s="15"/>
      <c r="T157" s="15"/>
      <c r="U157" s="15"/>
      <c r="V157" s="15"/>
      <c r="W157" s="15"/>
      <c r="X157" s="15"/>
      <c r="Y157" s="15"/>
      <c r="Z157" s="15"/>
    </row>
    <row r="158" spans="1:26" ht="21" customHeight="1" outlineLevel="2" x14ac:dyDescent="0.85">
      <c r="A158" s="89" t="s">
        <v>356</v>
      </c>
      <c r="B158" s="125">
        <v>1.723653055855431E-2</v>
      </c>
      <c r="C158" s="125">
        <v>0</v>
      </c>
      <c r="D158" s="125">
        <v>0</v>
      </c>
      <c r="E158" s="125">
        <v>0</v>
      </c>
      <c r="F158" s="125">
        <v>0</v>
      </c>
      <c r="G158" s="125">
        <v>0</v>
      </c>
      <c r="H158" s="15"/>
      <c r="I158" s="15"/>
      <c r="J158" s="15"/>
      <c r="K158" s="15"/>
      <c r="L158" s="15"/>
      <c r="M158" s="15"/>
      <c r="N158" s="15"/>
      <c r="O158" s="15"/>
      <c r="P158" s="15"/>
      <c r="Q158" s="15"/>
      <c r="R158" s="15"/>
      <c r="S158" s="15"/>
      <c r="T158" s="15"/>
      <c r="U158" s="15"/>
      <c r="V158" s="15"/>
      <c r="W158" s="15"/>
      <c r="X158" s="15"/>
      <c r="Y158" s="15"/>
      <c r="Z158" s="15"/>
    </row>
    <row r="159" spans="1:26" ht="21" customHeight="1" outlineLevel="2" x14ac:dyDescent="0.85">
      <c r="A159" s="128" t="s">
        <v>357</v>
      </c>
      <c r="B159" s="117">
        <f t="shared" ref="B159:G159" si="7">SUM(B154:B158)</f>
        <v>866.12455661293109</v>
      </c>
      <c r="C159" s="117">
        <f t="shared" si="7"/>
        <v>320.3388883344976</v>
      </c>
      <c r="D159" s="117">
        <f t="shared" si="7"/>
        <v>7.0702796853879573</v>
      </c>
      <c r="E159" s="117">
        <f t="shared" si="7"/>
        <v>33.424245448195158</v>
      </c>
      <c r="F159" s="117">
        <f t="shared" si="7"/>
        <v>93.701644727889615</v>
      </c>
      <c r="G159" s="117">
        <f t="shared" si="7"/>
        <v>22.948861935390227</v>
      </c>
      <c r="H159" s="15"/>
      <c r="I159" s="15"/>
      <c r="J159" s="15"/>
      <c r="K159" s="15"/>
      <c r="L159" s="15"/>
      <c r="M159" s="15"/>
      <c r="N159" s="15"/>
      <c r="O159" s="15"/>
      <c r="P159" s="15"/>
      <c r="Q159" s="15"/>
      <c r="R159" s="15"/>
      <c r="S159" s="15"/>
      <c r="T159" s="15"/>
      <c r="U159" s="15"/>
      <c r="V159" s="15"/>
      <c r="W159" s="15"/>
      <c r="X159" s="15"/>
      <c r="Y159" s="15"/>
      <c r="Z159" s="15"/>
    </row>
    <row r="160" spans="1:26" ht="21" customHeight="1" outlineLevel="2" x14ac:dyDescent="0.85">
      <c r="A160" s="15"/>
      <c r="B160" s="15"/>
      <c r="C160" s="15"/>
      <c r="D160" s="15"/>
      <c r="E160" s="15"/>
      <c r="F160" s="15"/>
      <c r="G160" s="15"/>
      <c r="H160" s="15"/>
      <c r="I160" s="15"/>
      <c r="J160" s="15"/>
      <c r="K160" s="15"/>
      <c r="L160" s="15"/>
      <c r="M160" s="15"/>
      <c r="N160" s="15"/>
      <c r="O160" s="15"/>
      <c r="P160" s="15"/>
      <c r="Q160" s="15"/>
      <c r="R160" s="15"/>
      <c r="S160" s="15"/>
      <c r="T160" s="15"/>
      <c r="U160" s="15"/>
      <c r="V160" s="15"/>
      <c r="W160" s="15"/>
      <c r="X160" s="15"/>
      <c r="Y160" s="15"/>
      <c r="Z160" s="15"/>
    </row>
    <row r="161" spans="1:26" ht="21" customHeight="1" outlineLevel="1" x14ac:dyDescent="0.85">
      <c r="A161" s="804" t="s">
        <v>358</v>
      </c>
      <c r="B161" s="765"/>
      <c r="C161" s="765"/>
      <c r="D161" s="765"/>
      <c r="E161" s="762"/>
      <c r="F161" s="15"/>
      <c r="G161" s="15"/>
      <c r="H161" s="15"/>
      <c r="I161" s="15"/>
      <c r="J161" s="15"/>
      <c r="K161" s="15"/>
      <c r="L161" s="15"/>
      <c r="M161" s="15"/>
      <c r="N161" s="15"/>
      <c r="O161" s="15"/>
      <c r="P161" s="15"/>
      <c r="Q161" s="15"/>
      <c r="R161" s="15"/>
      <c r="S161" s="15"/>
      <c r="T161" s="15"/>
      <c r="U161" s="15"/>
      <c r="V161" s="15"/>
      <c r="W161" s="15"/>
      <c r="X161" s="15"/>
      <c r="Y161" s="15"/>
      <c r="Z161" s="15"/>
    </row>
    <row r="162" spans="1:26" ht="21" customHeight="1" outlineLevel="2" x14ac:dyDescent="0.85">
      <c r="A162" s="802" t="s">
        <v>163</v>
      </c>
      <c r="B162" s="765"/>
      <c r="C162" s="765"/>
      <c r="D162" s="765"/>
      <c r="E162" s="762"/>
      <c r="F162" s="15"/>
      <c r="G162" s="15"/>
      <c r="H162" s="15"/>
      <c r="I162" s="15"/>
      <c r="J162" s="15"/>
      <c r="K162" s="15"/>
      <c r="L162" s="15"/>
      <c r="M162" s="15"/>
      <c r="N162" s="15"/>
      <c r="O162" s="15"/>
      <c r="P162" s="15"/>
      <c r="Q162" s="15"/>
      <c r="R162" s="15"/>
      <c r="S162" s="15"/>
      <c r="T162" s="15"/>
      <c r="U162" s="15"/>
      <c r="V162" s="15"/>
      <c r="W162" s="15"/>
      <c r="X162" s="15"/>
      <c r="Y162" s="15"/>
      <c r="Z162" s="15"/>
    </row>
    <row r="163" spans="1:26" ht="21" customHeight="1" outlineLevel="2" x14ac:dyDescent="0.85">
      <c r="A163" s="78" t="s">
        <v>359</v>
      </c>
      <c r="B163" s="78" t="s">
        <v>165</v>
      </c>
      <c r="C163" s="85" t="s">
        <v>166</v>
      </c>
      <c r="D163" s="78" t="s">
        <v>360</v>
      </c>
      <c r="E163" s="78" t="s">
        <v>168</v>
      </c>
      <c r="F163" s="15"/>
      <c r="G163" s="15"/>
      <c r="H163" s="15"/>
      <c r="I163" s="15"/>
      <c r="J163" s="15"/>
      <c r="K163" s="15"/>
      <c r="L163" s="15"/>
      <c r="M163" s="15"/>
      <c r="N163" s="15"/>
      <c r="O163" s="15"/>
      <c r="P163" s="15"/>
      <c r="Q163" s="15"/>
      <c r="R163" s="15"/>
      <c r="S163" s="15"/>
      <c r="T163" s="15"/>
      <c r="U163" s="15"/>
      <c r="V163" s="15"/>
      <c r="W163" s="15"/>
      <c r="X163" s="15"/>
      <c r="Y163" s="15"/>
      <c r="Z163" s="15"/>
    </row>
    <row r="164" spans="1:26" ht="21" customHeight="1" outlineLevel="2" x14ac:dyDescent="0.85">
      <c r="A164" s="103">
        <f t="shared" ref="A164:B164" si="8">B159+B149+B134+D94</f>
        <v>11317.255258173069</v>
      </c>
      <c r="B164" s="103">
        <f t="shared" si="8"/>
        <v>80308.412667113589</v>
      </c>
      <c r="C164" s="103">
        <f>D159+E159+D149+E149+D134+F94</f>
        <v>2231.8617568910286</v>
      </c>
      <c r="D164" s="103">
        <f t="shared" ref="D164:E164" si="9">F159+F149+E134+G94</f>
        <v>559.18813415873808</v>
      </c>
      <c r="E164" s="103">
        <f t="shared" si="9"/>
        <v>4925.7417740170113</v>
      </c>
      <c r="F164" s="15"/>
      <c r="G164" s="15"/>
      <c r="H164" s="15"/>
      <c r="I164" s="15"/>
      <c r="J164" s="15"/>
      <c r="K164" s="15"/>
      <c r="L164" s="15"/>
      <c r="M164" s="15"/>
      <c r="N164" s="15"/>
      <c r="O164" s="15"/>
      <c r="P164" s="15"/>
      <c r="Q164" s="15"/>
      <c r="R164" s="15"/>
      <c r="S164" s="15"/>
      <c r="T164" s="15"/>
      <c r="U164" s="15"/>
      <c r="V164" s="15"/>
      <c r="W164" s="15"/>
      <c r="X164" s="15"/>
      <c r="Y164" s="15"/>
      <c r="Z164" s="15"/>
    </row>
    <row r="165" spans="1:26" ht="21" customHeight="1" outlineLevel="2" x14ac:dyDescent="0.85">
      <c r="A165" s="15"/>
      <c r="B165" s="15"/>
      <c r="C165" s="15"/>
      <c r="D165" s="15"/>
      <c r="E165" s="15"/>
      <c r="F165" s="15"/>
      <c r="G165" s="15"/>
      <c r="H165" s="15"/>
      <c r="I165" s="15"/>
      <c r="J165" s="15"/>
      <c r="K165" s="15"/>
      <c r="L165" s="15"/>
      <c r="M165" s="15"/>
      <c r="N165" s="15"/>
      <c r="O165" s="15"/>
      <c r="P165" s="15"/>
      <c r="Q165" s="15"/>
      <c r="R165" s="15"/>
      <c r="S165" s="15"/>
      <c r="T165" s="15"/>
      <c r="U165" s="15"/>
      <c r="V165" s="15"/>
      <c r="W165" s="15"/>
      <c r="X165" s="15"/>
      <c r="Y165" s="15"/>
      <c r="Z165" s="15"/>
    </row>
    <row r="166" spans="1:26" ht="21" customHeight="1" outlineLevel="1" x14ac:dyDescent="0.85">
      <c r="A166" s="15"/>
      <c r="B166" s="15"/>
      <c r="C166" s="15"/>
      <c r="D166" s="15"/>
      <c r="E166" s="15"/>
      <c r="F166" s="15"/>
      <c r="G166" s="15"/>
      <c r="H166" s="15"/>
      <c r="I166" s="15"/>
      <c r="J166" s="15"/>
      <c r="K166" s="15"/>
      <c r="L166" s="15"/>
      <c r="M166" s="15"/>
      <c r="N166" s="15"/>
      <c r="O166" s="15"/>
      <c r="P166" s="15"/>
      <c r="Q166" s="15"/>
      <c r="R166" s="15"/>
      <c r="S166" s="15"/>
      <c r="T166" s="15"/>
      <c r="U166" s="15"/>
      <c r="V166" s="15"/>
      <c r="W166" s="15"/>
      <c r="X166" s="15"/>
      <c r="Y166" s="15"/>
      <c r="Z166" s="15"/>
    </row>
    <row r="167" spans="1:26" ht="21" customHeight="1" x14ac:dyDescent="0.85">
      <c r="A167" s="15"/>
      <c r="B167" s="15"/>
      <c r="C167" s="15"/>
      <c r="D167" s="15"/>
      <c r="E167" s="15"/>
      <c r="F167" s="15"/>
      <c r="G167" s="15"/>
      <c r="H167" s="15"/>
      <c r="I167" s="15"/>
      <c r="J167" s="15"/>
      <c r="K167" s="15"/>
      <c r="L167" s="15"/>
      <c r="M167" s="15"/>
      <c r="N167" s="15"/>
      <c r="O167" s="15"/>
      <c r="P167" s="15"/>
      <c r="Q167" s="15"/>
      <c r="R167" s="15"/>
      <c r="S167" s="15"/>
      <c r="T167" s="15"/>
      <c r="U167" s="15"/>
      <c r="V167" s="15"/>
      <c r="W167" s="15"/>
      <c r="X167" s="15"/>
      <c r="Y167" s="15"/>
      <c r="Z167" s="15"/>
    </row>
    <row r="168" spans="1:26" ht="21" customHeight="1" x14ac:dyDescent="0.85">
      <c r="A168" s="15"/>
      <c r="B168" s="15"/>
      <c r="C168" s="15"/>
      <c r="D168" s="15"/>
      <c r="E168" s="15"/>
      <c r="F168" s="15"/>
      <c r="G168" s="15"/>
      <c r="H168" s="15"/>
      <c r="I168" s="15"/>
      <c r="J168" s="15"/>
      <c r="K168" s="15"/>
      <c r="L168" s="15"/>
      <c r="M168" s="15"/>
      <c r="N168" s="15"/>
      <c r="O168" s="15"/>
      <c r="P168" s="15"/>
      <c r="Q168" s="15"/>
      <c r="R168" s="15"/>
      <c r="S168" s="15"/>
      <c r="T168" s="15"/>
      <c r="U168" s="15"/>
      <c r="V168" s="15"/>
      <c r="W168" s="15"/>
      <c r="X168" s="15"/>
      <c r="Y168" s="15"/>
      <c r="Z168" s="15"/>
    </row>
    <row r="169" spans="1:26" ht="21" customHeight="1" x14ac:dyDescent="0.85">
      <c r="A169" s="15"/>
      <c r="B169" s="15"/>
      <c r="C169" s="15"/>
      <c r="D169" s="15"/>
      <c r="E169" s="15"/>
      <c r="F169" s="15"/>
      <c r="G169" s="15"/>
      <c r="H169" s="15"/>
      <c r="I169" s="15"/>
      <c r="J169" s="15"/>
      <c r="K169" s="15"/>
      <c r="L169" s="15"/>
      <c r="M169" s="15"/>
      <c r="N169" s="15"/>
      <c r="O169" s="15"/>
      <c r="P169" s="15"/>
      <c r="Q169" s="15"/>
      <c r="R169" s="15"/>
      <c r="S169" s="15"/>
      <c r="T169" s="15"/>
      <c r="U169" s="15"/>
      <c r="V169" s="15"/>
      <c r="W169" s="15"/>
      <c r="X169" s="15"/>
      <c r="Y169" s="15"/>
      <c r="Z169" s="15"/>
    </row>
    <row r="170" spans="1:26" ht="21" customHeight="1" x14ac:dyDescent="0.85">
      <c r="A170" s="15"/>
      <c r="B170" s="15"/>
      <c r="C170" s="15"/>
      <c r="D170" s="15"/>
      <c r="E170" s="15"/>
      <c r="F170" s="15"/>
      <c r="G170" s="15"/>
      <c r="H170" s="15"/>
      <c r="I170" s="15"/>
      <c r="J170" s="15"/>
      <c r="K170" s="15"/>
      <c r="L170" s="15"/>
      <c r="M170" s="15"/>
      <c r="N170" s="15"/>
      <c r="O170" s="15"/>
      <c r="P170" s="15"/>
      <c r="Q170" s="15"/>
      <c r="R170" s="15"/>
      <c r="S170" s="15"/>
      <c r="T170" s="15"/>
      <c r="U170" s="15"/>
      <c r="V170" s="15"/>
      <c r="W170" s="15"/>
      <c r="X170" s="15"/>
      <c r="Y170" s="15"/>
      <c r="Z170" s="15"/>
    </row>
    <row r="171" spans="1:26" ht="21" customHeight="1" x14ac:dyDescent="0.85">
      <c r="A171" s="15"/>
      <c r="B171" s="15"/>
      <c r="C171" s="15"/>
      <c r="D171" s="15"/>
      <c r="E171" s="15"/>
      <c r="F171" s="15"/>
      <c r="G171" s="15"/>
      <c r="H171" s="15"/>
      <c r="I171" s="15"/>
      <c r="J171" s="15"/>
      <c r="K171" s="15"/>
      <c r="L171" s="15"/>
      <c r="M171" s="15"/>
      <c r="N171" s="15"/>
      <c r="O171" s="15"/>
      <c r="P171" s="15"/>
      <c r="Q171" s="15"/>
      <c r="R171" s="15"/>
      <c r="S171" s="15"/>
      <c r="T171" s="15"/>
      <c r="U171" s="15"/>
      <c r="V171" s="15"/>
      <c r="W171" s="15"/>
      <c r="X171" s="15"/>
      <c r="Y171" s="15"/>
      <c r="Z171" s="15"/>
    </row>
    <row r="172" spans="1:26" ht="21" customHeight="1" x14ac:dyDescent="0.85">
      <c r="A172" s="15"/>
      <c r="B172" s="15"/>
      <c r="C172" s="15"/>
      <c r="D172" s="15"/>
      <c r="E172" s="15"/>
      <c r="F172" s="15"/>
      <c r="G172" s="15"/>
      <c r="H172" s="15"/>
      <c r="I172" s="15"/>
      <c r="J172" s="15"/>
      <c r="K172" s="15"/>
      <c r="L172" s="15"/>
      <c r="M172" s="15"/>
      <c r="N172" s="15"/>
      <c r="O172" s="15"/>
      <c r="P172" s="15"/>
      <c r="Q172" s="15"/>
      <c r="R172" s="15"/>
      <c r="S172" s="15"/>
      <c r="T172" s="15"/>
      <c r="U172" s="15"/>
      <c r="V172" s="15"/>
      <c r="W172" s="15"/>
      <c r="X172" s="15"/>
      <c r="Y172" s="15"/>
      <c r="Z172" s="15"/>
    </row>
    <row r="173" spans="1:26" ht="21" customHeight="1" x14ac:dyDescent="0.85">
      <c r="A173" s="15"/>
      <c r="B173" s="15"/>
      <c r="C173" s="15"/>
      <c r="D173" s="15"/>
      <c r="E173" s="15"/>
      <c r="F173" s="15"/>
      <c r="G173" s="15"/>
      <c r="H173" s="15"/>
      <c r="I173" s="15"/>
      <c r="J173" s="15"/>
      <c r="K173" s="15"/>
      <c r="L173" s="15"/>
      <c r="M173" s="15"/>
      <c r="N173" s="15"/>
      <c r="O173" s="15"/>
      <c r="P173" s="15"/>
      <c r="Q173" s="15"/>
      <c r="R173" s="15"/>
      <c r="S173" s="15"/>
      <c r="T173" s="15"/>
      <c r="U173" s="15"/>
      <c r="V173" s="15"/>
      <c r="W173" s="15"/>
      <c r="X173" s="15"/>
      <c r="Y173" s="15"/>
      <c r="Z173" s="15"/>
    </row>
    <row r="174" spans="1:26" ht="21" customHeight="1" x14ac:dyDescent="0.85">
      <c r="A174" s="15"/>
      <c r="B174" s="15"/>
      <c r="C174" s="15"/>
      <c r="D174" s="15"/>
      <c r="E174" s="15"/>
      <c r="F174" s="15"/>
      <c r="G174" s="15"/>
      <c r="H174" s="15"/>
      <c r="I174" s="15"/>
      <c r="J174" s="15"/>
      <c r="K174" s="15"/>
      <c r="L174" s="15"/>
      <c r="M174" s="15"/>
      <c r="N174" s="15"/>
      <c r="O174" s="15"/>
      <c r="P174" s="15"/>
      <c r="Q174" s="15"/>
      <c r="R174" s="15"/>
      <c r="S174" s="15"/>
      <c r="T174" s="15"/>
      <c r="U174" s="15"/>
      <c r="V174" s="15"/>
      <c r="W174" s="15"/>
      <c r="X174" s="15"/>
      <c r="Y174" s="15"/>
      <c r="Z174" s="15"/>
    </row>
    <row r="175" spans="1:26" ht="21" customHeight="1" x14ac:dyDescent="0.85">
      <c r="A175" s="15"/>
      <c r="B175" s="15"/>
      <c r="C175" s="15"/>
      <c r="D175" s="15"/>
      <c r="E175" s="15"/>
      <c r="F175" s="15"/>
      <c r="G175" s="15"/>
      <c r="H175" s="15"/>
      <c r="I175" s="15"/>
      <c r="J175" s="15"/>
      <c r="K175" s="15"/>
      <c r="L175" s="15"/>
      <c r="M175" s="15"/>
      <c r="N175" s="15"/>
      <c r="O175" s="15"/>
      <c r="P175" s="15"/>
      <c r="Q175" s="15"/>
      <c r="R175" s="15"/>
      <c r="S175" s="15"/>
      <c r="T175" s="15"/>
      <c r="U175" s="15"/>
      <c r="V175" s="15"/>
      <c r="W175" s="15"/>
      <c r="X175" s="15"/>
      <c r="Y175" s="15"/>
      <c r="Z175" s="15"/>
    </row>
    <row r="176" spans="1:26" ht="21" customHeight="1" x14ac:dyDescent="0.85">
      <c r="A176" s="15"/>
      <c r="B176" s="15"/>
      <c r="C176" s="15"/>
      <c r="D176" s="15"/>
      <c r="E176" s="15"/>
      <c r="F176" s="15"/>
      <c r="G176" s="15"/>
      <c r="H176" s="15"/>
      <c r="I176" s="15"/>
      <c r="J176" s="15"/>
      <c r="K176" s="15"/>
      <c r="L176" s="15"/>
      <c r="M176" s="15"/>
      <c r="N176" s="15"/>
      <c r="O176" s="15"/>
      <c r="P176" s="15"/>
      <c r="Q176" s="15"/>
      <c r="R176" s="15"/>
      <c r="S176" s="15"/>
      <c r="T176" s="15"/>
      <c r="U176" s="15"/>
      <c r="V176" s="15"/>
      <c r="W176" s="15"/>
      <c r="X176" s="15"/>
      <c r="Y176" s="15"/>
      <c r="Z176" s="15"/>
    </row>
    <row r="177" spans="1:26" ht="21" customHeight="1" x14ac:dyDescent="0.85">
      <c r="A177" s="15"/>
      <c r="B177" s="15"/>
      <c r="C177" s="15"/>
      <c r="D177" s="15"/>
      <c r="E177" s="15"/>
      <c r="F177" s="15"/>
      <c r="G177" s="15"/>
      <c r="H177" s="15"/>
      <c r="I177" s="15"/>
      <c r="J177" s="15"/>
      <c r="K177" s="15"/>
      <c r="L177" s="15"/>
      <c r="M177" s="15"/>
      <c r="N177" s="15"/>
      <c r="O177" s="15"/>
      <c r="P177" s="15"/>
      <c r="Q177" s="15"/>
      <c r="R177" s="15"/>
      <c r="S177" s="15"/>
      <c r="T177" s="15"/>
      <c r="U177" s="15"/>
      <c r="V177" s="15"/>
      <c r="W177" s="15"/>
      <c r="X177" s="15"/>
      <c r="Y177" s="15"/>
      <c r="Z177" s="15"/>
    </row>
    <row r="178" spans="1:26" ht="21" customHeight="1" x14ac:dyDescent="0.85">
      <c r="A178" s="15"/>
      <c r="B178" s="15"/>
      <c r="C178" s="15"/>
      <c r="D178" s="15"/>
      <c r="E178" s="15"/>
      <c r="F178" s="15"/>
      <c r="G178" s="15"/>
      <c r="H178" s="15"/>
      <c r="I178" s="15"/>
      <c r="J178" s="15"/>
      <c r="K178" s="15"/>
      <c r="L178" s="15"/>
      <c r="M178" s="15"/>
      <c r="N178" s="15"/>
      <c r="O178" s="15"/>
      <c r="P178" s="15"/>
      <c r="Q178" s="15"/>
      <c r="R178" s="15"/>
      <c r="S178" s="15"/>
      <c r="T178" s="15"/>
      <c r="U178" s="15"/>
      <c r="V178" s="15"/>
      <c r="W178" s="15"/>
      <c r="X178" s="15"/>
      <c r="Y178" s="15"/>
      <c r="Z178" s="15"/>
    </row>
    <row r="179" spans="1:26" ht="21" customHeight="1" x14ac:dyDescent="0.85">
      <c r="A179" s="15"/>
      <c r="B179" s="15"/>
      <c r="C179" s="15"/>
      <c r="D179" s="15"/>
      <c r="E179" s="15"/>
      <c r="F179" s="15"/>
      <c r="G179" s="15"/>
      <c r="H179" s="15"/>
      <c r="I179" s="15"/>
      <c r="J179" s="15"/>
      <c r="K179" s="15"/>
      <c r="L179" s="15"/>
      <c r="M179" s="15"/>
      <c r="N179" s="15"/>
      <c r="O179" s="15"/>
      <c r="P179" s="15"/>
      <c r="Q179" s="15"/>
      <c r="R179" s="15"/>
      <c r="S179" s="15"/>
      <c r="T179" s="15"/>
      <c r="U179" s="15"/>
      <c r="V179" s="15"/>
      <c r="W179" s="15"/>
      <c r="X179" s="15"/>
      <c r="Y179" s="15"/>
      <c r="Z179" s="15"/>
    </row>
    <row r="180" spans="1:26" ht="21" customHeight="1" x14ac:dyDescent="0.85">
      <c r="A180" s="15"/>
      <c r="B180" s="15"/>
      <c r="C180" s="15"/>
      <c r="D180" s="15"/>
      <c r="E180" s="15"/>
      <c r="F180" s="15"/>
      <c r="G180" s="15"/>
      <c r="H180" s="15"/>
      <c r="I180" s="15"/>
      <c r="J180" s="15"/>
      <c r="K180" s="15"/>
      <c r="L180" s="15"/>
      <c r="M180" s="15"/>
      <c r="N180" s="15"/>
      <c r="O180" s="15"/>
      <c r="P180" s="15"/>
      <c r="Q180" s="15"/>
      <c r="R180" s="15"/>
      <c r="S180" s="15"/>
      <c r="T180" s="15"/>
      <c r="U180" s="15"/>
      <c r="V180" s="15"/>
      <c r="W180" s="15"/>
      <c r="X180" s="15"/>
      <c r="Y180" s="15"/>
      <c r="Z180" s="15"/>
    </row>
    <row r="181" spans="1:26" ht="21" customHeight="1" x14ac:dyDescent="0.85">
      <c r="A181" s="15"/>
      <c r="B181" s="15"/>
      <c r="C181" s="15"/>
      <c r="D181" s="15"/>
      <c r="E181" s="15"/>
      <c r="F181" s="15"/>
      <c r="G181" s="15"/>
      <c r="H181" s="15"/>
      <c r="I181" s="15"/>
      <c r="J181" s="15"/>
      <c r="K181" s="15"/>
      <c r="L181" s="15"/>
      <c r="M181" s="15"/>
      <c r="N181" s="15"/>
      <c r="O181" s="15"/>
      <c r="P181" s="15"/>
      <c r="Q181" s="15"/>
      <c r="R181" s="15"/>
      <c r="S181" s="15"/>
      <c r="T181" s="15"/>
      <c r="U181" s="15"/>
      <c r="V181" s="15"/>
      <c r="W181" s="15"/>
      <c r="X181" s="15"/>
      <c r="Y181" s="15"/>
      <c r="Z181" s="15"/>
    </row>
    <row r="182" spans="1:26" ht="21" customHeight="1" x14ac:dyDescent="0.85">
      <c r="A182" s="15"/>
      <c r="B182" s="15"/>
      <c r="C182" s="15"/>
      <c r="D182" s="15"/>
      <c r="E182" s="15"/>
      <c r="F182" s="15"/>
      <c r="G182" s="15"/>
      <c r="H182" s="15"/>
      <c r="I182" s="15"/>
      <c r="J182" s="15"/>
      <c r="K182" s="15"/>
      <c r="L182" s="15"/>
      <c r="M182" s="15"/>
      <c r="N182" s="15"/>
      <c r="O182" s="15"/>
      <c r="P182" s="15"/>
      <c r="Q182" s="15"/>
      <c r="R182" s="15"/>
      <c r="S182" s="15"/>
      <c r="T182" s="15"/>
      <c r="U182" s="15"/>
      <c r="V182" s="15"/>
      <c r="W182" s="15"/>
      <c r="X182" s="15"/>
      <c r="Y182" s="15"/>
      <c r="Z182" s="15"/>
    </row>
    <row r="183" spans="1:26" ht="21" customHeight="1" x14ac:dyDescent="0.85">
      <c r="A183" s="15"/>
      <c r="B183" s="15"/>
      <c r="C183" s="15"/>
      <c r="D183" s="15"/>
      <c r="E183" s="15"/>
      <c r="F183" s="15"/>
      <c r="G183" s="15"/>
      <c r="H183" s="15"/>
      <c r="I183" s="15"/>
      <c r="J183" s="15"/>
      <c r="K183" s="15"/>
      <c r="L183" s="15"/>
      <c r="M183" s="15"/>
      <c r="N183" s="15"/>
      <c r="O183" s="15"/>
      <c r="P183" s="15"/>
      <c r="Q183" s="15"/>
      <c r="R183" s="15"/>
      <c r="S183" s="15"/>
      <c r="T183" s="15"/>
      <c r="U183" s="15"/>
      <c r="V183" s="15"/>
      <c r="W183" s="15"/>
      <c r="X183" s="15"/>
      <c r="Y183" s="15"/>
      <c r="Z183" s="15"/>
    </row>
    <row r="184" spans="1:26" ht="21" customHeight="1" x14ac:dyDescent="0.85">
      <c r="A184" s="15"/>
      <c r="B184" s="15"/>
      <c r="C184" s="15"/>
      <c r="D184" s="15"/>
      <c r="E184" s="15"/>
      <c r="F184" s="15"/>
      <c r="G184" s="15"/>
      <c r="H184" s="15"/>
      <c r="I184" s="15"/>
      <c r="J184" s="15"/>
      <c r="K184" s="15"/>
      <c r="L184" s="15"/>
      <c r="M184" s="15"/>
      <c r="N184" s="15"/>
      <c r="O184" s="15"/>
      <c r="P184" s="15"/>
      <c r="Q184" s="15"/>
      <c r="R184" s="15"/>
      <c r="S184" s="15"/>
      <c r="T184" s="15"/>
      <c r="U184" s="15"/>
      <c r="V184" s="15"/>
      <c r="W184" s="15"/>
      <c r="X184" s="15"/>
      <c r="Y184" s="15"/>
      <c r="Z184" s="15"/>
    </row>
    <row r="185" spans="1:26" ht="21" customHeight="1" x14ac:dyDescent="0.85">
      <c r="A185" s="15"/>
      <c r="B185" s="15"/>
      <c r="C185" s="15"/>
      <c r="D185" s="15"/>
      <c r="E185" s="15"/>
      <c r="F185" s="15"/>
      <c r="G185" s="15"/>
      <c r="H185" s="15"/>
      <c r="I185" s="15"/>
      <c r="J185" s="15"/>
      <c r="K185" s="15"/>
      <c r="L185" s="15"/>
      <c r="M185" s="15"/>
      <c r="N185" s="15"/>
      <c r="O185" s="15"/>
      <c r="P185" s="15"/>
      <c r="Q185" s="15"/>
      <c r="R185" s="15"/>
      <c r="S185" s="15"/>
      <c r="T185" s="15"/>
      <c r="U185" s="15"/>
      <c r="V185" s="15"/>
      <c r="W185" s="15"/>
      <c r="X185" s="15"/>
      <c r="Y185" s="15"/>
      <c r="Z185" s="15"/>
    </row>
    <row r="186" spans="1:26" ht="21" customHeight="1" x14ac:dyDescent="0.85">
      <c r="A186" s="15"/>
      <c r="B186" s="15"/>
      <c r="C186" s="15"/>
      <c r="D186" s="15"/>
      <c r="E186" s="15"/>
      <c r="F186" s="15"/>
      <c r="G186" s="15"/>
      <c r="H186" s="15"/>
      <c r="I186" s="15"/>
      <c r="J186" s="15"/>
      <c r="K186" s="15"/>
      <c r="L186" s="15"/>
      <c r="M186" s="15"/>
      <c r="N186" s="15"/>
      <c r="O186" s="15"/>
      <c r="P186" s="15"/>
      <c r="Q186" s="15"/>
      <c r="R186" s="15"/>
      <c r="S186" s="15"/>
      <c r="T186" s="15"/>
      <c r="U186" s="15"/>
      <c r="V186" s="15"/>
      <c r="W186" s="15"/>
      <c r="X186" s="15"/>
      <c r="Y186" s="15"/>
      <c r="Z186" s="15"/>
    </row>
    <row r="187" spans="1:26" ht="21" customHeight="1" x14ac:dyDescent="0.85">
      <c r="A187" s="15"/>
      <c r="B187" s="15"/>
      <c r="C187" s="15"/>
      <c r="D187" s="15"/>
      <c r="E187" s="15"/>
      <c r="F187" s="15"/>
      <c r="G187" s="15"/>
      <c r="H187" s="15"/>
      <c r="I187" s="15"/>
      <c r="J187" s="15"/>
      <c r="K187" s="15"/>
      <c r="L187" s="15"/>
      <c r="M187" s="15"/>
      <c r="N187" s="15"/>
      <c r="O187" s="15"/>
      <c r="P187" s="15"/>
      <c r="Q187" s="15"/>
      <c r="R187" s="15"/>
      <c r="S187" s="15"/>
      <c r="T187" s="15"/>
      <c r="U187" s="15"/>
      <c r="V187" s="15"/>
      <c r="W187" s="15"/>
      <c r="X187" s="15"/>
      <c r="Y187" s="15"/>
      <c r="Z187" s="15"/>
    </row>
    <row r="188" spans="1:26" ht="21" customHeight="1" x14ac:dyDescent="0.85">
      <c r="A188" s="15"/>
      <c r="B188" s="15"/>
      <c r="C188" s="15"/>
      <c r="D188" s="15"/>
      <c r="E188" s="15"/>
      <c r="F188" s="15"/>
      <c r="G188" s="15"/>
      <c r="H188" s="15"/>
      <c r="I188" s="15"/>
      <c r="J188" s="15"/>
      <c r="K188" s="15"/>
      <c r="L188" s="15"/>
      <c r="M188" s="15"/>
      <c r="N188" s="15"/>
      <c r="O188" s="15"/>
      <c r="P188" s="15"/>
      <c r="Q188" s="15"/>
      <c r="R188" s="15"/>
      <c r="S188" s="15"/>
      <c r="T188" s="15"/>
      <c r="U188" s="15"/>
      <c r="V188" s="15"/>
      <c r="W188" s="15"/>
      <c r="X188" s="15"/>
      <c r="Y188" s="15"/>
      <c r="Z188" s="15"/>
    </row>
    <row r="189" spans="1:26" ht="21" customHeight="1" x14ac:dyDescent="0.85">
      <c r="A189" s="15"/>
      <c r="B189" s="15"/>
      <c r="C189" s="15"/>
      <c r="D189" s="15"/>
      <c r="E189" s="15"/>
      <c r="F189" s="15"/>
      <c r="G189" s="15"/>
      <c r="H189" s="15"/>
      <c r="I189" s="15"/>
      <c r="J189" s="15"/>
      <c r="K189" s="15"/>
      <c r="L189" s="15"/>
      <c r="M189" s="15"/>
      <c r="N189" s="15"/>
      <c r="O189" s="15"/>
      <c r="P189" s="15"/>
      <c r="Q189" s="15"/>
      <c r="R189" s="15"/>
      <c r="S189" s="15"/>
      <c r="T189" s="15"/>
      <c r="U189" s="15"/>
      <c r="V189" s="15"/>
      <c r="W189" s="15"/>
      <c r="X189" s="15"/>
      <c r="Y189" s="15"/>
      <c r="Z189" s="15"/>
    </row>
    <row r="190" spans="1:26" ht="21" customHeight="1" x14ac:dyDescent="0.85">
      <c r="A190" s="15"/>
      <c r="B190" s="15"/>
      <c r="C190" s="15"/>
      <c r="D190" s="15"/>
      <c r="E190" s="15"/>
      <c r="F190" s="15"/>
      <c r="G190" s="15"/>
      <c r="H190" s="15"/>
      <c r="I190" s="15"/>
      <c r="J190" s="15"/>
      <c r="K190" s="15"/>
      <c r="L190" s="15"/>
      <c r="M190" s="15"/>
      <c r="N190" s="15"/>
      <c r="O190" s="15"/>
      <c r="P190" s="15"/>
      <c r="Q190" s="15"/>
      <c r="R190" s="15"/>
      <c r="S190" s="15"/>
      <c r="T190" s="15"/>
      <c r="U190" s="15"/>
      <c r="V190" s="15"/>
      <c r="W190" s="15"/>
      <c r="X190" s="15"/>
      <c r="Y190" s="15"/>
      <c r="Z190" s="15"/>
    </row>
    <row r="191" spans="1:26" ht="21" customHeight="1" x14ac:dyDescent="0.85">
      <c r="A191" s="15"/>
      <c r="B191" s="15"/>
      <c r="C191" s="15"/>
      <c r="D191" s="15"/>
      <c r="E191" s="15"/>
      <c r="F191" s="15"/>
      <c r="G191" s="15"/>
      <c r="H191" s="15"/>
      <c r="I191" s="15"/>
      <c r="J191" s="15"/>
      <c r="K191" s="15"/>
      <c r="L191" s="15"/>
      <c r="M191" s="15"/>
      <c r="N191" s="15"/>
      <c r="O191" s="15"/>
      <c r="P191" s="15"/>
      <c r="Q191" s="15"/>
      <c r="R191" s="15"/>
      <c r="S191" s="15"/>
      <c r="T191" s="15"/>
      <c r="U191" s="15"/>
      <c r="V191" s="15"/>
      <c r="W191" s="15"/>
      <c r="X191" s="15"/>
      <c r="Y191" s="15"/>
      <c r="Z191" s="15"/>
    </row>
    <row r="192" spans="1:26" ht="21" customHeight="1" x14ac:dyDescent="0.85">
      <c r="A192" s="15"/>
      <c r="B192" s="15"/>
      <c r="C192" s="15"/>
      <c r="D192" s="15"/>
      <c r="E192" s="15"/>
      <c r="F192" s="15"/>
      <c r="G192" s="15"/>
      <c r="H192" s="15"/>
      <c r="I192" s="15"/>
      <c r="J192" s="15"/>
      <c r="K192" s="15"/>
      <c r="L192" s="15"/>
      <c r="M192" s="15"/>
      <c r="N192" s="15"/>
      <c r="O192" s="15"/>
      <c r="P192" s="15"/>
      <c r="Q192" s="15"/>
      <c r="R192" s="15"/>
      <c r="S192" s="15"/>
      <c r="T192" s="15"/>
      <c r="U192" s="15"/>
      <c r="V192" s="15"/>
      <c r="W192" s="15"/>
      <c r="X192" s="15"/>
      <c r="Y192" s="15"/>
      <c r="Z192" s="15"/>
    </row>
    <row r="193" spans="1:26" ht="21" customHeight="1" x14ac:dyDescent="0.85">
      <c r="A193" s="15"/>
      <c r="B193" s="15"/>
      <c r="C193" s="15"/>
      <c r="D193" s="15"/>
      <c r="E193" s="15"/>
      <c r="F193" s="15"/>
      <c r="G193" s="15"/>
      <c r="H193" s="15"/>
      <c r="I193" s="15"/>
      <c r="J193" s="15"/>
      <c r="K193" s="15"/>
      <c r="L193" s="15"/>
      <c r="M193" s="15"/>
      <c r="N193" s="15"/>
      <c r="O193" s="15"/>
      <c r="P193" s="15"/>
      <c r="Q193" s="15"/>
      <c r="R193" s="15"/>
      <c r="S193" s="15"/>
      <c r="T193" s="15"/>
      <c r="U193" s="15"/>
      <c r="V193" s="15"/>
      <c r="W193" s="15"/>
      <c r="X193" s="15"/>
      <c r="Y193" s="15"/>
      <c r="Z193" s="15"/>
    </row>
    <row r="194" spans="1:26" ht="21" customHeight="1" x14ac:dyDescent="0.85">
      <c r="A194" s="15"/>
      <c r="B194" s="15"/>
      <c r="C194" s="15"/>
      <c r="D194" s="15"/>
      <c r="E194" s="15"/>
      <c r="F194" s="15"/>
      <c r="G194" s="15"/>
      <c r="H194" s="15"/>
      <c r="I194" s="15"/>
      <c r="J194" s="15"/>
      <c r="K194" s="15"/>
      <c r="L194" s="15"/>
      <c r="M194" s="15"/>
      <c r="N194" s="15"/>
      <c r="O194" s="15"/>
      <c r="P194" s="15"/>
      <c r="Q194" s="15"/>
      <c r="R194" s="15"/>
      <c r="S194" s="15"/>
      <c r="T194" s="15"/>
      <c r="U194" s="15"/>
      <c r="V194" s="15"/>
      <c r="W194" s="15"/>
      <c r="X194" s="15"/>
      <c r="Y194" s="15"/>
      <c r="Z194" s="15"/>
    </row>
    <row r="195" spans="1:26" ht="21" customHeight="1" x14ac:dyDescent="0.85">
      <c r="A195" s="15"/>
      <c r="B195" s="15"/>
      <c r="C195" s="15"/>
      <c r="D195" s="15"/>
      <c r="E195" s="15"/>
      <c r="F195" s="15"/>
      <c r="G195" s="15"/>
      <c r="H195" s="15"/>
      <c r="I195" s="15"/>
      <c r="J195" s="15"/>
      <c r="K195" s="15"/>
      <c r="L195" s="15"/>
      <c r="M195" s="15"/>
      <c r="N195" s="15"/>
      <c r="O195" s="15"/>
      <c r="P195" s="15"/>
      <c r="Q195" s="15"/>
      <c r="R195" s="15"/>
      <c r="S195" s="15"/>
      <c r="T195" s="15"/>
      <c r="U195" s="15"/>
      <c r="V195" s="15"/>
      <c r="W195" s="15"/>
      <c r="X195" s="15"/>
      <c r="Y195" s="15"/>
      <c r="Z195" s="15"/>
    </row>
    <row r="196" spans="1:26" ht="21" customHeight="1" x14ac:dyDescent="0.85">
      <c r="A196" s="15"/>
      <c r="B196" s="15"/>
      <c r="C196" s="15"/>
      <c r="D196" s="15"/>
      <c r="E196" s="15"/>
      <c r="F196" s="15"/>
      <c r="G196" s="15"/>
      <c r="H196" s="15"/>
      <c r="I196" s="15"/>
      <c r="J196" s="15"/>
      <c r="K196" s="15"/>
      <c r="L196" s="15"/>
      <c r="M196" s="15"/>
      <c r="N196" s="15"/>
      <c r="O196" s="15"/>
      <c r="P196" s="15"/>
      <c r="Q196" s="15"/>
      <c r="R196" s="15"/>
      <c r="S196" s="15"/>
      <c r="T196" s="15"/>
      <c r="U196" s="15"/>
      <c r="V196" s="15"/>
      <c r="W196" s="15"/>
      <c r="X196" s="15"/>
      <c r="Y196" s="15"/>
      <c r="Z196" s="15"/>
    </row>
    <row r="197" spans="1:26" ht="21" customHeight="1" x14ac:dyDescent="0.85">
      <c r="A197" s="15"/>
      <c r="B197" s="15"/>
      <c r="C197" s="15"/>
      <c r="D197" s="15"/>
      <c r="E197" s="15"/>
      <c r="F197" s="15"/>
      <c r="G197" s="15"/>
      <c r="H197" s="15"/>
      <c r="I197" s="15"/>
      <c r="J197" s="15"/>
      <c r="K197" s="15"/>
      <c r="L197" s="15"/>
      <c r="M197" s="15"/>
      <c r="N197" s="15"/>
      <c r="O197" s="15"/>
      <c r="P197" s="15"/>
      <c r="Q197" s="15"/>
      <c r="R197" s="15"/>
      <c r="S197" s="15"/>
      <c r="T197" s="15"/>
      <c r="U197" s="15"/>
      <c r="V197" s="15"/>
      <c r="W197" s="15"/>
      <c r="X197" s="15"/>
      <c r="Y197" s="15"/>
      <c r="Z197" s="15"/>
    </row>
    <row r="198" spans="1:26" ht="21" customHeight="1" x14ac:dyDescent="0.85">
      <c r="A198" s="15"/>
      <c r="B198" s="15"/>
      <c r="C198" s="15"/>
      <c r="D198" s="15"/>
      <c r="E198" s="15"/>
      <c r="F198" s="15"/>
      <c r="G198" s="15"/>
      <c r="H198" s="15"/>
      <c r="I198" s="15"/>
      <c r="J198" s="15"/>
      <c r="K198" s="15"/>
      <c r="L198" s="15"/>
      <c r="M198" s="15"/>
      <c r="N198" s="15"/>
      <c r="O198" s="15"/>
      <c r="P198" s="15"/>
      <c r="Q198" s="15"/>
      <c r="R198" s="15"/>
      <c r="S198" s="15"/>
      <c r="T198" s="15"/>
      <c r="U198" s="15"/>
      <c r="V198" s="15"/>
      <c r="W198" s="15"/>
      <c r="X198" s="15"/>
      <c r="Y198" s="15"/>
      <c r="Z198" s="15"/>
    </row>
    <row r="199" spans="1:26" ht="21" customHeight="1" x14ac:dyDescent="0.85">
      <c r="A199" s="15"/>
      <c r="B199" s="15"/>
      <c r="C199" s="15"/>
      <c r="D199" s="15"/>
      <c r="E199" s="15"/>
      <c r="F199" s="15"/>
      <c r="G199" s="15"/>
      <c r="H199" s="15"/>
      <c r="I199" s="15"/>
      <c r="J199" s="15"/>
      <c r="K199" s="15"/>
      <c r="L199" s="15"/>
      <c r="M199" s="15"/>
      <c r="N199" s="15"/>
      <c r="O199" s="15"/>
      <c r="P199" s="15"/>
      <c r="Q199" s="15"/>
      <c r="R199" s="15"/>
      <c r="S199" s="15"/>
      <c r="T199" s="15"/>
      <c r="U199" s="15"/>
      <c r="V199" s="15"/>
      <c r="W199" s="15"/>
      <c r="X199" s="15"/>
      <c r="Y199" s="15"/>
      <c r="Z199" s="15"/>
    </row>
    <row r="200" spans="1:26" ht="21" customHeight="1" x14ac:dyDescent="0.85">
      <c r="A200" s="15"/>
      <c r="B200" s="15"/>
      <c r="C200" s="15"/>
      <c r="D200" s="15"/>
      <c r="E200" s="15"/>
      <c r="F200" s="15"/>
      <c r="G200" s="15"/>
      <c r="H200" s="15"/>
      <c r="I200" s="15"/>
      <c r="J200" s="15"/>
      <c r="K200" s="15"/>
      <c r="L200" s="15"/>
      <c r="M200" s="15"/>
      <c r="N200" s="15"/>
      <c r="O200" s="15"/>
      <c r="P200" s="15"/>
      <c r="Q200" s="15"/>
      <c r="R200" s="15"/>
      <c r="S200" s="15"/>
      <c r="T200" s="15"/>
      <c r="U200" s="15"/>
      <c r="V200" s="15"/>
      <c r="W200" s="15"/>
      <c r="X200" s="15"/>
      <c r="Y200" s="15"/>
      <c r="Z200" s="15"/>
    </row>
    <row r="201" spans="1:26" ht="21" customHeight="1" x14ac:dyDescent="0.85">
      <c r="A201" s="15"/>
      <c r="B201" s="15"/>
      <c r="C201" s="15"/>
      <c r="D201" s="15"/>
      <c r="E201" s="15"/>
      <c r="F201" s="15"/>
      <c r="G201" s="15"/>
      <c r="H201" s="15"/>
      <c r="I201" s="15"/>
      <c r="J201" s="15"/>
      <c r="K201" s="15"/>
      <c r="L201" s="15"/>
      <c r="M201" s="15"/>
      <c r="N201" s="15"/>
      <c r="O201" s="15"/>
      <c r="P201" s="15"/>
      <c r="Q201" s="15"/>
      <c r="R201" s="15"/>
      <c r="S201" s="15"/>
      <c r="T201" s="15"/>
      <c r="U201" s="15"/>
      <c r="V201" s="15"/>
      <c r="W201" s="15"/>
      <c r="X201" s="15"/>
      <c r="Y201" s="15"/>
      <c r="Z201" s="15"/>
    </row>
    <row r="202" spans="1:26" ht="21" customHeight="1" x14ac:dyDescent="0.85">
      <c r="A202" s="15"/>
      <c r="B202" s="15"/>
      <c r="C202" s="15"/>
      <c r="D202" s="15"/>
      <c r="E202" s="15"/>
      <c r="F202" s="15"/>
      <c r="G202" s="15"/>
      <c r="H202" s="15"/>
      <c r="I202" s="15"/>
      <c r="J202" s="15"/>
      <c r="K202" s="15"/>
      <c r="L202" s="15"/>
      <c r="M202" s="15"/>
      <c r="N202" s="15"/>
      <c r="O202" s="15"/>
      <c r="P202" s="15"/>
      <c r="Q202" s="15"/>
      <c r="R202" s="15"/>
      <c r="S202" s="15"/>
      <c r="T202" s="15"/>
      <c r="U202" s="15"/>
      <c r="V202" s="15"/>
      <c r="W202" s="15"/>
      <c r="X202" s="15"/>
      <c r="Y202" s="15"/>
      <c r="Z202" s="15"/>
    </row>
    <row r="203" spans="1:26" ht="21" customHeight="1" x14ac:dyDescent="0.85">
      <c r="A203" s="15"/>
      <c r="B203" s="15"/>
      <c r="C203" s="15"/>
      <c r="D203" s="15"/>
      <c r="E203" s="15"/>
      <c r="F203" s="15"/>
      <c r="G203" s="15"/>
      <c r="H203" s="15"/>
      <c r="I203" s="15"/>
      <c r="J203" s="15"/>
      <c r="K203" s="15"/>
      <c r="L203" s="15"/>
      <c r="M203" s="15"/>
      <c r="N203" s="15"/>
      <c r="O203" s="15"/>
      <c r="P203" s="15"/>
      <c r="Q203" s="15"/>
      <c r="R203" s="15"/>
      <c r="S203" s="15"/>
      <c r="T203" s="15"/>
      <c r="U203" s="15"/>
      <c r="V203" s="15"/>
      <c r="W203" s="15"/>
      <c r="X203" s="15"/>
      <c r="Y203" s="15"/>
      <c r="Z203" s="15"/>
    </row>
    <row r="204" spans="1:26" ht="21" customHeight="1" x14ac:dyDescent="0.85">
      <c r="A204" s="15"/>
      <c r="B204" s="15"/>
      <c r="C204" s="15"/>
      <c r="D204" s="15"/>
      <c r="E204" s="15"/>
      <c r="F204" s="15"/>
      <c r="G204" s="15"/>
      <c r="H204" s="15"/>
      <c r="I204" s="15"/>
      <c r="J204" s="15"/>
      <c r="K204" s="15"/>
      <c r="L204" s="15"/>
      <c r="M204" s="15"/>
      <c r="N204" s="15"/>
      <c r="O204" s="15"/>
      <c r="P204" s="15"/>
      <c r="Q204" s="15"/>
      <c r="R204" s="15"/>
      <c r="S204" s="15"/>
      <c r="T204" s="15"/>
      <c r="U204" s="15"/>
      <c r="V204" s="15"/>
      <c r="W204" s="15"/>
      <c r="X204" s="15"/>
      <c r="Y204" s="15"/>
      <c r="Z204" s="15"/>
    </row>
    <row r="205" spans="1:26" ht="21" customHeight="1" x14ac:dyDescent="0.85">
      <c r="A205" s="15"/>
      <c r="B205" s="15"/>
      <c r="C205" s="15"/>
      <c r="D205" s="15"/>
      <c r="E205" s="15"/>
      <c r="F205" s="15"/>
      <c r="G205" s="15"/>
      <c r="H205" s="15"/>
      <c r="I205" s="15"/>
      <c r="J205" s="15"/>
      <c r="K205" s="15"/>
      <c r="L205" s="15"/>
      <c r="M205" s="15"/>
      <c r="N205" s="15"/>
      <c r="O205" s="15"/>
      <c r="P205" s="15"/>
      <c r="Q205" s="15"/>
      <c r="R205" s="15"/>
      <c r="S205" s="15"/>
      <c r="T205" s="15"/>
      <c r="U205" s="15"/>
      <c r="V205" s="15"/>
      <c r="W205" s="15"/>
      <c r="X205" s="15"/>
      <c r="Y205" s="15"/>
      <c r="Z205" s="15"/>
    </row>
    <row r="206" spans="1:26" ht="21" customHeight="1" x14ac:dyDescent="0.85">
      <c r="A206" s="15"/>
      <c r="B206" s="15"/>
      <c r="C206" s="15"/>
      <c r="D206" s="15"/>
      <c r="E206" s="15"/>
      <c r="F206" s="15"/>
      <c r="G206" s="15"/>
      <c r="H206" s="15"/>
      <c r="I206" s="15"/>
      <c r="J206" s="15"/>
      <c r="K206" s="15"/>
      <c r="L206" s="15"/>
      <c r="M206" s="15"/>
      <c r="N206" s="15"/>
      <c r="O206" s="15"/>
      <c r="P206" s="15"/>
      <c r="Q206" s="15"/>
      <c r="R206" s="15"/>
      <c r="S206" s="15"/>
      <c r="T206" s="15"/>
      <c r="U206" s="15"/>
      <c r="V206" s="15"/>
      <c r="W206" s="15"/>
      <c r="X206" s="15"/>
      <c r="Y206" s="15"/>
      <c r="Z206" s="15"/>
    </row>
    <row r="207" spans="1:26" ht="21" customHeight="1" x14ac:dyDescent="0.85">
      <c r="A207" s="15"/>
      <c r="B207" s="15"/>
      <c r="C207" s="15"/>
      <c r="D207" s="15"/>
      <c r="E207" s="15"/>
      <c r="F207" s="15"/>
      <c r="G207" s="15"/>
      <c r="H207" s="15"/>
      <c r="I207" s="15"/>
      <c r="J207" s="15"/>
      <c r="K207" s="15"/>
      <c r="L207" s="15"/>
      <c r="M207" s="15"/>
      <c r="N207" s="15"/>
      <c r="O207" s="15"/>
      <c r="P207" s="15"/>
      <c r="Q207" s="15"/>
      <c r="R207" s="15"/>
      <c r="S207" s="15"/>
      <c r="T207" s="15"/>
      <c r="U207" s="15"/>
      <c r="V207" s="15"/>
      <c r="W207" s="15"/>
      <c r="X207" s="15"/>
      <c r="Y207" s="15"/>
      <c r="Z207" s="15"/>
    </row>
    <row r="208" spans="1:26" ht="21" customHeight="1" x14ac:dyDescent="0.85">
      <c r="A208" s="15"/>
      <c r="B208" s="15"/>
      <c r="C208" s="15"/>
      <c r="D208" s="15"/>
      <c r="E208" s="15"/>
      <c r="F208" s="15"/>
      <c r="G208" s="15"/>
      <c r="H208" s="15"/>
      <c r="I208" s="15"/>
      <c r="J208" s="15"/>
      <c r="K208" s="15"/>
      <c r="L208" s="15"/>
      <c r="M208" s="15"/>
      <c r="N208" s="15"/>
      <c r="O208" s="15"/>
      <c r="P208" s="15"/>
      <c r="Q208" s="15"/>
      <c r="R208" s="15"/>
      <c r="S208" s="15"/>
      <c r="T208" s="15"/>
      <c r="U208" s="15"/>
      <c r="V208" s="15"/>
      <c r="W208" s="15"/>
      <c r="X208" s="15"/>
      <c r="Y208" s="15"/>
      <c r="Z208" s="15"/>
    </row>
    <row r="209" spans="1:26" ht="21" customHeight="1" x14ac:dyDescent="0.85">
      <c r="A209" s="15"/>
      <c r="B209" s="15"/>
      <c r="C209" s="15"/>
      <c r="D209" s="15"/>
      <c r="E209" s="15"/>
      <c r="F209" s="15"/>
      <c r="G209" s="15"/>
      <c r="H209" s="15"/>
      <c r="I209" s="15"/>
      <c r="J209" s="15"/>
      <c r="K209" s="15"/>
      <c r="L209" s="15"/>
      <c r="M209" s="15"/>
      <c r="N209" s="15"/>
      <c r="O209" s="15"/>
      <c r="P209" s="15"/>
      <c r="Q209" s="15"/>
      <c r="R209" s="15"/>
      <c r="S209" s="15"/>
      <c r="T209" s="15"/>
      <c r="U209" s="15"/>
      <c r="V209" s="15"/>
      <c r="W209" s="15"/>
      <c r="X209" s="15"/>
      <c r="Y209" s="15"/>
      <c r="Z209" s="15"/>
    </row>
    <row r="210" spans="1:26" ht="21" customHeight="1" x14ac:dyDescent="0.85">
      <c r="A210" s="15"/>
      <c r="B210" s="15"/>
      <c r="C210" s="15"/>
      <c r="D210" s="15"/>
      <c r="E210" s="15"/>
      <c r="F210" s="15"/>
      <c r="G210" s="15"/>
      <c r="H210" s="15"/>
      <c r="I210" s="15"/>
      <c r="J210" s="15"/>
      <c r="K210" s="15"/>
      <c r="L210" s="15"/>
      <c r="M210" s="15"/>
      <c r="N210" s="15"/>
      <c r="O210" s="15"/>
      <c r="P210" s="15"/>
      <c r="Q210" s="15"/>
      <c r="R210" s="15"/>
      <c r="S210" s="15"/>
      <c r="T210" s="15"/>
      <c r="U210" s="15"/>
      <c r="V210" s="15"/>
      <c r="W210" s="15"/>
      <c r="X210" s="15"/>
      <c r="Y210" s="15"/>
      <c r="Z210" s="15"/>
    </row>
    <row r="211" spans="1:26" ht="21" customHeight="1" x14ac:dyDescent="0.85">
      <c r="A211" s="15"/>
      <c r="B211" s="15"/>
      <c r="C211" s="15"/>
      <c r="D211" s="15"/>
      <c r="E211" s="15"/>
      <c r="F211" s="15"/>
      <c r="G211" s="15"/>
      <c r="H211" s="15"/>
      <c r="I211" s="15"/>
      <c r="J211" s="15"/>
      <c r="K211" s="15"/>
      <c r="L211" s="15"/>
      <c r="M211" s="15"/>
      <c r="N211" s="15"/>
      <c r="O211" s="15"/>
      <c r="P211" s="15"/>
      <c r="Q211" s="15"/>
      <c r="R211" s="15"/>
      <c r="S211" s="15"/>
      <c r="T211" s="15"/>
      <c r="U211" s="15"/>
      <c r="V211" s="15"/>
      <c r="W211" s="15"/>
      <c r="X211" s="15"/>
      <c r="Y211" s="15"/>
      <c r="Z211" s="15"/>
    </row>
    <row r="212" spans="1:26" ht="21" customHeight="1" x14ac:dyDescent="0.85">
      <c r="A212" s="15"/>
      <c r="B212" s="15"/>
      <c r="C212" s="15"/>
      <c r="D212" s="15"/>
      <c r="E212" s="15"/>
      <c r="F212" s="15"/>
      <c r="G212" s="15"/>
      <c r="H212" s="15"/>
      <c r="I212" s="15"/>
      <c r="J212" s="15"/>
      <c r="K212" s="15"/>
      <c r="L212" s="15"/>
      <c r="M212" s="15"/>
      <c r="N212" s="15"/>
      <c r="O212" s="15"/>
      <c r="P212" s="15"/>
      <c r="Q212" s="15"/>
      <c r="R212" s="15"/>
      <c r="S212" s="15"/>
      <c r="T212" s="15"/>
      <c r="U212" s="15"/>
      <c r="V212" s="15"/>
      <c r="W212" s="15"/>
      <c r="X212" s="15"/>
      <c r="Y212" s="15"/>
      <c r="Z212" s="15"/>
    </row>
    <row r="213" spans="1:26" ht="21" customHeight="1" x14ac:dyDescent="0.85">
      <c r="A213" s="15"/>
      <c r="B213" s="15"/>
      <c r="C213" s="15"/>
      <c r="D213" s="15"/>
      <c r="E213" s="15"/>
      <c r="F213" s="15"/>
      <c r="G213" s="15"/>
      <c r="H213" s="15"/>
      <c r="I213" s="15"/>
      <c r="J213" s="15"/>
      <c r="K213" s="15"/>
      <c r="L213" s="15"/>
      <c r="M213" s="15"/>
      <c r="N213" s="15"/>
      <c r="O213" s="15"/>
      <c r="P213" s="15"/>
      <c r="Q213" s="15"/>
      <c r="R213" s="15"/>
      <c r="S213" s="15"/>
      <c r="T213" s="15"/>
      <c r="U213" s="15"/>
      <c r="V213" s="15"/>
      <c r="W213" s="15"/>
      <c r="X213" s="15"/>
      <c r="Y213" s="15"/>
      <c r="Z213" s="15"/>
    </row>
    <row r="214" spans="1:26" ht="21" customHeight="1" x14ac:dyDescent="0.85">
      <c r="A214" s="15"/>
      <c r="B214" s="15"/>
      <c r="C214" s="15"/>
      <c r="D214" s="15"/>
      <c r="E214" s="15"/>
      <c r="F214" s="15"/>
      <c r="G214" s="15"/>
      <c r="H214" s="15"/>
      <c r="I214" s="15"/>
      <c r="J214" s="15"/>
      <c r="K214" s="15"/>
      <c r="L214" s="15"/>
      <c r="M214" s="15"/>
      <c r="N214" s="15"/>
      <c r="O214" s="15"/>
      <c r="P214" s="15"/>
      <c r="Q214" s="15"/>
      <c r="R214" s="15"/>
      <c r="S214" s="15"/>
      <c r="T214" s="15"/>
      <c r="U214" s="15"/>
      <c r="V214" s="15"/>
      <c r="W214" s="15"/>
      <c r="X214" s="15"/>
      <c r="Y214" s="15"/>
      <c r="Z214" s="15"/>
    </row>
    <row r="215" spans="1:26" ht="21" customHeight="1" x14ac:dyDescent="0.85">
      <c r="A215" s="15"/>
      <c r="B215" s="15"/>
      <c r="C215" s="15"/>
      <c r="D215" s="15"/>
      <c r="E215" s="15"/>
      <c r="F215" s="15"/>
      <c r="G215" s="15"/>
      <c r="H215" s="15"/>
      <c r="I215" s="15"/>
      <c r="J215" s="15"/>
      <c r="K215" s="15"/>
      <c r="L215" s="15"/>
      <c r="M215" s="15"/>
      <c r="N215" s="15"/>
      <c r="O215" s="15"/>
      <c r="P215" s="15"/>
      <c r="Q215" s="15"/>
      <c r="R215" s="15"/>
      <c r="S215" s="15"/>
      <c r="T215" s="15"/>
      <c r="U215" s="15"/>
      <c r="V215" s="15"/>
      <c r="W215" s="15"/>
      <c r="X215" s="15"/>
      <c r="Y215" s="15"/>
      <c r="Z215" s="15"/>
    </row>
    <row r="216" spans="1:26" ht="21" customHeight="1" x14ac:dyDescent="0.85">
      <c r="A216" s="15"/>
      <c r="B216" s="15"/>
      <c r="C216" s="15"/>
      <c r="D216" s="15"/>
      <c r="E216" s="15"/>
      <c r="F216" s="15"/>
      <c r="G216" s="15"/>
      <c r="H216" s="15"/>
      <c r="I216" s="15"/>
      <c r="J216" s="15"/>
      <c r="K216" s="15"/>
      <c r="L216" s="15"/>
      <c r="M216" s="15"/>
      <c r="N216" s="15"/>
      <c r="O216" s="15"/>
      <c r="P216" s="15"/>
      <c r="Q216" s="15"/>
      <c r="R216" s="15"/>
      <c r="S216" s="15"/>
      <c r="T216" s="15"/>
      <c r="U216" s="15"/>
      <c r="V216" s="15"/>
      <c r="W216" s="15"/>
      <c r="X216" s="15"/>
      <c r="Y216" s="15"/>
      <c r="Z216" s="15"/>
    </row>
    <row r="217" spans="1:26" ht="21" customHeight="1" x14ac:dyDescent="0.85">
      <c r="A217" s="15"/>
      <c r="B217" s="15"/>
      <c r="C217" s="15"/>
      <c r="D217" s="15"/>
      <c r="E217" s="15"/>
      <c r="F217" s="15"/>
      <c r="G217" s="15"/>
      <c r="H217" s="15"/>
      <c r="I217" s="15"/>
      <c r="J217" s="15"/>
      <c r="K217" s="15"/>
      <c r="L217" s="15"/>
      <c r="M217" s="15"/>
      <c r="N217" s="15"/>
      <c r="O217" s="15"/>
      <c r="P217" s="15"/>
      <c r="Q217" s="15"/>
      <c r="R217" s="15"/>
      <c r="S217" s="15"/>
      <c r="T217" s="15"/>
      <c r="U217" s="15"/>
      <c r="V217" s="15"/>
      <c r="W217" s="15"/>
      <c r="X217" s="15"/>
      <c r="Y217" s="15"/>
      <c r="Z217" s="15"/>
    </row>
    <row r="218" spans="1:26" ht="21" customHeight="1" x14ac:dyDescent="0.85">
      <c r="A218" s="15"/>
      <c r="B218" s="15"/>
      <c r="C218" s="15"/>
      <c r="D218" s="15"/>
      <c r="E218" s="15"/>
      <c r="F218" s="15"/>
      <c r="G218" s="15"/>
      <c r="H218" s="15"/>
      <c r="I218" s="15"/>
      <c r="J218" s="15"/>
      <c r="K218" s="15"/>
      <c r="L218" s="15"/>
      <c r="M218" s="15"/>
      <c r="N218" s="15"/>
      <c r="O218" s="15"/>
      <c r="P218" s="15"/>
      <c r="Q218" s="15"/>
      <c r="R218" s="15"/>
      <c r="S218" s="15"/>
      <c r="T218" s="15"/>
      <c r="U218" s="15"/>
      <c r="V218" s="15"/>
      <c r="W218" s="15"/>
      <c r="X218" s="15"/>
      <c r="Y218" s="15"/>
      <c r="Z218" s="15"/>
    </row>
    <row r="219" spans="1:26" ht="21" customHeight="1" x14ac:dyDescent="0.85">
      <c r="A219" s="15"/>
      <c r="B219" s="15"/>
      <c r="C219" s="15"/>
      <c r="D219" s="15"/>
      <c r="E219" s="15"/>
      <c r="F219" s="15"/>
      <c r="G219" s="15"/>
      <c r="H219" s="15"/>
      <c r="I219" s="15"/>
      <c r="J219" s="15"/>
      <c r="K219" s="15"/>
      <c r="L219" s="15"/>
      <c r="M219" s="15"/>
      <c r="N219" s="15"/>
      <c r="O219" s="15"/>
      <c r="P219" s="15"/>
      <c r="Q219" s="15"/>
      <c r="R219" s="15"/>
      <c r="S219" s="15"/>
      <c r="T219" s="15"/>
      <c r="U219" s="15"/>
      <c r="V219" s="15"/>
      <c r="W219" s="15"/>
      <c r="X219" s="15"/>
      <c r="Y219" s="15"/>
      <c r="Z219" s="15"/>
    </row>
    <row r="220" spans="1:26" ht="21" customHeight="1" x14ac:dyDescent="0.85">
      <c r="A220" s="15"/>
      <c r="B220" s="15"/>
      <c r="C220" s="15"/>
      <c r="D220" s="15"/>
      <c r="E220" s="15"/>
      <c r="F220" s="15"/>
      <c r="G220" s="15"/>
      <c r="H220" s="15"/>
      <c r="I220" s="15"/>
      <c r="J220" s="15"/>
      <c r="K220" s="15"/>
      <c r="L220" s="15"/>
      <c r="M220" s="15"/>
      <c r="N220" s="15"/>
      <c r="O220" s="15"/>
      <c r="P220" s="15"/>
      <c r="Q220" s="15"/>
      <c r="R220" s="15"/>
      <c r="S220" s="15"/>
      <c r="T220" s="15"/>
      <c r="U220" s="15"/>
      <c r="V220" s="15"/>
      <c r="W220" s="15"/>
      <c r="X220" s="15"/>
      <c r="Y220" s="15"/>
      <c r="Z220" s="15"/>
    </row>
    <row r="221" spans="1:26" ht="21" customHeight="1" x14ac:dyDescent="0.85">
      <c r="A221" s="15"/>
      <c r="B221" s="15"/>
      <c r="C221" s="15"/>
      <c r="D221" s="15"/>
      <c r="E221" s="15"/>
      <c r="F221" s="15"/>
      <c r="G221" s="15"/>
      <c r="H221" s="15"/>
      <c r="I221" s="15"/>
      <c r="J221" s="15"/>
      <c r="K221" s="15"/>
      <c r="L221" s="15"/>
      <c r="M221" s="15"/>
      <c r="N221" s="15"/>
      <c r="O221" s="15"/>
      <c r="P221" s="15"/>
      <c r="Q221" s="15"/>
      <c r="R221" s="15"/>
      <c r="S221" s="15"/>
      <c r="T221" s="15"/>
      <c r="U221" s="15"/>
      <c r="V221" s="15"/>
      <c r="W221" s="15"/>
      <c r="X221" s="15"/>
      <c r="Y221" s="15"/>
      <c r="Z221" s="15"/>
    </row>
    <row r="222" spans="1:26" ht="21" customHeight="1" x14ac:dyDescent="0.85">
      <c r="A222" s="15"/>
      <c r="B222" s="15"/>
      <c r="C222" s="15"/>
      <c r="D222" s="15"/>
      <c r="E222" s="15"/>
      <c r="F222" s="15"/>
      <c r="G222" s="15"/>
      <c r="H222" s="15"/>
      <c r="I222" s="15"/>
      <c r="J222" s="15"/>
      <c r="K222" s="15"/>
      <c r="L222" s="15"/>
      <c r="M222" s="15"/>
      <c r="N222" s="15"/>
      <c r="O222" s="15"/>
      <c r="P222" s="15"/>
      <c r="Q222" s="15"/>
      <c r="R222" s="15"/>
      <c r="S222" s="15"/>
      <c r="T222" s="15"/>
      <c r="U222" s="15"/>
      <c r="V222" s="15"/>
      <c r="W222" s="15"/>
      <c r="X222" s="15"/>
      <c r="Y222" s="15"/>
      <c r="Z222" s="15"/>
    </row>
    <row r="223" spans="1:26" ht="21" customHeight="1" x14ac:dyDescent="0.85">
      <c r="A223" s="15"/>
      <c r="B223" s="15"/>
      <c r="C223" s="15"/>
      <c r="D223" s="15"/>
      <c r="E223" s="15"/>
      <c r="F223" s="15"/>
      <c r="G223" s="15"/>
      <c r="H223" s="15"/>
      <c r="I223" s="15"/>
      <c r="J223" s="15"/>
      <c r="K223" s="15"/>
      <c r="L223" s="15"/>
      <c r="M223" s="15"/>
      <c r="N223" s="15"/>
      <c r="O223" s="15"/>
      <c r="P223" s="15"/>
      <c r="Q223" s="15"/>
      <c r="R223" s="15"/>
      <c r="S223" s="15"/>
      <c r="T223" s="15"/>
      <c r="U223" s="15"/>
      <c r="V223" s="15"/>
      <c r="W223" s="15"/>
      <c r="X223" s="15"/>
      <c r="Y223" s="15"/>
      <c r="Z223" s="15"/>
    </row>
    <row r="224" spans="1:26" ht="21" customHeight="1" x14ac:dyDescent="0.85">
      <c r="A224" s="15"/>
      <c r="B224" s="15"/>
      <c r="C224" s="15"/>
      <c r="D224" s="15"/>
      <c r="E224" s="15"/>
      <c r="F224" s="15"/>
      <c r="G224" s="15"/>
      <c r="H224" s="15"/>
      <c r="I224" s="15"/>
      <c r="J224" s="15"/>
      <c r="K224" s="15"/>
      <c r="L224" s="15"/>
      <c r="M224" s="15"/>
      <c r="N224" s="15"/>
      <c r="O224" s="15"/>
      <c r="P224" s="15"/>
      <c r="Q224" s="15"/>
      <c r="R224" s="15"/>
      <c r="S224" s="15"/>
      <c r="T224" s="15"/>
      <c r="U224" s="15"/>
      <c r="V224" s="15"/>
      <c r="W224" s="15"/>
      <c r="X224" s="15"/>
      <c r="Y224" s="15"/>
      <c r="Z224" s="15"/>
    </row>
    <row r="225" spans="1:26" ht="21" customHeight="1" x14ac:dyDescent="0.85">
      <c r="A225" s="15"/>
      <c r="B225" s="15"/>
      <c r="C225" s="15"/>
      <c r="D225" s="15"/>
      <c r="E225" s="15"/>
      <c r="F225" s="15"/>
      <c r="G225" s="15"/>
      <c r="H225" s="15"/>
      <c r="I225" s="15"/>
      <c r="J225" s="15"/>
      <c r="K225" s="15"/>
      <c r="L225" s="15"/>
      <c r="M225" s="15"/>
      <c r="N225" s="15"/>
      <c r="O225" s="15"/>
      <c r="P225" s="15"/>
      <c r="Q225" s="15"/>
      <c r="R225" s="15"/>
      <c r="S225" s="15"/>
      <c r="T225" s="15"/>
      <c r="U225" s="15"/>
      <c r="V225" s="15"/>
      <c r="W225" s="15"/>
      <c r="X225" s="15"/>
      <c r="Y225" s="15"/>
      <c r="Z225" s="15"/>
    </row>
    <row r="226" spans="1:26" ht="21" customHeight="1" x14ac:dyDescent="0.85">
      <c r="A226" s="15"/>
      <c r="B226" s="15"/>
      <c r="C226" s="15"/>
      <c r="D226" s="15"/>
      <c r="E226" s="15"/>
      <c r="F226" s="15"/>
      <c r="G226" s="15"/>
      <c r="H226" s="15"/>
      <c r="I226" s="15"/>
      <c r="J226" s="15"/>
      <c r="K226" s="15"/>
      <c r="L226" s="15"/>
      <c r="M226" s="15"/>
      <c r="N226" s="15"/>
      <c r="O226" s="15"/>
      <c r="P226" s="15"/>
      <c r="Q226" s="15"/>
      <c r="R226" s="15"/>
      <c r="S226" s="15"/>
      <c r="T226" s="15"/>
      <c r="U226" s="15"/>
      <c r="V226" s="15"/>
      <c r="W226" s="15"/>
      <c r="X226" s="15"/>
      <c r="Y226" s="15"/>
      <c r="Z226" s="15"/>
    </row>
    <row r="227" spans="1:26" ht="21" customHeight="1" x14ac:dyDescent="0.85">
      <c r="A227" s="15"/>
      <c r="B227" s="15"/>
      <c r="C227" s="15"/>
      <c r="D227" s="15"/>
      <c r="E227" s="15"/>
      <c r="F227" s="15"/>
      <c r="G227" s="15"/>
      <c r="H227" s="15"/>
      <c r="I227" s="15"/>
      <c r="J227" s="15"/>
      <c r="K227" s="15"/>
      <c r="L227" s="15"/>
      <c r="M227" s="15"/>
      <c r="N227" s="15"/>
      <c r="O227" s="15"/>
      <c r="P227" s="15"/>
      <c r="Q227" s="15"/>
      <c r="R227" s="15"/>
      <c r="S227" s="15"/>
      <c r="T227" s="15"/>
      <c r="U227" s="15"/>
      <c r="V227" s="15"/>
      <c r="W227" s="15"/>
      <c r="X227" s="15"/>
      <c r="Y227" s="15"/>
      <c r="Z227" s="15"/>
    </row>
    <row r="228" spans="1:26" ht="21" customHeight="1" x14ac:dyDescent="0.85">
      <c r="A228" s="15"/>
      <c r="B228" s="15"/>
      <c r="C228" s="15"/>
      <c r="D228" s="15"/>
      <c r="E228" s="15"/>
      <c r="F228" s="15"/>
      <c r="G228" s="15"/>
      <c r="H228" s="15"/>
      <c r="I228" s="15"/>
      <c r="J228" s="15"/>
      <c r="K228" s="15"/>
      <c r="L228" s="15"/>
      <c r="M228" s="15"/>
      <c r="N228" s="15"/>
      <c r="O228" s="15"/>
      <c r="P228" s="15"/>
      <c r="Q228" s="15"/>
      <c r="R228" s="15"/>
      <c r="S228" s="15"/>
      <c r="T228" s="15"/>
      <c r="U228" s="15"/>
      <c r="V228" s="15"/>
      <c r="W228" s="15"/>
      <c r="X228" s="15"/>
      <c r="Y228" s="15"/>
      <c r="Z228" s="15"/>
    </row>
    <row r="229" spans="1:26" ht="21" customHeight="1" x14ac:dyDescent="0.85">
      <c r="A229" s="15"/>
      <c r="B229" s="15"/>
      <c r="C229" s="15"/>
      <c r="D229" s="15"/>
      <c r="E229" s="15"/>
      <c r="F229" s="15"/>
      <c r="G229" s="15"/>
      <c r="H229" s="15"/>
      <c r="I229" s="15"/>
      <c r="J229" s="15"/>
      <c r="K229" s="15"/>
      <c r="L229" s="15"/>
      <c r="M229" s="15"/>
      <c r="N229" s="15"/>
      <c r="O229" s="15"/>
      <c r="P229" s="15"/>
      <c r="Q229" s="15"/>
      <c r="R229" s="15"/>
      <c r="S229" s="15"/>
      <c r="T229" s="15"/>
      <c r="U229" s="15"/>
      <c r="V229" s="15"/>
      <c r="W229" s="15"/>
      <c r="X229" s="15"/>
      <c r="Y229" s="15"/>
      <c r="Z229" s="15"/>
    </row>
    <row r="230" spans="1:26" ht="21" customHeight="1" x14ac:dyDescent="0.85">
      <c r="A230" s="15"/>
      <c r="B230" s="15"/>
      <c r="C230" s="15"/>
      <c r="D230" s="15"/>
      <c r="E230" s="15"/>
      <c r="F230" s="15"/>
      <c r="G230" s="15"/>
      <c r="H230" s="15"/>
      <c r="I230" s="15"/>
      <c r="J230" s="15"/>
      <c r="K230" s="15"/>
      <c r="L230" s="15"/>
      <c r="M230" s="15"/>
      <c r="N230" s="15"/>
      <c r="O230" s="15"/>
      <c r="P230" s="15"/>
      <c r="Q230" s="15"/>
      <c r="R230" s="15"/>
      <c r="S230" s="15"/>
      <c r="T230" s="15"/>
      <c r="U230" s="15"/>
      <c r="V230" s="15"/>
      <c r="W230" s="15"/>
      <c r="X230" s="15"/>
      <c r="Y230" s="15"/>
      <c r="Z230" s="15"/>
    </row>
    <row r="231" spans="1:26" ht="21" customHeight="1" x14ac:dyDescent="0.85">
      <c r="A231" s="15"/>
      <c r="B231" s="15"/>
      <c r="C231" s="15"/>
      <c r="D231" s="15"/>
      <c r="E231" s="15"/>
      <c r="F231" s="15"/>
      <c r="G231" s="15"/>
      <c r="H231" s="15"/>
      <c r="I231" s="15"/>
      <c r="J231" s="15"/>
      <c r="K231" s="15"/>
      <c r="L231" s="15"/>
      <c r="M231" s="15"/>
      <c r="N231" s="15"/>
      <c r="O231" s="15"/>
      <c r="P231" s="15"/>
      <c r="Q231" s="15"/>
      <c r="R231" s="15"/>
      <c r="S231" s="15"/>
      <c r="T231" s="15"/>
      <c r="U231" s="15"/>
      <c r="V231" s="15"/>
      <c r="W231" s="15"/>
      <c r="X231" s="15"/>
      <c r="Y231" s="15"/>
      <c r="Z231" s="15"/>
    </row>
    <row r="232" spans="1:26" ht="21" customHeight="1" x14ac:dyDescent="0.85">
      <c r="A232" s="15"/>
      <c r="B232" s="15"/>
      <c r="C232" s="15"/>
      <c r="D232" s="15"/>
      <c r="E232" s="15"/>
      <c r="F232" s="15"/>
      <c r="G232" s="15"/>
      <c r="H232" s="15"/>
      <c r="I232" s="15"/>
      <c r="J232" s="15"/>
      <c r="K232" s="15"/>
      <c r="L232" s="15"/>
      <c r="M232" s="15"/>
      <c r="N232" s="15"/>
      <c r="O232" s="15"/>
      <c r="P232" s="15"/>
      <c r="Q232" s="15"/>
      <c r="R232" s="15"/>
      <c r="S232" s="15"/>
      <c r="T232" s="15"/>
      <c r="U232" s="15"/>
      <c r="V232" s="15"/>
      <c r="W232" s="15"/>
      <c r="X232" s="15"/>
      <c r="Y232" s="15"/>
      <c r="Z232" s="15"/>
    </row>
    <row r="233" spans="1:26" ht="21" customHeight="1" x14ac:dyDescent="0.85">
      <c r="A233" s="15"/>
      <c r="B233" s="15"/>
      <c r="C233" s="15"/>
      <c r="D233" s="15"/>
      <c r="E233" s="15"/>
      <c r="F233" s="15"/>
      <c r="G233" s="15"/>
      <c r="H233" s="15"/>
      <c r="I233" s="15"/>
      <c r="J233" s="15"/>
      <c r="K233" s="15"/>
      <c r="L233" s="15"/>
      <c r="M233" s="15"/>
      <c r="N233" s="15"/>
      <c r="O233" s="15"/>
      <c r="P233" s="15"/>
      <c r="Q233" s="15"/>
      <c r="R233" s="15"/>
      <c r="S233" s="15"/>
      <c r="T233" s="15"/>
      <c r="U233" s="15"/>
      <c r="V233" s="15"/>
      <c r="W233" s="15"/>
      <c r="X233" s="15"/>
      <c r="Y233" s="15"/>
      <c r="Z233" s="15"/>
    </row>
    <row r="234" spans="1:26" ht="21" customHeight="1" x14ac:dyDescent="0.85">
      <c r="A234" s="15"/>
      <c r="B234" s="15"/>
      <c r="C234" s="15"/>
      <c r="D234" s="15"/>
      <c r="E234" s="15"/>
      <c r="F234" s="15"/>
      <c r="G234" s="15"/>
      <c r="H234" s="15"/>
      <c r="I234" s="15"/>
      <c r="J234" s="15"/>
      <c r="K234" s="15"/>
      <c r="L234" s="15"/>
      <c r="M234" s="15"/>
      <c r="N234" s="15"/>
      <c r="O234" s="15"/>
      <c r="P234" s="15"/>
      <c r="Q234" s="15"/>
      <c r="R234" s="15"/>
      <c r="S234" s="15"/>
      <c r="T234" s="15"/>
      <c r="U234" s="15"/>
      <c r="V234" s="15"/>
      <c r="W234" s="15"/>
      <c r="X234" s="15"/>
      <c r="Y234" s="15"/>
      <c r="Z234" s="15"/>
    </row>
    <row r="235" spans="1:26" ht="21" customHeight="1" x14ac:dyDescent="0.85">
      <c r="A235" s="15"/>
      <c r="B235" s="15"/>
      <c r="C235" s="15"/>
      <c r="D235" s="15"/>
      <c r="E235" s="15"/>
      <c r="F235" s="15"/>
      <c r="G235" s="15"/>
      <c r="H235" s="15"/>
      <c r="I235" s="15"/>
      <c r="J235" s="15"/>
      <c r="K235" s="15"/>
      <c r="L235" s="15"/>
      <c r="M235" s="15"/>
      <c r="N235" s="15"/>
      <c r="O235" s="15"/>
      <c r="P235" s="15"/>
      <c r="Q235" s="15"/>
      <c r="R235" s="15"/>
      <c r="S235" s="15"/>
      <c r="T235" s="15"/>
      <c r="U235" s="15"/>
      <c r="V235" s="15"/>
      <c r="W235" s="15"/>
      <c r="X235" s="15"/>
      <c r="Y235" s="15"/>
      <c r="Z235" s="15"/>
    </row>
    <row r="236" spans="1:26" ht="21" customHeight="1" x14ac:dyDescent="0.85">
      <c r="A236" s="15"/>
      <c r="B236" s="15"/>
      <c r="C236" s="15"/>
      <c r="D236" s="15"/>
      <c r="E236" s="15"/>
      <c r="F236" s="15"/>
      <c r="G236" s="15"/>
      <c r="H236" s="15"/>
      <c r="I236" s="15"/>
      <c r="J236" s="15"/>
      <c r="K236" s="15"/>
      <c r="L236" s="15"/>
      <c r="M236" s="15"/>
      <c r="N236" s="15"/>
      <c r="O236" s="15"/>
      <c r="P236" s="15"/>
      <c r="Q236" s="15"/>
      <c r="R236" s="15"/>
      <c r="S236" s="15"/>
      <c r="T236" s="15"/>
      <c r="U236" s="15"/>
      <c r="V236" s="15"/>
      <c r="W236" s="15"/>
      <c r="X236" s="15"/>
      <c r="Y236" s="15"/>
      <c r="Z236" s="15"/>
    </row>
    <row r="237" spans="1:26" ht="21" customHeight="1" x14ac:dyDescent="0.85">
      <c r="A237" s="15"/>
      <c r="B237" s="15"/>
      <c r="C237" s="15"/>
      <c r="D237" s="15"/>
      <c r="E237" s="15"/>
      <c r="F237" s="15"/>
      <c r="G237" s="15"/>
      <c r="H237" s="15"/>
      <c r="I237" s="15"/>
      <c r="J237" s="15"/>
      <c r="K237" s="15"/>
      <c r="L237" s="15"/>
      <c r="M237" s="15"/>
      <c r="N237" s="15"/>
      <c r="O237" s="15"/>
      <c r="P237" s="15"/>
      <c r="Q237" s="15"/>
      <c r="R237" s="15"/>
      <c r="S237" s="15"/>
      <c r="T237" s="15"/>
      <c r="U237" s="15"/>
      <c r="V237" s="15"/>
      <c r="W237" s="15"/>
      <c r="X237" s="15"/>
      <c r="Y237" s="15"/>
      <c r="Z237" s="15"/>
    </row>
    <row r="238" spans="1:26" ht="21" customHeight="1" x14ac:dyDescent="0.85">
      <c r="A238" s="15"/>
      <c r="B238" s="15"/>
      <c r="C238" s="15"/>
      <c r="D238" s="15"/>
      <c r="E238" s="15"/>
      <c r="F238" s="15"/>
      <c r="G238" s="15"/>
      <c r="H238" s="15"/>
      <c r="I238" s="15"/>
      <c r="J238" s="15"/>
      <c r="K238" s="15"/>
      <c r="L238" s="15"/>
      <c r="M238" s="15"/>
      <c r="N238" s="15"/>
      <c r="O238" s="15"/>
      <c r="P238" s="15"/>
      <c r="Q238" s="15"/>
      <c r="R238" s="15"/>
      <c r="S238" s="15"/>
      <c r="T238" s="15"/>
      <c r="U238" s="15"/>
      <c r="V238" s="15"/>
      <c r="W238" s="15"/>
      <c r="X238" s="15"/>
      <c r="Y238" s="15"/>
      <c r="Z238" s="15"/>
    </row>
    <row r="239" spans="1:26" ht="21" customHeight="1" x14ac:dyDescent="0.85">
      <c r="A239" s="15"/>
      <c r="B239" s="15"/>
      <c r="C239" s="15"/>
      <c r="D239" s="15"/>
      <c r="E239" s="15"/>
      <c r="F239" s="15"/>
      <c r="G239" s="15"/>
      <c r="H239" s="15"/>
      <c r="I239" s="15"/>
      <c r="J239" s="15"/>
      <c r="K239" s="15"/>
      <c r="L239" s="15"/>
      <c r="M239" s="15"/>
      <c r="N239" s="15"/>
      <c r="O239" s="15"/>
      <c r="P239" s="15"/>
      <c r="Q239" s="15"/>
      <c r="R239" s="15"/>
      <c r="S239" s="15"/>
      <c r="T239" s="15"/>
      <c r="U239" s="15"/>
      <c r="V239" s="15"/>
      <c r="W239" s="15"/>
      <c r="X239" s="15"/>
      <c r="Y239" s="15"/>
      <c r="Z239" s="15"/>
    </row>
    <row r="240" spans="1:26" ht="21" customHeight="1" x14ac:dyDescent="0.85">
      <c r="A240" s="15"/>
      <c r="B240" s="15"/>
      <c r="C240" s="15"/>
      <c r="D240" s="15"/>
      <c r="E240" s="15"/>
      <c r="F240" s="15"/>
      <c r="G240" s="15"/>
      <c r="H240" s="15"/>
      <c r="I240" s="15"/>
      <c r="J240" s="15"/>
      <c r="K240" s="15"/>
      <c r="L240" s="15"/>
      <c r="M240" s="15"/>
      <c r="N240" s="15"/>
      <c r="O240" s="15"/>
      <c r="P240" s="15"/>
      <c r="Q240" s="15"/>
      <c r="R240" s="15"/>
      <c r="S240" s="15"/>
      <c r="T240" s="15"/>
      <c r="U240" s="15"/>
      <c r="V240" s="15"/>
      <c r="W240" s="15"/>
      <c r="X240" s="15"/>
      <c r="Y240" s="15"/>
      <c r="Z240" s="15"/>
    </row>
    <row r="241" spans="1:26" ht="21" customHeight="1" x14ac:dyDescent="0.85">
      <c r="A241" s="15"/>
      <c r="B241" s="15"/>
      <c r="C241" s="15"/>
      <c r="D241" s="15"/>
      <c r="E241" s="15"/>
      <c r="F241" s="15"/>
      <c r="G241" s="15"/>
      <c r="H241" s="15"/>
      <c r="I241" s="15"/>
      <c r="J241" s="15"/>
      <c r="K241" s="15"/>
      <c r="L241" s="15"/>
      <c r="M241" s="15"/>
      <c r="N241" s="15"/>
      <c r="O241" s="15"/>
      <c r="P241" s="15"/>
      <c r="Q241" s="15"/>
      <c r="R241" s="15"/>
      <c r="S241" s="15"/>
      <c r="T241" s="15"/>
      <c r="U241" s="15"/>
      <c r="V241" s="15"/>
      <c r="W241" s="15"/>
      <c r="X241" s="15"/>
      <c r="Y241" s="15"/>
      <c r="Z241" s="15"/>
    </row>
    <row r="242" spans="1:26" ht="21" customHeight="1" x14ac:dyDescent="0.85">
      <c r="A242" s="15"/>
      <c r="B242" s="15"/>
      <c r="C242" s="15"/>
      <c r="D242" s="15"/>
      <c r="E242" s="15"/>
      <c r="F242" s="15"/>
      <c r="G242" s="15"/>
      <c r="H242" s="15"/>
      <c r="I242" s="15"/>
      <c r="J242" s="15"/>
      <c r="K242" s="15"/>
      <c r="L242" s="15"/>
      <c r="M242" s="15"/>
      <c r="N242" s="15"/>
      <c r="O242" s="15"/>
      <c r="P242" s="15"/>
      <c r="Q242" s="15"/>
      <c r="R242" s="15"/>
      <c r="S242" s="15"/>
      <c r="T242" s="15"/>
      <c r="U242" s="15"/>
      <c r="V242" s="15"/>
      <c r="W242" s="15"/>
      <c r="X242" s="15"/>
      <c r="Y242" s="15"/>
      <c r="Z242" s="15"/>
    </row>
    <row r="243" spans="1:26" ht="21" customHeight="1" x14ac:dyDescent="0.85">
      <c r="A243" s="15"/>
      <c r="B243" s="15"/>
      <c r="C243" s="15"/>
      <c r="D243" s="15"/>
      <c r="E243" s="15"/>
      <c r="F243" s="15"/>
      <c r="G243" s="15"/>
      <c r="H243" s="15"/>
      <c r="I243" s="15"/>
      <c r="J243" s="15"/>
      <c r="K243" s="15"/>
      <c r="L243" s="15"/>
      <c r="M243" s="15"/>
      <c r="N243" s="15"/>
      <c r="O243" s="15"/>
      <c r="P243" s="15"/>
      <c r="Q243" s="15"/>
      <c r="R243" s="15"/>
      <c r="S243" s="15"/>
      <c r="T243" s="15"/>
      <c r="U243" s="15"/>
      <c r="V243" s="15"/>
      <c r="W243" s="15"/>
      <c r="X243" s="15"/>
      <c r="Y243" s="15"/>
      <c r="Z243" s="15"/>
    </row>
    <row r="244" spans="1:26" ht="21" customHeight="1" x14ac:dyDescent="0.85">
      <c r="A244" s="15"/>
      <c r="B244" s="15"/>
      <c r="C244" s="15"/>
      <c r="D244" s="15"/>
      <c r="E244" s="15"/>
      <c r="F244" s="15"/>
      <c r="G244" s="15"/>
      <c r="H244" s="15"/>
      <c r="I244" s="15"/>
      <c r="J244" s="15"/>
      <c r="K244" s="15"/>
      <c r="L244" s="15"/>
      <c r="M244" s="15"/>
      <c r="N244" s="15"/>
      <c r="O244" s="15"/>
      <c r="P244" s="15"/>
      <c r="Q244" s="15"/>
      <c r="R244" s="15"/>
      <c r="S244" s="15"/>
      <c r="T244" s="15"/>
      <c r="U244" s="15"/>
      <c r="V244" s="15"/>
      <c r="W244" s="15"/>
      <c r="X244" s="15"/>
      <c r="Y244" s="15"/>
      <c r="Z244" s="15"/>
    </row>
    <row r="245" spans="1:26" ht="21" customHeight="1" x14ac:dyDescent="0.85">
      <c r="A245" s="15"/>
      <c r="B245" s="15"/>
      <c r="C245" s="15"/>
      <c r="D245" s="15"/>
      <c r="E245" s="15"/>
      <c r="F245" s="15"/>
      <c r="G245" s="15"/>
      <c r="H245" s="15"/>
      <c r="I245" s="15"/>
      <c r="J245" s="15"/>
      <c r="K245" s="15"/>
      <c r="L245" s="15"/>
      <c r="M245" s="15"/>
      <c r="N245" s="15"/>
      <c r="O245" s="15"/>
      <c r="P245" s="15"/>
      <c r="Q245" s="15"/>
      <c r="R245" s="15"/>
      <c r="S245" s="15"/>
      <c r="T245" s="15"/>
      <c r="U245" s="15"/>
      <c r="V245" s="15"/>
      <c r="W245" s="15"/>
      <c r="X245" s="15"/>
      <c r="Y245" s="15"/>
      <c r="Z245" s="15"/>
    </row>
    <row r="246" spans="1:26" ht="21" customHeight="1" x14ac:dyDescent="0.85">
      <c r="A246" s="15"/>
      <c r="B246" s="15"/>
      <c r="C246" s="15"/>
      <c r="D246" s="15"/>
      <c r="E246" s="15"/>
      <c r="F246" s="15"/>
      <c r="G246" s="15"/>
      <c r="H246" s="15"/>
      <c r="I246" s="15"/>
      <c r="J246" s="15"/>
      <c r="K246" s="15"/>
      <c r="L246" s="15"/>
      <c r="M246" s="15"/>
      <c r="N246" s="15"/>
      <c r="O246" s="15"/>
      <c r="P246" s="15"/>
      <c r="Q246" s="15"/>
      <c r="R246" s="15"/>
      <c r="S246" s="15"/>
      <c r="T246" s="15"/>
      <c r="U246" s="15"/>
      <c r="V246" s="15"/>
      <c r="W246" s="15"/>
      <c r="X246" s="15"/>
      <c r="Y246" s="15"/>
      <c r="Z246" s="15"/>
    </row>
    <row r="247" spans="1:26" ht="21" customHeight="1" x14ac:dyDescent="0.85">
      <c r="A247" s="15"/>
      <c r="B247" s="15"/>
      <c r="C247" s="15"/>
      <c r="D247" s="15"/>
      <c r="E247" s="15"/>
      <c r="F247" s="15"/>
      <c r="G247" s="15"/>
      <c r="H247" s="15"/>
      <c r="I247" s="15"/>
      <c r="J247" s="15"/>
      <c r="K247" s="15"/>
      <c r="L247" s="15"/>
      <c r="M247" s="15"/>
      <c r="N247" s="15"/>
      <c r="O247" s="15"/>
      <c r="P247" s="15"/>
      <c r="Q247" s="15"/>
      <c r="R247" s="15"/>
      <c r="S247" s="15"/>
      <c r="T247" s="15"/>
      <c r="U247" s="15"/>
      <c r="V247" s="15"/>
      <c r="W247" s="15"/>
      <c r="X247" s="15"/>
      <c r="Y247" s="15"/>
      <c r="Z247" s="15"/>
    </row>
    <row r="248" spans="1:26" ht="21" customHeight="1" x14ac:dyDescent="0.85">
      <c r="A248" s="15"/>
      <c r="B248" s="15"/>
      <c r="C248" s="15"/>
      <c r="D248" s="15"/>
      <c r="E248" s="15"/>
      <c r="F248" s="15"/>
      <c r="G248" s="15"/>
      <c r="H248" s="15"/>
      <c r="I248" s="15"/>
      <c r="J248" s="15"/>
      <c r="K248" s="15"/>
      <c r="L248" s="15"/>
      <c r="M248" s="15"/>
      <c r="N248" s="15"/>
      <c r="O248" s="15"/>
      <c r="P248" s="15"/>
      <c r="Q248" s="15"/>
      <c r="R248" s="15"/>
      <c r="S248" s="15"/>
      <c r="T248" s="15"/>
      <c r="U248" s="15"/>
      <c r="V248" s="15"/>
      <c r="W248" s="15"/>
      <c r="X248" s="15"/>
      <c r="Y248" s="15"/>
      <c r="Z248" s="15"/>
    </row>
    <row r="249" spans="1:26" ht="21" customHeight="1" x14ac:dyDescent="0.85">
      <c r="A249" s="15"/>
      <c r="B249" s="15"/>
      <c r="C249" s="15"/>
      <c r="D249" s="15"/>
      <c r="E249" s="15"/>
      <c r="F249" s="15"/>
      <c r="G249" s="15"/>
      <c r="H249" s="15"/>
      <c r="I249" s="15"/>
      <c r="J249" s="15"/>
      <c r="K249" s="15"/>
      <c r="L249" s="15"/>
      <c r="M249" s="15"/>
      <c r="N249" s="15"/>
      <c r="O249" s="15"/>
      <c r="P249" s="15"/>
      <c r="Q249" s="15"/>
      <c r="R249" s="15"/>
      <c r="S249" s="15"/>
      <c r="T249" s="15"/>
      <c r="U249" s="15"/>
      <c r="V249" s="15"/>
      <c r="W249" s="15"/>
      <c r="X249" s="15"/>
      <c r="Y249" s="15"/>
      <c r="Z249" s="15"/>
    </row>
    <row r="250" spans="1:26" ht="21" customHeight="1" x14ac:dyDescent="0.85">
      <c r="A250" s="15"/>
      <c r="B250" s="15"/>
      <c r="C250" s="15"/>
      <c r="D250" s="15"/>
      <c r="E250" s="15"/>
      <c r="F250" s="15"/>
      <c r="G250" s="15"/>
      <c r="H250" s="15"/>
      <c r="I250" s="15"/>
      <c r="J250" s="15"/>
      <c r="K250" s="15"/>
      <c r="L250" s="15"/>
      <c r="M250" s="15"/>
      <c r="N250" s="15"/>
      <c r="O250" s="15"/>
      <c r="P250" s="15"/>
      <c r="Q250" s="15"/>
      <c r="R250" s="15"/>
      <c r="S250" s="15"/>
      <c r="T250" s="15"/>
      <c r="U250" s="15"/>
      <c r="V250" s="15"/>
      <c r="W250" s="15"/>
      <c r="X250" s="15"/>
      <c r="Y250" s="15"/>
      <c r="Z250" s="15"/>
    </row>
    <row r="251" spans="1:26" ht="21" customHeight="1" x14ac:dyDescent="0.85">
      <c r="A251" s="15"/>
      <c r="B251" s="15"/>
      <c r="C251" s="15"/>
      <c r="D251" s="15"/>
      <c r="E251" s="15"/>
      <c r="F251" s="15"/>
      <c r="G251" s="15"/>
      <c r="H251" s="15"/>
      <c r="I251" s="15"/>
      <c r="J251" s="15"/>
      <c r="K251" s="15"/>
      <c r="L251" s="15"/>
      <c r="M251" s="15"/>
      <c r="N251" s="15"/>
      <c r="O251" s="15"/>
      <c r="P251" s="15"/>
      <c r="Q251" s="15"/>
      <c r="R251" s="15"/>
      <c r="S251" s="15"/>
      <c r="T251" s="15"/>
      <c r="U251" s="15"/>
      <c r="V251" s="15"/>
      <c r="W251" s="15"/>
      <c r="X251" s="15"/>
      <c r="Y251" s="15"/>
      <c r="Z251" s="15"/>
    </row>
    <row r="252" spans="1:26" ht="21" customHeight="1" x14ac:dyDescent="0.85">
      <c r="A252" s="15"/>
      <c r="B252" s="15"/>
      <c r="C252" s="15"/>
      <c r="D252" s="15"/>
      <c r="E252" s="15"/>
      <c r="F252" s="15"/>
      <c r="G252" s="15"/>
      <c r="H252" s="15"/>
      <c r="I252" s="15"/>
      <c r="J252" s="15"/>
      <c r="K252" s="15"/>
      <c r="L252" s="15"/>
      <c r="M252" s="15"/>
      <c r="N252" s="15"/>
      <c r="O252" s="15"/>
      <c r="P252" s="15"/>
      <c r="Q252" s="15"/>
      <c r="R252" s="15"/>
      <c r="S252" s="15"/>
      <c r="T252" s="15"/>
      <c r="U252" s="15"/>
      <c r="V252" s="15"/>
      <c r="W252" s="15"/>
      <c r="X252" s="15"/>
      <c r="Y252" s="15"/>
      <c r="Z252" s="15"/>
    </row>
    <row r="253" spans="1:26" ht="21" customHeight="1" x14ac:dyDescent="0.85">
      <c r="A253" s="15"/>
      <c r="B253" s="15"/>
      <c r="C253" s="15"/>
      <c r="D253" s="15"/>
      <c r="E253" s="15"/>
      <c r="F253" s="15"/>
      <c r="G253" s="15"/>
      <c r="H253" s="15"/>
      <c r="I253" s="15"/>
      <c r="J253" s="15"/>
      <c r="K253" s="15"/>
      <c r="L253" s="15"/>
      <c r="M253" s="15"/>
      <c r="N253" s="15"/>
      <c r="O253" s="15"/>
      <c r="P253" s="15"/>
      <c r="Q253" s="15"/>
      <c r="R253" s="15"/>
      <c r="S253" s="15"/>
      <c r="T253" s="15"/>
      <c r="U253" s="15"/>
      <c r="V253" s="15"/>
      <c r="W253" s="15"/>
      <c r="X253" s="15"/>
      <c r="Y253" s="15"/>
      <c r="Z253" s="15"/>
    </row>
    <row r="254" spans="1:26" ht="21" customHeight="1" x14ac:dyDescent="0.85">
      <c r="A254" s="15"/>
      <c r="B254" s="15"/>
      <c r="C254" s="15"/>
      <c r="D254" s="15"/>
      <c r="E254" s="15"/>
      <c r="F254" s="15"/>
      <c r="G254" s="15"/>
      <c r="H254" s="15"/>
      <c r="I254" s="15"/>
      <c r="J254" s="15"/>
      <c r="K254" s="15"/>
      <c r="L254" s="15"/>
      <c r="M254" s="15"/>
      <c r="N254" s="15"/>
      <c r="O254" s="15"/>
      <c r="P254" s="15"/>
      <c r="Q254" s="15"/>
      <c r="R254" s="15"/>
      <c r="S254" s="15"/>
      <c r="T254" s="15"/>
      <c r="U254" s="15"/>
      <c r="V254" s="15"/>
      <c r="W254" s="15"/>
      <c r="X254" s="15"/>
      <c r="Y254" s="15"/>
      <c r="Z254" s="15"/>
    </row>
    <row r="255" spans="1:26" ht="21" customHeight="1" x14ac:dyDescent="0.85">
      <c r="A255" s="15"/>
      <c r="B255" s="15"/>
      <c r="C255" s="15"/>
      <c r="D255" s="15"/>
      <c r="E255" s="15"/>
      <c r="F255" s="15"/>
      <c r="G255" s="15"/>
      <c r="H255" s="15"/>
      <c r="I255" s="15"/>
      <c r="J255" s="15"/>
      <c r="K255" s="15"/>
      <c r="L255" s="15"/>
      <c r="M255" s="15"/>
      <c r="N255" s="15"/>
      <c r="O255" s="15"/>
      <c r="P255" s="15"/>
      <c r="Q255" s="15"/>
      <c r="R255" s="15"/>
      <c r="S255" s="15"/>
      <c r="T255" s="15"/>
      <c r="U255" s="15"/>
      <c r="V255" s="15"/>
      <c r="W255" s="15"/>
      <c r="X255" s="15"/>
      <c r="Y255" s="15"/>
      <c r="Z255" s="15"/>
    </row>
    <row r="256" spans="1:26" ht="21" customHeight="1" x14ac:dyDescent="0.85">
      <c r="A256" s="15"/>
      <c r="B256" s="15"/>
      <c r="C256" s="15"/>
      <c r="D256" s="15"/>
      <c r="E256" s="15"/>
      <c r="F256" s="15"/>
      <c r="G256" s="15"/>
      <c r="H256" s="15"/>
      <c r="I256" s="15"/>
      <c r="J256" s="15"/>
      <c r="K256" s="15"/>
      <c r="L256" s="15"/>
      <c r="M256" s="15"/>
      <c r="N256" s="15"/>
      <c r="O256" s="15"/>
      <c r="P256" s="15"/>
      <c r="Q256" s="15"/>
      <c r="R256" s="15"/>
      <c r="S256" s="15"/>
      <c r="T256" s="15"/>
      <c r="U256" s="15"/>
      <c r="V256" s="15"/>
      <c r="W256" s="15"/>
      <c r="X256" s="15"/>
      <c r="Y256" s="15"/>
      <c r="Z256" s="15"/>
    </row>
    <row r="257" spans="1:26" ht="21" customHeight="1" x14ac:dyDescent="0.85">
      <c r="A257" s="15"/>
      <c r="B257" s="15"/>
      <c r="C257" s="15"/>
      <c r="D257" s="15"/>
      <c r="E257" s="15"/>
      <c r="F257" s="15"/>
      <c r="G257" s="15"/>
      <c r="H257" s="15"/>
      <c r="I257" s="15"/>
      <c r="J257" s="15"/>
      <c r="K257" s="15"/>
      <c r="L257" s="15"/>
      <c r="M257" s="15"/>
      <c r="N257" s="15"/>
      <c r="O257" s="15"/>
      <c r="P257" s="15"/>
      <c r="Q257" s="15"/>
      <c r="R257" s="15"/>
      <c r="S257" s="15"/>
      <c r="T257" s="15"/>
      <c r="U257" s="15"/>
      <c r="V257" s="15"/>
      <c r="W257" s="15"/>
      <c r="X257" s="15"/>
      <c r="Y257" s="15"/>
      <c r="Z257" s="15"/>
    </row>
    <row r="258" spans="1:26" ht="21" customHeight="1" x14ac:dyDescent="0.85">
      <c r="A258" s="15"/>
      <c r="B258" s="15"/>
      <c r="C258" s="15"/>
      <c r="D258" s="15"/>
      <c r="E258" s="15"/>
      <c r="F258" s="15"/>
      <c r="G258" s="15"/>
      <c r="H258" s="15"/>
      <c r="I258" s="15"/>
      <c r="J258" s="15"/>
      <c r="K258" s="15"/>
      <c r="L258" s="15"/>
      <c r="M258" s="15"/>
      <c r="N258" s="15"/>
      <c r="O258" s="15"/>
      <c r="P258" s="15"/>
      <c r="Q258" s="15"/>
      <c r="R258" s="15"/>
      <c r="S258" s="15"/>
      <c r="T258" s="15"/>
      <c r="U258" s="15"/>
      <c r="V258" s="15"/>
      <c r="W258" s="15"/>
      <c r="X258" s="15"/>
      <c r="Y258" s="15"/>
      <c r="Z258" s="15"/>
    </row>
    <row r="259" spans="1:26" ht="21" customHeight="1" x14ac:dyDescent="0.85">
      <c r="A259" s="15"/>
      <c r="B259" s="15"/>
      <c r="C259" s="15"/>
      <c r="D259" s="15"/>
      <c r="E259" s="15"/>
      <c r="F259" s="15"/>
      <c r="G259" s="15"/>
      <c r="H259" s="15"/>
      <c r="I259" s="15"/>
      <c r="J259" s="15"/>
      <c r="K259" s="15"/>
      <c r="L259" s="15"/>
      <c r="M259" s="15"/>
      <c r="N259" s="15"/>
      <c r="O259" s="15"/>
      <c r="P259" s="15"/>
      <c r="Q259" s="15"/>
      <c r="R259" s="15"/>
      <c r="S259" s="15"/>
      <c r="T259" s="15"/>
      <c r="U259" s="15"/>
      <c r="V259" s="15"/>
      <c r="W259" s="15"/>
      <c r="X259" s="15"/>
      <c r="Y259" s="15"/>
      <c r="Z259" s="15"/>
    </row>
    <row r="260" spans="1:26" ht="21" customHeight="1" x14ac:dyDescent="0.85">
      <c r="A260" s="15"/>
      <c r="B260" s="15"/>
      <c r="C260" s="15"/>
      <c r="D260" s="15"/>
      <c r="E260" s="15"/>
      <c r="F260" s="15"/>
      <c r="G260" s="15"/>
      <c r="H260" s="15"/>
      <c r="I260" s="15"/>
      <c r="J260" s="15"/>
      <c r="K260" s="15"/>
      <c r="L260" s="15"/>
      <c r="M260" s="15"/>
      <c r="N260" s="15"/>
      <c r="O260" s="15"/>
      <c r="P260" s="15"/>
      <c r="Q260" s="15"/>
      <c r="R260" s="15"/>
      <c r="S260" s="15"/>
      <c r="T260" s="15"/>
      <c r="U260" s="15"/>
      <c r="V260" s="15"/>
      <c r="W260" s="15"/>
      <c r="X260" s="15"/>
      <c r="Y260" s="15"/>
      <c r="Z260" s="15"/>
    </row>
    <row r="261" spans="1:26" ht="21" customHeight="1" x14ac:dyDescent="0.85">
      <c r="A261" s="15"/>
      <c r="B261" s="15"/>
      <c r="C261" s="15"/>
      <c r="D261" s="15"/>
      <c r="E261" s="15"/>
      <c r="F261" s="15"/>
      <c r="G261" s="15"/>
      <c r="H261" s="15"/>
      <c r="I261" s="15"/>
      <c r="J261" s="15"/>
      <c r="K261" s="15"/>
      <c r="L261" s="15"/>
      <c r="M261" s="15"/>
      <c r="N261" s="15"/>
      <c r="O261" s="15"/>
      <c r="P261" s="15"/>
      <c r="Q261" s="15"/>
      <c r="R261" s="15"/>
      <c r="S261" s="15"/>
      <c r="T261" s="15"/>
      <c r="U261" s="15"/>
      <c r="V261" s="15"/>
      <c r="W261" s="15"/>
      <c r="X261" s="15"/>
      <c r="Y261" s="15"/>
      <c r="Z261" s="15"/>
    </row>
    <row r="262" spans="1:26" ht="21" customHeight="1" x14ac:dyDescent="0.85">
      <c r="A262" s="15"/>
      <c r="B262" s="15"/>
      <c r="C262" s="15"/>
      <c r="D262" s="15"/>
      <c r="E262" s="15"/>
      <c r="F262" s="15"/>
      <c r="G262" s="15"/>
      <c r="H262" s="15"/>
      <c r="I262" s="15"/>
      <c r="J262" s="15"/>
      <c r="K262" s="15"/>
      <c r="L262" s="15"/>
      <c r="M262" s="15"/>
      <c r="N262" s="15"/>
      <c r="O262" s="15"/>
      <c r="P262" s="15"/>
      <c r="Q262" s="15"/>
      <c r="R262" s="15"/>
      <c r="S262" s="15"/>
      <c r="T262" s="15"/>
      <c r="U262" s="15"/>
      <c r="V262" s="15"/>
      <c r="W262" s="15"/>
      <c r="X262" s="15"/>
      <c r="Y262" s="15"/>
      <c r="Z262" s="15"/>
    </row>
    <row r="263" spans="1:26" ht="21" customHeight="1" x14ac:dyDescent="0.85">
      <c r="A263" s="15"/>
      <c r="B263" s="15"/>
      <c r="C263" s="15"/>
      <c r="D263" s="15"/>
      <c r="E263" s="15"/>
      <c r="F263" s="15"/>
      <c r="G263" s="15"/>
      <c r="H263" s="15"/>
      <c r="I263" s="15"/>
      <c r="J263" s="15"/>
      <c r="K263" s="15"/>
      <c r="L263" s="15"/>
      <c r="M263" s="15"/>
      <c r="N263" s="15"/>
      <c r="O263" s="15"/>
      <c r="P263" s="15"/>
      <c r="Q263" s="15"/>
      <c r="R263" s="15"/>
      <c r="S263" s="15"/>
      <c r="T263" s="15"/>
      <c r="U263" s="15"/>
      <c r="V263" s="15"/>
      <c r="W263" s="15"/>
      <c r="X263" s="15"/>
      <c r="Y263" s="15"/>
      <c r="Z263" s="15"/>
    </row>
    <row r="264" spans="1:26" ht="21" customHeight="1" x14ac:dyDescent="0.85">
      <c r="A264" s="15"/>
      <c r="B264" s="15"/>
      <c r="C264" s="15"/>
      <c r="D264" s="15"/>
      <c r="E264" s="15"/>
      <c r="F264" s="15"/>
      <c r="G264" s="15"/>
      <c r="H264" s="15"/>
      <c r="I264" s="15"/>
      <c r="J264" s="15"/>
      <c r="K264" s="15"/>
      <c r="L264" s="15"/>
      <c r="M264" s="15"/>
      <c r="N264" s="15"/>
      <c r="O264" s="15"/>
      <c r="P264" s="15"/>
      <c r="Q264" s="15"/>
      <c r="R264" s="15"/>
      <c r="S264" s="15"/>
      <c r="T264" s="15"/>
      <c r="U264" s="15"/>
      <c r="V264" s="15"/>
      <c r="W264" s="15"/>
      <c r="X264" s="15"/>
      <c r="Y264" s="15"/>
      <c r="Z264" s="15"/>
    </row>
    <row r="265" spans="1:26" ht="21" customHeight="1" x14ac:dyDescent="0.85">
      <c r="A265" s="15"/>
      <c r="B265" s="15"/>
      <c r="C265" s="15"/>
      <c r="D265" s="15"/>
      <c r="E265" s="15"/>
      <c r="F265" s="15"/>
      <c r="G265" s="15"/>
      <c r="H265" s="15"/>
      <c r="I265" s="15"/>
      <c r="J265" s="15"/>
      <c r="K265" s="15"/>
      <c r="L265" s="15"/>
      <c r="M265" s="15"/>
      <c r="N265" s="15"/>
      <c r="O265" s="15"/>
      <c r="P265" s="15"/>
      <c r="Q265" s="15"/>
      <c r="R265" s="15"/>
      <c r="S265" s="15"/>
      <c r="T265" s="15"/>
      <c r="U265" s="15"/>
      <c r="V265" s="15"/>
      <c r="W265" s="15"/>
      <c r="X265" s="15"/>
      <c r="Y265" s="15"/>
      <c r="Z265" s="15"/>
    </row>
    <row r="266" spans="1:26" ht="21" customHeight="1" x14ac:dyDescent="0.85">
      <c r="A266" s="15"/>
      <c r="B266" s="15"/>
      <c r="C266" s="15"/>
      <c r="D266" s="15"/>
      <c r="E266" s="15"/>
      <c r="F266" s="15"/>
      <c r="G266" s="15"/>
      <c r="H266" s="15"/>
      <c r="I266" s="15"/>
      <c r="J266" s="15"/>
      <c r="K266" s="15"/>
      <c r="L266" s="15"/>
      <c r="M266" s="15"/>
      <c r="N266" s="15"/>
      <c r="O266" s="15"/>
      <c r="P266" s="15"/>
      <c r="Q266" s="15"/>
      <c r="R266" s="15"/>
      <c r="S266" s="15"/>
      <c r="T266" s="15"/>
      <c r="U266" s="15"/>
      <c r="V266" s="15"/>
      <c r="W266" s="15"/>
      <c r="X266" s="15"/>
      <c r="Y266" s="15"/>
      <c r="Z266" s="15"/>
    </row>
    <row r="267" spans="1:26" ht="21" customHeight="1" x14ac:dyDescent="0.85">
      <c r="A267" s="15"/>
      <c r="B267" s="15"/>
      <c r="C267" s="15"/>
      <c r="D267" s="15"/>
      <c r="E267" s="15"/>
      <c r="F267" s="15"/>
      <c r="G267" s="15"/>
      <c r="H267" s="15"/>
      <c r="I267" s="15"/>
      <c r="J267" s="15"/>
      <c r="K267" s="15"/>
      <c r="L267" s="15"/>
      <c r="M267" s="15"/>
      <c r="N267" s="15"/>
      <c r="O267" s="15"/>
      <c r="P267" s="15"/>
      <c r="Q267" s="15"/>
      <c r="R267" s="15"/>
      <c r="S267" s="15"/>
      <c r="T267" s="15"/>
      <c r="U267" s="15"/>
      <c r="V267" s="15"/>
      <c r="W267" s="15"/>
      <c r="X267" s="15"/>
      <c r="Y267" s="15"/>
      <c r="Z267" s="15"/>
    </row>
    <row r="268" spans="1:26" ht="21" customHeight="1" x14ac:dyDescent="0.85">
      <c r="A268" s="15"/>
      <c r="B268" s="15"/>
      <c r="C268" s="15"/>
      <c r="D268" s="15"/>
      <c r="E268" s="15"/>
      <c r="F268" s="15"/>
      <c r="G268" s="15"/>
      <c r="H268" s="15"/>
      <c r="I268" s="15"/>
      <c r="J268" s="15"/>
      <c r="K268" s="15"/>
      <c r="L268" s="15"/>
      <c r="M268" s="15"/>
      <c r="N268" s="15"/>
      <c r="O268" s="15"/>
      <c r="P268" s="15"/>
      <c r="Q268" s="15"/>
      <c r="R268" s="15"/>
      <c r="S268" s="15"/>
      <c r="T268" s="15"/>
      <c r="U268" s="15"/>
      <c r="V268" s="15"/>
      <c r="W268" s="15"/>
      <c r="X268" s="15"/>
      <c r="Y268" s="15"/>
      <c r="Z268" s="15"/>
    </row>
    <row r="269" spans="1:26" ht="21" customHeight="1" x14ac:dyDescent="0.85">
      <c r="A269" s="15"/>
      <c r="B269" s="15"/>
      <c r="C269" s="15"/>
      <c r="D269" s="15"/>
      <c r="E269" s="15"/>
      <c r="F269" s="15"/>
      <c r="G269" s="15"/>
      <c r="H269" s="15"/>
      <c r="I269" s="15"/>
      <c r="J269" s="15"/>
      <c r="K269" s="15"/>
      <c r="L269" s="15"/>
      <c r="M269" s="15"/>
      <c r="N269" s="15"/>
      <c r="O269" s="15"/>
      <c r="P269" s="15"/>
      <c r="Q269" s="15"/>
      <c r="R269" s="15"/>
      <c r="S269" s="15"/>
      <c r="T269" s="15"/>
      <c r="U269" s="15"/>
      <c r="V269" s="15"/>
      <c r="W269" s="15"/>
      <c r="X269" s="15"/>
      <c r="Y269" s="15"/>
      <c r="Z269" s="15"/>
    </row>
    <row r="270" spans="1:26" ht="21" customHeight="1" x14ac:dyDescent="0.85">
      <c r="A270" s="15"/>
      <c r="B270" s="15"/>
      <c r="C270" s="15"/>
      <c r="D270" s="15"/>
      <c r="E270" s="15"/>
      <c r="F270" s="15"/>
      <c r="G270" s="15"/>
      <c r="H270" s="15"/>
      <c r="I270" s="15"/>
      <c r="J270" s="15"/>
      <c r="K270" s="15"/>
      <c r="L270" s="15"/>
      <c r="M270" s="15"/>
      <c r="N270" s="15"/>
      <c r="O270" s="15"/>
      <c r="P270" s="15"/>
      <c r="Q270" s="15"/>
      <c r="R270" s="15"/>
      <c r="S270" s="15"/>
      <c r="T270" s="15"/>
      <c r="U270" s="15"/>
      <c r="V270" s="15"/>
      <c r="W270" s="15"/>
      <c r="X270" s="15"/>
      <c r="Y270" s="15"/>
      <c r="Z270" s="15"/>
    </row>
    <row r="271" spans="1:26" ht="21" customHeight="1" x14ac:dyDescent="0.85">
      <c r="A271" s="15"/>
      <c r="B271" s="15"/>
      <c r="C271" s="15"/>
      <c r="D271" s="15"/>
      <c r="E271" s="15"/>
      <c r="F271" s="15"/>
      <c r="G271" s="15"/>
      <c r="H271" s="15"/>
      <c r="I271" s="15"/>
      <c r="J271" s="15"/>
      <c r="K271" s="15"/>
      <c r="L271" s="15"/>
      <c r="M271" s="15"/>
      <c r="N271" s="15"/>
      <c r="O271" s="15"/>
      <c r="P271" s="15"/>
      <c r="Q271" s="15"/>
      <c r="R271" s="15"/>
      <c r="S271" s="15"/>
      <c r="T271" s="15"/>
      <c r="U271" s="15"/>
      <c r="V271" s="15"/>
      <c r="W271" s="15"/>
      <c r="X271" s="15"/>
      <c r="Y271" s="15"/>
      <c r="Z271" s="15"/>
    </row>
    <row r="272" spans="1:26" ht="21" customHeight="1" x14ac:dyDescent="0.85">
      <c r="A272" s="15"/>
      <c r="B272" s="15"/>
      <c r="C272" s="15"/>
      <c r="D272" s="15"/>
      <c r="E272" s="15"/>
      <c r="F272" s="15"/>
      <c r="G272" s="15"/>
      <c r="H272" s="15"/>
      <c r="I272" s="15"/>
      <c r="J272" s="15"/>
      <c r="K272" s="15"/>
      <c r="L272" s="15"/>
      <c r="M272" s="15"/>
      <c r="N272" s="15"/>
      <c r="O272" s="15"/>
      <c r="P272" s="15"/>
      <c r="Q272" s="15"/>
      <c r="R272" s="15"/>
      <c r="S272" s="15"/>
      <c r="T272" s="15"/>
      <c r="U272" s="15"/>
      <c r="V272" s="15"/>
      <c r="W272" s="15"/>
      <c r="X272" s="15"/>
      <c r="Y272" s="15"/>
      <c r="Z272" s="15"/>
    </row>
    <row r="273" spans="1:26" ht="21" customHeight="1" x14ac:dyDescent="0.85">
      <c r="A273" s="15"/>
      <c r="B273" s="15"/>
      <c r="C273" s="15"/>
      <c r="D273" s="15"/>
      <c r="E273" s="15"/>
      <c r="F273" s="15"/>
      <c r="G273" s="15"/>
      <c r="H273" s="15"/>
      <c r="I273" s="15"/>
      <c r="J273" s="15"/>
      <c r="K273" s="15"/>
      <c r="L273" s="15"/>
      <c r="M273" s="15"/>
      <c r="N273" s="15"/>
      <c r="O273" s="15"/>
      <c r="P273" s="15"/>
      <c r="Q273" s="15"/>
      <c r="R273" s="15"/>
      <c r="S273" s="15"/>
      <c r="T273" s="15"/>
      <c r="U273" s="15"/>
      <c r="V273" s="15"/>
      <c r="W273" s="15"/>
      <c r="X273" s="15"/>
      <c r="Y273" s="15"/>
      <c r="Z273" s="15"/>
    </row>
    <row r="274" spans="1:26" ht="21" customHeight="1" x14ac:dyDescent="0.85">
      <c r="A274" s="15"/>
      <c r="B274" s="15"/>
      <c r="C274" s="15"/>
      <c r="D274" s="15"/>
      <c r="E274" s="15"/>
      <c r="F274" s="15"/>
      <c r="G274" s="15"/>
      <c r="H274" s="15"/>
      <c r="I274" s="15"/>
      <c r="J274" s="15"/>
      <c r="K274" s="15"/>
      <c r="L274" s="15"/>
      <c r="M274" s="15"/>
      <c r="N274" s="15"/>
      <c r="O274" s="15"/>
      <c r="P274" s="15"/>
      <c r="Q274" s="15"/>
      <c r="R274" s="15"/>
      <c r="S274" s="15"/>
      <c r="T274" s="15"/>
      <c r="U274" s="15"/>
      <c r="V274" s="15"/>
      <c r="W274" s="15"/>
      <c r="X274" s="15"/>
      <c r="Y274" s="15"/>
      <c r="Z274" s="15"/>
    </row>
    <row r="275" spans="1:26" ht="21" customHeight="1" x14ac:dyDescent="0.85">
      <c r="A275" s="15"/>
      <c r="B275" s="15"/>
      <c r="C275" s="15"/>
      <c r="D275" s="15"/>
      <c r="E275" s="15"/>
      <c r="F275" s="15"/>
      <c r="G275" s="15"/>
      <c r="H275" s="15"/>
      <c r="I275" s="15"/>
      <c r="J275" s="15"/>
      <c r="K275" s="15"/>
      <c r="L275" s="15"/>
      <c r="M275" s="15"/>
      <c r="N275" s="15"/>
      <c r="O275" s="15"/>
      <c r="P275" s="15"/>
      <c r="Q275" s="15"/>
      <c r="R275" s="15"/>
      <c r="S275" s="15"/>
      <c r="T275" s="15"/>
      <c r="U275" s="15"/>
      <c r="V275" s="15"/>
      <c r="W275" s="15"/>
      <c r="X275" s="15"/>
      <c r="Y275" s="15"/>
      <c r="Z275" s="15"/>
    </row>
    <row r="276" spans="1:26" ht="21" customHeight="1" x14ac:dyDescent="0.85">
      <c r="A276" s="15"/>
      <c r="B276" s="15"/>
      <c r="C276" s="15"/>
      <c r="D276" s="15"/>
      <c r="E276" s="15"/>
      <c r="F276" s="15"/>
      <c r="G276" s="15"/>
      <c r="H276" s="15"/>
      <c r="I276" s="15"/>
      <c r="J276" s="15"/>
      <c r="K276" s="15"/>
      <c r="L276" s="15"/>
      <c r="M276" s="15"/>
      <c r="N276" s="15"/>
      <c r="O276" s="15"/>
      <c r="P276" s="15"/>
      <c r="Q276" s="15"/>
      <c r="R276" s="15"/>
      <c r="S276" s="15"/>
      <c r="T276" s="15"/>
      <c r="U276" s="15"/>
      <c r="V276" s="15"/>
      <c r="W276" s="15"/>
      <c r="X276" s="15"/>
      <c r="Y276" s="15"/>
      <c r="Z276" s="15"/>
    </row>
    <row r="277" spans="1:26" ht="21" customHeight="1" x14ac:dyDescent="0.85">
      <c r="A277" s="15"/>
      <c r="B277" s="15"/>
      <c r="C277" s="15"/>
      <c r="D277" s="15"/>
      <c r="E277" s="15"/>
      <c r="F277" s="15"/>
      <c r="G277" s="15"/>
      <c r="H277" s="15"/>
      <c r="I277" s="15"/>
      <c r="J277" s="15"/>
      <c r="K277" s="15"/>
      <c r="L277" s="15"/>
      <c r="M277" s="15"/>
      <c r="N277" s="15"/>
      <c r="O277" s="15"/>
      <c r="P277" s="15"/>
      <c r="Q277" s="15"/>
      <c r="R277" s="15"/>
      <c r="S277" s="15"/>
      <c r="T277" s="15"/>
      <c r="U277" s="15"/>
      <c r="V277" s="15"/>
      <c r="W277" s="15"/>
      <c r="X277" s="15"/>
      <c r="Y277" s="15"/>
      <c r="Z277" s="15"/>
    </row>
    <row r="278" spans="1:26" ht="21" customHeight="1" x14ac:dyDescent="0.85">
      <c r="A278" s="15"/>
      <c r="B278" s="15"/>
      <c r="C278" s="15"/>
      <c r="D278" s="15"/>
      <c r="E278" s="15"/>
      <c r="F278" s="15"/>
      <c r="G278" s="15"/>
      <c r="H278" s="15"/>
      <c r="I278" s="15"/>
      <c r="J278" s="15"/>
      <c r="K278" s="15"/>
      <c r="L278" s="15"/>
      <c r="M278" s="15"/>
      <c r="N278" s="15"/>
      <c r="O278" s="15"/>
      <c r="P278" s="15"/>
      <c r="Q278" s="15"/>
      <c r="R278" s="15"/>
      <c r="S278" s="15"/>
      <c r="T278" s="15"/>
      <c r="U278" s="15"/>
      <c r="V278" s="15"/>
      <c r="W278" s="15"/>
      <c r="X278" s="15"/>
      <c r="Y278" s="15"/>
      <c r="Z278" s="15"/>
    </row>
    <row r="279" spans="1:26" ht="21" customHeight="1" x14ac:dyDescent="0.85">
      <c r="A279" s="15"/>
      <c r="B279" s="15"/>
      <c r="C279" s="15"/>
      <c r="D279" s="15"/>
      <c r="E279" s="15"/>
      <c r="F279" s="15"/>
      <c r="G279" s="15"/>
      <c r="H279" s="15"/>
      <c r="I279" s="15"/>
      <c r="J279" s="15"/>
      <c r="K279" s="15"/>
      <c r="L279" s="15"/>
      <c r="M279" s="15"/>
      <c r="N279" s="15"/>
      <c r="O279" s="15"/>
      <c r="P279" s="15"/>
      <c r="Q279" s="15"/>
      <c r="R279" s="15"/>
      <c r="S279" s="15"/>
      <c r="T279" s="15"/>
      <c r="U279" s="15"/>
      <c r="V279" s="15"/>
      <c r="W279" s="15"/>
      <c r="X279" s="15"/>
      <c r="Y279" s="15"/>
      <c r="Z279" s="15"/>
    </row>
    <row r="280" spans="1:26" ht="21" customHeight="1" x14ac:dyDescent="0.85">
      <c r="A280" s="15"/>
      <c r="B280" s="15"/>
      <c r="C280" s="15"/>
      <c r="D280" s="15"/>
      <c r="E280" s="15"/>
      <c r="F280" s="15"/>
      <c r="G280" s="15"/>
      <c r="H280" s="15"/>
      <c r="I280" s="15"/>
      <c r="J280" s="15"/>
      <c r="K280" s="15"/>
      <c r="L280" s="15"/>
      <c r="M280" s="15"/>
      <c r="N280" s="15"/>
      <c r="O280" s="15"/>
      <c r="P280" s="15"/>
      <c r="Q280" s="15"/>
      <c r="R280" s="15"/>
      <c r="S280" s="15"/>
      <c r="T280" s="15"/>
      <c r="U280" s="15"/>
      <c r="V280" s="15"/>
      <c r="W280" s="15"/>
      <c r="X280" s="15"/>
      <c r="Y280" s="15"/>
      <c r="Z280" s="15"/>
    </row>
    <row r="281" spans="1:26" ht="21" customHeight="1" x14ac:dyDescent="0.85">
      <c r="A281" s="15"/>
      <c r="B281" s="15"/>
      <c r="C281" s="15"/>
      <c r="D281" s="15"/>
      <c r="E281" s="15"/>
      <c r="F281" s="15"/>
      <c r="G281" s="15"/>
      <c r="H281" s="15"/>
      <c r="I281" s="15"/>
      <c r="J281" s="15"/>
      <c r="K281" s="15"/>
      <c r="L281" s="15"/>
      <c r="M281" s="15"/>
      <c r="N281" s="15"/>
      <c r="O281" s="15"/>
      <c r="P281" s="15"/>
      <c r="Q281" s="15"/>
      <c r="R281" s="15"/>
      <c r="S281" s="15"/>
      <c r="T281" s="15"/>
      <c r="U281" s="15"/>
      <c r="V281" s="15"/>
      <c r="W281" s="15"/>
      <c r="X281" s="15"/>
      <c r="Y281" s="15"/>
      <c r="Z281" s="15"/>
    </row>
    <row r="282" spans="1:26" ht="21" customHeight="1" x14ac:dyDescent="0.85">
      <c r="A282" s="15"/>
      <c r="B282" s="15"/>
      <c r="C282" s="15"/>
      <c r="D282" s="15"/>
      <c r="E282" s="15"/>
      <c r="F282" s="15"/>
      <c r="G282" s="15"/>
      <c r="H282" s="15"/>
      <c r="I282" s="15"/>
      <c r="J282" s="15"/>
      <c r="K282" s="15"/>
      <c r="L282" s="15"/>
      <c r="M282" s="15"/>
      <c r="N282" s="15"/>
      <c r="O282" s="15"/>
      <c r="P282" s="15"/>
      <c r="Q282" s="15"/>
      <c r="R282" s="15"/>
      <c r="S282" s="15"/>
      <c r="T282" s="15"/>
      <c r="U282" s="15"/>
      <c r="V282" s="15"/>
      <c r="W282" s="15"/>
      <c r="X282" s="15"/>
      <c r="Y282" s="15"/>
      <c r="Z282" s="15"/>
    </row>
    <row r="283" spans="1:26" ht="21" customHeight="1" x14ac:dyDescent="0.85">
      <c r="A283" s="15"/>
      <c r="B283" s="15"/>
      <c r="C283" s="15"/>
      <c r="D283" s="15"/>
      <c r="E283" s="15"/>
      <c r="F283" s="15"/>
      <c r="G283" s="15"/>
      <c r="H283" s="15"/>
      <c r="I283" s="15"/>
      <c r="J283" s="15"/>
      <c r="K283" s="15"/>
      <c r="L283" s="15"/>
      <c r="M283" s="15"/>
      <c r="N283" s="15"/>
      <c r="O283" s="15"/>
      <c r="P283" s="15"/>
      <c r="Q283" s="15"/>
      <c r="R283" s="15"/>
      <c r="S283" s="15"/>
      <c r="T283" s="15"/>
      <c r="U283" s="15"/>
      <c r="V283" s="15"/>
      <c r="W283" s="15"/>
      <c r="X283" s="15"/>
      <c r="Y283" s="15"/>
      <c r="Z283" s="15"/>
    </row>
    <row r="284" spans="1:26" ht="21" customHeight="1" x14ac:dyDescent="0.85">
      <c r="A284" s="15"/>
      <c r="B284" s="15"/>
      <c r="C284" s="15"/>
      <c r="D284" s="15"/>
      <c r="E284" s="15"/>
      <c r="F284" s="15"/>
      <c r="G284" s="15"/>
      <c r="H284" s="15"/>
      <c r="I284" s="15"/>
      <c r="J284" s="15"/>
      <c r="K284" s="15"/>
      <c r="L284" s="15"/>
      <c r="M284" s="15"/>
      <c r="N284" s="15"/>
      <c r="O284" s="15"/>
      <c r="P284" s="15"/>
      <c r="Q284" s="15"/>
      <c r="R284" s="15"/>
      <c r="S284" s="15"/>
      <c r="T284" s="15"/>
      <c r="U284" s="15"/>
      <c r="V284" s="15"/>
      <c r="W284" s="15"/>
      <c r="X284" s="15"/>
      <c r="Y284" s="15"/>
      <c r="Z284" s="15"/>
    </row>
    <row r="285" spans="1:26" ht="21" customHeight="1" x14ac:dyDescent="0.85">
      <c r="A285" s="15"/>
      <c r="B285" s="15"/>
      <c r="C285" s="15"/>
      <c r="D285" s="15"/>
      <c r="E285" s="15"/>
      <c r="F285" s="15"/>
      <c r="G285" s="15"/>
      <c r="H285" s="15"/>
      <c r="I285" s="15"/>
      <c r="J285" s="15"/>
      <c r="K285" s="15"/>
      <c r="L285" s="15"/>
      <c r="M285" s="15"/>
      <c r="N285" s="15"/>
      <c r="O285" s="15"/>
      <c r="P285" s="15"/>
      <c r="Q285" s="15"/>
      <c r="R285" s="15"/>
      <c r="S285" s="15"/>
      <c r="T285" s="15"/>
      <c r="U285" s="15"/>
      <c r="V285" s="15"/>
      <c r="W285" s="15"/>
      <c r="X285" s="15"/>
      <c r="Y285" s="15"/>
      <c r="Z285" s="15"/>
    </row>
    <row r="286" spans="1:26" ht="21" customHeight="1" x14ac:dyDescent="0.85">
      <c r="A286" s="15"/>
      <c r="B286" s="15"/>
      <c r="C286" s="15"/>
      <c r="D286" s="15"/>
      <c r="E286" s="15"/>
      <c r="F286" s="15"/>
      <c r="G286" s="15"/>
      <c r="H286" s="15"/>
      <c r="I286" s="15"/>
      <c r="J286" s="15"/>
      <c r="K286" s="15"/>
      <c r="L286" s="15"/>
      <c r="M286" s="15"/>
      <c r="N286" s="15"/>
      <c r="O286" s="15"/>
      <c r="P286" s="15"/>
      <c r="Q286" s="15"/>
      <c r="R286" s="15"/>
      <c r="S286" s="15"/>
      <c r="T286" s="15"/>
      <c r="U286" s="15"/>
      <c r="V286" s="15"/>
      <c r="W286" s="15"/>
      <c r="X286" s="15"/>
      <c r="Y286" s="15"/>
      <c r="Z286" s="15"/>
    </row>
    <row r="287" spans="1:26" ht="21" customHeight="1" x14ac:dyDescent="0.85">
      <c r="A287" s="15"/>
      <c r="B287" s="15"/>
      <c r="C287" s="15"/>
      <c r="D287" s="15"/>
      <c r="E287" s="15"/>
      <c r="F287" s="15"/>
      <c r="G287" s="15"/>
      <c r="H287" s="15"/>
      <c r="I287" s="15"/>
      <c r="J287" s="15"/>
      <c r="K287" s="15"/>
      <c r="L287" s="15"/>
      <c r="M287" s="15"/>
      <c r="N287" s="15"/>
      <c r="O287" s="15"/>
      <c r="P287" s="15"/>
      <c r="Q287" s="15"/>
      <c r="R287" s="15"/>
      <c r="S287" s="15"/>
      <c r="T287" s="15"/>
      <c r="U287" s="15"/>
      <c r="V287" s="15"/>
      <c r="W287" s="15"/>
      <c r="X287" s="15"/>
      <c r="Y287" s="15"/>
      <c r="Z287" s="15"/>
    </row>
    <row r="288" spans="1:26" ht="21" customHeight="1" x14ac:dyDescent="0.85">
      <c r="A288" s="15"/>
      <c r="B288" s="15"/>
      <c r="C288" s="15"/>
      <c r="D288" s="15"/>
      <c r="E288" s="15"/>
      <c r="F288" s="15"/>
      <c r="G288" s="15"/>
      <c r="H288" s="15"/>
      <c r="I288" s="15"/>
      <c r="J288" s="15"/>
      <c r="K288" s="15"/>
      <c r="L288" s="15"/>
      <c r="M288" s="15"/>
      <c r="N288" s="15"/>
      <c r="O288" s="15"/>
      <c r="P288" s="15"/>
      <c r="Q288" s="15"/>
      <c r="R288" s="15"/>
      <c r="S288" s="15"/>
      <c r="T288" s="15"/>
      <c r="U288" s="15"/>
      <c r="V288" s="15"/>
      <c r="W288" s="15"/>
      <c r="X288" s="15"/>
      <c r="Y288" s="15"/>
      <c r="Z288" s="15"/>
    </row>
    <row r="289" spans="1:26" ht="21" customHeight="1" x14ac:dyDescent="0.85">
      <c r="A289" s="15"/>
      <c r="B289" s="15"/>
      <c r="C289" s="15"/>
      <c r="D289" s="15"/>
      <c r="E289" s="15"/>
      <c r="F289" s="15"/>
      <c r="G289" s="15"/>
      <c r="H289" s="15"/>
      <c r="I289" s="15"/>
      <c r="J289" s="15"/>
      <c r="K289" s="15"/>
      <c r="L289" s="15"/>
      <c r="M289" s="15"/>
      <c r="N289" s="15"/>
      <c r="O289" s="15"/>
      <c r="P289" s="15"/>
      <c r="Q289" s="15"/>
      <c r="R289" s="15"/>
      <c r="S289" s="15"/>
      <c r="T289" s="15"/>
      <c r="U289" s="15"/>
      <c r="V289" s="15"/>
      <c r="W289" s="15"/>
      <c r="X289" s="15"/>
      <c r="Y289" s="15"/>
      <c r="Z289" s="15"/>
    </row>
    <row r="290" spans="1:26" ht="21" customHeight="1" x14ac:dyDescent="0.85">
      <c r="A290" s="15"/>
      <c r="B290" s="15"/>
      <c r="C290" s="15"/>
      <c r="D290" s="15"/>
      <c r="E290" s="15"/>
      <c r="F290" s="15"/>
      <c r="G290" s="15"/>
      <c r="H290" s="15"/>
      <c r="I290" s="15"/>
      <c r="J290" s="15"/>
      <c r="K290" s="15"/>
      <c r="L290" s="15"/>
      <c r="M290" s="15"/>
      <c r="N290" s="15"/>
      <c r="O290" s="15"/>
      <c r="P290" s="15"/>
      <c r="Q290" s="15"/>
      <c r="R290" s="15"/>
      <c r="S290" s="15"/>
      <c r="T290" s="15"/>
      <c r="U290" s="15"/>
      <c r="V290" s="15"/>
      <c r="W290" s="15"/>
      <c r="X290" s="15"/>
      <c r="Y290" s="15"/>
      <c r="Z290" s="15"/>
    </row>
    <row r="291" spans="1:26" ht="21" customHeight="1" x14ac:dyDescent="0.85">
      <c r="A291" s="15"/>
      <c r="B291" s="15"/>
      <c r="C291" s="15"/>
      <c r="D291" s="15"/>
      <c r="E291" s="15"/>
      <c r="F291" s="15"/>
      <c r="G291" s="15"/>
      <c r="H291" s="15"/>
      <c r="I291" s="15"/>
      <c r="J291" s="15"/>
      <c r="K291" s="15"/>
      <c r="L291" s="15"/>
      <c r="M291" s="15"/>
      <c r="N291" s="15"/>
      <c r="O291" s="15"/>
      <c r="P291" s="15"/>
      <c r="Q291" s="15"/>
      <c r="R291" s="15"/>
      <c r="S291" s="15"/>
      <c r="T291" s="15"/>
      <c r="U291" s="15"/>
      <c r="V291" s="15"/>
      <c r="W291" s="15"/>
      <c r="X291" s="15"/>
      <c r="Y291" s="15"/>
      <c r="Z291" s="15"/>
    </row>
    <row r="292" spans="1:26" ht="21" customHeight="1" x14ac:dyDescent="0.85">
      <c r="A292" s="15"/>
      <c r="B292" s="15"/>
      <c r="C292" s="15"/>
      <c r="D292" s="15"/>
      <c r="E292" s="15"/>
      <c r="F292" s="15"/>
      <c r="G292" s="15"/>
      <c r="H292" s="15"/>
      <c r="I292" s="15"/>
      <c r="J292" s="15"/>
      <c r="K292" s="15"/>
      <c r="L292" s="15"/>
      <c r="M292" s="15"/>
      <c r="N292" s="15"/>
      <c r="O292" s="15"/>
      <c r="P292" s="15"/>
      <c r="Q292" s="15"/>
      <c r="R292" s="15"/>
      <c r="S292" s="15"/>
      <c r="T292" s="15"/>
      <c r="U292" s="15"/>
      <c r="V292" s="15"/>
      <c r="W292" s="15"/>
      <c r="X292" s="15"/>
      <c r="Y292" s="15"/>
      <c r="Z292" s="15"/>
    </row>
    <row r="293" spans="1:26" ht="21" customHeight="1" x14ac:dyDescent="0.85">
      <c r="A293" s="15"/>
      <c r="B293" s="15"/>
      <c r="C293" s="15"/>
      <c r="D293" s="15"/>
      <c r="E293" s="15"/>
      <c r="F293" s="15"/>
      <c r="G293" s="15"/>
      <c r="H293" s="15"/>
      <c r="I293" s="15"/>
      <c r="J293" s="15"/>
      <c r="K293" s="15"/>
      <c r="L293" s="15"/>
      <c r="M293" s="15"/>
      <c r="N293" s="15"/>
      <c r="O293" s="15"/>
      <c r="P293" s="15"/>
      <c r="Q293" s="15"/>
      <c r="R293" s="15"/>
      <c r="S293" s="15"/>
      <c r="T293" s="15"/>
      <c r="U293" s="15"/>
      <c r="V293" s="15"/>
      <c r="W293" s="15"/>
      <c r="X293" s="15"/>
      <c r="Y293" s="15"/>
      <c r="Z293" s="15"/>
    </row>
    <row r="294" spans="1:26" ht="21" customHeight="1" x14ac:dyDescent="0.85">
      <c r="A294" s="15"/>
      <c r="B294" s="15"/>
      <c r="C294" s="15"/>
      <c r="D294" s="15"/>
      <c r="E294" s="15"/>
      <c r="F294" s="15"/>
      <c r="G294" s="15"/>
      <c r="H294" s="15"/>
      <c r="I294" s="15"/>
      <c r="J294" s="15"/>
      <c r="K294" s="15"/>
      <c r="L294" s="15"/>
      <c r="M294" s="15"/>
      <c r="N294" s="15"/>
      <c r="O294" s="15"/>
      <c r="P294" s="15"/>
      <c r="Q294" s="15"/>
      <c r="R294" s="15"/>
      <c r="S294" s="15"/>
      <c r="T294" s="15"/>
      <c r="U294" s="15"/>
      <c r="V294" s="15"/>
      <c r="W294" s="15"/>
      <c r="X294" s="15"/>
      <c r="Y294" s="15"/>
      <c r="Z294" s="15"/>
    </row>
    <row r="295" spans="1:26" ht="21" customHeight="1" x14ac:dyDescent="0.85">
      <c r="A295" s="15"/>
      <c r="B295" s="15"/>
      <c r="C295" s="15"/>
      <c r="D295" s="15"/>
      <c r="E295" s="15"/>
      <c r="F295" s="15"/>
      <c r="G295" s="15"/>
      <c r="H295" s="15"/>
      <c r="I295" s="15"/>
      <c r="J295" s="15"/>
      <c r="K295" s="15"/>
      <c r="L295" s="15"/>
      <c r="M295" s="15"/>
      <c r="N295" s="15"/>
      <c r="O295" s="15"/>
      <c r="P295" s="15"/>
      <c r="Q295" s="15"/>
      <c r="R295" s="15"/>
      <c r="S295" s="15"/>
      <c r="T295" s="15"/>
      <c r="U295" s="15"/>
      <c r="V295" s="15"/>
      <c r="W295" s="15"/>
      <c r="X295" s="15"/>
      <c r="Y295" s="15"/>
      <c r="Z295" s="15"/>
    </row>
    <row r="296" spans="1:26" ht="21" customHeight="1" x14ac:dyDescent="0.85">
      <c r="A296" s="15"/>
      <c r="B296" s="15"/>
      <c r="C296" s="15"/>
      <c r="D296" s="15"/>
      <c r="E296" s="15"/>
      <c r="F296" s="15"/>
      <c r="G296" s="15"/>
      <c r="H296" s="15"/>
      <c r="I296" s="15"/>
      <c r="J296" s="15"/>
      <c r="K296" s="15"/>
      <c r="L296" s="15"/>
      <c r="M296" s="15"/>
      <c r="N296" s="15"/>
      <c r="O296" s="15"/>
      <c r="P296" s="15"/>
      <c r="Q296" s="15"/>
      <c r="R296" s="15"/>
      <c r="S296" s="15"/>
      <c r="T296" s="15"/>
      <c r="U296" s="15"/>
      <c r="V296" s="15"/>
      <c r="W296" s="15"/>
      <c r="X296" s="15"/>
      <c r="Y296" s="15"/>
      <c r="Z296" s="15"/>
    </row>
    <row r="297" spans="1:26" ht="21" customHeight="1" x14ac:dyDescent="0.85">
      <c r="A297" s="15"/>
      <c r="B297" s="15"/>
      <c r="C297" s="15"/>
      <c r="D297" s="15"/>
      <c r="E297" s="15"/>
      <c r="F297" s="15"/>
      <c r="G297" s="15"/>
      <c r="H297" s="15"/>
      <c r="I297" s="15"/>
      <c r="J297" s="15"/>
      <c r="K297" s="15"/>
      <c r="L297" s="15"/>
      <c r="M297" s="15"/>
      <c r="N297" s="15"/>
      <c r="O297" s="15"/>
      <c r="P297" s="15"/>
      <c r="Q297" s="15"/>
      <c r="R297" s="15"/>
      <c r="S297" s="15"/>
      <c r="T297" s="15"/>
      <c r="U297" s="15"/>
      <c r="V297" s="15"/>
      <c r="W297" s="15"/>
      <c r="X297" s="15"/>
      <c r="Y297" s="15"/>
      <c r="Z297" s="15"/>
    </row>
    <row r="298" spans="1:26" ht="21" customHeight="1" x14ac:dyDescent="0.85">
      <c r="A298" s="15"/>
      <c r="B298" s="15"/>
      <c r="C298" s="15"/>
      <c r="D298" s="15"/>
      <c r="E298" s="15"/>
      <c r="F298" s="15"/>
      <c r="G298" s="15"/>
      <c r="H298" s="15"/>
      <c r="I298" s="15"/>
      <c r="J298" s="15"/>
      <c r="K298" s="15"/>
      <c r="L298" s="15"/>
      <c r="M298" s="15"/>
      <c r="N298" s="15"/>
      <c r="O298" s="15"/>
      <c r="P298" s="15"/>
      <c r="Q298" s="15"/>
      <c r="R298" s="15"/>
      <c r="S298" s="15"/>
      <c r="T298" s="15"/>
      <c r="U298" s="15"/>
      <c r="V298" s="15"/>
      <c r="W298" s="15"/>
      <c r="X298" s="15"/>
      <c r="Y298" s="15"/>
      <c r="Z298" s="15"/>
    </row>
    <row r="299" spans="1:26" ht="21" customHeight="1" x14ac:dyDescent="0.85">
      <c r="A299" s="15"/>
      <c r="B299" s="15"/>
      <c r="C299" s="15"/>
      <c r="D299" s="15"/>
      <c r="E299" s="15"/>
      <c r="F299" s="15"/>
      <c r="G299" s="15"/>
      <c r="H299" s="15"/>
      <c r="I299" s="15"/>
      <c r="J299" s="15"/>
      <c r="K299" s="15"/>
      <c r="L299" s="15"/>
      <c r="M299" s="15"/>
      <c r="N299" s="15"/>
      <c r="O299" s="15"/>
      <c r="P299" s="15"/>
      <c r="Q299" s="15"/>
      <c r="R299" s="15"/>
      <c r="S299" s="15"/>
      <c r="T299" s="15"/>
      <c r="U299" s="15"/>
      <c r="V299" s="15"/>
      <c r="W299" s="15"/>
      <c r="X299" s="15"/>
      <c r="Y299" s="15"/>
      <c r="Z299" s="15"/>
    </row>
    <row r="300" spans="1:26" ht="21" customHeight="1" x14ac:dyDescent="0.85">
      <c r="A300" s="15"/>
      <c r="B300" s="15"/>
      <c r="C300" s="15"/>
      <c r="D300" s="15"/>
      <c r="E300" s="15"/>
      <c r="F300" s="15"/>
      <c r="G300" s="15"/>
      <c r="H300" s="15"/>
      <c r="I300" s="15"/>
      <c r="J300" s="15"/>
      <c r="K300" s="15"/>
      <c r="L300" s="15"/>
      <c r="M300" s="15"/>
      <c r="N300" s="15"/>
      <c r="O300" s="15"/>
      <c r="P300" s="15"/>
      <c r="Q300" s="15"/>
      <c r="R300" s="15"/>
      <c r="S300" s="15"/>
      <c r="T300" s="15"/>
      <c r="U300" s="15"/>
      <c r="V300" s="15"/>
      <c r="W300" s="15"/>
      <c r="X300" s="15"/>
      <c r="Y300" s="15"/>
      <c r="Z300" s="15"/>
    </row>
    <row r="301" spans="1:26" ht="21" customHeight="1" x14ac:dyDescent="0.85">
      <c r="A301" s="15"/>
      <c r="B301" s="15"/>
      <c r="C301" s="15"/>
      <c r="D301" s="15"/>
      <c r="E301" s="15"/>
      <c r="F301" s="15"/>
      <c r="G301" s="15"/>
      <c r="H301" s="15"/>
      <c r="I301" s="15"/>
      <c r="J301" s="15"/>
      <c r="K301" s="15"/>
      <c r="L301" s="15"/>
      <c r="M301" s="15"/>
      <c r="N301" s="15"/>
      <c r="O301" s="15"/>
      <c r="P301" s="15"/>
      <c r="Q301" s="15"/>
      <c r="R301" s="15"/>
      <c r="S301" s="15"/>
      <c r="T301" s="15"/>
      <c r="U301" s="15"/>
      <c r="V301" s="15"/>
      <c r="W301" s="15"/>
      <c r="X301" s="15"/>
      <c r="Y301" s="15"/>
      <c r="Z301" s="15"/>
    </row>
    <row r="302" spans="1:26" ht="21" customHeight="1" x14ac:dyDescent="0.85">
      <c r="A302" s="15"/>
      <c r="B302" s="15"/>
      <c r="C302" s="15"/>
      <c r="D302" s="15"/>
      <c r="E302" s="15"/>
      <c r="F302" s="15"/>
      <c r="G302" s="15"/>
      <c r="H302" s="15"/>
      <c r="I302" s="15"/>
      <c r="J302" s="15"/>
      <c r="K302" s="15"/>
      <c r="L302" s="15"/>
      <c r="M302" s="15"/>
      <c r="N302" s="15"/>
      <c r="O302" s="15"/>
      <c r="P302" s="15"/>
      <c r="Q302" s="15"/>
      <c r="R302" s="15"/>
      <c r="S302" s="15"/>
      <c r="T302" s="15"/>
      <c r="U302" s="15"/>
      <c r="V302" s="15"/>
      <c r="W302" s="15"/>
      <c r="X302" s="15"/>
      <c r="Y302" s="15"/>
      <c r="Z302" s="15"/>
    </row>
    <row r="303" spans="1:26" ht="21" customHeight="1" x14ac:dyDescent="0.85">
      <c r="A303" s="15"/>
      <c r="B303" s="15"/>
      <c r="C303" s="15"/>
      <c r="D303" s="15"/>
      <c r="E303" s="15"/>
      <c r="F303" s="15"/>
      <c r="G303" s="15"/>
      <c r="H303" s="15"/>
      <c r="I303" s="15"/>
      <c r="J303" s="15"/>
      <c r="K303" s="15"/>
      <c r="L303" s="15"/>
      <c r="M303" s="15"/>
      <c r="N303" s="15"/>
      <c r="O303" s="15"/>
      <c r="P303" s="15"/>
      <c r="Q303" s="15"/>
      <c r="R303" s="15"/>
      <c r="S303" s="15"/>
      <c r="T303" s="15"/>
      <c r="U303" s="15"/>
      <c r="V303" s="15"/>
      <c r="W303" s="15"/>
      <c r="X303" s="15"/>
      <c r="Y303" s="15"/>
      <c r="Z303" s="15"/>
    </row>
    <row r="304" spans="1:26" ht="21" customHeight="1" x14ac:dyDescent="0.85">
      <c r="A304" s="15"/>
      <c r="B304" s="15"/>
      <c r="C304" s="15"/>
      <c r="D304" s="15"/>
      <c r="E304" s="15"/>
      <c r="F304" s="15"/>
      <c r="G304" s="15"/>
      <c r="H304" s="15"/>
      <c r="I304" s="15"/>
      <c r="J304" s="15"/>
      <c r="K304" s="15"/>
      <c r="L304" s="15"/>
      <c r="M304" s="15"/>
      <c r="N304" s="15"/>
      <c r="O304" s="15"/>
      <c r="P304" s="15"/>
      <c r="Q304" s="15"/>
      <c r="R304" s="15"/>
      <c r="S304" s="15"/>
      <c r="T304" s="15"/>
      <c r="U304" s="15"/>
      <c r="V304" s="15"/>
      <c r="W304" s="15"/>
      <c r="X304" s="15"/>
      <c r="Y304" s="15"/>
      <c r="Z304" s="15"/>
    </row>
    <row r="305" spans="1:26" ht="21" customHeight="1" x14ac:dyDescent="0.85">
      <c r="A305" s="15"/>
      <c r="B305" s="15"/>
      <c r="C305" s="15"/>
      <c r="D305" s="15"/>
      <c r="E305" s="15"/>
      <c r="F305" s="15"/>
      <c r="G305" s="15"/>
      <c r="H305" s="15"/>
      <c r="I305" s="15"/>
      <c r="J305" s="15"/>
      <c r="K305" s="15"/>
      <c r="L305" s="15"/>
      <c r="M305" s="15"/>
      <c r="N305" s="15"/>
      <c r="O305" s="15"/>
      <c r="P305" s="15"/>
      <c r="Q305" s="15"/>
      <c r="R305" s="15"/>
      <c r="S305" s="15"/>
      <c r="T305" s="15"/>
      <c r="U305" s="15"/>
      <c r="V305" s="15"/>
      <c r="W305" s="15"/>
      <c r="X305" s="15"/>
      <c r="Y305" s="15"/>
      <c r="Z305" s="15"/>
    </row>
    <row r="306" spans="1:26" ht="21" customHeight="1" x14ac:dyDescent="0.85">
      <c r="A306" s="15"/>
      <c r="B306" s="15"/>
      <c r="C306" s="15"/>
      <c r="D306" s="15"/>
      <c r="E306" s="15"/>
      <c r="F306" s="15"/>
      <c r="G306" s="15"/>
      <c r="H306" s="15"/>
      <c r="I306" s="15"/>
      <c r="J306" s="15"/>
      <c r="K306" s="15"/>
      <c r="L306" s="15"/>
      <c r="M306" s="15"/>
      <c r="N306" s="15"/>
      <c r="O306" s="15"/>
      <c r="P306" s="15"/>
      <c r="Q306" s="15"/>
      <c r="R306" s="15"/>
      <c r="S306" s="15"/>
      <c r="T306" s="15"/>
      <c r="U306" s="15"/>
      <c r="V306" s="15"/>
      <c r="W306" s="15"/>
      <c r="X306" s="15"/>
      <c r="Y306" s="15"/>
      <c r="Z306" s="15"/>
    </row>
    <row r="307" spans="1:26" ht="21" customHeight="1" x14ac:dyDescent="0.85">
      <c r="A307" s="15"/>
      <c r="B307" s="15"/>
      <c r="C307" s="15"/>
      <c r="D307" s="15"/>
      <c r="E307" s="15"/>
      <c r="F307" s="15"/>
      <c r="G307" s="15"/>
      <c r="H307" s="15"/>
      <c r="I307" s="15"/>
      <c r="J307" s="15"/>
      <c r="K307" s="15"/>
      <c r="L307" s="15"/>
      <c r="M307" s="15"/>
      <c r="N307" s="15"/>
      <c r="O307" s="15"/>
      <c r="P307" s="15"/>
      <c r="Q307" s="15"/>
      <c r="R307" s="15"/>
      <c r="S307" s="15"/>
      <c r="T307" s="15"/>
      <c r="U307" s="15"/>
      <c r="V307" s="15"/>
      <c r="W307" s="15"/>
      <c r="X307" s="15"/>
      <c r="Y307" s="15"/>
      <c r="Z307" s="15"/>
    </row>
    <row r="308" spans="1:26" ht="21" customHeight="1" x14ac:dyDescent="0.85">
      <c r="A308" s="15"/>
      <c r="B308" s="15"/>
      <c r="C308" s="15"/>
      <c r="D308" s="15"/>
      <c r="E308" s="15"/>
      <c r="F308" s="15"/>
      <c r="G308" s="15"/>
      <c r="H308" s="15"/>
      <c r="I308" s="15"/>
      <c r="J308" s="15"/>
      <c r="K308" s="15"/>
      <c r="L308" s="15"/>
      <c r="M308" s="15"/>
      <c r="N308" s="15"/>
      <c r="O308" s="15"/>
      <c r="P308" s="15"/>
      <c r="Q308" s="15"/>
      <c r="R308" s="15"/>
      <c r="S308" s="15"/>
      <c r="T308" s="15"/>
      <c r="U308" s="15"/>
      <c r="V308" s="15"/>
      <c r="W308" s="15"/>
      <c r="X308" s="15"/>
      <c r="Y308" s="15"/>
      <c r="Z308" s="15"/>
    </row>
    <row r="309" spans="1:26" ht="21" customHeight="1" x14ac:dyDescent="0.85">
      <c r="A309" s="15"/>
      <c r="B309" s="15"/>
      <c r="C309" s="15"/>
      <c r="D309" s="15"/>
      <c r="E309" s="15"/>
      <c r="F309" s="15"/>
      <c r="G309" s="15"/>
      <c r="H309" s="15"/>
      <c r="I309" s="15"/>
      <c r="J309" s="15"/>
      <c r="K309" s="15"/>
      <c r="L309" s="15"/>
      <c r="M309" s="15"/>
      <c r="N309" s="15"/>
      <c r="O309" s="15"/>
      <c r="P309" s="15"/>
      <c r="Q309" s="15"/>
      <c r="R309" s="15"/>
      <c r="S309" s="15"/>
      <c r="T309" s="15"/>
      <c r="U309" s="15"/>
      <c r="V309" s="15"/>
      <c r="W309" s="15"/>
      <c r="X309" s="15"/>
      <c r="Y309" s="15"/>
      <c r="Z309" s="15"/>
    </row>
    <row r="310" spans="1:26" ht="21" customHeight="1" x14ac:dyDescent="0.85">
      <c r="A310" s="15"/>
      <c r="B310" s="15"/>
      <c r="C310" s="15"/>
      <c r="D310" s="15"/>
      <c r="E310" s="15"/>
      <c r="F310" s="15"/>
      <c r="G310" s="15"/>
      <c r="H310" s="15"/>
      <c r="I310" s="15"/>
      <c r="J310" s="15"/>
      <c r="K310" s="15"/>
      <c r="L310" s="15"/>
      <c r="M310" s="15"/>
      <c r="N310" s="15"/>
      <c r="O310" s="15"/>
      <c r="P310" s="15"/>
      <c r="Q310" s="15"/>
      <c r="R310" s="15"/>
      <c r="S310" s="15"/>
      <c r="T310" s="15"/>
      <c r="U310" s="15"/>
      <c r="V310" s="15"/>
      <c r="W310" s="15"/>
      <c r="X310" s="15"/>
      <c r="Y310" s="15"/>
      <c r="Z310" s="15"/>
    </row>
    <row r="311" spans="1:26" ht="21" customHeight="1" x14ac:dyDescent="0.85">
      <c r="A311" s="15"/>
      <c r="B311" s="15"/>
      <c r="C311" s="15"/>
      <c r="D311" s="15"/>
      <c r="E311" s="15"/>
      <c r="F311" s="15"/>
      <c r="G311" s="15"/>
      <c r="H311" s="15"/>
      <c r="I311" s="15"/>
      <c r="J311" s="15"/>
      <c r="K311" s="15"/>
      <c r="L311" s="15"/>
      <c r="M311" s="15"/>
      <c r="N311" s="15"/>
      <c r="O311" s="15"/>
      <c r="P311" s="15"/>
      <c r="Q311" s="15"/>
      <c r="R311" s="15"/>
      <c r="S311" s="15"/>
      <c r="T311" s="15"/>
      <c r="U311" s="15"/>
      <c r="V311" s="15"/>
      <c r="W311" s="15"/>
      <c r="X311" s="15"/>
      <c r="Y311" s="15"/>
      <c r="Z311" s="15"/>
    </row>
    <row r="312" spans="1:26" ht="21" customHeight="1" x14ac:dyDescent="0.85">
      <c r="A312" s="15"/>
      <c r="B312" s="15"/>
      <c r="C312" s="15"/>
      <c r="D312" s="15"/>
      <c r="E312" s="15"/>
      <c r="F312" s="15"/>
      <c r="G312" s="15"/>
      <c r="H312" s="15"/>
      <c r="I312" s="15"/>
      <c r="J312" s="15"/>
      <c r="K312" s="15"/>
      <c r="L312" s="15"/>
      <c r="M312" s="15"/>
      <c r="N312" s="15"/>
      <c r="O312" s="15"/>
      <c r="P312" s="15"/>
      <c r="Q312" s="15"/>
      <c r="R312" s="15"/>
      <c r="S312" s="15"/>
      <c r="T312" s="15"/>
      <c r="U312" s="15"/>
      <c r="V312" s="15"/>
      <c r="W312" s="15"/>
      <c r="X312" s="15"/>
      <c r="Y312" s="15"/>
      <c r="Z312" s="15"/>
    </row>
    <row r="313" spans="1:26" ht="21" customHeight="1" x14ac:dyDescent="0.85">
      <c r="A313" s="15"/>
      <c r="B313" s="15"/>
      <c r="C313" s="15"/>
      <c r="D313" s="15"/>
      <c r="E313" s="15"/>
      <c r="F313" s="15"/>
      <c r="G313" s="15"/>
      <c r="H313" s="15"/>
      <c r="I313" s="15"/>
      <c r="J313" s="15"/>
      <c r="K313" s="15"/>
      <c r="L313" s="15"/>
      <c r="M313" s="15"/>
      <c r="N313" s="15"/>
      <c r="O313" s="15"/>
      <c r="P313" s="15"/>
      <c r="Q313" s="15"/>
      <c r="R313" s="15"/>
      <c r="S313" s="15"/>
      <c r="T313" s="15"/>
      <c r="U313" s="15"/>
      <c r="V313" s="15"/>
      <c r="W313" s="15"/>
      <c r="X313" s="15"/>
      <c r="Y313" s="15"/>
      <c r="Z313" s="15"/>
    </row>
    <row r="314" spans="1:26" ht="21" customHeight="1" x14ac:dyDescent="0.85">
      <c r="A314" s="15"/>
      <c r="B314" s="15"/>
      <c r="C314" s="15"/>
      <c r="D314" s="15"/>
      <c r="E314" s="15"/>
      <c r="F314" s="15"/>
      <c r="G314" s="15"/>
      <c r="H314" s="15"/>
      <c r="I314" s="15"/>
      <c r="J314" s="15"/>
      <c r="K314" s="15"/>
      <c r="L314" s="15"/>
      <c r="M314" s="15"/>
      <c r="N314" s="15"/>
      <c r="O314" s="15"/>
      <c r="P314" s="15"/>
      <c r="Q314" s="15"/>
      <c r="R314" s="15"/>
      <c r="S314" s="15"/>
      <c r="T314" s="15"/>
      <c r="U314" s="15"/>
      <c r="V314" s="15"/>
      <c r="W314" s="15"/>
      <c r="X314" s="15"/>
      <c r="Y314" s="15"/>
      <c r="Z314" s="15"/>
    </row>
    <row r="315" spans="1:26" ht="21" customHeight="1" x14ac:dyDescent="0.85">
      <c r="A315" s="15"/>
      <c r="B315" s="15"/>
      <c r="C315" s="15"/>
      <c r="D315" s="15"/>
      <c r="E315" s="15"/>
      <c r="F315" s="15"/>
      <c r="G315" s="15"/>
      <c r="H315" s="15"/>
      <c r="I315" s="15"/>
      <c r="J315" s="15"/>
      <c r="K315" s="15"/>
      <c r="L315" s="15"/>
      <c r="M315" s="15"/>
      <c r="N315" s="15"/>
      <c r="O315" s="15"/>
      <c r="P315" s="15"/>
      <c r="Q315" s="15"/>
      <c r="R315" s="15"/>
      <c r="S315" s="15"/>
      <c r="T315" s="15"/>
      <c r="U315" s="15"/>
      <c r="V315" s="15"/>
      <c r="W315" s="15"/>
      <c r="X315" s="15"/>
      <c r="Y315" s="15"/>
      <c r="Z315" s="15"/>
    </row>
    <row r="316" spans="1:26" ht="21" customHeight="1" x14ac:dyDescent="0.85">
      <c r="A316" s="15"/>
      <c r="B316" s="15"/>
      <c r="C316" s="15"/>
      <c r="D316" s="15"/>
      <c r="E316" s="15"/>
      <c r="F316" s="15"/>
      <c r="G316" s="15"/>
      <c r="H316" s="15"/>
      <c r="I316" s="15"/>
      <c r="J316" s="15"/>
      <c r="K316" s="15"/>
      <c r="L316" s="15"/>
      <c r="M316" s="15"/>
      <c r="N316" s="15"/>
      <c r="O316" s="15"/>
      <c r="P316" s="15"/>
      <c r="Q316" s="15"/>
      <c r="R316" s="15"/>
      <c r="S316" s="15"/>
      <c r="T316" s="15"/>
      <c r="U316" s="15"/>
      <c r="V316" s="15"/>
      <c r="W316" s="15"/>
      <c r="X316" s="15"/>
      <c r="Y316" s="15"/>
      <c r="Z316" s="15"/>
    </row>
    <row r="317" spans="1:26" ht="21" customHeight="1" x14ac:dyDescent="0.85">
      <c r="A317" s="15"/>
      <c r="B317" s="15"/>
      <c r="C317" s="15"/>
      <c r="D317" s="15"/>
      <c r="E317" s="15"/>
      <c r="F317" s="15"/>
      <c r="G317" s="15"/>
      <c r="H317" s="15"/>
      <c r="I317" s="15"/>
      <c r="J317" s="15"/>
      <c r="K317" s="15"/>
      <c r="L317" s="15"/>
      <c r="M317" s="15"/>
      <c r="N317" s="15"/>
      <c r="O317" s="15"/>
      <c r="P317" s="15"/>
      <c r="Q317" s="15"/>
      <c r="R317" s="15"/>
      <c r="S317" s="15"/>
      <c r="T317" s="15"/>
      <c r="U317" s="15"/>
      <c r="V317" s="15"/>
      <c r="W317" s="15"/>
      <c r="X317" s="15"/>
      <c r="Y317" s="15"/>
      <c r="Z317" s="15"/>
    </row>
    <row r="318" spans="1:26" ht="21" customHeight="1" x14ac:dyDescent="0.85">
      <c r="A318" s="15"/>
      <c r="B318" s="15"/>
      <c r="C318" s="15"/>
      <c r="D318" s="15"/>
      <c r="E318" s="15"/>
      <c r="F318" s="15"/>
      <c r="G318" s="15"/>
      <c r="H318" s="15"/>
      <c r="I318" s="15"/>
      <c r="J318" s="15"/>
      <c r="K318" s="15"/>
      <c r="L318" s="15"/>
      <c r="M318" s="15"/>
      <c r="N318" s="15"/>
      <c r="O318" s="15"/>
      <c r="P318" s="15"/>
      <c r="Q318" s="15"/>
      <c r="R318" s="15"/>
      <c r="S318" s="15"/>
      <c r="T318" s="15"/>
      <c r="U318" s="15"/>
      <c r="V318" s="15"/>
      <c r="W318" s="15"/>
      <c r="X318" s="15"/>
      <c r="Y318" s="15"/>
      <c r="Z318" s="15"/>
    </row>
    <row r="319" spans="1:26" ht="21" customHeight="1" x14ac:dyDescent="0.85">
      <c r="A319" s="15"/>
      <c r="B319" s="15"/>
      <c r="C319" s="15"/>
      <c r="D319" s="15"/>
      <c r="E319" s="15"/>
      <c r="F319" s="15"/>
      <c r="G319" s="15"/>
      <c r="H319" s="15"/>
      <c r="I319" s="15"/>
      <c r="J319" s="15"/>
      <c r="K319" s="15"/>
      <c r="L319" s="15"/>
      <c r="M319" s="15"/>
      <c r="N319" s="15"/>
      <c r="O319" s="15"/>
      <c r="P319" s="15"/>
      <c r="Q319" s="15"/>
      <c r="R319" s="15"/>
      <c r="S319" s="15"/>
      <c r="T319" s="15"/>
      <c r="U319" s="15"/>
      <c r="V319" s="15"/>
      <c r="W319" s="15"/>
      <c r="X319" s="15"/>
      <c r="Y319" s="15"/>
      <c r="Z319" s="15"/>
    </row>
    <row r="320" spans="1:26" ht="21" customHeight="1" x14ac:dyDescent="0.85">
      <c r="A320" s="15"/>
      <c r="B320" s="15"/>
      <c r="C320" s="15"/>
      <c r="D320" s="15"/>
      <c r="E320" s="15"/>
      <c r="F320" s="15"/>
      <c r="G320" s="15"/>
      <c r="H320" s="15"/>
      <c r="I320" s="15"/>
      <c r="J320" s="15"/>
      <c r="K320" s="15"/>
      <c r="L320" s="15"/>
      <c r="M320" s="15"/>
      <c r="N320" s="15"/>
      <c r="O320" s="15"/>
      <c r="P320" s="15"/>
      <c r="Q320" s="15"/>
      <c r="R320" s="15"/>
      <c r="S320" s="15"/>
      <c r="T320" s="15"/>
      <c r="U320" s="15"/>
      <c r="V320" s="15"/>
      <c r="W320" s="15"/>
      <c r="X320" s="15"/>
      <c r="Y320" s="15"/>
      <c r="Z320" s="15"/>
    </row>
    <row r="321" spans="1:26" ht="21" customHeight="1" x14ac:dyDescent="0.85">
      <c r="A321" s="15"/>
      <c r="B321" s="15"/>
      <c r="C321" s="15"/>
      <c r="D321" s="15"/>
      <c r="E321" s="15"/>
      <c r="F321" s="15"/>
      <c r="G321" s="15"/>
      <c r="H321" s="15"/>
      <c r="I321" s="15"/>
      <c r="J321" s="15"/>
      <c r="K321" s="15"/>
      <c r="L321" s="15"/>
      <c r="M321" s="15"/>
      <c r="N321" s="15"/>
      <c r="O321" s="15"/>
      <c r="P321" s="15"/>
      <c r="Q321" s="15"/>
      <c r="R321" s="15"/>
      <c r="S321" s="15"/>
      <c r="T321" s="15"/>
      <c r="U321" s="15"/>
      <c r="V321" s="15"/>
      <c r="W321" s="15"/>
      <c r="X321" s="15"/>
      <c r="Y321" s="15"/>
      <c r="Z321" s="15"/>
    </row>
    <row r="322" spans="1:26" ht="21" customHeight="1" x14ac:dyDescent="0.85">
      <c r="A322" s="15"/>
      <c r="B322" s="15"/>
      <c r="C322" s="15"/>
      <c r="D322" s="15"/>
      <c r="E322" s="15"/>
      <c r="F322" s="15"/>
      <c r="G322" s="15"/>
      <c r="H322" s="15"/>
      <c r="I322" s="15"/>
      <c r="J322" s="15"/>
      <c r="K322" s="15"/>
      <c r="L322" s="15"/>
      <c r="M322" s="15"/>
      <c r="N322" s="15"/>
      <c r="O322" s="15"/>
      <c r="P322" s="15"/>
      <c r="Q322" s="15"/>
      <c r="R322" s="15"/>
      <c r="S322" s="15"/>
      <c r="T322" s="15"/>
      <c r="U322" s="15"/>
      <c r="V322" s="15"/>
      <c r="W322" s="15"/>
      <c r="X322" s="15"/>
      <c r="Y322" s="15"/>
      <c r="Z322" s="15"/>
    </row>
    <row r="323" spans="1:26" ht="21" customHeight="1" x14ac:dyDescent="0.85">
      <c r="A323" s="15"/>
      <c r="B323" s="15"/>
      <c r="C323" s="15"/>
      <c r="D323" s="15"/>
      <c r="E323" s="15"/>
      <c r="F323" s="15"/>
      <c r="G323" s="15"/>
      <c r="H323" s="15"/>
      <c r="I323" s="15"/>
      <c r="J323" s="15"/>
      <c r="K323" s="15"/>
      <c r="L323" s="15"/>
      <c r="M323" s="15"/>
      <c r="N323" s="15"/>
      <c r="O323" s="15"/>
      <c r="P323" s="15"/>
      <c r="Q323" s="15"/>
      <c r="R323" s="15"/>
      <c r="S323" s="15"/>
      <c r="T323" s="15"/>
      <c r="U323" s="15"/>
      <c r="V323" s="15"/>
      <c r="W323" s="15"/>
      <c r="X323" s="15"/>
      <c r="Y323" s="15"/>
      <c r="Z323" s="15"/>
    </row>
    <row r="324" spans="1:26" ht="21" customHeight="1" x14ac:dyDescent="0.85">
      <c r="A324" s="15"/>
      <c r="B324" s="15"/>
      <c r="C324" s="15"/>
      <c r="D324" s="15"/>
      <c r="E324" s="15"/>
      <c r="F324" s="15"/>
      <c r="G324" s="15"/>
      <c r="H324" s="15"/>
      <c r="I324" s="15"/>
      <c r="J324" s="15"/>
      <c r="K324" s="15"/>
      <c r="L324" s="15"/>
      <c r="M324" s="15"/>
      <c r="N324" s="15"/>
      <c r="O324" s="15"/>
      <c r="P324" s="15"/>
      <c r="Q324" s="15"/>
      <c r="R324" s="15"/>
      <c r="S324" s="15"/>
      <c r="T324" s="15"/>
      <c r="U324" s="15"/>
      <c r="V324" s="15"/>
      <c r="W324" s="15"/>
      <c r="X324" s="15"/>
      <c r="Y324" s="15"/>
      <c r="Z324" s="15"/>
    </row>
    <row r="325" spans="1:26" ht="21" customHeight="1" x14ac:dyDescent="0.85">
      <c r="A325" s="15"/>
      <c r="B325" s="15"/>
      <c r="C325" s="15"/>
      <c r="D325" s="15"/>
      <c r="E325" s="15"/>
      <c r="F325" s="15"/>
      <c r="G325" s="15"/>
      <c r="H325" s="15"/>
      <c r="I325" s="15"/>
      <c r="J325" s="15"/>
      <c r="K325" s="15"/>
      <c r="L325" s="15"/>
      <c r="M325" s="15"/>
      <c r="N325" s="15"/>
      <c r="O325" s="15"/>
      <c r="P325" s="15"/>
      <c r="Q325" s="15"/>
      <c r="R325" s="15"/>
      <c r="S325" s="15"/>
      <c r="T325" s="15"/>
      <c r="U325" s="15"/>
      <c r="V325" s="15"/>
      <c r="W325" s="15"/>
      <c r="X325" s="15"/>
      <c r="Y325" s="15"/>
      <c r="Z325" s="15"/>
    </row>
    <row r="326" spans="1:26" ht="21" customHeight="1" x14ac:dyDescent="0.85">
      <c r="A326" s="15"/>
      <c r="B326" s="15"/>
      <c r="C326" s="15"/>
      <c r="D326" s="15"/>
      <c r="E326" s="15"/>
      <c r="F326" s="15"/>
      <c r="G326" s="15"/>
      <c r="H326" s="15"/>
      <c r="I326" s="15"/>
      <c r="J326" s="15"/>
      <c r="K326" s="15"/>
      <c r="L326" s="15"/>
      <c r="M326" s="15"/>
      <c r="N326" s="15"/>
      <c r="O326" s="15"/>
      <c r="P326" s="15"/>
      <c r="Q326" s="15"/>
      <c r="R326" s="15"/>
      <c r="S326" s="15"/>
      <c r="T326" s="15"/>
      <c r="U326" s="15"/>
      <c r="V326" s="15"/>
      <c r="W326" s="15"/>
      <c r="X326" s="15"/>
      <c r="Y326" s="15"/>
      <c r="Z326" s="15"/>
    </row>
    <row r="327" spans="1:26" ht="21" customHeight="1" x14ac:dyDescent="0.85">
      <c r="A327" s="15"/>
      <c r="B327" s="15"/>
      <c r="C327" s="15"/>
      <c r="D327" s="15"/>
      <c r="E327" s="15"/>
      <c r="F327" s="15"/>
      <c r="G327" s="15"/>
      <c r="H327" s="15"/>
      <c r="I327" s="15"/>
      <c r="J327" s="15"/>
      <c r="K327" s="15"/>
      <c r="L327" s="15"/>
      <c r="M327" s="15"/>
      <c r="N327" s="15"/>
      <c r="O327" s="15"/>
      <c r="P327" s="15"/>
      <c r="Q327" s="15"/>
      <c r="R327" s="15"/>
      <c r="S327" s="15"/>
      <c r="T327" s="15"/>
      <c r="U327" s="15"/>
      <c r="V327" s="15"/>
      <c r="W327" s="15"/>
      <c r="X327" s="15"/>
      <c r="Y327" s="15"/>
      <c r="Z327" s="15"/>
    </row>
    <row r="328" spans="1:26" ht="21" customHeight="1" x14ac:dyDescent="0.85">
      <c r="A328" s="15"/>
      <c r="B328" s="15"/>
      <c r="C328" s="15"/>
      <c r="D328" s="15"/>
      <c r="E328" s="15"/>
      <c r="F328" s="15"/>
      <c r="G328" s="15"/>
      <c r="H328" s="15"/>
      <c r="I328" s="15"/>
      <c r="J328" s="15"/>
      <c r="K328" s="15"/>
      <c r="L328" s="15"/>
      <c r="M328" s="15"/>
      <c r="N328" s="15"/>
      <c r="O328" s="15"/>
      <c r="P328" s="15"/>
      <c r="Q328" s="15"/>
      <c r="R328" s="15"/>
      <c r="S328" s="15"/>
      <c r="T328" s="15"/>
      <c r="U328" s="15"/>
      <c r="V328" s="15"/>
      <c r="W328" s="15"/>
      <c r="X328" s="15"/>
      <c r="Y328" s="15"/>
      <c r="Z328" s="15"/>
    </row>
    <row r="329" spans="1:26" ht="21" customHeight="1" x14ac:dyDescent="0.85">
      <c r="A329" s="15"/>
      <c r="B329" s="15"/>
      <c r="C329" s="15"/>
      <c r="D329" s="15"/>
      <c r="E329" s="15"/>
      <c r="F329" s="15"/>
      <c r="G329" s="15"/>
      <c r="H329" s="15"/>
      <c r="I329" s="15"/>
      <c r="J329" s="15"/>
      <c r="K329" s="15"/>
      <c r="L329" s="15"/>
      <c r="M329" s="15"/>
      <c r="N329" s="15"/>
      <c r="O329" s="15"/>
      <c r="P329" s="15"/>
      <c r="Q329" s="15"/>
      <c r="R329" s="15"/>
      <c r="S329" s="15"/>
      <c r="T329" s="15"/>
      <c r="U329" s="15"/>
      <c r="V329" s="15"/>
      <c r="W329" s="15"/>
      <c r="X329" s="15"/>
      <c r="Y329" s="15"/>
      <c r="Z329" s="15"/>
    </row>
    <row r="330" spans="1:26" ht="21" customHeight="1" x14ac:dyDescent="0.85">
      <c r="A330" s="15"/>
      <c r="B330" s="15"/>
      <c r="C330" s="15"/>
      <c r="D330" s="15"/>
      <c r="E330" s="15"/>
      <c r="F330" s="15"/>
      <c r="G330" s="15"/>
      <c r="H330" s="15"/>
      <c r="I330" s="15"/>
      <c r="J330" s="15"/>
      <c r="K330" s="15"/>
      <c r="L330" s="15"/>
      <c r="M330" s="15"/>
      <c r="N330" s="15"/>
      <c r="O330" s="15"/>
      <c r="P330" s="15"/>
      <c r="Q330" s="15"/>
      <c r="R330" s="15"/>
      <c r="S330" s="15"/>
      <c r="T330" s="15"/>
      <c r="U330" s="15"/>
      <c r="V330" s="15"/>
      <c r="W330" s="15"/>
      <c r="X330" s="15"/>
      <c r="Y330" s="15"/>
      <c r="Z330" s="15"/>
    </row>
    <row r="331" spans="1:26" ht="21" customHeight="1" x14ac:dyDescent="0.85">
      <c r="A331" s="15"/>
      <c r="B331" s="15"/>
      <c r="C331" s="15"/>
      <c r="D331" s="15"/>
      <c r="E331" s="15"/>
      <c r="F331" s="15"/>
      <c r="G331" s="15"/>
      <c r="H331" s="15"/>
      <c r="I331" s="15"/>
      <c r="J331" s="15"/>
      <c r="K331" s="15"/>
      <c r="L331" s="15"/>
      <c r="M331" s="15"/>
      <c r="N331" s="15"/>
      <c r="O331" s="15"/>
      <c r="P331" s="15"/>
      <c r="Q331" s="15"/>
      <c r="R331" s="15"/>
      <c r="S331" s="15"/>
      <c r="T331" s="15"/>
      <c r="U331" s="15"/>
      <c r="V331" s="15"/>
      <c r="W331" s="15"/>
      <c r="X331" s="15"/>
      <c r="Y331" s="15"/>
      <c r="Z331" s="15"/>
    </row>
    <row r="332" spans="1:26" ht="21" customHeight="1" x14ac:dyDescent="0.85">
      <c r="A332" s="15"/>
      <c r="B332" s="15"/>
      <c r="C332" s="15"/>
      <c r="D332" s="15"/>
      <c r="E332" s="15"/>
      <c r="F332" s="15"/>
      <c r="G332" s="15"/>
      <c r="H332" s="15"/>
      <c r="I332" s="15"/>
      <c r="J332" s="15"/>
      <c r="K332" s="15"/>
      <c r="L332" s="15"/>
      <c r="M332" s="15"/>
      <c r="N332" s="15"/>
      <c r="O332" s="15"/>
      <c r="P332" s="15"/>
      <c r="Q332" s="15"/>
      <c r="R332" s="15"/>
      <c r="S332" s="15"/>
      <c r="T332" s="15"/>
      <c r="U332" s="15"/>
      <c r="V332" s="15"/>
      <c r="W332" s="15"/>
      <c r="X332" s="15"/>
      <c r="Y332" s="15"/>
      <c r="Z332" s="15"/>
    </row>
    <row r="333" spans="1:26" ht="21" customHeight="1" x14ac:dyDescent="0.85">
      <c r="A333" s="15"/>
      <c r="B333" s="15"/>
      <c r="C333" s="15"/>
      <c r="D333" s="15"/>
      <c r="E333" s="15"/>
      <c r="F333" s="15"/>
      <c r="G333" s="15"/>
      <c r="H333" s="15"/>
      <c r="I333" s="15"/>
      <c r="J333" s="15"/>
      <c r="K333" s="15"/>
      <c r="L333" s="15"/>
      <c r="M333" s="15"/>
      <c r="N333" s="15"/>
      <c r="O333" s="15"/>
      <c r="P333" s="15"/>
      <c r="Q333" s="15"/>
      <c r="R333" s="15"/>
      <c r="S333" s="15"/>
      <c r="T333" s="15"/>
      <c r="U333" s="15"/>
      <c r="V333" s="15"/>
      <c r="W333" s="15"/>
      <c r="X333" s="15"/>
      <c r="Y333" s="15"/>
      <c r="Z333" s="15"/>
    </row>
    <row r="334" spans="1:26" ht="21" customHeight="1" x14ac:dyDescent="0.85">
      <c r="A334" s="15"/>
      <c r="B334" s="15"/>
      <c r="C334" s="15"/>
      <c r="D334" s="15"/>
      <c r="E334" s="15"/>
      <c r="F334" s="15"/>
      <c r="G334" s="15"/>
      <c r="H334" s="15"/>
      <c r="I334" s="15"/>
      <c r="J334" s="15"/>
      <c r="K334" s="15"/>
      <c r="L334" s="15"/>
      <c r="M334" s="15"/>
      <c r="N334" s="15"/>
      <c r="O334" s="15"/>
      <c r="P334" s="15"/>
      <c r="Q334" s="15"/>
      <c r="R334" s="15"/>
      <c r="S334" s="15"/>
      <c r="T334" s="15"/>
      <c r="U334" s="15"/>
      <c r="V334" s="15"/>
      <c r="W334" s="15"/>
      <c r="X334" s="15"/>
      <c r="Y334" s="15"/>
      <c r="Z334" s="15"/>
    </row>
    <row r="335" spans="1:26" ht="21" customHeight="1" x14ac:dyDescent="0.85">
      <c r="A335" s="15"/>
      <c r="B335" s="15"/>
      <c r="C335" s="15"/>
      <c r="D335" s="15"/>
      <c r="E335" s="15"/>
      <c r="F335" s="15"/>
      <c r="G335" s="15"/>
      <c r="H335" s="15"/>
      <c r="I335" s="15"/>
      <c r="J335" s="15"/>
      <c r="K335" s="15"/>
      <c r="L335" s="15"/>
      <c r="M335" s="15"/>
      <c r="N335" s="15"/>
      <c r="O335" s="15"/>
      <c r="P335" s="15"/>
      <c r="Q335" s="15"/>
      <c r="R335" s="15"/>
      <c r="S335" s="15"/>
      <c r="T335" s="15"/>
      <c r="U335" s="15"/>
      <c r="V335" s="15"/>
      <c r="W335" s="15"/>
      <c r="X335" s="15"/>
      <c r="Y335" s="15"/>
      <c r="Z335" s="15"/>
    </row>
    <row r="336" spans="1:26" ht="21" customHeight="1" x14ac:dyDescent="0.85">
      <c r="A336" s="15"/>
      <c r="B336" s="15"/>
      <c r="C336" s="15"/>
      <c r="D336" s="15"/>
      <c r="E336" s="15"/>
      <c r="F336" s="15"/>
      <c r="G336" s="15"/>
      <c r="H336" s="15"/>
      <c r="I336" s="15"/>
      <c r="J336" s="15"/>
      <c r="K336" s="15"/>
      <c r="L336" s="15"/>
      <c r="M336" s="15"/>
      <c r="N336" s="15"/>
      <c r="O336" s="15"/>
      <c r="P336" s="15"/>
      <c r="Q336" s="15"/>
      <c r="R336" s="15"/>
      <c r="S336" s="15"/>
      <c r="T336" s="15"/>
      <c r="U336" s="15"/>
      <c r="V336" s="15"/>
      <c r="W336" s="15"/>
      <c r="X336" s="15"/>
      <c r="Y336" s="15"/>
      <c r="Z336" s="15"/>
    </row>
    <row r="337" spans="1:26" ht="21" customHeight="1" x14ac:dyDescent="0.85">
      <c r="A337" s="15"/>
      <c r="B337" s="15"/>
      <c r="C337" s="15"/>
      <c r="D337" s="15"/>
      <c r="E337" s="15"/>
      <c r="F337" s="15"/>
      <c r="G337" s="15"/>
      <c r="H337" s="15"/>
      <c r="I337" s="15"/>
      <c r="J337" s="15"/>
      <c r="K337" s="15"/>
      <c r="L337" s="15"/>
      <c r="M337" s="15"/>
      <c r="N337" s="15"/>
      <c r="O337" s="15"/>
      <c r="P337" s="15"/>
      <c r="Q337" s="15"/>
      <c r="R337" s="15"/>
      <c r="S337" s="15"/>
      <c r="T337" s="15"/>
      <c r="U337" s="15"/>
      <c r="V337" s="15"/>
      <c r="W337" s="15"/>
      <c r="X337" s="15"/>
      <c r="Y337" s="15"/>
      <c r="Z337" s="15"/>
    </row>
    <row r="338" spans="1:26" ht="21" customHeight="1" x14ac:dyDescent="0.85">
      <c r="A338" s="15"/>
      <c r="B338" s="15"/>
      <c r="C338" s="15"/>
      <c r="D338" s="15"/>
      <c r="E338" s="15"/>
      <c r="F338" s="15"/>
      <c r="G338" s="15"/>
      <c r="H338" s="15"/>
      <c r="I338" s="15"/>
      <c r="J338" s="15"/>
      <c r="K338" s="15"/>
      <c r="L338" s="15"/>
      <c r="M338" s="15"/>
      <c r="N338" s="15"/>
      <c r="O338" s="15"/>
      <c r="P338" s="15"/>
      <c r="Q338" s="15"/>
      <c r="R338" s="15"/>
      <c r="S338" s="15"/>
      <c r="T338" s="15"/>
      <c r="U338" s="15"/>
      <c r="V338" s="15"/>
      <c r="W338" s="15"/>
      <c r="X338" s="15"/>
      <c r="Y338" s="15"/>
      <c r="Z338" s="15"/>
    </row>
    <row r="339" spans="1:26" ht="21" customHeight="1" x14ac:dyDescent="0.85">
      <c r="A339" s="15"/>
      <c r="B339" s="15"/>
      <c r="C339" s="15"/>
      <c r="D339" s="15"/>
      <c r="E339" s="15"/>
      <c r="F339" s="15"/>
      <c r="G339" s="15"/>
      <c r="H339" s="15"/>
      <c r="I339" s="15"/>
      <c r="J339" s="15"/>
      <c r="K339" s="15"/>
      <c r="L339" s="15"/>
      <c r="M339" s="15"/>
      <c r="N339" s="15"/>
      <c r="O339" s="15"/>
      <c r="P339" s="15"/>
      <c r="Q339" s="15"/>
      <c r="R339" s="15"/>
      <c r="S339" s="15"/>
      <c r="T339" s="15"/>
      <c r="U339" s="15"/>
      <c r="V339" s="15"/>
      <c r="W339" s="15"/>
      <c r="X339" s="15"/>
      <c r="Y339" s="15"/>
      <c r="Z339" s="15"/>
    </row>
    <row r="340" spans="1:26" ht="21" customHeight="1" x14ac:dyDescent="0.85">
      <c r="A340" s="15"/>
      <c r="B340" s="15"/>
      <c r="C340" s="15"/>
      <c r="D340" s="15"/>
      <c r="E340" s="15"/>
      <c r="F340" s="15"/>
      <c r="G340" s="15"/>
      <c r="H340" s="15"/>
      <c r="I340" s="15"/>
      <c r="J340" s="15"/>
      <c r="K340" s="15"/>
      <c r="L340" s="15"/>
      <c r="M340" s="15"/>
      <c r="N340" s="15"/>
      <c r="O340" s="15"/>
      <c r="P340" s="15"/>
      <c r="Q340" s="15"/>
      <c r="R340" s="15"/>
      <c r="S340" s="15"/>
      <c r="T340" s="15"/>
      <c r="U340" s="15"/>
      <c r="V340" s="15"/>
      <c r="W340" s="15"/>
      <c r="X340" s="15"/>
      <c r="Y340" s="15"/>
      <c r="Z340" s="15"/>
    </row>
    <row r="341" spans="1:26" ht="21" customHeight="1" x14ac:dyDescent="0.85">
      <c r="A341" s="15"/>
      <c r="B341" s="15"/>
      <c r="C341" s="15"/>
      <c r="D341" s="15"/>
      <c r="E341" s="15"/>
      <c r="F341" s="15"/>
      <c r="G341" s="15"/>
      <c r="H341" s="15"/>
      <c r="I341" s="15"/>
      <c r="J341" s="15"/>
      <c r="K341" s="15"/>
      <c r="L341" s="15"/>
      <c r="M341" s="15"/>
      <c r="N341" s="15"/>
      <c r="O341" s="15"/>
      <c r="P341" s="15"/>
      <c r="Q341" s="15"/>
      <c r="R341" s="15"/>
      <c r="S341" s="15"/>
      <c r="T341" s="15"/>
      <c r="U341" s="15"/>
      <c r="V341" s="15"/>
      <c r="W341" s="15"/>
      <c r="X341" s="15"/>
      <c r="Y341" s="15"/>
      <c r="Z341" s="15"/>
    </row>
    <row r="342" spans="1:26" ht="21" customHeight="1" x14ac:dyDescent="0.85">
      <c r="A342" s="15"/>
      <c r="B342" s="15"/>
      <c r="C342" s="15"/>
      <c r="D342" s="15"/>
      <c r="E342" s="15"/>
      <c r="F342" s="15"/>
      <c r="G342" s="15"/>
      <c r="H342" s="15"/>
      <c r="I342" s="15"/>
      <c r="J342" s="15"/>
      <c r="K342" s="15"/>
      <c r="L342" s="15"/>
      <c r="M342" s="15"/>
      <c r="N342" s="15"/>
      <c r="O342" s="15"/>
      <c r="P342" s="15"/>
      <c r="Q342" s="15"/>
      <c r="R342" s="15"/>
      <c r="S342" s="15"/>
      <c r="T342" s="15"/>
      <c r="U342" s="15"/>
      <c r="V342" s="15"/>
      <c r="W342" s="15"/>
      <c r="X342" s="15"/>
      <c r="Y342" s="15"/>
      <c r="Z342" s="15"/>
    </row>
    <row r="343" spans="1:26" ht="21" customHeight="1" x14ac:dyDescent="0.85">
      <c r="A343" s="15"/>
      <c r="B343" s="15"/>
      <c r="C343" s="15"/>
      <c r="D343" s="15"/>
      <c r="E343" s="15"/>
      <c r="F343" s="15"/>
      <c r="G343" s="15"/>
      <c r="H343" s="15"/>
      <c r="I343" s="15"/>
      <c r="J343" s="15"/>
      <c r="K343" s="15"/>
      <c r="L343" s="15"/>
      <c r="M343" s="15"/>
      <c r="N343" s="15"/>
      <c r="O343" s="15"/>
      <c r="P343" s="15"/>
      <c r="Q343" s="15"/>
      <c r="R343" s="15"/>
      <c r="S343" s="15"/>
      <c r="T343" s="15"/>
      <c r="U343" s="15"/>
      <c r="V343" s="15"/>
      <c r="W343" s="15"/>
      <c r="X343" s="15"/>
      <c r="Y343" s="15"/>
      <c r="Z343" s="15"/>
    </row>
    <row r="344" spans="1:26" ht="21" customHeight="1" x14ac:dyDescent="0.85">
      <c r="A344" s="15"/>
      <c r="B344" s="15"/>
      <c r="C344" s="15"/>
      <c r="D344" s="15"/>
      <c r="E344" s="15"/>
      <c r="F344" s="15"/>
      <c r="G344" s="15"/>
      <c r="H344" s="15"/>
      <c r="I344" s="15"/>
      <c r="J344" s="15"/>
      <c r="K344" s="15"/>
      <c r="L344" s="15"/>
      <c r="M344" s="15"/>
      <c r="N344" s="15"/>
      <c r="O344" s="15"/>
      <c r="P344" s="15"/>
      <c r="Q344" s="15"/>
      <c r="R344" s="15"/>
      <c r="S344" s="15"/>
      <c r="T344" s="15"/>
      <c r="U344" s="15"/>
      <c r="V344" s="15"/>
      <c r="W344" s="15"/>
      <c r="X344" s="15"/>
      <c r="Y344" s="15"/>
      <c r="Z344" s="15"/>
    </row>
    <row r="345" spans="1:26" ht="21" customHeight="1" x14ac:dyDescent="0.85">
      <c r="A345" s="15"/>
      <c r="B345" s="15"/>
      <c r="C345" s="15"/>
      <c r="D345" s="15"/>
      <c r="E345" s="15"/>
      <c r="F345" s="15"/>
      <c r="G345" s="15"/>
      <c r="H345" s="15"/>
      <c r="I345" s="15"/>
      <c r="J345" s="15"/>
      <c r="K345" s="15"/>
      <c r="L345" s="15"/>
      <c r="M345" s="15"/>
      <c r="N345" s="15"/>
      <c r="O345" s="15"/>
      <c r="P345" s="15"/>
      <c r="Q345" s="15"/>
      <c r="R345" s="15"/>
      <c r="S345" s="15"/>
      <c r="T345" s="15"/>
      <c r="U345" s="15"/>
      <c r="V345" s="15"/>
      <c r="W345" s="15"/>
      <c r="X345" s="15"/>
      <c r="Y345" s="15"/>
      <c r="Z345" s="15"/>
    </row>
    <row r="346" spans="1:26" ht="21" customHeight="1" x14ac:dyDescent="0.85">
      <c r="A346" s="15"/>
      <c r="B346" s="15"/>
      <c r="C346" s="15"/>
      <c r="D346" s="15"/>
      <c r="E346" s="15"/>
      <c r="F346" s="15"/>
      <c r="G346" s="15"/>
      <c r="H346" s="15"/>
      <c r="I346" s="15"/>
      <c r="J346" s="15"/>
      <c r="K346" s="15"/>
      <c r="L346" s="15"/>
      <c r="M346" s="15"/>
      <c r="N346" s="15"/>
      <c r="O346" s="15"/>
      <c r="P346" s="15"/>
      <c r="Q346" s="15"/>
      <c r="R346" s="15"/>
      <c r="S346" s="15"/>
      <c r="T346" s="15"/>
      <c r="U346" s="15"/>
      <c r="V346" s="15"/>
      <c r="W346" s="15"/>
      <c r="X346" s="15"/>
      <c r="Y346" s="15"/>
      <c r="Z346" s="15"/>
    </row>
    <row r="347" spans="1:26" ht="21" customHeight="1" x14ac:dyDescent="0.85">
      <c r="A347" s="15"/>
      <c r="B347" s="15"/>
      <c r="C347" s="15"/>
      <c r="D347" s="15"/>
      <c r="E347" s="15"/>
      <c r="F347" s="15"/>
      <c r="G347" s="15"/>
      <c r="H347" s="15"/>
      <c r="I347" s="15"/>
      <c r="J347" s="15"/>
      <c r="K347" s="15"/>
      <c r="L347" s="15"/>
      <c r="M347" s="15"/>
      <c r="N347" s="15"/>
      <c r="O347" s="15"/>
      <c r="P347" s="15"/>
      <c r="Q347" s="15"/>
      <c r="R347" s="15"/>
      <c r="S347" s="15"/>
      <c r="T347" s="15"/>
      <c r="U347" s="15"/>
      <c r="V347" s="15"/>
      <c r="W347" s="15"/>
      <c r="X347" s="15"/>
      <c r="Y347" s="15"/>
      <c r="Z347" s="15"/>
    </row>
    <row r="348" spans="1:26" ht="21" customHeight="1" x14ac:dyDescent="0.85">
      <c r="A348" s="15"/>
      <c r="B348" s="15"/>
      <c r="C348" s="15"/>
      <c r="D348" s="15"/>
      <c r="E348" s="15"/>
      <c r="F348" s="15"/>
      <c r="G348" s="15"/>
      <c r="H348" s="15"/>
      <c r="I348" s="15"/>
      <c r="J348" s="15"/>
      <c r="K348" s="15"/>
      <c r="L348" s="15"/>
      <c r="M348" s="15"/>
      <c r="N348" s="15"/>
      <c r="O348" s="15"/>
      <c r="P348" s="15"/>
      <c r="Q348" s="15"/>
      <c r="R348" s="15"/>
      <c r="S348" s="15"/>
      <c r="T348" s="15"/>
      <c r="U348" s="15"/>
      <c r="V348" s="15"/>
      <c r="W348" s="15"/>
      <c r="X348" s="15"/>
      <c r="Y348" s="15"/>
      <c r="Z348" s="15"/>
    </row>
    <row r="349" spans="1:26" ht="21" customHeight="1" x14ac:dyDescent="0.85">
      <c r="A349" s="15"/>
      <c r="B349" s="15"/>
      <c r="C349" s="15"/>
      <c r="D349" s="15"/>
      <c r="E349" s="15"/>
      <c r="F349" s="15"/>
      <c r="G349" s="15"/>
      <c r="H349" s="15"/>
      <c r="I349" s="15"/>
      <c r="J349" s="15"/>
      <c r="K349" s="15"/>
      <c r="L349" s="15"/>
      <c r="M349" s="15"/>
      <c r="N349" s="15"/>
      <c r="O349" s="15"/>
      <c r="P349" s="15"/>
      <c r="Q349" s="15"/>
      <c r="R349" s="15"/>
      <c r="S349" s="15"/>
      <c r="T349" s="15"/>
      <c r="U349" s="15"/>
      <c r="V349" s="15"/>
      <c r="W349" s="15"/>
      <c r="X349" s="15"/>
      <c r="Y349" s="15"/>
      <c r="Z349" s="15"/>
    </row>
    <row r="350" spans="1:26" ht="21" customHeight="1" x14ac:dyDescent="0.85">
      <c r="A350" s="15"/>
      <c r="B350" s="15"/>
      <c r="C350" s="15"/>
      <c r="D350" s="15"/>
      <c r="E350" s="15"/>
      <c r="F350" s="15"/>
      <c r="G350" s="15"/>
      <c r="H350" s="15"/>
      <c r="I350" s="15"/>
      <c r="J350" s="15"/>
      <c r="K350" s="15"/>
      <c r="L350" s="15"/>
      <c r="M350" s="15"/>
      <c r="N350" s="15"/>
      <c r="O350" s="15"/>
      <c r="P350" s="15"/>
      <c r="Q350" s="15"/>
      <c r="R350" s="15"/>
      <c r="S350" s="15"/>
      <c r="T350" s="15"/>
      <c r="U350" s="15"/>
      <c r="V350" s="15"/>
      <c r="W350" s="15"/>
      <c r="X350" s="15"/>
      <c r="Y350" s="15"/>
      <c r="Z350" s="15"/>
    </row>
    <row r="351" spans="1:26" ht="21" customHeight="1" x14ac:dyDescent="0.85">
      <c r="A351" s="15"/>
      <c r="B351" s="15"/>
      <c r="C351" s="15"/>
      <c r="D351" s="15"/>
      <c r="E351" s="15"/>
      <c r="F351" s="15"/>
      <c r="G351" s="15"/>
      <c r="H351" s="15"/>
      <c r="I351" s="15"/>
      <c r="J351" s="15"/>
      <c r="K351" s="15"/>
      <c r="L351" s="15"/>
      <c r="M351" s="15"/>
      <c r="N351" s="15"/>
      <c r="O351" s="15"/>
      <c r="P351" s="15"/>
      <c r="Q351" s="15"/>
      <c r="R351" s="15"/>
      <c r="S351" s="15"/>
      <c r="T351" s="15"/>
      <c r="U351" s="15"/>
      <c r="V351" s="15"/>
      <c r="W351" s="15"/>
      <c r="X351" s="15"/>
      <c r="Y351" s="15"/>
      <c r="Z351" s="15"/>
    </row>
    <row r="352" spans="1:26" ht="21" customHeight="1" x14ac:dyDescent="0.85">
      <c r="A352" s="15"/>
      <c r="B352" s="15"/>
      <c r="C352" s="15"/>
      <c r="D352" s="15"/>
      <c r="E352" s="15"/>
      <c r="F352" s="15"/>
      <c r="G352" s="15"/>
      <c r="H352" s="15"/>
      <c r="I352" s="15"/>
      <c r="J352" s="15"/>
      <c r="K352" s="15"/>
      <c r="L352" s="15"/>
      <c r="M352" s="15"/>
      <c r="N352" s="15"/>
      <c r="O352" s="15"/>
      <c r="P352" s="15"/>
      <c r="Q352" s="15"/>
      <c r="R352" s="15"/>
      <c r="S352" s="15"/>
      <c r="T352" s="15"/>
      <c r="U352" s="15"/>
      <c r="V352" s="15"/>
      <c r="W352" s="15"/>
      <c r="X352" s="15"/>
      <c r="Y352" s="15"/>
      <c r="Z352" s="15"/>
    </row>
    <row r="353" spans="1:26" ht="21" customHeight="1" x14ac:dyDescent="0.85">
      <c r="A353" s="15"/>
      <c r="B353" s="15"/>
      <c r="C353" s="15"/>
      <c r="D353" s="15"/>
      <c r="E353" s="15"/>
      <c r="F353" s="15"/>
      <c r="G353" s="15"/>
      <c r="H353" s="15"/>
      <c r="I353" s="15"/>
      <c r="J353" s="15"/>
      <c r="K353" s="15"/>
      <c r="L353" s="15"/>
      <c r="M353" s="15"/>
      <c r="N353" s="15"/>
      <c r="O353" s="15"/>
      <c r="P353" s="15"/>
      <c r="Q353" s="15"/>
      <c r="R353" s="15"/>
      <c r="S353" s="15"/>
      <c r="T353" s="15"/>
      <c r="U353" s="15"/>
      <c r="V353" s="15"/>
      <c r="W353" s="15"/>
      <c r="X353" s="15"/>
      <c r="Y353" s="15"/>
      <c r="Z353" s="15"/>
    </row>
    <row r="354" spans="1:26" ht="21" customHeight="1" x14ac:dyDescent="0.85">
      <c r="A354" s="15"/>
      <c r="B354" s="15"/>
      <c r="C354" s="15"/>
      <c r="D354" s="15"/>
      <c r="E354" s="15"/>
      <c r="F354" s="15"/>
      <c r="G354" s="15"/>
      <c r="H354" s="15"/>
      <c r="I354" s="15"/>
      <c r="J354" s="15"/>
      <c r="K354" s="15"/>
      <c r="L354" s="15"/>
      <c r="M354" s="15"/>
      <c r="N354" s="15"/>
      <c r="O354" s="15"/>
      <c r="P354" s="15"/>
      <c r="Q354" s="15"/>
      <c r="R354" s="15"/>
      <c r="S354" s="15"/>
      <c r="T354" s="15"/>
      <c r="U354" s="15"/>
      <c r="V354" s="15"/>
      <c r="W354" s="15"/>
      <c r="X354" s="15"/>
      <c r="Y354" s="15"/>
      <c r="Z354" s="15"/>
    </row>
    <row r="355" spans="1:26" ht="21" customHeight="1" x14ac:dyDescent="0.85">
      <c r="A355" s="15"/>
      <c r="B355" s="15"/>
      <c r="C355" s="15"/>
      <c r="D355" s="15"/>
      <c r="E355" s="15"/>
      <c r="F355" s="15"/>
      <c r="G355" s="15"/>
      <c r="H355" s="15"/>
      <c r="I355" s="15"/>
      <c r="J355" s="15"/>
      <c r="K355" s="15"/>
      <c r="L355" s="15"/>
      <c r="M355" s="15"/>
      <c r="N355" s="15"/>
      <c r="O355" s="15"/>
      <c r="P355" s="15"/>
      <c r="Q355" s="15"/>
      <c r="R355" s="15"/>
      <c r="S355" s="15"/>
      <c r="T355" s="15"/>
      <c r="U355" s="15"/>
      <c r="V355" s="15"/>
      <c r="W355" s="15"/>
      <c r="X355" s="15"/>
      <c r="Y355" s="15"/>
      <c r="Z355" s="15"/>
    </row>
    <row r="356" spans="1:26" ht="21" customHeight="1" x14ac:dyDescent="0.85">
      <c r="A356" s="15"/>
      <c r="B356" s="15"/>
      <c r="C356" s="15"/>
      <c r="D356" s="15"/>
      <c r="E356" s="15"/>
      <c r="F356" s="15"/>
      <c r="G356" s="15"/>
      <c r="H356" s="15"/>
      <c r="I356" s="15"/>
      <c r="J356" s="15"/>
      <c r="K356" s="15"/>
      <c r="L356" s="15"/>
      <c r="M356" s="15"/>
      <c r="N356" s="15"/>
      <c r="O356" s="15"/>
      <c r="P356" s="15"/>
      <c r="Q356" s="15"/>
      <c r="R356" s="15"/>
      <c r="S356" s="15"/>
      <c r="T356" s="15"/>
      <c r="U356" s="15"/>
      <c r="V356" s="15"/>
      <c r="W356" s="15"/>
      <c r="X356" s="15"/>
      <c r="Y356" s="15"/>
      <c r="Z356" s="15"/>
    </row>
    <row r="357" spans="1:26" ht="21" customHeight="1" x14ac:dyDescent="0.85">
      <c r="A357" s="15"/>
      <c r="B357" s="15"/>
      <c r="C357" s="15"/>
      <c r="D357" s="15"/>
      <c r="E357" s="15"/>
      <c r="F357" s="15"/>
      <c r="G357" s="15"/>
      <c r="H357" s="15"/>
      <c r="I357" s="15"/>
      <c r="J357" s="15"/>
      <c r="K357" s="15"/>
      <c r="L357" s="15"/>
      <c r="M357" s="15"/>
      <c r="N357" s="15"/>
      <c r="O357" s="15"/>
      <c r="P357" s="15"/>
      <c r="Q357" s="15"/>
      <c r="R357" s="15"/>
      <c r="S357" s="15"/>
      <c r="T357" s="15"/>
      <c r="U357" s="15"/>
      <c r="V357" s="15"/>
      <c r="W357" s="15"/>
      <c r="X357" s="15"/>
      <c r="Y357" s="15"/>
      <c r="Z357" s="15"/>
    </row>
    <row r="358" spans="1:26" ht="21" customHeight="1" x14ac:dyDescent="0.85">
      <c r="A358" s="15"/>
      <c r="B358" s="15"/>
      <c r="C358" s="15"/>
      <c r="D358" s="15"/>
      <c r="E358" s="15"/>
      <c r="F358" s="15"/>
      <c r="G358" s="15"/>
      <c r="H358" s="15"/>
      <c r="I358" s="15"/>
      <c r="J358" s="15"/>
      <c r="K358" s="15"/>
      <c r="L358" s="15"/>
      <c r="M358" s="15"/>
      <c r="N358" s="15"/>
      <c r="O358" s="15"/>
      <c r="P358" s="15"/>
      <c r="Q358" s="15"/>
      <c r="R358" s="15"/>
      <c r="S358" s="15"/>
      <c r="T358" s="15"/>
      <c r="U358" s="15"/>
      <c r="V358" s="15"/>
      <c r="W358" s="15"/>
      <c r="X358" s="15"/>
      <c r="Y358" s="15"/>
      <c r="Z358" s="15"/>
    </row>
    <row r="359" spans="1:26" ht="21" customHeight="1" x14ac:dyDescent="0.85">
      <c r="A359" s="15"/>
      <c r="B359" s="15"/>
      <c r="C359" s="15"/>
      <c r="D359" s="15"/>
      <c r="E359" s="15"/>
      <c r="F359" s="15"/>
      <c r="G359" s="15"/>
      <c r="H359" s="15"/>
      <c r="I359" s="15"/>
      <c r="J359" s="15"/>
      <c r="K359" s="15"/>
      <c r="L359" s="15"/>
      <c r="M359" s="15"/>
      <c r="N359" s="15"/>
      <c r="O359" s="15"/>
      <c r="P359" s="15"/>
      <c r="Q359" s="15"/>
      <c r="R359" s="15"/>
      <c r="S359" s="15"/>
      <c r="T359" s="15"/>
      <c r="U359" s="15"/>
      <c r="V359" s="15"/>
      <c r="W359" s="15"/>
      <c r="X359" s="15"/>
      <c r="Y359" s="15"/>
      <c r="Z359" s="15"/>
    </row>
    <row r="360" spans="1:26" ht="21" customHeight="1" x14ac:dyDescent="0.85">
      <c r="A360" s="15"/>
      <c r="B360" s="15"/>
      <c r="C360" s="15"/>
      <c r="D360" s="15"/>
      <c r="E360" s="15"/>
      <c r="F360" s="15"/>
      <c r="G360" s="15"/>
      <c r="H360" s="15"/>
      <c r="I360" s="15"/>
      <c r="J360" s="15"/>
      <c r="K360" s="15"/>
      <c r="L360" s="15"/>
      <c r="M360" s="15"/>
      <c r="N360" s="15"/>
      <c r="O360" s="15"/>
      <c r="P360" s="15"/>
      <c r="Q360" s="15"/>
      <c r="R360" s="15"/>
      <c r="S360" s="15"/>
      <c r="T360" s="15"/>
      <c r="U360" s="15"/>
      <c r="V360" s="15"/>
      <c r="W360" s="15"/>
      <c r="X360" s="15"/>
      <c r="Y360" s="15"/>
      <c r="Z360" s="15"/>
    </row>
    <row r="361" spans="1:26" ht="21" customHeight="1" x14ac:dyDescent="0.85">
      <c r="A361" s="15"/>
      <c r="B361" s="15"/>
      <c r="C361" s="15"/>
      <c r="D361" s="15"/>
      <c r="E361" s="15"/>
      <c r="F361" s="15"/>
      <c r="G361" s="15"/>
      <c r="H361" s="15"/>
      <c r="I361" s="15"/>
      <c r="J361" s="15"/>
      <c r="K361" s="15"/>
      <c r="L361" s="15"/>
      <c r="M361" s="15"/>
      <c r="N361" s="15"/>
      <c r="O361" s="15"/>
      <c r="P361" s="15"/>
      <c r="Q361" s="15"/>
      <c r="R361" s="15"/>
      <c r="S361" s="15"/>
      <c r="T361" s="15"/>
      <c r="U361" s="15"/>
      <c r="V361" s="15"/>
      <c r="W361" s="15"/>
      <c r="X361" s="15"/>
      <c r="Y361" s="15"/>
      <c r="Z361" s="15"/>
    </row>
    <row r="362" spans="1:26" ht="21" customHeight="1" x14ac:dyDescent="0.85">
      <c r="A362" s="15"/>
      <c r="B362" s="15"/>
      <c r="C362" s="15"/>
      <c r="D362" s="15"/>
      <c r="E362" s="15"/>
      <c r="F362" s="15"/>
      <c r="G362" s="15"/>
      <c r="H362" s="15"/>
      <c r="I362" s="15"/>
      <c r="J362" s="15"/>
      <c r="K362" s="15"/>
      <c r="L362" s="15"/>
      <c r="M362" s="15"/>
      <c r="N362" s="15"/>
      <c r="O362" s="15"/>
      <c r="P362" s="15"/>
      <c r="Q362" s="15"/>
      <c r="R362" s="15"/>
      <c r="S362" s="15"/>
      <c r="T362" s="15"/>
      <c r="U362" s="15"/>
      <c r="V362" s="15"/>
      <c r="W362" s="15"/>
      <c r="X362" s="15"/>
      <c r="Y362" s="15"/>
      <c r="Z362" s="15"/>
    </row>
    <row r="363" spans="1:26" ht="21" customHeight="1" x14ac:dyDescent="0.85">
      <c r="A363" s="15"/>
      <c r="B363" s="15"/>
      <c r="C363" s="15"/>
      <c r="D363" s="15"/>
      <c r="E363" s="15"/>
      <c r="F363" s="15"/>
      <c r="G363" s="15"/>
      <c r="H363" s="15"/>
      <c r="I363" s="15"/>
      <c r="J363" s="15"/>
      <c r="K363" s="15"/>
      <c r="L363" s="15"/>
      <c r="M363" s="15"/>
      <c r="N363" s="15"/>
      <c r="O363" s="15"/>
      <c r="P363" s="15"/>
      <c r="Q363" s="15"/>
      <c r="R363" s="15"/>
      <c r="S363" s="15"/>
      <c r="T363" s="15"/>
      <c r="U363" s="15"/>
      <c r="V363" s="15"/>
      <c r="W363" s="15"/>
      <c r="X363" s="15"/>
      <c r="Y363" s="15"/>
      <c r="Z363" s="15"/>
    </row>
    <row r="364" spans="1:26" ht="21" customHeight="1" x14ac:dyDescent="0.85">
      <c r="A364" s="15"/>
      <c r="B364" s="15"/>
      <c r="C364" s="15"/>
      <c r="D364" s="15"/>
      <c r="E364" s="15"/>
      <c r="F364" s="15"/>
      <c r="G364" s="15"/>
      <c r="H364" s="15"/>
      <c r="I364" s="15"/>
      <c r="J364" s="15"/>
      <c r="K364" s="15"/>
      <c r="L364" s="15"/>
      <c r="M364" s="15"/>
      <c r="N364" s="15"/>
      <c r="O364" s="15"/>
      <c r="P364" s="15"/>
      <c r="Q364" s="15"/>
      <c r="R364" s="15"/>
      <c r="S364" s="15"/>
      <c r="T364" s="15"/>
      <c r="U364" s="15"/>
      <c r="V364" s="15"/>
      <c r="W364" s="15"/>
      <c r="X364" s="15"/>
      <c r="Y364" s="15"/>
      <c r="Z364" s="15"/>
    </row>
    <row r="365" spans="1:26" ht="21" customHeight="1" x14ac:dyDescent="0.85">
      <c r="A365" s="15"/>
      <c r="B365" s="15"/>
      <c r="C365" s="15"/>
      <c r="D365" s="15"/>
      <c r="E365" s="15"/>
      <c r="F365" s="15"/>
      <c r="G365" s="15"/>
      <c r="H365" s="15"/>
      <c r="I365" s="15"/>
      <c r="J365" s="15"/>
      <c r="K365" s="15"/>
      <c r="L365" s="15"/>
      <c r="M365" s="15"/>
      <c r="N365" s="15"/>
      <c r="O365" s="15"/>
      <c r="P365" s="15"/>
      <c r="Q365" s="15"/>
      <c r="R365" s="15"/>
      <c r="S365" s="15"/>
      <c r="T365" s="15"/>
      <c r="U365" s="15"/>
      <c r="V365" s="15"/>
      <c r="W365" s="15"/>
      <c r="X365" s="15"/>
      <c r="Y365" s="15"/>
      <c r="Z365" s="15"/>
    </row>
    <row r="366" spans="1:26" ht="21" customHeight="1" x14ac:dyDescent="0.85">
      <c r="A366" s="15"/>
      <c r="B366" s="15"/>
      <c r="C366" s="15"/>
      <c r="D366" s="15"/>
      <c r="E366" s="15"/>
      <c r="F366" s="15"/>
      <c r="G366" s="15"/>
      <c r="H366" s="15"/>
      <c r="I366" s="15"/>
      <c r="J366" s="15"/>
      <c r="K366" s="15"/>
      <c r="L366" s="15"/>
      <c r="M366" s="15"/>
      <c r="N366" s="15"/>
      <c r="O366" s="15"/>
      <c r="P366" s="15"/>
      <c r="Q366" s="15"/>
      <c r="R366" s="15"/>
      <c r="S366" s="15"/>
      <c r="T366" s="15"/>
      <c r="U366" s="15"/>
      <c r="V366" s="15"/>
      <c r="W366" s="15"/>
      <c r="X366" s="15"/>
      <c r="Y366" s="15"/>
      <c r="Z366" s="15"/>
    </row>
    <row r="367" spans="1:26" ht="21" customHeight="1" x14ac:dyDescent="0.85">
      <c r="A367" s="15"/>
      <c r="B367" s="15"/>
      <c r="C367" s="15"/>
      <c r="D367" s="15"/>
      <c r="E367" s="15"/>
      <c r="F367" s="15"/>
      <c r="G367" s="15"/>
      <c r="H367" s="15"/>
      <c r="I367" s="15"/>
      <c r="J367" s="15"/>
      <c r="K367" s="15"/>
      <c r="L367" s="15"/>
      <c r="M367" s="15"/>
      <c r="N367" s="15"/>
      <c r="O367" s="15"/>
      <c r="P367" s="15"/>
      <c r="Q367" s="15"/>
      <c r="R367" s="15"/>
      <c r="S367" s="15"/>
      <c r="T367" s="15"/>
      <c r="U367" s="15"/>
      <c r="V367" s="15"/>
      <c r="W367" s="15"/>
      <c r="X367" s="15"/>
      <c r="Y367" s="15"/>
      <c r="Z367" s="15"/>
    </row>
    <row r="368" spans="1:26" ht="21" customHeight="1" x14ac:dyDescent="0.85">
      <c r="A368" s="15"/>
      <c r="B368" s="15"/>
      <c r="C368" s="15"/>
      <c r="D368" s="15"/>
      <c r="E368" s="15"/>
      <c r="F368" s="15"/>
      <c r="G368" s="15"/>
      <c r="H368" s="15"/>
      <c r="I368" s="15"/>
      <c r="J368" s="15"/>
      <c r="K368" s="15"/>
      <c r="L368" s="15"/>
      <c r="M368" s="15"/>
      <c r="N368" s="15"/>
      <c r="O368" s="15"/>
      <c r="P368" s="15"/>
      <c r="Q368" s="15"/>
      <c r="R368" s="15"/>
      <c r="S368" s="15"/>
      <c r="T368" s="15"/>
      <c r="U368" s="15"/>
      <c r="V368" s="15"/>
      <c r="W368" s="15"/>
      <c r="X368" s="15"/>
      <c r="Y368" s="15"/>
      <c r="Z368" s="15"/>
    </row>
    <row r="369" spans="1:26" ht="21" customHeight="1" x14ac:dyDescent="0.85">
      <c r="A369" s="15"/>
      <c r="B369" s="15"/>
      <c r="C369" s="15"/>
      <c r="D369" s="15"/>
      <c r="E369" s="15"/>
      <c r="F369" s="15"/>
      <c r="G369" s="15"/>
      <c r="H369" s="15"/>
      <c r="I369" s="15"/>
      <c r="J369" s="15"/>
      <c r="K369" s="15"/>
      <c r="L369" s="15"/>
      <c r="M369" s="15"/>
      <c r="N369" s="15"/>
      <c r="O369" s="15"/>
      <c r="P369" s="15"/>
      <c r="Q369" s="15"/>
      <c r="R369" s="15"/>
      <c r="S369" s="15"/>
      <c r="T369" s="15"/>
      <c r="U369" s="15"/>
      <c r="V369" s="15"/>
      <c r="W369" s="15"/>
      <c r="X369" s="15"/>
      <c r="Y369" s="15"/>
      <c r="Z369" s="15"/>
    </row>
    <row r="370" spans="1:26" ht="21" customHeight="1" x14ac:dyDescent="0.85">
      <c r="A370" s="15"/>
      <c r="B370" s="15"/>
      <c r="C370" s="15"/>
      <c r="D370" s="15"/>
      <c r="E370" s="15"/>
      <c r="F370" s="15"/>
      <c r="G370" s="15"/>
      <c r="H370" s="15"/>
      <c r="I370" s="15"/>
      <c r="J370" s="15"/>
      <c r="K370" s="15"/>
      <c r="L370" s="15"/>
      <c r="M370" s="15"/>
      <c r="N370" s="15"/>
      <c r="O370" s="15"/>
      <c r="P370" s="15"/>
      <c r="Q370" s="15"/>
      <c r="R370" s="15"/>
      <c r="S370" s="15"/>
      <c r="T370" s="15"/>
      <c r="U370" s="15"/>
      <c r="V370" s="15"/>
      <c r="W370" s="15"/>
      <c r="X370" s="15"/>
      <c r="Y370" s="15"/>
      <c r="Z370" s="15"/>
    </row>
    <row r="371" spans="1:26" ht="21" customHeight="1" x14ac:dyDescent="0.85">
      <c r="A371" s="15"/>
      <c r="B371" s="15"/>
      <c r="C371" s="15"/>
      <c r="D371" s="15"/>
      <c r="E371" s="15"/>
      <c r="F371" s="15"/>
      <c r="G371" s="15"/>
      <c r="H371" s="15"/>
      <c r="I371" s="15"/>
      <c r="J371" s="15"/>
      <c r="K371" s="15"/>
      <c r="L371" s="15"/>
      <c r="M371" s="15"/>
      <c r="N371" s="15"/>
      <c r="O371" s="15"/>
      <c r="P371" s="15"/>
      <c r="Q371" s="15"/>
      <c r="R371" s="15"/>
      <c r="S371" s="15"/>
      <c r="T371" s="15"/>
      <c r="U371" s="15"/>
      <c r="V371" s="15"/>
      <c r="W371" s="15"/>
      <c r="X371" s="15"/>
      <c r="Y371" s="15"/>
      <c r="Z371" s="15"/>
    </row>
    <row r="372" spans="1:26" ht="21" customHeight="1" x14ac:dyDescent="0.85">
      <c r="A372" s="15"/>
      <c r="B372" s="15"/>
      <c r="C372" s="15"/>
      <c r="D372" s="15"/>
      <c r="E372" s="15"/>
      <c r="F372" s="15"/>
      <c r="G372" s="15"/>
      <c r="H372" s="15"/>
      <c r="I372" s="15"/>
      <c r="J372" s="15"/>
      <c r="K372" s="15"/>
      <c r="L372" s="15"/>
      <c r="M372" s="15"/>
      <c r="N372" s="15"/>
      <c r="O372" s="15"/>
      <c r="P372" s="15"/>
      <c r="Q372" s="15"/>
      <c r="R372" s="15"/>
      <c r="S372" s="15"/>
      <c r="T372" s="15"/>
      <c r="U372" s="15"/>
      <c r="V372" s="15"/>
      <c r="W372" s="15"/>
      <c r="X372" s="15"/>
      <c r="Y372" s="15"/>
      <c r="Z372" s="15"/>
    </row>
    <row r="373" spans="1:26" ht="21" customHeight="1" x14ac:dyDescent="0.85">
      <c r="A373" s="15"/>
      <c r="B373" s="15"/>
      <c r="C373" s="15"/>
      <c r="D373" s="15"/>
      <c r="E373" s="15"/>
      <c r="F373" s="15"/>
      <c r="G373" s="15"/>
      <c r="H373" s="15"/>
      <c r="I373" s="15"/>
      <c r="J373" s="15"/>
      <c r="K373" s="15"/>
      <c r="L373" s="15"/>
      <c r="M373" s="15"/>
      <c r="N373" s="15"/>
      <c r="O373" s="15"/>
      <c r="P373" s="15"/>
      <c r="Q373" s="15"/>
      <c r="R373" s="15"/>
      <c r="S373" s="15"/>
      <c r="T373" s="15"/>
      <c r="U373" s="15"/>
      <c r="V373" s="15"/>
      <c r="W373" s="15"/>
      <c r="X373" s="15"/>
      <c r="Y373" s="15"/>
      <c r="Z373" s="15"/>
    </row>
    <row r="374" spans="1:26" ht="21" customHeight="1" x14ac:dyDescent="0.85">
      <c r="A374" s="15"/>
      <c r="B374" s="15"/>
      <c r="C374" s="15"/>
      <c r="D374" s="15"/>
      <c r="E374" s="15"/>
      <c r="F374" s="15"/>
      <c r="G374" s="15"/>
      <c r="H374" s="15"/>
      <c r="I374" s="15"/>
      <c r="J374" s="15"/>
      <c r="K374" s="15"/>
      <c r="L374" s="15"/>
      <c r="M374" s="15"/>
      <c r="N374" s="15"/>
      <c r="O374" s="15"/>
      <c r="P374" s="15"/>
      <c r="Q374" s="15"/>
      <c r="R374" s="15"/>
      <c r="S374" s="15"/>
      <c r="T374" s="15"/>
      <c r="U374" s="15"/>
      <c r="V374" s="15"/>
      <c r="W374" s="15"/>
      <c r="X374" s="15"/>
      <c r="Y374" s="15"/>
      <c r="Z374" s="15"/>
    </row>
    <row r="375" spans="1:26" ht="21" customHeight="1" x14ac:dyDescent="0.85">
      <c r="A375" s="15"/>
      <c r="B375" s="15"/>
      <c r="C375" s="15"/>
      <c r="D375" s="15"/>
      <c r="E375" s="15"/>
      <c r="F375" s="15"/>
      <c r="G375" s="15"/>
      <c r="H375" s="15"/>
      <c r="I375" s="15"/>
      <c r="J375" s="15"/>
      <c r="K375" s="15"/>
      <c r="L375" s="15"/>
      <c r="M375" s="15"/>
      <c r="N375" s="15"/>
      <c r="O375" s="15"/>
      <c r="P375" s="15"/>
      <c r="Q375" s="15"/>
      <c r="R375" s="15"/>
      <c r="S375" s="15"/>
      <c r="T375" s="15"/>
      <c r="U375" s="15"/>
      <c r="V375" s="15"/>
      <c r="W375" s="15"/>
      <c r="X375" s="15"/>
      <c r="Y375" s="15"/>
      <c r="Z375" s="15"/>
    </row>
    <row r="376" spans="1:26" ht="21" customHeight="1" x14ac:dyDescent="0.85">
      <c r="A376" s="15"/>
      <c r="B376" s="15"/>
      <c r="C376" s="15"/>
      <c r="D376" s="15"/>
      <c r="E376" s="15"/>
      <c r="F376" s="15"/>
      <c r="G376" s="15"/>
      <c r="H376" s="15"/>
      <c r="I376" s="15"/>
      <c r="J376" s="15"/>
      <c r="K376" s="15"/>
      <c r="L376" s="15"/>
      <c r="M376" s="15"/>
      <c r="N376" s="15"/>
      <c r="O376" s="15"/>
      <c r="P376" s="15"/>
      <c r="Q376" s="15"/>
      <c r="R376" s="15"/>
      <c r="S376" s="15"/>
      <c r="T376" s="15"/>
      <c r="U376" s="15"/>
      <c r="V376" s="15"/>
      <c r="W376" s="15"/>
      <c r="X376" s="15"/>
      <c r="Y376" s="15"/>
      <c r="Z376" s="15"/>
    </row>
    <row r="377" spans="1:26" ht="21" customHeight="1" x14ac:dyDescent="0.85">
      <c r="A377" s="15"/>
      <c r="B377" s="15"/>
      <c r="C377" s="15"/>
      <c r="D377" s="15"/>
      <c r="E377" s="15"/>
      <c r="F377" s="15"/>
      <c r="G377" s="15"/>
      <c r="H377" s="15"/>
      <c r="I377" s="15"/>
      <c r="J377" s="15"/>
      <c r="K377" s="15"/>
      <c r="L377" s="15"/>
      <c r="M377" s="15"/>
      <c r="N377" s="15"/>
      <c r="O377" s="15"/>
      <c r="P377" s="15"/>
      <c r="Q377" s="15"/>
      <c r="R377" s="15"/>
      <c r="S377" s="15"/>
      <c r="T377" s="15"/>
      <c r="U377" s="15"/>
      <c r="V377" s="15"/>
      <c r="W377" s="15"/>
      <c r="X377" s="15"/>
      <c r="Y377" s="15"/>
      <c r="Z377" s="15"/>
    </row>
    <row r="378" spans="1:26" ht="21" customHeight="1" x14ac:dyDescent="0.85">
      <c r="A378" s="15"/>
      <c r="B378" s="15"/>
      <c r="C378" s="15"/>
      <c r="D378" s="15"/>
      <c r="E378" s="15"/>
      <c r="F378" s="15"/>
      <c r="G378" s="15"/>
      <c r="H378" s="15"/>
      <c r="I378" s="15"/>
      <c r="J378" s="15"/>
      <c r="K378" s="15"/>
      <c r="L378" s="15"/>
      <c r="M378" s="15"/>
      <c r="N378" s="15"/>
      <c r="O378" s="15"/>
      <c r="P378" s="15"/>
      <c r="Q378" s="15"/>
      <c r="R378" s="15"/>
      <c r="S378" s="15"/>
      <c r="T378" s="15"/>
      <c r="U378" s="15"/>
      <c r="V378" s="15"/>
      <c r="W378" s="15"/>
      <c r="X378" s="15"/>
      <c r="Y378" s="15"/>
      <c r="Z378" s="15"/>
    </row>
    <row r="379" spans="1:26" ht="21" customHeight="1" x14ac:dyDescent="0.85">
      <c r="A379" s="15"/>
      <c r="B379" s="15"/>
      <c r="C379" s="15"/>
      <c r="D379" s="15"/>
      <c r="E379" s="15"/>
      <c r="F379" s="15"/>
      <c r="G379" s="15"/>
      <c r="H379" s="15"/>
      <c r="I379" s="15"/>
      <c r="J379" s="15"/>
      <c r="K379" s="15"/>
      <c r="L379" s="15"/>
      <c r="M379" s="15"/>
      <c r="N379" s="15"/>
      <c r="O379" s="15"/>
      <c r="P379" s="15"/>
      <c r="Q379" s="15"/>
      <c r="R379" s="15"/>
      <c r="S379" s="15"/>
      <c r="T379" s="15"/>
      <c r="U379" s="15"/>
      <c r="V379" s="15"/>
      <c r="W379" s="15"/>
      <c r="X379" s="15"/>
      <c r="Y379" s="15"/>
      <c r="Z379" s="15"/>
    </row>
    <row r="380" spans="1:26" ht="21" customHeight="1" x14ac:dyDescent="0.85">
      <c r="A380" s="15"/>
      <c r="B380" s="15"/>
      <c r="C380" s="15"/>
      <c r="D380" s="15"/>
      <c r="E380" s="15"/>
      <c r="F380" s="15"/>
      <c r="G380" s="15"/>
      <c r="H380" s="15"/>
      <c r="I380" s="15"/>
      <c r="J380" s="15"/>
      <c r="K380" s="15"/>
      <c r="L380" s="15"/>
      <c r="M380" s="15"/>
      <c r="N380" s="15"/>
      <c r="O380" s="15"/>
      <c r="P380" s="15"/>
      <c r="Q380" s="15"/>
      <c r="R380" s="15"/>
      <c r="S380" s="15"/>
      <c r="T380" s="15"/>
      <c r="U380" s="15"/>
      <c r="V380" s="15"/>
      <c r="W380" s="15"/>
      <c r="X380" s="15"/>
      <c r="Y380" s="15"/>
      <c r="Z380" s="15"/>
    </row>
    <row r="381" spans="1:26" ht="21" customHeight="1" x14ac:dyDescent="0.85">
      <c r="A381" s="15"/>
      <c r="B381" s="15"/>
      <c r="C381" s="15"/>
      <c r="D381" s="15"/>
      <c r="E381" s="15"/>
      <c r="F381" s="15"/>
      <c r="G381" s="15"/>
      <c r="H381" s="15"/>
      <c r="I381" s="15"/>
      <c r="J381" s="15"/>
      <c r="K381" s="15"/>
      <c r="L381" s="15"/>
      <c r="M381" s="15"/>
      <c r="N381" s="15"/>
      <c r="O381" s="15"/>
      <c r="P381" s="15"/>
      <c r="Q381" s="15"/>
      <c r="R381" s="15"/>
      <c r="S381" s="15"/>
      <c r="T381" s="15"/>
      <c r="U381" s="15"/>
      <c r="V381" s="15"/>
      <c r="W381" s="15"/>
      <c r="X381" s="15"/>
      <c r="Y381" s="15"/>
      <c r="Z381" s="15"/>
    </row>
    <row r="382" spans="1:26" ht="21" customHeight="1" x14ac:dyDescent="0.85">
      <c r="A382" s="15"/>
      <c r="B382" s="15"/>
      <c r="C382" s="15"/>
      <c r="D382" s="15"/>
      <c r="E382" s="15"/>
      <c r="F382" s="15"/>
      <c r="G382" s="15"/>
      <c r="H382" s="15"/>
      <c r="I382" s="15"/>
      <c r="J382" s="15"/>
      <c r="K382" s="15"/>
      <c r="L382" s="15"/>
      <c r="M382" s="15"/>
      <c r="N382" s="15"/>
      <c r="O382" s="15"/>
      <c r="P382" s="15"/>
      <c r="Q382" s="15"/>
      <c r="R382" s="15"/>
      <c r="S382" s="15"/>
      <c r="T382" s="15"/>
      <c r="U382" s="15"/>
      <c r="V382" s="15"/>
      <c r="W382" s="15"/>
      <c r="X382" s="15"/>
      <c r="Y382" s="15"/>
      <c r="Z382" s="15"/>
    </row>
    <row r="383" spans="1:26" ht="21" customHeight="1" x14ac:dyDescent="0.85">
      <c r="A383" s="15"/>
      <c r="B383" s="15"/>
      <c r="C383" s="15"/>
      <c r="D383" s="15"/>
      <c r="E383" s="15"/>
      <c r="F383" s="15"/>
      <c r="G383" s="15"/>
      <c r="H383" s="15"/>
      <c r="I383" s="15"/>
      <c r="J383" s="15"/>
      <c r="K383" s="15"/>
      <c r="L383" s="15"/>
      <c r="M383" s="15"/>
      <c r="N383" s="15"/>
      <c r="O383" s="15"/>
      <c r="P383" s="15"/>
      <c r="Q383" s="15"/>
      <c r="R383" s="15"/>
      <c r="S383" s="15"/>
      <c r="T383" s="15"/>
      <c r="U383" s="15"/>
      <c r="V383" s="15"/>
      <c r="W383" s="15"/>
      <c r="X383" s="15"/>
      <c r="Y383" s="15"/>
      <c r="Z383" s="15"/>
    </row>
    <row r="384" spans="1:26" ht="21" customHeight="1" x14ac:dyDescent="0.85">
      <c r="A384" s="15"/>
      <c r="B384" s="15"/>
      <c r="C384" s="15"/>
      <c r="D384" s="15"/>
      <c r="E384" s="15"/>
      <c r="F384" s="15"/>
      <c r="G384" s="15"/>
      <c r="H384" s="15"/>
      <c r="I384" s="15"/>
      <c r="J384" s="15"/>
      <c r="K384" s="15"/>
      <c r="L384" s="15"/>
      <c r="M384" s="15"/>
      <c r="N384" s="15"/>
      <c r="O384" s="15"/>
      <c r="P384" s="15"/>
      <c r="Q384" s="15"/>
      <c r="R384" s="15"/>
      <c r="S384" s="15"/>
      <c r="T384" s="15"/>
      <c r="U384" s="15"/>
      <c r="V384" s="15"/>
      <c r="W384" s="15"/>
      <c r="X384" s="15"/>
      <c r="Y384" s="15"/>
      <c r="Z384" s="15"/>
    </row>
    <row r="385" spans="1:26" ht="21" customHeight="1" x14ac:dyDescent="0.85">
      <c r="A385" s="15"/>
      <c r="B385" s="15"/>
      <c r="C385" s="15"/>
      <c r="D385" s="15"/>
      <c r="E385" s="15"/>
      <c r="F385" s="15"/>
      <c r="G385" s="15"/>
      <c r="H385" s="15"/>
      <c r="I385" s="15"/>
      <c r="J385" s="15"/>
      <c r="K385" s="15"/>
      <c r="L385" s="15"/>
      <c r="M385" s="15"/>
      <c r="N385" s="15"/>
      <c r="O385" s="15"/>
      <c r="P385" s="15"/>
      <c r="Q385" s="15"/>
      <c r="R385" s="15"/>
      <c r="S385" s="15"/>
      <c r="T385" s="15"/>
      <c r="U385" s="15"/>
      <c r="V385" s="15"/>
      <c r="W385" s="15"/>
      <c r="X385" s="15"/>
      <c r="Y385" s="15"/>
      <c r="Z385" s="15"/>
    </row>
    <row r="386" spans="1:26" ht="21" customHeight="1" x14ac:dyDescent="0.85">
      <c r="A386" s="15"/>
      <c r="B386" s="15"/>
      <c r="C386" s="15"/>
      <c r="D386" s="15"/>
      <c r="E386" s="15"/>
      <c r="F386" s="15"/>
      <c r="G386" s="15"/>
      <c r="H386" s="15"/>
      <c r="I386" s="15"/>
      <c r="J386" s="15"/>
      <c r="K386" s="15"/>
      <c r="L386" s="15"/>
      <c r="M386" s="15"/>
      <c r="N386" s="15"/>
      <c r="O386" s="15"/>
      <c r="P386" s="15"/>
      <c r="Q386" s="15"/>
      <c r="R386" s="15"/>
      <c r="S386" s="15"/>
      <c r="T386" s="15"/>
      <c r="U386" s="15"/>
      <c r="V386" s="15"/>
      <c r="W386" s="15"/>
      <c r="X386" s="15"/>
      <c r="Y386" s="15"/>
      <c r="Z386" s="15"/>
    </row>
    <row r="387" spans="1:26" ht="21" customHeight="1" x14ac:dyDescent="0.85">
      <c r="A387" s="15"/>
      <c r="B387" s="15"/>
      <c r="C387" s="15"/>
      <c r="D387" s="15"/>
      <c r="E387" s="15"/>
      <c r="F387" s="15"/>
      <c r="G387" s="15"/>
      <c r="H387" s="15"/>
      <c r="I387" s="15"/>
      <c r="J387" s="15"/>
      <c r="K387" s="15"/>
      <c r="L387" s="15"/>
      <c r="M387" s="15"/>
      <c r="N387" s="15"/>
      <c r="O387" s="15"/>
      <c r="P387" s="15"/>
      <c r="Q387" s="15"/>
      <c r="R387" s="15"/>
      <c r="S387" s="15"/>
      <c r="T387" s="15"/>
      <c r="U387" s="15"/>
      <c r="V387" s="15"/>
      <c r="W387" s="15"/>
      <c r="X387" s="15"/>
      <c r="Y387" s="15"/>
      <c r="Z387" s="15"/>
    </row>
    <row r="388" spans="1:26" ht="21" customHeight="1" x14ac:dyDescent="0.85">
      <c r="A388" s="15"/>
      <c r="B388" s="15"/>
      <c r="C388" s="15"/>
      <c r="D388" s="15"/>
      <c r="E388" s="15"/>
      <c r="F388" s="15"/>
      <c r="G388" s="15"/>
      <c r="H388" s="15"/>
      <c r="I388" s="15"/>
      <c r="J388" s="15"/>
      <c r="K388" s="15"/>
      <c r="L388" s="15"/>
      <c r="M388" s="15"/>
      <c r="N388" s="15"/>
      <c r="O388" s="15"/>
      <c r="P388" s="15"/>
      <c r="Q388" s="15"/>
      <c r="R388" s="15"/>
      <c r="S388" s="15"/>
      <c r="T388" s="15"/>
      <c r="U388" s="15"/>
      <c r="V388" s="15"/>
      <c r="W388" s="15"/>
      <c r="X388" s="15"/>
      <c r="Y388" s="15"/>
      <c r="Z388" s="15"/>
    </row>
    <row r="389" spans="1:26" ht="21" customHeight="1" x14ac:dyDescent="0.85">
      <c r="A389" s="15"/>
      <c r="B389" s="15"/>
      <c r="C389" s="15"/>
      <c r="D389" s="15"/>
      <c r="E389" s="15"/>
      <c r="F389" s="15"/>
      <c r="G389" s="15"/>
      <c r="H389" s="15"/>
      <c r="I389" s="15"/>
      <c r="J389" s="15"/>
      <c r="K389" s="15"/>
      <c r="L389" s="15"/>
      <c r="M389" s="15"/>
      <c r="N389" s="15"/>
      <c r="O389" s="15"/>
      <c r="P389" s="15"/>
      <c r="Q389" s="15"/>
      <c r="R389" s="15"/>
      <c r="S389" s="15"/>
      <c r="T389" s="15"/>
      <c r="U389" s="15"/>
      <c r="V389" s="15"/>
      <c r="W389" s="15"/>
      <c r="X389" s="15"/>
      <c r="Y389" s="15"/>
      <c r="Z389" s="15"/>
    </row>
    <row r="390" spans="1:26" ht="21" customHeight="1" x14ac:dyDescent="0.85">
      <c r="A390" s="15"/>
      <c r="B390" s="15"/>
      <c r="C390" s="15"/>
      <c r="D390" s="15"/>
      <c r="E390" s="15"/>
      <c r="F390" s="15"/>
      <c r="G390" s="15"/>
      <c r="H390" s="15"/>
      <c r="I390" s="15"/>
      <c r="J390" s="15"/>
      <c r="K390" s="15"/>
      <c r="L390" s="15"/>
      <c r="M390" s="15"/>
      <c r="N390" s="15"/>
      <c r="O390" s="15"/>
      <c r="P390" s="15"/>
      <c r="Q390" s="15"/>
      <c r="R390" s="15"/>
      <c r="S390" s="15"/>
      <c r="T390" s="15"/>
      <c r="U390" s="15"/>
      <c r="V390" s="15"/>
      <c r="W390" s="15"/>
      <c r="X390" s="15"/>
      <c r="Y390" s="15"/>
      <c r="Z390" s="15"/>
    </row>
    <row r="391" spans="1:26" ht="21" customHeight="1" x14ac:dyDescent="0.85">
      <c r="A391" s="15"/>
      <c r="B391" s="15"/>
      <c r="C391" s="15"/>
      <c r="D391" s="15"/>
      <c r="E391" s="15"/>
      <c r="F391" s="15"/>
      <c r="G391" s="15"/>
      <c r="H391" s="15"/>
      <c r="I391" s="15"/>
      <c r="J391" s="15"/>
      <c r="K391" s="15"/>
      <c r="L391" s="15"/>
      <c r="M391" s="15"/>
      <c r="N391" s="15"/>
      <c r="O391" s="15"/>
      <c r="P391" s="15"/>
      <c r="Q391" s="15"/>
      <c r="R391" s="15"/>
      <c r="S391" s="15"/>
      <c r="T391" s="15"/>
      <c r="U391" s="15"/>
      <c r="V391" s="15"/>
      <c r="W391" s="15"/>
      <c r="X391" s="15"/>
      <c r="Y391" s="15"/>
      <c r="Z391" s="15"/>
    </row>
    <row r="392" spans="1:26" ht="21" customHeight="1" x14ac:dyDescent="0.85">
      <c r="A392" s="15"/>
      <c r="B392" s="15"/>
      <c r="C392" s="15"/>
      <c r="D392" s="15"/>
      <c r="E392" s="15"/>
      <c r="F392" s="15"/>
      <c r="G392" s="15"/>
      <c r="H392" s="15"/>
      <c r="I392" s="15"/>
      <c r="J392" s="15"/>
      <c r="K392" s="15"/>
      <c r="L392" s="15"/>
      <c r="M392" s="15"/>
      <c r="N392" s="15"/>
      <c r="O392" s="15"/>
      <c r="P392" s="15"/>
      <c r="Q392" s="15"/>
      <c r="R392" s="15"/>
      <c r="S392" s="15"/>
      <c r="T392" s="15"/>
      <c r="U392" s="15"/>
      <c r="V392" s="15"/>
      <c r="W392" s="15"/>
      <c r="X392" s="15"/>
      <c r="Y392" s="15"/>
      <c r="Z392" s="15"/>
    </row>
    <row r="393" spans="1:26" ht="21" customHeight="1" x14ac:dyDescent="0.85">
      <c r="A393" s="15"/>
      <c r="B393" s="15"/>
      <c r="C393" s="15"/>
      <c r="D393" s="15"/>
      <c r="E393" s="15"/>
      <c r="F393" s="15"/>
      <c r="G393" s="15"/>
      <c r="H393" s="15"/>
      <c r="I393" s="15"/>
      <c r="J393" s="15"/>
      <c r="K393" s="15"/>
      <c r="L393" s="15"/>
      <c r="M393" s="15"/>
      <c r="N393" s="15"/>
      <c r="O393" s="15"/>
      <c r="P393" s="15"/>
      <c r="Q393" s="15"/>
      <c r="R393" s="15"/>
      <c r="S393" s="15"/>
      <c r="T393" s="15"/>
      <c r="U393" s="15"/>
      <c r="V393" s="15"/>
      <c r="W393" s="15"/>
      <c r="X393" s="15"/>
      <c r="Y393" s="15"/>
      <c r="Z393" s="15"/>
    </row>
    <row r="394" spans="1:26" ht="21" customHeight="1" x14ac:dyDescent="0.85">
      <c r="A394" s="15"/>
      <c r="B394" s="15"/>
      <c r="C394" s="15"/>
      <c r="D394" s="15"/>
      <c r="E394" s="15"/>
      <c r="F394" s="15"/>
      <c r="G394" s="15"/>
      <c r="H394" s="15"/>
      <c r="I394" s="15"/>
      <c r="J394" s="15"/>
      <c r="K394" s="15"/>
      <c r="L394" s="15"/>
      <c r="M394" s="15"/>
      <c r="N394" s="15"/>
      <c r="O394" s="15"/>
      <c r="P394" s="15"/>
      <c r="Q394" s="15"/>
      <c r="R394" s="15"/>
      <c r="S394" s="15"/>
      <c r="T394" s="15"/>
      <c r="U394" s="15"/>
      <c r="V394" s="15"/>
      <c r="W394" s="15"/>
      <c r="X394" s="15"/>
      <c r="Y394" s="15"/>
      <c r="Z394" s="15"/>
    </row>
    <row r="395" spans="1:26" ht="21" customHeight="1" x14ac:dyDescent="0.85">
      <c r="A395" s="15"/>
      <c r="B395" s="15"/>
      <c r="C395" s="15"/>
      <c r="D395" s="15"/>
      <c r="E395" s="15"/>
      <c r="F395" s="15"/>
      <c r="G395" s="15"/>
      <c r="H395" s="15"/>
      <c r="I395" s="15"/>
      <c r="J395" s="15"/>
      <c r="K395" s="15"/>
      <c r="L395" s="15"/>
      <c r="M395" s="15"/>
      <c r="N395" s="15"/>
      <c r="O395" s="15"/>
      <c r="P395" s="15"/>
      <c r="Q395" s="15"/>
      <c r="R395" s="15"/>
      <c r="S395" s="15"/>
      <c r="T395" s="15"/>
      <c r="U395" s="15"/>
      <c r="V395" s="15"/>
      <c r="W395" s="15"/>
      <c r="X395" s="15"/>
      <c r="Y395" s="15"/>
      <c r="Z395" s="15"/>
    </row>
    <row r="396" spans="1:26" ht="21" customHeight="1" x14ac:dyDescent="0.85">
      <c r="A396" s="15"/>
      <c r="B396" s="15"/>
      <c r="C396" s="15"/>
      <c r="D396" s="15"/>
      <c r="E396" s="15"/>
      <c r="F396" s="15"/>
      <c r="G396" s="15"/>
      <c r="H396" s="15"/>
      <c r="I396" s="15"/>
      <c r="J396" s="15"/>
      <c r="K396" s="15"/>
      <c r="L396" s="15"/>
      <c r="M396" s="15"/>
      <c r="N396" s="15"/>
      <c r="O396" s="15"/>
      <c r="P396" s="15"/>
      <c r="Q396" s="15"/>
      <c r="R396" s="15"/>
      <c r="S396" s="15"/>
      <c r="T396" s="15"/>
      <c r="U396" s="15"/>
      <c r="V396" s="15"/>
      <c r="W396" s="15"/>
      <c r="X396" s="15"/>
      <c r="Y396" s="15"/>
      <c r="Z396" s="15"/>
    </row>
    <row r="397" spans="1:26" ht="21" customHeight="1" x14ac:dyDescent="0.85">
      <c r="A397" s="15"/>
      <c r="B397" s="15"/>
      <c r="C397" s="15"/>
      <c r="D397" s="15"/>
      <c r="E397" s="15"/>
      <c r="F397" s="15"/>
      <c r="G397" s="15"/>
      <c r="H397" s="15"/>
      <c r="I397" s="15"/>
      <c r="J397" s="15"/>
      <c r="K397" s="15"/>
      <c r="L397" s="15"/>
      <c r="M397" s="15"/>
      <c r="N397" s="15"/>
      <c r="O397" s="15"/>
      <c r="P397" s="15"/>
      <c r="Q397" s="15"/>
      <c r="R397" s="15"/>
      <c r="S397" s="15"/>
      <c r="T397" s="15"/>
      <c r="U397" s="15"/>
      <c r="V397" s="15"/>
      <c r="W397" s="15"/>
      <c r="X397" s="15"/>
      <c r="Y397" s="15"/>
      <c r="Z397" s="15"/>
    </row>
    <row r="398" spans="1:26" ht="21" customHeight="1" x14ac:dyDescent="0.85">
      <c r="A398" s="15"/>
      <c r="B398" s="15"/>
      <c r="C398" s="15"/>
      <c r="D398" s="15"/>
      <c r="E398" s="15"/>
      <c r="F398" s="15"/>
      <c r="G398" s="15"/>
      <c r="H398" s="15"/>
      <c r="I398" s="15"/>
      <c r="J398" s="15"/>
      <c r="K398" s="15"/>
      <c r="L398" s="15"/>
      <c r="M398" s="15"/>
      <c r="N398" s="15"/>
      <c r="O398" s="15"/>
      <c r="P398" s="15"/>
      <c r="Q398" s="15"/>
      <c r="R398" s="15"/>
      <c r="S398" s="15"/>
      <c r="T398" s="15"/>
      <c r="U398" s="15"/>
      <c r="V398" s="15"/>
      <c r="W398" s="15"/>
      <c r="X398" s="15"/>
      <c r="Y398" s="15"/>
      <c r="Z398" s="15"/>
    </row>
    <row r="399" spans="1:26" ht="21" customHeight="1" x14ac:dyDescent="0.85">
      <c r="A399" s="15"/>
      <c r="B399" s="15"/>
      <c r="C399" s="15"/>
      <c r="D399" s="15"/>
      <c r="E399" s="15"/>
      <c r="F399" s="15"/>
      <c r="G399" s="15"/>
      <c r="H399" s="15"/>
      <c r="I399" s="15"/>
      <c r="J399" s="15"/>
      <c r="K399" s="15"/>
      <c r="L399" s="15"/>
      <c r="M399" s="15"/>
      <c r="N399" s="15"/>
      <c r="O399" s="15"/>
      <c r="P399" s="15"/>
      <c r="Q399" s="15"/>
      <c r="R399" s="15"/>
      <c r="S399" s="15"/>
      <c r="T399" s="15"/>
      <c r="U399" s="15"/>
      <c r="V399" s="15"/>
      <c r="W399" s="15"/>
      <c r="X399" s="15"/>
      <c r="Y399" s="15"/>
      <c r="Z399" s="15"/>
    </row>
    <row r="400" spans="1:26" ht="21" customHeight="1" x14ac:dyDescent="0.85">
      <c r="A400" s="15"/>
      <c r="B400" s="15"/>
      <c r="C400" s="15"/>
      <c r="D400" s="15"/>
      <c r="E400" s="15"/>
      <c r="F400" s="15"/>
      <c r="G400" s="15"/>
      <c r="H400" s="15"/>
      <c r="I400" s="15"/>
      <c r="J400" s="15"/>
      <c r="K400" s="15"/>
      <c r="L400" s="15"/>
      <c r="M400" s="15"/>
      <c r="N400" s="15"/>
      <c r="O400" s="15"/>
      <c r="P400" s="15"/>
      <c r="Q400" s="15"/>
      <c r="R400" s="15"/>
      <c r="S400" s="15"/>
      <c r="T400" s="15"/>
      <c r="U400" s="15"/>
      <c r="V400" s="15"/>
      <c r="W400" s="15"/>
      <c r="X400" s="15"/>
      <c r="Y400" s="15"/>
      <c r="Z400" s="15"/>
    </row>
    <row r="401" spans="1:26" ht="21" customHeight="1" x14ac:dyDescent="0.85">
      <c r="A401" s="15"/>
      <c r="B401" s="15"/>
      <c r="C401" s="15"/>
      <c r="D401" s="15"/>
      <c r="E401" s="15"/>
      <c r="F401" s="15"/>
      <c r="G401" s="15"/>
      <c r="H401" s="15"/>
      <c r="I401" s="15"/>
      <c r="J401" s="15"/>
      <c r="K401" s="15"/>
      <c r="L401" s="15"/>
      <c r="M401" s="15"/>
      <c r="N401" s="15"/>
      <c r="O401" s="15"/>
      <c r="P401" s="15"/>
      <c r="Q401" s="15"/>
      <c r="R401" s="15"/>
      <c r="S401" s="15"/>
      <c r="T401" s="15"/>
      <c r="U401" s="15"/>
      <c r="V401" s="15"/>
      <c r="W401" s="15"/>
      <c r="X401" s="15"/>
      <c r="Y401" s="15"/>
      <c r="Z401" s="15"/>
    </row>
    <row r="402" spans="1:26" ht="21" customHeight="1" x14ac:dyDescent="0.85">
      <c r="A402" s="15"/>
      <c r="B402" s="15"/>
      <c r="C402" s="15"/>
      <c r="D402" s="15"/>
      <c r="E402" s="15"/>
      <c r="F402" s="15"/>
      <c r="G402" s="15"/>
      <c r="H402" s="15"/>
      <c r="I402" s="15"/>
      <c r="J402" s="15"/>
      <c r="K402" s="15"/>
      <c r="L402" s="15"/>
      <c r="M402" s="15"/>
      <c r="N402" s="15"/>
      <c r="O402" s="15"/>
      <c r="P402" s="15"/>
      <c r="Q402" s="15"/>
      <c r="R402" s="15"/>
      <c r="S402" s="15"/>
      <c r="T402" s="15"/>
      <c r="U402" s="15"/>
      <c r="V402" s="15"/>
      <c r="W402" s="15"/>
      <c r="X402" s="15"/>
      <c r="Y402" s="15"/>
      <c r="Z402" s="15"/>
    </row>
    <row r="403" spans="1:26" ht="21" customHeight="1" x14ac:dyDescent="0.85">
      <c r="A403" s="15"/>
      <c r="B403" s="15"/>
      <c r="C403" s="15"/>
      <c r="D403" s="15"/>
      <c r="E403" s="15"/>
      <c r="F403" s="15"/>
      <c r="G403" s="15"/>
      <c r="H403" s="15"/>
      <c r="I403" s="15"/>
      <c r="J403" s="15"/>
      <c r="K403" s="15"/>
      <c r="L403" s="15"/>
      <c r="M403" s="15"/>
      <c r="N403" s="15"/>
      <c r="O403" s="15"/>
      <c r="P403" s="15"/>
      <c r="Q403" s="15"/>
      <c r="R403" s="15"/>
      <c r="S403" s="15"/>
      <c r="T403" s="15"/>
      <c r="U403" s="15"/>
      <c r="V403" s="15"/>
      <c r="W403" s="15"/>
      <c r="X403" s="15"/>
      <c r="Y403" s="15"/>
      <c r="Z403" s="15"/>
    </row>
    <row r="404" spans="1:26" ht="21" customHeight="1" x14ac:dyDescent="0.85">
      <c r="A404" s="15"/>
      <c r="B404" s="15"/>
      <c r="C404" s="15"/>
      <c r="D404" s="15"/>
      <c r="E404" s="15"/>
      <c r="F404" s="15"/>
      <c r="G404" s="15"/>
      <c r="H404" s="15"/>
      <c r="I404" s="15"/>
      <c r="J404" s="15"/>
      <c r="K404" s="15"/>
      <c r="L404" s="15"/>
      <c r="M404" s="15"/>
      <c r="N404" s="15"/>
      <c r="O404" s="15"/>
      <c r="P404" s="15"/>
      <c r="Q404" s="15"/>
      <c r="R404" s="15"/>
      <c r="S404" s="15"/>
      <c r="T404" s="15"/>
      <c r="U404" s="15"/>
      <c r="V404" s="15"/>
      <c r="W404" s="15"/>
      <c r="X404" s="15"/>
      <c r="Y404" s="15"/>
      <c r="Z404" s="15"/>
    </row>
    <row r="405" spans="1:26" ht="21" customHeight="1" x14ac:dyDescent="0.85">
      <c r="A405" s="15"/>
      <c r="B405" s="15"/>
      <c r="C405" s="15"/>
      <c r="D405" s="15"/>
      <c r="E405" s="15"/>
      <c r="F405" s="15"/>
      <c r="G405" s="15"/>
      <c r="H405" s="15"/>
      <c r="I405" s="15"/>
      <c r="J405" s="15"/>
      <c r="K405" s="15"/>
      <c r="L405" s="15"/>
      <c r="M405" s="15"/>
      <c r="N405" s="15"/>
      <c r="O405" s="15"/>
      <c r="P405" s="15"/>
      <c r="Q405" s="15"/>
      <c r="R405" s="15"/>
      <c r="S405" s="15"/>
      <c r="T405" s="15"/>
      <c r="U405" s="15"/>
      <c r="V405" s="15"/>
      <c r="W405" s="15"/>
      <c r="X405" s="15"/>
      <c r="Y405" s="15"/>
      <c r="Z405" s="15"/>
    </row>
    <row r="406" spans="1:26" ht="21" customHeight="1" x14ac:dyDescent="0.85">
      <c r="A406" s="15"/>
      <c r="B406" s="15"/>
      <c r="C406" s="15"/>
      <c r="D406" s="15"/>
      <c r="E406" s="15"/>
      <c r="F406" s="15"/>
      <c r="G406" s="15"/>
      <c r="H406" s="15"/>
      <c r="I406" s="15"/>
      <c r="J406" s="15"/>
      <c r="K406" s="15"/>
      <c r="L406" s="15"/>
      <c r="M406" s="15"/>
      <c r="N406" s="15"/>
      <c r="O406" s="15"/>
      <c r="P406" s="15"/>
      <c r="Q406" s="15"/>
      <c r="R406" s="15"/>
      <c r="S406" s="15"/>
      <c r="T406" s="15"/>
      <c r="U406" s="15"/>
      <c r="V406" s="15"/>
      <c r="W406" s="15"/>
      <c r="X406" s="15"/>
      <c r="Y406" s="15"/>
      <c r="Z406" s="15"/>
    </row>
    <row r="407" spans="1:26" ht="21" customHeight="1" x14ac:dyDescent="0.85">
      <c r="A407" s="15"/>
      <c r="B407" s="15"/>
      <c r="C407" s="15"/>
      <c r="D407" s="15"/>
      <c r="E407" s="15"/>
      <c r="F407" s="15"/>
      <c r="G407" s="15"/>
      <c r="H407" s="15"/>
      <c r="I407" s="15"/>
      <c r="J407" s="15"/>
      <c r="K407" s="15"/>
      <c r="L407" s="15"/>
      <c r="M407" s="15"/>
      <c r="N407" s="15"/>
      <c r="O407" s="15"/>
      <c r="P407" s="15"/>
      <c r="Q407" s="15"/>
      <c r="R407" s="15"/>
      <c r="S407" s="15"/>
      <c r="T407" s="15"/>
      <c r="U407" s="15"/>
      <c r="V407" s="15"/>
      <c r="W407" s="15"/>
      <c r="X407" s="15"/>
      <c r="Y407" s="15"/>
      <c r="Z407" s="15"/>
    </row>
    <row r="408" spans="1:26" ht="21" customHeight="1" x14ac:dyDescent="0.85">
      <c r="A408" s="15"/>
      <c r="B408" s="15"/>
      <c r="C408" s="15"/>
      <c r="D408" s="15"/>
      <c r="E408" s="15"/>
      <c r="F408" s="15"/>
      <c r="G408" s="15"/>
      <c r="H408" s="15"/>
      <c r="I408" s="15"/>
      <c r="J408" s="15"/>
      <c r="K408" s="15"/>
      <c r="L408" s="15"/>
      <c r="M408" s="15"/>
      <c r="N408" s="15"/>
      <c r="O408" s="15"/>
      <c r="P408" s="15"/>
      <c r="Q408" s="15"/>
      <c r="R408" s="15"/>
      <c r="S408" s="15"/>
      <c r="T408" s="15"/>
      <c r="U408" s="15"/>
      <c r="V408" s="15"/>
      <c r="W408" s="15"/>
      <c r="X408" s="15"/>
      <c r="Y408" s="15"/>
      <c r="Z408" s="15"/>
    </row>
    <row r="409" spans="1:26" ht="21" customHeight="1" x14ac:dyDescent="0.85">
      <c r="A409" s="15"/>
      <c r="B409" s="15"/>
      <c r="C409" s="15"/>
      <c r="D409" s="15"/>
      <c r="E409" s="15"/>
      <c r="F409" s="15"/>
      <c r="G409" s="15"/>
      <c r="H409" s="15"/>
      <c r="I409" s="15"/>
      <c r="J409" s="15"/>
      <c r="K409" s="15"/>
      <c r="L409" s="15"/>
      <c r="M409" s="15"/>
      <c r="N409" s="15"/>
      <c r="O409" s="15"/>
      <c r="P409" s="15"/>
      <c r="Q409" s="15"/>
      <c r="R409" s="15"/>
      <c r="S409" s="15"/>
      <c r="T409" s="15"/>
      <c r="U409" s="15"/>
      <c r="V409" s="15"/>
      <c r="W409" s="15"/>
      <c r="X409" s="15"/>
      <c r="Y409" s="15"/>
      <c r="Z409" s="15"/>
    </row>
    <row r="410" spans="1:26" ht="21" customHeight="1" x14ac:dyDescent="0.85">
      <c r="A410" s="15"/>
      <c r="B410" s="15"/>
      <c r="C410" s="15"/>
      <c r="D410" s="15"/>
      <c r="E410" s="15"/>
      <c r="F410" s="15"/>
      <c r="G410" s="15"/>
      <c r="H410" s="15"/>
      <c r="I410" s="15"/>
      <c r="J410" s="15"/>
      <c r="K410" s="15"/>
      <c r="L410" s="15"/>
      <c r="M410" s="15"/>
      <c r="N410" s="15"/>
      <c r="O410" s="15"/>
      <c r="P410" s="15"/>
      <c r="Q410" s="15"/>
      <c r="R410" s="15"/>
      <c r="S410" s="15"/>
      <c r="T410" s="15"/>
      <c r="U410" s="15"/>
      <c r="V410" s="15"/>
      <c r="W410" s="15"/>
      <c r="X410" s="15"/>
      <c r="Y410" s="15"/>
      <c r="Z410" s="15"/>
    </row>
    <row r="411" spans="1:26" ht="21" customHeight="1" x14ac:dyDescent="0.85">
      <c r="A411" s="15"/>
      <c r="B411" s="15"/>
      <c r="C411" s="15"/>
      <c r="D411" s="15"/>
      <c r="E411" s="15"/>
      <c r="F411" s="15"/>
      <c r="G411" s="15"/>
      <c r="H411" s="15"/>
      <c r="I411" s="15"/>
      <c r="J411" s="15"/>
      <c r="K411" s="15"/>
      <c r="L411" s="15"/>
      <c r="M411" s="15"/>
      <c r="N411" s="15"/>
      <c r="O411" s="15"/>
      <c r="P411" s="15"/>
      <c r="Q411" s="15"/>
      <c r="R411" s="15"/>
      <c r="S411" s="15"/>
      <c r="T411" s="15"/>
      <c r="U411" s="15"/>
      <c r="V411" s="15"/>
      <c r="W411" s="15"/>
      <c r="X411" s="15"/>
      <c r="Y411" s="15"/>
      <c r="Z411" s="15"/>
    </row>
    <row r="412" spans="1:26" ht="21" customHeight="1" x14ac:dyDescent="0.85">
      <c r="A412" s="15"/>
      <c r="B412" s="15"/>
      <c r="C412" s="15"/>
      <c r="D412" s="15"/>
      <c r="E412" s="15"/>
      <c r="F412" s="15"/>
      <c r="G412" s="15"/>
      <c r="H412" s="15"/>
      <c r="I412" s="15"/>
      <c r="J412" s="15"/>
      <c r="K412" s="15"/>
      <c r="L412" s="15"/>
      <c r="M412" s="15"/>
      <c r="N412" s="15"/>
      <c r="O412" s="15"/>
      <c r="P412" s="15"/>
      <c r="Q412" s="15"/>
      <c r="R412" s="15"/>
      <c r="S412" s="15"/>
      <c r="T412" s="15"/>
      <c r="U412" s="15"/>
      <c r="V412" s="15"/>
      <c r="W412" s="15"/>
      <c r="X412" s="15"/>
      <c r="Y412" s="15"/>
      <c r="Z412" s="15"/>
    </row>
    <row r="413" spans="1:26" ht="21" customHeight="1" x14ac:dyDescent="0.85">
      <c r="A413" s="15"/>
      <c r="B413" s="15"/>
      <c r="C413" s="15"/>
      <c r="D413" s="15"/>
      <c r="E413" s="15"/>
      <c r="F413" s="15"/>
      <c r="G413" s="15"/>
      <c r="H413" s="15"/>
      <c r="I413" s="15"/>
      <c r="J413" s="15"/>
      <c r="K413" s="15"/>
      <c r="L413" s="15"/>
      <c r="M413" s="15"/>
      <c r="N413" s="15"/>
      <c r="O413" s="15"/>
      <c r="P413" s="15"/>
      <c r="Q413" s="15"/>
      <c r="R413" s="15"/>
      <c r="S413" s="15"/>
      <c r="T413" s="15"/>
      <c r="U413" s="15"/>
      <c r="V413" s="15"/>
      <c r="W413" s="15"/>
      <c r="X413" s="15"/>
      <c r="Y413" s="15"/>
      <c r="Z413" s="15"/>
    </row>
    <row r="414" spans="1:26" ht="21" customHeight="1" x14ac:dyDescent="0.85">
      <c r="A414" s="15"/>
      <c r="B414" s="15"/>
      <c r="C414" s="15"/>
      <c r="D414" s="15"/>
      <c r="E414" s="15"/>
      <c r="F414" s="15"/>
      <c r="G414" s="15"/>
      <c r="H414" s="15"/>
      <c r="I414" s="15"/>
      <c r="J414" s="15"/>
      <c r="K414" s="15"/>
      <c r="L414" s="15"/>
      <c r="M414" s="15"/>
      <c r="N414" s="15"/>
      <c r="O414" s="15"/>
      <c r="P414" s="15"/>
      <c r="Q414" s="15"/>
      <c r="R414" s="15"/>
      <c r="S414" s="15"/>
      <c r="T414" s="15"/>
      <c r="U414" s="15"/>
      <c r="V414" s="15"/>
      <c r="W414" s="15"/>
      <c r="X414" s="15"/>
      <c r="Y414" s="15"/>
      <c r="Z414" s="15"/>
    </row>
    <row r="415" spans="1:26" ht="21" customHeight="1" x14ac:dyDescent="0.85">
      <c r="A415" s="15"/>
      <c r="B415" s="15"/>
      <c r="C415" s="15"/>
      <c r="D415" s="15"/>
      <c r="E415" s="15"/>
      <c r="F415" s="15"/>
      <c r="G415" s="15"/>
      <c r="H415" s="15"/>
      <c r="I415" s="15"/>
      <c r="J415" s="15"/>
      <c r="K415" s="15"/>
      <c r="L415" s="15"/>
      <c r="M415" s="15"/>
      <c r="N415" s="15"/>
      <c r="O415" s="15"/>
      <c r="P415" s="15"/>
      <c r="Q415" s="15"/>
      <c r="R415" s="15"/>
      <c r="S415" s="15"/>
      <c r="T415" s="15"/>
      <c r="U415" s="15"/>
      <c r="V415" s="15"/>
      <c r="W415" s="15"/>
      <c r="X415" s="15"/>
      <c r="Y415" s="15"/>
      <c r="Z415" s="15"/>
    </row>
    <row r="416" spans="1:26" ht="21" customHeight="1" x14ac:dyDescent="0.85">
      <c r="A416" s="15"/>
      <c r="B416" s="15"/>
      <c r="C416" s="15"/>
      <c r="D416" s="15"/>
      <c r="E416" s="15"/>
      <c r="F416" s="15"/>
      <c r="G416" s="15"/>
      <c r="H416" s="15"/>
      <c r="I416" s="15"/>
      <c r="J416" s="15"/>
      <c r="K416" s="15"/>
      <c r="L416" s="15"/>
      <c r="M416" s="15"/>
      <c r="N416" s="15"/>
      <c r="O416" s="15"/>
      <c r="P416" s="15"/>
      <c r="Q416" s="15"/>
      <c r="R416" s="15"/>
      <c r="S416" s="15"/>
      <c r="T416" s="15"/>
      <c r="U416" s="15"/>
      <c r="V416" s="15"/>
      <c r="W416" s="15"/>
      <c r="X416" s="15"/>
      <c r="Y416" s="15"/>
      <c r="Z416" s="15"/>
    </row>
    <row r="417" spans="1:26" ht="21" customHeight="1" x14ac:dyDescent="0.85">
      <c r="A417" s="15"/>
      <c r="B417" s="15"/>
      <c r="C417" s="15"/>
      <c r="D417" s="15"/>
      <c r="E417" s="15"/>
      <c r="F417" s="15"/>
      <c r="G417" s="15"/>
      <c r="H417" s="15"/>
      <c r="I417" s="15"/>
      <c r="J417" s="15"/>
      <c r="K417" s="15"/>
      <c r="L417" s="15"/>
      <c r="M417" s="15"/>
      <c r="N417" s="15"/>
      <c r="O417" s="15"/>
      <c r="P417" s="15"/>
      <c r="Q417" s="15"/>
      <c r="R417" s="15"/>
      <c r="S417" s="15"/>
      <c r="T417" s="15"/>
      <c r="U417" s="15"/>
      <c r="V417" s="15"/>
      <c r="W417" s="15"/>
      <c r="X417" s="15"/>
      <c r="Y417" s="15"/>
      <c r="Z417" s="15"/>
    </row>
    <row r="418" spans="1:26" ht="21" customHeight="1" x14ac:dyDescent="0.85">
      <c r="A418" s="15"/>
      <c r="B418" s="15"/>
      <c r="C418" s="15"/>
      <c r="D418" s="15"/>
      <c r="E418" s="15"/>
      <c r="F418" s="15"/>
      <c r="G418" s="15"/>
      <c r="H418" s="15"/>
      <c r="I418" s="15"/>
      <c r="J418" s="15"/>
      <c r="K418" s="15"/>
      <c r="L418" s="15"/>
      <c r="M418" s="15"/>
      <c r="N418" s="15"/>
      <c r="O418" s="15"/>
      <c r="P418" s="15"/>
      <c r="Q418" s="15"/>
      <c r="R418" s="15"/>
      <c r="S418" s="15"/>
      <c r="T418" s="15"/>
      <c r="U418" s="15"/>
      <c r="V418" s="15"/>
      <c r="W418" s="15"/>
      <c r="X418" s="15"/>
      <c r="Y418" s="15"/>
      <c r="Z418" s="15"/>
    </row>
    <row r="419" spans="1:26" ht="21" customHeight="1" x14ac:dyDescent="0.85">
      <c r="A419" s="15"/>
      <c r="B419" s="15"/>
      <c r="C419" s="15"/>
      <c r="D419" s="15"/>
      <c r="E419" s="15"/>
      <c r="F419" s="15"/>
      <c r="G419" s="15"/>
      <c r="H419" s="15"/>
      <c r="I419" s="15"/>
      <c r="J419" s="15"/>
      <c r="K419" s="15"/>
      <c r="L419" s="15"/>
      <c r="M419" s="15"/>
      <c r="N419" s="15"/>
      <c r="O419" s="15"/>
      <c r="P419" s="15"/>
      <c r="Q419" s="15"/>
      <c r="R419" s="15"/>
      <c r="S419" s="15"/>
      <c r="T419" s="15"/>
      <c r="U419" s="15"/>
      <c r="V419" s="15"/>
      <c r="W419" s="15"/>
      <c r="X419" s="15"/>
      <c r="Y419" s="15"/>
      <c r="Z419" s="15"/>
    </row>
    <row r="420" spans="1:26" ht="21" customHeight="1" x14ac:dyDescent="0.85">
      <c r="A420" s="15"/>
      <c r="B420" s="15"/>
      <c r="C420" s="15"/>
      <c r="D420" s="15"/>
      <c r="E420" s="15"/>
      <c r="F420" s="15"/>
      <c r="G420" s="15"/>
      <c r="H420" s="15"/>
      <c r="I420" s="15"/>
      <c r="J420" s="15"/>
      <c r="K420" s="15"/>
      <c r="L420" s="15"/>
      <c r="M420" s="15"/>
      <c r="N420" s="15"/>
      <c r="O420" s="15"/>
      <c r="P420" s="15"/>
      <c r="Q420" s="15"/>
      <c r="R420" s="15"/>
      <c r="S420" s="15"/>
      <c r="T420" s="15"/>
      <c r="U420" s="15"/>
      <c r="V420" s="15"/>
      <c r="W420" s="15"/>
      <c r="X420" s="15"/>
      <c r="Y420" s="15"/>
      <c r="Z420" s="15"/>
    </row>
    <row r="421" spans="1:26" ht="21" customHeight="1" x14ac:dyDescent="0.85">
      <c r="A421" s="15"/>
      <c r="B421" s="15"/>
      <c r="C421" s="15"/>
      <c r="D421" s="15"/>
      <c r="E421" s="15"/>
      <c r="F421" s="15"/>
      <c r="G421" s="15"/>
      <c r="H421" s="15"/>
      <c r="I421" s="15"/>
      <c r="J421" s="15"/>
      <c r="K421" s="15"/>
      <c r="L421" s="15"/>
      <c r="M421" s="15"/>
      <c r="N421" s="15"/>
      <c r="O421" s="15"/>
      <c r="P421" s="15"/>
      <c r="Q421" s="15"/>
      <c r="R421" s="15"/>
      <c r="S421" s="15"/>
      <c r="T421" s="15"/>
      <c r="U421" s="15"/>
      <c r="V421" s="15"/>
      <c r="W421" s="15"/>
      <c r="X421" s="15"/>
      <c r="Y421" s="15"/>
      <c r="Z421" s="15"/>
    </row>
    <row r="422" spans="1:26" ht="21" customHeight="1" x14ac:dyDescent="0.85">
      <c r="A422" s="15"/>
      <c r="B422" s="15"/>
      <c r="C422" s="15"/>
      <c r="D422" s="15"/>
      <c r="E422" s="15"/>
      <c r="F422" s="15"/>
      <c r="G422" s="15"/>
      <c r="H422" s="15"/>
      <c r="I422" s="15"/>
      <c r="J422" s="15"/>
      <c r="K422" s="15"/>
      <c r="L422" s="15"/>
      <c r="M422" s="15"/>
      <c r="N422" s="15"/>
      <c r="O422" s="15"/>
      <c r="P422" s="15"/>
      <c r="Q422" s="15"/>
      <c r="R422" s="15"/>
      <c r="S422" s="15"/>
      <c r="T422" s="15"/>
      <c r="U422" s="15"/>
      <c r="V422" s="15"/>
      <c r="W422" s="15"/>
      <c r="X422" s="15"/>
      <c r="Y422" s="15"/>
      <c r="Z422" s="15"/>
    </row>
    <row r="423" spans="1:26" ht="21" customHeight="1" x14ac:dyDescent="0.85">
      <c r="A423" s="15"/>
      <c r="B423" s="15"/>
      <c r="C423" s="15"/>
      <c r="D423" s="15"/>
      <c r="E423" s="15"/>
      <c r="F423" s="15"/>
      <c r="G423" s="15"/>
      <c r="H423" s="15"/>
      <c r="I423" s="15"/>
      <c r="J423" s="15"/>
      <c r="K423" s="15"/>
      <c r="L423" s="15"/>
      <c r="M423" s="15"/>
      <c r="N423" s="15"/>
      <c r="O423" s="15"/>
      <c r="P423" s="15"/>
      <c r="Q423" s="15"/>
      <c r="R423" s="15"/>
      <c r="S423" s="15"/>
      <c r="T423" s="15"/>
      <c r="U423" s="15"/>
      <c r="V423" s="15"/>
      <c r="W423" s="15"/>
      <c r="X423" s="15"/>
      <c r="Y423" s="15"/>
      <c r="Z423" s="15"/>
    </row>
    <row r="424" spans="1:26" ht="21" customHeight="1" x14ac:dyDescent="0.85">
      <c r="A424" s="15"/>
      <c r="B424" s="15"/>
      <c r="C424" s="15"/>
      <c r="D424" s="15"/>
      <c r="E424" s="15"/>
      <c r="F424" s="15"/>
      <c r="G424" s="15"/>
      <c r="H424" s="15"/>
      <c r="I424" s="15"/>
      <c r="J424" s="15"/>
      <c r="K424" s="15"/>
      <c r="L424" s="15"/>
      <c r="M424" s="15"/>
      <c r="N424" s="15"/>
      <c r="O424" s="15"/>
      <c r="P424" s="15"/>
      <c r="Q424" s="15"/>
      <c r="R424" s="15"/>
      <c r="S424" s="15"/>
      <c r="T424" s="15"/>
      <c r="U424" s="15"/>
      <c r="V424" s="15"/>
      <c r="W424" s="15"/>
      <c r="X424" s="15"/>
      <c r="Y424" s="15"/>
      <c r="Z424" s="15"/>
    </row>
    <row r="425" spans="1:26" ht="21" customHeight="1" x14ac:dyDescent="0.85">
      <c r="A425" s="15"/>
      <c r="B425" s="15"/>
      <c r="C425" s="15"/>
      <c r="D425" s="15"/>
      <c r="E425" s="15"/>
      <c r="F425" s="15"/>
      <c r="G425" s="15"/>
      <c r="H425" s="15"/>
      <c r="I425" s="15"/>
      <c r="J425" s="15"/>
      <c r="K425" s="15"/>
      <c r="L425" s="15"/>
      <c r="M425" s="15"/>
      <c r="N425" s="15"/>
      <c r="O425" s="15"/>
      <c r="P425" s="15"/>
      <c r="Q425" s="15"/>
      <c r="R425" s="15"/>
      <c r="S425" s="15"/>
      <c r="T425" s="15"/>
      <c r="U425" s="15"/>
      <c r="V425" s="15"/>
      <c r="W425" s="15"/>
      <c r="X425" s="15"/>
      <c r="Y425" s="15"/>
      <c r="Z425" s="15"/>
    </row>
    <row r="426" spans="1:26" ht="21" customHeight="1" x14ac:dyDescent="0.85">
      <c r="A426" s="15"/>
      <c r="B426" s="15"/>
      <c r="C426" s="15"/>
      <c r="D426" s="15"/>
      <c r="E426" s="15"/>
      <c r="F426" s="15"/>
      <c r="G426" s="15"/>
      <c r="H426" s="15"/>
      <c r="I426" s="15"/>
      <c r="J426" s="15"/>
      <c r="K426" s="15"/>
      <c r="L426" s="15"/>
      <c r="M426" s="15"/>
      <c r="N426" s="15"/>
      <c r="O426" s="15"/>
      <c r="P426" s="15"/>
      <c r="Q426" s="15"/>
      <c r="R426" s="15"/>
      <c r="S426" s="15"/>
      <c r="T426" s="15"/>
      <c r="U426" s="15"/>
      <c r="V426" s="15"/>
      <c r="W426" s="15"/>
      <c r="X426" s="15"/>
      <c r="Y426" s="15"/>
      <c r="Z426" s="15"/>
    </row>
    <row r="427" spans="1:26" ht="21" customHeight="1" x14ac:dyDescent="0.85">
      <c r="A427" s="15"/>
      <c r="B427" s="15"/>
      <c r="C427" s="15"/>
      <c r="D427" s="15"/>
      <c r="E427" s="15"/>
      <c r="F427" s="15"/>
      <c r="G427" s="15"/>
      <c r="H427" s="15"/>
      <c r="I427" s="15"/>
      <c r="J427" s="15"/>
      <c r="K427" s="15"/>
      <c r="L427" s="15"/>
      <c r="M427" s="15"/>
      <c r="N427" s="15"/>
      <c r="O427" s="15"/>
      <c r="P427" s="15"/>
      <c r="Q427" s="15"/>
      <c r="R427" s="15"/>
      <c r="S427" s="15"/>
      <c r="T427" s="15"/>
      <c r="U427" s="15"/>
      <c r="V427" s="15"/>
      <c r="W427" s="15"/>
      <c r="X427" s="15"/>
      <c r="Y427" s="15"/>
      <c r="Z427" s="15"/>
    </row>
    <row r="428" spans="1:26" ht="21" customHeight="1" x14ac:dyDescent="0.85">
      <c r="A428" s="15"/>
      <c r="B428" s="15"/>
      <c r="C428" s="15"/>
      <c r="D428" s="15"/>
      <c r="E428" s="15"/>
      <c r="F428" s="15"/>
      <c r="G428" s="15"/>
      <c r="H428" s="15"/>
      <c r="I428" s="15"/>
      <c r="J428" s="15"/>
      <c r="K428" s="15"/>
      <c r="L428" s="15"/>
      <c r="M428" s="15"/>
      <c r="N428" s="15"/>
      <c r="O428" s="15"/>
      <c r="P428" s="15"/>
      <c r="Q428" s="15"/>
      <c r="R428" s="15"/>
      <c r="S428" s="15"/>
      <c r="T428" s="15"/>
      <c r="U428" s="15"/>
      <c r="V428" s="15"/>
      <c r="W428" s="15"/>
      <c r="X428" s="15"/>
      <c r="Y428" s="15"/>
      <c r="Z428" s="15"/>
    </row>
    <row r="429" spans="1:26" ht="21" customHeight="1" x14ac:dyDescent="0.85">
      <c r="A429" s="15"/>
      <c r="B429" s="15"/>
      <c r="C429" s="15"/>
      <c r="D429" s="15"/>
      <c r="E429" s="15"/>
      <c r="F429" s="15"/>
      <c r="G429" s="15"/>
      <c r="H429" s="15"/>
      <c r="I429" s="15"/>
      <c r="J429" s="15"/>
      <c r="K429" s="15"/>
      <c r="L429" s="15"/>
      <c r="M429" s="15"/>
      <c r="N429" s="15"/>
      <c r="O429" s="15"/>
      <c r="P429" s="15"/>
      <c r="Q429" s="15"/>
      <c r="R429" s="15"/>
      <c r="S429" s="15"/>
      <c r="T429" s="15"/>
      <c r="U429" s="15"/>
      <c r="V429" s="15"/>
      <c r="W429" s="15"/>
      <c r="X429" s="15"/>
      <c r="Y429" s="15"/>
      <c r="Z429" s="15"/>
    </row>
    <row r="430" spans="1:26" ht="21" customHeight="1" x14ac:dyDescent="0.85">
      <c r="A430" s="15"/>
      <c r="B430" s="15"/>
      <c r="C430" s="15"/>
      <c r="D430" s="15"/>
      <c r="E430" s="15"/>
      <c r="F430" s="15"/>
      <c r="G430" s="15"/>
      <c r="H430" s="15"/>
      <c r="I430" s="15"/>
      <c r="J430" s="15"/>
      <c r="K430" s="15"/>
      <c r="L430" s="15"/>
      <c r="M430" s="15"/>
      <c r="N430" s="15"/>
      <c r="O430" s="15"/>
      <c r="P430" s="15"/>
      <c r="Q430" s="15"/>
      <c r="R430" s="15"/>
      <c r="S430" s="15"/>
      <c r="T430" s="15"/>
      <c r="U430" s="15"/>
      <c r="V430" s="15"/>
      <c r="W430" s="15"/>
      <c r="X430" s="15"/>
      <c r="Y430" s="15"/>
      <c r="Z430" s="15"/>
    </row>
    <row r="431" spans="1:26" ht="21" customHeight="1" x14ac:dyDescent="0.85">
      <c r="A431" s="15"/>
      <c r="B431" s="15"/>
      <c r="C431" s="15"/>
      <c r="D431" s="15"/>
      <c r="E431" s="15"/>
      <c r="F431" s="15"/>
      <c r="G431" s="15"/>
      <c r="H431" s="15"/>
      <c r="I431" s="15"/>
      <c r="J431" s="15"/>
      <c r="K431" s="15"/>
      <c r="L431" s="15"/>
      <c r="M431" s="15"/>
      <c r="N431" s="15"/>
      <c r="O431" s="15"/>
      <c r="P431" s="15"/>
      <c r="Q431" s="15"/>
      <c r="R431" s="15"/>
      <c r="S431" s="15"/>
      <c r="T431" s="15"/>
      <c r="U431" s="15"/>
      <c r="V431" s="15"/>
      <c r="W431" s="15"/>
      <c r="X431" s="15"/>
      <c r="Y431" s="15"/>
      <c r="Z431" s="15"/>
    </row>
    <row r="432" spans="1:26" ht="21" customHeight="1" x14ac:dyDescent="0.85">
      <c r="A432" s="15"/>
      <c r="B432" s="15"/>
      <c r="C432" s="15"/>
      <c r="D432" s="15"/>
      <c r="E432" s="15"/>
      <c r="F432" s="15"/>
      <c r="G432" s="15"/>
      <c r="H432" s="15"/>
      <c r="I432" s="15"/>
      <c r="J432" s="15"/>
      <c r="K432" s="15"/>
      <c r="L432" s="15"/>
      <c r="M432" s="15"/>
      <c r="N432" s="15"/>
      <c r="O432" s="15"/>
      <c r="P432" s="15"/>
      <c r="Q432" s="15"/>
      <c r="R432" s="15"/>
      <c r="S432" s="15"/>
      <c r="T432" s="15"/>
      <c r="U432" s="15"/>
      <c r="V432" s="15"/>
      <c r="W432" s="15"/>
      <c r="X432" s="15"/>
      <c r="Y432" s="15"/>
      <c r="Z432" s="15"/>
    </row>
    <row r="433" spans="1:26" ht="21" customHeight="1" x14ac:dyDescent="0.85">
      <c r="A433" s="15"/>
      <c r="B433" s="15"/>
      <c r="C433" s="15"/>
      <c r="D433" s="15"/>
      <c r="E433" s="15"/>
      <c r="F433" s="15"/>
      <c r="G433" s="15"/>
      <c r="H433" s="15"/>
      <c r="I433" s="15"/>
      <c r="J433" s="15"/>
      <c r="K433" s="15"/>
      <c r="L433" s="15"/>
      <c r="M433" s="15"/>
      <c r="N433" s="15"/>
      <c r="O433" s="15"/>
      <c r="P433" s="15"/>
      <c r="Q433" s="15"/>
      <c r="R433" s="15"/>
      <c r="S433" s="15"/>
      <c r="T433" s="15"/>
      <c r="U433" s="15"/>
      <c r="V433" s="15"/>
      <c r="W433" s="15"/>
      <c r="X433" s="15"/>
      <c r="Y433" s="15"/>
      <c r="Z433" s="15"/>
    </row>
    <row r="434" spans="1:26" ht="21" customHeight="1" x14ac:dyDescent="0.85">
      <c r="A434" s="15"/>
      <c r="B434" s="15"/>
      <c r="C434" s="15"/>
      <c r="D434" s="15"/>
      <c r="E434" s="15"/>
      <c r="F434" s="15"/>
      <c r="G434" s="15"/>
      <c r="H434" s="15"/>
      <c r="I434" s="15"/>
      <c r="J434" s="15"/>
      <c r="K434" s="15"/>
      <c r="L434" s="15"/>
      <c r="M434" s="15"/>
      <c r="N434" s="15"/>
      <c r="O434" s="15"/>
      <c r="P434" s="15"/>
      <c r="Q434" s="15"/>
      <c r="R434" s="15"/>
      <c r="S434" s="15"/>
      <c r="T434" s="15"/>
      <c r="U434" s="15"/>
      <c r="V434" s="15"/>
      <c r="W434" s="15"/>
      <c r="X434" s="15"/>
      <c r="Y434" s="15"/>
      <c r="Z434" s="15"/>
    </row>
    <row r="435" spans="1:26" ht="21" customHeight="1" x14ac:dyDescent="0.85">
      <c r="A435" s="15"/>
      <c r="B435" s="15"/>
      <c r="C435" s="15"/>
      <c r="D435" s="15"/>
      <c r="E435" s="15"/>
      <c r="F435" s="15"/>
      <c r="G435" s="15"/>
      <c r="H435" s="15"/>
      <c r="I435" s="15"/>
      <c r="J435" s="15"/>
      <c r="K435" s="15"/>
      <c r="L435" s="15"/>
      <c r="M435" s="15"/>
      <c r="N435" s="15"/>
      <c r="O435" s="15"/>
      <c r="P435" s="15"/>
      <c r="Q435" s="15"/>
      <c r="R435" s="15"/>
      <c r="S435" s="15"/>
      <c r="T435" s="15"/>
      <c r="U435" s="15"/>
      <c r="V435" s="15"/>
      <c r="W435" s="15"/>
      <c r="X435" s="15"/>
      <c r="Y435" s="15"/>
      <c r="Z435" s="15"/>
    </row>
    <row r="436" spans="1:26" ht="21" customHeight="1" x14ac:dyDescent="0.85">
      <c r="A436" s="15"/>
      <c r="B436" s="15"/>
      <c r="C436" s="15"/>
      <c r="D436" s="15"/>
      <c r="E436" s="15"/>
      <c r="F436" s="15"/>
      <c r="G436" s="15"/>
      <c r="H436" s="15"/>
      <c r="I436" s="15"/>
      <c r="J436" s="15"/>
      <c r="K436" s="15"/>
      <c r="L436" s="15"/>
      <c r="M436" s="15"/>
      <c r="N436" s="15"/>
      <c r="O436" s="15"/>
      <c r="P436" s="15"/>
      <c r="Q436" s="15"/>
      <c r="R436" s="15"/>
      <c r="S436" s="15"/>
      <c r="T436" s="15"/>
      <c r="U436" s="15"/>
      <c r="V436" s="15"/>
      <c r="W436" s="15"/>
      <c r="X436" s="15"/>
      <c r="Y436" s="15"/>
      <c r="Z436" s="15"/>
    </row>
    <row r="437" spans="1:26" ht="21" customHeight="1" x14ac:dyDescent="0.85">
      <c r="A437" s="15"/>
      <c r="B437" s="15"/>
      <c r="C437" s="15"/>
      <c r="D437" s="15"/>
      <c r="E437" s="15"/>
      <c r="F437" s="15"/>
      <c r="G437" s="15"/>
      <c r="H437" s="15"/>
      <c r="I437" s="15"/>
      <c r="J437" s="15"/>
      <c r="K437" s="15"/>
      <c r="L437" s="15"/>
      <c r="M437" s="15"/>
      <c r="N437" s="15"/>
      <c r="O437" s="15"/>
      <c r="P437" s="15"/>
      <c r="Q437" s="15"/>
      <c r="R437" s="15"/>
      <c r="S437" s="15"/>
      <c r="T437" s="15"/>
      <c r="U437" s="15"/>
      <c r="V437" s="15"/>
      <c r="W437" s="15"/>
      <c r="X437" s="15"/>
      <c r="Y437" s="15"/>
      <c r="Z437" s="15"/>
    </row>
    <row r="438" spans="1:26" ht="21" customHeight="1" x14ac:dyDescent="0.85">
      <c r="A438" s="15"/>
      <c r="B438" s="15"/>
      <c r="C438" s="15"/>
      <c r="D438" s="15"/>
      <c r="E438" s="15"/>
      <c r="F438" s="15"/>
      <c r="G438" s="15"/>
      <c r="H438" s="15"/>
      <c r="I438" s="15"/>
      <c r="J438" s="15"/>
      <c r="K438" s="15"/>
      <c r="L438" s="15"/>
      <c r="M438" s="15"/>
      <c r="N438" s="15"/>
      <c r="O438" s="15"/>
      <c r="P438" s="15"/>
      <c r="Q438" s="15"/>
      <c r="R438" s="15"/>
      <c r="S438" s="15"/>
      <c r="T438" s="15"/>
      <c r="U438" s="15"/>
      <c r="V438" s="15"/>
      <c r="W438" s="15"/>
      <c r="X438" s="15"/>
      <c r="Y438" s="15"/>
      <c r="Z438" s="15"/>
    </row>
    <row r="439" spans="1:26" ht="21" customHeight="1" x14ac:dyDescent="0.85">
      <c r="A439" s="15"/>
      <c r="B439" s="15"/>
      <c r="C439" s="15"/>
      <c r="D439" s="15"/>
      <c r="E439" s="15"/>
      <c r="F439" s="15"/>
      <c r="G439" s="15"/>
      <c r="H439" s="15"/>
      <c r="I439" s="15"/>
      <c r="J439" s="15"/>
      <c r="K439" s="15"/>
      <c r="L439" s="15"/>
      <c r="M439" s="15"/>
      <c r="N439" s="15"/>
      <c r="O439" s="15"/>
      <c r="P439" s="15"/>
      <c r="Q439" s="15"/>
      <c r="R439" s="15"/>
      <c r="S439" s="15"/>
      <c r="T439" s="15"/>
      <c r="U439" s="15"/>
      <c r="V439" s="15"/>
      <c r="W439" s="15"/>
      <c r="X439" s="15"/>
      <c r="Y439" s="15"/>
      <c r="Z439" s="15"/>
    </row>
    <row r="440" spans="1:26" ht="21" customHeight="1" x14ac:dyDescent="0.85">
      <c r="A440" s="15"/>
      <c r="B440" s="15"/>
      <c r="C440" s="15"/>
      <c r="D440" s="15"/>
      <c r="E440" s="15"/>
      <c r="F440" s="15"/>
      <c r="G440" s="15"/>
      <c r="H440" s="15"/>
      <c r="I440" s="15"/>
      <c r="J440" s="15"/>
      <c r="K440" s="15"/>
      <c r="L440" s="15"/>
      <c r="M440" s="15"/>
      <c r="N440" s="15"/>
      <c r="O440" s="15"/>
      <c r="P440" s="15"/>
      <c r="Q440" s="15"/>
      <c r="R440" s="15"/>
      <c r="S440" s="15"/>
      <c r="T440" s="15"/>
      <c r="U440" s="15"/>
      <c r="V440" s="15"/>
      <c r="W440" s="15"/>
      <c r="X440" s="15"/>
      <c r="Y440" s="15"/>
      <c r="Z440" s="15"/>
    </row>
    <row r="441" spans="1:26" ht="21" customHeight="1" x14ac:dyDescent="0.85">
      <c r="A441" s="15"/>
      <c r="B441" s="15"/>
      <c r="C441" s="15"/>
      <c r="D441" s="15"/>
      <c r="E441" s="15"/>
      <c r="F441" s="15"/>
      <c r="G441" s="15"/>
      <c r="H441" s="15"/>
      <c r="I441" s="15"/>
      <c r="J441" s="15"/>
      <c r="K441" s="15"/>
      <c r="L441" s="15"/>
      <c r="M441" s="15"/>
      <c r="N441" s="15"/>
      <c r="O441" s="15"/>
      <c r="P441" s="15"/>
      <c r="Q441" s="15"/>
      <c r="R441" s="15"/>
      <c r="S441" s="15"/>
      <c r="T441" s="15"/>
      <c r="U441" s="15"/>
      <c r="V441" s="15"/>
      <c r="W441" s="15"/>
      <c r="X441" s="15"/>
      <c r="Y441" s="15"/>
      <c r="Z441" s="15"/>
    </row>
    <row r="442" spans="1:26" ht="21" customHeight="1" x14ac:dyDescent="0.85">
      <c r="A442" s="15"/>
      <c r="B442" s="15"/>
      <c r="C442" s="15"/>
      <c r="D442" s="15"/>
      <c r="E442" s="15"/>
      <c r="F442" s="15"/>
      <c r="G442" s="15"/>
      <c r="H442" s="15"/>
      <c r="I442" s="15"/>
      <c r="J442" s="15"/>
      <c r="K442" s="15"/>
      <c r="L442" s="15"/>
      <c r="M442" s="15"/>
      <c r="N442" s="15"/>
      <c r="O442" s="15"/>
      <c r="P442" s="15"/>
      <c r="Q442" s="15"/>
      <c r="R442" s="15"/>
      <c r="S442" s="15"/>
      <c r="T442" s="15"/>
      <c r="U442" s="15"/>
      <c r="V442" s="15"/>
      <c r="W442" s="15"/>
      <c r="X442" s="15"/>
      <c r="Y442" s="15"/>
      <c r="Z442" s="15"/>
    </row>
    <row r="443" spans="1:26" ht="21" customHeight="1" x14ac:dyDescent="0.85">
      <c r="A443" s="15"/>
      <c r="B443" s="15"/>
      <c r="C443" s="15"/>
      <c r="D443" s="15"/>
      <c r="E443" s="15"/>
      <c r="F443" s="15"/>
      <c r="G443" s="15"/>
      <c r="H443" s="15"/>
      <c r="I443" s="15"/>
      <c r="J443" s="15"/>
      <c r="K443" s="15"/>
      <c r="L443" s="15"/>
      <c r="M443" s="15"/>
      <c r="N443" s="15"/>
      <c r="O443" s="15"/>
      <c r="P443" s="15"/>
      <c r="Q443" s="15"/>
      <c r="R443" s="15"/>
      <c r="S443" s="15"/>
      <c r="T443" s="15"/>
      <c r="U443" s="15"/>
      <c r="V443" s="15"/>
      <c r="W443" s="15"/>
      <c r="X443" s="15"/>
      <c r="Y443" s="15"/>
      <c r="Z443" s="15"/>
    </row>
    <row r="444" spans="1:26" ht="21" customHeight="1" x14ac:dyDescent="0.85">
      <c r="A444" s="15"/>
      <c r="B444" s="15"/>
      <c r="C444" s="15"/>
      <c r="D444" s="15"/>
      <c r="E444" s="15"/>
      <c r="F444" s="15"/>
      <c r="G444" s="15"/>
      <c r="H444" s="15"/>
      <c r="I444" s="15"/>
      <c r="J444" s="15"/>
      <c r="K444" s="15"/>
      <c r="L444" s="15"/>
      <c r="M444" s="15"/>
      <c r="N444" s="15"/>
      <c r="O444" s="15"/>
      <c r="P444" s="15"/>
      <c r="Q444" s="15"/>
      <c r="R444" s="15"/>
      <c r="S444" s="15"/>
      <c r="T444" s="15"/>
      <c r="U444" s="15"/>
      <c r="V444" s="15"/>
      <c r="W444" s="15"/>
      <c r="X444" s="15"/>
      <c r="Y444" s="15"/>
      <c r="Z444" s="15"/>
    </row>
    <row r="445" spans="1:26" ht="21" customHeight="1" x14ac:dyDescent="0.85">
      <c r="A445" s="15"/>
      <c r="B445" s="15"/>
      <c r="C445" s="15"/>
      <c r="D445" s="15"/>
      <c r="E445" s="15"/>
      <c r="F445" s="15"/>
      <c r="G445" s="15"/>
      <c r="H445" s="15"/>
      <c r="I445" s="15"/>
      <c r="J445" s="15"/>
      <c r="K445" s="15"/>
      <c r="L445" s="15"/>
      <c r="M445" s="15"/>
      <c r="N445" s="15"/>
      <c r="O445" s="15"/>
      <c r="P445" s="15"/>
      <c r="Q445" s="15"/>
      <c r="R445" s="15"/>
      <c r="S445" s="15"/>
      <c r="T445" s="15"/>
      <c r="U445" s="15"/>
      <c r="V445" s="15"/>
      <c r="W445" s="15"/>
      <c r="X445" s="15"/>
      <c r="Y445" s="15"/>
      <c r="Z445" s="15"/>
    </row>
    <row r="446" spans="1:26" ht="21" customHeight="1" x14ac:dyDescent="0.85">
      <c r="A446" s="15"/>
      <c r="B446" s="15"/>
      <c r="C446" s="15"/>
      <c r="D446" s="15"/>
      <c r="E446" s="15"/>
      <c r="F446" s="15"/>
      <c r="G446" s="15"/>
      <c r="H446" s="15"/>
      <c r="I446" s="15"/>
      <c r="J446" s="15"/>
      <c r="K446" s="15"/>
      <c r="L446" s="15"/>
      <c r="M446" s="15"/>
      <c r="N446" s="15"/>
      <c r="O446" s="15"/>
      <c r="P446" s="15"/>
      <c r="Q446" s="15"/>
      <c r="R446" s="15"/>
      <c r="S446" s="15"/>
      <c r="T446" s="15"/>
      <c r="U446" s="15"/>
      <c r="V446" s="15"/>
      <c r="W446" s="15"/>
      <c r="X446" s="15"/>
      <c r="Y446" s="15"/>
      <c r="Z446" s="15"/>
    </row>
    <row r="447" spans="1:26" ht="21" customHeight="1" x14ac:dyDescent="0.85">
      <c r="A447" s="15"/>
      <c r="B447" s="15"/>
      <c r="C447" s="15"/>
      <c r="D447" s="15"/>
      <c r="E447" s="15"/>
      <c r="F447" s="15"/>
      <c r="G447" s="15"/>
      <c r="H447" s="15"/>
      <c r="I447" s="15"/>
      <c r="J447" s="15"/>
      <c r="K447" s="15"/>
      <c r="L447" s="15"/>
      <c r="M447" s="15"/>
      <c r="N447" s="15"/>
      <c r="O447" s="15"/>
      <c r="P447" s="15"/>
      <c r="Q447" s="15"/>
      <c r="R447" s="15"/>
      <c r="S447" s="15"/>
      <c r="T447" s="15"/>
      <c r="U447" s="15"/>
      <c r="V447" s="15"/>
      <c r="W447" s="15"/>
      <c r="X447" s="15"/>
      <c r="Y447" s="15"/>
      <c r="Z447" s="15"/>
    </row>
    <row r="448" spans="1:26" ht="21" customHeight="1" x14ac:dyDescent="0.85">
      <c r="A448" s="15"/>
      <c r="B448" s="15"/>
      <c r="C448" s="15"/>
      <c r="D448" s="15"/>
      <c r="E448" s="15"/>
      <c r="F448" s="15"/>
      <c r="G448" s="15"/>
      <c r="H448" s="15"/>
      <c r="I448" s="15"/>
      <c r="J448" s="15"/>
      <c r="K448" s="15"/>
      <c r="L448" s="15"/>
      <c r="M448" s="15"/>
      <c r="N448" s="15"/>
      <c r="O448" s="15"/>
      <c r="P448" s="15"/>
      <c r="Q448" s="15"/>
      <c r="R448" s="15"/>
      <c r="S448" s="15"/>
      <c r="T448" s="15"/>
      <c r="U448" s="15"/>
      <c r="V448" s="15"/>
      <c r="W448" s="15"/>
      <c r="X448" s="15"/>
      <c r="Y448" s="15"/>
      <c r="Z448" s="15"/>
    </row>
    <row r="449" spans="1:26" ht="21" customHeight="1" x14ac:dyDescent="0.85">
      <c r="A449" s="15"/>
      <c r="B449" s="15"/>
      <c r="C449" s="15"/>
      <c r="D449" s="15"/>
      <c r="E449" s="15"/>
      <c r="F449" s="15"/>
      <c r="G449" s="15"/>
      <c r="H449" s="15"/>
      <c r="I449" s="15"/>
      <c r="J449" s="15"/>
      <c r="K449" s="15"/>
      <c r="L449" s="15"/>
      <c r="M449" s="15"/>
      <c r="N449" s="15"/>
      <c r="O449" s="15"/>
      <c r="P449" s="15"/>
      <c r="Q449" s="15"/>
      <c r="R449" s="15"/>
      <c r="S449" s="15"/>
      <c r="T449" s="15"/>
      <c r="U449" s="15"/>
      <c r="V449" s="15"/>
      <c r="W449" s="15"/>
      <c r="X449" s="15"/>
      <c r="Y449" s="15"/>
      <c r="Z449" s="15"/>
    </row>
    <row r="450" spans="1:26" ht="21" customHeight="1" x14ac:dyDescent="0.85">
      <c r="A450" s="15"/>
      <c r="B450" s="15"/>
      <c r="C450" s="15"/>
      <c r="D450" s="15"/>
      <c r="E450" s="15"/>
      <c r="F450" s="15"/>
      <c r="G450" s="15"/>
      <c r="H450" s="15"/>
      <c r="I450" s="15"/>
      <c r="J450" s="15"/>
      <c r="K450" s="15"/>
      <c r="L450" s="15"/>
      <c r="M450" s="15"/>
      <c r="N450" s="15"/>
      <c r="O450" s="15"/>
      <c r="P450" s="15"/>
      <c r="Q450" s="15"/>
      <c r="R450" s="15"/>
      <c r="S450" s="15"/>
      <c r="T450" s="15"/>
      <c r="U450" s="15"/>
      <c r="V450" s="15"/>
      <c r="W450" s="15"/>
      <c r="X450" s="15"/>
      <c r="Y450" s="15"/>
      <c r="Z450" s="15"/>
    </row>
    <row r="451" spans="1:26" ht="21" customHeight="1" x14ac:dyDescent="0.85">
      <c r="A451" s="15"/>
      <c r="B451" s="15"/>
      <c r="C451" s="15"/>
      <c r="D451" s="15"/>
      <c r="E451" s="15"/>
      <c r="F451" s="15"/>
      <c r="G451" s="15"/>
      <c r="H451" s="15"/>
      <c r="I451" s="15"/>
      <c r="J451" s="15"/>
      <c r="K451" s="15"/>
      <c r="L451" s="15"/>
      <c r="M451" s="15"/>
      <c r="N451" s="15"/>
      <c r="O451" s="15"/>
      <c r="P451" s="15"/>
      <c r="Q451" s="15"/>
      <c r="R451" s="15"/>
      <c r="S451" s="15"/>
      <c r="T451" s="15"/>
      <c r="U451" s="15"/>
      <c r="V451" s="15"/>
      <c r="W451" s="15"/>
      <c r="X451" s="15"/>
      <c r="Y451" s="15"/>
      <c r="Z451" s="15"/>
    </row>
    <row r="452" spans="1:26" ht="21" customHeight="1" x14ac:dyDescent="0.85">
      <c r="A452" s="15"/>
      <c r="B452" s="15"/>
      <c r="C452" s="15"/>
      <c r="D452" s="15"/>
      <c r="E452" s="15"/>
      <c r="F452" s="15"/>
      <c r="G452" s="15"/>
      <c r="H452" s="15"/>
      <c r="I452" s="15"/>
      <c r="J452" s="15"/>
      <c r="K452" s="15"/>
      <c r="L452" s="15"/>
      <c r="M452" s="15"/>
      <c r="N452" s="15"/>
      <c r="O452" s="15"/>
      <c r="P452" s="15"/>
      <c r="Q452" s="15"/>
      <c r="R452" s="15"/>
      <c r="S452" s="15"/>
      <c r="T452" s="15"/>
      <c r="U452" s="15"/>
      <c r="V452" s="15"/>
      <c r="W452" s="15"/>
      <c r="X452" s="15"/>
      <c r="Y452" s="15"/>
      <c r="Z452" s="15"/>
    </row>
    <row r="453" spans="1:26" ht="21" customHeight="1" x14ac:dyDescent="0.85">
      <c r="A453" s="15"/>
      <c r="B453" s="15"/>
      <c r="C453" s="15"/>
      <c r="D453" s="15"/>
      <c r="E453" s="15"/>
      <c r="F453" s="15"/>
      <c r="G453" s="15"/>
      <c r="H453" s="15"/>
      <c r="I453" s="15"/>
      <c r="J453" s="15"/>
      <c r="K453" s="15"/>
      <c r="L453" s="15"/>
      <c r="M453" s="15"/>
      <c r="N453" s="15"/>
      <c r="O453" s="15"/>
      <c r="P453" s="15"/>
      <c r="Q453" s="15"/>
      <c r="R453" s="15"/>
      <c r="S453" s="15"/>
      <c r="T453" s="15"/>
      <c r="U453" s="15"/>
      <c r="V453" s="15"/>
      <c r="W453" s="15"/>
      <c r="X453" s="15"/>
      <c r="Y453" s="15"/>
      <c r="Z453" s="15"/>
    </row>
    <row r="454" spans="1:26" ht="21" customHeight="1" x14ac:dyDescent="0.85">
      <c r="A454" s="15"/>
      <c r="B454" s="15"/>
      <c r="C454" s="15"/>
      <c r="D454" s="15"/>
      <c r="E454" s="15"/>
      <c r="F454" s="15"/>
      <c r="G454" s="15"/>
      <c r="H454" s="15"/>
      <c r="I454" s="15"/>
      <c r="J454" s="15"/>
      <c r="K454" s="15"/>
      <c r="L454" s="15"/>
      <c r="M454" s="15"/>
      <c r="N454" s="15"/>
      <c r="O454" s="15"/>
      <c r="P454" s="15"/>
      <c r="Q454" s="15"/>
      <c r="R454" s="15"/>
      <c r="S454" s="15"/>
      <c r="T454" s="15"/>
      <c r="U454" s="15"/>
      <c r="V454" s="15"/>
      <c r="W454" s="15"/>
      <c r="X454" s="15"/>
      <c r="Y454" s="15"/>
      <c r="Z454" s="15"/>
    </row>
    <row r="455" spans="1:26" ht="21" customHeight="1" x14ac:dyDescent="0.85">
      <c r="A455" s="15"/>
      <c r="B455" s="15"/>
      <c r="C455" s="15"/>
      <c r="D455" s="15"/>
      <c r="E455" s="15"/>
      <c r="F455" s="15"/>
      <c r="G455" s="15"/>
      <c r="H455" s="15"/>
      <c r="I455" s="15"/>
      <c r="J455" s="15"/>
      <c r="K455" s="15"/>
      <c r="L455" s="15"/>
      <c r="M455" s="15"/>
      <c r="N455" s="15"/>
      <c r="O455" s="15"/>
      <c r="P455" s="15"/>
      <c r="Q455" s="15"/>
      <c r="R455" s="15"/>
      <c r="S455" s="15"/>
      <c r="T455" s="15"/>
      <c r="U455" s="15"/>
      <c r="V455" s="15"/>
      <c r="W455" s="15"/>
      <c r="X455" s="15"/>
      <c r="Y455" s="15"/>
      <c r="Z455" s="15"/>
    </row>
    <row r="456" spans="1:26" ht="21" customHeight="1" x14ac:dyDescent="0.85">
      <c r="A456" s="15"/>
      <c r="B456" s="15"/>
      <c r="C456" s="15"/>
      <c r="D456" s="15"/>
      <c r="E456" s="15"/>
      <c r="F456" s="15"/>
      <c r="G456" s="15"/>
      <c r="H456" s="15"/>
      <c r="I456" s="15"/>
      <c r="J456" s="15"/>
      <c r="K456" s="15"/>
      <c r="L456" s="15"/>
      <c r="M456" s="15"/>
      <c r="N456" s="15"/>
      <c r="O456" s="15"/>
      <c r="P456" s="15"/>
      <c r="Q456" s="15"/>
      <c r="R456" s="15"/>
      <c r="S456" s="15"/>
      <c r="T456" s="15"/>
      <c r="U456" s="15"/>
      <c r="V456" s="15"/>
      <c r="W456" s="15"/>
      <c r="X456" s="15"/>
      <c r="Y456" s="15"/>
      <c r="Z456" s="15"/>
    </row>
    <row r="457" spans="1:26" ht="21" customHeight="1" x14ac:dyDescent="0.85">
      <c r="A457" s="15"/>
      <c r="B457" s="15"/>
      <c r="C457" s="15"/>
      <c r="D457" s="15"/>
      <c r="E457" s="15"/>
      <c r="F457" s="15"/>
      <c r="G457" s="15"/>
      <c r="H457" s="15"/>
      <c r="I457" s="15"/>
      <c r="J457" s="15"/>
      <c r="K457" s="15"/>
      <c r="L457" s="15"/>
      <c r="M457" s="15"/>
      <c r="N457" s="15"/>
      <c r="O457" s="15"/>
      <c r="P457" s="15"/>
      <c r="Q457" s="15"/>
      <c r="R457" s="15"/>
      <c r="S457" s="15"/>
      <c r="T457" s="15"/>
      <c r="U457" s="15"/>
      <c r="V457" s="15"/>
      <c r="W457" s="15"/>
      <c r="X457" s="15"/>
      <c r="Y457" s="15"/>
      <c r="Z457" s="15"/>
    </row>
    <row r="458" spans="1:26" ht="21" customHeight="1" x14ac:dyDescent="0.85">
      <c r="A458" s="15"/>
      <c r="B458" s="15"/>
      <c r="C458" s="15"/>
      <c r="D458" s="15"/>
      <c r="E458" s="15"/>
      <c r="F458" s="15"/>
      <c r="G458" s="15"/>
      <c r="H458" s="15"/>
      <c r="I458" s="15"/>
      <c r="J458" s="15"/>
      <c r="K458" s="15"/>
      <c r="L458" s="15"/>
      <c r="M458" s="15"/>
      <c r="N458" s="15"/>
      <c r="O458" s="15"/>
      <c r="P458" s="15"/>
      <c r="Q458" s="15"/>
      <c r="R458" s="15"/>
      <c r="S458" s="15"/>
      <c r="T458" s="15"/>
      <c r="U458" s="15"/>
      <c r="V458" s="15"/>
      <c r="W458" s="15"/>
      <c r="X458" s="15"/>
      <c r="Y458" s="15"/>
      <c r="Z458" s="15"/>
    </row>
    <row r="459" spans="1:26" ht="21" customHeight="1" x14ac:dyDescent="0.85">
      <c r="A459" s="15"/>
      <c r="B459" s="15"/>
      <c r="C459" s="15"/>
      <c r="D459" s="15"/>
      <c r="E459" s="15"/>
      <c r="F459" s="15"/>
      <c r="G459" s="15"/>
      <c r="H459" s="15"/>
      <c r="I459" s="15"/>
      <c r="J459" s="15"/>
      <c r="K459" s="15"/>
      <c r="L459" s="15"/>
      <c r="M459" s="15"/>
      <c r="N459" s="15"/>
      <c r="O459" s="15"/>
      <c r="P459" s="15"/>
      <c r="Q459" s="15"/>
      <c r="R459" s="15"/>
      <c r="S459" s="15"/>
      <c r="T459" s="15"/>
      <c r="U459" s="15"/>
      <c r="V459" s="15"/>
      <c r="W459" s="15"/>
      <c r="X459" s="15"/>
      <c r="Y459" s="15"/>
      <c r="Z459" s="15"/>
    </row>
    <row r="460" spans="1:26" ht="21" customHeight="1" x14ac:dyDescent="0.85">
      <c r="A460" s="15"/>
      <c r="B460" s="15"/>
      <c r="C460" s="15"/>
      <c r="D460" s="15"/>
      <c r="E460" s="15"/>
      <c r="F460" s="15"/>
      <c r="G460" s="15"/>
      <c r="H460" s="15"/>
      <c r="I460" s="15"/>
      <c r="J460" s="15"/>
      <c r="K460" s="15"/>
      <c r="L460" s="15"/>
      <c r="M460" s="15"/>
      <c r="N460" s="15"/>
      <c r="O460" s="15"/>
      <c r="P460" s="15"/>
      <c r="Q460" s="15"/>
      <c r="R460" s="15"/>
      <c r="S460" s="15"/>
      <c r="T460" s="15"/>
      <c r="U460" s="15"/>
      <c r="V460" s="15"/>
      <c r="W460" s="15"/>
      <c r="X460" s="15"/>
      <c r="Y460" s="15"/>
      <c r="Z460" s="15"/>
    </row>
    <row r="461" spans="1:26" ht="21" customHeight="1" x14ac:dyDescent="0.85">
      <c r="A461" s="15"/>
      <c r="B461" s="15"/>
      <c r="C461" s="15"/>
      <c r="D461" s="15"/>
      <c r="E461" s="15"/>
      <c r="F461" s="15"/>
      <c r="G461" s="15"/>
      <c r="H461" s="15"/>
      <c r="I461" s="15"/>
      <c r="J461" s="15"/>
      <c r="K461" s="15"/>
      <c r="L461" s="15"/>
      <c r="M461" s="15"/>
      <c r="N461" s="15"/>
      <c r="O461" s="15"/>
      <c r="P461" s="15"/>
      <c r="Q461" s="15"/>
      <c r="R461" s="15"/>
      <c r="S461" s="15"/>
      <c r="T461" s="15"/>
      <c r="U461" s="15"/>
      <c r="V461" s="15"/>
      <c r="W461" s="15"/>
      <c r="X461" s="15"/>
      <c r="Y461" s="15"/>
      <c r="Z461" s="15"/>
    </row>
    <row r="462" spans="1:26" ht="21" customHeight="1" x14ac:dyDescent="0.85">
      <c r="A462" s="15"/>
      <c r="B462" s="15"/>
      <c r="C462" s="15"/>
      <c r="D462" s="15"/>
      <c r="E462" s="15"/>
      <c r="F462" s="15"/>
      <c r="G462" s="15"/>
      <c r="H462" s="15"/>
      <c r="I462" s="15"/>
      <c r="J462" s="15"/>
      <c r="K462" s="15"/>
      <c r="L462" s="15"/>
      <c r="M462" s="15"/>
      <c r="N462" s="15"/>
      <c r="O462" s="15"/>
      <c r="P462" s="15"/>
      <c r="Q462" s="15"/>
      <c r="R462" s="15"/>
      <c r="S462" s="15"/>
      <c r="T462" s="15"/>
      <c r="U462" s="15"/>
      <c r="V462" s="15"/>
      <c r="W462" s="15"/>
      <c r="X462" s="15"/>
      <c r="Y462" s="15"/>
      <c r="Z462" s="15"/>
    </row>
    <row r="463" spans="1:26" ht="21" customHeight="1" x14ac:dyDescent="0.85">
      <c r="A463" s="15"/>
      <c r="B463" s="15"/>
      <c r="C463" s="15"/>
      <c r="D463" s="15"/>
      <c r="E463" s="15"/>
      <c r="F463" s="15"/>
      <c r="G463" s="15"/>
      <c r="H463" s="15"/>
      <c r="I463" s="15"/>
      <c r="J463" s="15"/>
      <c r="K463" s="15"/>
      <c r="L463" s="15"/>
      <c r="M463" s="15"/>
      <c r="N463" s="15"/>
      <c r="O463" s="15"/>
      <c r="P463" s="15"/>
      <c r="Q463" s="15"/>
      <c r="R463" s="15"/>
      <c r="S463" s="15"/>
      <c r="T463" s="15"/>
      <c r="U463" s="15"/>
      <c r="V463" s="15"/>
      <c r="W463" s="15"/>
      <c r="X463" s="15"/>
      <c r="Y463" s="15"/>
      <c r="Z463" s="15"/>
    </row>
    <row r="464" spans="1:26" ht="21" customHeight="1" x14ac:dyDescent="0.85">
      <c r="A464" s="15"/>
      <c r="B464" s="15"/>
      <c r="C464" s="15"/>
      <c r="D464" s="15"/>
      <c r="E464" s="15"/>
      <c r="F464" s="15"/>
      <c r="G464" s="15"/>
      <c r="H464" s="15"/>
      <c r="I464" s="15"/>
      <c r="J464" s="15"/>
      <c r="K464" s="15"/>
      <c r="L464" s="15"/>
      <c r="M464" s="15"/>
      <c r="N464" s="15"/>
      <c r="O464" s="15"/>
      <c r="P464" s="15"/>
      <c r="Q464" s="15"/>
      <c r="R464" s="15"/>
      <c r="S464" s="15"/>
      <c r="T464" s="15"/>
      <c r="U464" s="15"/>
      <c r="V464" s="15"/>
      <c r="W464" s="15"/>
      <c r="X464" s="15"/>
      <c r="Y464" s="15"/>
      <c r="Z464" s="15"/>
    </row>
    <row r="465" spans="1:26" ht="21" customHeight="1" x14ac:dyDescent="0.85">
      <c r="A465" s="15"/>
      <c r="B465" s="15"/>
      <c r="C465" s="15"/>
      <c r="D465" s="15"/>
      <c r="E465" s="15"/>
      <c r="F465" s="15"/>
      <c r="G465" s="15"/>
      <c r="H465" s="15"/>
      <c r="I465" s="15"/>
      <c r="J465" s="15"/>
      <c r="K465" s="15"/>
      <c r="L465" s="15"/>
      <c r="M465" s="15"/>
      <c r="N465" s="15"/>
      <c r="O465" s="15"/>
      <c r="P465" s="15"/>
      <c r="Q465" s="15"/>
      <c r="R465" s="15"/>
      <c r="S465" s="15"/>
      <c r="T465" s="15"/>
      <c r="U465" s="15"/>
      <c r="V465" s="15"/>
      <c r="W465" s="15"/>
      <c r="X465" s="15"/>
      <c r="Y465" s="15"/>
      <c r="Z465" s="15"/>
    </row>
    <row r="466" spans="1:26" ht="21" customHeight="1" x14ac:dyDescent="0.85">
      <c r="A466" s="15"/>
      <c r="B466" s="15"/>
      <c r="C466" s="15"/>
      <c r="D466" s="15"/>
      <c r="E466" s="15"/>
      <c r="F466" s="15"/>
      <c r="G466" s="15"/>
      <c r="H466" s="15"/>
      <c r="I466" s="15"/>
      <c r="J466" s="15"/>
      <c r="K466" s="15"/>
      <c r="L466" s="15"/>
      <c r="M466" s="15"/>
      <c r="N466" s="15"/>
      <c r="O466" s="15"/>
      <c r="P466" s="15"/>
      <c r="Q466" s="15"/>
      <c r="R466" s="15"/>
      <c r="S466" s="15"/>
      <c r="T466" s="15"/>
      <c r="U466" s="15"/>
      <c r="V466" s="15"/>
      <c r="W466" s="15"/>
      <c r="X466" s="15"/>
      <c r="Y466" s="15"/>
      <c r="Z466" s="15"/>
    </row>
    <row r="467" spans="1:26" ht="21" customHeight="1" x14ac:dyDescent="0.85">
      <c r="A467" s="15"/>
      <c r="B467" s="15"/>
      <c r="C467" s="15"/>
      <c r="D467" s="15"/>
      <c r="E467" s="15"/>
      <c r="F467" s="15"/>
      <c r="G467" s="15"/>
      <c r="H467" s="15"/>
      <c r="I467" s="15"/>
      <c r="J467" s="15"/>
      <c r="K467" s="15"/>
      <c r="L467" s="15"/>
      <c r="M467" s="15"/>
      <c r="N467" s="15"/>
      <c r="O467" s="15"/>
      <c r="P467" s="15"/>
      <c r="Q467" s="15"/>
      <c r="R467" s="15"/>
      <c r="S467" s="15"/>
      <c r="T467" s="15"/>
      <c r="U467" s="15"/>
      <c r="V467" s="15"/>
      <c r="W467" s="15"/>
      <c r="X467" s="15"/>
      <c r="Y467" s="15"/>
      <c r="Z467" s="15"/>
    </row>
    <row r="468" spans="1:26" ht="21" customHeight="1" x14ac:dyDescent="0.85">
      <c r="A468" s="15"/>
      <c r="B468" s="15"/>
      <c r="C468" s="15"/>
      <c r="D468" s="15"/>
      <c r="E468" s="15"/>
      <c r="F468" s="15"/>
      <c r="G468" s="15"/>
      <c r="H468" s="15"/>
      <c r="I468" s="15"/>
      <c r="J468" s="15"/>
      <c r="K468" s="15"/>
      <c r="L468" s="15"/>
      <c r="M468" s="15"/>
      <c r="N468" s="15"/>
      <c r="O468" s="15"/>
      <c r="P468" s="15"/>
      <c r="Q468" s="15"/>
      <c r="R468" s="15"/>
      <c r="S468" s="15"/>
      <c r="T468" s="15"/>
      <c r="U468" s="15"/>
      <c r="V468" s="15"/>
      <c r="W468" s="15"/>
      <c r="X468" s="15"/>
      <c r="Y468" s="15"/>
      <c r="Z468" s="15"/>
    </row>
    <row r="469" spans="1:26" ht="21" customHeight="1" x14ac:dyDescent="0.85">
      <c r="A469" s="15"/>
      <c r="B469" s="15"/>
      <c r="C469" s="15"/>
      <c r="D469" s="15"/>
      <c r="E469" s="15"/>
      <c r="F469" s="15"/>
      <c r="G469" s="15"/>
      <c r="H469" s="15"/>
      <c r="I469" s="15"/>
      <c r="J469" s="15"/>
      <c r="K469" s="15"/>
      <c r="L469" s="15"/>
      <c r="M469" s="15"/>
      <c r="N469" s="15"/>
      <c r="O469" s="15"/>
      <c r="P469" s="15"/>
      <c r="Q469" s="15"/>
      <c r="R469" s="15"/>
      <c r="S469" s="15"/>
      <c r="T469" s="15"/>
      <c r="U469" s="15"/>
      <c r="V469" s="15"/>
      <c r="W469" s="15"/>
      <c r="X469" s="15"/>
      <c r="Y469" s="15"/>
      <c r="Z469" s="15"/>
    </row>
    <row r="470" spans="1:26" ht="21" customHeight="1" x14ac:dyDescent="0.85">
      <c r="A470" s="15"/>
      <c r="B470" s="15"/>
      <c r="C470" s="15"/>
      <c r="D470" s="15"/>
      <c r="E470" s="15"/>
      <c r="F470" s="15"/>
      <c r="G470" s="15"/>
      <c r="H470" s="15"/>
      <c r="I470" s="15"/>
      <c r="J470" s="15"/>
      <c r="K470" s="15"/>
      <c r="L470" s="15"/>
      <c r="M470" s="15"/>
      <c r="N470" s="15"/>
      <c r="O470" s="15"/>
      <c r="P470" s="15"/>
      <c r="Q470" s="15"/>
      <c r="R470" s="15"/>
      <c r="S470" s="15"/>
      <c r="T470" s="15"/>
      <c r="U470" s="15"/>
      <c r="V470" s="15"/>
      <c r="W470" s="15"/>
      <c r="X470" s="15"/>
      <c r="Y470" s="15"/>
      <c r="Z470" s="15"/>
    </row>
    <row r="471" spans="1:26" ht="21" customHeight="1" x14ac:dyDescent="0.85">
      <c r="A471" s="15"/>
      <c r="B471" s="15"/>
      <c r="C471" s="15"/>
      <c r="D471" s="15"/>
      <c r="E471" s="15"/>
      <c r="F471" s="15"/>
      <c r="G471" s="15"/>
      <c r="H471" s="15"/>
      <c r="I471" s="15"/>
      <c r="J471" s="15"/>
      <c r="K471" s="15"/>
      <c r="L471" s="15"/>
      <c r="M471" s="15"/>
      <c r="N471" s="15"/>
      <c r="O471" s="15"/>
      <c r="P471" s="15"/>
      <c r="Q471" s="15"/>
      <c r="R471" s="15"/>
      <c r="S471" s="15"/>
      <c r="T471" s="15"/>
      <c r="U471" s="15"/>
      <c r="V471" s="15"/>
      <c r="W471" s="15"/>
      <c r="X471" s="15"/>
      <c r="Y471" s="15"/>
      <c r="Z471" s="15"/>
    </row>
    <row r="472" spans="1:26" ht="21" customHeight="1" x14ac:dyDescent="0.85">
      <c r="A472" s="15"/>
      <c r="B472" s="15"/>
      <c r="C472" s="15"/>
      <c r="D472" s="15"/>
      <c r="E472" s="15"/>
      <c r="F472" s="15"/>
      <c r="G472" s="15"/>
      <c r="H472" s="15"/>
      <c r="I472" s="15"/>
      <c r="J472" s="15"/>
      <c r="K472" s="15"/>
      <c r="L472" s="15"/>
      <c r="M472" s="15"/>
      <c r="N472" s="15"/>
      <c r="O472" s="15"/>
      <c r="P472" s="15"/>
      <c r="Q472" s="15"/>
      <c r="R472" s="15"/>
      <c r="S472" s="15"/>
      <c r="T472" s="15"/>
      <c r="U472" s="15"/>
      <c r="V472" s="15"/>
      <c r="W472" s="15"/>
      <c r="X472" s="15"/>
      <c r="Y472" s="15"/>
      <c r="Z472" s="15"/>
    </row>
    <row r="473" spans="1:26" ht="21" customHeight="1" x14ac:dyDescent="0.85">
      <c r="A473" s="15"/>
      <c r="B473" s="15"/>
      <c r="C473" s="15"/>
      <c r="D473" s="15"/>
      <c r="E473" s="15"/>
      <c r="F473" s="15"/>
      <c r="G473" s="15"/>
      <c r="H473" s="15"/>
      <c r="I473" s="15"/>
      <c r="J473" s="15"/>
      <c r="K473" s="15"/>
      <c r="L473" s="15"/>
      <c r="M473" s="15"/>
      <c r="N473" s="15"/>
      <c r="O473" s="15"/>
      <c r="P473" s="15"/>
      <c r="Q473" s="15"/>
      <c r="R473" s="15"/>
      <c r="S473" s="15"/>
      <c r="T473" s="15"/>
      <c r="U473" s="15"/>
      <c r="V473" s="15"/>
      <c r="W473" s="15"/>
      <c r="X473" s="15"/>
      <c r="Y473" s="15"/>
      <c r="Z473" s="15"/>
    </row>
    <row r="474" spans="1:26" ht="21" customHeight="1" x14ac:dyDescent="0.85">
      <c r="A474" s="15"/>
      <c r="B474" s="15"/>
      <c r="C474" s="15"/>
      <c r="D474" s="15"/>
      <c r="E474" s="15"/>
      <c r="F474" s="15"/>
      <c r="G474" s="15"/>
      <c r="H474" s="15"/>
      <c r="I474" s="15"/>
      <c r="J474" s="15"/>
      <c r="K474" s="15"/>
      <c r="L474" s="15"/>
      <c r="M474" s="15"/>
      <c r="N474" s="15"/>
      <c r="O474" s="15"/>
      <c r="P474" s="15"/>
      <c r="Q474" s="15"/>
      <c r="R474" s="15"/>
      <c r="S474" s="15"/>
      <c r="T474" s="15"/>
      <c r="U474" s="15"/>
      <c r="V474" s="15"/>
      <c r="W474" s="15"/>
      <c r="X474" s="15"/>
      <c r="Y474" s="15"/>
      <c r="Z474" s="15"/>
    </row>
    <row r="475" spans="1:26" ht="21" customHeight="1" x14ac:dyDescent="0.85">
      <c r="A475" s="15"/>
      <c r="B475" s="15"/>
      <c r="C475" s="15"/>
      <c r="D475" s="15"/>
      <c r="E475" s="15"/>
      <c r="F475" s="15"/>
      <c r="G475" s="15"/>
      <c r="H475" s="15"/>
      <c r="I475" s="15"/>
      <c r="J475" s="15"/>
      <c r="K475" s="15"/>
      <c r="L475" s="15"/>
      <c r="M475" s="15"/>
      <c r="N475" s="15"/>
      <c r="O475" s="15"/>
      <c r="P475" s="15"/>
      <c r="Q475" s="15"/>
      <c r="R475" s="15"/>
      <c r="S475" s="15"/>
      <c r="T475" s="15"/>
      <c r="U475" s="15"/>
      <c r="V475" s="15"/>
      <c r="W475" s="15"/>
      <c r="X475" s="15"/>
      <c r="Y475" s="15"/>
      <c r="Z475" s="15"/>
    </row>
    <row r="476" spans="1:26" ht="21" customHeight="1" x14ac:dyDescent="0.85">
      <c r="A476" s="15"/>
      <c r="B476" s="15"/>
      <c r="C476" s="15"/>
      <c r="D476" s="15"/>
      <c r="E476" s="15"/>
      <c r="F476" s="15"/>
      <c r="G476" s="15"/>
      <c r="H476" s="15"/>
      <c r="I476" s="15"/>
      <c r="J476" s="15"/>
      <c r="K476" s="15"/>
      <c r="L476" s="15"/>
      <c r="M476" s="15"/>
      <c r="N476" s="15"/>
      <c r="O476" s="15"/>
      <c r="P476" s="15"/>
      <c r="Q476" s="15"/>
      <c r="R476" s="15"/>
      <c r="S476" s="15"/>
      <c r="T476" s="15"/>
      <c r="U476" s="15"/>
      <c r="V476" s="15"/>
      <c r="W476" s="15"/>
      <c r="X476" s="15"/>
      <c r="Y476" s="15"/>
      <c r="Z476" s="15"/>
    </row>
    <row r="477" spans="1:26" ht="21" customHeight="1" x14ac:dyDescent="0.85">
      <c r="A477" s="15"/>
      <c r="B477" s="15"/>
      <c r="C477" s="15"/>
      <c r="D477" s="15"/>
      <c r="E477" s="15"/>
      <c r="F477" s="15"/>
      <c r="G477" s="15"/>
      <c r="H477" s="15"/>
      <c r="I477" s="15"/>
      <c r="J477" s="15"/>
      <c r="K477" s="15"/>
      <c r="L477" s="15"/>
      <c r="M477" s="15"/>
      <c r="N477" s="15"/>
      <c r="O477" s="15"/>
      <c r="P477" s="15"/>
      <c r="Q477" s="15"/>
      <c r="R477" s="15"/>
      <c r="S477" s="15"/>
      <c r="T477" s="15"/>
      <c r="U477" s="15"/>
      <c r="V477" s="15"/>
      <c r="W477" s="15"/>
      <c r="X477" s="15"/>
      <c r="Y477" s="15"/>
      <c r="Z477" s="15"/>
    </row>
    <row r="478" spans="1:26" ht="21" customHeight="1" x14ac:dyDescent="0.85">
      <c r="A478" s="15"/>
      <c r="B478" s="15"/>
      <c r="C478" s="15"/>
      <c r="D478" s="15"/>
      <c r="E478" s="15"/>
      <c r="F478" s="15"/>
      <c r="G478" s="15"/>
      <c r="H478" s="15"/>
      <c r="I478" s="15"/>
      <c r="J478" s="15"/>
      <c r="K478" s="15"/>
      <c r="L478" s="15"/>
      <c r="M478" s="15"/>
      <c r="N478" s="15"/>
      <c r="O478" s="15"/>
      <c r="P478" s="15"/>
      <c r="Q478" s="15"/>
      <c r="R478" s="15"/>
      <c r="S478" s="15"/>
      <c r="T478" s="15"/>
      <c r="U478" s="15"/>
      <c r="V478" s="15"/>
      <c r="W478" s="15"/>
      <c r="X478" s="15"/>
      <c r="Y478" s="15"/>
      <c r="Z478" s="15"/>
    </row>
    <row r="479" spans="1:26" ht="21" customHeight="1" x14ac:dyDescent="0.85">
      <c r="A479" s="15"/>
      <c r="B479" s="15"/>
      <c r="C479" s="15"/>
      <c r="D479" s="15"/>
      <c r="E479" s="15"/>
      <c r="F479" s="15"/>
      <c r="G479" s="15"/>
      <c r="H479" s="15"/>
      <c r="I479" s="15"/>
      <c r="J479" s="15"/>
      <c r="K479" s="15"/>
      <c r="L479" s="15"/>
      <c r="M479" s="15"/>
      <c r="N479" s="15"/>
      <c r="O479" s="15"/>
      <c r="P479" s="15"/>
      <c r="Q479" s="15"/>
      <c r="R479" s="15"/>
      <c r="S479" s="15"/>
      <c r="T479" s="15"/>
      <c r="U479" s="15"/>
      <c r="V479" s="15"/>
      <c r="W479" s="15"/>
      <c r="X479" s="15"/>
      <c r="Y479" s="15"/>
      <c r="Z479" s="15"/>
    </row>
    <row r="480" spans="1:26" ht="21" customHeight="1" x14ac:dyDescent="0.85">
      <c r="A480" s="15"/>
      <c r="B480" s="15"/>
      <c r="C480" s="15"/>
      <c r="D480" s="15"/>
      <c r="E480" s="15"/>
      <c r="F480" s="15"/>
      <c r="G480" s="15"/>
      <c r="H480" s="15"/>
      <c r="I480" s="15"/>
      <c r="J480" s="15"/>
      <c r="K480" s="15"/>
      <c r="L480" s="15"/>
      <c r="M480" s="15"/>
      <c r="N480" s="15"/>
      <c r="O480" s="15"/>
      <c r="P480" s="15"/>
      <c r="Q480" s="15"/>
      <c r="R480" s="15"/>
      <c r="S480" s="15"/>
      <c r="T480" s="15"/>
      <c r="U480" s="15"/>
      <c r="V480" s="15"/>
      <c r="W480" s="15"/>
      <c r="X480" s="15"/>
      <c r="Y480" s="15"/>
      <c r="Z480" s="15"/>
    </row>
    <row r="481" spans="1:26" ht="21" customHeight="1" x14ac:dyDescent="0.85">
      <c r="A481" s="15"/>
      <c r="B481" s="15"/>
      <c r="C481" s="15"/>
      <c r="D481" s="15"/>
      <c r="E481" s="15"/>
      <c r="F481" s="15"/>
      <c r="G481" s="15"/>
      <c r="H481" s="15"/>
      <c r="I481" s="15"/>
      <c r="J481" s="15"/>
      <c r="K481" s="15"/>
      <c r="L481" s="15"/>
      <c r="M481" s="15"/>
      <c r="N481" s="15"/>
      <c r="O481" s="15"/>
      <c r="P481" s="15"/>
      <c r="Q481" s="15"/>
      <c r="R481" s="15"/>
      <c r="S481" s="15"/>
      <c r="T481" s="15"/>
      <c r="U481" s="15"/>
      <c r="V481" s="15"/>
      <c r="W481" s="15"/>
      <c r="X481" s="15"/>
      <c r="Y481" s="15"/>
      <c r="Z481" s="15"/>
    </row>
    <row r="482" spans="1:26" ht="21" customHeight="1" x14ac:dyDescent="0.85">
      <c r="A482" s="15"/>
      <c r="B482" s="15"/>
      <c r="C482" s="15"/>
      <c r="D482" s="15"/>
      <c r="E482" s="15"/>
      <c r="F482" s="15"/>
      <c r="G482" s="15"/>
      <c r="H482" s="15"/>
      <c r="I482" s="15"/>
      <c r="J482" s="15"/>
      <c r="K482" s="15"/>
      <c r="L482" s="15"/>
      <c r="M482" s="15"/>
      <c r="N482" s="15"/>
      <c r="O482" s="15"/>
      <c r="P482" s="15"/>
      <c r="Q482" s="15"/>
      <c r="R482" s="15"/>
      <c r="S482" s="15"/>
      <c r="T482" s="15"/>
      <c r="U482" s="15"/>
      <c r="V482" s="15"/>
      <c r="W482" s="15"/>
      <c r="X482" s="15"/>
      <c r="Y482" s="15"/>
      <c r="Z482" s="15"/>
    </row>
    <row r="483" spans="1:26" ht="21" customHeight="1" x14ac:dyDescent="0.85">
      <c r="A483" s="15"/>
      <c r="B483" s="15"/>
      <c r="C483" s="15"/>
      <c r="D483" s="15"/>
      <c r="E483" s="15"/>
      <c r="F483" s="15"/>
      <c r="G483" s="15"/>
      <c r="H483" s="15"/>
      <c r="I483" s="15"/>
      <c r="J483" s="15"/>
      <c r="K483" s="15"/>
      <c r="L483" s="15"/>
      <c r="M483" s="15"/>
      <c r="N483" s="15"/>
      <c r="O483" s="15"/>
      <c r="P483" s="15"/>
      <c r="Q483" s="15"/>
      <c r="R483" s="15"/>
      <c r="S483" s="15"/>
      <c r="T483" s="15"/>
      <c r="U483" s="15"/>
      <c r="V483" s="15"/>
      <c r="W483" s="15"/>
      <c r="X483" s="15"/>
      <c r="Y483" s="15"/>
      <c r="Z483" s="15"/>
    </row>
    <row r="484" spans="1:26" ht="21" customHeight="1" x14ac:dyDescent="0.85">
      <c r="A484" s="15"/>
      <c r="B484" s="15"/>
      <c r="C484" s="15"/>
      <c r="D484" s="15"/>
      <c r="E484" s="15"/>
      <c r="F484" s="15"/>
      <c r="G484" s="15"/>
      <c r="H484" s="15"/>
      <c r="I484" s="15"/>
      <c r="J484" s="15"/>
      <c r="K484" s="15"/>
      <c r="L484" s="15"/>
      <c r="M484" s="15"/>
      <c r="N484" s="15"/>
      <c r="O484" s="15"/>
      <c r="P484" s="15"/>
      <c r="Q484" s="15"/>
      <c r="R484" s="15"/>
      <c r="S484" s="15"/>
      <c r="T484" s="15"/>
      <c r="U484" s="15"/>
      <c r="V484" s="15"/>
      <c r="W484" s="15"/>
      <c r="X484" s="15"/>
      <c r="Y484" s="15"/>
      <c r="Z484" s="15"/>
    </row>
    <row r="485" spans="1:26" ht="21" customHeight="1" x14ac:dyDescent="0.85">
      <c r="A485" s="15"/>
      <c r="B485" s="15"/>
      <c r="C485" s="15"/>
      <c r="D485" s="15"/>
      <c r="E485" s="15"/>
      <c r="F485" s="15"/>
      <c r="G485" s="15"/>
      <c r="H485" s="15"/>
      <c r="I485" s="15"/>
      <c r="J485" s="15"/>
      <c r="K485" s="15"/>
      <c r="L485" s="15"/>
      <c r="M485" s="15"/>
      <c r="N485" s="15"/>
      <c r="O485" s="15"/>
      <c r="P485" s="15"/>
      <c r="Q485" s="15"/>
      <c r="R485" s="15"/>
      <c r="S485" s="15"/>
      <c r="T485" s="15"/>
      <c r="U485" s="15"/>
      <c r="V485" s="15"/>
      <c r="W485" s="15"/>
      <c r="X485" s="15"/>
      <c r="Y485" s="15"/>
      <c r="Z485" s="15"/>
    </row>
    <row r="486" spans="1:26" ht="21" customHeight="1" x14ac:dyDescent="0.85">
      <c r="A486" s="15"/>
      <c r="B486" s="15"/>
      <c r="C486" s="15"/>
      <c r="D486" s="15"/>
      <c r="E486" s="15"/>
      <c r="F486" s="15"/>
      <c r="G486" s="15"/>
      <c r="H486" s="15"/>
      <c r="I486" s="15"/>
      <c r="J486" s="15"/>
      <c r="K486" s="15"/>
      <c r="L486" s="15"/>
      <c r="M486" s="15"/>
      <c r="N486" s="15"/>
      <c r="O486" s="15"/>
      <c r="P486" s="15"/>
      <c r="Q486" s="15"/>
      <c r="R486" s="15"/>
      <c r="S486" s="15"/>
      <c r="T486" s="15"/>
      <c r="U486" s="15"/>
      <c r="V486" s="15"/>
      <c r="W486" s="15"/>
      <c r="X486" s="15"/>
      <c r="Y486" s="15"/>
      <c r="Z486" s="15"/>
    </row>
    <row r="487" spans="1:26" ht="21" customHeight="1" x14ac:dyDescent="0.85">
      <c r="A487" s="15"/>
      <c r="B487" s="15"/>
      <c r="C487" s="15"/>
      <c r="D487" s="15"/>
      <c r="E487" s="15"/>
      <c r="F487" s="15"/>
      <c r="G487" s="15"/>
      <c r="H487" s="15"/>
      <c r="I487" s="15"/>
      <c r="J487" s="15"/>
      <c r="K487" s="15"/>
      <c r="L487" s="15"/>
      <c r="M487" s="15"/>
      <c r="N487" s="15"/>
      <c r="O487" s="15"/>
      <c r="P487" s="15"/>
      <c r="Q487" s="15"/>
      <c r="R487" s="15"/>
      <c r="S487" s="15"/>
      <c r="T487" s="15"/>
      <c r="U487" s="15"/>
      <c r="V487" s="15"/>
      <c r="W487" s="15"/>
      <c r="X487" s="15"/>
      <c r="Y487" s="15"/>
      <c r="Z487" s="15"/>
    </row>
    <row r="488" spans="1:26" ht="21" customHeight="1" x14ac:dyDescent="0.85">
      <c r="A488" s="15"/>
      <c r="B488" s="15"/>
      <c r="C488" s="15"/>
      <c r="D488" s="15"/>
      <c r="E488" s="15"/>
      <c r="F488" s="15"/>
      <c r="G488" s="15"/>
      <c r="H488" s="15"/>
      <c r="I488" s="15"/>
      <c r="J488" s="15"/>
      <c r="K488" s="15"/>
      <c r="L488" s="15"/>
      <c r="M488" s="15"/>
      <c r="N488" s="15"/>
      <c r="O488" s="15"/>
      <c r="P488" s="15"/>
      <c r="Q488" s="15"/>
      <c r="R488" s="15"/>
      <c r="S488" s="15"/>
      <c r="T488" s="15"/>
      <c r="U488" s="15"/>
      <c r="V488" s="15"/>
      <c r="W488" s="15"/>
      <c r="X488" s="15"/>
      <c r="Y488" s="15"/>
      <c r="Z488" s="15"/>
    </row>
    <row r="489" spans="1:26" ht="21" customHeight="1" x14ac:dyDescent="0.85">
      <c r="A489" s="15"/>
      <c r="B489" s="15"/>
      <c r="C489" s="15"/>
      <c r="D489" s="15"/>
      <c r="E489" s="15"/>
      <c r="F489" s="15"/>
      <c r="G489" s="15"/>
      <c r="H489" s="15"/>
      <c r="I489" s="15"/>
      <c r="J489" s="15"/>
      <c r="K489" s="15"/>
      <c r="L489" s="15"/>
      <c r="M489" s="15"/>
      <c r="N489" s="15"/>
      <c r="O489" s="15"/>
      <c r="P489" s="15"/>
      <c r="Q489" s="15"/>
      <c r="R489" s="15"/>
      <c r="S489" s="15"/>
      <c r="T489" s="15"/>
      <c r="U489" s="15"/>
      <c r="V489" s="15"/>
      <c r="W489" s="15"/>
      <c r="X489" s="15"/>
      <c r="Y489" s="15"/>
      <c r="Z489" s="15"/>
    </row>
    <row r="490" spans="1:26" ht="21" customHeight="1" x14ac:dyDescent="0.85">
      <c r="A490" s="15"/>
      <c r="B490" s="15"/>
      <c r="C490" s="15"/>
      <c r="D490" s="15"/>
      <c r="E490" s="15"/>
      <c r="F490" s="15"/>
      <c r="G490" s="15"/>
      <c r="H490" s="15"/>
      <c r="I490" s="15"/>
      <c r="J490" s="15"/>
      <c r="K490" s="15"/>
      <c r="L490" s="15"/>
      <c r="M490" s="15"/>
      <c r="N490" s="15"/>
      <c r="O490" s="15"/>
      <c r="P490" s="15"/>
      <c r="Q490" s="15"/>
      <c r="R490" s="15"/>
      <c r="S490" s="15"/>
      <c r="T490" s="15"/>
      <c r="U490" s="15"/>
      <c r="V490" s="15"/>
      <c r="W490" s="15"/>
      <c r="X490" s="15"/>
      <c r="Y490" s="15"/>
      <c r="Z490" s="15"/>
    </row>
    <row r="491" spans="1:26" ht="21" customHeight="1" x14ac:dyDescent="0.85">
      <c r="A491" s="15"/>
      <c r="B491" s="15"/>
      <c r="C491" s="15"/>
      <c r="D491" s="15"/>
      <c r="E491" s="15"/>
      <c r="F491" s="15"/>
      <c r="G491" s="15"/>
      <c r="H491" s="15"/>
      <c r="I491" s="15"/>
      <c r="J491" s="15"/>
      <c r="K491" s="15"/>
      <c r="L491" s="15"/>
      <c r="M491" s="15"/>
      <c r="N491" s="15"/>
      <c r="O491" s="15"/>
      <c r="P491" s="15"/>
      <c r="Q491" s="15"/>
      <c r="R491" s="15"/>
      <c r="S491" s="15"/>
      <c r="T491" s="15"/>
      <c r="U491" s="15"/>
      <c r="V491" s="15"/>
      <c r="W491" s="15"/>
      <c r="X491" s="15"/>
      <c r="Y491" s="15"/>
      <c r="Z491" s="15"/>
    </row>
    <row r="492" spans="1:26" ht="21" customHeight="1" x14ac:dyDescent="0.85">
      <c r="A492" s="15"/>
      <c r="B492" s="15"/>
      <c r="C492" s="15"/>
      <c r="D492" s="15"/>
      <c r="E492" s="15"/>
      <c r="F492" s="15"/>
      <c r="G492" s="15"/>
      <c r="H492" s="15"/>
      <c r="I492" s="15"/>
      <c r="J492" s="15"/>
      <c r="K492" s="15"/>
      <c r="L492" s="15"/>
      <c r="M492" s="15"/>
      <c r="N492" s="15"/>
      <c r="O492" s="15"/>
      <c r="P492" s="15"/>
      <c r="Q492" s="15"/>
      <c r="R492" s="15"/>
      <c r="S492" s="15"/>
      <c r="T492" s="15"/>
      <c r="U492" s="15"/>
      <c r="V492" s="15"/>
      <c r="W492" s="15"/>
      <c r="X492" s="15"/>
      <c r="Y492" s="15"/>
      <c r="Z492" s="15"/>
    </row>
    <row r="493" spans="1:26" ht="21" customHeight="1" x14ac:dyDescent="0.85">
      <c r="A493" s="15"/>
      <c r="B493" s="15"/>
      <c r="C493" s="15"/>
      <c r="D493" s="15"/>
      <c r="E493" s="15"/>
      <c r="F493" s="15"/>
      <c r="G493" s="15"/>
      <c r="H493" s="15"/>
      <c r="I493" s="15"/>
      <c r="J493" s="15"/>
      <c r="K493" s="15"/>
      <c r="L493" s="15"/>
      <c r="M493" s="15"/>
      <c r="N493" s="15"/>
      <c r="O493" s="15"/>
      <c r="P493" s="15"/>
      <c r="Q493" s="15"/>
      <c r="R493" s="15"/>
      <c r="S493" s="15"/>
      <c r="T493" s="15"/>
      <c r="U493" s="15"/>
      <c r="V493" s="15"/>
      <c r="W493" s="15"/>
      <c r="X493" s="15"/>
      <c r="Y493" s="15"/>
      <c r="Z493" s="15"/>
    </row>
    <row r="494" spans="1:26" ht="21" customHeight="1" x14ac:dyDescent="0.85">
      <c r="A494" s="15"/>
      <c r="B494" s="15"/>
      <c r="C494" s="15"/>
      <c r="D494" s="15"/>
      <c r="E494" s="15"/>
      <c r="F494" s="15"/>
      <c r="G494" s="15"/>
      <c r="H494" s="15"/>
      <c r="I494" s="15"/>
      <c r="J494" s="15"/>
      <c r="K494" s="15"/>
      <c r="L494" s="15"/>
      <c r="M494" s="15"/>
      <c r="N494" s="15"/>
      <c r="O494" s="15"/>
      <c r="P494" s="15"/>
      <c r="Q494" s="15"/>
      <c r="R494" s="15"/>
      <c r="S494" s="15"/>
      <c r="T494" s="15"/>
      <c r="U494" s="15"/>
      <c r="V494" s="15"/>
      <c r="W494" s="15"/>
      <c r="X494" s="15"/>
      <c r="Y494" s="15"/>
      <c r="Z494" s="15"/>
    </row>
    <row r="495" spans="1:26" ht="21" customHeight="1" x14ac:dyDescent="0.85">
      <c r="A495" s="15"/>
      <c r="B495" s="15"/>
      <c r="C495" s="15"/>
      <c r="D495" s="15"/>
      <c r="E495" s="15"/>
      <c r="F495" s="15"/>
      <c r="G495" s="15"/>
      <c r="H495" s="15"/>
      <c r="I495" s="15"/>
      <c r="J495" s="15"/>
      <c r="K495" s="15"/>
      <c r="L495" s="15"/>
      <c r="M495" s="15"/>
      <c r="N495" s="15"/>
      <c r="O495" s="15"/>
      <c r="P495" s="15"/>
      <c r="Q495" s="15"/>
      <c r="R495" s="15"/>
      <c r="S495" s="15"/>
      <c r="T495" s="15"/>
      <c r="U495" s="15"/>
      <c r="V495" s="15"/>
      <c r="W495" s="15"/>
      <c r="X495" s="15"/>
      <c r="Y495" s="15"/>
      <c r="Z495" s="15"/>
    </row>
    <row r="496" spans="1:26" ht="21" customHeight="1" x14ac:dyDescent="0.85">
      <c r="A496" s="15"/>
      <c r="B496" s="15"/>
      <c r="C496" s="15"/>
      <c r="D496" s="15"/>
      <c r="E496" s="15"/>
      <c r="F496" s="15"/>
      <c r="G496" s="15"/>
      <c r="H496" s="15"/>
      <c r="I496" s="15"/>
      <c r="J496" s="15"/>
      <c r="K496" s="15"/>
      <c r="L496" s="15"/>
      <c r="M496" s="15"/>
      <c r="N496" s="15"/>
      <c r="O496" s="15"/>
      <c r="P496" s="15"/>
      <c r="Q496" s="15"/>
      <c r="R496" s="15"/>
      <c r="S496" s="15"/>
      <c r="T496" s="15"/>
      <c r="U496" s="15"/>
      <c r="V496" s="15"/>
      <c r="W496" s="15"/>
      <c r="X496" s="15"/>
      <c r="Y496" s="15"/>
      <c r="Z496" s="15"/>
    </row>
    <row r="497" spans="1:26" ht="21" customHeight="1" x14ac:dyDescent="0.85">
      <c r="A497" s="15"/>
      <c r="B497" s="15"/>
      <c r="C497" s="15"/>
      <c r="D497" s="15"/>
      <c r="E497" s="15"/>
      <c r="F497" s="15"/>
      <c r="G497" s="15"/>
      <c r="H497" s="15"/>
      <c r="I497" s="15"/>
      <c r="J497" s="15"/>
      <c r="K497" s="15"/>
      <c r="L497" s="15"/>
      <c r="M497" s="15"/>
      <c r="N497" s="15"/>
      <c r="O497" s="15"/>
      <c r="P497" s="15"/>
      <c r="Q497" s="15"/>
      <c r="R497" s="15"/>
      <c r="S497" s="15"/>
      <c r="T497" s="15"/>
      <c r="U497" s="15"/>
      <c r="V497" s="15"/>
      <c r="W497" s="15"/>
      <c r="X497" s="15"/>
      <c r="Y497" s="15"/>
      <c r="Z497" s="15"/>
    </row>
    <row r="498" spans="1:26" ht="21" customHeight="1" x14ac:dyDescent="0.85">
      <c r="A498" s="15"/>
      <c r="B498" s="15"/>
      <c r="C498" s="15"/>
      <c r="D498" s="15"/>
      <c r="E498" s="15"/>
      <c r="F498" s="15"/>
      <c r="G498" s="15"/>
      <c r="H498" s="15"/>
      <c r="I498" s="15"/>
      <c r="J498" s="15"/>
      <c r="K498" s="15"/>
      <c r="L498" s="15"/>
      <c r="M498" s="15"/>
      <c r="N498" s="15"/>
      <c r="O498" s="15"/>
      <c r="P498" s="15"/>
      <c r="Q498" s="15"/>
      <c r="R498" s="15"/>
      <c r="S498" s="15"/>
      <c r="T498" s="15"/>
      <c r="U498" s="15"/>
      <c r="V498" s="15"/>
      <c r="W498" s="15"/>
      <c r="X498" s="15"/>
      <c r="Y498" s="15"/>
      <c r="Z498" s="15"/>
    </row>
    <row r="499" spans="1:26" ht="21" customHeight="1" x14ac:dyDescent="0.85">
      <c r="A499" s="15"/>
      <c r="B499" s="15"/>
      <c r="C499" s="15"/>
      <c r="D499" s="15"/>
      <c r="E499" s="15"/>
      <c r="F499" s="15"/>
      <c r="G499" s="15"/>
      <c r="H499" s="15"/>
      <c r="I499" s="15"/>
      <c r="J499" s="15"/>
      <c r="K499" s="15"/>
      <c r="L499" s="15"/>
      <c r="M499" s="15"/>
      <c r="N499" s="15"/>
      <c r="O499" s="15"/>
      <c r="P499" s="15"/>
      <c r="Q499" s="15"/>
      <c r="R499" s="15"/>
      <c r="S499" s="15"/>
      <c r="T499" s="15"/>
      <c r="U499" s="15"/>
      <c r="V499" s="15"/>
      <c r="W499" s="15"/>
      <c r="X499" s="15"/>
      <c r="Y499" s="15"/>
      <c r="Z499" s="15"/>
    </row>
    <row r="500" spans="1:26" ht="21" customHeight="1" x14ac:dyDescent="0.85">
      <c r="A500" s="15"/>
      <c r="B500" s="15"/>
      <c r="C500" s="15"/>
      <c r="D500" s="15"/>
      <c r="E500" s="15"/>
      <c r="F500" s="15"/>
      <c r="G500" s="15"/>
      <c r="H500" s="15"/>
      <c r="I500" s="15"/>
      <c r="J500" s="15"/>
      <c r="K500" s="15"/>
      <c r="L500" s="15"/>
      <c r="M500" s="15"/>
      <c r="N500" s="15"/>
      <c r="O500" s="15"/>
      <c r="P500" s="15"/>
      <c r="Q500" s="15"/>
      <c r="R500" s="15"/>
      <c r="S500" s="15"/>
      <c r="T500" s="15"/>
      <c r="U500" s="15"/>
      <c r="V500" s="15"/>
      <c r="W500" s="15"/>
      <c r="X500" s="15"/>
      <c r="Y500" s="15"/>
      <c r="Z500" s="15"/>
    </row>
    <row r="501" spans="1:26" ht="21" customHeight="1" x14ac:dyDescent="0.85">
      <c r="A501" s="15"/>
      <c r="B501" s="15"/>
      <c r="C501" s="15"/>
      <c r="D501" s="15"/>
      <c r="E501" s="15"/>
      <c r="F501" s="15"/>
      <c r="G501" s="15"/>
      <c r="H501" s="15"/>
      <c r="I501" s="15"/>
      <c r="J501" s="15"/>
      <c r="K501" s="15"/>
      <c r="L501" s="15"/>
      <c r="M501" s="15"/>
      <c r="N501" s="15"/>
      <c r="O501" s="15"/>
      <c r="P501" s="15"/>
      <c r="Q501" s="15"/>
      <c r="R501" s="15"/>
      <c r="S501" s="15"/>
      <c r="T501" s="15"/>
      <c r="U501" s="15"/>
      <c r="V501" s="15"/>
      <c r="W501" s="15"/>
      <c r="X501" s="15"/>
      <c r="Y501" s="15"/>
      <c r="Z501" s="15"/>
    </row>
    <row r="502" spans="1:26" ht="21" customHeight="1" x14ac:dyDescent="0.85">
      <c r="A502" s="15"/>
      <c r="B502" s="15"/>
      <c r="C502" s="15"/>
      <c r="D502" s="15"/>
      <c r="E502" s="15"/>
      <c r="F502" s="15"/>
      <c r="G502" s="15"/>
      <c r="H502" s="15"/>
      <c r="I502" s="15"/>
      <c r="J502" s="15"/>
      <c r="K502" s="15"/>
      <c r="L502" s="15"/>
      <c r="M502" s="15"/>
      <c r="N502" s="15"/>
      <c r="O502" s="15"/>
      <c r="P502" s="15"/>
      <c r="Q502" s="15"/>
      <c r="R502" s="15"/>
      <c r="S502" s="15"/>
      <c r="T502" s="15"/>
      <c r="U502" s="15"/>
      <c r="V502" s="15"/>
      <c r="W502" s="15"/>
      <c r="X502" s="15"/>
      <c r="Y502" s="15"/>
      <c r="Z502" s="15"/>
    </row>
    <row r="503" spans="1:26" ht="21" customHeight="1" x14ac:dyDescent="0.85">
      <c r="A503" s="15"/>
      <c r="B503" s="15"/>
      <c r="C503" s="15"/>
      <c r="D503" s="15"/>
      <c r="E503" s="15"/>
      <c r="F503" s="15"/>
      <c r="G503" s="15"/>
      <c r="H503" s="15"/>
      <c r="I503" s="15"/>
      <c r="J503" s="15"/>
      <c r="K503" s="15"/>
      <c r="L503" s="15"/>
      <c r="M503" s="15"/>
      <c r="N503" s="15"/>
      <c r="O503" s="15"/>
      <c r="P503" s="15"/>
      <c r="Q503" s="15"/>
      <c r="R503" s="15"/>
      <c r="S503" s="15"/>
      <c r="T503" s="15"/>
      <c r="U503" s="15"/>
      <c r="V503" s="15"/>
      <c r="W503" s="15"/>
      <c r="X503" s="15"/>
      <c r="Y503" s="15"/>
      <c r="Z503" s="15"/>
    </row>
    <row r="504" spans="1:26" ht="21" customHeight="1" x14ac:dyDescent="0.85">
      <c r="A504" s="15"/>
      <c r="B504" s="15"/>
      <c r="C504" s="15"/>
      <c r="D504" s="15"/>
      <c r="E504" s="15"/>
      <c r="F504" s="15"/>
      <c r="G504" s="15"/>
      <c r="H504" s="15"/>
      <c r="I504" s="15"/>
      <c r="J504" s="15"/>
      <c r="K504" s="15"/>
      <c r="L504" s="15"/>
      <c r="M504" s="15"/>
      <c r="N504" s="15"/>
      <c r="O504" s="15"/>
      <c r="P504" s="15"/>
      <c r="Q504" s="15"/>
      <c r="R504" s="15"/>
      <c r="S504" s="15"/>
      <c r="T504" s="15"/>
      <c r="U504" s="15"/>
      <c r="V504" s="15"/>
      <c r="W504" s="15"/>
      <c r="X504" s="15"/>
      <c r="Y504" s="15"/>
      <c r="Z504" s="15"/>
    </row>
    <row r="505" spans="1:26" ht="21" customHeight="1" x14ac:dyDescent="0.85">
      <c r="A505" s="15"/>
      <c r="B505" s="15"/>
      <c r="C505" s="15"/>
      <c r="D505" s="15"/>
      <c r="E505" s="15"/>
      <c r="F505" s="15"/>
      <c r="G505" s="15"/>
      <c r="H505" s="15"/>
      <c r="I505" s="15"/>
      <c r="J505" s="15"/>
      <c r="K505" s="15"/>
      <c r="L505" s="15"/>
      <c r="M505" s="15"/>
      <c r="N505" s="15"/>
      <c r="O505" s="15"/>
      <c r="P505" s="15"/>
      <c r="Q505" s="15"/>
      <c r="R505" s="15"/>
      <c r="S505" s="15"/>
      <c r="T505" s="15"/>
      <c r="U505" s="15"/>
      <c r="V505" s="15"/>
      <c r="W505" s="15"/>
      <c r="X505" s="15"/>
      <c r="Y505" s="15"/>
      <c r="Z505" s="15"/>
    </row>
    <row r="506" spans="1:26" ht="21" customHeight="1" x14ac:dyDescent="0.85">
      <c r="A506" s="15"/>
      <c r="B506" s="15"/>
      <c r="C506" s="15"/>
      <c r="D506" s="15"/>
      <c r="E506" s="15"/>
      <c r="F506" s="15"/>
      <c r="G506" s="15"/>
      <c r="H506" s="15"/>
      <c r="I506" s="15"/>
      <c r="J506" s="15"/>
      <c r="K506" s="15"/>
      <c r="L506" s="15"/>
      <c r="M506" s="15"/>
      <c r="N506" s="15"/>
      <c r="O506" s="15"/>
      <c r="P506" s="15"/>
      <c r="Q506" s="15"/>
      <c r="R506" s="15"/>
      <c r="S506" s="15"/>
      <c r="T506" s="15"/>
      <c r="U506" s="15"/>
      <c r="V506" s="15"/>
      <c r="W506" s="15"/>
      <c r="X506" s="15"/>
      <c r="Y506" s="15"/>
      <c r="Z506" s="15"/>
    </row>
    <row r="507" spans="1:26" ht="21" customHeight="1" x14ac:dyDescent="0.85">
      <c r="A507" s="15"/>
      <c r="B507" s="15"/>
      <c r="C507" s="15"/>
      <c r="D507" s="15"/>
      <c r="E507" s="15"/>
      <c r="F507" s="15"/>
      <c r="G507" s="15"/>
      <c r="H507" s="15"/>
      <c r="I507" s="15"/>
      <c r="J507" s="15"/>
      <c r="K507" s="15"/>
      <c r="L507" s="15"/>
      <c r="M507" s="15"/>
      <c r="N507" s="15"/>
      <c r="O507" s="15"/>
      <c r="P507" s="15"/>
      <c r="Q507" s="15"/>
      <c r="R507" s="15"/>
      <c r="S507" s="15"/>
      <c r="T507" s="15"/>
      <c r="U507" s="15"/>
      <c r="V507" s="15"/>
      <c r="W507" s="15"/>
      <c r="X507" s="15"/>
      <c r="Y507" s="15"/>
      <c r="Z507" s="15"/>
    </row>
    <row r="508" spans="1:26" ht="21" customHeight="1" x14ac:dyDescent="0.85">
      <c r="A508" s="15"/>
      <c r="B508" s="15"/>
      <c r="C508" s="15"/>
      <c r="D508" s="15"/>
      <c r="E508" s="15"/>
      <c r="F508" s="15"/>
      <c r="G508" s="15"/>
      <c r="H508" s="15"/>
      <c r="I508" s="15"/>
      <c r="J508" s="15"/>
      <c r="K508" s="15"/>
      <c r="L508" s="15"/>
      <c r="M508" s="15"/>
      <c r="N508" s="15"/>
      <c r="O508" s="15"/>
      <c r="P508" s="15"/>
      <c r="Q508" s="15"/>
      <c r="R508" s="15"/>
      <c r="S508" s="15"/>
      <c r="T508" s="15"/>
      <c r="U508" s="15"/>
      <c r="V508" s="15"/>
      <c r="W508" s="15"/>
      <c r="X508" s="15"/>
      <c r="Y508" s="15"/>
      <c r="Z508" s="15"/>
    </row>
    <row r="509" spans="1:26" ht="21" customHeight="1" x14ac:dyDescent="0.85">
      <c r="A509" s="15"/>
      <c r="B509" s="15"/>
      <c r="C509" s="15"/>
      <c r="D509" s="15"/>
      <c r="E509" s="15"/>
      <c r="F509" s="15"/>
      <c r="G509" s="15"/>
      <c r="H509" s="15"/>
      <c r="I509" s="15"/>
      <c r="J509" s="15"/>
      <c r="K509" s="15"/>
      <c r="L509" s="15"/>
      <c r="M509" s="15"/>
      <c r="N509" s="15"/>
      <c r="O509" s="15"/>
      <c r="P509" s="15"/>
      <c r="Q509" s="15"/>
      <c r="R509" s="15"/>
      <c r="S509" s="15"/>
      <c r="T509" s="15"/>
      <c r="U509" s="15"/>
      <c r="V509" s="15"/>
      <c r="W509" s="15"/>
      <c r="X509" s="15"/>
      <c r="Y509" s="15"/>
      <c r="Z509" s="15"/>
    </row>
    <row r="510" spans="1:26" ht="21" customHeight="1" x14ac:dyDescent="0.85">
      <c r="A510" s="15"/>
      <c r="B510" s="15"/>
      <c r="C510" s="15"/>
      <c r="D510" s="15"/>
      <c r="E510" s="15"/>
      <c r="F510" s="15"/>
      <c r="G510" s="15"/>
      <c r="H510" s="15"/>
      <c r="I510" s="15"/>
      <c r="J510" s="15"/>
      <c r="K510" s="15"/>
      <c r="L510" s="15"/>
      <c r="M510" s="15"/>
      <c r="N510" s="15"/>
      <c r="O510" s="15"/>
      <c r="P510" s="15"/>
      <c r="Q510" s="15"/>
      <c r="R510" s="15"/>
      <c r="S510" s="15"/>
      <c r="T510" s="15"/>
      <c r="U510" s="15"/>
      <c r="V510" s="15"/>
      <c r="W510" s="15"/>
      <c r="X510" s="15"/>
      <c r="Y510" s="15"/>
      <c r="Z510" s="15"/>
    </row>
    <row r="511" spans="1:26" ht="21" customHeight="1" x14ac:dyDescent="0.85">
      <c r="A511" s="15"/>
      <c r="B511" s="15"/>
      <c r="C511" s="15"/>
      <c r="D511" s="15"/>
      <c r="E511" s="15"/>
      <c r="F511" s="15"/>
      <c r="G511" s="15"/>
      <c r="H511" s="15"/>
      <c r="I511" s="15"/>
      <c r="J511" s="15"/>
      <c r="K511" s="15"/>
      <c r="L511" s="15"/>
      <c r="M511" s="15"/>
      <c r="N511" s="15"/>
      <c r="O511" s="15"/>
      <c r="P511" s="15"/>
      <c r="Q511" s="15"/>
      <c r="R511" s="15"/>
      <c r="S511" s="15"/>
      <c r="T511" s="15"/>
      <c r="U511" s="15"/>
      <c r="V511" s="15"/>
      <c r="W511" s="15"/>
      <c r="X511" s="15"/>
      <c r="Y511" s="15"/>
      <c r="Z511" s="15"/>
    </row>
    <row r="512" spans="1:26" ht="21" customHeight="1" x14ac:dyDescent="0.85">
      <c r="A512" s="15"/>
      <c r="B512" s="15"/>
      <c r="C512" s="15"/>
      <c r="D512" s="15"/>
      <c r="E512" s="15"/>
      <c r="F512" s="15"/>
      <c r="G512" s="15"/>
      <c r="H512" s="15"/>
      <c r="I512" s="15"/>
      <c r="J512" s="15"/>
      <c r="K512" s="15"/>
      <c r="L512" s="15"/>
      <c r="M512" s="15"/>
      <c r="N512" s="15"/>
      <c r="O512" s="15"/>
      <c r="P512" s="15"/>
      <c r="Q512" s="15"/>
      <c r="R512" s="15"/>
      <c r="S512" s="15"/>
      <c r="T512" s="15"/>
      <c r="U512" s="15"/>
      <c r="V512" s="15"/>
      <c r="W512" s="15"/>
      <c r="X512" s="15"/>
      <c r="Y512" s="15"/>
      <c r="Z512" s="15"/>
    </row>
    <row r="513" spans="1:26" ht="21" customHeight="1" x14ac:dyDescent="0.85">
      <c r="A513" s="15"/>
      <c r="B513" s="15"/>
      <c r="C513" s="15"/>
      <c r="D513" s="15"/>
      <c r="E513" s="15"/>
      <c r="F513" s="15"/>
      <c r="G513" s="15"/>
      <c r="H513" s="15"/>
      <c r="I513" s="15"/>
      <c r="J513" s="15"/>
      <c r="K513" s="15"/>
      <c r="L513" s="15"/>
      <c r="M513" s="15"/>
      <c r="N513" s="15"/>
      <c r="O513" s="15"/>
      <c r="P513" s="15"/>
      <c r="Q513" s="15"/>
      <c r="R513" s="15"/>
      <c r="S513" s="15"/>
      <c r="T513" s="15"/>
      <c r="U513" s="15"/>
      <c r="V513" s="15"/>
      <c r="W513" s="15"/>
      <c r="X513" s="15"/>
      <c r="Y513" s="15"/>
      <c r="Z513" s="15"/>
    </row>
    <row r="514" spans="1:26" ht="21" customHeight="1" x14ac:dyDescent="0.85">
      <c r="A514" s="15"/>
      <c r="B514" s="15"/>
      <c r="C514" s="15"/>
      <c r="D514" s="15"/>
      <c r="E514" s="15"/>
      <c r="F514" s="15"/>
      <c r="G514" s="15"/>
      <c r="H514" s="15"/>
      <c r="I514" s="15"/>
      <c r="J514" s="15"/>
      <c r="K514" s="15"/>
      <c r="L514" s="15"/>
      <c r="M514" s="15"/>
      <c r="N514" s="15"/>
      <c r="O514" s="15"/>
      <c r="P514" s="15"/>
      <c r="Q514" s="15"/>
      <c r="R514" s="15"/>
      <c r="S514" s="15"/>
      <c r="T514" s="15"/>
      <c r="U514" s="15"/>
      <c r="V514" s="15"/>
      <c r="W514" s="15"/>
      <c r="X514" s="15"/>
      <c r="Y514" s="15"/>
      <c r="Z514" s="15"/>
    </row>
    <row r="515" spans="1:26" ht="21" customHeight="1" x14ac:dyDescent="0.85">
      <c r="A515" s="15"/>
      <c r="B515" s="15"/>
      <c r="C515" s="15"/>
      <c r="D515" s="15"/>
      <c r="E515" s="15"/>
      <c r="F515" s="15"/>
      <c r="G515" s="15"/>
      <c r="H515" s="15"/>
      <c r="I515" s="15"/>
      <c r="J515" s="15"/>
      <c r="K515" s="15"/>
      <c r="L515" s="15"/>
      <c r="M515" s="15"/>
      <c r="N515" s="15"/>
      <c r="O515" s="15"/>
      <c r="P515" s="15"/>
      <c r="Q515" s="15"/>
      <c r="R515" s="15"/>
      <c r="S515" s="15"/>
      <c r="T515" s="15"/>
      <c r="U515" s="15"/>
      <c r="V515" s="15"/>
      <c r="W515" s="15"/>
      <c r="X515" s="15"/>
      <c r="Y515" s="15"/>
      <c r="Z515" s="15"/>
    </row>
    <row r="516" spans="1:26" ht="21" customHeight="1" x14ac:dyDescent="0.85">
      <c r="A516" s="15"/>
      <c r="B516" s="15"/>
      <c r="C516" s="15"/>
      <c r="D516" s="15"/>
      <c r="E516" s="15"/>
      <c r="F516" s="15"/>
      <c r="G516" s="15"/>
      <c r="H516" s="15"/>
      <c r="I516" s="15"/>
      <c r="J516" s="15"/>
      <c r="K516" s="15"/>
      <c r="L516" s="15"/>
      <c r="M516" s="15"/>
      <c r="N516" s="15"/>
      <c r="O516" s="15"/>
      <c r="P516" s="15"/>
      <c r="Q516" s="15"/>
      <c r="R516" s="15"/>
      <c r="S516" s="15"/>
      <c r="T516" s="15"/>
      <c r="U516" s="15"/>
      <c r="V516" s="15"/>
      <c r="W516" s="15"/>
      <c r="X516" s="15"/>
      <c r="Y516" s="15"/>
      <c r="Z516" s="15"/>
    </row>
    <row r="517" spans="1:26" ht="21" customHeight="1" x14ac:dyDescent="0.85">
      <c r="A517" s="15"/>
      <c r="B517" s="15"/>
      <c r="C517" s="15"/>
      <c r="D517" s="15"/>
      <c r="E517" s="15"/>
      <c r="F517" s="15"/>
      <c r="G517" s="15"/>
      <c r="H517" s="15"/>
      <c r="I517" s="15"/>
      <c r="J517" s="15"/>
      <c r="K517" s="15"/>
      <c r="L517" s="15"/>
      <c r="M517" s="15"/>
      <c r="N517" s="15"/>
      <c r="O517" s="15"/>
      <c r="P517" s="15"/>
      <c r="Q517" s="15"/>
      <c r="R517" s="15"/>
      <c r="S517" s="15"/>
      <c r="T517" s="15"/>
      <c r="U517" s="15"/>
      <c r="V517" s="15"/>
      <c r="W517" s="15"/>
      <c r="X517" s="15"/>
      <c r="Y517" s="15"/>
      <c r="Z517" s="15"/>
    </row>
    <row r="518" spans="1:26" ht="21" customHeight="1" x14ac:dyDescent="0.85">
      <c r="A518" s="15"/>
      <c r="B518" s="15"/>
      <c r="C518" s="15"/>
      <c r="D518" s="15"/>
      <c r="E518" s="15"/>
      <c r="F518" s="15"/>
      <c r="G518" s="15"/>
      <c r="H518" s="15"/>
      <c r="I518" s="15"/>
      <c r="J518" s="15"/>
      <c r="K518" s="15"/>
      <c r="L518" s="15"/>
      <c r="M518" s="15"/>
      <c r="N518" s="15"/>
      <c r="O518" s="15"/>
      <c r="P518" s="15"/>
      <c r="Q518" s="15"/>
      <c r="R518" s="15"/>
      <c r="S518" s="15"/>
      <c r="T518" s="15"/>
      <c r="U518" s="15"/>
      <c r="V518" s="15"/>
      <c r="W518" s="15"/>
      <c r="X518" s="15"/>
      <c r="Y518" s="15"/>
      <c r="Z518" s="15"/>
    </row>
    <row r="519" spans="1:26" ht="21" customHeight="1" x14ac:dyDescent="0.85">
      <c r="A519" s="15"/>
      <c r="B519" s="15"/>
      <c r="C519" s="15"/>
      <c r="D519" s="15"/>
      <c r="E519" s="15"/>
      <c r="F519" s="15"/>
      <c r="G519" s="15"/>
      <c r="H519" s="15"/>
      <c r="I519" s="15"/>
      <c r="J519" s="15"/>
      <c r="K519" s="15"/>
      <c r="L519" s="15"/>
      <c r="M519" s="15"/>
      <c r="N519" s="15"/>
      <c r="O519" s="15"/>
      <c r="P519" s="15"/>
      <c r="Q519" s="15"/>
      <c r="R519" s="15"/>
      <c r="S519" s="15"/>
      <c r="T519" s="15"/>
      <c r="U519" s="15"/>
      <c r="V519" s="15"/>
      <c r="W519" s="15"/>
      <c r="X519" s="15"/>
      <c r="Y519" s="15"/>
      <c r="Z519" s="15"/>
    </row>
    <row r="520" spans="1:26" ht="21" customHeight="1" x14ac:dyDescent="0.85">
      <c r="A520" s="15"/>
      <c r="B520" s="15"/>
      <c r="C520" s="15"/>
      <c r="D520" s="15"/>
      <c r="E520" s="15"/>
      <c r="F520" s="15"/>
      <c r="G520" s="15"/>
      <c r="H520" s="15"/>
      <c r="I520" s="15"/>
      <c r="J520" s="15"/>
      <c r="K520" s="15"/>
      <c r="L520" s="15"/>
      <c r="M520" s="15"/>
      <c r="N520" s="15"/>
      <c r="O520" s="15"/>
      <c r="P520" s="15"/>
      <c r="Q520" s="15"/>
      <c r="R520" s="15"/>
      <c r="S520" s="15"/>
      <c r="T520" s="15"/>
      <c r="U520" s="15"/>
      <c r="V520" s="15"/>
      <c r="W520" s="15"/>
      <c r="X520" s="15"/>
      <c r="Y520" s="15"/>
      <c r="Z520" s="15"/>
    </row>
    <row r="521" spans="1:26" ht="21" customHeight="1" x14ac:dyDescent="0.85">
      <c r="A521" s="15"/>
      <c r="B521" s="15"/>
      <c r="C521" s="15"/>
      <c r="D521" s="15"/>
      <c r="E521" s="15"/>
      <c r="F521" s="15"/>
      <c r="G521" s="15"/>
      <c r="H521" s="15"/>
      <c r="I521" s="15"/>
      <c r="J521" s="15"/>
      <c r="K521" s="15"/>
      <c r="L521" s="15"/>
      <c r="M521" s="15"/>
      <c r="N521" s="15"/>
      <c r="O521" s="15"/>
      <c r="P521" s="15"/>
      <c r="Q521" s="15"/>
      <c r="R521" s="15"/>
      <c r="S521" s="15"/>
      <c r="T521" s="15"/>
      <c r="U521" s="15"/>
      <c r="V521" s="15"/>
      <c r="W521" s="15"/>
      <c r="X521" s="15"/>
      <c r="Y521" s="15"/>
      <c r="Z521" s="15"/>
    </row>
    <row r="522" spans="1:26" ht="21" customHeight="1" x14ac:dyDescent="0.85">
      <c r="A522" s="15"/>
      <c r="B522" s="15"/>
      <c r="C522" s="15"/>
      <c r="D522" s="15"/>
      <c r="E522" s="15"/>
      <c r="F522" s="15"/>
      <c r="G522" s="15"/>
      <c r="H522" s="15"/>
      <c r="I522" s="15"/>
      <c r="J522" s="15"/>
      <c r="K522" s="15"/>
      <c r="L522" s="15"/>
      <c r="M522" s="15"/>
      <c r="N522" s="15"/>
      <c r="O522" s="15"/>
      <c r="P522" s="15"/>
      <c r="Q522" s="15"/>
      <c r="R522" s="15"/>
      <c r="S522" s="15"/>
      <c r="T522" s="15"/>
      <c r="U522" s="15"/>
      <c r="V522" s="15"/>
      <c r="W522" s="15"/>
      <c r="X522" s="15"/>
      <c r="Y522" s="15"/>
      <c r="Z522" s="15"/>
    </row>
    <row r="523" spans="1:26" ht="21" customHeight="1" x14ac:dyDescent="0.85">
      <c r="A523" s="15"/>
      <c r="B523" s="15"/>
      <c r="C523" s="15"/>
      <c r="D523" s="15"/>
      <c r="E523" s="15"/>
      <c r="F523" s="15"/>
      <c r="G523" s="15"/>
      <c r="H523" s="15"/>
      <c r="I523" s="15"/>
      <c r="J523" s="15"/>
      <c r="K523" s="15"/>
      <c r="L523" s="15"/>
      <c r="M523" s="15"/>
      <c r="N523" s="15"/>
      <c r="O523" s="15"/>
      <c r="P523" s="15"/>
      <c r="Q523" s="15"/>
      <c r="R523" s="15"/>
      <c r="S523" s="15"/>
      <c r="T523" s="15"/>
      <c r="U523" s="15"/>
      <c r="V523" s="15"/>
      <c r="W523" s="15"/>
      <c r="X523" s="15"/>
      <c r="Y523" s="15"/>
      <c r="Z523" s="15"/>
    </row>
    <row r="524" spans="1:26" ht="21" customHeight="1" x14ac:dyDescent="0.85">
      <c r="A524" s="15"/>
      <c r="B524" s="15"/>
      <c r="C524" s="15"/>
      <c r="D524" s="15"/>
      <c r="E524" s="15"/>
      <c r="F524" s="15"/>
      <c r="G524" s="15"/>
      <c r="H524" s="15"/>
      <c r="I524" s="15"/>
      <c r="J524" s="15"/>
      <c r="K524" s="15"/>
      <c r="L524" s="15"/>
      <c r="M524" s="15"/>
      <c r="N524" s="15"/>
      <c r="O524" s="15"/>
      <c r="P524" s="15"/>
      <c r="Q524" s="15"/>
      <c r="R524" s="15"/>
      <c r="S524" s="15"/>
      <c r="T524" s="15"/>
      <c r="U524" s="15"/>
      <c r="V524" s="15"/>
      <c r="W524" s="15"/>
      <c r="X524" s="15"/>
      <c r="Y524" s="15"/>
      <c r="Z524" s="15"/>
    </row>
    <row r="525" spans="1:26" ht="21" customHeight="1" x14ac:dyDescent="0.85">
      <c r="A525" s="15"/>
      <c r="B525" s="15"/>
      <c r="C525" s="15"/>
      <c r="D525" s="15"/>
      <c r="E525" s="15"/>
      <c r="F525" s="15"/>
      <c r="G525" s="15"/>
      <c r="H525" s="15"/>
      <c r="I525" s="15"/>
      <c r="J525" s="15"/>
      <c r="K525" s="15"/>
      <c r="L525" s="15"/>
      <c r="M525" s="15"/>
      <c r="N525" s="15"/>
      <c r="O525" s="15"/>
      <c r="P525" s="15"/>
      <c r="Q525" s="15"/>
      <c r="R525" s="15"/>
      <c r="S525" s="15"/>
      <c r="T525" s="15"/>
      <c r="U525" s="15"/>
      <c r="V525" s="15"/>
      <c r="W525" s="15"/>
      <c r="X525" s="15"/>
      <c r="Y525" s="15"/>
      <c r="Z525" s="15"/>
    </row>
    <row r="526" spans="1:26" ht="21" customHeight="1" x14ac:dyDescent="0.85">
      <c r="A526" s="15"/>
      <c r="B526" s="15"/>
      <c r="C526" s="15"/>
      <c r="D526" s="15"/>
      <c r="E526" s="15"/>
      <c r="F526" s="15"/>
      <c r="G526" s="15"/>
      <c r="H526" s="15"/>
      <c r="I526" s="15"/>
      <c r="J526" s="15"/>
      <c r="K526" s="15"/>
      <c r="L526" s="15"/>
      <c r="M526" s="15"/>
      <c r="N526" s="15"/>
      <c r="O526" s="15"/>
      <c r="P526" s="15"/>
      <c r="Q526" s="15"/>
      <c r="R526" s="15"/>
      <c r="S526" s="15"/>
      <c r="T526" s="15"/>
      <c r="U526" s="15"/>
      <c r="V526" s="15"/>
      <c r="W526" s="15"/>
      <c r="X526" s="15"/>
      <c r="Y526" s="15"/>
      <c r="Z526" s="15"/>
    </row>
    <row r="527" spans="1:26" ht="21" customHeight="1" x14ac:dyDescent="0.85">
      <c r="A527" s="15"/>
      <c r="B527" s="15"/>
      <c r="C527" s="15"/>
      <c r="D527" s="15"/>
      <c r="E527" s="15"/>
      <c r="F527" s="15"/>
      <c r="G527" s="15"/>
      <c r="H527" s="15"/>
      <c r="I527" s="15"/>
      <c r="J527" s="15"/>
      <c r="K527" s="15"/>
      <c r="L527" s="15"/>
      <c r="M527" s="15"/>
      <c r="N527" s="15"/>
      <c r="O527" s="15"/>
      <c r="P527" s="15"/>
      <c r="Q527" s="15"/>
      <c r="R527" s="15"/>
      <c r="S527" s="15"/>
      <c r="T527" s="15"/>
      <c r="U527" s="15"/>
      <c r="V527" s="15"/>
      <c r="W527" s="15"/>
      <c r="X527" s="15"/>
      <c r="Y527" s="15"/>
      <c r="Z527" s="15"/>
    </row>
    <row r="528" spans="1:26" ht="21" customHeight="1" x14ac:dyDescent="0.85">
      <c r="A528" s="15"/>
      <c r="B528" s="15"/>
      <c r="C528" s="15"/>
      <c r="D528" s="15"/>
      <c r="E528" s="15"/>
      <c r="F528" s="15"/>
      <c r="G528" s="15"/>
      <c r="H528" s="15"/>
      <c r="I528" s="15"/>
      <c r="J528" s="15"/>
      <c r="K528" s="15"/>
      <c r="L528" s="15"/>
      <c r="M528" s="15"/>
      <c r="N528" s="15"/>
      <c r="O528" s="15"/>
      <c r="P528" s="15"/>
      <c r="Q528" s="15"/>
      <c r="R528" s="15"/>
      <c r="S528" s="15"/>
      <c r="T528" s="15"/>
      <c r="U528" s="15"/>
      <c r="V528" s="15"/>
      <c r="W528" s="15"/>
      <c r="X528" s="15"/>
      <c r="Y528" s="15"/>
      <c r="Z528" s="15"/>
    </row>
    <row r="529" spans="1:26" ht="21" customHeight="1" x14ac:dyDescent="0.85">
      <c r="A529" s="15"/>
      <c r="B529" s="15"/>
      <c r="C529" s="15"/>
      <c r="D529" s="15"/>
      <c r="E529" s="15"/>
      <c r="F529" s="15"/>
      <c r="G529" s="15"/>
      <c r="H529" s="15"/>
      <c r="I529" s="15"/>
      <c r="J529" s="15"/>
      <c r="K529" s="15"/>
      <c r="L529" s="15"/>
      <c r="M529" s="15"/>
      <c r="N529" s="15"/>
      <c r="O529" s="15"/>
      <c r="P529" s="15"/>
      <c r="Q529" s="15"/>
      <c r="R529" s="15"/>
      <c r="S529" s="15"/>
      <c r="T529" s="15"/>
      <c r="U529" s="15"/>
      <c r="V529" s="15"/>
      <c r="W529" s="15"/>
      <c r="X529" s="15"/>
      <c r="Y529" s="15"/>
      <c r="Z529" s="15"/>
    </row>
    <row r="530" spans="1:26" ht="21" customHeight="1" x14ac:dyDescent="0.85">
      <c r="A530" s="15"/>
      <c r="B530" s="15"/>
      <c r="C530" s="15"/>
      <c r="D530" s="15"/>
      <c r="E530" s="15"/>
      <c r="F530" s="15"/>
      <c r="G530" s="15"/>
      <c r="H530" s="15"/>
      <c r="I530" s="15"/>
      <c r="J530" s="15"/>
      <c r="K530" s="15"/>
      <c r="L530" s="15"/>
      <c r="M530" s="15"/>
      <c r="N530" s="15"/>
      <c r="O530" s="15"/>
      <c r="P530" s="15"/>
      <c r="Q530" s="15"/>
      <c r="R530" s="15"/>
      <c r="S530" s="15"/>
      <c r="T530" s="15"/>
      <c r="U530" s="15"/>
      <c r="V530" s="15"/>
      <c r="W530" s="15"/>
      <c r="X530" s="15"/>
      <c r="Y530" s="15"/>
      <c r="Z530" s="15"/>
    </row>
    <row r="531" spans="1:26" ht="21" customHeight="1" x14ac:dyDescent="0.85">
      <c r="A531" s="15"/>
      <c r="B531" s="15"/>
      <c r="C531" s="15"/>
      <c r="D531" s="15"/>
      <c r="E531" s="15"/>
      <c r="F531" s="15"/>
      <c r="G531" s="15"/>
      <c r="H531" s="15"/>
      <c r="I531" s="15"/>
      <c r="J531" s="15"/>
      <c r="K531" s="15"/>
      <c r="L531" s="15"/>
      <c r="M531" s="15"/>
      <c r="N531" s="15"/>
      <c r="O531" s="15"/>
      <c r="P531" s="15"/>
      <c r="Q531" s="15"/>
      <c r="R531" s="15"/>
      <c r="S531" s="15"/>
      <c r="T531" s="15"/>
      <c r="U531" s="15"/>
      <c r="V531" s="15"/>
      <c r="W531" s="15"/>
      <c r="X531" s="15"/>
      <c r="Y531" s="15"/>
      <c r="Z531" s="15"/>
    </row>
    <row r="532" spans="1:26" ht="21" customHeight="1" x14ac:dyDescent="0.85">
      <c r="A532" s="15"/>
      <c r="B532" s="15"/>
      <c r="C532" s="15"/>
      <c r="D532" s="15"/>
      <c r="E532" s="15"/>
      <c r="F532" s="15"/>
      <c r="G532" s="15"/>
      <c r="H532" s="15"/>
      <c r="I532" s="15"/>
      <c r="J532" s="15"/>
      <c r="K532" s="15"/>
      <c r="L532" s="15"/>
      <c r="M532" s="15"/>
      <c r="N532" s="15"/>
      <c r="O532" s="15"/>
      <c r="P532" s="15"/>
      <c r="Q532" s="15"/>
      <c r="R532" s="15"/>
      <c r="S532" s="15"/>
      <c r="T532" s="15"/>
      <c r="U532" s="15"/>
      <c r="V532" s="15"/>
      <c r="W532" s="15"/>
      <c r="X532" s="15"/>
      <c r="Y532" s="15"/>
      <c r="Z532" s="15"/>
    </row>
    <row r="533" spans="1:26" ht="21" customHeight="1" x14ac:dyDescent="0.85">
      <c r="A533" s="15"/>
      <c r="B533" s="15"/>
      <c r="C533" s="15"/>
      <c r="D533" s="15"/>
      <c r="E533" s="15"/>
      <c r="F533" s="15"/>
      <c r="G533" s="15"/>
      <c r="H533" s="15"/>
      <c r="I533" s="15"/>
      <c r="J533" s="15"/>
      <c r="K533" s="15"/>
      <c r="L533" s="15"/>
      <c r="M533" s="15"/>
      <c r="N533" s="15"/>
      <c r="O533" s="15"/>
      <c r="P533" s="15"/>
      <c r="Q533" s="15"/>
      <c r="R533" s="15"/>
      <c r="S533" s="15"/>
      <c r="T533" s="15"/>
      <c r="U533" s="15"/>
      <c r="V533" s="15"/>
      <c r="W533" s="15"/>
      <c r="X533" s="15"/>
      <c r="Y533" s="15"/>
      <c r="Z533" s="15"/>
    </row>
    <row r="534" spans="1:26" ht="21" customHeight="1" x14ac:dyDescent="0.85">
      <c r="A534" s="15"/>
      <c r="B534" s="15"/>
      <c r="C534" s="15"/>
      <c r="D534" s="15"/>
      <c r="E534" s="15"/>
      <c r="F534" s="15"/>
      <c r="G534" s="15"/>
      <c r="H534" s="15"/>
      <c r="I534" s="15"/>
      <c r="J534" s="15"/>
      <c r="K534" s="15"/>
      <c r="L534" s="15"/>
      <c r="M534" s="15"/>
      <c r="N534" s="15"/>
      <c r="O534" s="15"/>
      <c r="P534" s="15"/>
      <c r="Q534" s="15"/>
      <c r="R534" s="15"/>
      <c r="S534" s="15"/>
      <c r="T534" s="15"/>
      <c r="U534" s="15"/>
      <c r="V534" s="15"/>
      <c r="W534" s="15"/>
      <c r="X534" s="15"/>
      <c r="Y534" s="15"/>
      <c r="Z534" s="15"/>
    </row>
    <row r="535" spans="1:26" ht="21" customHeight="1" x14ac:dyDescent="0.85">
      <c r="A535" s="15"/>
      <c r="B535" s="15"/>
      <c r="C535" s="15"/>
      <c r="D535" s="15"/>
      <c r="E535" s="15"/>
      <c r="F535" s="15"/>
      <c r="G535" s="15"/>
      <c r="H535" s="15"/>
      <c r="I535" s="15"/>
      <c r="J535" s="15"/>
      <c r="K535" s="15"/>
      <c r="L535" s="15"/>
      <c r="M535" s="15"/>
      <c r="N535" s="15"/>
      <c r="O535" s="15"/>
      <c r="P535" s="15"/>
      <c r="Q535" s="15"/>
      <c r="R535" s="15"/>
      <c r="S535" s="15"/>
      <c r="T535" s="15"/>
      <c r="U535" s="15"/>
      <c r="V535" s="15"/>
      <c r="W535" s="15"/>
      <c r="X535" s="15"/>
      <c r="Y535" s="15"/>
      <c r="Z535" s="15"/>
    </row>
    <row r="536" spans="1:26" ht="21" customHeight="1" x14ac:dyDescent="0.85">
      <c r="A536" s="15"/>
      <c r="B536" s="15"/>
      <c r="C536" s="15"/>
      <c r="D536" s="15"/>
      <c r="E536" s="15"/>
      <c r="F536" s="15"/>
      <c r="G536" s="15"/>
      <c r="H536" s="15"/>
      <c r="I536" s="15"/>
      <c r="J536" s="15"/>
      <c r="K536" s="15"/>
      <c r="L536" s="15"/>
      <c r="M536" s="15"/>
      <c r="N536" s="15"/>
      <c r="O536" s="15"/>
      <c r="P536" s="15"/>
      <c r="Q536" s="15"/>
      <c r="R536" s="15"/>
      <c r="S536" s="15"/>
      <c r="T536" s="15"/>
      <c r="U536" s="15"/>
      <c r="V536" s="15"/>
      <c r="W536" s="15"/>
      <c r="X536" s="15"/>
      <c r="Y536" s="15"/>
      <c r="Z536" s="15"/>
    </row>
    <row r="537" spans="1:26" ht="21" customHeight="1" x14ac:dyDescent="0.85">
      <c r="A537" s="15"/>
      <c r="B537" s="15"/>
      <c r="C537" s="15"/>
      <c r="D537" s="15"/>
      <c r="E537" s="15"/>
      <c r="F537" s="15"/>
      <c r="G537" s="15"/>
      <c r="H537" s="15"/>
      <c r="I537" s="15"/>
      <c r="J537" s="15"/>
      <c r="K537" s="15"/>
      <c r="L537" s="15"/>
      <c r="M537" s="15"/>
      <c r="N537" s="15"/>
      <c r="O537" s="15"/>
      <c r="P537" s="15"/>
      <c r="Q537" s="15"/>
      <c r="R537" s="15"/>
      <c r="S537" s="15"/>
      <c r="T537" s="15"/>
      <c r="U537" s="15"/>
      <c r="V537" s="15"/>
      <c r="W537" s="15"/>
      <c r="X537" s="15"/>
      <c r="Y537" s="15"/>
      <c r="Z537" s="15"/>
    </row>
    <row r="538" spans="1:26" ht="21" customHeight="1" x14ac:dyDescent="0.85">
      <c r="A538" s="15"/>
      <c r="B538" s="15"/>
      <c r="C538" s="15"/>
      <c r="D538" s="15"/>
      <c r="E538" s="15"/>
      <c r="F538" s="15"/>
      <c r="G538" s="15"/>
      <c r="H538" s="15"/>
      <c r="I538" s="15"/>
      <c r="J538" s="15"/>
      <c r="K538" s="15"/>
      <c r="L538" s="15"/>
      <c r="M538" s="15"/>
      <c r="N538" s="15"/>
      <c r="O538" s="15"/>
      <c r="P538" s="15"/>
      <c r="Q538" s="15"/>
      <c r="R538" s="15"/>
      <c r="S538" s="15"/>
      <c r="T538" s="15"/>
      <c r="U538" s="15"/>
      <c r="V538" s="15"/>
      <c r="W538" s="15"/>
      <c r="X538" s="15"/>
      <c r="Y538" s="15"/>
      <c r="Z538" s="15"/>
    </row>
    <row r="539" spans="1:26" ht="21" customHeight="1" x14ac:dyDescent="0.85">
      <c r="A539" s="15"/>
      <c r="B539" s="15"/>
      <c r="C539" s="15"/>
      <c r="D539" s="15"/>
      <c r="E539" s="15"/>
      <c r="F539" s="15"/>
      <c r="G539" s="15"/>
      <c r="H539" s="15"/>
      <c r="I539" s="15"/>
      <c r="J539" s="15"/>
      <c r="K539" s="15"/>
      <c r="L539" s="15"/>
      <c r="M539" s="15"/>
      <c r="N539" s="15"/>
      <c r="O539" s="15"/>
      <c r="P539" s="15"/>
      <c r="Q539" s="15"/>
      <c r="R539" s="15"/>
      <c r="S539" s="15"/>
      <c r="T539" s="15"/>
      <c r="U539" s="15"/>
      <c r="V539" s="15"/>
      <c r="W539" s="15"/>
      <c r="X539" s="15"/>
      <c r="Y539" s="15"/>
      <c r="Z539" s="15"/>
    </row>
    <row r="540" spans="1:26" ht="21" customHeight="1" x14ac:dyDescent="0.85">
      <c r="A540" s="15"/>
      <c r="B540" s="15"/>
      <c r="C540" s="15"/>
      <c r="D540" s="15"/>
      <c r="E540" s="15"/>
      <c r="F540" s="15"/>
      <c r="G540" s="15"/>
      <c r="H540" s="15"/>
      <c r="I540" s="15"/>
      <c r="J540" s="15"/>
      <c r="K540" s="15"/>
      <c r="L540" s="15"/>
      <c r="M540" s="15"/>
      <c r="N540" s="15"/>
      <c r="O540" s="15"/>
      <c r="P540" s="15"/>
      <c r="Q540" s="15"/>
      <c r="R540" s="15"/>
      <c r="S540" s="15"/>
      <c r="T540" s="15"/>
      <c r="U540" s="15"/>
      <c r="V540" s="15"/>
      <c r="W540" s="15"/>
      <c r="X540" s="15"/>
      <c r="Y540" s="15"/>
      <c r="Z540" s="15"/>
    </row>
    <row r="541" spans="1:26" ht="21" customHeight="1" x14ac:dyDescent="0.85">
      <c r="A541" s="15"/>
      <c r="B541" s="15"/>
      <c r="C541" s="15"/>
      <c r="D541" s="15"/>
      <c r="E541" s="15"/>
      <c r="F541" s="15"/>
      <c r="G541" s="15"/>
      <c r="H541" s="15"/>
      <c r="I541" s="15"/>
      <c r="J541" s="15"/>
      <c r="K541" s="15"/>
      <c r="L541" s="15"/>
      <c r="M541" s="15"/>
      <c r="N541" s="15"/>
      <c r="O541" s="15"/>
      <c r="P541" s="15"/>
      <c r="Q541" s="15"/>
      <c r="R541" s="15"/>
      <c r="S541" s="15"/>
      <c r="T541" s="15"/>
      <c r="U541" s="15"/>
      <c r="V541" s="15"/>
      <c r="W541" s="15"/>
      <c r="X541" s="15"/>
      <c r="Y541" s="15"/>
      <c r="Z541" s="15"/>
    </row>
    <row r="542" spans="1:26" ht="21" customHeight="1" x14ac:dyDescent="0.85">
      <c r="A542" s="15"/>
      <c r="B542" s="15"/>
      <c r="C542" s="15"/>
      <c r="D542" s="15"/>
      <c r="E542" s="15"/>
      <c r="F542" s="15"/>
      <c r="G542" s="15"/>
      <c r="H542" s="15"/>
      <c r="I542" s="15"/>
      <c r="J542" s="15"/>
      <c r="K542" s="15"/>
      <c r="L542" s="15"/>
      <c r="M542" s="15"/>
      <c r="N542" s="15"/>
      <c r="O542" s="15"/>
      <c r="P542" s="15"/>
      <c r="Q542" s="15"/>
      <c r="R542" s="15"/>
      <c r="S542" s="15"/>
      <c r="T542" s="15"/>
      <c r="U542" s="15"/>
      <c r="V542" s="15"/>
      <c r="W542" s="15"/>
      <c r="X542" s="15"/>
      <c r="Y542" s="15"/>
      <c r="Z542" s="15"/>
    </row>
    <row r="543" spans="1:26" ht="21" customHeight="1" x14ac:dyDescent="0.85">
      <c r="A543" s="15"/>
      <c r="B543" s="15"/>
      <c r="C543" s="15"/>
      <c r="D543" s="15"/>
      <c r="E543" s="15"/>
      <c r="F543" s="15"/>
      <c r="G543" s="15"/>
      <c r="H543" s="15"/>
      <c r="I543" s="15"/>
      <c r="J543" s="15"/>
      <c r="K543" s="15"/>
      <c r="L543" s="15"/>
      <c r="M543" s="15"/>
      <c r="N543" s="15"/>
      <c r="O543" s="15"/>
      <c r="P543" s="15"/>
      <c r="Q543" s="15"/>
      <c r="R543" s="15"/>
      <c r="S543" s="15"/>
      <c r="T543" s="15"/>
      <c r="U543" s="15"/>
      <c r="V543" s="15"/>
      <c r="W543" s="15"/>
      <c r="X543" s="15"/>
      <c r="Y543" s="15"/>
      <c r="Z543" s="15"/>
    </row>
    <row r="544" spans="1:26" ht="21" customHeight="1" x14ac:dyDescent="0.85">
      <c r="A544" s="15"/>
      <c r="B544" s="15"/>
      <c r="C544" s="15"/>
      <c r="D544" s="15"/>
      <c r="E544" s="15"/>
      <c r="F544" s="15"/>
      <c r="G544" s="15"/>
      <c r="H544" s="15"/>
      <c r="I544" s="15"/>
      <c r="J544" s="15"/>
      <c r="K544" s="15"/>
      <c r="L544" s="15"/>
      <c r="M544" s="15"/>
      <c r="N544" s="15"/>
      <c r="O544" s="15"/>
      <c r="P544" s="15"/>
      <c r="Q544" s="15"/>
      <c r="R544" s="15"/>
      <c r="S544" s="15"/>
      <c r="T544" s="15"/>
      <c r="U544" s="15"/>
      <c r="V544" s="15"/>
      <c r="W544" s="15"/>
      <c r="X544" s="15"/>
      <c r="Y544" s="15"/>
      <c r="Z544" s="15"/>
    </row>
    <row r="545" spans="1:26" ht="21" customHeight="1" x14ac:dyDescent="0.85">
      <c r="A545" s="15"/>
      <c r="B545" s="15"/>
      <c r="C545" s="15"/>
      <c r="D545" s="15"/>
      <c r="E545" s="15"/>
      <c r="F545" s="15"/>
      <c r="G545" s="15"/>
      <c r="H545" s="15"/>
      <c r="I545" s="15"/>
      <c r="J545" s="15"/>
      <c r="K545" s="15"/>
      <c r="L545" s="15"/>
      <c r="M545" s="15"/>
      <c r="N545" s="15"/>
      <c r="O545" s="15"/>
      <c r="P545" s="15"/>
      <c r="Q545" s="15"/>
      <c r="R545" s="15"/>
      <c r="S545" s="15"/>
      <c r="T545" s="15"/>
      <c r="U545" s="15"/>
      <c r="V545" s="15"/>
      <c r="W545" s="15"/>
      <c r="X545" s="15"/>
      <c r="Y545" s="15"/>
      <c r="Z545" s="15"/>
    </row>
    <row r="546" spans="1:26" ht="21" customHeight="1" x14ac:dyDescent="0.85">
      <c r="A546" s="15"/>
      <c r="B546" s="15"/>
      <c r="C546" s="15"/>
      <c r="D546" s="15"/>
      <c r="E546" s="15"/>
      <c r="F546" s="15"/>
      <c r="G546" s="15"/>
      <c r="H546" s="15"/>
      <c r="I546" s="15"/>
      <c r="J546" s="15"/>
      <c r="K546" s="15"/>
      <c r="L546" s="15"/>
      <c r="M546" s="15"/>
      <c r="N546" s="15"/>
      <c r="O546" s="15"/>
      <c r="P546" s="15"/>
      <c r="Q546" s="15"/>
      <c r="R546" s="15"/>
      <c r="S546" s="15"/>
      <c r="T546" s="15"/>
      <c r="U546" s="15"/>
      <c r="V546" s="15"/>
      <c r="W546" s="15"/>
      <c r="X546" s="15"/>
      <c r="Y546" s="15"/>
      <c r="Z546" s="15"/>
    </row>
    <row r="547" spans="1:26" ht="21" customHeight="1" x14ac:dyDescent="0.85">
      <c r="A547" s="15"/>
      <c r="B547" s="15"/>
      <c r="C547" s="15"/>
      <c r="D547" s="15"/>
      <c r="E547" s="15"/>
      <c r="F547" s="15"/>
      <c r="G547" s="15"/>
      <c r="H547" s="15"/>
      <c r="I547" s="15"/>
      <c r="J547" s="15"/>
      <c r="K547" s="15"/>
      <c r="L547" s="15"/>
      <c r="M547" s="15"/>
      <c r="N547" s="15"/>
      <c r="O547" s="15"/>
      <c r="P547" s="15"/>
      <c r="Q547" s="15"/>
      <c r="R547" s="15"/>
      <c r="S547" s="15"/>
      <c r="T547" s="15"/>
      <c r="U547" s="15"/>
      <c r="V547" s="15"/>
      <c r="W547" s="15"/>
      <c r="X547" s="15"/>
      <c r="Y547" s="15"/>
      <c r="Z547" s="15"/>
    </row>
    <row r="548" spans="1:26" ht="21" customHeight="1" x14ac:dyDescent="0.85">
      <c r="A548" s="15"/>
      <c r="B548" s="15"/>
      <c r="C548" s="15"/>
      <c r="D548" s="15"/>
      <c r="E548" s="15"/>
      <c r="F548" s="15"/>
      <c r="G548" s="15"/>
      <c r="H548" s="15"/>
      <c r="I548" s="15"/>
      <c r="J548" s="15"/>
      <c r="K548" s="15"/>
      <c r="L548" s="15"/>
      <c r="M548" s="15"/>
      <c r="N548" s="15"/>
      <c r="O548" s="15"/>
      <c r="P548" s="15"/>
      <c r="Q548" s="15"/>
      <c r="R548" s="15"/>
      <c r="S548" s="15"/>
      <c r="T548" s="15"/>
      <c r="U548" s="15"/>
      <c r="V548" s="15"/>
      <c r="W548" s="15"/>
      <c r="X548" s="15"/>
      <c r="Y548" s="15"/>
      <c r="Z548" s="15"/>
    </row>
    <row r="549" spans="1:26" ht="21" customHeight="1" x14ac:dyDescent="0.85">
      <c r="A549" s="15"/>
      <c r="B549" s="15"/>
      <c r="C549" s="15"/>
      <c r="D549" s="15"/>
      <c r="E549" s="15"/>
      <c r="F549" s="15"/>
      <c r="G549" s="15"/>
      <c r="H549" s="15"/>
      <c r="I549" s="15"/>
      <c r="J549" s="15"/>
      <c r="K549" s="15"/>
      <c r="L549" s="15"/>
      <c r="M549" s="15"/>
      <c r="N549" s="15"/>
      <c r="O549" s="15"/>
      <c r="P549" s="15"/>
      <c r="Q549" s="15"/>
      <c r="R549" s="15"/>
      <c r="S549" s="15"/>
      <c r="T549" s="15"/>
      <c r="U549" s="15"/>
      <c r="V549" s="15"/>
      <c r="W549" s="15"/>
      <c r="X549" s="15"/>
      <c r="Y549" s="15"/>
      <c r="Z549" s="15"/>
    </row>
    <row r="550" spans="1:26" ht="21" customHeight="1" x14ac:dyDescent="0.85">
      <c r="A550" s="15"/>
      <c r="B550" s="15"/>
      <c r="C550" s="15"/>
      <c r="D550" s="15"/>
      <c r="E550" s="15"/>
      <c r="F550" s="15"/>
      <c r="G550" s="15"/>
      <c r="H550" s="15"/>
      <c r="I550" s="15"/>
      <c r="J550" s="15"/>
      <c r="K550" s="15"/>
      <c r="L550" s="15"/>
      <c r="M550" s="15"/>
      <c r="N550" s="15"/>
      <c r="O550" s="15"/>
      <c r="P550" s="15"/>
      <c r="Q550" s="15"/>
      <c r="R550" s="15"/>
      <c r="S550" s="15"/>
      <c r="T550" s="15"/>
      <c r="U550" s="15"/>
      <c r="V550" s="15"/>
      <c r="W550" s="15"/>
      <c r="X550" s="15"/>
      <c r="Y550" s="15"/>
      <c r="Z550" s="15"/>
    </row>
    <row r="551" spans="1:26" ht="21" customHeight="1" x14ac:dyDescent="0.85">
      <c r="A551" s="15"/>
      <c r="B551" s="15"/>
      <c r="C551" s="15"/>
      <c r="D551" s="15"/>
      <c r="E551" s="15"/>
      <c r="F551" s="15"/>
      <c r="G551" s="15"/>
      <c r="H551" s="15"/>
      <c r="I551" s="15"/>
      <c r="J551" s="15"/>
      <c r="K551" s="15"/>
      <c r="L551" s="15"/>
      <c r="M551" s="15"/>
      <c r="N551" s="15"/>
      <c r="O551" s="15"/>
      <c r="P551" s="15"/>
      <c r="Q551" s="15"/>
      <c r="R551" s="15"/>
      <c r="S551" s="15"/>
      <c r="T551" s="15"/>
      <c r="U551" s="15"/>
      <c r="V551" s="15"/>
      <c r="W551" s="15"/>
      <c r="X551" s="15"/>
      <c r="Y551" s="15"/>
      <c r="Z551" s="15"/>
    </row>
    <row r="552" spans="1:26" ht="21" customHeight="1" x14ac:dyDescent="0.85">
      <c r="A552" s="15"/>
      <c r="B552" s="15"/>
      <c r="C552" s="15"/>
      <c r="D552" s="15"/>
      <c r="E552" s="15"/>
      <c r="F552" s="15"/>
      <c r="G552" s="15"/>
      <c r="H552" s="15"/>
      <c r="I552" s="15"/>
      <c r="J552" s="15"/>
      <c r="K552" s="15"/>
      <c r="L552" s="15"/>
      <c r="M552" s="15"/>
      <c r="N552" s="15"/>
      <c r="O552" s="15"/>
      <c r="P552" s="15"/>
      <c r="Q552" s="15"/>
      <c r="R552" s="15"/>
      <c r="S552" s="15"/>
      <c r="T552" s="15"/>
      <c r="U552" s="15"/>
      <c r="V552" s="15"/>
      <c r="W552" s="15"/>
      <c r="X552" s="15"/>
      <c r="Y552" s="15"/>
      <c r="Z552" s="15"/>
    </row>
    <row r="553" spans="1:26" ht="21" customHeight="1" x14ac:dyDescent="0.85">
      <c r="A553" s="15"/>
      <c r="B553" s="15"/>
      <c r="C553" s="15"/>
      <c r="D553" s="15"/>
      <c r="E553" s="15"/>
      <c r="F553" s="15"/>
      <c r="G553" s="15"/>
      <c r="H553" s="15"/>
      <c r="I553" s="15"/>
      <c r="J553" s="15"/>
      <c r="K553" s="15"/>
      <c r="L553" s="15"/>
      <c r="M553" s="15"/>
      <c r="N553" s="15"/>
      <c r="O553" s="15"/>
      <c r="P553" s="15"/>
      <c r="Q553" s="15"/>
      <c r="R553" s="15"/>
      <c r="S553" s="15"/>
      <c r="T553" s="15"/>
      <c r="U553" s="15"/>
      <c r="V553" s="15"/>
      <c r="W553" s="15"/>
      <c r="X553" s="15"/>
      <c r="Y553" s="15"/>
      <c r="Z553" s="15"/>
    </row>
    <row r="554" spans="1:26" ht="21" customHeight="1" x14ac:dyDescent="0.85">
      <c r="A554" s="15"/>
      <c r="B554" s="15"/>
      <c r="C554" s="15"/>
      <c r="D554" s="15"/>
      <c r="E554" s="15"/>
      <c r="F554" s="15"/>
      <c r="G554" s="15"/>
      <c r="H554" s="15"/>
      <c r="I554" s="15"/>
      <c r="J554" s="15"/>
      <c r="K554" s="15"/>
      <c r="L554" s="15"/>
      <c r="M554" s="15"/>
      <c r="N554" s="15"/>
      <c r="O554" s="15"/>
      <c r="P554" s="15"/>
      <c r="Q554" s="15"/>
      <c r="R554" s="15"/>
      <c r="S554" s="15"/>
      <c r="T554" s="15"/>
      <c r="U554" s="15"/>
      <c r="V554" s="15"/>
      <c r="W554" s="15"/>
      <c r="X554" s="15"/>
      <c r="Y554" s="15"/>
      <c r="Z554" s="15"/>
    </row>
    <row r="555" spans="1:26" ht="21" customHeight="1" x14ac:dyDescent="0.85">
      <c r="A555" s="15"/>
      <c r="B555" s="15"/>
      <c r="C555" s="15"/>
      <c r="D555" s="15"/>
      <c r="E555" s="15"/>
      <c r="F555" s="15"/>
      <c r="G555" s="15"/>
      <c r="H555" s="15"/>
      <c r="I555" s="15"/>
      <c r="J555" s="15"/>
      <c r="K555" s="15"/>
      <c r="L555" s="15"/>
      <c r="M555" s="15"/>
      <c r="N555" s="15"/>
      <c r="O555" s="15"/>
      <c r="P555" s="15"/>
      <c r="Q555" s="15"/>
      <c r="R555" s="15"/>
      <c r="S555" s="15"/>
      <c r="T555" s="15"/>
      <c r="U555" s="15"/>
      <c r="V555" s="15"/>
      <c r="W555" s="15"/>
      <c r="X555" s="15"/>
      <c r="Y555" s="15"/>
      <c r="Z555" s="15"/>
    </row>
    <row r="556" spans="1:26" ht="21" customHeight="1" x14ac:dyDescent="0.85">
      <c r="A556" s="15"/>
      <c r="B556" s="15"/>
      <c r="C556" s="15"/>
      <c r="D556" s="15"/>
      <c r="E556" s="15"/>
      <c r="F556" s="15"/>
      <c r="G556" s="15"/>
      <c r="H556" s="15"/>
      <c r="I556" s="15"/>
      <c r="J556" s="15"/>
      <c r="K556" s="15"/>
      <c r="L556" s="15"/>
      <c r="M556" s="15"/>
      <c r="N556" s="15"/>
      <c r="O556" s="15"/>
      <c r="P556" s="15"/>
      <c r="Q556" s="15"/>
      <c r="R556" s="15"/>
      <c r="S556" s="15"/>
      <c r="T556" s="15"/>
      <c r="U556" s="15"/>
      <c r="V556" s="15"/>
      <c r="W556" s="15"/>
      <c r="X556" s="15"/>
      <c r="Y556" s="15"/>
      <c r="Z556" s="15"/>
    </row>
    <row r="557" spans="1:26" ht="21" customHeight="1" x14ac:dyDescent="0.85">
      <c r="A557" s="15"/>
      <c r="B557" s="15"/>
      <c r="C557" s="15"/>
      <c r="D557" s="15"/>
      <c r="E557" s="15"/>
      <c r="F557" s="15"/>
      <c r="G557" s="15"/>
      <c r="H557" s="15"/>
      <c r="I557" s="15"/>
      <c r="J557" s="15"/>
      <c r="K557" s="15"/>
      <c r="L557" s="15"/>
      <c r="M557" s="15"/>
      <c r="N557" s="15"/>
      <c r="O557" s="15"/>
      <c r="P557" s="15"/>
      <c r="Q557" s="15"/>
      <c r="R557" s="15"/>
      <c r="S557" s="15"/>
      <c r="T557" s="15"/>
      <c r="U557" s="15"/>
      <c r="V557" s="15"/>
      <c r="W557" s="15"/>
      <c r="X557" s="15"/>
      <c r="Y557" s="15"/>
      <c r="Z557" s="15"/>
    </row>
    <row r="558" spans="1:26" ht="21" customHeight="1" x14ac:dyDescent="0.85">
      <c r="A558" s="15"/>
      <c r="B558" s="15"/>
      <c r="C558" s="15"/>
      <c r="D558" s="15"/>
      <c r="E558" s="15"/>
      <c r="F558" s="15"/>
      <c r="G558" s="15"/>
      <c r="H558" s="15"/>
      <c r="I558" s="15"/>
      <c r="J558" s="15"/>
      <c r="K558" s="15"/>
      <c r="L558" s="15"/>
      <c r="M558" s="15"/>
      <c r="N558" s="15"/>
      <c r="O558" s="15"/>
      <c r="P558" s="15"/>
      <c r="Q558" s="15"/>
      <c r="R558" s="15"/>
      <c r="S558" s="15"/>
      <c r="T558" s="15"/>
      <c r="U558" s="15"/>
      <c r="V558" s="15"/>
      <c r="W558" s="15"/>
      <c r="X558" s="15"/>
      <c r="Y558" s="15"/>
      <c r="Z558" s="15"/>
    </row>
    <row r="559" spans="1:26" ht="21" customHeight="1" x14ac:dyDescent="0.85">
      <c r="A559" s="15"/>
      <c r="B559" s="15"/>
      <c r="C559" s="15"/>
      <c r="D559" s="15"/>
      <c r="E559" s="15"/>
      <c r="F559" s="15"/>
      <c r="G559" s="15"/>
      <c r="H559" s="15"/>
      <c r="I559" s="15"/>
      <c r="J559" s="15"/>
      <c r="K559" s="15"/>
      <c r="L559" s="15"/>
      <c r="M559" s="15"/>
      <c r="N559" s="15"/>
      <c r="O559" s="15"/>
      <c r="P559" s="15"/>
      <c r="Q559" s="15"/>
      <c r="R559" s="15"/>
      <c r="S559" s="15"/>
      <c r="T559" s="15"/>
      <c r="U559" s="15"/>
      <c r="V559" s="15"/>
      <c r="W559" s="15"/>
      <c r="X559" s="15"/>
      <c r="Y559" s="15"/>
      <c r="Z559" s="15"/>
    </row>
    <row r="560" spans="1:26" ht="21" customHeight="1" x14ac:dyDescent="0.85">
      <c r="A560" s="15"/>
      <c r="B560" s="15"/>
      <c r="C560" s="15"/>
      <c r="D560" s="15"/>
      <c r="E560" s="15"/>
      <c r="F560" s="15"/>
      <c r="G560" s="15"/>
      <c r="H560" s="15"/>
      <c r="I560" s="15"/>
      <c r="J560" s="15"/>
      <c r="K560" s="15"/>
      <c r="L560" s="15"/>
      <c r="M560" s="15"/>
      <c r="N560" s="15"/>
      <c r="O560" s="15"/>
      <c r="P560" s="15"/>
      <c r="Q560" s="15"/>
      <c r="R560" s="15"/>
      <c r="S560" s="15"/>
      <c r="T560" s="15"/>
      <c r="U560" s="15"/>
      <c r="V560" s="15"/>
      <c r="W560" s="15"/>
      <c r="X560" s="15"/>
      <c r="Y560" s="15"/>
      <c r="Z560" s="15"/>
    </row>
    <row r="561" spans="1:26" ht="21" customHeight="1" x14ac:dyDescent="0.85">
      <c r="A561" s="15"/>
      <c r="B561" s="15"/>
      <c r="C561" s="15"/>
      <c r="D561" s="15"/>
      <c r="E561" s="15"/>
      <c r="F561" s="15"/>
      <c r="G561" s="15"/>
      <c r="H561" s="15"/>
      <c r="I561" s="15"/>
      <c r="J561" s="15"/>
      <c r="K561" s="15"/>
      <c r="L561" s="15"/>
      <c r="M561" s="15"/>
      <c r="N561" s="15"/>
      <c r="O561" s="15"/>
      <c r="P561" s="15"/>
      <c r="Q561" s="15"/>
      <c r="R561" s="15"/>
      <c r="S561" s="15"/>
      <c r="T561" s="15"/>
      <c r="U561" s="15"/>
      <c r="V561" s="15"/>
      <c r="W561" s="15"/>
      <c r="X561" s="15"/>
      <c r="Y561" s="15"/>
      <c r="Z561" s="15"/>
    </row>
    <row r="562" spans="1:26" ht="21" customHeight="1" x14ac:dyDescent="0.85">
      <c r="A562" s="15"/>
      <c r="B562" s="15"/>
      <c r="C562" s="15"/>
      <c r="D562" s="15"/>
      <c r="E562" s="15"/>
      <c r="F562" s="15"/>
      <c r="G562" s="15"/>
      <c r="H562" s="15"/>
      <c r="I562" s="15"/>
      <c r="J562" s="15"/>
      <c r="K562" s="15"/>
      <c r="L562" s="15"/>
      <c r="M562" s="15"/>
      <c r="N562" s="15"/>
      <c r="O562" s="15"/>
      <c r="P562" s="15"/>
      <c r="Q562" s="15"/>
      <c r="R562" s="15"/>
      <c r="S562" s="15"/>
      <c r="T562" s="15"/>
      <c r="U562" s="15"/>
      <c r="V562" s="15"/>
      <c r="W562" s="15"/>
      <c r="X562" s="15"/>
      <c r="Y562" s="15"/>
      <c r="Z562" s="15"/>
    </row>
    <row r="563" spans="1:26" ht="21" customHeight="1" x14ac:dyDescent="0.85">
      <c r="A563" s="15"/>
      <c r="B563" s="15"/>
      <c r="C563" s="15"/>
      <c r="D563" s="15"/>
      <c r="E563" s="15"/>
      <c r="F563" s="15"/>
      <c r="G563" s="15"/>
      <c r="H563" s="15"/>
      <c r="I563" s="15"/>
      <c r="J563" s="15"/>
      <c r="K563" s="15"/>
      <c r="L563" s="15"/>
      <c r="M563" s="15"/>
      <c r="N563" s="15"/>
      <c r="O563" s="15"/>
      <c r="P563" s="15"/>
      <c r="Q563" s="15"/>
      <c r="R563" s="15"/>
      <c r="S563" s="15"/>
      <c r="T563" s="15"/>
      <c r="U563" s="15"/>
      <c r="V563" s="15"/>
      <c r="W563" s="15"/>
      <c r="X563" s="15"/>
      <c r="Y563" s="15"/>
      <c r="Z563" s="15"/>
    </row>
    <row r="564" spans="1:26" ht="21" customHeight="1" x14ac:dyDescent="0.85">
      <c r="A564" s="15"/>
      <c r="B564" s="15"/>
      <c r="C564" s="15"/>
      <c r="D564" s="15"/>
      <c r="E564" s="15"/>
      <c r="F564" s="15"/>
      <c r="G564" s="15"/>
      <c r="H564" s="15"/>
      <c r="I564" s="15"/>
      <c r="J564" s="15"/>
      <c r="K564" s="15"/>
      <c r="L564" s="15"/>
      <c r="M564" s="15"/>
      <c r="N564" s="15"/>
      <c r="O564" s="15"/>
      <c r="P564" s="15"/>
      <c r="Q564" s="15"/>
      <c r="R564" s="15"/>
      <c r="S564" s="15"/>
      <c r="T564" s="15"/>
      <c r="U564" s="15"/>
      <c r="V564" s="15"/>
      <c r="W564" s="15"/>
      <c r="X564" s="15"/>
      <c r="Y564" s="15"/>
      <c r="Z564" s="15"/>
    </row>
    <row r="565" spans="1:26" ht="21" customHeight="1" x14ac:dyDescent="0.85">
      <c r="A565" s="15"/>
      <c r="B565" s="15"/>
      <c r="C565" s="15"/>
      <c r="D565" s="15"/>
      <c r="E565" s="15"/>
      <c r="F565" s="15"/>
      <c r="G565" s="15"/>
      <c r="H565" s="15"/>
      <c r="I565" s="15"/>
      <c r="J565" s="15"/>
      <c r="K565" s="15"/>
      <c r="L565" s="15"/>
      <c r="M565" s="15"/>
      <c r="N565" s="15"/>
      <c r="O565" s="15"/>
      <c r="P565" s="15"/>
      <c r="Q565" s="15"/>
      <c r="R565" s="15"/>
      <c r="S565" s="15"/>
      <c r="T565" s="15"/>
      <c r="U565" s="15"/>
      <c r="V565" s="15"/>
      <c r="W565" s="15"/>
      <c r="X565" s="15"/>
      <c r="Y565" s="15"/>
      <c r="Z565" s="15"/>
    </row>
    <row r="566" spans="1:26" ht="21" customHeight="1" x14ac:dyDescent="0.85">
      <c r="A566" s="15"/>
      <c r="B566" s="15"/>
      <c r="C566" s="15"/>
      <c r="D566" s="15"/>
      <c r="E566" s="15"/>
      <c r="F566" s="15"/>
      <c r="G566" s="15"/>
      <c r="H566" s="15"/>
      <c r="I566" s="15"/>
      <c r="J566" s="15"/>
      <c r="K566" s="15"/>
      <c r="L566" s="15"/>
      <c r="M566" s="15"/>
      <c r="N566" s="15"/>
      <c r="O566" s="15"/>
      <c r="P566" s="15"/>
      <c r="Q566" s="15"/>
      <c r="R566" s="15"/>
      <c r="S566" s="15"/>
      <c r="T566" s="15"/>
      <c r="U566" s="15"/>
      <c r="V566" s="15"/>
      <c r="W566" s="15"/>
      <c r="X566" s="15"/>
      <c r="Y566" s="15"/>
      <c r="Z566" s="15"/>
    </row>
    <row r="567" spans="1:26" ht="21" customHeight="1" x14ac:dyDescent="0.85">
      <c r="A567" s="15"/>
      <c r="B567" s="15"/>
      <c r="C567" s="15"/>
      <c r="D567" s="15"/>
      <c r="E567" s="15"/>
      <c r="F567" s="15"/>
      <c r="G567" s="15"/>
      <c r="H567" s="15"/>
      <c r="I567" s="15"/>
      <c r="J567" s="15"/>
      <c r="K567" s="15"/>
      <c r="L567" s="15"/>
      <c r="M567" s="15"/>
      <c r="N567" s="15"/>
      <c r="O567" s="15"/>
      <c r="P567" s="15"/>
      <c r="Q567" s="15"/>
      <c r="R567" s="15"/>
      <c r="S567" s="15"/>
      <c r="T567" s="15"/>
      <c r="U567" s="15"/>
      <c r="V567" s="15"/>
      <c r="W567" s="15"/>
      <c r="X567" s="15"/>
      <c r="Y567" s="15"/>
      <c r="Z567" s="15"/>
    </row>
    <row r="568" spans="1:26" ht="21" customHeight="1" x14ac:dyDescent="0.85">
      <c r="A568" s="15"/>
      <c r="B568" s="15"/>
      <c r="C568" s="15"/>
      <c r="D568" s="15"/>
      <c r="E568" s="15"/>
      <c r="F568" s="15"/>
      <c r="G568" s="15"/>
      <c r="H568" s="15"/>
      <c r="I568" s="15"/>
      <c r="J568" s="15"/>
      <c r="K568" s="15"/>
      <c r="L568" s="15"/>
      <c r="M568" s="15"/>
      <c r="N568" s="15"/>
      <c r="O568" s="15"/>
      <c r="P568" s="15"/>
      <c r="Q568" s="15"/>
      <c r="R568" s="15"/>
      <c r="S568" s="15"/>
      <c r="T568" s="15"/>
      <c r="U568" s="15"/>
      <c r="V568" s="15"/>
      <c r="W568" s="15"/>
      <c r="X568" s="15"/>
      <c r="Y568" s="15"/>
      <c r="Z568" s="15"/>
    </row>
    <row r="569" spans="1:26" ht="21" customHeight="1" x14ac:dyDescent="0.85">
      <c r="A569" s="15"/>
      <c r="B569" s="15"/>
      <c r="C569" s="15"/>
      <c r="D569" s="15"/>
      <c r="E569" s="15"/>
      <c r="F569" s="15"/>
      <c r="G569" s="15"/>
      <c r="H569" s="15"/>
      <c r="I569" s="15"/>
      <c r="J569" s="15"/>
      <c r="K569" s="15"/>
      <c r="L569" s="15"/>
      <c r="M569" s="15"/>
      <c r="N569" s="15"/>
      <c r="O569" s="15"/>
      <c r="P569" s="15"/>
      <c r="Q569" s="15"/>
      <c r="R569" s="15"/>
      <c r="S569" s="15"/>
      <c r="T569" s="15"/>
      <c r="U569" s="15"/>
      <c r="V569" s="15"/>
      <c r="W569" s="15"/>
      <c r="X569" s="15"/>
      <c r="Y569" s="15"/>
      <c r="Z569" s="15"/>
    </row>
    <row r="570" spans="1:26" ht="21" customHeight="1" x14ac:dyDescent="0.85">
      <c r="A570" s="15"/>
      <c r="B570" s="15"/>
      <c r="C570" s="15"/>
      <c r="D570" s="15"/>
      <c r="E570" s="15"/>
      <c r="F570" s="15"/>
      <c r="G570" s="15"/>
      <c r="H570" s="15"/>
      <c r="I570" s="15"/>
      <c r="J570" s="15"/>
      <c r="K570" s="15"/>
      <c r="L570" s="15"/>
      <c r="M570" s="15"/>
      <c r="N570" s="15"/>
      <c r="O570" s="15"/>
      <c r="P570" s="15"/>
      <c r="Q570" s="15"/>
      <c r="R570" s="15"/>
      <c r="S570" s="15"/>
      <c r="T570" s="15"/>
      <c r="U570" s="15"/>
      <c r="V570" s="15"/>
      <c r="W570" s="15"/>
      <c r="X570" s="15"/>
      <c r="Y570" s="15"/>
      <c r="Z570" s="15"/>
    </row>
    <row r="571" spans="1:26" ht="21" customHeight="1" x14ac:dyDescent="0.85">
      <c r="A571" s="15"/>
      <c r="B571" s="15"/>
      <c r="C571" s="15"/>
      <c r="D571" s="15"/>
      <c r="E571" s="15"/>
      <c r="F571" s="15"/>
      <c r="G571" s="15"/>
      <c r="H571" s="15"/>
      <c r="I571" s="15"/>
      <c r="J571" s="15"/>
      <c r="K571" s="15"/>
      <c r="L571" s="15"/>
      <c r="M571" s="15"/>
      <c r="N571" s="15"/>
      <c r="O571" s="15"/>
      <c r="P571" s="15"/>
      <c r="Q571" s="15"/>
      <c r="R571" s="15"/>
      <c r="S571" s="15"/>
      <c r="T571" s="15"/>
      <c r="U571" s="15"/>
      <c r="V571" s="15"/>
      <c r="W571" s="15"/>
      <c r="X571" s="15"/>
      <c r="Y571" s="15"/>
      <c r="Z571" s="15"/>
    </row>
    <row r="572" spans="1:26" ht="21" customHeight="1" x14ac:dyDescent="0.85">
      <c r="A572" s="15"/>
      <c r="B572" s="15"/>
      <c r="C572" s="15"/>
      <c r="D572" s="15"/>
      <c r="E572" s="15"/>
      <c r="F572" s="15"/>
      <c r="G572" s="15"/>
      <c r="H572" s="15"/>
      <c r="I572" s="15"/>
      <c r="J572" s="15"/>
      <c r="K572" s="15"/>
      <c r="L572" s="15"/>
      <c r="M572" s="15"/>
      <c r="N572" s="15"/>
      <c r="O572" s="15"/>
      <c r="P572" s="15"/>
      <c r="Q572" s="15"/>
      <c r="R572" s="15"/>
      <c r="S572" s="15"/>
      <c r="T572" s="15"/>
      <c r="U572" s="15"/>
      <c r="V572" s="15"/>
      <c r="W572" s="15"/>
      <c r="X572" s="15"/>
      <c r="Y572" s="15"/>
      <c r="Z572" s="15"/>
    </row>
    <row r="573" spans="1:26" ht="21" customHeight="1" x14ac:dyDescent="0.85">
      <c r="A573" s="15"/>
      <c r="B573" s="15"/>
      <c r="C573" s="15"/>
      <c r="D573" s="15"/>
      <c r="E573" s="15"/>
      <c r="F573" s="15"/>
      <c r="G573" s="15"/>
      <c r="H573" s="15"/>
      <c r="I573" s="15"/>
      <c r="J573" s="15"/>
      <c r="K573" s="15"/>
      <c r="L573" s="15"/>
      <c r="M573" s="15"/>
      <c r="N573" s="15"/>
      <c r="O573" s="15"/>
      <c r="P573" s="15"/>
      <c r="Q573" s="15"/>
      <c r="R573" s="15"/>
      <c r="S573" s="15"/>
      <c r="T573" s="15"/>
      <c r="U573" s="15"/>
      <c r="V573" s="15"/>
      <c r="W573" s="15"/>
      <c r="X573" s="15"/>
      <c r="Y573" s="15"/>
      <c r="Z573" s="15"/>
    </row>
    <row r="574" spans="1:26" ht="21" customHeight="1" x14ac:dyDescent="0.85">
      <c r="A574" s="15"/>
      <c r="B574" s="15"/>
      <c r="C574" s="15"/>
      <c r="D574" s="15"/>
      <c r="E574" s="15"/>
      <c r="F574" s="15"/>
      <c r="G574" s="15"/>
      <c r="H574" s="15"/>
      <c r="I574" s="15"/>
      <c r="J574" s="15"/>
      <c r="K574" s="15"/>
      <c r="L574" s="15"/>
      <c r="M574" s="15"/>
      <c r="N574" s="15"/>
      <c r="O574" s="15"/>
      <c r="P574" s="15"/>
      <c r="Q574" s="15"/>
      <c r="R574" s="15"/>
      <c r="S574" s="15"/>
      <c r="T574" s="15"/>
      <c r="U574" s="15"/>
      <c r="V574" s="15"/>
      <c r="W574" s="15"/>
      <c r="X574" s="15"/>
      <c r="Y574" s="15"/>
      <c r="Z574" s="15"/>
    </row>
    <row r="575" spans="1:26" ht="21" customHeight="1" x14ac:dyDescent="0.85">
      <c r="A575" s="15"/>
      <c r="B575" s="15"/>
      <c r="C575" s="15"/>
      <c r="D575" s="15"/>
      <c r="E575" s="15"/>
      <c r="F575" s="15"/>
      <c r="G575" s="15"/>
      <c r="H575" s="15"/>
      <c r="I575" s="15"/>
      <c r="J575" s="15"/>
      <c r="K575" s="15"/>
      <c r="L575" s="15"/>
      <c r="M575" s="15"/>
      <c r="N575" s="15"/>
      <c r="O575" s="15"/>
      <c r="P575" s="15"/>
      <c r="Q575" s="15"/>
      <c r="R575" s="15"/>
      <c r="S575" s="15"/>
      <c r="T575" s="15"/>
      <c r="U575" s="15"/>
      <c r="V575" s="15"/>
      <c r="W575" s="15"/>
      <c r="X575" s="15"/>
      <c r="Y575" s="15"/>
      <c r="Z575" s="15"/>
    </row>
    <row r="576" spans="1:26" ht="21" customHeight="1" x14ac:dyDescent="0.85">
      <c r="A576" s="15"/>
      <c r="B576" s="15"/>
      <c r="C576" s="15"/>
      <c r="D576" s="15"/>
      <c r="E576" s="15"/>
      <c r="F576" s="15"/>
      <c r="G576" s="15"/>
      <c r="H576" s="15"/>
      <c r="I576" s="15"/>
      <c r="J576" s="15"/>
      <c r="K576" s="15"/>
      <c r="L576" s="15"/>
      <c r="M576" s="15"/>
      <c r="N576" s="15"/>
      <c r="O576" s="15"/>
      <c r="P576" s="15"/>
      <c r="Q576" s="15"/>
      <c r="R576" s="15"/>
      <c r="S576" s="15"/>
      <c r="T576" s="15"/>
      <c r="U576" s="15"/>
      <c r="V576" s="15"/>
      <c r="W576" s="15"/>
      <c r="X576" s="15"/>
      <c r="Y576" s="15"/>
      <c r="Z576" s="15"/>
    </row>
    <row r="577" spans="1:26" ht="21" customHeight="1" x14ac:dyDescent="0.85">
      <c r="A577" s="15"/>
      <c r="B577" s="15"/>
      <c r="C577" s="15"/>
      <c r="D577" s="15"/>
      <c r="E577" s="15"/>
      <c r="F577" s="15"/>
      <c r="G577" s="15"/>
      <c r="H577" s="15"/>
      <c r="I577" s="15"/>
      <c r="J577" s="15"/>
      <c r="K577" s="15"/>
      <c r="L577" s="15"/>
      <c r="M577" s="15"/>
      <c r="N577" s="15"/>
      <c r="O577" s="15"/>
      <c r="P577" s="15"/>
      <c r="Q577" s="15"/>
      <c r="R577" s="15"/>
      <c r="S577" s="15"/>
      <c r="T577" s="15"/>
      <c r="U577" s="15"/>
      <c r="V577" s="15"/>
      <c r="W577" s="15"/>
      <c r="X577" s="15"/>
      <c r="Y577" s="15"/>
      <c r="Z577" s="15"/>
    </row>
    <row r="578" spans="1:26" ht="21" customHeight="1" x14ac:dyDescent="0.85">
      <c r="A578" s="15"/>
      <c r="B578" s="15"/>
      <c r="C578" s="15"/>
      <c r="D578" s="15"/>
      <c r="E578" s="15"/>
      <c r="F578" s="15"/>
      <c r="G578" s="15"/>
      <c r="H578" s="15"/>
      <c r="I578" s="15"/>
      <c r="J578" s="15"/>
      <c r="K578" s="15"/>
      <c r="L578" s="15"/>
      <c r="M578" s="15"/>
      <c r="N578" s="15"/>
      <c r="O578" s="15"/>
      <c r="P578" s="15"/>
      <c r="Q578" s="15"/>
      <c r="R578" s="15"/>
      <c r="S578" s="15"/>
      <c r="T578" s="15"/>
      <c r="U578" s="15"/>
      <c r="V578" s="15"/>
      <c r="W578" s="15"/>
      <c r="X578" s="15"/>
      <c r="Y578" s="15"/>
      <c r="Z578" s="15"/>
    </row>
    <row r="579" spans="1:26" ht="21" customHeight="1" x14ac:dyDescent="0.85">
      <c r="A579" s="15"/>
      <c r="B579" s="15"/>
      <c r="C579" s="15"/>
      <c r="D579" s="15"/>
      <c r="E579" s="15"/>
      <c r="F579" s="15"/>
      <c r="G579" s="15"/>
      <c r="H579" s="15"/>
      <c r="I579" s="15"/>
      <c r="J579" s="15"/>
      <c r="K579" s="15"/>
      <c r="L579" s="15"/>
      <c r="M579" s="15"/>
      <c r="N579" s="15"/>
      <c r="O579" s="15"/>
      <c r="P579" s="15"/>
      <c r="Q579" s="15"/>
      <c r="R579" s="15"/>
      <c r="S579" s="15"/>
      <c r="T579" s="15"/>
      <c r="U579" s="15"/>
      <c r="V579" s="15"/>
      <c r="W579" s="15"/>
      <c r="X579" s="15"/>
      <c r="Y579" s="15"/>
      <c r="Z579" s="15"/>
    </row>
    <row r="580" spans="1:26" ht="21" customHeight="1" x14ac:dyDescent="0.85">
      <c r="A580" s="15"/>
      <c r="B580" s="15"/>
      <c r="C580" s="15"/>
      <c r="D580" s="15"/>
      <c r="E580" s="15"/>
      <c r="F580" s="15"/>
      <c r="G580" s="15"/>
      <c r="H580" s="15"/>
      <c r="I580" s="15"/>
      <c r="J580" s="15"/>
      <c r="K580" s="15"/>
      <c r="L580" s="15"/>
      <c r="M580" s="15"/>
      <c r="N580" s="15"/>
      <c r="O580" s="15"/>
      <c r="P580" s="15"/>
      <c r="Q580" s="15"/>
      <c r="R580" s="15"/>
      <c r="S580" s="15"/>
      <c r="T580" s="15"/>
      <c r="U580" s="15"/>
      <c r="V580" s="15"/>
      <c r="W580" s="15"/>
      <c r="X580" s="15"/>
      <c r="Y580" s="15"/>
      <c r="Z580" s="15"/>
    </row>
    <row r="581" spans="1:26" ht="21" customHeight="1" x14ac:dyDescent="0.85">
      <c r="A581" s="15"/>
      <c r="B581" s="15"/>
      <c r="C581" s="15"/>
      <c r="D581" s="15"/>
      <c r="E581" s="15"/>
      <c r="F581" s="15"/>
      <c r="G581" s="15"/>
      <c r="H581" s="15"/>
      <c r="I581" s="15"/>
      <c r="J581" s="15"/>
      <c r="K581" s="15"/>
      <c r="L581" s="15"/>
      <c r="M581" s="15"/>
      <c r="N581" s="15"/>
      <c r="O581" s="15"/>
      <c r="P581" s="15"/>
      <c r="Q581" s="15"/>
      <c r="R581" s="15"/>
      <c r="S581" s="15"/>
      <c r="T581" s="15"/>
      <c r="U581" s="15"/>
      <c r="V581" s="15"/>
      <c r="W581" s="15"/>
      <c r="X581" s="15"/>
      <c r="Y581" s="15"/>
      <c r="Z581" s="15"/>
    </row>
    <row r="582" spans="1:26" ht="21" customHeight="1" x14ac:dyDescent="0.85">
      <c r="A582" s="15"/>
      <c r="B582" s="15"/>
      <c r="C582" s="15"/>
      <c r="D582" s="15"/>
      <c r="E582" s="15"/>
      <c r="F582" s="15"/>
      <c r="G582" s="15"/>
      <c r="H582" s="15"/>
      <c r="I582" s="15"/>
      <c r="J582" s="15"/>
      <c r="K582" s="15"/>
      <c r="L582" s="15"/>
      <c r="M582" s="15"/>
      <c r="N582" s="15"/>
      <c r="O582" s="15"/>
      <c r="P582" s="15"/>
      <c r="Q582" s="15"/>
      <c r="R582" s="15"/>
      <c r="S582" s="15"/>
      <c r="T582" s="15"/>
      <c r="U582" s="15"/>
      <c r="V582" s="15"/>
      <c r="W582" s="15"/>
      <c r="X582" s="15"/>
      <c r="Y582" s="15"/>
      <c r="Z582" s="15"/>
    </row>
    <row r="583" spans="1:26" ht="21" customHeight="1" x14ac:dyDescent="0.85">
      <c r="A583" s="15"/>
      <c r="B583" s="15"/>
      <c r="C583" s="15"/>
      <c r="D583" s="15"/>
      <c r="E583" s="15"/>
      <c r="F583" s="15"/>
      <c r="G583" s="15"/>
      <c r="H583" s="15"/>
      <c r="I583" s="15"/>
      <c r="J583" s="15"/>
      <c r="K583" s="15"/>
      <c r="L583" s="15"/>
      <c r="M583" s="15"/>
      <c r="N583" s="15"/>
      <c r="O583" s="15"/>
      <c r="P583" s="15"/>
      <c r="Q583" s="15"/>
      <c r="R583" s="15"/>
      <c r="S583" s="15"/>
      <c r="T583" s="15"/>
      <c r="U583" s="15"/>
      <c r="V583" s="15"/>
      <c r="W583" s="15"/>
      <c r="X583" s="15"/>
      <c r="Y583" s="15"/>
      <c r="Z583" s="15"/>
    </row>
    <row r="584" spans="1:26" ht="21" customHeight="1" x14ac:dyDescent="0.85">
      <c r="A584" s="15"/>
      <c r="B584" s="15"/>
      <c r="C584" s="15"/>
      <c r="D584" s="15"/>
      <c r="E584" s="15"/>
      <c r="F584" s="15"/>
      <c r="G584" s="15"/>
      <c r="H584" s="15"/>
      <c r="I584" s="15"/>
      <c r="J584" s="15"/>
      <c r="K584" s="15"/>
      <c r="L584" s="15"/>
      <c r="M584" s="15"/>
      <c r="N584" s="15"/>
      <c r="O584" s="15"/>
      <c r="P584" s="15"/>
      <c r="Q584" s="15"/>
      <c r="R584" s="15"/>
      <c r="S584" s="15"/>
      <c r="T584" s="15"/>
      <c r="U584" s="15"/>
      <c r="V584" s="15"/>
      <c r="W584" s="15"/>
      <c r="X584" s="15"/>
      <c r="Y584" s="15"/>
      <c r="Z584" s="15"/>
    </row>
    <row r="585" spans="1:26" ht="21" customHeight="1" x14ac:dyDescent="0.85">
      <c r="A585" s="15"/>
      <c r="B585" s="15"/>
      <c r="C585" s="15"/>
      <c r="D585" s="15"/>
      <c r="E585" s="15"/>
      <c r="F585" s="15"/>
      <c r="G585" s="15"/>
      <c r="H585" s="15"/>
      <c r="I585" s="15"/>
      <c r="J585" s="15"/>
      <c r="K585" s="15"/>
      <c r="L585" s="15"/>
      <c r="M585" s="15"/>
      <c r="N585" s="15"/>
      <c r="O585" s="15"/>
      <c r="P585" s="15"/>
      <c r="Q585" s="15"/>
      <c r="R585" s="15"/>
      <c r="S585" s="15"/>
      <c r="T585" s="15"/>
      <c r="U585" s="15"/>
      <c r="V585" s="15"/>
      <c r="W585" s="15"/>
      <c r="X585" s="15"/>
      <c r="Y585" s="15"/>
      <c r="Z585" s="15"/>
    </row>
    <row r="586" spans="1:26" ht="21" customHeight="1" x14ac:dyDescent="0.85">
      <c r="A586" s="15"/>
      <c r="B586" s="15"/>
      <c r="C586" s="15"/>
      <c r="D586" s="15"/>
      <c r="E586" s="15"/>
      <c r="F586" s="15"/>
      <c r="G586" s="15"/>
      <c r="H586" s="15"/>
      <c r="I586" s="15"/>
      <c r="J586" s="15"/>
      <c r="K586" s="15"/>
      <c r="L586" s="15"/>
      <c r="M586" s="15"/>
      <c r="N586" s="15"/>
      <c r="O586" s="15"/>
      <c r="P586" s="15"/>
      <c r="Q586" s="15"/>
      <c r="R586" s="15"/>
      <c r="S586" s="15"/>
      <c r="T586" s="15"/>
      <c r="U586" s="15"/>
      <c r="V586" s="15"/>
      <c r="W586" s="15"/>
      <c r="X586" s="15"/>
      <c r="Y586" s="15"/>
      <c r="Z586" s="15"/>
    </row>
    <row r="587" spans="1:26" ht="21" customHeight="1" x14ac:dyDescent="0.85">
      <c r="A587" s="15"/>
      <c r="B587" s="15"/>
      <c r="C587" s="15"/>
      <c r="D587" s="15"/>
      <c r="E587" s="15"/>
      <c r="F587" s="15"/>
      <c r="G587" s="15"/>
      <c r="H587" s="15"/>
      <c r="I587" s="15"/>
      <c r="J587" s="15"/>
      <c r="K587" s="15"/>
      <c r="L587" s="15"/>
      <c r="M587" s="15"/>
      <c r="N587" s="15"/>
      <c r="O587" s="15"/>
      <c r="P587" s="15"/>
      <c r="Q587" s="15"/>
      <c r="R587" s="15"/>
      <c r="S587" s="15"/>
      <c r="T587" s="15"/>
      <c r="U587" s="15"/>
      <c r="V587" s="15"/>
      <c r="W587" s="15"/>
      <c r="X587" s="15"/>
      <c r="Y587" s="15"/>
      <c r="Z587" s="15"/>
    </row>
    <row r="588" spans="1:26" ht="21" customHeight="1" x14ac:dyDescent="0.85">
      <c r="A588" s="15"/>
      <c r="B588" s="15"/>
      <c r="C588" s="15"/>
      <c r="D588" s="15"/>
      <c r="E588" s="15"/>
      <c r="F588" s="15"/>
      <c r="G588" s="15"/>
      <c r="H588" s="15"/>
      <c r="I588" s="15"/>
      <c r="J588" s="15"/>
      <c r="K588" s="15"/>
      <c r="L588" s="15"/>
      <c r="M588" s="15"/>
      <c r="N588" s="15"/>
      <c r="O588" s="15"/>
      <c r="P588" s="15"/>
      <c r="Q588" s="15"/>
      <c r="R588" s="15"/>
      <c r="S588" s="15"/>
      <c r="T588" s="15"/>
      <c r="U588" s="15"/>
      <c r="V588" s="15"/>
      <c r="W588" s="15"/>
      <c r="X588" s="15"/>
      <c r="Y588" s="15"/>
      <c r="Z588" s="15"/>
    </row>
    <row r="589" spans="1:26" ht="21" customHeight="1" x14ac:dyDescent="0.85">
      <c r="A589" s="15"/>
      <c r="B589" s="15"/>
      <c r="C589" s="15"/>
      <c r="D589" s="15"/>
      <c r="E589" s="15"/>
      <c r="F589" s="15"/>
      <c r="G589" s="15"/>
      <c r="H589" s="15"/>
      <c r="I589" s="15"/>
      <c r="J589" s="15"/>
      <c r="K589" s="15"/>
      <c r="L589" s="15"/>
      <c r="M589" s="15"/>
      <c r="N589" s="15"/>
      <c r="O589" s="15"/>
      <c r="P589" s="15"/>
      <c r="Q589" s="15"/>
      <c r="R589" s="15"/>
      <c r="S589" s="15"/>
      <c r="T589" s="15"/>
      <c r="U589" s="15"/>
      <c r="V589" s="15"/>
      <c r="W589" s="15"/>
      <c r="X589" s="15"/>
      <c r="Y589" s="15"/>
      <c r="Z589" s="15"/>
    </row>
    <row r="590" spans="1:26" ht="21" customHeight="1" x14ac:dyDescent="0.85">
      <c r="A590" s="15"/>
      <c r="B590" s="15"/>
      <c r="C590" s="15"/>
      <c r="D590" s="15"/>
      <c r="E590" s="15"/>
      <c r="F590" s="15"/>
      <c r="G590" s="15"/>
      <c r="H590" s="15"/>
      <c r="I590" s="15"/>
      <c r="J590" s="15"/>
      <c r="K590" s="15"/>
      <c r="L590" s="15"/>
      <c r="M590" s="15"/>
      <c r="N590" s="15"/>
      <c r="O590" s="15"/>
      <c r="P590" s="15"/>
      <c r="Q590" s="15"/>
      <c r="R590" s="15"/>
      <c r="S590" s="15"/>
      <c r="T590" s="15"/>
      <c r="U590" s="15"/>
      <c r="V590" s="15"/>
      <c r="W590" s="15"/>
      <c r="X590" s="15"/>
      <c r="Y590" s="15"/>
      <c r="Z590" s="15"/>
    </row>
    <row r="591" spans="1:26" ht="21" customHeight="1" x14ac:dyDescent="0.85">
      <c r="A591" s="15"/>
      <c r="B591" s="15"/>
      <c r="C591" s="15"/>
      <c r="D591" s="15"/>
      <c r="E591" s="15"/>
      <c r="F591" s="15"/>
      <c r="G591" s="15"/>
      <c r="H591" s="15"/>
      <c r="I591" s="15"/>
      <c r="J591" s="15"/>
      <c r="K591" s="15"/>
      <c r="L591" s="15"/>
      <c r="M591" s="15"/>
      <c r="N591" s="15"/>
      <c r="O591" s="15"/>
      <c r="P591" s="15"/>
      <c r="Q591" s="15"/>
      <c r="R591" s="15"/>
      <c r="S591" s="15"/>
      <c r="T591" s="15"/>
      <c r="U591" s="15"/>
      <c r="V591" s="15"/>
      <c r="W591" s="15"/>
      <c r="X591" s="15"/>
      <c r="Y591" s="15"/>
      <c r="Z591" s="15"/>
    </row>
    <row r="592" spans="1:26" ht="21" customHeight="1" x14ac:dyDescent="0.85">
      <c r="A592" s="15"/>
      <c r="B592" s="15"/>
      <c r="C592" s="15"/>
      <c r="D592" s="15"/>
      <c r="E592" s="15"/>
      <c r="F592" s="15"/>
      <c r="G592" s="15"/>
      <c r="H592" s="15"/>
      <c r="I592" s="15"/>
      <c r="J592" s="15"/>
      <c r="K592" s="15"/>
      <c r="L592" s="15"/>
      <c r="M592" s="15"/>
      <c r="N592" s="15"/>
      <c r="O592" s="15"/>
      <c r="P592" s="15"/>
      <c r="Q592" s="15"/>
      <c r="R592" s="15"/>
      <c r="S592" s="15"/>
      <c r="T592" s="15"/>
      <c r="U592" s="15"/>
      <c r="V592" s="15"/>
      <c r="W592" s="15"/>
      <c r="X592" s="15"/>
      <c r="Y592" s="15"/>
      <c r="Z592" s="15"/>
    </row>
    <row r="593" spans="1:26" ht="21" customHeight="1" x14ac:dyDescent="0.85">
      <c r="A593" s="15"/>
      <c r="B593" s="15"/>
      <c r="C593" s="15"/>
      <c r="D593" s="15"/>
      <c r="E593" s="15"/>
      <c r="F593" s="15"/>
      <c r="G593" s="15"/>
      <c r="H593" s="15"/>
      <c r="I593" s="15"/>
      <c r="J593" s="15"/>
      <c r="K593" s="15"/>
      <c r="L593" s="15"/>
      <c r="M593" s="15"/>
      <c r="N593" s="15"/>
      <c r="O593" s="15"/>
      <c r="P593" s="15"/>
      <c r="Q593" s="15"/>
      <c r="R593" s="15"/>
      <c r="S593" s="15"/>
      <c r="T593" s="15"/>
      <c r="U593" s="15"/>
      <c r="V593" s="15"/>
      <c r="W593" s="15"/>
      <c r="X593" s="15"/>
      <c r="Y593" s="15"/>
      <c r="Z593" s="15"/>
    </row>
    <row r="594" spans="1:26" ht="21" customHeight="1" x14ac:dyDescent="0.85">
      <c r="A594" s="15"/>
      <c r="B594" s="15"/>
      <c r="C594" s="15"/>
      <c r="D594" s="15"/>
      <c r="E594" s="15"/>
      <c r="F594" s="15"/>
      <c r="G594" s="15"/>
      <c r="H594" s="15"/>
      <c r="I594" s="15"/>
      <c r="J594" s="15"/>
      <c r="K594" s="15"/>
      <c r="L594" s="15"/>
      <c r="M594" s="15"/>
      <c r="N594" s="15"/>
      <c r="O594" s="15"/>
      <c r="P594" s="15"/>
      <c r="Q594" s="15"/>
      <c r="R594" s="15"/>
      <c r="S594" s="15"/>
      <c r="T594" s="15"/>
      <c r="U594" s="15"/>
      <c r="V594" s="15"/>
      <c r="W594" s="15"/>
      <c r="X594" s="15"/>
      <c r="Y594" s="15"/>
      <c r="Z594" s="15"/>
    </row>
    <row r="595" spans="1:26" ht="21" customHeight="1" x14ac:dyDescent="0.85">
      <c r="A595" s="15"/>
      <c r="B595" s="15"/>
      <c r="C595" s="15"/>
      <c r="D595" s="15"/>
      <c r="E595" s="15"/>
      <c r="F595" s="15"/>
      <c r="G595" s="15"/>
      <c r="H595" s="15"/>
      <c r="I595" s="15"/>
      <c r="J595" s="15"/>
      <c r="K595" s="15"/>
      <c r="L595" s="15"/>
      <c r="M595" s="15"/>
      <c r="N595" s="15"/>
      <c r="O595" s="15"/>
      <c r="P595" s="15"/>
      <c r="Q595" s="15"/>
      <c r="R595" s="15"/>
      <c r="S595" s="15"/>
      <c r="T595" s="15"/>
      <c r="U595" s="15"/>
      <c r="V595" s="15"/>
      <c r="W595" s="15"/>
      <c r="X595" s="15"/>
      <c r="Y595" s="15"/>
      <c r="Z595" s="15"/>
    </row>
    <row r="596" spans="1:26" ht="21" customHeight="1" x14ac:dyDescent="0.85">
      <c r="A596" s="15"/>
      <c r="B596" s="15"/>
      <c r="C596" s="15"/>
      <c r="D596" s="15"/>
      <c r="E596" s="15"/>
      <c r="F596" s="15"/>
      <c r="G596" s="15"/>
      <c r="H596" s="15"/>
      <c r="I596" s="15"/>
      <c r="J596" s="15"/>
      <c r="K596" s="15"/>
      <c r="L596" s="15"/>
      <c r="M596" s="15"/>
      <c r="N596" s="15"/>
      <c r="O596" s="15"/>
      <c r="P596" s="15"/>
      <c r="Q596" s="15"/>
      <c r="R596" s="15"/>
      <c r="S596" s="15"/>
      <c r="T596" s="15"/>
      <c r="U596" s="15"/>
      <c r="V596" s="15"/>
      <c r="W596" s="15"/>
      <c r="X596" s="15"/>
      <c r="Y596" s="15"/>
      <c r="Z596" s="15"/>
    </row>
    <row r="597" spans="1:26" ht="21" customHeight="1" x14ac:dyDescent="0.85">
      <c r="A597" s="15"/>
      <c r="B597" s="15"/>
      <c r="C597" s="15"/>
      <c r="D597" s="15"/>
      <c r="E597" s="15"/>
      <c r="F597" s="15"/>
      <c r="G597" s="15"/>
      <c r="H597" s="15"/>
      <c r="I597" s="15"/>
      <c r="J597" s="15"/>
      <c r="K597" s="15"/>
      <c r="L597" s="15"/>
      <c r="M597" s="15"/>
      <c r="N597" s="15"/>
      <c r="O597" s="15"/>
      <c r="P597" s="15"/>
      <c r="Q597" s="15"/>
      <c r="R597" s="15"/>
      <c r="S597" s="15"/>
      <c r="T597" s="15"/>
      <c r="U597" s="15"/>
      <c r="V597" s="15"/>
      <c r="W597" s="15"/>
      <c r="X597" s="15"/>
      <c r="Y597" s="15"/>
      <c r="Z597" s="15"/>
    </row>
    <row r="598" spans="1:26" ht="21" customHeight="1" x14ac:dyDescent="0.85">
      <c r="A598" s="15"/>
      <c r="B598" s="15"/>
      <c r="C598" s="15"/>
      <c r="D598" s="15"/>
      <c r="E598" s="15"/>
      <c r="F598" s="15"/>
      <c r="G598" s="15"/>
      <c r="H598" s="15"/>
      <c r="I598" s="15"/>
      <c r="J598" s="15"/>
      <c r="K598" s="15"/>
      <c r="L598" s="15"/>
      <c r="M598" s="15"/>
      <c r="N598" s="15"/>
      <c r="O598" s="15"/>
      <c r="P598" s="15"/>
      <c r="Q598" s="15"/>
      <c r="R598" s="15"/>
      <c r="S598" s="15"/>
      <c r="T598" s="15"/>
      <c r="U598" s="15"/>
      <c r="V598" s="15"/>
      <c r="W598" s="15"/>
      <c r="X598" s="15"/>
      <c r="Y598" s="15"/>
      <c r="Z598" s="15"/>
    </row>
    <row r="599" spans="1:26" ht="21" customHeight="1" x14ac:dyDescent="0.85">
      <c r="A599" s="15"/>
      <c r="B599" s="15"/>
      <c r="C599" s="15"/>
      <c r="D599" s="15"/>
      <c r="E599" s="15"/>
      <c r="F599" s="15"/>
      <c r="G599" s="15"/>
      <c r="H599" s="15"/>
      <c r="I599" s="15"/>
      <c r="J599" s="15"/>
      <c r="K599" s="15"/>
      <c r="L599" s="15"/>
      <c r="M599" s="15"/>
      <c r="N599" s="15"/>
      <c r="O599" s="15"/>
      <c r="P599" s="15"/>
      <c r="Q599" s="15"/>
      <c r="R599" s="15"/>
      <c r="S599" s="15"/>
      <c r="T599" s="15"/>
      <c r="U599" s="15"/>
      <c r="V599" s="15"/>
      <c r="W599" s="15"/>
      <c r="X599" s="15"/>
      <c r="Y599" s="15"/>
      <c r="Z599" s="15"/>
    </row>
    <row r="600" spans="1:26" ht="21" customHeight="1" x14ac:dyDescent="0.85">
      <c r="A600" s="15"/>
      <c r="B600" s="15"/>
      <c r="C600" s="15"/>
      <c r="D600" s="15"/>
      <c r="E600" s="15"/>
      <c r="F600" s="15"/>
      <c r="G600" s="15"/>
      <c r="H600" s="15"/>
      <c r="I600" s="15"/>
      <c r="J600" s="15"/>
      <c r="K600" s="15"/>
      <c r="L600" s="15"/>
      <c r="M600" s="15"/>
      <c r="N600" s="15"/>
      <c r="O600" s="15"/>
      <c r="P600" s="15"/>
      <c r="Q600" s="15"/>
      <c r="R600" s="15"/>
      <c r="S600" s="15"/>
      <c r="T600" s="15"/>
      <c r="U600" s="15"/>
      <c r="V600" s="15"/>
      <c r="W600" s="15"/>
      <c r="X600" s="15"/>
      <c r="Y600" s="15"/>
      <c r="Z600" s="15"/>
    </row>
    <row r="601" spans="1:26" ht="21" customHeight="1" x14ac:dyDescent="0.85">
      <c r="A601" s="15"/>
      <c r="B601" s="15"/>
      <c r="C601" s="15"/>
      <c r="D601" s="15"/>
      <c r="E601" s="15"/>
      <c r="F601" s="15"/>
      <c r="G601" s="15"/>
      <c r="H601" s="15"/>
      <c r="I601" s="15"/>
      <c r="J601" s="15"/>
      <c r="K601" s="15"/>
      <c r="L601" s="15"/>
      <c r="M601" s="15"/>
      <c r="N601" s="15"/>
      <c r="O601" s="15"/>
      <c r="P601" s="15"/>
      <c r="Q601" s="15"/>
      <c r="R601" s="15"/>
      <c r="S601" s="15"/>
      <c r="T601" s="15"/>
      <c r="U601" s="15"/>
      <c r="V601" s="15"/>
      <c r="W601" s="15"/>
      <c r="X601" s="15"/>
      <c r="Y601" s="15"/>
      <c r="Z601" s="15"/>
    </row>
    <row r="602" spans="1:26" ht="21" customHeight="1" x14ac:dyDescent="0.85">
      <c r="A602" s="15"/>
      <c r="B602" s="15"/>
      <c r="C602" s="15"/>
      <c r="D602" s="15"/>
      <c r="E602" s="15"/>
      <c r="F602" s="15"/>
      <c r="G602" s="15"/>
      <c r="H602" s="15"/>
      <c r="I602" s="15"/>
      <c r="J602" s="15"/>
      <c r="K602" s="15"/>
      <c r="L602" s="15"/>
      <c r="M602" s="15"/>
      <c r="N602" s="15"/>
      <c r="O602" s="15"/>
      <c r="P602" s="15"/>
      <c r="Q602" s="15"/>
      <c r="R602" s="15"/>
      <c r="S602" s="15"/>
      <c r="T602" s="15"/>
      <c r="U602" s="15"/>
      <c r="V602" s="15"/>
      <c r="W602" s="15"/>
      <c r="X602" s="15"/>
      <c r="Y602" s="15"/>
      <c r="Z602" s="15"/>
    </row>
    <row r="603" spans="1:26" ht="21" customHeight="1" x14ac:dyDescent="0.85">
      <c r="A603" s="15"/>
      <c r="B603" s="15"/>
      <c r="C603" s="15"/>
      <c r="D603" s="15"/>
      <c r="E603" s="15"/>
      <c r="F603" s="15"/>
      <c r="G603" s="15"/>
      <c r="H603" s="15"/>
      <c r="I603" s="15"/>
      <c r="J603" s="15"/>
      <c r="K603" s="15"/>
      <c r="L603" s="15"/>
      <c r="M603" s="15"/>
      <c r="N603" s="15"/>
      <c r="O603" s="15"/>
      <c r="P603" s="15"/>
      <c r="Q603" s="15"/>
      <c r="R603" s="15"/>
      <c r="S603" s="15"/>
      <c r="T603" s="15"/>
      <c r="U603" s="15"/>
      <c r="V603" s="15"/>
      <c r="W603" s="15"/>
      <c r="X603" s="15"/>
      <c r="Y603" s="15"/>
      <c r="Z603" s="15"/>
    </row>
    <row r="604" spans="1:26" ht="21" customHeight="1" x14ac:dyDescent="0.85">
      <c r="A604" s="15"/>
      <c r="B604" s="15"/>
      <c r="C604" s="15"/>
      <c r="D604" s="15"/>
      <c r="E604" s="15"/>
      <c r="F604" s="15"/>
      <c r="G604" s="15"/>
      <c r="H604" s="15"/>
      <c r="I604" s="15"/>
      <c r="J604" s="15"/>
      <c r="K604" s="15"/>
      <c r="L604" s="15"/>
      <c r="M604" s="15"/>
      <c r="N604" s="15"/>
      <c r="O604" s="15"/>
      <c r="P604" s="15"/>
      <c r="Q604" s="15"/>
      <c r="R604" s="15"/>
      <c r="S604" s="15"/>
      <c r="T604" s="15"/>
      <c r="U604" s="15"/>
      <c r="V604" s="15"/>
      <c r="W604" s="15"/>
      <c r="X604" s="15"/>
      <c r="Y604" s="15"/>
      <c r="Z604" s="15"/>
    </row>
    <row r="605" spans="1:26" ht="21" customHeight="1" x14ac:dyDescent="0.85">
      <c r="A605" s="15"/>
      <c r="B605" s="15"/>
      <c r="C605" s="15"/>
      <c r="D605" s="15"/>
      <c r="E605" s="15"/>
      <c r="F605" s="15"/>
      <c r="G605" s="15"/>
      <c r="H605" s="15"/>
      <c r="I605" s="15"/>
      <c r="J605" s="15"/>
      <c r="K605" s="15"/>
      <c r="L605" s="15"/>
      <c r="M605" s="15"/>
      <c r="N605" s="15"/>
      <c r="O605" s="15"/>
      <c r="P605" s="15"/>
      <c r="Q605" s="15"/>
      <c r="R605" s="15"/>
      <c r="S605" s="15"/>
      <c r="T605" s="15"/>
      <c r="U605" s="15"/>
      <c r="V605" s="15"/>
      <c r="W605" s="15"/>
      <c r="X605" s="15"/>
      <c r="Y605" s="15"/>
      <c r="Z605" s="15"/>
    </row>
    <row r="606" spans="1:26" ht="21" customHeight="1" x14ac:dyDescent="0.85">
      <c r="A606" s="15"/>
      <c r="B606" s="15"/>
      <c r="C606" s="15"/>
      <c r="D606" s="15"/>
      <c r="E606" s="15"/>
      <c r="F606" s="15"/>
      <c r="G606" s="15"/>
      <c r="H606" s="15"/>
      <c r="I606" s="15"/>
      <c r="J606" s="15"/>
      <c r="K606" s="15"/>
      <c r="L606" s="15"/>
      <c r="M606" s="15"/>
      <c r="N606" s="15"/>
      <c r="O606" s="15"/>
      <c r="P606" s="15"/>
      <c r="Q606" s="15"/>
      <c r="R606" s="15"/>
      <c r="S606" s="15"/>
      <c r="T606" s="15"/>
      <c r="U606" s="15"/>
      <c r="V606" s="15"/>
      <c r="W606" s="15"/>
      <c r="X606" s="15"/>
      <c r="Y606" s="15"/>
      <c r="Z606" s="15"/>
    </row>
    <row r="607" spans="1:26" ht="21" customHeight="1" x14ac:dyDescent="0.85">
      <c r="A607" s="15"/>
      <c r="B607" s="15"/>
      <c r="C607" s="15"/>
      <c r="D607" s="15"/>
      <c r="E607" s="15"/>
      <c r="F607" s="15"/>
      <c r="G607" s="15"/>
      <c r="H607" s="15"/>
      <c r="I607" s="15"/>
      <c r="J607" s="15"/>
      <c r="K607" s="15"/>
      <c r="L607" s="15"/>
      <c r="M607" s="15"/>
      <c r="N607" s="15"/>
      <c r="O607" s="15"/>
      <c r="P607" s="15"/>
      <c r="Q607" s="15"/>
      <c r="R607" s="15"/>
      <c r="S607" s="15"/>
      <c r="T607" s="15"/>
      <c r="U607" s="15"/>
      <c r="V607" s="15"/>
      <c r="W607" s="15"/>
      <c r="X607" s="15"/>
      <c r="Y607" s="15"/>
      <c r="Z607" s="15"/>
    </row>
    <row r="608" spans="1:26" ht="21" customHeight="1" x14ac:dyDescent="0.85">
      <c r="A608" s="15"/>
      <c r="B608" s="15"/>
      <c r="C608" s="15"/>
      <c r="D608" s="15"/>
      <c r="E608" s="15"/>
      <c r="F608" s="15"/>
      <c r="G608" s="15"/>
      <c r="H608" s="15"/>
      <c r="I608" s="15"/>
      <c r="J608" s="15"/>
      <c r="K608" s="15"/>
      <c r="L608" s="15"/>
      <c r="M608" s="15"/>
      <c r="N608" s="15"/>
      <c r="O608" s="15"/>
      <c r="P608" s="15"/>
      <c r="Q608" s="15"/>
      <c r="R608" s="15"/>
      <c r="S608" s="15"/>
      <c r="T608" s="15"/>
      <c r="U608" s="15"/>
      <c r="V608" s="15"/>
      <c r="W608" s="15"/>
      <c r="X608" s="15"/>
      <c r="Y608" s="15"/>
      <c r="Z608" s="15"/>
    </row>
    <row r="609" spans="1:26" ht="21" customHeight="1" x14ac:dyDescent="0.85">
      <c r="A609" s="15"/>
      <c r="B609" s="15"/>
      <c r="C609" s="15"/>
      <c r="D609" s="15"/>
      <c r="E609" s="15"/>
      <c r="F609" s="15"/>
      <c r="G609" s="15"/>
      <c r="H609" s="15"/>
      <c r="I609" s="15"/>
      <c r="J609" s="15"/>
      <c r="K609" s="15"/>
      <c r="L609" s="15"/>
      <c r="M609" s="15"/>
      <c r="N609" s="15"/>
      <c r="O609" s="15"/>
      <c r="P609" s="15"/>
      <c r="Q609" s="15"/>
      <c r="R609" s="15"/>
      <c r="S609" s="15"/>
      <c r="T609" s="15"/>
      <c r="U609" s="15"/>
      <c r="V609" s="15"/>
      <c r="W609" s="15"/>
      <c r="X609" s="15"/>
      <c r="Y609" s="15"/>
      <c r="Z609" s="15"/>
    </row>
    <row r="610" spans="1:26" ht="21" customHeight="1" x14ac:dyDescent="0.85">
      <c r="A610" s="15"/>
      <c r="B610" s="15"/>
      <c r="C610" s="15"/>
      <c r="D610" s="15"/>
      <c r="E610" s="15"/>
      <c r="F610" s="15"/>
      <c r="G610" s="15"/>
      <c r="H610" s="15"/>
      <c r="I610" s="15"/>
      <c r="J610" s="15"/>
      <c r="K610" s="15"/>
      <c r="L610" s="15"/>
      <c r="M610" s="15"/>
      <c r="N610" s="15"/>
      <c r="O610" s="15"/>
      <c r="P610" s="15"/>
      <c r="Q610" s="15"/>
      <c r="R610" s="15"/>
      <c r="S610" s="15"/>
      <c r="T610" s="15"/>
      <c r="U610" s="15"/>
      <c r="V610" s="15"/>
      <c r="W610" s="15"/>
      <c r="X610" s="15"/>
      <c r="Y610" s="15"/>
      <c r="Z610" s="15"/>
    </row>
    <row r="611" spans="1:26" ht="21" customHeight="1" x14ac:dyDescent="0.85">
      <c r="A611" s="15"/>
      <c r="B611" s="15"/>
      <c r="C611" s="15"/>
      <c r="D611" s="15"/>
      <c r="E611" s="15"/>
      <c r="F611" s="15"/>
      <c r="G611" s="15"/>
      <c r="H611" s="15"/>
      <c r="I611" s="15"/>
      <c r="J611" s="15"/>
      <c r="K611" s="15"/>
      <c r="L611" s="15"/>
      <c r="M611" s="15"/>
      <c r="N611" s="15"/>
      <c r="O611" s="15"/>
      <c r="P611" s="15"/>
      <c r="Q611" s="15"/>
      <c r="R611" s="15"/>
      <c r="S611" s="15"/>
      <c r="T611" s="15"/>
      <c r="U611" s="15"/>
      <c r="V611" s="15"/>
      <c r="W611" s="15"/>
      <c r="X611" s="15"/>
      <c r="Y611" s="15"/>
      <c r="Z611" s="15"/>
    </row>
    <row r="612" spans="1:26" ht="21" customHeight="1" x14ac:dyDescent="0.85">
      <c r="A612" s="15"/>
      <c r="B612" s="15"/>
      <c r="C612" s="15"/>
      <c r="D612" s="15"/>
      <c r="E612" s="15"/>
      <c r="F612" s="15"/>
      <c r="G612" s="15"/>
      <c r="H612" s="15"/>
      <c r="I612" s="15"/>
      <c r="J612" s="15"/>
      <c r="K612" s="15"/>
      <c r="L612" s="15"/>
      <c r="M612" s="15"/>
      <c r="N612" s="15"/>
      <c r="O612" s="15"/>
      <c r="P612" s="15"/>
      <c r="Q612" s="15"/>
      <c r="R612" s="15"/>
      <c r="S612" s="15"/>
      <c r="T612" s="15"/>
      <c r="U612" s="15"/>
      <c r="V612" s="15"/>
      <c r="W612" s="15"/>
      <c r="X612" s="15"/>
      <c r="Y612" s="15"/>
      <c r="Z612" s="15"/>
    </row>
    <row r="613" spans="1:26" ht="21" customHeight="1" x14ac:dyDescent="0.85">
      <c r="A613" s="15"/>
      <c r="B613" s="15"/>
      <c r="C613" s="15"/>
      <c r="D613" s="15"/>
      <c r="E613" s="15"/>
      <c r="F613" s="15"/>
      <c r="G613" s="15"/>
      <c r="H613" s="15"/>
      <c r="I613" s="15"/>
      <c r="J613" s="15"/>
      <c r="K613" s="15"/>
      <c r="L613" s="15"/>
      <c r="M613" s="15"/>
      <c r="N613" s="15"/>
      <c r="O613" s="15"/>
      <c r="P613" s="15"/>
      <c r="Q613" s="15"/>
      <c r="R613" s="15"/>
      <c r="S613" s="15"/>
      <c r="T613" s="15"/>
      <c r="U613" s="15"/>
      <c r="V613" s="15"/>
      <c r="W613" s="15"/>
      <c r="X613" s="15"/>
      <c r="Y613" s="15"/>
      <c r="Z613" s="15"/>
    </row>
    <row r="614" spans="1:26" ht="21" customHeight="1" x14ac:dyDescent="0.85">
      <c r="A614" s="15"/>
      <c r="B614" s="15"/>
      <c r="C614" s="15"/>
      <c r="D614" s="15"/>
      <c r="E614" s="15"/>
      <c r="F614" s="15"/>
      <c r="G614" s="15"/>
      <c r="H614" s="15"/>
      <c r="I614" s="15"/>
      <c r="J614" s="15"/>
      <c r="K614" s="15"/>
      <c r="L614" s="15"/>
      <c r="M614" s="15"/>
      <c r="N614" s="15"/>
      <c r="O614" s="15"/>
      <c r="P614" s="15"/>
      <c r="Q614" s="15"/>
      <c r="R614" s="15"/>
      <c r="S614" s="15"/>
      <c r="T614" s="15"/>
      <c r="U614" s="15"/>
      <c r="V614" s="15"/>
      <c r="W614" s="15"/>
      <c r="X614" s="15"/>
      <c r="Y614" s="15"/>
      <c r="Z614" s="15"/>
    </row>
    <row r="615" spans="1:26" ht="21" customHeight="1" x14ac:dyDescent="0.85">
      <c r="A615" s="15"/>
      <c r="B615" s="15"/>
      <c r="C615" s="15"/>
      <c r="D615" s="15"/>
      <c r="E615" s="15"/>
      <c r="F615" s="15"/>
      <c r="G615" s="15"/>
      <c r="H615" s="15"/>
      <c r="I615" s="15"/>
      <c r="J615" s="15"/>
      <c r="K615" s="15"/>
      <c r="L615" s="15"/>
      <c r="M615" s="15"/>
      <c r="N615" s="15"/>
      <c r="O615" s="15"/>
      <c r="P615" s="15"/>
      <c r="Q615" s="15"/>
      <c r="R615" s="15"/>
      <c r="S615" s="15"/>
      <c r="T615" s="15"/>
      <c r="U615" s="15"/>
      <c r="V615" s="15"/>
      <c r="W615" s="15"/>
      <c r="X615" s="15"/>
      <c r="Y615" s="15"/>
      <c r="Z615" s="15"/>
    </row>
    <row r="616" spans="1:26" ht="21" customHeight="1" x14ac:dyDescent="0.85">
      <c r="A616" s="15"/>
      <c r="B616" s="15"/>
      <c r="C616" s="15"/>
      <c r="D616" s="15"/>
      <c r="E616" s="15"/>
      <c r="F616" s="15"/>
      <c r="G616" s="15"/>
      <c r="H616" s="15"/>
      <c r="I616" s="15"/>
      <c r="J616" s="15"/>
      <c r="K616" s="15"/>
      <c r="L616" s="15"/>
      <c r="M616" s="15"/>
      <c r="N616" s="15"/>
      <c r="O616" s="15"/>
      <c r="P616" s="15"/>
      <c r="Q616" s="15"/>
      <c r="R616" s="15"/>
      <c r="S616" s="15"/>
      <c r="T616" s="15"/>
      <c r="U616" s="15"/>
      <c r="V616" s="15"/>
      <c r="W616" s="15"/>
      <c r="X616" s="15"/>
      <c r="Y616" s="15"/>
      <c r="Z616" s="15"/>
    </row>
    <row r="617" spans="1:26" ht="21" customHeight="1" x14ac:dyDescent="0.85">
      <c r="A617" s="15"/>
      <c r="B617" s="15"/>
      <c r="C617" s="15"/>
      <c r="D617" s="15"/>
      <c r="E617" s="15"/>
      <c r="F617" s="15"/>
      <c r="G617" s="15"/>
      <c r="H617" s="15"/>
      <c r="I617" s="15"/>
      <c r="J617" s="15"/>
      <c r="K617" s="15"/>
      <c r="L617" s="15"/>
      <c r="M617" s="15"/>
      <c r="N617" s="15"/>
      <c r="O617" s="15"/>
      <c r="P617" s="15"/>
      <c r="Q617" s="15"/>
      <c r="R617" s="15"/>
      <c r="S617" s="15"/>
      <c r="T617" s="15"/>
      <c r="U617" s="15"/>
      <c r="V617" s="15"/>
      <c r="W617" s="15"/>
      <c r="X617" s="15"/>
      <c r="Y617" s="15"/>
      <c r="Z617" s="15"/>
    </row>
    <row r="618" spans="1:26" ht="21" customHeight="1" x14ac:dyDescent="0.85">
      <c r="A618" s="15"/>
      <c r="B618" s="15"/>
      <c r="C618" s="15"/>
      <c r="D618" s="15"/>
      <c r="E618" s="15"/>
      <c r="F618" s="15"/>
      <c r="G618" s="15"/>
      <c r="H618" s="15"/>
      <c r="I618" s="15"/>
      <c r="J618" s="15"/>
      <c r="K618" s="15"/>
      <c r="L618" s="15"/>
      <c r="M618" s="15"/>
      <c r="N618" s="15"/>
      <c r="O618" s="15"/>
      <c r="P618" s="15"/>
      <c r="Q618" s="15"/>
      <c r="R618" s="15"/>
      <c r="S618" s="15"/>
      <c r="T618" s="15"/>
      <c r="U618" s="15"/>
      <c r="V618" s="15"/>
      <c r="W618" s="15"/>
      <c r="X618" s="15"/>
      <c r="Y618" s="15"/>
      <c r="Z618" s="15"/>
    </row>
    <row r="619" spans="1:26" ht="21" customHeight="1" x14ac:dyDescent="0.85">
      <c r="A619" s="15"/>
      <c r="B619" s="15"/>
      <c r="C619" s="15"/>
      <c r="D619" s="15"/>
      <c r="E619" s="15"/>
      <c r="F619" s="15"/>
      <c r="G619" s="15"/>
      <c r="H619" s="15"/>
      <c r="I619" s="15"/>
      <c r="J619" s="15"/>
      <c r="K619" s="15"/>
      <c r="L619" s="15"/>
      <c r="M619" s="15"/>
      <c r="N619" s="15"/>
      <c r="O619" s="15"/>
      <c r="P619" s="15"/>
      <c r="Q619" s="15"/>
      <c r="R619" s="15"/>
      <c r="S619" s="15"/>
      <c r="T619" s="15"/>
      <c r="U619" s="15"/>
      <c r="V619" s="15"/>
      <c r="W619" s="15"/>
      <c r="X619" s="15"/>
      <c r="Y619" s="15"/>
      <c r="Z619" s="15"/>
    </row>
    <row r="620" spans="1:26" ht="21" customHeight="1" x14ac:dyDescent="0.85">
      <c r="A620" s="15"/>
      <c r="B620" s="15"/>
      <c r="C620" s="15"/>
      <c r="D620" s="15"/>
      <c r="E620" s="15"/>
      <c r="F620" s="15"/>
      <c r="G620" s="15"/>
      <c r="H620" s="15"/>
      <c r="I620" s="15"/>
      <c r="J620" s="15"/>
      <c r="K620" s="15"/>
      <c r="L620" s="15"/>
      <c r="M620" s="15"/>
      <c r="N620" s="15"/>
      <c r="O620" s="15"/>
      <c r="P620" s="15"/>
      <c r="Q620" s="15"/>
      <c r="R620" s="15"/>
      <c r="S620" s="15"/>
      <c r="T620" s="15"/>
      <c r="U620" s="15"/>
      <c r="V620" s="15"/>
      <c r="W620" s="15"/>
      <c r="X620" s="15"/>
      <c r="Y620" s="15"/>
      <c r="Z620" s="15"/>
    </row>
    <row r="621" spans="1:26" ht="21" customHeight="1" x14ac:dyDescent="0.85">
      <c r="A621" s="15"/>
      <c r="B621" s="15"/>
      <c r="C621" s="15"/>
      <c r="D621" s="15"/>
      <c r="E621" s="15"/>
      <c r="F621" s="15"/>
      <c r="G621" s="15"/>
      <c r="H621" s="15"/>
      <c r="I621" s="15"/>
      <c r="J621" s="15"/>
      <c r="K621" s="15"/>
      <c r="L621" s="15"/>
      <c r="M621" s="15"/>
      <c r="N621" s="15"/>
      <c r="O621" s="15"/>
      <c r="P621" s="15"/>
      <c r="Q621" s="15"/>
      <c r="R621" s="15"/>
      <c r="S621" s="15"/>
      <c r="T621" s="15"/>
      <c r="U621" s="15"/>
      <c r="V621" s="15"/>
      <c r="W621" s="15"/>
      <c r="X621" s="15"/>
      <c r="Y621" s="15"/>
      <c r="Z621" s="15"/>
    </row>
    <row r="622" spans="1:26" ht="21" customHeight="1" x14ac:dyDescent="0.85">
      <c r="A622" s="15"/>
      <c r="B622" s="15"/>
      <c r="C622" s="15"/>
      <c r="D622" s="15"/>
      <c r="E622" s="15"/>
      <c r="F622" s="15"/>
      <c r="G622" s="15"/>
      <c r="H622" s="15"/>
      <c r="I622" s="15"/>
      <c r="J622" s="15"/>
      <c r="K622" s="15"/>
      <c r="L622" s="15"/>
      <c r="M622" s="15"/>
      <c r="N622" s="15"/>
      <c r="O622" s="15"/>
      <c r="P622" s="15"/>
      <c r="Q622" s="15"/>
      <c r="R622" s="15"/>
      <c r="S622" s="15"/>
      <c r="T622" s="15"/>
      <c r="U622" s="15"/>
      <c r="V622" s="15"/>
      <c r="W622" s="15"/>
      <c r="X622" s="15"/>
      <c r="Y622" s="15"/>
      <c r="Z622" s="15"/>
    </row>
    <row r="623" spans="1:26" ht="21" customHeight="1" x14ac:dyDescent="0.85">
      <c r="A623" s="15"/>
      <c r="B623" s="15"/>
      <c r="C623" s="15"/>
      <c r="D623" s="15"/>
      <c r="E623" s="15"/>
      <c r="F623" s="15"/>
      <c r="G623" s="15"/>
      <c r="H623" s="15"/>
      <c r="I623" s="15"/>
      <c r="J623" s="15"/>
      <c r="K623" s="15"/>
      <c r="L623" s="15"/>
      <c r="M623" s="15"/>
      <c r="N623" s="15"/>
      <c r="O623" s="15"/>
      <c r="P623" s="15"/>
      <c r="Q623" s="15"/>
      <c r="R623" s="15"/>
      <c r="S623" s="15"/>
      <c r="T623" s="15"/>
      <c r="U623" s="15"/>
      <c r="V623" s="15"/>
      <c r="W623" s="15"/>
      <c r="X623" s="15"/>
      <c r="Y623" s="15"/>
      <c r="Z623" s="15"/>
    </row>
    <row r="624" spans="1:26" ht="21" customHeight="1" x14ac:dyDescent="0.85">
      <c r="A624" s="15"/>
      <c r="B624" s="15"/>
      <c r="C624" s="15"/>
      <c r="D624" s="15"/>
      <c r="E624" s="15"/>
      <c r="F624" s="15"/>
      <c r="G624" s="15"/>
      <c r="H624" s="15"/>
      <c r="I624" s="15"/>
      <c r="J624" s="15"/>
      <c r="K624" s="15"/>
      <c r="L624" s="15"/>
      <c r="M624" s="15"/>
      <c r="N624" s="15"/>
      <c r="O624" s="15"/>
      <c r="P624" s="15"/>
      <c r="Q624" s="15"/>
      <c r="R624" s="15"/>
      <c r="S624" s="15"/>
      <c r="T624" s="15"/>
      <c r="U624" s="15"/>
      <c r="V624" s="15"/>
      <c r="W624" s="15"/>
      <c r="X624" s="15"/>
      <c r="Y624" s="15"/>
      <c r="Z624" s="15"/>
    </row>
    <row r="625" spans="1:26" ht="21" customHeight="1" x14ac:dyDescent="0.85">
      <c r="A625" s="15"/>
      <c r="B625" s="15"/>
      <c r="C625" s="15"/>
      <c r="D625" s="15"/>
      <c r="E625" s="15"/>
      <c r="F625" s="15"/>
      <c r="G625" s="15"/>
      <c r="H625" s="15"/>
      <c r="I625" s="15"/>
      <c r="J625" s="15"/>
      <c r="K625" s="15"/>
      <c r="L625" s="15"/>
      <c r="M625" s="15"/>
      <c r="N625" s="15"/>
      <c r="O625" s="15"/>
      <c r="P625" s="15"/>
      <c r="Q625" s="15"/>
      <c r="R625" s="15"/>
      <c r="S625" s="15"/>
      <c r="T625" s="15"/>
      <c r="U625" s="15"/>
      <c r="V625" s="15"/>
      <c r="W625" s="15"/>
      <c r="X625" s="15"/>
      <c r="Y625" s="15"/>
      <c r="Z625" s="15"/>
    </row>
    <row r="626" spans="1:26" ht="21" customHeight="1" x14ac:dyDescent="0.85">
      <c r="A626" s="15"/>
      <c r="B626" s="15"/>
      <c r="C626" s="15"/>
      <c r="D626" s="15"/>
      <c r="E626" s="15"/>
      <c r="F626" s="15"/>
      <c r="G626" s="15"/>
      <c r="H626" s="15"/>
      <c r="I626" s="15"/>
      <c r="J626" s="15"/>
      <c r="K626" s="15"/>
      <c r="L626" s="15"/>
      <c r="M626" s="15"/>
      <c r="N626" s="15"/>
      <c r="O626" s="15"/>
      <c r="P626" s="15"/>
      <c r="Q626" s="15"/>
      <c r="R626" s="15"/>
      <c r="S626" s="15"/>
      <c r="T626" s="15"/>
      <c r="U626" s="15"/>
      <c r="V626" s="15"/>
      <c r="W626" s="15"/>
      <c r="X626" s="15"/>
      <c r="Y626" s="15"/>
      <c r="Z626" s="15"/>
    </row>
    <row r="627" spans="1:26" ht="21" customHeight="1" x14ac:dyDescent="0.85">
      <c r="A627" s="15"/>
      <c r="B627" s="15"/>
      <c r="C627" s="15"/>
      <c r="D627" s="15"/>
      <c r="E627" s="15"/>
      <c r="F627" s="15"/>
      <c r="G627" s="15"/>
      <c r="H627" s="15"/>
      <c r="I627" s="15"/>
      <c r="J627" s="15"/>
      <c r="K627" s="15"/>
      <c r="L627" s="15"/>
      <c r="M627" s="15"/>
      <c r="N627" s="15"/>
      <c r="O627" s="15"/>
      <c r="P627" s="15"/>
      <c r="Q627" s="15"/>
      <c r="R627" s="15"/>
      <c r="S627" s="15"/>
      <c r="T627" s="15"/>
      <c r="U627" s="15"/>
      <c r="V627" s="15"/>
      <c r="W627" s="15"/>
      <c r="X627" s="15"/>
      <c r="Y627" s="15"/>
      <c r="Z627" s="15"/>
    </row>
    <row r="628" spans="1:26" ht="21" customHeight="1" x14ac:dyDescent="0.85">
      <c r="A628" s="15"/>
      <c r="B628" s="15"/>
      <c r="C628" s="15"/>
      <c r="D628" s="15"/>
      <c r="E628" s="15"/>
      <c r="F628" s="15"/>
      <c r="G628" s="15"/>
      <c r="H628" s="15"/>
      <c r="I628" s="15"/>
      <c r="J628" s="15"/>
      <c r="K628" s="15"/>
      <c r="L628" s="15"/>
      <c r="M628" s="15"/>
      <c r="N628" s="15"/>
      <c r="O628" s="15"/>
      <c r="P628" s="15"/>
      <c r="Q628" s="15"/>
      <c r="R628" s="15"/>
      <c r="S628" s="15"/>
      <c r="T628" s="15"/>
      <c r="U628" s="15"/>
      <c r="V628" s="15"/>
      <c r="W628" s="15"/>
      <c r="X628" s="15"/>
      <c r="Y628" s="15"/>
      <c r="Z628" s="15"/>
    </row>
    <row r="629" spans="1:26" ht="21" customHeight="1" x14ac:dyDescent="0.85">
      <c r="A629" s="15"/>
      <c r="B629" s="15"/>
      <c r="C629" s="15"/>
      <c r="D629" s="15"/>
      <c r="E629" s="15"/>
      <c r="F629" s="15"/>
      <c r="G629" s="15"/>
      <c r="H629" s="15"/>
      <c r="I629" s="15"/>
      <c r="J629" s="15"/>
      <c r="K629" s="15"/>
      <c r="L629" s="15"/>
      <c r="M629" s="15"/>
      <c r="N629" s="15"/>
      <c r="O629" s="15"/>
      <c r="P629" s="15"/>
      <c r="Q629" s="15"/>
      <c r="R629" s="15"/>
      <c r="S629" s="15"/>
      <c r="T629" s="15"/>
      <c r="U629" s="15"/>
      <c r="V629" s="15"/>
      <c r="W629" s="15"/>
      <c r="X629" s="15"/>
      <c r="Y629" s="15"/>
      <c r="Z629" s="15"/>
    </row>
    <row r="630" spans="1:26" ht="21" customHeight="1" x14ac:dyDescent="0.85">
      <c r="A630" s="15"/>
      <c r="B630" s="15"/>
      <c r="C630" s="15"/>
      <c r="D630" s="15"/>
      <c r="E630" s="15"/>
      <c r="F630" s="15"/>
      <c r="G630" s="15"/>
      <c r="H630" s="15"/>
      <c r="I630" s="15"/>
      <c r="J630" s="15"/>
      <c r="K630" s="15"/>
      <c r="L630" s="15"/>
      <c r="M630" s="15"/>
      <c r="N630" s="15"/>
      <c r="O630" s="15"/>
      <c r="P630" s="15"/>
      <c r="Q630" s="15"/>
      <c r="R630" s="15"/>
      <c r="S630" s="15"/>
      <c r="T630" s="15"/>
      <c r="U630" s="15"/>
      <c r="V630" s="15"/>
      <c r="W630" s="15"/>
      <c r="X630" s="15"/>
      <c r="Y630" s="15"/>
      <c r="Z630" s="15"/>
    </row>
    <row r="631" spans="1:26" ht="21" customHeight="1" x14ac:dyDescent="0.85">
      <c r="A631" s="15"/>
      <c r="B631" s="15"/>
      <c r="C631" s="15"/>
      <c r="D631" s="15"/>
      <c r="E631" s="15"/>
      <c r="F631" s="15"/>
      <c r="G631" s="15"/>
      <c r="H631" s="15"/>
      <c r="I631" s="15"/>
      <c r="J631" s="15"/>
      <c r="K631" s="15"/>
      <c r="L631" s="15"/>
      <c r="M631" s="15"/>
      <c r="N631" s="15"/>
      <c r="O631" s="15"/>
      <c r="P631" s="15"/>
      <c r="Q631" s="15"/>
      <c r="R631" s="15"/>
      <c r="S631" s="15"/>
      <c r="T631" s="15"/>
      <c r="U631" s="15"/>
      <c r="V631" s="15"/>
      <c r="W631" s="15"/>
      <c r="X631" s="15"/>
      <c r="Y631" s="15"/>
      <c r="Z631" s="15"/>
    </row>
    <row r="632" spans="1:26" ht="21" customHeight="1" x14ac:dyDescent="0.85">
      <c r="A632" s="15"/>
      <c r="B632" s="15"/>
      <c r="C632" s="15"/>
      <c r="D632" s="15"/>
      <c r="E632" s="15"/>
      <c r="F632" s="15"/>
      <c r="G632" s="15"/>
      <c r="H632" s="15"/>
      <c r="I632" s="15"/>
      <c r="J632" s="15"/>
      <c r="K632" s="15"/>
      <c r="L632" s="15"/>
      <c r="M632" s="15"/>
      <c r="N632" s="15"/>
      <c r="O632" s="15"/>
      <c r="P632" s="15"/>
      <c r="Q632" s="15"/>
      <c r="R632" s="15"/>
      <c r="S632" s="15"/>
      <c r="T632" s="15"/>
      <c r="U632" s="15"/>
      <c r="V632" s="15"/>
      <c r="W632" s="15"/>
      <c r="X632" s="15"/>
      <c r="Y632" s="15"/>
      <c r="Z632" s="15"/>
    </row>
    <row r="633" spans="1:26" ht="21" customHeight="1" x14ac:dyDescent="0.85">
      <c r="A633" s="15"/>
      <c r="B633" s="15"/>
      <c r="C633" s="15"/>
      <c r="D633" s="15"/>
      <c r="E633" s="15"/>
      <c r="F633" s="15"/>
      <c r="G633" s="15"/>
      <c r="H633" s="15"/>
      <c r="I633" s="15"/>
      <c r="J633" s="15"/>
      <c r="K633" s="15"/>
      <c r="L633" s="15"/>
      <c r="M633" s="15"/>
      <c r="N633" s="15"/>
      <c r="O633" s="15"/>
      <c r="P633" s="15"/>
      <c r="Q633" s="15"/>
      <c r="R633" s="15"/>
      <c r="S633" s="15"/>
      <c r="T633" s="15"/>
      <c r="U633" s="15"/>
      <c r="V633" s="15"/>
      <c r="W633" s="15"/>
      <c r="X633" s="15"/>
      <c r="Y633" s="15"/>
      <c r="Z633" s="15"/>
    </row>
    <row r="634" spans="1:26" ht="21" customHeight="1" x14ac:dyDescent="0.85">
      <c r="A634" s="15"/>
      <c r="B634" s="15"/>
      <c r="C634" s="15"/>
      <c r="D634" s="15"/>
      <c r="E634" s="15"/>
      <c r="F634" s="15"/>
      <c r="G634" s="15"/>
      <c r="H634" s="15"/>
      <c r="I634" s="15"/>
      <c r="J634" s="15"/>
      <c r="K634" s="15"/>
      <c r="L634" s="15"/>
      <c r="M634" s="15"/>
      <c r="N634" s="15"/>
      <c r="O634" s="15"/>
      <c r="P634" s="15"/>
      <c r="Q634" s="15"/>
      <c r="R634" s="15"/>
      <c r="S634" s="15"/>
      <c r="T634" s="15"/>
      <c r="U634" s="15"/>
      <c r="V634" s="15"/>
      <c r="W634" s="15"/>
      <c r="X634" s="15"/>
      <c r="Y634" s="15"/>
      <c r="Z634" s="15"/>
    </row>
    <row r="635" spans="1:26" ht="21" customHeight="1" x14ac:dyDescent="0.85">
      <c r="A635" s="15"/>
      <c r="B635" s="15"/>
      <c r="C635" s="15"/>
      <c r="D635" s="15"/>
      <c r="E635" s="15"/>
      <c r="F635" s="15"/>
      <c r="G635" s="15"/>
      <c r="H635" s="15"/>
      <c r="I635" s="15"/>
      <c r="J635" s="15"/>
      <c r="K635" s="15"/>
      <c r="L635" s="15"/>
      <c r="M635" s="15"/>
      <c r="N635" s="15"/>
      <c r="O635" s="15"/>
      <c r="P635" s="15"/>
      <c r="Q635" s="15"/>
      <c r="R635" s="15"/>
      <c r="S635" s="15"/>
      <c r="T635" s="15"/>
      <c r="U635" s="15"/>
      <c r="V635" s="15"/>
      <c r="W635" s="15"/>
      <c r="X635" s="15"/>
      <c r="Y635" s="15"/>
      <c r="Z635" s="15"/>
    </row>
    <row r="636" spans="1:26" ht="21" customHeight="1" x14ac:dyDescent="0.85">
      <c r="A636" s="15"/>
      <c r="B636" s="15"/>
      <c r="C636" s="15"/>
      <c r="D636" s="15"/>
      <c r="E636" s="15"/>
      <c r="F636" s="15"/>
      <c r="G636" s="15"/>
      <c r="H636" s="15"/>
      <c r="I636" s="15"/>
      <c r="J636" s="15"/>
      <c r="K636" s="15"/>
      <c r="L636" s="15"/>
      <c r="M636" s="15"/>
      <c r="N636" s="15"/>
      <c r="O636" s="15"/>
      <c r="P636" s="15"/>
      <c r="Q636" s="15"/>
      <c r="R636" s="15"/>
      <c r="S636" s="15"/>
      <c r="T636" s="15"/>
      <c r="U636" s="15"/>
      <c r="V636" s="15"/>
      <c r="W636" s="15"/>
      <c r="X636" s="15"/>
      <c r="Y636" s="15"/>
      <c r="Z636" s="15"/>
    </row>
    <row r="637" spans="1:26" ht="21" customHeight="1" x14ac:dyDescent="0.85">
      <c r="A637" s="15"/>
      <c r="B637" s="15"/>
      <c r="C637" s="15"/>
      <c r="D637" s="15"/>
      <c r="E637" s="15"/>
      <c r="F637" s="15"/>
      <c r="G637" s="15"/>
      <c r="H637" s="15"/>
      <c r="I637" s="15"/>
      <c r="J637" s="15"/>
      <c r="K637" s="15"/>
      <c r="L637" s="15"/>
      <c r="M637" s="15"/>
      <c r="N637" s="15"/>
      <c r="O637" s="15"/>
      <c r="P637" s="15"/>
      <c r="Q637" s="15"/>
      <c r="R637" s="15"/>
      <c r="S637" s="15"/>
      <c r="T637" s="15"/>
      <c r="U637" s="15"/>
      <c r="V637" s="15"/>
      <c r="W637" s="15"/>
      <c r="X637" s="15"/>
      <c r="Y637" s="15"/>
      <c r="Z637" s="15"/>
    </row>
    <row r="638" spans="1:26" ht="21" customHeight="1" x14ac:dyDescent="0.85">
      <c r="A638" s="15"/>
      <c r="B638" s="15"/>
      <c r="C638" s="15"/>
      <c r="D638" s="15"/>
      <c r="E638" s="15"/>
      <c r="F638" s="15"/>
      <c r="G638" s="15"/>
      <c r="H638" s="15"/>
      <c r="I638" s="15"/>
      <c r="J638" s="15"/>
      <c r="K638" s="15"/>
      <c r="L638" s="15"/>
      <c r="M638" s="15"/>
      <c r="N638" s="15"/>
      <c r="O638" s="15"/>
      <c r="P638" s="15"/>
      <c r="Q638" s="15"/>
      <c r="R638" s="15"/>
      <c r="S638" s="15"/>
      <c r="T638" s="15"/>
      <c r="U638" s="15"/>
      <c r="V638" s="15"/>
      <c r="W638" s="15"/>
      <c r="X638" s="15"/>
      <c r="Y638" s="15"/>
      <c r="Z638" s="15"/>
    </row>
    <row r="639" spans="1:26" ht="21" customHeight="1" x14ac:dyDescent="0.85">
      <c r="A639" s="15"/>
      <c r="B639" s="15"/>
      <c r="C639" s="15"/>
      <c r="D639" s="15"/>
      <c r="E639" s="15"/>
      <c r="F639" s="15"/>
      <c r="G639" s="15"/>
      <c r="H639" s="15"/>
      <c r="I639" s="15"/>
      <c r="J639" s="15"/>
      <c r="K639" s="15"/>
      <c r="L639" s="15"/>
      <c r="M639" s="15"/>
      <c r="N639" s="15"/>
      <c r="O639" s="15"/>
      <c r="P639" s="15"/>
      <c r="Q639" s="15"/>
      <c r="R639" s="15"/>
      <c r="S639" s="15"/>
      <c r="T639" s="15"/>
      <c r="U639" s="15"/>
      <c r="V639" s="15"/>
      <c r="W639" s="15"/>
      <c r="X639" s="15"/>
      <c r="Y639" s="15"/>
      <c r="Z639" s="15"/>
    </row>
    <row r="640" spans="1:26" ht="21" customHeight="1" x14ac:dyDescent="0.85">
      <c r="A640" s="15"/>
      <c r="B640" s="15"/>
      <c r="C640" s="15"/>
      <c r="D640" s="15"/>
      <c r="E640" s="15"/>
      <c r="F640" s="15"/>
      <c r="G640" s="15"/>
      <c r="H640" s="15"/>
      <c r="I640" s="15"/>
      <c r="J640" s="15"/>
      <c r="K640" s="15"/>
      <c r="L640" s="15"/>
      <c r="M640" s="15"/>
      <c r="N640" s="15"/>
      <c r="O640" s="15"/>
      <c r="P640" s="15"/>
      <c r="Q640" s="15"/>
      <c r="R640" s="15"/>
      <c r="S640" s="15"/>
      <c r="T640" s="15"/>
      <c r="U640" s="15"/>
      <c r="V640" s="15"/>
      <c r="W640" s="15"/>
      <c r="X640" s="15"/>
      <c r="Y640" s="15"/>
      <c r="Z640" s="15"/>
    </row>
    <row r="641" spans="1:26" ht="21" customHeight="1" x14ac:dyDescent="0.85">
      <c r="A641" s="15"/>
      <c r="B641" s="15"/>
      <c r="C641" s="15"/>
      <c r="D641" s="15"/>
      <c r="E641" s="15"/>
      <c r="F641" s="15"/>
      <c r="G641" s="15"/>
      <c r="H641" s="15"/>
      <c r="I641" s="15"/>
      <c r="J641" s="15"/>
      <c r="K641" s="15"/>
      <c r="L641" s="15"/>
      <c r="M641" s="15"/>
      <c r="N641" s="15"/>
      <c r="O641" s="15"/>
      <c r="P641" s="15"/>
      <c r="Q641" s="15"/>
      <c r="R641" s="15"/>
      <c r="S641" s="15"/>
      <c r="T641" s="15"/>
      <c r="U641" s="15"/>
      <c r="V641" s="15"/>
      <c r="W641" s="15"/>
      <c r="X641" s="15"/>
      <c r="Y641" s="15"/>
      <c r="Z641" s="15"/>
    </row>
    <row r="642" spans="1:26" ht="21" customHeight="1" x14ac:dyDescent="0.85">
      <c r="A642" s="15"/>
      <c r="B642" s="15"/>
      <c r="C642" s="15"/>
      <c r="D642" s="15"/>
      <c r="E642" s="15"/>
      <c r="F642" s="15"/>
      <c r="G642" s="15"/>
      <c r="H642" s="15"/>
      <c r="I642" s="15"/>
      <c r="J642" s="15"/>
      <c r="K642" s="15"/>
      <c r="L642" s="15"/>
      <c r="M642" s="15"/>
      <c r="N642" s="15"/>
      <c r="O642" s="15"/>
      <c r="P642" s="15"/>
      <c r="Q642" s="15"/>
      <c r="R642" s="15"/>
      <c r="S642" s="15"/>
      <c r="T642" s="15"/>
      <c r="U642" s="15"/>
      <c r="V642" s="15"/>
      <c r="W642" s="15"/>
      <c r="X642" s="15"/>
      <c r="Y642" s="15"/>
      <c r="Z642" s="15"/>
    </row>
    <row r="643" spans="1:26" ht="21" customHeight="1" x14ac:dyDescent="0.85">
      <c r="A643" s="15"/>
      <c r="B643" s="15"/>
      <c r="C643" s="15"/>
      <c r="D643" s="15"/>
      <c r="E643" s="15"/>
      <c r="F643" s="15"/>
      <c r="G643" s="15"/>
      <c r="H643" s="15"/>
      <c r="I643" s="15"/>
      <c r="J643" s="15"/>
      <c r="K643" s="15"/>
      <c r="L643" s="15"/>
      <c r="M643" s="15"/>
      <c r="N643" s="15"/>
      <c r="O643" s="15"/>
      <c r="P643" s="15"/>
      <c r="Q643" s="15"/>
      <c r="R643" s="15"/>
      <c r="S643" s="15"/>
      <c r="T643" s="15"/>
      <c r="U643" s="15"/>
      <c r="V643" s="15"/>
      <c r="W643" s="15"/>
      <c r="X643" s="15"/>
      <c r="Y643" s="15"/>
      <c r="Z643" s="15"/>
    </row>
    <row r="644" spans="1:26" ht="21" customHeight="1" x14ac:dyDescent="0.85">
      <c r="A644" s="15"/>
      <c r="B644" s="15"/>
      <c r="C644" s="15"/>
      <c r="D644" s="15"/>
      <c r="E644" s="15"/>
      <c r="F644" s="15"/>
      <c r="G644" s="15"/>
      <c r="H644" s="15"/>
      <c r="I644" s="15"/>
      <c r="J644" s="15"/>
      <c r="K644" s="15"/>
      <c r="L644" s="15"/>
      <c r="M644" s="15"/>
      <c r="N644" s="15"/>
      <c r="O644" s="15"/>
      <c r="P644" s="15"/>
      <c r="Q644" s="15"/>
      <c r="R644" s="15"/>
      <c r="S644" s="15"/>
      <c r="T644" s="15"/>
      <c r="U644" s="15"/>
      <c r="V644" s="15"/>
      <c r="W644" s="15"/>
      <c r="X644" s="15"/>
      <c r="Y644" s="15"/>
      <c r="Z644" s="15"/>
    </row>
    <row r="645" spans="1:26" ht="21" customHeight="1" x14ac:dyDescent="0.85">
      <c r="A645" s="15"/>
      <c r="B645" s="15"/>
      <c r="C645" s="15"/>
      <c r="D645" s="15"/>
      <c r="E645" s="15"/>
      <c r="F645" s="15"/>
      <c r="G645" s="15"/>
      <c r="H645" s="15"/>
      <c r="I645" s="15"/>
      <c r="J645" s="15"/>
      <c r="K645" s="15"/>
      <c r="L645" s="15"/>
      <c r="M645" s="15"/>
      <c r="N645" s="15"/>
      <c r="O645" s="15"/>
      <c r="P645" s="15"/>
      <c r="Q645" s="15"/>
      <c r="R645" s="15"/>
      <c r="S645" s="15"/>
      <c r="T645" s="15"/>
      <c r="U645" s="15"/>
      <c r="V645" s="15"/>
      <c r="W645" s="15"/>
      <c r="X645" s="15"/>
      <c r="Y645" s="15"/>
      <c r="Z645" s="15"/>
    </row>
    <row r="646" spans="1:26" ht="21" customHeight="1" x14ac:dyDescent="0.85">
      <c r="A646" s="15"/>
      <c r="B646" s="15"/>
      <c r="C646" s="15"/>
      <c r="D646" s="15"/>
      <c r="E646" s="15"/>
      <c r="F646" s="15"/>
      <c r="G646" s="15"/>
      <c r="H646" s="15"/>
      <c r="I646" s="15"/>
      <c r="J646" s="15"/>
      <c r="K646" s="15"/>
      <c r="L646" s="15"/>
      <c r="M646" s="15"/>
      <c r="N646" s="15"/>
      <c r="O646" s="15"/>
      <c r="P646" s="15"/>
      <c r="Q646" s="15"/>
      <c r="R646" s="15"/>
      <c r="S646" s="15"/>
      <c r="T646" s="15"/>
      <c r="U646" s="15"/>
      <c r="V646" s="15"/>
      <c r="W646" s="15"/>
      <c r="X646" s="15"/>
      <c r="Y646" s="15"/>
      <c r="Z646" s="15"/>
    </row>
    <row r="647" spans="1:26" ht="21" customHeight="1" x14ac:dyDescent="0.85">
      <c r="A647" s="15"/>
      <c r="B647" s="15"/>
      <c r="C647" s="15"/>
      <c r="D647" s="15"/>
      <c r="E647" s="15"/>
      <c r="F647" s="15"/>
      <c r="G647" s="15"/>
      <c r="H647" s="15"/>
      <c r="I647" s="15"/>
      <c r="J647" s="15"/>
      <c r="K647" s="15"/>
      <c r="L647" s="15"/>
      <c r="M647" s="15"/>
      <c r="N647" s="15"/>
      <c r="O647" s="15"/>
      <c r="P647" s="15"/>
      <c r="Q647" s="15"/>
      <c r="R647" s="15"/>
      <c r="S647" s="15"/>
      <c r="T647" s="15"/>
      <c r="U647" s="15"/>
      <c r="V647" s="15"/>
      <c r="W647" s="15"/>
      <c r="X647" s="15"/>
      <c r="Y647" s="15"/>
      <c r="Z647" s="15"/>
    </row>
    <row r="648" spans="1:26" ht="21" customHeight="1" x14ac:dyDescent="0.85">
      <c r="A648" s="15"/>
      <c r="B648" s="15"/>
      <c r="C648" s="15"/>
      <c r="D648" s="15"/>
      <c r="E648" s="15"/>
      <c r="F648" s="15"/>
      <c r="G648" s="15"/>
      <c r="H648" s="15"/>
      <c r="I648" s="15"/>
      <c r="J648" s="15"/>
      <c r="K648" s="15"/>
      <c r="L648" s="15"/>
      <c r="M648" s="15"/>
      <c r="N648" s="15"/>
      <c r="O648" s="15"/>
      <c r="P648" s="15"/>
      <c r="Q648" s="15"/>
      <c r="R648" s="15"/>
      <c r="S648" s="15"/>
      <c r="T648" s="15"/>
      <c r="U648" s="15"/>
      <c r="V648" s="15"/>
      <c r="W648" s="15"/>
      <c r="X648" s="15"/>
      <c r="Y648" s="15"/>
      <c r="Z648" s="15"/>
    </row>
    <row r="649" spans="1:26" ht="21" customHeight="1" x14ac:dyDescent="0.85">
      <c r="A649" s="15"/>
      <c r="B649" s="15"/>
      <c r="C649" s="15"/>
      <c r="D649" s="15"/>
      <c r="E649" s="15"/>
      <c r="F649" s="15"/>
      <c r="G649" s="15"/>
      <c r="H649" s="15"/>
      <c r="I649" s="15"/>
      <c r="J649" s="15"/>
      <c r="K649" s="15"/>
      <c r="L649" s="15"/>
      <c r="M649" s="15"/>
      <c r="N649" s="15"/>
      <c r="O649" s="15"/>
      <c r="P649" s="15"/>
      <c r="Q649" s="15"/>
      <c r="R649" s="15"/>
      <c r="S649" s="15"/>
      <c r="T649" s="15"/>
      <c r="U649" s="15"/>
      <c r="V649" s="15"/>
      <c r="W649" s="15"/>
      <c r="X649" s="15"/>
      <c r="Y649" s="15"/>
      <c r="Z649" s="15"/>
    </row>
    <row r="650" spans="1:26" ht="21" customHeight="1" x14ac:dyDescent="0.85">
      <c r="A650" s="15"/>
      <c r="B650" s="15"/>
      <c r="C650" s="15"/>
      <c r="D650" s="15"/>
      <c r="E650" s="15"/>
      <c r="F650" s="15"/>
      <c r="G650" s="15"/>
      <c r="H650" s="15"/>
      <c r="I650" s="15"/>
      <c r="J650" s="15"/>
      <c r="K650" s="15"/>
      <c r="L650" s="15"/>
      <c r="M650" s="15"/>
      <c r="N650" s="15"/>
      <c r="O650" s="15"/>
      <c r="P650" s="15"/>
      <c r="Q650" s="15"/>
      <c r="R650" s="15"/>
      <c r="S650" s="15"/>
      <c r="T650" s="15"/>
      <c r="U650" s="15"/>
      <c r="V650" s="15"/>
      <c r="W650" s="15"/>
      <c r="X650" s="15"/>
      <c r="Y650" s="15"/>
      <c r="Z650" s="15"/>
    </row>
    <row r="651" spans="1:26" ht="21" customHeight="1" x14ac:dyDescent="0.85">
      <c r="A651" s="15"/>
      <c r="B651" s="15"/>
      <c r="C651" s="15"/>
      <c r="D651" s="15"/>
      <c r="E651" s="15"/>
      <c r="F651" s="15"/>
      <c r="G651" s="15"/>
      <c r="H651" s="15"/>
      <c r="I651" s="15"/>
      <c r="J651" s="15"/>
      <c r="K651" s="15"/>
      <c r="L651" s="15"/>
      <c r="M651" s="15"/>
      <c r="N651" s="15"/>
      <c r="O651" s="15"/>
      <c r="P651" s="15"/>
      <c r="Q651" s="15"/>
      <c r="R651" s="15"/>
      <c r="S651" s="15"/>
      <c r="T651" s="15"/>
      <c r="U651" s="15"/>
      <c r="V651" s="15"/>
      <c r="W651" s="15"/>
      <c r="X651" s="15"/>
      <c r="Y651" s="15"/>
      <c r="Z651" s="15"/>
    </row>
    <row r="652" spans="1:26" ht="21" customHeight="1" x14ac:dyDescent="0.85">
      <c r="A652" s="15"/>
      <c r="B652" s="15"/>
      <c r="C652" s="15"/>
      <c r="D652" s="15"/>
      <c r="E652" s="15"/>
      <c r="F652" s="15"/>
      <c r="G652" s="15"/>
      <c r="H652" s="15"/>
      <c r="I652" s="15"/>
      <c r="J652" s="15"/>
      <c r="K652" s="15"/>
      <c r="L652" s="15"/>
      <c r="M652" s="15"/>
      <c r="N652" s="15"/>
      <c r="O652" s="15"/>
      <c r="P652" s="15"/>
      <c r="Q652" s="15"/>
      <c r="R652" s="15"/>
      <c r="S652" s="15"/>
      <c r="T652" s="15"/>
      <c r="U652" s="15"/>
      <c r="V652" s="15"/>
      <c r="W652" s="15"/>
      <c r="X652" s="15"/>
      <c r="Y652" s="15"/>
      <c r="Z652" s="15"/>
    </row>
    <row r="653" spans="1:26" ht="21" customHeight="1" x14ac:dyDescent="0.85">
      <c r="A653" s="15"/>
      <c r="B653" s="15"/>
      <c r="C653" s="15"/>
      <c r="D653" s="15"/>
      <c r="E653" s="15"/>
      <c r="F653" s="15"/>
      <c r="G653" s="15"/>
      <c r="H653" s="15"/>
      <c r="I653" s="15"/>
      <c r="J653" s="15"/>
      <c r="K653" s="15"/>
      <c r="L653" s="15"/>
      <c r="M653" s="15"/>
      <c r="N653" s="15"/>
      <c r="O653" s="15"/>
      <c r="P653" s="15"/>
      <c r="Q653" s="15"/>
      <c r="R653" s="15"/>
      <c r="S653" s="15"/>
      <c r="T653" s="15"/>
      <c r="U653" s="15"/>
      <c r="V653" s="15"/>
      <c r="W653" s="15"/>
      <c r="X653" s="15"/>
      <c r="Y653" s="15"/>
      <c r="Z653" s="15"/>
    </row>
    <row r="654" spans="1:26" ht="21" customHeight="1" x14ac:dyDescent="0.85">
      <c r="A654" s="15"/>
      <c r="B654" s="15"/>
      <c r="C654" s="15"/>
      <c r="D654" s="15"/>
      <c r="E654" s="15"/>
      <c r="F654" s="15"/>
      <c r="G654" s="15"/>
      <c r="H654" s="15"/>
      <c r="I654" s="15"/>
      <c r="J654" s="15"/>
      <c r="K654" s="15"/>
      <c r="L654" s="15"/>
      <c r="M654" s="15"/>
      <c r="N654" s="15"/>
      <c r="O654" s="15"/>
      <c r="P654" s="15"/>
      <c r="Q654" s="15"/>
      <c r="R654" s="15"/>
      <c r="S654" s="15"/>
      <c r="T654" s="15"/>
      <c r="U654" s="15"/>
      <c r="V654" s="15"/>
      <c r="W654" s="15"/>
      <c r="X654" s="15"/>
      <c r="Y654" s="15"/>
      <c r="Z654" s="15"/>
    </row>
    <row r="655" spans="1:26" ht="21" customHeight="1" x14ac:dyDescent="0.85">
      <c r="A655" s="15"/>
      <c r="B655" s="15"/>
      <c r="C655" s="15"/>
      <c r="D655" s="15"/>
      <c r="E655" s="15"/>
      <c r="F655" s="15"/>
      <c r="G655" s="15"/>
      <c r="H655" s="15"/>
      <c r="I655" s="15"/>
      <c r="J655" s="15"/>
      <c r="K655" s="15"/>
      <c r="L655" s="15"/>
      <c r="M655" s="15"/>
      <c r="N655" s="15"/>
      <c r="O655" s="15"/>
      <c r="P655" s="15"/>
      <c r="Q655" s="15"/>
      <c r="R655" s="15"/>
      <c r="S655" s="15"/>
      <c r="T655" s="15"/>
      <c r="U655" s="15"/>
      <c r="V655" s="15"/>
      <c r="W655" s="15"/>
      <c r="X655" s="15"/>
      <c r="Y655" s="15"/>
      <c r="Z655" s="15"/>
    </row>
    <row r="656" spans="1:26" ht="21" customHeight="1" x14ac:dyDescent="0.85">
      <c r="A656" s="15"/>
      <c r="B656" s="15"/>
      <c r="C656" s="15"/>
      <c r="D656" s="15"/>
      <c r="E656" s="15"/>
      <c r="F656" s="15"/>
      <c r="G656" s="15"/>
      <c r="H656" s="15"/>
      <c r="I656" s="15"/>
      <c r="J656" s="15"/>
      <c r="K656" s="15"/>
      <c r="L656" s="15"/>
      <c r="M656" s="15"/>
      <c r="N656" s="15"/>
      <c r="O656" s="15"/>
      <c r="P656" s="15"/>
      <c r="Q656" s="15"/>
      <c r="R656" s="15"/>
      <c r="S656" s="15"/>
      <c r="T656" s="15"/>
      <c r="U656" s="15"/>
      <c r="V656" s="15"/>
      <c r="W656" s="15"/>
      <c r="X656" s="15"/>
      <c r="Y656" s="15"/>
      <c r="Z656" s="15"/>
    </row>
    <row r="657" spans="1:26" ht="21" customHeight="1" x14ac:dyDescent="0.85">
      <c r="A657" s="15"/>
      <c r="B657" s="15"/>
      <c r="C657" s="15"/>
      <c r="D657" s="15"/>
      <c r="E657" s="15"/>
      <c r="F657" s="15"/>
      <c r="G657" s="15"/>
      <c r="H657" s="15"/>
      <c r="I657" s="15"/>
      <c r="J657" s="15"/>
      <c r="K657" s="15"/>
      <c r="L657" s="15"/>
      <c r="M657" s="15"/>
      <c r="N657" s="15"/>
      <c r="O657" s="15"/>
      <c r="P657" s="15"/>
      <c r="Q657" s="15"/>
      <c r="R657" s="15"/>
      <c r="S657" s="15"/>
      <c r="T657" s="15"/>
      <c r="U657" s="15"/>
      <c r="V657" s="15"/>
      <c r="W657" s="15"/>
      <c r="X657" s="15"/>
      <c r="Y657" s="15"/>
      <c r="Z657" s="15"/>
    </row>
    <row r="658" spans="1:26" ht="21" customHeight="1" x14ac:dyDescent="0.85">
      <c r="A658" s="15"/>
      <c r="B658" s="15"/>
      <c r="C658" s="15"/>
      <c r="D658" s="15"/>
      <c r="E658" s="15"/>
      <c r="F658" s="15"/>
      <c r="G658" s="15"/>
      <c r="H658" s="15"/>
      <c r="I658" s="15"/>
      <c r="J658" s="15"/>
      <c r="K658" s="15"/>
      <c r="L658" s="15"/>
      <c r="M658" s="15"/>
      <c r="N658" s="15"/>
      <c r="O658" s="15"/>
      <c r="P658" s="15"/>
      <c r="Q658" s="15"/>
      <c r="R658" s="15"/>
      <c r="S658" s="15"/>
      <c r="T658" s="15"/>
      <c r="U658" s="15"/>
      <c r="V658" s="15"/>
      <c r="W658" s="15"/>
      <c r="X658" s="15"/>
      <c r="Y658" s="15"/>
      <c r="Z658" s="15"/>
    </row>
    <row r="659" spans="1:26" ht="21" customHeight="1" x14ac:dyDescent="0.85">
      <c r="A659" s="15"/>
      <c r="B659" s="15"/>
      <c r="C659" s="15"/>
      <c r="D659" s="15"/>
      <c r="E659" s="15"/>
      <c r="F659" s="15"/>
      <c r="G659" s="15"/>
      <c r="H659" s="15"/>
      <c r="I659" s="15"/>
      <c r="J659" s="15"/>
      <c r="K659" s="15"/>
      <c r="L659" s="15"/>
      <c r="M659" s="15"/>
      <c r="N659" s="15"/>
      <c r="O659" s="15"/>
      <c r="P659" s="15"/>
      <c r="Q659" s="15"/>
      <c r="R659" s="15"/>
      <c r="S659" s="15"/>
      <c r="T659" s="15"/>
      <c r="U659" s="15"/>
      <c r="V659" s="15"/>
      <c r="W659" s="15"/>
      <c r="X659" s="15"/>
      <c r="Y659" s="15"/>
      <c r="Z659" s="15"/>
    </row>
    <row r="660" spans="1:26" ht="21" customHeight="1" x14ac:dyDescent="0.85">
      <c r="A660" s="15"/>
      <c r="B660" s="15"/>
      <c r="C660" s="15"/>
      <c r="D660" s="15"/>
      <c r="E660" s="15"/>
      <c r="F660" s="15"/>
      <c r="G660" s="15"/>
      <c r="H660" s="15"/>
      <c r="I660" s="15"/>
      <c r="J660" s="15"/>
      <c r="K660" s="15"/>
      <c r="L660" s="15"/>
      <c r="M660" s="15"/>
      <c r="N660" s="15"/>
      <c r="O660" s="15"/>
      <c r="P660" s="15"/>
      <c r="Q660" s="15"/>
      <c r="R660" s="15"/>
      <c r="S660" s="15"/>
      <c r="T660" s="15"/>
      <c r="U660" s="15"/>
      <c r="V660" s="15"/>
      <c r="W660" s="15"/>
      <c r="X660" s="15"/>
      <c r="Y660" s="15"/>
      <c r="Z660" s="15"/>
    </row>
    <row r="661" spans="1:26" ht="21" customHeight="1" x14ac:dyDescent="0.85">
      <c r="A661" s="15"/>
      <c r="B661" s="15"/>
      <c r="C661" s="15"/>
      <c r="D661" s="15"/>
      <c r="E661" s="15"/>
      <c r="F661" s="15"/>
      <c r="G661" s="15"/>
      <c r="H661" s="15"/>
      <c r="I661" s="15"/>
      <c r="J661" s="15"/>
      <c r="K661" s="15"/>
      <c r="L661" s="15"/>
      <c r="M661" s="15"/>
      <c r="N661" s="15"/>
      <c r="O661" s="15"/>
      <c r="P661" s="15"/>
      <c r="Q661" s="15"/>
      <c r="R661" s="15"/>
      <c r="S661" s="15"/>
      <c r="T661" s="15"/>
      <c r="U661" s="15"/>
      <c r="V661" s="15"/>
      <c r="W661" s="15"/>
      <c r="X661" s="15"/>
      <c r="Y661" s="15"/>
      <c r="Z661" s="15"/>
    </row>
    <row r="662" spans="1:26" ht="21" customHeight="1" x14ac:dyDescent="0.85">
      <c r="A662" s="15"/>
      <c r="B662" s="15"/>
      <c r="C662" s="15"/>
      <c r="D662" s="15"/>
      <c r="E662" s="15"/>
      <c r="F662" s="15"/>
      <c r="G662" s="15"/>
      <c r="H662" s="15"/>
      <c r="I662" s="15"/>
      <c r="J662" s="15"/>
      <c r="K662" s="15"/>
      <c r="L662" s="15"/>
      <c r="M662" s="15"/>
      <c r="N662" s="15"/>
      <c r="O662" s="15"/>
      <c r="P662" s="15"/>
      <c r="Q662" s="15"/>
      <c r="R662" s="15"/>
      <c r="S662" s="15"/>
      <c r="T662" s="15"/>
      <c r="U662" s="15"/>
      <c r="V662" s="15"/>
      <c r="W662" s="15"/>
      <c r="X662" s="15"/>
      <c r="Y662" s="15"/>
      <c r="Z662" s="15"/>
    </row>
    <row r="663" spans="1:26" ht="21" customHeight="1" x14ac:dyDescent="0.85">
      <c r="A663" s="15"/>
      <c r="B663" s="15"/>
      <c r="C663" s="15"/>
      <c r="D663" s="15"/>
      <c r="E663" s="15"/>
      <c r="F663" s="15"/>
      <c r="G663" s="15"/>
      <c r="H663" s="15"/>
      <c r="I663" s="15"/>
      <c r="J663" s="15"/>
      <c r="K663" s="15"/>
      <c r="L663" s="15"/>
      <c r="M663" s="15"/>
      <c r="N663" s="15"/>
      <c r="O663" s="15"/>
      <c r="P663" s="15"/>
      <c r="Q663" s="15"/>
      <c r="R663" s="15"/>
      <c r="S663" s="15"/>
      <c r="T663" s="15"/>
      <c r="U663" s="15"/>
      <c r="V663" s="15"/>
      <c r="W663" s="15"/>
      <c r="X663" s="15"/>
      <c r="Y663" s="15"/>
      <c r="Z663" s="15"/>
    </row>
    <row r="664" spans="1:26" ht="21" customHeight="1" x14ac:dyDescent="0.85">
      <c r="A664" s="15"/>
      <c r="B664" s="15"/>
      <c r="C664" s="15"/>
      <c r="D664" s="15"/>
      <c r="E664" s="15"/>
      <c r="F664" s="15"/>
      <c r="G664" s="15"/>
      <c r="H664" s="15"/>
      <c r="I664" s="15"/>
      <c r="J664" s="15"/>
      <c r="K664" s="15"/>
      <c r="L664" s="15"/>
      <c r="M664" s="15"/>
      <c r="N664" s="15"/>
      <c r="O664" s="15"/>
      <c r="P664" s="15"/>
      <c r="Q664" s="15"/>
      <c r="R664" s="15"/>
      <c r="S664" s="15"/>
      <c r="T664" s="15"/>
      <c r="U664" s="15"/>
      <c r="V664" s="15"/>
      <c r="W664" s="15"/>
      <c r="X664" s="15"/>
      <c r="Y664" s="15"/>
      <c r="Z664" s="15"/>
    </row>
    <row r="665" spans="1:26" ht="21" customHeight="1" x14ac:dyDescent="0.85">
      <c r="A665" s="15"/>
      <c r="B665" s="15"/>
      <c r="C665" s="15"/>
      <c r="D665" s="15"/>
      <c r="E665" s="15"/>
      <c r="F665" s="15"/>
      <c r="G665" s="15"/>
      <c r="H665" s="15"/>
      <c r="I665" s="15"/>
      <c r="J665" s="15"/>
      <c r="K665" s="15"/>
      <c r="L665" s="15"/>
      <c r="M665" s="15"/>
      <c r="N665" s="15"/>
      <c r="O665" s="15"/>
      <c r="P665" s="15"/>
      <c r="Q665" s="15"/>
      <c r="R665" s="15"/>
      <c r="S665" s="15"/>
      <c r="T665" s="15"/>
      <c r="U665" s="15"/>
      <c r="V665" s="15"/>
      <c r="W665" s="15"/>
      <c r="X665" s="15"/>
      <c r="Y665" s="15"/>
      <c r="Z665" s="15"/>
    </row>
    <row r="666" spans="1:26" ht="21" customHeight="1" x14ac:dyDescent="0.85">
      <c r="A666" s="15"/>
      <c r="B666" s="15"/>
      <c r="C666" s="15"/>
      <c r="D666" s="15"/>
      <c r="E666" s="15"/>
      <c r="F666" s="15"/>
      <c r="G666" s="15"/>
      <c r="H666" s="15"/>
      <c r="I666" s="15"/>
      <c r="J666" s="15"/>
      <c r="K666" s="15"/>
      <c r="L666" s="15"/>
      <c r="M666" s="15"/>
      <c r="N666" s="15"/>
      <c r="O666" s="15"/>
      <c r="P666" s="15"/>
      <c r="Q666" s="15"/>
      <c r="R666" s="15"/>
      <c r="S666" s="15"/>
      <c r="T666" s="15"/>
      <c r="U666" s="15"/>
      <c r="V666" s="15"/>
      <c r="W666" s="15"/>
      <c r="X666" s="15"/>
      <c r="Y666" s="15"/>
      <c r="Z666" s="15"/>
    </row>
    <row r="667" spans="1:26" ht="21" customHeight="1" x14ac:dyDescent="0.85">
      <c r="A667" s="15"/>
      <c r="B667" s="15"/>
      <c r="C667" s="15"/>
      <c r="D667" s="15"/>
      <c r="E667" s="15"/>
      <c r="F667" s="15"/>
      <c r="G667" s="15"/>
      <c r="H667" s="15"/>
      <c r="I667" s="15"/>
      <c r="J667" s="15"/>
      <c r="K667" s="15"/>
      <c r="L667" s="15"/>
      <c r="M667" s="15"/>
      <c r="N667" s="15"/>
      <c r="O667" s="15"/>
      <c r="P667" s="15"/>
      <c r="Q667" s="15"/>
      <c r="R667" s="15"/>
      <c r="S667" s="15"/>
      <c r="T667" s="15"/>
      <c r="U667" s="15"/>
      <c r="V667" s="15"/>
      <c r="W667" s="15"/>
      <c r="X667" s="15"/>
      <c r="Y667" s="15"/>
      <c r="Z667" s="15"/>
    </row>
    <row r="668" spans="1:26" ht="21" customHeight="1" x14ac:dyDescent="0.85">
      <c r="A668" s="15"/>
      <c r="B668" s="15"/>
      <c r="C668" s="15"/>
      <c r="D668" s="15"/>
      <c r="E668" s="15"/>
      <c r="F668" s="15"/>
      <c r="G668" s="15"/>
      <c r="H668" s="15"/>
      <c r="I668" s="15"/>
      <c r="J668" s="15"/>
      <c r="K668" s="15"/>
      <c r="L668" s="15"/>
      <c r="M668" s="15"/>
      <c r="N668" s="15"/>
      <c r="O668" s="15"/>
      <c r="P668" s="15"/>
      <c r="Q668" s="15"/>
      <c r="R668" s="15"/>
      <c r="S668" s="15"/>
      <c r="T668" s="15"/>
      <c r="U668" s="15"/>
      <c r="V668" s="15"/>
      <c r="W668" s="15"/>
      <c r="X668" s="15"/>
      <c r="Y668" s="15"/>
      <c r="Z668" s="15"/>
    </row>
    <row r="669" spans="1:26" ht="21" customHeight="1" x14ac:dyDescent="0.85">
      <c r="A669" s="15"/>
      <c r="B669" s="15"/>
      <c r="C669" s="15"/>
      <c r="D669" s="15"/>
      <c r="E669" s="15"/>
      <c r="F669" s="15"/>
      <c r="G669" s="15"/>
      <c r="H669" s="15"/>
      <c r="I669" s="15"/>
      <c r="J669" s="15"/>
      <c r="K669" s="15"/>
      <c r="L669" s="15"/>
      <c r="M669" s="15"/>
      <c r="N669" s="15"/>
      <c r="O669" s="15"/>
      <c r="P669" s="15"/>
      <c r="Q669" s="15"/>
      <c r="R669" s="15"/>
      <c r="S669" s="15"/>
      <c r="T669" s="15"/>
      <c r="U669" s="15"/>
      <c r="V669" s="15"/>
      <c r="W669" s="15"/>
      <c r="X669" s="15"/>
      <c r="Y669" s="15"/>
      <c r="Z669" s="15"/>
    </row>
    <row r="670" spans="1:26" ht="21" customHeight="1" x14ac:dyDescent="0.85">
      <c r="A670" s="15"/>
      <c r="B670" s="15"/>
      <c r="C670" s="15"/>
      <c r="D670" s="15"/>
      <c r="E670" s="15"/>
      <c r="F670" s="15"/>
      <c r="G670" s="15"/>
      <c r="H670" s="15"/>
      <c r="I670" s="15"/>
      <c r="J670" s="15"/>
      <c r="K670" s="15"/>
      <c r="L670" s="15"/>
      <c r="M670" s="15"/>
      <c r="N670" s="15"/>
      <c r="O670" s="15"/>
      <c r="P670" s="15"/>
      <c r="Q670" s="15"/>
      <c r="R670" s="15"/>
      <c r="S670" s="15"/>
      <c r="T670" s="15"/>
      <c r="U670" s="15"/>
      <c r="V670" s="15"/>
      <c r="W670" s="15"/>
      <c r="X670" s="15"/>
      <c r="Y670" s="15"/>
      <c r="Z670" s="15"/>
    </row>
    <row r="671" spans="1:26" ht="21" customHeight="1" x14ac:dyDescent="0.85">
      <c r="A671" s="15"/>
      <c r="B671" s="15"/>
      <c r="C671" s="15"/>
      <c r="D671" s="15"/>
      <c r="E671" s="15"/>
      <c r="F671" s="15"/>
      <c r="G671" s="15"/>
      <c r="H671" s="15"/>
      <c r="I671" s="15"/>
      <c r="J671" s="15"/>
      <c r="K671" s="15"/>
      <c r="L671" s="15"/>
      <c r="M671" s="15"/>
      <c r="N671" s="15"/>
      <c r="O671" s="15"/>
      <c r="P671" s="15"/>
      <c r="Q671" s="15"/>
      <c r="R671" s="15"/>
      <c r="S671" s="15"/>
      <c r="T671" s="15"/>
      <c r="U671" s="15"/>
      <c r="V671" s="15"/>
      <c r="W671" s="15"/>
      <c r="X671" s="15"/>
      <c r="Y671" s="15"/>
      <c r="Z671" s="15"/>
    </row>
    <row r="672" spans="1:26" ht="21" customHeight="1" x14ac:dyDescent="0.85">
      <c r="A672" s="15"/>
      <c r="B672" s="15"/>
      <c r="C672" s="15"/>
      <c r="D672" s="15"/>
      <c r="E672" s="15"/>
      <c r="F672" s="15"/>
      <c r="G672" s="15"/>
      <c r="H672" s="15"/>
      <c r="I672" s="15"/>
      <c r="J672" s="15"/>
      <c r="K672" s="15"/>
      <c r="L672" s="15"/>
      <c r="M672" s="15"/>
      <c r="N672" s="15"/>
      <c r="O672" s="15"/>
      <c r="P672" s="15"/>
      <c r="Q672" s="15"/>
      <c r="R672" s="15"/>
      <c r="S672" s="15"/>
      <c r="T672" s="15"/>
      <c r="U672" s="15"/>
      <c r="V672" s="15"/>
      <c r="W672" s="15"/>
      <c r="X672" s="15"/>
      <c r="Y672" s="15"/>
      <c r="Z672" s="15"/>
    </row>
    <row r="673" spans="1:26" ht="21" customHeight="1" x14ac:dyDescent="0.85">
      <c r="A673" s="15"/>
      <c r="B673" s="15"/>
      <c r="C673" s="15"/>
      <c r="D673" s="15"/>
      <c r="E673" s="15"/>
      <c r="F673" s="15"/>
      <c r="G673" s="15"/>
      <c r="H673" s="15"/>
      <c r="I673" s="15"/>
      <c r="J673" s="15"/>
      <c r="K673" s="15"/>
      <c r="L673" s="15"/>
      <c r="M673" s="15"/>
      <c r="N673" s="15"/>
      <c r="O673" s="15"/>
      <c r="P673" s="15"/>
      <c r="Q673" s="15"/>
      <c r="R673" s="15"/>
      <c r="S673" s="15"/>
      <c r="T673" s="15"/>
      <c r="U673" s="15"/>
      <c r="V673" s="15"/>
      <c r="W673" s="15"/>
      <c r="X673" s="15"/>
      <c r="Y673" s="15"/>
      <c r="Z673" s="15"/>
    </row>
    <row r="674" spans="1:26" ht="21" customHeight="1" x14ac:dyDescent="0.85">
      <c r="A674" s="15"/>
      <c r="B674" s="15"/>
      <c r="C674" s="15"/>
      <c r="D674" s="15"/>
      <c r="E674" s="15"/>
      <c r="F674" s="15"/>
      <c r="G674" s="15"/>
      <c r="H674" s="15"/>
      <c r="I674" s="15"/>
      <c r="J674" s="15"/>
      <c r="K674" s="15"/>
      <c r="L674" s="15"/>
      <c r="M674" s="15"/>
      <c r="N674" s="15"/>
      <c r="O674" s="15"/>
      <c r="P674" s="15"/>
      <c r="Q674" s="15"/>
      <c r="R674" s="15"/>
      <c r="S674" s="15"/>
      <c r="T674" s="15"/>
      <c r="U674" s="15"/>
      <c r="V674" s="15"/>
      <c r="W674" s="15"/>
      <c r="X674" s="15"/>
      <c r="Y674" s="15"/>
      <c r="Z674" s="15"/>
    </row>
    <row r="675" spans="1:26" ht="21" customHeight="1" x14ac:dyDescent="0.85">
      <c r="A675" s="15"/>
      <c r="B675" s="15"/>
      <c r="C675" s="15"/>
      <c r="D675" s="15"/>
      <c r="E675" s="15"/>
      <c r="F675" s="15"/>
      <c r="G675" s="15"/>
      <c r="H675" s="15"/>
      <c r="I675" s="15"/>
      <c r="J675" s="15"/>
      <c r="K675" s="15"/>
      <c r="L675" s="15"/>
      <c r="M675" s="15"/>
      <c r="N675" s="15"/>
      <c r="O675" s="15"/>
      <c r="P675" s="15"/>
      <c r="Q675" s="15"/>
      <c r="R675" s="15"/>
      <c r="S675" s="15"/>
      <c r="T675" s="15"/>
      <c r="U675" s="15"/>
      <c r="V675" s="15"/>
      <c r="W675" s="15"/>
      <c r="X675" s="15"/>
      <c r="Y675" s="15"/>
      <c r="Z675" s="15"/>
    </row>
    <row r="676" spans="1:26" ht="21" customHeight="1" x14ac:dyDescent="0.85">
      <c r="A676" s="15"/>
      <c r="B676" s="15"/>
      <c r="C676" s="15"/>
      <c r="D676" s="15"/>
      <c r="E676" s="15"/>
      <c r="F676" s="15"/>
      <c r="G676" s="15"/>
      <c r="H676" s="15"/>
      <c r="I676" s="15"/>
      <c r="J676" s="15"/>
      <c r="K676" s="15"/>
      <c r="L676" s="15"/>
      <c r="M676" s="15"/>
      <c r="N676" s="15"/>
      <c r="O676" s="15"/>
      <c r="P676" s="15"/>
      <c r="Q676" s="15"/>
      <c r="R676" s="15"/>
      <c r="S676" s="15"/>
      <c r="T676" s="15"/>
      <c r="U676" s="15"/>
      <c r="V676" s="15"/>
      <c r="W676" s="15"/>
      <c r="X676" s="15"/>
      <c r="Y676" s="15"/>
      <c r="Z676" s="15"/>
    </row>
    <row r="677" spans="1:26" ht="21" customHeight="1" x14ac:dyDescent="0.85">
      <c r="A677" s="15"/>
      <c r="B677" s="15"/>
      <c r="C677" s="15"/>
      <c r="D677" s="15"/>
      <c r="E677" s="15"/>
      <c r="F677" s="15"/>
      <c r="G677" s="15"/>
      <c r="H677" s="15"/>
      <c r="I677" s="15"/>
      <c r="J677" s="15"/>
      <c r="K677" s="15"/>
      <c r="L677" s="15"/>
      <c r="M677" s="15"/>
      <c r="N677" s="15"/>
      <c r="O677" s="15"/>
      <c r="P677" s="15"/>
      <c r="Q677" s="15"/>
      <c r="R677" s="15"/>
      <c r="S677" s="15"/>
      <c r="T677" s="15"/>
      <c r="U677" s="15"/>
      <c r="V677" s="15"/>
      <c r="W677" s="15"/>
      <c r="X677" s="15"/>
      <c r="Y677" s="15"/>
      <c r="Z677" s="15"/>
    </row>
    <row r="678" spans="1:26" ht="21" customHeight="1" x14ac:dyDescent="0.85">
      <c r="A678" s="15"/>
      <c r="B678" s="15"/>
      <c r="C678" s="15"/>
      <c r="D678" s="15"/>
      <c r="E678" s="15"/>
      <c r="F678" s="15"/>
      <c r="G678" s="15"/>
      <c r="H678" s="15"/>
      <c r="I678" s="15"/>
      <c r="J678" s="15"/>
      <c r="K678" s="15"/>
      <c r="L678" s="15"/>
      <c r="M678" s="15"/>
      <c r="N678" s="15"/>
      <c r="O678" s="15"/>
      <c r="P678" s="15"/>
      <c r="Q678" s="15"/>
      <c r="R678" s="15"/>
      <c r="S678" s="15"/>
      <c r="T678" s="15"/>
      <c r="U678" s="15"/>
      <c r="V678" s="15"/>
      <c r="W678" s="15"/>
      <c r="X678" s="15"/>
      <c r="Y678" s="15"/>
      <c r="Z678" s="15"/>
    </row>
    <row r="679" spans="1:26" ht="21" customHeight="1" x14ac:dyDescent="0.85">
      <c r="A679" s="15"/>
      <c r="B679" s="15"/>
      <c r="C679" s="15"/>
      <c r="D679" s="15"/>
      <c r="E679" s="15"/>
      <c r="F679" s="15"/>
      <c r="G679" s="15"/>
      <c r="H679" s="15"/>
      <c r="I679" s="15"/>
      <c r="J679" s="15"/>
      <c r="K679" s="15"/>
      <c r="L679" s="15"/>
      <c r="M679" s="15"/>
      <c r="N679" s="15"/>
      <c r="O679" s="15"/>
      <c r="P679" s="15"/>
      <c r="Q679" s="15"/>
      <c r="R679" s="15"/>
      <c r="S679" s="15"/>
      <c r="T679" s="15"/>
      <c r="U679" s="15"/>
      <c r="V679" s="15"/>
      <c r="W679" s="15"/>
      <c r="X679" s="15"/>
      <c r="Y679" s="15"/>
      <c r="Z679" s="15"/>
    </row>
    <row r="680" spans="1:26" ht="21" customHeight="1" x14ac:dyDescent="0.85">
      <c r="A680" s="15"/>
      <c r="B680" s="15"/>
      <c r="C680" s="15"/>
      <c r="D680" s="15"/>
      <c r="E680" s="15"/>
      <c r="F680" s="15"/>
      <c r="G680" s="15"/>
      <c r="H680" s="15"/>
      <c r="I680" s="15"/>
      <c r="J680" s="15"/>
      <c r="K680" s="15"/>
      <c r="L680" s="15"/>
      <c r="M680" s="15"/>
      <c r="N680" s="15"/>
      <c r="O680" s="15"/>
      <c r="P680" s="15"/>
      <c r="Q680" s="15"/>
      <c r="R680" s="15"/>
      <c r="S680" s="15"/>
      <c r="T680" s="15"/>
      <c r="U680" s="15"/>
      <c r="V680" s="15"/>
      <c r="W680" s="15"/>
      <c r="X680" s="15"/>
      <c r="Y680" s="15"/>
      <c r="Z680" s="15"/>
    </row>
    <row r="681" spans="1:26" ht="21" customHeight="1" x14ac:dyDescent="0.85">
      <c r="A681" s="15"/>
      <c r="B681" s="15"/>
      <c r="C681" s="15"/>
      <c r="D681" s="15"/>
      <c r="E681" s="15"/>
      <c r="F681" s="15"/>
      <c r="G681" s="15"/>
      <c r="H681" s="15"/>
      <c r="I681" s="15"/>
      <c r="J681" s="15"/>
      <c r="K681" s="15"/>
      <c r="L681" s="15"/>
      <c r="M681" s="15"/>
      <c r="N681" s="15"/>
      <c r="O681" s="15"/>
      <c r="P681" s="15"/>
      <c r="Q681" s="15"/>
      <c r="R681" s="15"/>
      <c r="S681" s="15"/>
      <c r="T681" s="15"/>
      <c r="U681" s="15"/>
      <c r="V681" s="15"/>
      <c r="W681" s="15"/>
      <c r="X681" s="15"/>
      <c r="Y681" s="15"/>
      <c r="Z681" s="15"/>
    </row>
    <row r="682" spans="1:26" ht="21" customHeight="1" x14ac:dyDescent="0.85">
      <c r="A682" s="15"/>
      <c r="B682" s="15"/>
      <c r="C682" s="15"/>
      <c r="D682" s="15"/>
      <c r="E682" s="15"/>
      <c r="F682" s="15"/>
      <c r="G682" s="15"/>
      <c r="H682" s="15"/>
      <c r="I682" s="15"/>
      <c r="J682" s="15"/>
      <c r="K682" s="15"/>
      <c r="L682" s="15"/>
      <c r="M682" s="15"/>
      <c r="N682" s="15"/>
      <c r="O682" s="15"/>
      <c r="P682" s="15"/>
      <c r="Q682" s="15"/>
      <c r="R682" s="15"/>
      <c r="S682" s="15"/>
      <c r="T682" s="15"/>
      <c r="U682" s="15"/>
      <c r="V682" s="15"/>
      <c r="W682" s="15"/>
      <c r="X682" s="15"/>
      <c r="Y682" s="15"/>
      <c r="Z682" s="15"/>
    </row>
    <row r="683" spans="1:26" ht="21" customHeight="1" x14ac:dyDescent="0.85">
      <c r="A683" s="15"/>
      <c r="B683" s="15"/>
      <c r="C683" s="15"/>
      <c r="D683" s="15"/>
      <c r="E683" s="15"/>
      <c r="F683" s="15"/>
      <c r="G683" s="15"/>
      <c r="H683" s="15"/>
      <c r="I683" s="15"/>
      <c r="J683" s="15"/>
      <c r="K683" s="15"/>
      <c r="L683" s="15"/>
      <c r="M683" s="15"/>
      <c r="N683" s="15"/>
      <c r="O683" s="15"/>
      <c r="P683" s="15"/>
      <c r="Q683" s="15"/>
      <c r="R683" s="15"/>
      <c r="S683" s="15"/>
      <c r="T683" s="15"/>
      <c r="U683" s="15"/>
      <c r="V683" s="15"/>
      <c r="W683" s="15"/>
      <c r="X683" s="15"/>
      <c r="Y683" s="15"/>
      <c r="Z683" s="15"/>
    </row>
    <row r="684" spans="1:26" ht="21" customHeight="1" x14ac:dyDescent="0.85">
      <c r="A684" s="15"/>
      <c r="B684" s="15"/>
      <c r="C684" s="15"/>
      <c r="D684" s="15"/>
      <c r="E684" s="15"/>
      <c r="F684" s="15"/>
      <c r="G684" s="15"/>
      <c r="H684" s="15"/>
      <c r="I684" s="15"/>
      <c r="J684" s="15"/>
      <c r="K684" s="15"/>
      <c r="L684" s="15"/>
      <c r="M684" s="15"/>
      <c r="N684" s="15"/>
      <c r="O684" s="15"/>
      <c r="P684" s="15"/>
      <c r="Q684" s="15"/>
      <c r="R684" s="15"/>
      <c r="S684" s="15"/>
      <c r="T684" s="15"/>
      <c r="U684" s="15"/>
      <c r="V684" s="15"/>
      <c r="W684" s="15"/>
      <c r="X684" s="15"/>
      <c r="Y684" s="15"/>
      <c r="Z684" s="15"/>
    </row>
    <row r="685" spans="1:26" ht="21" customHeight="1" x14ac:dyDescent="0.85">
      <c r="A685" s="15"/>
      <c r="B685" s="15"/>
      <c r="C685" s="15"/>
      <c r="D685" s="15"/>
      <c r="E685" s="15"/>
      <c r="F685" s="15"/>
      <c r="G685" s="15"/>
      <c r="H685" s="15"/>
      <c r="I685" s="15"/>
      <c r="J685" s="15"/>
      <c r="K685" s="15"/>
      <c r="L685" s="15"/>
      <c r="M685" s="15"/>
      <c r="N685" s="15"/>
      <c r="O685" s="15"/>
      <c r="P685" s="15"/>
      <c r="Q685" s="15"/>
      <c r="R685" s="15"/>
      <c r="S685" s="15"/>
      <c r="T685" s="15"/>
      <c r="U685" s="15"/>
      <c r="V685" s="15"/>
      <c r="W685" s="15"/>
      <c r="X685" s="15"/>
      <c r="Y685" s="15"/>
      <c r="Z685" s="15"/>
    </row>
    <row r="686" spans="1:26" ht="21" customHeight="1" x14ac:dyDescent="0.85">
      <c r="A686" s="15"/>
      <c r="B686" s="15"/>
      <c r="C686" s="15"/>
      <c r="D686" s="15"/>
      <c r="E686" s="15"/>
      <c r="F686" s="15"/>
      <c r="G686" s="15"/>
      <c r="H686" s="15"/>
      <c r="I686" s="15"/>
      <c r="J686" s="15"/>
      <c r="K686" s="15"/>
      <c r="L686" s="15"/>
      <c r="M686" s="15"/>
      <c r="N686" s="15"/>
      <c r="O686" s="15"/>
      <c r="P686" s="15"/>
      <c r="Q686" s="15"/>
      <c r="R686" s="15"/>
      <c r="S686" s="15"/>
      <c r="T686" s="15"/>
      <c r="U686" s="15"/>
      <c r="V686" s="15"/>
      <c r="W686" s="15"/>
      <c r="X686" s="15"/>
      <c r="Y686" s="15"/>
      <c r="Z686" s="15"/>
    </row>
    <row r="687" spans="1:26" ht="21" customHeight="1" x14ac:dyDescent="0.85">
      <c r="A687" s="15"/>
      <c r="B687" s="15"/>
      <c r="C687" s="15"/>
      <c r="D687" s="15"/>
      <c r="E687" s="15"/>
      <c r="F687" s="15"/>
      <c r="G687" s="15"/>
      <c r="H687" s="15"/>
      <c r="I687" s="15"/>
      <c r="J687" s="15"/>
      <c r="K687" s="15"/>
      <c r="L687" s="15"/>
      <c r="M687" s="15"/>
      <c r="N687" s="15"/>
      <c r="O687" s="15"/>
      <c r="P687" s="15"/>
      <c r="Q687" s="15"/>
      <c r="R687" s="15"/>
      <c r="S687" s="15"/>
      <c r="T687" s="15"/>
      <c r="U687" s="15"/>
      <c r="V687" s="15"/>
      <c r="W687" s="15"/>
      <c r="X687" s="15"/>
      <c r="Y687" s="15"/>
      <c r="Z687" s="15"/>
    </row>
    <row r="688" spans="1:26" ht="21" customHeight="1" x14ac:dyDescent="0.85">
      <c r="A688" s="15"/>
      <c r="B688" s="15"/>
      <c r="C688" s="15"/>
      <c r="D688" s="15"/>
      <c r="E688" s="15"/>
      <c r="F688" s="15"/>
      <c r="G688" s="15"/>
      <c r="H688" s="15"/>
      <c r="I688" s="15"/>
      <c r="J688" s="15"/>
      <c r="K688" s="15"/>
      <c r="L688" s="15"/>
      <c r="M688" s="15"/>
      <c r="N688" s="15"/>
      <c r="O688" s="15"/>
      <c r="P688" s="15"/>
      <c r="Q688" s="15"/>
      <c r="R688" s="15"/>
      <c r="S688" s="15"/>
      <c r="T688" s="15"/>
      <c r="U688" s="15"/>
      <c r="V688" s="15"/>
      <c r="W688" s="15"/>
      <c r="X688" s="15"/>
      <c r="Y688" s="15"/>
      <c r="Z688" s="15"/>
    </row>
    <row r="689" spans="1:26" ht="21" customHeight="1" x14ac:dyDescent="0.85">
      <c r="A689" s="15"/>
      <c r="B689" s="15"/>
      <c r="C689" s="15"/>
      <c r="D689" s="15"/>
      <c r="E689" s="15"/>
      <c r="F689" s="15"/>
      <c r="G689" s="15"/>
      <c r="H689" s="15"/>
      <c r="I689" s="15"/>
      <c r="J689" s="15"/>
      <c r="K689" s="15"/>
      <c r="L689" s="15"/>
      <c r="M689" s="15"/>
      <c r="N689" s="15"/>
      <c r="O689" s="15"/>
      <c r="P689" s="15"/>
      <c r="Q689" s="15"/>
      <c r="R689" s="15"/>
      <c r="S689" s="15"/>
      <c r="T689" s="15"/>
      <c r="U689" s="15"/>
      <c r="V689" s="15"/>
      <c r="W689" s="15"/>
      <c r="X689" s="15"/>
      <c r="Y689" s="15"/>
      <c r="Z689" s="15"/>
    </row>
    <row r="690" spans="1:26" ht="21" customHeight="1" x14ac:dyDescent="0.85">
      <c r="A690" s="15"/>
      <c r="B690" s="15"/>
      <c r="C690" s="15"/>
      <c r="D690" s="15"/>
      <c r="E690" s="15"/>
      <c r="F690" s="15"/>
      <c r="G690" s="15"/>
      <c r="H690" s="15"/>
      <c r="I690" s="15"/>
      <c r="J690" s="15"/>
      <c r="K690" s="15"/>
      <c r="L690" s="15"/>
      <c r="M690" s="15"/>
      <c r="N690" s="15"/>
      <c r="O690" s="15"/>
      <c r="P690" s="15"/>
      <c r="Q690" s="15"/>
      <c r="R690" s="15"/>
      <c r="S690" s="15"/>
      <c r="T690" s="15"/>
      <c r="U690" s="15"/>
      <c r="V690" s="15"/>
      <c r="W690" s="15"/>
      <c r="X690" s="15"/>
      <c r="Y690" s="15"/>
      <c r="Z690" s="15"/>
    </row>
    <row r="691" spans="1:26" ht="21" customHeight="1" x14ac:dyDescent="0.85">
      <c r="A691" s="15"/>
      <c r="B691" s="15"/>
      <c r="C691" s="15"/>
      <c r="D691" s="15"/>
      <c r="E691" s="15"/>
      <c r="F691" s="15"/>
      <c r="G691" s="15"/>
      <c r="H691" s="15"/>
      <c r="I691" s="15"/>
      <c r="J691" s="15"/>
      <c r="K691" s="15"/>
      <c r="L691" s="15"/>
      <c r="M691" s="15"/>
      <c r="N691" s="15"/>
      <c r="O691" s="15"/>
      <c r="P691" s="15"/>
      <c r="Q691" s="15"/>
      <c r="R691" s="15"/>
      <c r="S691" s="15"/>
      <c r="T691" s="15"/>
      <c r="U691" s="15"/>
      <c r="V691" s="15"/>
      <c r="W691" s="15"/>
      <c r="X691" s="15"/>
      <c r="Y691" s="15"/>
      <c r="Z691" s="15"/>
    </row>
    <row r="692" spans="1:26" ht="21" customHeight="1" x14ac:dyDescent="0.85">
      <c r="A692" s="15"/>
      <c r="B692" s="15"/>
      <c r="C692" s="15"/>
      <c r="D692" s="15"/>
      <c r="E692" s="15"/>
      <c r="F692" s="15"/>
      <c r="G692" s="15"/>
      <c r="H692" s="15"/>
      <c r="I692" s="15"/>
      <c r="J692" s="15"/>
      <c r="K692" s="15"/>
      <c r="L692" s="15"/>
      <c r="M692" s="15"/>
      <c r="N692" s="15"/>
      <c r="O692" s="15"/>
      <c r="P692" s="15"/>
      <c r="Q692" s="15"/>
      <c r="R692" s="15"/>
      <c r="S692" s="15"/>
      <c r="T692" s="15"/>
      <c r="U692" s="15"/>
      <c r="V692" s="15"/>
      <c r="W692" s="15"/>
      <c r="X692" s="15"/>
      <c r="Y692" s="15"/>
      <c r="Z692" s="15"/>
    </row>
    <row r="693" spans="1:26" ht="21" customHeight="1" x14ac:dyDescent="0.85">
      <c r="A693" s="15"/>
      <c r="B693" s="15"/>
      <c r="C693" s="15"/>
      <c r="D693" s="15"/>
      <c r="E693" s="15"/>
      <c r="F693" s="15"/>
      <c r="G693" s="15"/>
      <c r="H693" s="15"/>
      <c r="I693" s="15"/>
      <c r="J693" s="15"/>
      <c r="K693" s="15"/>
      <c r="L693" s="15"/>
      <c r="M693" s="15"/>
      <c r="N693" s="15"/>
      <c r="O693" s="15"/>
      <c r="P693" s="15"/>
      <c r="Q693" s="15"/>
      <c r="R693" s="15"/>
      <c r="S693" s="15"/>
      <c r="T693" s="15"/>
      <c r="U693" s="15"/>
      <c r="V693" s="15"/>
      <c r="W693" s="15"/>
      <c r="X693" s="15"/>
      <c r="Y693" s="15"/>
      <c r="Z693" s="15"/>
    </row>
    <row r="694" spans="1:26" ht="21" customHeight="1" x14ac:dyDescent="0.85">
      <c r="A694" s="15"/>
      <c r="B694" s="15"/>
      <c r="C694" s="15"/>
      <c r="D694" s="15"/>
      <c r="E694" s="15"/>
      <c r="F694" s="15"/>
      <c r="G694" s="15"/>
      <c r="H694" s="15"/>
      <c r="I694" s="15"/>
      <c r="J694" s="15"/>
      <c r="K694" s="15"/>
      <c r="L694" s="15"/>
      <c r="M694" s="15"/>
      <c r="N694" s="15"/>
      <c r="O694" s="15"/>
      <c r="P694" s="15"/>
      <c r="Q694" s="15"/>
      <c r="R694" s="15"/>
      <c r="S694" s="15"/>
      <c r="T694" s="15"/>
      <c r="U694" s="15"/>
      <c r="V694" s="15"/>
      <c r="W694" s="15"/>
      <c r="X694" s="15"/>
      <c r="Y694" s="15"/>
      <c r="Z694" s="15"/>
    </row>
    <row r="695" spans="1:26" ht="21" customHeight="1" x14ac:dyDescent="0.85">
      <c r="A695" s="15"/>
      <c r="B695" s="15"/>
      <c r="C695" s="15"/>
      <c r="D695" s="15"/>
      <c r="E695" s="15"/>
      <c r="F695" s="15"/>
      <c r="G695" s="15"/>
      <c r="H695" s="15"/>
      <c r="I695" s="15"/>
      <c r="J695" s="15"/>
      <c r="K695" s="15"/>
      <c r="L695" s="15"/>
      <c r="M695" s="15"/>
      <c r="N695" s="15"/>
      <c r="O695" s="15"/>
      <c r="P695" s="15"/>
      <c r="Q695" s="15"/>
      <c r="R695" s="15"/>
      <c r="S695" s="15"/>
      <c r="T695" s="15"/>
      <c r="U695" s="15"/>
      <c r="V695" s="15"/>
      <c r="W695" s="15"/>
      <c r="X695" s="15"/>
      <c r="Y695" s="15"/>
      <c r="Z695" s="15"/>
    </row>
    <row r="696" spans="1:26" ht="21" customHeight="1" x14ac:dyDescent="0.85">
      <c r="A696" s="15"/>
      <c r="B696" s="15"/>
      <c r="C696" s="15"/>
      <c r="D696" s="15"/>
      <c r="E696" s="15"/>
      <c r="F696" s="15"/>
      <c r="G696" s="15"/>
      <c r="H696" s="15"/>
      <c r="I696" s="15"/>
      <c r="J696" s="15"/>
      <c r="K696" s="15"/>
      <c r="L696" s="15"/>
      <c r="M696" s="15"/>
      <c r="N696" s="15"/>
      <c r="O696" s="15"/>
      <c r="P696" s="15"/>
      <c r="Q696" s="15"/>
      <c r="R696" s="15"/>
      <c r="S696" s="15"/>
      <c r="T696" s="15"/>
      <c r="U696" s="15"/>
      <c r="V696" s="15"/>
      <c r="W696" s="15"/>
      <c r="X696" s="15"/>
      <c r="Y696" s="15"/>
      <c r="Z696" s="15"/>
    </row>
    <row r="697" spans="1:26" ht="21" customHeight="1" x14ac:dyDescent="0.85">
      <c r="A697" s="15"/>
      <c r="B697" s="15"/>
      <c r="C697" s="15"/>
      <c r="D697" s="15"/>
      <c r="E697" s="15"/>
      <c r="F697" s="15"/>
      <c r="G697" s="15"/>
      <c r="H697" s="15"/>
      <c r="I697" s="15"/>
      <c r="J697" s="15"/>
      <c r="K697" s="15"/>
      <c r="L697" s="15"/>
      <c r="M697" s="15"/>
      <c r="N697" s="15"/>
      <c r="O697" s="15"/>
      <c r="P697" s="15"/>
      <c r="Q697" s="15"/>
      <c r="R697" s="15"/>
      <c r="S697" s="15"/>
      <c r="T697" s="15"/>
      <c r="U697" s="15"/>
      <c r="V697" s="15"/>
      <c r="W697" s="15"/>
      <c r="X697" s="15"/>
      <c r="Y697" s="15"/>
      <c r="Z697" s="15"/>
    </row>
    <row r="698" spans="1:26" ht="21" customHeight="1" x14ac:dyDescent="0.85">
      <c r="A698" s="15"/>
      <c r="B698" s="15"/>
      <c r="C698" s="15"/>
      <c r="D698" s="15"/>
      <c r="E698" s="15"/>
      <c r="F698" s="15"/>
      <c r="G698" s="15"/>
      <c r="H698" s="15"/>
      <c r="I698" s="15"/>
      <c r="J698" s="15"/>
      <c r="K698" s="15"/>
      <c r="L698" s="15"/>
      <c r="M698" s="15"/>
      <c r="N698" s="15"/>
      <c r="O698" s="15"/>
      <c r="P698" s="15"/>
      <c r="Q698" s="15"/>
      <c r="R698" s="15"/>
      <c r="S698" s="15"/>
      <c r="T698" s="15"/>
      <c r="U698" s="15"/>
      <c r="V698" s="15"/>
      <c r="W698" s="15"/>
      <c r="X698" s="15"/>
      <c r="Y698" s="15"/>
      <c r="Z698" s="15"/>
    </row>
    <row r="699" spans="1:26" ht="21" customHeight="1" x14ac:dyDescent="0.85">
      <c r="A699" s="15"/>
      <c r="B699" s="15"/>
      <c r="C699" s="15"/>
      <c r="D699" s="15"/>
      <c r="E699" s="15"/>
      <c r="F699" s="15"/>
      <c r="G699" s="15"/>
      <c r="H699" s="15"/>
      <c r="I699" s="15"/>
      <c r="J699" s="15"/>
      <c r="K699" s="15"/>
      <c r="L699" s="15"/>
      <c r="M699" s="15"/>
      <c r="N699" s="15"/>
      <c r="O699" s="15"/>
      <c r="P699" s="15"/>
      <c r="Q699" s="15"/>
      <c r="R699" s="15"/>
      <c r="S699" s="15"/>
      <c r="T699" s="15"/>
      <c r="U699" s="15"/>
      <c r="V699" s="15"/>
      <c r="W699" s="15"/>
      <c r="X699" s="15"/>
      <c r="Y699" s="15"/>
      <c r="Z699" s="15"/>
    </row>
    <row r="700" spans="1:26" ht="21" customHeight="1" x14ac:dyDescent="0.85">
      <c r="A700" s="15"/>
      <c r="B700" s="15"/>
      <c r="C700" s="15"/>
      <c r="D700" s="15"/>
      <c r="E700" s="15"/>
      <c r="F700" s="15"/>
      <c r="G700" s="15"/>
      <c r="H700" s="15"/>
      <c r="I700" s="15"/>
      <c r="J700" s="15"/>
      <c r="K700" s="15"/>
      <c r="L700" s="15"/>
      <c r="M700" s="15"/>
      <c r="N700" s="15"/>
      <c r="O700" s="15"/>
      <c r="P700" s="15"/>
      <c r="Q700" s="15"/>
      <c r="R700" s="15"/>
      <c r="S700" s="15"/>
      <c r="T700" s="15"/>
      <c r="U700" s="15"/>
      <c r="V700" s="15"/>
      <c r="W700" s="15"/>
      <c r="X700" s="15"/>
      <c r="Y700" s="15"/>
      <c r="Z700" s="15"/>
    </row>
    <row r="701" spans="1:26" ht="21" customHeight="1" x14ac:dyDescent="0.85">
      <c r="A701" s="15"/>
      <c r="B701" s="15"/>
      <c r="C701" s="15"/>
      <c r="D701" s="15"/>
      <c r="E701" s="15"/>
      <c r="F701" s="15"/>
      <c r="G701" s="15"/>
      <c r="H701" s="15"/>
      <c r="I701" s="15"/>
      <c r="J701" s="15"/>
      <c r="K701" s="15"/>
      <c r="L701" s="15"/>
      <c r="M701" s="15"/>
      <c r="N701" s="15"/>
      <c r="O701" s="15"/>
      <c r="P701" s="15"/>
      <c r="Q701" s="15"/>
      <c r="R701" s="15"/>
      <c r="S701" s="15"/>
      <c r="T701" s="15"/>
      <c r="U701" s="15"/>
      <c r="V701" s="15"/>
      <c r="W701" s="15"/>
      <c r="X701" s="15"/>
      <c r="Y701" s="15"/>
      <c r="Z701" s="15"/>
    </row>
    <row r="702" spans="1:26" ht="21" customHeight="1" x14ac:dyDescent="0.85">
      <c r="A702" s="15"/>
      <c r="B702" s="15"/>
      <c r="C702" s="15"/>
      <c r="D702" s="15"/>
      <c r="E702" s="15"/>
      <c r="F702" s="15"/>
      <c r="G702" s="15"/>
      <c r="H702" s="15"/>
      <c r="I702" s="15"/>
      <c r="J702" s="15"/>
      <c r="K702" s="15"/>
      <c r="L702" s="15"/>
      <c r="M702" s="15"/>
      <c r="N702" s="15"/>
      <c r="O702" s="15"/>
      <c r="P702" s="15"/>
      <c r="Q702" s="15"/>
      <c r="R702" s="15"/>
      <c r="S702" s="15"/>
      <c r="T702" s="15"/>
      <c r="U702" s="15"/>
      <c r="V702" s="15"/>
      <c r="W702" s="15"/>
      <c r="X702" s="15"/>
      <c r="Y702" s="15"/>
      <c r="Z702" s="15"/>
    </row>
    <row r="703" spans="1:26" ht="21" customHeight="1" x14ac:dyDescent="0.85">
      <c r="A703" s="15"/>
      <c r="B703" s="15"/>
      <c r="C703" s="15"/>
      <c r="D703" s="15"/>
      <c r="E703" s="15"/>
      <c r="F703" s="15"/>
      <c r="G703" s="15"/>
      <c r="H703" s="15"/>
      <c r="I703" s="15"/>
      <c r="J703" s="15"/>
      <c r="K703" s="15"/>
      <c r="L703" s="15"/>
      <c r="M703" s="15"/>
      <c r="N703" s="15"/>
      <c r="O703" s="15"/>
      <c r="P703" s="15"/>
      <c r="Q703" s="15"/>
      <c r="R703" s="15"/>
      <c r="S703" s="15"/>
      <c r="T703" s="15"/>
      <c r="U703" s="15"/>
      <c r="V703" s="15"/>
      <c r="W703" s="15"/>
      <c r="X703" s="15"/>
      <c r="Y703" s="15"/>
      <c r="Z703" s="15"/>
    </row>
    <row r="704" spans="1:26" ht="21" customHeight="1" x14ac:dyDescent="0.85">
      <c r="A704" s="15"/>
      <c r="B704" s="15"/>
      <c r="C704" s="15"/>
      <c r="D704" s="15"/>
      <c r="E704" s="15"/>
      <c r="F704" s="15"/>
      <c r="G704" s="15"/>
      <c r="H704" s="15"/>
      <c r="I704" s="15"/>
      <c r="J704" s="15"/>
      <c r="K704" s="15"/>
      <c r="L704" s="15"/>
      <c r="M704" s="15"/>
      <c r="N704" s="15"/>
      <c r="O704" s="15"/>
      <c r="P704" s="15"/>
      <c r="Q704" s="15"/>
      <c r="R704" s="15"/>
      <c r="S704" s="15"/>
      <c r="T704" s="15"/>
      <c r="U704" s="15"/>
      <c r="V704" s="15"/>
      <c r="W704" s="15"/>
      <c r="X704" s="15"/>
      <c r="Y704" s="15"/>
      <c r="Z704" s="15"/>
    </row>
    <row r="705" spans="1:26" ht="21" customHeight="1" x14ac:dyDescent="0.85">
      <c r="A705" s="15"/>
      <c r="B705" s="15"/>
      <c r="C705" s="15"/>
      <c r="D705" s="15"/>
      <c r="E705" s="15"/>
      <c r="F705" s="15"/>
      <c r="G705" s="15"/>
      <c r="H705" s="15"/>
      <c r="I705" s="15"/>
      <c r="J705" s="15"/>
      <c r="K705" s="15"/>
      <c r="L705" s="15"/>
      <c r="M705" s="15"/>
      <c r="N705" s="15"/>
      <c r="O705" s="15"/>
      <c r="P705" s="15"/>
      <c r="Q705" s="15"/>
      <c r="R705" s="15"/>
      <c r="S705" s="15"/>
      <c r="T705" s="15"/>
      <c r="U705" s="15"/>
      <c r="V705" s="15"/>
      <c r="W705" s="15"/>
      <c r="X705" s="15"/>
      <c r="Y705" s="15"/>
      <c r="Z705" s="15"/>
    </row>
    <row r="706" spans="1:26" ht="21" customHeight="1" x14ac:dyDescent="0.85">
      <c r="A706" s="15"/>
      <c r="B706" s="15"/>
      <c r="C706" s="15"/>
      <c r="D706" s="15"/>
      <c r="E706" s="15"/>
      <c r="F706" s="15"/>
      <c r="G706" s="15"/>
      <c r="H706" s="15"/>
      <c r="I706" s="15"/>
      <c r="J706" s="15"/>
      <c r="K706" s="15"/>
      <c r="L706" s="15"/>
      <c r="M706" s="15"/>
      <c r="N706" s="15"/>
      <c r="O706" s="15"/>
      <c r="P706" s="15"/>
      <c r="Q706" s="15"/>
      <c r="R706" s="15"/>
      <c r="S706" s="15"/>
      <c r="T706" s="15"/>
      <c r="U706" s="15"/>
      <c r="V706" s="15"/>
      <c r="W706" s="15"/>
      <c r="X706" s="15"/>
      <c r="Y706" s="15"/>
      <c r="Z706" s="15"/>
    </row>
    <row r="707" spans="1:26" ht="21" customHeight="1" x14ac:dyDescent="0.85">
      <c r="A707" s="15"/>
      <c r="B707" s="15"/>
      <c r="C707" s="15"/>
      <c r="D707" s="15"/>
      <c r="E707" s="15"/>
      <c r="F707" s="15"/>
      <c r="G707" s="15"/>
      <c r="H707" s="15"/>
      <c r="I707" s="15"/>
      <c r="J707" s="15"/>
      <c r="K707" s="15"/>
      <c r="L707" s="15"/>
      <c r="M707" s="15"/>
      <c r="N707" s="15"/>
      <c r="O707" s="15"/>
      <c r="P707" s="15"/>
      <c r="Q707" s="15"/>
      <c r="R707" s="15"/>
      <c r="S707" s="15"/>
      <c r="T707" s="15"/>
      <c r="U707" s="15"/>
      <c r="V707" s="15"/>
      <c r="W707" s="15"/>
      <c r="X707" s="15"/>
      <c r="Y707" s="15"/>
      <c r="Z707" s="15"/>
    </row>
    <row r="708" spans="1:26" ht="21" customHeight="1" x14ac:dyDescent="0.85">
      <c r="A708" s="15"/>
      <c r="B708" s="15"/>
      <c r="C708" s="15"/>
      <c r="D708" s="15"/>
      <c r="E708" s="15"/>
      <c r="F708" s="15"/>
      <c r="G708" s="15"/>
      <c r="H708" s="15"/>
      <c r="I708" s="15"/>
      <c r="J708" s="15"/>
      <c r="K708" s="15"/>
      <c r="L708" s="15"/>
      <c r="M708" s="15"/>
      <c r="N708" s="15"/>
      <c r="O708" s="15"/>
      <c r="P708" s="15"/>
      <c r="Q708" s="15"/>
      <c r="R708" s="15"/>
      <c r="S708" s="15"/>
      <c r="T708" s="15"/>
      <c r="U708" s="15"/>
      <c r="V708" s="15"/>
      <c r="W708" s="15"/>
      <c r="X708" s="15"/>
      <c r="Y708" s="15"/>
      <c r="Z708" s="15"/>
    </row>
    <row r="709" spans="1:26" ht="21" customHeight="1" x14ac:dyDescent="0.85">
      <c r="A709" s="15"/>
      <c r="B709" s="15"/>
      <c r="C709" s="15"/>
      <c r="D709" s="15"/>
      <c r="E709" s="15"/>
      <c r="F709" s="15"/>
      <c r="G709" s="15"/>
      <c r="H709" s="15"/>
      <c r="I709" s="15"/>
      <c r="J709" s="15"/>
      <c r="K709" s="15"/>
      <c r="L709" s="15"/>
      <c r="M709" s="15"/>
      <c r="N709" s="15"/>
      <c r="O709" s="15"/>
      <c r="P709" s="15"/>
      <c r="Q709" s="15"/>
      <c r="R709" s="15"/>
      <c r="S709" s="15"/>
      <c r="T709" s="15"/>
      <c r="U709" s="15"/>
      <c r="V709" s="15"/>
      <c r="W709" s="15"/>
      <c r="X709" s="15"/>
      <c r="Y709" s="15"/>
      <c r="Z709" s="15"/>
    </row>
    <row r="710" spans="1:26" ht="21" customHeight="1" x14ac:dyDescent="0.85">
      <c r="A710" s="15"/>
      <c r="B710" s="15"/>
      <c r="C710" s="15"/>
      <c r="D710" s="15"/>
      <c r="E710" s="15"/>
      <c r="F710" s="15"/>
      <c r="G710" s="15"/>
      <c r="H710" s="15"/>
      <c r="I710" s="15"/>
      <c r="J710" s="15"/>
      <c r="K710" s="15"/>
      <c r="L710" s="15"/>
      <c r="M710" s="15"/>
      <c r="N710" s="15"/>
      <c r="O710" s="15"/>
      <c r="P710" s="15"/>
      <c r="Q710" s="15"/>
      <c r="R710" s="15"/>
      <c r="S710" s="15"/>
      <c r="T710" s="15"/>
      <c r="U710" s="15"/>
      <c r="V710" s="15"/>
      <c r="W710" s="15"/>
      <c r="X710" s="15"/>
      <c r="Y710" s="15"/>
      <c r="Z710" s="15"/>
    </row>
    <row r="711" spans="1:26" ht="21" customHeight="1" x14ac:dyDescent="0.85">
      <c r="A711" s="15"/>
      <c r="B711" s="15"/>
      <c r="C711" s="15"/>
      <c r="D711" s="15"/>
      <c r="E711" s="15"/>
      <c r="F711" s="15"/>
      <c r="G711" s="15"/>
      <c r="H711" s="15"/>
      <c r="I711" s="15"/>
      <c r="J711" s="15"/>
      <c r="K711" s="15"/>
      <c r="L711" s="15"/>
      <c r="M711" s="15"/>
      <c r="N711" s="15"/>
      <c r="O711" s="15"/>
      <c r="P711" s="15"/>
      <c r="Q711" s="15"/>
      <c r="R711" s="15"/>
      <c r="S711" s="15"/>
      <c r="T711" s="15"/>
      <c r="U711" s="15"/>
      <c r="V711" s="15"/>
      <c r="W711" s="15"/>
      <c r="X711" s="15"/>
      <c r="Y711" s="15"/>
      <c r="Z711" s="15"/>
    </row>
    <row r="712" spans="1:26" ht="21" customHeight="1" x14ac:dyDescent="0.85">
      <c r="A712" s="15"/>
      <c r="B712" s="15"/>
      <c r="C712" s="15"/>
      <c r="D712" s="15"/>
      <c r="E712" s="15"/>
      <c r="F712" s="15"/>
      <c r="G712" s="15"/>
      <c r="H712" s="15"/>
      <c r="I712" s="15"/>
      <c r="J712" s="15"/>
      <c r="K712" s="15"/>
      <c r="L712" s="15"/>
      <c r="M712" s="15"/>
      <c r="N712" s="15"/>
      <c r="O712" s="15"/>
      <c r="P712" s="15"/>
      <c r="Q712" s="15"/>
      <c r="R712" s="15"/>
      <c r="S712" s="15"/>
      <c r="T712" s="15"/>
      <c r="U712" s="15"/>
      <c r="V712" s="15"/>
      <c r="W712" s="15"/>
      <c r="X712" s="15"/>
      <c r="Y712" s="15"/>
      <c r="Z712" s="15"/>
    </row>
    <row r="713" spans="1:26" ht="21" customHeight="1" x14ac:dyDescent="0.85">
      <c r="A713" s="15"/>
      <c r="B713" s="15"/>
      <c r="C713" s="15"/>
      <c r="D713" s="15"/>
      <c r="E713" s="15"/>
      <c r="F713" s="15"/>
      <c r="G713" s="15"/>
      <c r="H713" s="15"/>
      <c r="I713" s="15"/>
      <c r="J713" s="15"/>
      <c r="K713" s="15"/>
      <c r="L713" s="15"/>
      <c r="M713" s="15"/>
      <c r="N713" s="15"/>
      <c r="O713" s="15"/>
      <c r="P713" s="15"/>
      <c r="Q713" s="15"/>
      <c r="R713" s="15"/>
      <c r="S713" s="15"/>
      <c r="T713" s="15"/>
      <c r="U713" s="15"/>
      <c r="V713" s="15"/>
      <c r="W713" s="15"/>
      <c r="X713" s="15"/>
      <c r="Y713" s="15"/>
      <c r="Z713" s="15"/>
    </row>
    <row r="714" spans="1:26" ht="21" customHeight="1" x14ac:dyDescent="0.85">
      <c r="A714" s="15"/>
      <c r="B714" s="15"/>
      <c r="C714" s="15"/>
      <c r="D714" s="15"/>
      <c r="E714" s="15"/>
      <c r="F714" s="15"/>
      <c r="G714" s="15"/>
      <c r="H714" s="15"/>
      <c r="I714" s="15"/>
      <c r="J714" s="15"/>
      <c r="K714" s="15"/>
      <c r="L714" s="15"/>
      <c r="M714" s="15"/>
      <c r="N714" s="15"/>
      <c r="O714" s="15"/>
      <c r="P714" s="15"/>
      <c r="Q714" s="15"/>
      <c r="R714" s="15"/>
      <c r="S714" s="15"/>
      <c r="T714" s="15"/>
      <c r="U714" s="15"/>
      <c r="V714" s="15"/>
      <c r="W714" s="15"/>
      <c r="X714" s="15"/>
      <c r="Y714" s="15"/>
      <c r="Z714" s="15"/>
    </row>
    <row r="715" spans="1:26" ht="21" customHeight="1" x14ac:dyDescent="0.85">
      <c r="A715" s="15"/>
      <c r="B715" s="15"/>
      <c r="C715" s="15"/>
      <c r="D715" s="15"/>
      <c r="E715" s="15"/>
      <c r="F715" s="15"/>
      <c r="G715" s="15"/>
      <c r="H715" s="15"/>
      <c r="I715" s="15"/>
      <c r="J715" s="15"/>
      <c r="K715" s="15"/>
      <c r="L715" s="15"/>
      <c r="M715" s="15"/>
      <c r="N715" s="15"/>
      <c r="O715" s="15"/>
      <c r="P715" s="15"/>
      <c r="Q715" s="15"/>
      <c r="R715" s="15"/>
      <c r="S715" s="15"/>
      <c r="T715" s="15"/>
      <c r="U715" s="15"/>
      <c r="V715" s="15"/>
      <c r="W715" s="15"/>
      <c r="X715" s="15"/>
      <c r="Y715" s="15"/>
      <c r="Z715" s="15"/>
    </row>
    <row r="716" spans="1:26" ht="21" customHeight="1" x14ac:dyDescent="0.85">
      <c r="A716" s="15"/>
      <c r="B716" s="15"/>
      <c r="C716" s="15"/>
      <c r="D716" s="15"/>
      <c r="E716" s="15"/>
      <c r="F716" s="15"/>
      <c r="G716" s="15"/>
      <c r="H716" s="15"/>
      <c r="I716" s="15"/>
      <c r="J716" s="15"/>
      <c r="K716" s="15"/>
      <c r="L716" s="15"/>
      <c r="M716" s="15"/>
      <c r="N716" s="15"/>
      <c r="O716" s="15"/>
      <c r="P716" s="15"/>
      <c r="Q716" s="15"/>
      <c r="R716" s="15"/>
      <c r="S716" s="15"/>
      <c r="T716" s="15"/>
      <c r="U716" s="15"/>
      <c r="V716" s="15"/>
      <c r="W716" s="15"/>
      <c r="X716" s="15"/>
      <c r="Y716" s="15"/>
      <c r="Z716" s="15"/>
    </row>
    <row r="717" spans="1:26" ht="21" customHeight="1" x14ac:dyDescent="0.85">
      <c r="A717" s="15"/>
      <c r="B717" s="15"/>
      <c r="C717" s="15"/>
      <c r="D717" s="15"/>
      <c r="E717" s="15"/>
      <c r="F717" s="15"/>
      <c r="G717" s="15"/>
      <c r="H717" s="15"/>
      <c r="I717" s="15"/>
      <c r="J717" s="15"/>
      <c r="K717" s="15"/>
      <c r="L717" s="15"/>
      <c r="M717" s="15"/>
      <c r="N717" s="15"/>
      <c r="O717" s="15"/>
      <c r="P717" s="15"/>
      <c r="Q717" s="15"/>
      <c r="R717" s="15"/>
      <c r="S717" s="15"/>
      <c r="T717" s="15"/>
      <c r="U717" s="15"/>
      <c r="V717" s="15"/>
      <c r="W717" s="15"/>
      <c r="X717" s="15"/>
      <c r="Y717" s="15"/>
      <c r="Z717" s="15"/>
    </row>
    <row r="718" spans="1:26" ht="21" customHeight="1" x14ac:dyDescent="0.85">
      <c r="A718" s="15"/>
      <c r="B718" s="15"/>
      <c r="C718" s="15"/>
      <c r="D718" s="15"/>
      <c r="E718" s="15"/>
      <c r="F718" s="15"/>
      <c r="G718" s="15"/>
      <c r="H718" s="15"/>
      <c r="I718" s="15"/>
      <c r="J718" s="15"/>
      <c r="K718" s="15"/>
      <c r="L718" s="15"/>
      <c r="M718" s="15"/>
      <c r="N718" s="15"/>
      <c r="O718" s="15"/>
      <c r="P718" s="15"/>
      <c r="Q718" s="15"/>
      <c r="R718" s="15"/>
      <c r="S718" s="15"/>
      <c r="T718" s="15"/>
      <c r="U718" s="15"/>
      <c r="V718" s="15"/>
      <c r="W718" s="15"/>
      <c r="X718" s="15"/>
      <c r="Y718" s="15"/>
      <c r="Z718" s="15"/>
    </row>
    <row r="719" spans="1:26" ht="21" customHeight="1" x14ac:dyDescent="0.85">
      <c r="A719" s="15"/>
      <c r="B719" s="15"/>
      <c r="C719" s="15"/>
      <c r="D719" s="15"/>
      <c r="E719" s="15"/>
      <c r="F719" s="15"/>
      <c r="G719" s="15"/>
      <c r="H719" s="15"/>
      <c r="I719" s="15"/>
      <c r="J719" s="15"/>
      <c r="K719" s="15"/>
      <c r="L719" s="15"/>
      <c r="M719" s="15"/>
      <c r="N719" s="15"/>
      <c r="O719" s="15"/>
      <c r="P719" s="15"/>
      <c r="Q719" s="15"/>
      <c r="R719" s="15"/>
      <c r="S719" s="15"/>
      <c r="T719" s="15"/>
      <c r="U719" s="15"/>
      <c r="V719" s="15"/>
      <c r="W719" s="15"/>
      <c r="X719" s="15"/>
      <c r="Y719" s="15"/>
      <c r="Z719" s="15"/>
    </row>
    <row r="720" spans="1:26" ht="21" customHeight="1" x14ac:dyDescent="0.85">
      <c r="A720" s="15"/>
      <c r="B720" s="15"/>
      <c r="C720" s="15"/>
      <c r="D720" s="15"/>
      <c r="E720" s="15"/>
      <c r="F720" s="15"/>
      <c r="G720" s="15"/>
      <c r="H720" s="15"/>
      <c r="I720" s="15"/>
      <c r="J720" s="15"/>
      <c r="K720" s="15"/>
      <c r="L720" s="15"/>
      <c r="M720" s="15"/>
      <c r="N720" s="15"/>
      <c r="O720" s="15"/>
      <c r="P720" s="15"/>
      <c r="Q720" s="15"/>
      <c r="R720" s="15"/>
      <c r="S720" s="15"/>
      <c r="T720" s="15"/>
      <c r="U720" s="15"/>
      <c r="V720" s="15"/>
      <c r="W720" s="15"/>
      <c r="X720" s="15"/>
      <c r="Y720" s="15"/>
      <c r="Z720" s="15"/>
    </row>
    <row r="721" spans="1:26" ht="21" customHeight="1" x14ac:dyDescent="0.85">
      <c r="A721" s="15"/>
      <c r="B721" s="15"/>
      <c r="C721" s="15"/>
      <c r="D721" s="15"/>
      <c r="E721" s="15"/>
      <c r="F721" s="15"/>
      <c r="G721" s="15"/>
      <c r="H721" s="15"/>
      <c r="I721" s="15"/>
      <c r="J721" s="15"/>
      <c r="K721" s="15"/>
      <c r="L721" s="15"/>
      <c r="M721" s="15"/>
      <c r="N721" s="15"/>
      <c r="O721" s="15"/>
      <c r="P721" s="15"/>
      <c r="Q721" s="15"/>
      <c r="R721" s="15"/>
      <c r="S721" s="15"/>
      <c r="T721" s="15"/>
      <c r="U721" s="15"/>
      <c r="V721" s="15"/>
      <c r="W721" s="15"/>
      <c r="X721" s="15"/>
      <c r="Y721" s="15"/>
      <c r="Z721" s="15"/>
    </row>
    <row r="722" spans="1:26" ht="21" customHeight="1" x14ac:dyDescent="0.85">
      <c r="A722" s="15"/>
      <c r="B722" s="15"/>
      <c r="C722" s="15"/>
      <c r="D722" s="15"/>
      <c r="E722" s="15"/>
      <c r="F722" s="15"/>
      <c r="G722" s="15"/>
      <c r="H722" s="15"/>
      <c r="I722" s="15"/>
      <c r="J722" s="15"/>
      <c r="K722" s="15"/>
      <c r="L722" s="15"/>
      <c r="M722" s="15"/>
      <c r="N722" s="15"/>
      <c r="O722" s="15"/>
      <c r="P722" s="15"/>
      <c r="Q722" s="15"/>
      <c r="R722" s="15"/>
      <c r="S722" s="15"/>
      <c r="T722" s="15"/>
      <c r="U722" s="15"/>
      <c r="V722" s="15"/>
      <c r="W722" s="15"/>
      <c r="X722" s="15"/>
      <c r="Y722" s="15"/>
      <c r="Z722" s="15"/>
    </row>
    <row r="723" spans="1:26" ht="21" customHeight="1" x14ac:dyDescent="0.85">
      <c r="A723" s="15"/>
      <c r="B723" s="15"/>
      <c r="C723" s="15"/>
      <c r="D723" s="15"/>
      <c r="E723" s="15"/>
      <c r="F723" s="15"/>
      <c r="G723" s="15"/>
      <c r="H723" s="15"/>
      <c r="I723" s="15"/>
      <c r="J723" s="15"/>
      <c r="K723" s="15"/>
      <c r="L723" s="15"/>
      <c r="M723" s="15"/>
      <c r="N723" s="15"/>
      <c r="O723" s="15"/>
      <c r="P723" s="15"/>
      <c r="Q723" s="15"/>
      <c r="R723" s="15"/>
      <c r="S723" s="15"/>
      <c r="T723" s="15"/>
      <c r="U723" s="15"/>
      <c r="V723" s="15"/>
      <c r="W723" s="15"/>
      <c r="X723" s="15"/>
      <c r="Y723" s="15"/>
      <c r="Z723" s="15"/>
    </row>
    <row r="724" spans="1:26" ht="21" customHeight="1" x14ac:dyDescent="0.85">
      <c r="A724" s="15"/>
      <c r="B724" s="15"/>
      <c r="C724" s="15"/>
      <c r="D724" s="15"/>
      <c r="E724" s="15"/>
      <c r="F724" s="15"/>
      <c r="G724" s="15"/>
      <c r="H724" s="15"/>
      <c r="I724" s="15"/>
      <c r="J724" s="15"/>
      <c r="K724" s="15"/>
      <c r="L724" s="15"/>
      <c r="M724" s="15"/>
      <c r="N724" s="15"/>
      <c r="O724" s="15"/>
      <c r="P724" s="15"/>
      <c r="Q724" s="15"/>
      <c r="R724" s="15"/>
      <c r="S724" s="15"/>
      <c r="T724" s="15"/>
      <c r="U724" s="15"/>
      <c r="V724" s="15"/>
      <c r="W724" s="15"/>
      <c r="X724" s="15"/>
      <c r="Y724" s="15"/>
      <c r="Z724" s="15"/>
    </row>
    <row r="725" spans="1:26" ht="21" customHeight="1" x14ac:dyDescent="0.85">
      <c r="A725" s="15"/>
      <c r="B725" s="15"/>
      <c r="C725" s="15"/>
      <c r="D725" s="15"/>
      <c r="E725" s="15"/>
      <c r="F725" s="15"/>
      <c r="G725" s="15"/>
      <c r="H725" s="15"/>
      <c r="I725" s="15"/>
      <c r="J725" s="15"/>
      <c r="K725" s="15"/>
      <c r="L725" s="15"/>
      <c r="M725" s="15"/>
      <c r="N725" s="15"/>
      <c r="O725" s="15"/>
      <c r="P725" s="15"/>
      <c r="Q725" s="15"/>
      <c r="R725" s="15"/>
      <c r="S725" s="15"/>
      <c r="T725" s="15"/>
      <c r="U725" s="15"/>
      <c r="V725" s="15"/>
      <c r="W725" s="15"/>
      <c r="X725" s="15"/>
      <c r="Y725" s="15"/>
      <c r="Z725" s="15"/>
    </row>
    <row r="726" spans="1:26" ht="21" customHeight="1" x14ac:dyDescent="0.85">
      <c r="A726" s="15"/>
      <c r="B726" s="15"/>
      <c r="C726" s="15"/>
      <c r="D726" s="15"/>
      <c r="E726" s="15"/>
      <c r="F726" s="15"/>
      <c r="G726" s="15"/>
      <c r="H726" s="15"/>
      <c r="I726" s="15"/>
      <c r="J726" s="15"/>
      <c r="K726" s="15"/>
      <c r="L726" s="15"/>
      <c r="M726" s="15"/>
      <c r="N726" s="15"/>
      <c r="O726" s="15"/>
      <c r="P726" s="15"/>
      <c r="Q726" s="15"/>
      <c r="R726" s="15"/>
      <c r="S726" s="15"/>
      <c r="T726" s="15"/>
      <c r="U726" s="15"/>
      <c r="V726" s="15"/>
      <c r="W726" s="15"/>
      <c r="X726" s="15"/>
      <c r="Y726" s="15"/>
      <c r="Z726" s="15"/>
    </row>
    <row r="727" spans="1:26" ht="21" customHeight="1" x14ac:dyDescent="0.85">
      <c r="A727" s="15"/>
      <c r="B727" s="15"/>
      <c r="C727" s="15"/>
      <c r="D727" s="15"/>
      <c r="E727" s="15"/>
      <c r="F727" s="15"/>
      <c r="G727" s="15"/>
      <c r="H727" s="15"/>
      <c r="I727" s="15"/>
      <c r="J727" s="15"/>
      <c r="K727" s="15"/>
      <c r="L727" s="15"/>
      <c r="M727" s="15"/>
      <c r="N727" s="15"/>
      <c r="O727" s="15"/>
      <c r="P727" s="15"/>
      <c r="Q727" s="15"/>
      <c r="R727" s="15"/>
      <c r="S727" s="15"/>
      <c r="T727" s="15"/>
      <c r="U727" s="15"/>
      <c r="V727" s="15"/>
      <c r="W727" s="15"/>
      <c r="X727" s="15"/>
      <c r="Y727" s="15"/>
      <c r="Z727" s="15"/>
    </row>
    <row r="728" spans="1:26" ht="21" customHeight="1" x14ac:dyDescent="0.85">
      <c r="A728" s="15"/>
      <c r="B728" s="15"/>
      <c r="C728" s="15"/>
      <c r="D728" s="15"/>
      <c r="E728" s="15"/>
      <c r="F728" s="15"/>
      <c r="G728" s="15"/>
      <c r="H728" s="15"/>
      <c r="I728" s="15"/>
      <c r="J728" s="15"/>
      <c r="K728" s="15"/>
      <c r="L728" s="15"/>
      <c r="M728" s="15"/>
      <c r="N728" s="15"/>
      <c r="O728" s="15"/>
      <c r="P728" s="15"/>
      <c r="Q728" s="15"/>
      <c r="R728" s="15"/>
      <c r="S728" s="15"/>
      <c r="T728" s="15"/>
      <c r="U728" s="15"/>
      <c r="V728" s="15"/>
      <c r="W728" s="15"/>
      <c r="X728" s="15"/>
      <c r="Y728" s="15"/>
      <c r="Z728" s="15"/>
    </row>
    <row r="729" spans="1:26" ht="21" customHeight="1" x14ac:dyDescent="0.85">
      <c r="A729" s="15"/>
      <c r="B729" s="15"/>
      <c r="C729" s="15"/>
      <c r="D729" s="15"/>
      <c r="E729" s="15"/>
      <c r="F729" s="15"/>
      <c r="G729" s="15"/>
      <c r="H729" s="15"/>
      <c r="I729" s="15"/>
      <c r="J729" s="15"/>
      <c r="K729" s="15"/>
      <c r="L729" s="15"/>
      <c r="M729" s="15"/>
      <c r="N729" s="15"/>
      <c r="O729" s="15"/>
      <c r="P729" s="15"/>
      <c r="Q729" s="15"/>
      <c r="R729" s="15"/>
      <c r="S729" s="15"/>
      <c r="T729" s="15"/>
      <c r="U729" s="15"/>
      <c r="V729" s="15"/>
      <c r="W729" s="15"/>
      <c r="X729" s="15"/>
      <c r="Y729" s="15"/>
      <c r="Z729" s="15"/>
    </row>
    <row r="730" spans="1:26" ht="21" customHeight="1" x14ac:dyDescent="0.85">
      <c r="A730" s="15"/>
      <c r="B730" s="15"/>
      <c r="C730" s="15"/>
      <c r="D730" s="15"/>
      <c r="E730" s="15"/>
      <c r="F730" s="15"/>
      <c r="G730" s="15"/>
      <c r="H730" s="15"/>
      <c r="I730" s="15"/>
      <c r="J730" s="15"/>
      <c r="K730" s="15"/>
      <c r="L730" s="15"/>
      <c r="M730" s="15"/>
      <c r="N730" s="15"/>
      <c r="O730" s="15"/>
      <c r="P730" s="15"/>
      <c r="Q730" s="15"/>
      <c r="R730" s="15"/>
      <c r="S730" s="15"/>
      <c r="T730" s="15"/>
      <c r="U730" s="15"/>
      <c r="V730" s="15"/>
      <c r="W730" s="15"/>
      <c r="X730" s="15"/>
      <c r="Y730" s="15"/>
      <c r="Z730" s="15"/>
    </row>
    <row r="731" spans="1:26" ht="21" customHeight="1" x14ac:dyDescent="0.85">
      <c r="A731" s="15"/>
      <c r="B731" s="15"/>
      <c r="C731" s="15"/>
      <c r="D731" s="15"/>
      <c r="E731" s="15"/>
      <c r="F731" s="15"/>
      <c r="G731" s="15"/>
      <c r="H731" s="15"/>
      <c r="I731" s="15"/>
      <c r="J731" s="15"/>
      <c r="K731" s="15"/>
      <c r="L731" s="15"/>
      <c r="M731" s="15"/>
      <c r="N731" s="15"/>
      <c r="O731" s="15"/>
      <c r="P731" s="15"/>
      <c r="Q731" s="15"/>
      <c r="R731" s="15"/>
      <c r="S731" s="15"/>
      <c r="T731" s="15"/>
      <c r="U731" s="15"/>
      <c r="V731" s="15"/>
      <c r="W731" s="15"/>
      <c r="X731" s="15"/>
      <c r="Y731" s="15"/>
      <c r="Z731" s="15"/>
    </row>
    <row r="732" spans="1:26" ht="21" customHeight="1" x14ac:dyDescent="0.85">
      <c r="A732" s="15"/>
      <c r="B732" s="15"/>
      <c r="C732" s="15"/>
      <c r="D732" s="15"/>
      <c r="E732" s="15"/>
      <c r="F732" s="15"/>
      <c r="G732" s="15"/>
      <c r="H732" s="15"/>
      <c r="I732" s="15"/>
      <c r="J732" s="15"/>
      <c r="K732" s="15"/>
      <c r="L732" s="15"/>
      <c r="M732" s="15"/>
      <c r="N732" s="15"/>
      <c r="O732" s="15"/>
      <c r="P732" s="15"/>
      <c r="Q732" s="15"/>
      <c r="R732" s="15"/>
      <c r="S732" s="15"/>
      <c r="T732" s="15"/>
      <c r="U732" s="15"/>
      <c r="V732" s="15"/>
      <c r="W732" s="15"/>
      <c r="X732" s="15"/>
      <c r="Y732" s="15"/>
      <c r="Z732" s="15"/>
    </row>
    <row r="733" spans="1:26" ht="21" customHeight="1" x14ac:dyDescent="0.85">
      <c r="A733" s="15"/>
      <c r="B733" s="15"/>
      <c r="C733" s="15"/>
      <c r="D733" s="15"/>
      <c r="E733" s="15"/>
      <c r="F733" s="15"/>
      <c r="G733" s="15"/>
      <c r="H733" s="15"/>
      <c r="I733" s="15"/>
      <c r="J733" s="15"/>
      <c r="K733" s="15"/>
      <c r="L733" s="15"/>
      <c r="M733" s="15"/>
      <c r="N733" s="15"/>
      <c r="O733" s="15"/>
      <c r="P733" s="15"/>
      <c r="Q733" s="15"/>
      <c r="R733" s="15"/>
      <c r="S733" s="15"/>
      <c r="T733" s="15"/>
      <c r="U733" s="15"/>
      <c r="V733" s="15"/>
      <c r="W733" s="15"/>
      <c r="X733" s="15"/>
      <c r="Y733" s="15"/>
      <c r="Z733" s="15"/>
    </row>
    <row r="734" spans="1:26" ht="21" customHeight="1" x14ac:dyDescent="0.85">
      <c r="A734" s="15"/>
      <c r="B734" s="15"/>
      <c r="C734" s="15"/>
      <c r="D734" s="15"/>
      <c r="E734" s="15"/>
      <c r="F734" s="15"/>
      <c r="G734" s="15"/>
      <c r="H734" s="15"/>
      <c r="I734" s="15"/>
      <c r="J734" s="15"/>
      <c r="K734" s="15"/>
      <c r="L734" s="15"/>
      <c r="M734" s="15"/>
      <c r="N734" s="15"/>
      <c r="O734" s="15"/>
      <c r="P734" s="15"/>
      <c r="Q734" s="15"/>
      <c r="R734" s="15"/>
      <c r="S734" s="15"/>
      <c r="T734" s="15"/>
      <c r="U734" s="15"/>
      <c r="V734" s="15"/>
      <c r="W734" s="15"/>
      <c r="X734" s="15"/>
      <c r="Y734" s="15"/>
      <c r="Z734" s="15"/>
    </row>
    <row r="735" spans="1:26" ht="21" customHeight="1" x14ac:dyDescent="0.85">
      <c r="A735" s="15"/>
      <c r="B735" s="15"/>
      <c r="C735" s="15"/>
      <c r="D735" s="15"/>
      <c r="E735" s="15"/>
      <c r="F735" s="15"/>
      <c r="G735" s="15"/>
      <c r="H735" s="15"/>
      <c r="I735" s="15"/>
      <c r="J735" s="15"/>
      <c r="K735" s="15"/>
      <c r="L735" s="15"/>
      <c r="M735" s="15"/>
      <c r="N735" s="15"/>
      <c r="O735" s="15"/>
      <c r="P735" s="15"/>
      <c r="Q735" s="15"/>
      <c r="R735" s="15"/>
      <c r="S735" s="15"/>
      <c r="T735" s="15"/>
      <c r="U735" s="15"/>
      <c r="V735" s="15"/>
      <c r="W735" s="15"/>
      <c r="X735" s="15"/>
      <c r="Y735" s="15"/>
      <c r="Z735" s="15"/>
    </row>
    <row r="736" spans="1:26" ht="21" customHeight="1" x14ac:dyDescent="0.85">
      <c r="A736" s="15"/>
      <c r="B736" s="15"/>
      <c r="C736" s="15"/>
      <c r="D736" s="15"/>
      <c r="E736" s="15"/>
      <c r="F736" s="15"/>
      <c r="G736" s="15"/>
      <c r="H736" s="15"/>
      <c r="I736" s="15"/>
      <c r="J736" s="15"/>
      <c r="K736" s="15"/>
      <c r="L736" s="15"/>
      <c r="M736" s="15"/>
      <c r="N736" s="15"/>
      <c r="O736" s="15"/>
      <c r="P736" s="15"/>
      <c r="Q736" s="15"/>
      <c r="R736" s="15"/>
      <c r="S736" s="15"/>
      <c r="T736" s="15"/>
      <c r="U736" s="15"/>
      <c r="V736" s="15"/>
      <c r="W736" s="15"/>
      <c r="X736" s="15"/>
      <c r="Y736" s="15"/>
      <c r="Z736" s="15"/>
    </row>
    <row r="737" spans="1:26" ht="21" customHeight="1" x14ac:dyDescent="0.85">
      <c r="A737" s="15"/>
      <c r="B737" s="15"/>
      <c r="C737" s="15"/>
      <c r="D737" s="15"/>
      <c r="E737" s="15"/>
      <c r="F737" s="15"/>
      <c r="G737" s="15"/>
      <c r="H737" s="15"/>
      <c r="I737" s="15"/>
      <c r="J737" s="15"/>
      <c r="K737" s="15"/>
      <c r="L737" s="15"/>
      <c r="M737" s="15"/>
      <c r="N737" s="15"/>
      <c r="O737" s="15"/>
      <c r="P737" s="15"/>
      <c r="Q737" s="15"/>
      <c r="R737" s="15"/>
      <c r="S737" s="15"/>
      <c r="T737" s="15"/>
      <c r="U737" s="15"/>
      <c r="V737" s="15"/>
      <c r="W737" s="15"/>
      <c r="X737" s="15"/>
      <c r="Y737" s="15"/>
      <c r="Z737" s="15"/>
    </row>
    <row r="738" spans="1:26" ht="21" customHeight="1" x14ac:dyDescent="0.85">
      <c r="A738" s="15"/>
      <c r="B738" s="15"/>
      <c r="C738" s="15"/>
      <c r="D738" s="15"/>
      <c r="E738" s="15"/>
      <c r="F738" s="15"/>
      <c r="G738" s="15"/>
      <c r="H738" s="15"/>
      <c r="I738" s="15"/>
      <c r="J738" s="15"/>
      <c r="K738" s="15"/>
      <c r="L738" s="15"/>
      <c r="M738" s="15"/>
      <c r="N738" s="15"/>
      <c r="O738" s="15"/>
      <c r="P738" s="15"/>
      <c r="Q738" s="15"/>
      <c r="R738" s="15"/>
      <c r="S738" s="15"/>
      <c r="T738" s="15"/>
      <c r="U738" s="15"/>
      <c r="V738" s="15"/>
      <c r="W738" s="15"/>
      <c r="X738" s="15"/>
      <c r="Y738" s="15"/>
      <c r="Z738" s="15"/>
    </row>
    <row r="739" spans="1:26" ht="21" customHeight="1" x14ac:dyDescent="0.85">
      <c r="A739" s="15"/>
      <c r="B739" s="15"/>
      <c r="C739" s="15"/>
      <c r="D739" s="15"/>
      <c r="E739" s="15"/>
      <c r="F739" s="15"/>
      <c r="G739" s="15"/>
      <c r="H739" s="15"/>
      <c r="I739" s="15"/>
      <c r="J739" s="15"/>
      <c r="K739" s="15"/>
      <c r="L739" s="15"/>
      <c r="M739" s="15"/>
      <c r="N739" s="15"/>
      <c r="O739" s="15"/>
      <c r="P739" s="15"/>
      <c r="Q739" s="15"/>
      <c r="R739" s="15"/>
      <c r="S739" s="15"/>
      <c r="T739" s="15"/>
      <c r="U739" s="15"/>
      <c r="V739" s="15"/>
      <c r="W739" s="15"/>
      <c r="X739" s="15"/>
      <c r="Y739" s="15"/>
      <c r="Z739" s="15"/>
    </row>
    <row r="740" spans="1:26" ht="21" customHeight="1" x14ac:dyDescent="0.85">
      <c r="A740" s="15"/>
      <c r="B740" s="15"/>
      <c r="C740" s="15"/>
      <c r="D740" s="15"/>
      <c r="E740" s="15"/>
      <c r="F740" s="15"/>
      <c r="G740" s="15"/>
      <c r="H740" s="15"/>
      <c r="I740" s="15"/>
      <c r="J740" s="15"/>
      <c r="K740" s="15"/>
      <c r="L740" s="15"/>
      <c r="M740" s="15"/>
      <c r="N740" s="15"/>
      <c r="O740" s="15"/>
      <c r="P740" s="15"/>
      <c r="Q740" s="15"/>
      <c r="R740" s="15"/>
      <c r="S740" s="15"/>
      <c r="T740" s="15"/>
      <c r="U740" s="15"/>
      <c r="V740" s="15"/>
      <c r="W740" s="15"/>
      <c r="X740" s="15"/>
      <c r="Y740" s="15"/>
      <c r="Z740" s="15"/>
    </row>
    <row r="741" spans="1:26" ht="21" customHeight="1" x14ac:dyDescent="0.85">
      <c r="A741" s="15"/>
      <c r="B741" s="15"/>
      <c r="C741" s="15"/>
      <c r="D741" s="15"/>
      <c r="E741" s="15"/>
      <c r="F741" s="15"/>
      <c r="G741" s="15"/>
      <c r="H741" s="15"/>
      <c r="I741" s="15"/>
      <c r="J741" s="15"/>
      <c r="K741" s="15"/>
      <c r="L741" s="15"/>
      <c r="M741" s="15"/>
      <c r="N741" s="15"/>
      <c r="O741" s="15"/>
      <c r="P741" s="15"/>
      <c r="Q741" s="15"/>
      <c r="R741" s="15"/>
      <c r="S741" s="15"/>
      <c r="T741" s="15"/>
      <c r="U741" s="15"/>
      <c r="V741" s="15"/>
      <c r="W741" s="15"/>
      <c r="X741" s="15"/>
      <c r="Y741" s="15"/>
      <c r="Z741" s="15"/>
    </row>
    <row r="742" spans="1:26" ht="21" customHeight="1" x14ac:dyDescent="0.85">
      <c r="A742" s="15"/>
      <c r="B742" s="15"/>
      <c r="C742" s="15"/>
      <c r="D742" s="15"/>
      <c r="E742" s="15"/>
      <c r="F742" s="15"/>
      <c r="G742" s="15"/>
      <c r="H742" s="15"/>
      <c r="I742" s="15"/>
      <c r="J742" s="15"/>
      <c r="K742" s="15"/>
      <c r="L742" s="15"/>
      <c r="M742" s="15"/>
      <c r="N742" s="15"/>
      <c r="O742" s="15"/>
      <c r="P742" s="15"/>
      <c r="Q742" s="15"/>
      <c r="R742" s="15"/>
      <c r="S742" s="15"/>
      <c r="T742" s="15"/>
      <c r="U742" s="15"/>
      <c r="V742" s="15"/>
      <c r="W742" s="15"/>
      <c r="X742" s="15"/>
      <c r="Y742" s="15"/>
      <c r="Z742" s="15"/>
    </row>
    <row r="743" spans="1:26" ht="21" customHeight="1" x14ac:dyDescent="0.85">
      <c r="A743" s="15"/>
      <c r="B743" s="15"/>
      <c r="C743" s="15"/>
      <c r="D743" s="15"/>
      <c r="E743" s="15"/>
      <c r="F743" s="15"/>
      <c r="G743" s="15"/>
      <c r="H743" s="15"/>
      <c r="I743" s="15"/>
      <c r="J743" s="15"/>
      <c r="K743" s="15"/>
      <c r="L743" s="15"/>
      <c r="M743" s="15"/>
      <c r="N743" s="15"/>
      <c r="O743" s="15"/>
      <c r="P743" s="15"/>
      <c r="Q743" s="15"/>
      <c r="R743" s="15"/>
      <c r="S743" s="15"/>
      <c r="T743" s="15"/>
      <c r="U743" s="15"/>
      <c r="V743" s="15"/>
      <c r="W743" s="15"/>
      <c r="X743" s="15"/>
      <c r="Y743" s="15"/>
      <c r="Z743" s="15"/>
    </row>
    <row r="744" spans="1:26" ht="21" customHeight="1" x14ac:dyDescent="0.85">
      <c r="A744" s="15"/>
      <c r="B744" s="15"/>
      <c r="C744" s="15"/>
      <c r="D744" s="15"/>
      <c r="E744" s="15"/>
      <c r="F744" s="15"/>
      <c r="G744" s="15"/>
      <c r="H744" s="15"/>
      <c r="I744" s="15"/>
      <c r="J744" s="15"/>
      <c r="K744" s="15"/>
      <c r="L744" s="15"/>
      <c r="M744" s="15"/>
      <c r="N744" s="15"/>
      <c r="O744" s="15"/>
      <c r="P744" s="15"/>
      <c r="Q744" s="15"/>
      <c r="R744" s="15"/>
      <c r="S744" s="15"/>
      <c r="T744" s="15"/>
      <c r="U744" s="15"/>
      <c r="V744" s="15"/>
      <c r="W744" s="15"/>
      <c r="X744" s="15"/>
      <c r="Y744" s="15"/>
      <c r="Z744" s="15"/>
    </row>
    <row r="745" spans="1:26" ht="21" customHeight="1" x14ac:dyDescent="0.85">
      <c r="A745" s="15"/>
      <c r="B745" s="15"/>
      <c r="C745" s="15"/>
      <c r="D745" s="15"/>
      <c r="E745" s="15"/>
      <c r="F745" s="15"/>
      <c r="G745" s="15"/>
      <c r="H745" s="15"/>
      <c r="I745" s="15"/>
      <c r="J745" s="15"/>
      <c r="K745" s="15"/>
      <c r="L745" s="15"/>
      <c r="M745" s="15"/>
      <c r="N745" s="15"/>
      <c r="O745" s="15"/>
      <c r="P745" s="15"/>
      <c r="Q745" s="15"/>
      <c r="R745" s="15"/>
      <c r="S745" s="15"/>
      <c r="T745" s="15"/>
      <c r="U745" s="15"/>
      <c r="V745" s="15"/>
      <c r="W745" s="15"/>
      <c r="X745" s="15"/>
      <c r="Y745" s="15"/>
      <c r="Z745" s="15"/>
    </row>
    <row r="746" spans="1:26" ht="21" customHeight="1" x14ac:dyDescent="0.85">
      <c r="A746" s="15"/>
      <c r="B746" s="15"/>
      <c r="C746" s="15"/>
      <c r="D746" s="15"/>
      <c r="E746" s="15"/>
      <c r="F746" s="15"/>
      <c r="G746" s="15"/>
      <c r="H746" s="15"/>
      <c r="I746" s="15"/>
      <c r="J746" s="15"/>
      <c r="K746" s="15"/>
      <c r="L746" s="15"/>
      <c r="M746" s="15"/>
      <c r="N746" s="15"/>
      <c r="O746" s="15"/>
      <c r="P746" s="15"/>
      <c r="Q746" s="15"/>
      <c r="R746" s="15"/>
      <c r="S746" s="15"/>
      <c r="T746" s="15"/>
      <c r="U746" s="15"/>
      <c r="V746" s="15"/>
      <c r="W746" s="15"/>
      <c r="X746" s="15"/>
      <c r="Y746" s="15"/>
      <c r="Z746" s="15"/>
    </row>
    <row r="747" spans="1:26" ht="21" customHeight="1" x14ac:dyDescent="0.85">
      <c r="A747" s="15"/>
      <c r="B747" s="15"/>
      <c r="C747" s="15"/>
      <c r="D747" s="15"/>
      <c r="E747" s="15"/>
      <c r="F747" s="15"/>
      <c r="G747" s="15"/>
      <c r="H747" s="15"/>
      <c r="I747" s="15"/>
      <c r="J747" s="15"/>
      <c r="K747" s="15"/>
      <c r="L747" s="15"/>
      <c r="M747" s="15"/>
      <c r="N747" s="15"/>
      <c r="O747" s="15"/>
      <c r="P747" s="15"/>
      <c r="Q747" s="15"/>
      <c r="R747" s="15"/>
      <c r="S747" s="15"/>
      <c r="T747" s="15"/>
      <c r="U747" s="15"/>
      <c r="V747" s="15"/>
      <c r="W747" s="15"/>
      <c r="X747" s="15"/>
      <c r="Y747" s="15"/>
      <c r="Z747" s="15"/>
    </row>
    <row r="748" spans="1:26" ht="21" customHeight="1" x14ac:dyDescent="0.85">
      <c r="A748" s="15"/>
      <c r="B748" s="15"/>
      <c r="C748" s="15"/>
      <c r="D748" s="15"/>
      <c r="E748" s="15"/>
      <c r="F748" s="15"/>
      <c r="G748" s="15"/>
      <c r="H748" s="15"/>
      <c r="I748" s="15"/>
      <c r="J748" s="15"/>
      <c r="K748" s="15"/>
      <c r="L748" s="15"/>
      <c r="M748" s="15"/>
      <c r="N748" s="15"/>
      <c r="O748" s="15"/>
      <c r="P748" s="15"/>
      <c r="Q748" s="15"/>
      <c r="R748" s="15"/>
      <c r="S748" s="15"/>
      <c r="T748" s="15"/>
      <c r="U748" s="15"/>
      <c r="V748" s="15"/>
      <c r="W748" s="15"/>
      <c r="X748" s="15"/>
      <c r="Y748" s="15"/>
      <c r="Z748" s="15"/>
    </row>
    <row r="749" spans="1:26" ht="21" customHeight="1" x14ac:dyDescent="0.85">
      <c r="A749" s="15"/>
      <c r="B749" s="15"/>
      <c r="C749" s="15"/>
      <c r="D749" s="15"/>
      <c r="E749" s="15"/>
      <c r="F749" s="15"/>
      <c r="G749" s="15"/>
      <c r="H749" s="15"/>
      <c r="I749" s="15"/>
      <c r="J749" s="15"/>
      <c r="K749" s="15"/>
      <c r="L749" s="15"/>
      <c r="M749" s="15"/>
      <c r="N749" s="15"/>
      <c r="O749" s="15"/>
      <c r="P749" s="15"/>
      <c r="Q749" s="15"/>
      <c r="R749" s="15"/>
      <c r="S749" s="15"/>
      <c r="T749" s="15"/>
      <c r="U749" s="15"/>
      <c r="V749" s="15"/>
      <c r="W749" s="15"/>
      <c r="X749" s="15"/>
      <c r="Y749" s="15"/>
      <c r="Z749" s="15"/>
    </row>
    <row r="750" spans="1:26" ht="21" customHeight="1" x14ac:dyDescent="0.85">
      <c r="A750" s="15"/>
      <c r="B750" s="15"/>
      <c r="C750" s="15"/>
      <c r="D750" s="15"/>
      <c r="E750" s="15"/>
      <c r="F750" s="15"/>
      <c r="G750" s="15"/>
      <c r="H750" s="15"/>
      <c r="I750" s="15"/>
      <c r="J750" s="15"/>
      <c r="K750" s="15"/>
      <c r="L750" s="15"/>
      <c r="M750" s="15"/>
      <c r="N750" s="15"/>
      <c r="O750" s="15"/>
      <c r="P750" s="15"/>
      <c r="Q750" s="15"/>
      <c r="R750" s="15"/>
      <c r="S750" s="15"/>
      <c r="T750" s="15"/>
      <c r="U750" s="15"/>
      <c r="V750" s="15"/>
      <c r="W750" s="15"/>
      <c r="X750" s="15"/>
      <c r="Y750" s="15"/>
      <c r="Z750" s="15"/>
    </row>
    <row r="751" spans="1:26" ht="21" customHeight="1" x14ac:dyDescent="0.85">
      <c r="A751" s="15"/>
      <c r="B751" s="15"/>
      <c r="C751" s="15"/>
      <c r="D751" s="15"/>
      <c r="E751" s="15"/>
      <c r="F751" s="15"/>
      <c r="G751" s="15"/>
      <c r="H751" s="15"/>
      <c r="I751" s="15"/>
      <c r="J751" s="15"/>
      <c r="K751" s="15"/>
      <c r="L751" s="15"/>
      <c r="M751" s="15"/>
      <c r="N751" s="15"/>
      <c r="O751" s="15"/>
      <c r="P751" s="15"/>
      <c r="Q751" s="15"/>
      <c r="R751" s="15"/>
      <c r="S751" s="15"/>
      <c r="T751" s="15"/>
      <c r="U751" s="15"/>
      <c r="V751" s="15"/>
      <c r="W751" s="15"/>
      <c r="X751" s="15"/>
      <c r="Y751" s="15"/>
      <c r="Z751" s="15"/>
    </row>
    <row r="752" spans="1:26" ht="21" customHeight="1" x14ac:dyDescent="0.85">
      <c r="A752" s="15"/>
      <c r="B752" s="15"/>
      <c r="C752" s="15"/>
      <c r="D752" s="15"/>
      <c r="E752" s="15"/>
      <c r="F752" s="15"/>
      <c r="G752" s="15"/>
      <c r="H752" s="15"/>
      <c r="I752" s="15"/>
      <c r="J752" s="15"/>
      <c r="K752" s="15"/>
      <c r="L752" s="15"/>
      <c r="M752" s="15"/>
      <c r="N752" s="15"/>
      <c r="O752" s="15"/>
      <c r="P752" s="15"/>
      <c r="Q752" s="15"/>
      <c r="R752" s="15"/>
      <c r="S752" s="15"/>
      <c r="T752" s="15"/>
      <c r="U752" s="15"/>
      <c r="V752" s="15"/>
      <c r="W752" s="15"/>
      <c r="X752" s="15"/>
      <c r="Y752" s="15"/>
      <c r="Z752" s="15"/>
    </row>
    <row r="753" spans="1:26" ht="21" customHeight="1" x14ac:dyDescent="0.85">
      <c r="A753" s="15"/>
      <c r="B753" s="15"/>
      <c r="C753" s="15"/>
      <c r="D753" s="15"/>
      <c r="E753" s="15"/>
      <c r="F753" s="15"/>
      <c r="G753" s="15"/>
      <c r="H753" s="15"/>
      <c r="I753" s="15"/>
      <c r="J753" s="15"/>
      <c r="K753" s="15"/>
      <c r="L753" s="15"/>
      <c r="M753" s="15"/>
      <c r="N753" s="15"/>
      <c r="O753" s="15"/>
      <c r="P753" s="15"/>
      <c r="Q753" s="15"/>
      <c r="R753" s="15"/>
      <c r="S753" s="15"/>
      <c r="T753" s="15"/>
      <c r="U753" s="15"/>
      <c r="V753" s="15"/>
      <c r="W753" s="15"/>
      <c r="X753" s="15"/>
      <c r="Y753" s="15"/>
      <c r="Z753" s="15"/>
    </row>
    <row r="754" spans="1:26" ht="21" customHeight="1" x14ac:dyDescent="0.85">
      <c r="A754" s="15"/>
      <c r="B754" s="15"/>
      <c r="C754" s="15"/>
      <c r="D754" s="15"/>
      <c r="E754" s="15"/>
      <c r="F754" s="15"/>
      <c r="G754" s="15"/>
      <c r="H754" s="15"/>
      <c r="I754" s="15"/>
      <c r="J754" s="15"/>
      <c r="K754" s="15"/>
      <c r="L754" s="15"/>
      <c r="M754" s="15"/>
      <c r="N754" s="15"/>
      <c r="O754" s="15"/>
      <c r="P754" s="15"/>
      <c r="Q754" s="15"/>
      <c r="R754" s="15"/>
      <c r="S754" s="15"/>
      <c r="T754" s="15"/>
      <c r="U754" s="15"/>
      <c r="V754" s="15"/>
      <c r="W754" s="15"/>
      <c r="X754" s="15"/>
      <c r="Y754" s="15"/>
      <c r="Z754" s="15"/>
    </row>
    <row r="755" spans="1:26" ht="21" customHeight="1" x14ac:dyDescent="0.85">
      <c r="A755" s="15"/>
      <c r="B755" s="15"/>
      <c r="C755" s="15"/>
      <c r="D755" s="15"/>
      <c r="E755" s="15"/>
      <c r="F755" s="15"/>
      <c r="G755" s="15"/>
      <c r="H755" s="15"/>
      <c r="I755" s="15"/>
      <c r="J755" s="15"/>
      <c r="K755" s="15"/>
      <c r="L755" s="15"/>
      <c r="M755" s="15"/>
      <c r="N755" s="15"/>
      <c r="O755" s="15"/>
      <c r="P755" s="15"/>
      <c r="Q755" s="15"/>
      <c r="R755" s="15"/>
      <c r="S755" s="15"/>
      <c r="T755" s="15"/>
      <c r="U755" s="15"/>
      <c r="V755" s="15"/>
      <c r="W755" s="15"/>
      <c r="X755" s="15"/>
      <c r="Y755" s="15"/>
      <c r="Z755" s="15"/>
    </row>
    <row r="756" spans="1:26" ht="21" customHeight="1" x14ac:dyDescent="0.85">
      <c r="A756" s="15"/>
      <c r="B756" s="15"/>
      <c r="C756" s="15"/>
      <c r="D756" s="15"/>
      <c r="E756" s="15"/>
      <c r="F756" s="15"/>
      <c r="G756" s="15"/>
      <c r="H756" s="15"/>
      <c r="I756" s="15"/>
      <c r="J756" s="15"/>
      <c r="K756" s="15"/>
      <c r="L756" s="15"/>
      <c r="M756" s="15"/>
      <c r="N756" s="15"/>
      <c r="O756" s="15"/>
      <c r="P756" s="15"/>
      <c r="Q756" s="15"/>
      <c r="R756" s="15"/>
      <c r="S756" s="15"/>
      <c r="T756" s="15"/>
      <c r="U756" s="15"/>
      <c r="V756" s="15"/>
      <c r="W756" s="15"/>
      <c r="X756" s="15"/>
      <c r="Y756" s="15"/>
      <c r="Z756" s="15"/>
    </row>
    <row r="757" spans="1:26" ht="21" customHeight="1" x14ac:dyDescent="0.85">
      <c r="A757" s="15"/>
      <c r="B757" s="15"/>
      <c r="C757" s="15"/>
      <c r="D757" s="15"/>
      <c r="E757" s="15"/>
      <c r="F757" s="15"/>
      <c r="G757" s="15"/>
      <c r="H757" s="15"/>
      <c r="I757" s="15"/>
      <c r="J757" s="15"/>
      <c r="K757" s="15"/>
      <c r="L757" s="15"/>
      <c r="M757" s="15"/>
      <c r="N757" s="15"/>
      <c r="O757" s="15"/>
      <c r="P757" s="15"/>
      <c r="Q757" s="15"/>
      <c r="R757" s="15"/>
      <c r="S757" s="15"/>
      <c r="T757" s="15"/>
      <c r="U757" s="15"/>
      <c r="V757" s="15"/>
      <c r="W757" s="15"/>
      <c r="X757" s="15"/>
      <c r="Y757" s="15"/>
      <c r="Z757" s="15"/>
    </row>
    <row r="758" spans="1:26" ht="21" customHeight="1" x14ac:dyDescent="0.85">
      <c r="A758" s="15"/>
      <c r="B758" s="15"/>
      <c r="C758" s="15"/>
      <c r="D758" s="15"/>
      <c r="E758" s="15"/>
      <c r="F758" s="15"/>
      <c r="G758" s="15"/>
      <c r="H758" s="15"/>
      <c r="I758" s="15"/>
      <c r="J758" s="15"/>
      <c r="K758" s="15"/>
      <c r="L758" s="15"/>
      <c r="M758" s="15"/>
      <c r="N758" s="15"/>
      <c r="O758" s="15"/>
      <c r="P758" s="15"/>
      <c r="Q758" s="15"/>
      <c r="R758" s="15"/>
      <c r="S758" s="15"/>
      <c r="T758" s="15"/>
      <c r="U758" s="15"/>
      <c r="V758" s="15"/>
      <c r="W758" s="15"/>
      <c r="X758" s="15"/>
      <c r="Y758" s="15"/>
      <c r="Z758" s="15"/>
    </row>
    <row r="759" spans="1:26" ht="21" customHeight="1" x14ac:dyDescent="0.85">
      <c r="A759" s="15"/>
      <c r="B759" s="15"/>
      <c r="C759" s="15"/>
      <c r="D759" s="15"/>
      <c r="E759" s="15"/>
      <c r="F759" s="15"/>
      <c r="G759" s="15"/>
      <c r="H759" s="15"/>
      <c r="I759" s="15"/>
      <c r="J759" s="15"/>
      <c r="K759" s="15"/>
      <c r="L759" s="15"/>
      <c r="M759" s="15"/>
      <c r="N759" s="15"/>
      <c r="O759" s="15"/>
      <c r="P759" s="15"/>
      <c r="Q759" s="15"/>
      <c r="R759" s="15"/>
      <c r="S759" s="15"/>
      <c r="T759" s="15"/>
      <c r="U759" s="15"/>
      <c r="V759" s="15"/>
      <c r="W759" s="15"/>
      <c r="X759" s="15"/>
      <c r="Y759" s="15"/>
      <c r="Z759" s="15"/>
    </row>
    <row r="760" spans="1:26" ht="21" customHeight="1" x14ac:dyDescent="0.85">
      <c r="A760" s="15"/>
      <c r="B760" s="15"/>
      <c r="C760" s="15"/>
      <c r="D760" s="15"/>
      <c r="E760" s="15"/>
      <c r="F760" s="15"/>
      <c r="G760" s="15"/>
      <c r="H760" s="15"/>
      <c r="I760" s="15"/>
      <c r="J760" s="15"/>
      <c r="K760" s="15"/>
      <c r="L760" s="15"/>
      <c r="M760" s="15"/>
      <c r="N760" s="15"/>
      <c r="O760" s="15"/>
      <c r="P760" s="15"/>
      <c r="Q760" s="15"/>
      <c r="R760" s="15"/>
      <c r="S760" s="15"/>
      <c r="T760" s="15"/>
      <c r="U760" s="15"/>
      <c r="V760" s="15"/>
      <c r="W760" s="15"/>
      <c r="X760" s="15"/>
      <c r="Y760" s="15"/>
      <c r="Z760" s="15"/>
    </row>
    <row r="761" spans="1:26" ht="21" customHeight="1" x14ac:dyDescent="0.85">
      <c r="A761" s="15"/>
      <c r="B761" s="15"/>
      <c r="C761" s="15"/>
      <c r="D761" s="15"/>
      <c r="E761" s="15"/>
      <c r="F761" s="15"/>
      <c r="G761" s="15"/>
      <c r="H761" s="15"/>
      <c r="I761" s="15"/>
      <c r="J761" s="15"/>
      <c r="K761" s="15"/>
      <c r="L761" s="15"/>
      <c r="M761" s="15"/>
      <c r="N761" s="15"/>
      <c r="O761" s="15"/>
      <c r="P761" s="15"/>
      <c r="Q761" s="15"/>
      <c r="R761" s="15"/>
      <c r="S761" s="15"/>
      <c r="T761" s="15"/>
      <c r="U761" s="15"/>
      <c r="V761" s="15"/>
      <c r="W761" s="15"/>
      <c r="X761" s="15"/>
      <c r="Y761" s="15"/>
      <c r="Z761" s="15"/>
    </row>
    <row r="762" spans="1:26" ht="21" customHeight="1" x14ac:dyDescent="0.85">
      <c r="A762" s="15"/>
      <c r="B762" s="15"/>
      <c r="C762" s="15"/>
      <c r="D762" s="15"/>
      <c r="E762" s="15"/>
      <c r="F762" s="15"/>
      <c r="G762" s="15"/>
      <c r="H762" s="15"/>
      <c r="I762" s="15"/>
      <c r="J762" s="15"/>
      <c r="K762" s="15"/>
      <c r="L762" s="15"/>
      <c r="M762" s="15"/>
      <c r="N762" s="15"/>
      <c r="O762" s="15"/>
      <c r="P762" s="15"/>
      <c r="Q762" s="15"/>
      <c r="R762" s="15"/>
      <c r="S762" s="15"/>
      <c r="T762" s="15"/>
      <c r="U762" s="15"/>
      <c r="V762" s="15"/>
      <c r="W762" s="15"/>
      <c r="X762" s="15"/>
      <c r="Y762" s="15"/>
      <c r="Z762" s="15"/>
    </row>
    <row r="763" spans="1:26" ht="21" customHeight="1" x14ac:dyDescent="0.85">
      <c r="A763" s="15"/>
      <c r="B763" s="15"/>
      <c r="C763" s="15"/>
      <c r="D763" s="15"/>
      <c r="E763" s="15"/>
      <c r="F763" s="15"/>
      <c r="G763" s="15"/>
      <c r="H763" s="15"/>
      <c r="I763" s="15"/>
      <c r="J763" s="15"/>
      <c r="K763" s="15"/>
      <c r="L763" s="15"/>
      <c r="M763" s="15"/>
      <c r="N763" s="15"/>
      <c r="O763" s="15"/>
      <c r="P763" s="15"/>
      <c r="Q763" s="15"/>
      <c r="R763" s="15"/>
      <c r="S763" s="15"/>
      <c r="T763" s="15"/>
      <c r="U763" s="15"/>
      <c r="V763" s="15"/>
      <c r="W763" s="15"/>
      <c r="X763" s="15"/>
      <c r="Y763" s="15"/>
      <c r="Z763" s="15"/>
    </row>
    <row r="764" spans="1:26" ht="21" customHeight="1" x14ac:dyDescent="0.85">
      <c r="A764" s="15"/>
      <c r="B764" s="15"/>
      <c r="C764" s="15"/>
      <c r="D764" s="15"/>
      <c r="E764" s="15"/>
      <c r="F764" s="15"/>
      <c r="G764" s="15"/>
      <c r="H764" s="15"/>
      <c r="I764" s="15"/>
      <c r="J764" s="15"/>
      <c r="K764" s="15"/>
      <c r="L764" s="15"/>
      <c r="M764" s="15"/>
      <c r="N764" s="15"/>
      <c r="O764" s="15"/>
      <c r="P764" s="15"/>
      <c r="Q764" s="15"/>
      <c r="R764" s="15"/>
      <c r="S764" s="15"/>
      <c r="T764" s="15"/>
      <c r="U764" s="15"/>
      <c r="V764" s="15"/>
      <c r="W764" s="15"/>
      <c r="X764" s="15"/>
      <c r="Y764" s="15"/>
      <c r="Z764" s="15"/>
    </row>
    <row r="765" spans="1:26" ht="21" customHeight="1" x14ac:dyDescent="0.85">
      <c r="A765" s="15"/>
      <c r="B765" s="15"/>
      <c r="C765" s="15"/>
      <c r="D765" s="15"/>
      <c r="E765" s="15"/>
      <c r="F765" s="15"/>
      <c r="G765" s="15"/>
      <c r="H765" s="15"/>
      <c r="I765" s="15"/>
      <c r="J765" s="15"/>
      <c r="K765" s="15"/>
      <c r="L765" s="15"/>
      <c r="M765" s="15"/>
      <c r="N765" s="15"/>
      <c r="O765" s="15"/>
      <c r="P765" s="15"/>
      <c r="Q765" s="15"/>
      <c r="R765" s="15"/>
      <c r="S765" s="15"/>
      <c r="T765" s="15"/>
      <c r="U765" s="15"/>
      <c r="V765" s="15"/>
      <c r="W765" s="15"/>
      <c r="X765" s="15"/>
      <c r="Y765" s="15"/>
      <c r="Z765" s="15"/>
    </row>
    <row r="766" spans="1:26" ht="21" customHeight="1" x14ac:dyDescent="0.85">
      <c r="A766" s="15"/>
      <c r="B766" s="15"/>
      <c r="C766" s="15"/>
      <c r="D766" s="15"/>
      <c r="E766" s="15"/>
      <c r="F766" s="15"/>
      <c r="G766" s="15"/>
      <c r="H766" s="15"/>
      <c r="I766" s="15"/>
      <c r="J766" s="15"/>
      <c r="K766" s="15"/>
      <c r="L766" s="15"/>
      <c r="M766" s="15"/>
      <c r="N766" s="15"/>
      <c r="O766" s="15"/>
      <c r="P766" s="15"/>
      <c r="Q766" s="15"/>
      <c r="R766" s="15"/>
      <c r="S766" s="15"/>
      <c r="T766" s="15"/>
      <c r="U766" s="15"/>
      <c r="V766" s="15"/>
      <c r="W766" s="15"/>
      <c r="X766" s="15"/>
      <c r="Y766" s="15"/>
      <c r="Z766" s="15"/>
    </row>
    <row r="767" spans="1:26" ht="21" customHeight="1" x14ac:dyDescent="0.85">
      <c r="A767" s="15"/>
      <c r="B767" s="15"/>
      <c r="C767" s="15"/>
      <c r="D767" s="15"/>
      <c r="E767" s="15"/>
      <c r="F767" s="15"/>
      <c r="G767" s="15"/>
      <c r="H767" s="15"/>
      <c r="I767" s="15"/>
      <c r="J767" s="15"/>
      <c r="K767" s="15"/>
      <c r="L767" s="15"/>
      <c r="M767" s="15"/>
      <c r="N767" s="15"/>
      <c r="O767" s="15"/>
      <c r="P767" s="15"/>
      <c r="Q767" s="15"/>
      <c r="R767" s="15"/>
      <c r="S767" s="15"/>
      <c r="T767" s="15"/>
      <c r="U767" s="15"/>
      <c r="V767" s="15"/>
      <c r="W767" s="15"/>
      <c r="X767" s="15"/>
      <c r="Y767" s="15"/>
      <c r="Z767" s="15"/>
    </row>
    <row r="768" spans="1:26" ht="21" customHeight="1" x14ac:dyDescent="0.85">
      <c r="A768" s="15"/>
      <c r="B768" s="15"/>
      <c r="C768" s="15"/>
      <c r="D768" s="15"/>
      <c r="E768" s="15"/>
      <c r="F768" s="15"/>
      <c r="G768" s="15"/>
      <c r="H768" s="15"/>
      <c r="I768" s="15"/>
      <c r="J768" s="15"/>
      <c r="K768" s="15"/>
      <c r="L768" s="15"/>
      <c r="M768" s="15"/>
      <c r="N768" s="15"/>
      <c r="O768" s="15"/>
      <c r="P768" s="15"/>
      <c r="Q768" s="15"/>
      <c r="R768" s="15"/>
      <c r="S768" s="15"/>
      <c r="T768" s="15"/>
      <c r="U768" s="15"/>
      <c r="V768" s="15"/>
      <c r="W768" s="15"/>
      <c r="X768" s="15"/>
      <c r="Y768" s="15"/>
      <c r="Z768" s="15"/>
    </row>
    <row r="769" spans="1:26" ht="21" customHeight="1" x14ac:dyDescent="0.85">
      <c r="A769" s="15"/>
      <c r="B769" s="15"/>
      <c r="C769" s="15"/>
      <c r="D769" s="15"/>
      <c r="E769" s="15"/>
      <c r="F769" s="15"/>
      <c r="G769" s="15"/>
      <c r="H769" s="15"/>
      <c r="I769" s="15"/>
      <c r="J769" s="15"/>
      <c r="K769" s="15"/>
      <c r="L769" s="15"/>
      <c r="M769" s="15"/>
      <c r="N769" s="15"/>
      <c r="O769" s="15"/>
      <c r="P769" s="15"/>
      <c r="Q769" s="15"/>
      <c r="R769" s="15"/>
      <c r="S769" s="15"/>
      <c r="T769" s="15"/>
      <c r="U769" s="15"/>
      <c r="V769" s="15"/>
      <c r="W769" s="15"/>
      <c r="X769" s="15"/>
      <c r="Y769" s="15"/>
      <c r="Z769" s="15"/>
    </row>
    <row r="770" spans="1:26" ht="21" customHeight="1" x14ac:dyDescent="0.85">
      <c r="A770" s="15"/>
      <c r="B770" s="15"/>
      <c r="C770" s="15"/>
      <c r="D770" s="15"/>
      <c r="E770" s="15"/>
      <c r="F770" s="15"/>
      <c r="G770" s="15"/>
      <c r="H770" s="15"/>
      <c r="I770" s="15"/>
      <c r="J770" s="15"/>
      <c r="K770" s="15"/>
      <c r="L770" s="15"/>
      <c r="M770" s="15"/>
      <c r="N770" s="15"/>
      <c r="O770" s="15"/>
      <c r="P770" s="15"/>
      <c r="Q770" s="15"/>
      <c r="R770" s="15"/>
      <c r="S770" s="15"/>
      <c r="T770" s="15"/>
      <c r="U770" s="15"/>
      <c r="V770" s="15"/>
      <c r="W770" s="15"/>
      <c r="X770" s="15"/>
      <c r="Y770" s="15"/>
      <c r="Z770" s="15"/>
    </row>
    <row r="771" spans="1:26" ht="21" customHeight="1" x14ac:dyDescent="0.85">
      <c r="A771" s="15"/>
      <c r="B771" s="15"/>
      <c r="C771" s="15"/>
      <c r="D771" s="15"/>
      <c r="E771" s="15"/>
      <c r="F771" s="15"/>
      <c r="G771" s="15"/>
      <c r="H771" s="15"/>
      <c r="I771" s="15"/>
      <c r="J771" s="15"/>
      <c r="K771" s="15"/>
      <c r="L771" s="15"/>
      <c r="M771" s="15"/>
      <c r="N771" s="15"/>
      <c r="O771" s="15"/>
      <c r="P771" s="15"/>
      <c r="Q771" s="15"/>
      <c r="R771" s="15"/>
      <c r="S771" s="15"/>
      <c r="T771" s="15"/>
      <c r="U771" s="15"/>
      <c r="V771" s="15"/>
      <c r="W771" s="15"/>
      <c r="X771" s="15"/>
      <c r="Y771" s="15"/>
      <c r="Z771" s="15"/>
    </row>
    <row r="772" spans="1:26" ht="21" customHeight="1" x14ac:dyDescent="0.85">
      <c r="A772" s="15"/>
      <c r="B772" s="15"/>
      <c r="C772" s="15"/>
      <c r="D772" s="15"/>
      <c r="E772" s="15"/>
      <c r="F772" s="15"/>
      <c r="G772" s="15"/>
      <c r="H772" s="15"/>
      <c r="I772" s="15"/>
      <c r="J772" s="15"/>
      <c r="K772" s="15"/>
      <c r="L772" s="15"/>
      <c r="M772" s="15"/>
      <c r="N772" s="15"/>
      <c r="O772" s="15"/>
      <c r="P772" s="15"/>
      <c r="Q772" s="15"/>
      <c r="R772" s="15"/>
      <c r="S772" s="15"/>
      <c r="T772" s="15"/>
      <c r="U772" s="15"/>
      <c r="V772" s="15"/>
      <c r="W772" s="15"/>
      <c r="X772" s="15"/>
      <c r="Y772" s="15"/>
      <c r="Z772" s="15"/>
    </row>
    <row r="773" spans="1:26" ht="21" customHeight="1" x14ac:dyDescent="0.85">
      <c r="A773" s="15"/>
      <c r="B773" s="15"/>
      <c r="C773" s="15"/>
      <c r="D773" s="15"/>
      <c r="E773" s="15"/>
      <c r="F773" s="15"/>
      <c r="G773" s="15"/>
      <c r="H773" s="15"/>
      <c r="I773" s="15"/>
      <c r="J773" s="15"/>
      <c r="K773" s="15"/>
      <c r="L773" s="15"/>
      <c r="M773" s="15"/>
      <c r="N773" s="15"/>
      <c r="O773" s="15"/>
      <c r="P773" s="15"/>
      <c r="Q773" s="15"/>
      <c r="R773" s="15"/>
      <c r="S773" s="15"/>
      <c r="T773" s="15"/>
      <c r="U773" s="15"/>
      <c r="V773" s="15"/>
      <c r="W773" s="15"/>
      <c r="X773" s="15"/>
      <c r="Y773" s="15"/>
      <c r="Z773" s="15"/>
    </row>
    <row r="774" spans="1:26" ht="21" customHeight="1" x14ac:dyDescent="0.85">
      <c r="A774" s="15"/>
      <c r="B774" s="15"/>
      <c r="C774" s="15"/>
      <c r="D774" s="15"/>
      <c r="E774" s="15"/>
      <c r="F774" s="15"/>
      <c r="G774" s="15"/>
      <c r="H774" s="15"/>
      <c r="I774" s="15"/>
      <c r="J774" s="15"/>
      <c r="K774" s="15"/>
      <c r="L774" s="15"/>
      <c r="M774" s="15"/>
      <c r="N774" s="15"/>
      <c r="O774" s="15"/>
      <c r="P774" s="15"/>
      <c r="Q774" s="15"/>
      <c r="R774" s="15"/>
      <c r="S774" s="15"/>
      <c r="T774" s="15"/>
      <c r="U774" s="15"/>
      <c r="V774" s="15"/>
      <c r="W774" s="15"/>
      <c r="X774" s="15"/>
      <c r="Y774" s="15"/>
      <c r="Z774" s="15"/>
    </row>
    <row r="775" spans="1:26" ht="21" customHeight="1" x14ac:dyDescent="0.85">
      <c r="A775" s="15"/>
      <c r="B775" s="15"/>
      <c r="C775" s="15"/>
      <c r="D775" s="15"/>
      <c r="E775" s="15"/>
      <c r="F775" s="15"/>
      <c r="G775" s="15"/>
      <c r="H775" s="15"/>
      <c r="I775" s="15"/>
      <c r="J775" s="15"/>
      <c r="K775" s="15"/>
      <c r="L775" s="15"/>
      <c r="M775" s="15"/>
      <c r="N775" s="15"/>
      <c r="O775" s="15"/>
      <c r="P775" s="15"/>
      <c r="Q775" s="15"/>
      <c r="R775" s="15"/>
      <c r="S775" s="15"/>
      <c r="T775" s="15"/>
      <c r="U775" s="15"/>
      <c r="V775" s="15"/>
      <c r="W775" s="15"/>
      <c r="X775" s="15"/>
      <c r="Y775" s="15"/>
      <c r="Z775" s="15"/>
    </row>
    <row r="776" spans="1:26" ht="21" customHeight="1" x14ac:dyDescent="0.85">
      <c r="A776" s="15"/>
      <c r="B776" s="15"/>
      <c r="C776" s="15"/>
      <c r="D776" s="15"/>
      <c r="E776" s="15"/>
      <c r="F776" s="15"/>
      <c r="G776" s="15"/>
      <c r="H776" s="15"/>
      <c r="I776" s="15"/>
      <c r="J776" s="15"/>
      <c r="K776" s="15"/>
      <c r="L776" s="15"/>
      <c r="M776" s="15"/>
      <c r="N776" s="15"/>
      <c r="O776" s="15"/>
      <c r="P776" s="15"/>
      <c r="Q776" s="15"/>
      <c r="R776" s="15"/>
      <c r="S776" s="15"/>
      <c r="T776" s="15"/>
      <c r="U776" s="15"/>
      <c r="V776" s="15"/>
      <c r="W776" s="15"/>
      <c r="X776" s="15"/>
      <c r="Y776" s="15"/>
      <c r="Z776" s="15"/>
    </row>
    <row r="777" spans="1:26" ht="21" customHeight="1" x14ac:dyDescent="0.85">
      <c r="A777" s="15"/>
      <c r="B777" s="15"/>
      <c r="C777" s="15"/>
      <c r="D777" s="15"/>
      <c r="E777" s="15"/>
      <c r="F777" s="15"/>
      <c r="G777" s="15"/>
      <c r="H777" s="15"/>
      <c r="I777" s="15"/>
      <c r="J777" s="15"/>
      <c r="K777" s="15"/>
      <c r="L777" s="15"/>
      <c r="M777" s="15"/>
      <c r="N777" s="15"/>
      <c r="O777" s="15"/>
      <c r="P777" s="15"/>
      <c r="Q777" s="15"/>
      <c r="R777" s="15"/>
      <c r="S777" s="15"/>
      <c r="T777" s="15"/>
      <c r="U777" s="15"/>
      <c r="V777" s="15"/>
      <c r="W777" s="15"/>
      <c r="X777" s="15"/>
      <c r="Y777" s="15"/>
      <c r="Z777" s="15"/>
    </row>
    <row r="778" spans="1:26" ht="21" customHeight="1" x14ac:dyDescent="0.85">
      <c r="A778" s="15"/>
      <c r="B778" s="15"/>
      <c r="C778" s="15"/>
      <c r="D778" s="15"/>
      <c r="E778" s="15"/>
      <c r="F778" s="15"/>
      <c r="G778" s="15"/>
      <c r="H778" s="15"/>
      <c r="I778" s="15"/>
      <c r="J778" s="15"/>
      <c r="K778" s="15"/>
      <c r="L778" s="15"/>
      <c r="M778" s="15"/>
      <c r="N778" s="15"/>
      <c r="O778" s="15"/>
      <c r="P778" s="15"/>
      <c r="Q778" s="15"/>
      <c r="R778" s="15"/>
      <c r="S778" s="15"/>
      <c r="T778" s="15"/>
      <c r="U778" s="15"/>
      <c r="V778" s="15"/>
      <c r="W778" s="15"/>
      <c r="X778" s="15"/>
      <c r="Y778" s="15"/>
      <c r="Z778" s="15"/>
    </row>
    <row r="779" spans="1:26" ht="21" customHeight="1" x14ac:dyDescent="0.85">
      <c r="A779" s="15"/>
      <c r="B779" s="15"/>
      <c r="C779" s="15"/>
      <c r="D779" s="15"/>
      <c r="E779" s="15"/>
      <c r="F779" s="15"/>
      <c r="G779" s="15"/>
      <c r="H779" s="15"/>
      <c r="I779" s="15"/>
      <c r="J779" s="15"/>
      <c r="K779" s="15"/>
      <c r="L779" s="15"/>
      <c r="M779" s="15"/>
      <c r="N779" s="15"/>
      <c r="O779" s="15"/>
      <c r="P779" s="15"/>
      <c r="Q779" s="15"/>
      <c r="R779" s="15"/>
      <c r="S779" s="15"/>
      <c r="T779" s="15"/>
      <c r="U779" s="15"/>
      <c r="V779" s="15"/>
      <c r="W779" s="15"/>
      <c r="X779" s="15"/>
      <c r="Y779" s="15"/>
      <c r="Z779" s="15"/>
    </row>
    <row r="780" spans="1:26" ht="21" customHeight="1" x14ac:dyDescent="0.85">
      <c r="A780" s="15"/>
      <c r="B780" s="15"/>
      <c r="C780" s="15"/>
      <c r="D780" s="15"/>
      <c r="E780" s="15"/>
      <c r="F780" s="15"/>
      <c r="G780" s="15"/>
      <c r="H780" s="15"/>
      <c r="I780" s="15"/>
      <c r="J780" s="15"/>
      <c r="K780" s="15"/>
      <c r="L780" s="15"/>
      <c r="M780" s="15"/>
      <c r="N780" s="15"/>
      <c r="O780" s="15"/>
      <c r="P780" s="15"/>
      <c r="Q780" s="15"/>
      <c r="R780" s="15"/>
      <c r="S780" s="15"/>
      <c r="T780" s="15"/>
      <c r="U780" s="15"/>
      <c r="V780" s="15"/>
      <c r="W780" s="15"/>
      <c r="X780" s="15"/>
      <c r="Y780" s="15"/>
      <c r="Z780" s="15"/>
    </row>
    <row r="781" spans="1:26" ht="21" customHeight="1" x14ac:dyDescent="0.85">
      <c r="A781" s="15"/>
      <c r="B781" s="15"/>
      <c r="C781" s="15"/>
      <c r="D781" s="15"/>
      <c r="E781" s="15"/>
      <c r="F781" s="15"/>
      <c r="G781" s="15"/>
      <c r="H781" s="15"/>
      <c r="I781" s="15"/>
      <c r="J781" s="15"/>
      <c r="K781" s="15"/>
      <c r="L781" s="15"/>
      <c r="M781" s="15"/>
      <c r="N781" s="15"/>
      <c r="O781" s="15"/>
      <c r="P781" s="15"/>
      <c r="Q781" s="15"/>
      <c r="R781" s="15"/>
      <c r="S781" s="15"/>
      <c r="T781" s="15"/>
      <c r="U781" s="15"/>
      <c r="V781" s="15"/>
      <c r="W781" s="15"/>
      <c r="X781" s="15"/>
      <c r="Y781" s="15"/>
      <c r="Z781" s="15"/>
    </row>
    <row r="782" spans="1:26" ht="21" customHeight="1" x14ac:dyDescent="0.85">
      <c r="A782" s="15"/>
      <c r="B782" s="15"/>
      <c r="C782" s="15"/>
      <c r="D782" s="15"/>
      <c r="E782" s="15"/>
      <c r="F782" s="15"/>
      <c r="G782" s="15"/>
      <c r="H782" s="15"/>
      <c r="I782" s="15"/>
      <c r="J782" s="15"/>
      <c r="K782" s="15"/>
      <c r="L782" s="15"/>
      <c r="M782" s="15"/>
      <c r="N782" s="15"/>
      <c r="O782" s="15"/>
      <c r="P782" s="15"/>
      <c r="Q782" s="15"/>
      <c r="R782" s="15"/>
      <c r="S782" s="15"/>
      <c r="T782" s="15"/>
      <c r="U782" s="15"/>
      <c r="V782" s="15"/>
      <c r="W782" s="15"/>
      <c r="X782" s="15"/>
      <c r="Y782" s="15"/>
      <c r="Z782" s="15"/>
    </row>
    <row r="783" spans="1:26" ht="21" customHeight="1" x14ac:dyDescent="0.85">
      <c r="A783" s="15"/>
      <c r="B783" s="15"/>
      <c r="C783" s="15"/>
      <c r="D783" s="15"/>
      <c r="E783" s="15"/>
      <c r="F783" s="15"/>
      <c r="G783" s="15"/>
      <c r="H783" s="15"/>
      <c r="I783" s="15"/>
      <c r="J783" s="15"/>
      <c r="K783" s="15"/>
      <c r="L783" s="15"/>
      <c r="M783" s="15"/>
      <c r="N783" s="15"/>
      <c r="O783" s="15"/>
      <c r="P783" s="15"/>
      <c r="Q783" s="15"/>
      <c r="R783" s="15"/>
      <c r="S783" s="15"/>
      <c r="T783" s="15"/>
      <c r="U783" s="15"/>
      <c r="V783" s="15"/>
      <c r="W783" s="15"/>
      <c r="X783" s="15"/>
      <c r="Y783" s="15"/>
      <c r="Z783" s="15"/>
    </row>
    <row r="784" spans="1:26" ht="21" customHeight="1" x14ac:dyDescent="0.85">
      <c r="A784" s="15"/>
      <c r="B784" s="15"/>
      <c r="C784" s="15"/>
      <c r="D784" s="15"/>
      <c r="E784" s="15"/>
      <c r="F784" s="15"/>
      <c r="G784" s="15"/>
      <c r="H784" s="15"/>
      <c r="I784" s="15"/>
      <c r="J784" s="15"/>
      <c r="K784" s="15"/>
      <c r="L784" s="15"/>
      <c r="M784" s="15"/>
      <c r="N784" s="15"/>
      <c r="O784" s="15"/>
      <c r="P784" s="15"/>
      <c r="Q784" s="15"/>
      <c r="R784" s="15"/>
      <c r="S784" s="15"/>
      <c r="T784" s="15"/>
      <c r="U784" s="15"/>
      <c r="V784" s="15"/>
      <c r="W784" s="15"/>
      <c r="X784" s="15"/>
      <c r="Y784" s="15"/>
      <c r="Z784" s="15"/>
    </row>
    <row r="785" spans="1:26" ht="21" customHeight="1" x14ac:dyDescent="0.85">
      <c r="A785" s="15"/>
      <c r="B785" s="15"/>
      <c r="C785" s="15"/>
      <c r="D785" s="15"/>
      <c r="E785" s="15"/>
      <c r="F785" s="15"/>
      <c r="G785" s="15"/>
      <c r="H785" s="15"/>
      <c r="I785" s="15"/>
      <c r="J785" s="15"/>
      <c r="K785" s="15"/>
      <c r="L785" s="15"/>
      <c r="M785" s="15"/>
      <c r="N785" s="15"/>
      <c r="O785" s="15"/>
      <c r="P785" s="15"/>
      <c r="Q785" s="15"/>
      <c r="R785" s="15"/>
      <c r="S785" s="15"/>
      <c r="T785" s="15"/>
      <c r="U785" s="15"/>
      <c r="V785" s="15"/>
      <c r="W785" s="15"/>
      <c r="X785" s="15"/>
      <c r="Y785" s="15"/>
      <c r="Z785" s="15"/>
    </row>
    <row r="786" spans="1:26" ht="21" customHeight="1" x14ac:dyDescent="0.85">
      <c r="A786" s="15"/>
      <c r="B786" s="15"/>
      <c r="C786" s="15"/>
      <c r="D786" s="15"/>
      <c r="E786" s="15"/>
      <c r="F786" s="15"/>
      <c r="G786" s="15"/>
      <c r="H786" s="15"/>
      <c r="I786" s="15"/>
      <c r="J786" s="15"/>
      <c r="K786" s="15"/>
      <c r="L786" s="15"/>
      <c r="M786" s="15"/>
      <c r="N786" s="15"/>
      <c r="O786" s="15"/>
      <c r="P786" s="15"/>
      <c r="Q786" s="15"/>
      <c r="R786" s="15"/>
      <c r="S786" s="15"/>
      <c r="T786" s="15"/>
      <c r="U786" s="15"/>
      <c r="V786" s="15"/>
      <c r="W786" s="15"/>
      <c r="X786" s="15"/>
      <c r="Y786" s="15"/>
      <c r="Z786" s="15"/>
    </row>
    <row r="787" spans="1:26" ht="21" customHeight="1" x14ac:dyDescent="0.85">
      <c r="A787" s="15"/>
      <c r="B787" s="15"/>
      <c r="C787" s="15"/>
      <c r="D787" s="15"/>
      <c r="E787" s="15"/>
      <c r="F787" s="15"/>
      <c r="G787" s="15"/>
      <c r="H787" s="15"/>
      <c r="I787" s="15"/>
      <c r="J787" s="15"/>
      <c r="K787" s="15"/>
      <c r="L787" s="15"/>
      <c r="M787" s="15"/>
      <c r="N787" s="15"/>
      <c r="O787" s="15"/>
      <c r="P787" s="15"/>
      <c r="Q787" s="15"/>
      <c r="R787" s="15"/>
      <c r="S787" s="15"/>
      <c r="T787" s="15"/>
      <c r="U787" s="15"/>
      <c r="V787" s="15"/>
      <c r="W787" s="15"/>
      <c r="X787" s="15"/>
      <c r="Y787" s="15"/>
      <c r="Z787" s="15"/>
    </row>
    <row r="788" spans="1:26" ht="21" customHeight="1" x14ac:dyDescent="0.85">
      <c r="A788" s="15"/>
      <c r="B788" s="15"/>
      <c r="C788" s="15"/>
      <c r="D788" s="15"/>
      <c r="E788" s="15"/>
      <c r="F788" s="15"/>
      <c r="G788" s="15"/>
      <c r="H788" s="15"/>
      <c r="I788" s="15"/>
      <c r="J788" s="15"/>
      <c r="K788" s="15"/>
      <c r="L788" s="15"/>
      <c r="M788" s="15"/>
      <c r="N788" s="15"/>
      <c r="O788" s="15"/>
      <c r="P788" s="15"/>
      <c r="Q788" s="15"/>
      <c r="R788" s="15"/>
      <c r="S788" s="15"/>
      <c r="T788" s="15"/>
      <c r="U788" s="15"/>
      <c r="V788" s="15"/>
      <c r="W788" s="15"/>
      <c r="X788" s="15"/>
      <c r="Y788" s="15"/>
      <c r="Z788" s="15"/>
    </row>
    <row r="789" spans="1:26" ht="21" customHeight="1" x14ac:dyDescent="0.85">
      <c r="A789" s="15"/>
      <c r="B789" s="15"/>
      <c r="C789" s="15"/>
      <c r="D789" s="15"/>
      <c r="E789" s="15"/>
      <c r="F789" s="15"/>
      <c r="G789" s="15"/>
      <c r="H789" s="15"/>
      <c r="I789" s="15"/>
      <c r="J789" s="15"/>
      <c r="K789" s="15"/>
      <c r="L789" s="15"/>
      <c r="M789" s="15"/>
      <c r="N789" s="15"/>
      <c r="O789" s="15"/>
      <c r="P789" s="15"/>
      <c r="Q789" s="15"/>
      <c r="R789" s="15"/>
      <c r="S789" s="15"/>
      <c r="T789" s="15"/>
      <c r="U789" s="15"/>
      <c r="V789" s="15"/>
      <c r="W789" s="15"/>
      <c r="X789" s="15"/>
      <c r="Y789" s="15"/>
      <c r="Z789" s="15"/>
    </row>
    <row r="790" spans="1:26" ht="21" customHeight="1" x14ac:dyDescent="0.85">
      <c r="A790" s="15"/>
      <c r="B790" s="15"/>
      <c r="C790" s="15"/>
      <c r="D790" s="15"/>
      <c r="E790" s="15"/>
      <c r="F790" s="15"/>
      <c r="G790" s="15"/>
      <c r="H790" s="15"/>
      <c r="I790" s="15"/>
      <c r="J790" s="15"/>
      <c r="K790" s="15"/>
      <c r="L790" s="15"/>
      <c r="M790" s="15"/>
      <c r="N790" s="15"/>
      <c r="O790" s="15"/>
      <c r="P790" s="15"/>
      <c r="Q790" s="15"/>
      <c r="R790" s="15"/>
      <c r="S790" s="15"/>
      <c r="T790" s="15"/>
      <c r="U790" s="15"/>
      <c r="V790" s="15"/>
      <c r="W790" s="15"/>
      <c r="X790" s="15"/>
      <c r="Y790" s="15"/>
      <c r="Z790" s="15"/>
    </row>
    <row r="791" spans="1:26" ht="21" customHeight="1" x14ac:dyDescent="0.85">
      <c r="A791" s="15"/>
      <c r="B791" s="15"/>
      <c r="C791" s="15"/>
      <c r="D791" s="15"/>
      <c r="E791" s="15"/>
      <c r="F791" s="15"/>
      <c r="G791" s="15"/>
      <c r="H791" s="15"/>
      <c r="I791" s="15"/>
      <c r="J791" s="15"/>
      <c r="K791" s="15"/>
      <c r="L791" s="15"/>
      <c r="M791" s="15"/>
      <c r="N791" s="15"/>
      <c r="O791" s="15"/>
      <c r="P791" s="15"/>
      <c r="Q791" s="15"/>
      <c r="R791" s="15"/>
      <c r="S791" s="15"/>
      <c r="T791" s="15"/>
      <c r="U791" s="15"/>
      <c r="V791" s="15"/>
      <c r="W791" s="15"/>
      <c r="X791" s="15"/>
      <c r="Y791" s="15"/>
      <c r="Z791" s="15"/>
    </row>
    <row r="792" spans="1:26" ht="21" customHeight="1" x14ac:dyDescent="0.85">
      <c r="A792" s="15"/>
      <c r="B792" s="15"/>
      <c r="C792" s="15"/>
      <c r="D792" s="15"/>
      <c r="E792" s="15"/>
      <c r="F792" s="15"/>
      <c r="G792" s="15"/>
      <c r="H792" s="15"/>
      <c r="I792" s="15"/>
      <c r="J792" s="15"/>
      <c r="K792" s="15"/>
      <c r="L792" s="15"/>
      <c r="M792" s="15"/>
      <c r="N792" s="15"/>
      <c r="O792" s="15"/>
      <c r="P792" s="15"/>
      <c r="Q792" s="15"/>
      <c r="R792" s="15"/>
      <c r="S792" s="15"/>
      <c r="T792" s="15"/>
      <c r="U792" s="15"/>
      <c r="V792" s="15"/>
      <c r="W792" s="15"/>
      <c r="X792" s="15"/>
      <c r="Y792" s="15"/>
      <c r="Z792" s="15"/>
    </row>
    <row r="793" spans="1:26" ht="21" customHeight="1" x14ac:dyDescent="0.85">
      <c r="A793" s="15"/>
      <c r="B793" s="15"/>
      <c r="C793" s="15"/>
      <c r="D793" s="15"/>
      <c r="E793" s="15"/>
      <c r="F793" s="15"/>
      <c r="G793" s="15"/>
      <c r="H793" s="15"/>
      <c r="I793" s="15"/>
      <c r="J793" s="15"/>
      <c r="K793" s="15"/>
      <c r="L793" s="15"/>
      <c r="M793" s="15"/>
      <c r="N793" s="15"/>
      <c r="O793" s="15"/>
      <c r="P793" s="15"/>
      <c r="Q793" s="15"/>
      <c r="R793" s="15"/>
      <c r="S793" s="15"/>
      <c r="T793" s="15"/>
      <c r="U793" s="15"/>
      <c r="V793" s="15"/>
      <c r="W793" s="15"/>
      <c r="X793" s="15"/>
      <c r="Y793" s="15"/>
      <c r="Z793" s="15"/>
    </row>
    <row r="794" spans="1:26" ht="21" customHeight="1" x14ac:dyDescent="0.85">
      <c r="A794" s="15"/>
      <c r="B794" s="15"/>
      <c r="C794" s="15"/>
      <c r="D794" s="15"/>
      <c r="E794" s="15"/>
      <c r="F794" s="15"/>
      <c r="G794" s="15"/>
      <c r="H794" s="15"/>
      <c r="I794" s="15"/>
      <c r="J794" s="15"/>
      <c r="K794" s="15"/>
      <c r="L794" s="15"/>
      <c r="M794" s="15"/>
      <c r="N794" s="15"/>
      <c r="O794" s="15"/>
      <c r="P794" s="15"/>
      <c r="Q794" s="15"/>
      <c r="R794" s="15"/>
      <c r="S794" s="15"/>
      <c r="T794" s="15"/>
      <c r="U794" s="15"/>
      <c r="V794" s="15"/>
      <c r="W794" s="15"/>
      <c r="X794" s="15"/>
      <c r="Y794" s="15"/>
      <c r="Z794" s="15"/>
    </row>
    <row r="795" spans="1:26" ht="21" customHeight="1" x14ac:dyDescent="0.85">
      <c r="A795" s="15"/>
      <c r="B795" s="15"/>
      <c r="C795" s="15"/>
      <c r="D795" s="15"/>
      <c r="E795" s="15"/>
      <c r="F795" s="15"/>
      <c r="G795" s="15"/>
      <c r="H795" s="15"/>
      <c r="I795" s="15"/>
      <c r="J795" s="15"/>
      <c r="K795" s="15"/>
      <c r="L795" s="15"/>
      <c r="M795" s="15"/>
      <c r="N795" s="15"/>
      <c r="O795" s="15"/>
      <c r="P795" s="15"/>
      <c r="Q795" s="15"/>
      <c r="R795" s="15"/>
      <c r="S795" s="15"/>
      <c r="T795" s="15"/>
      <c r="U795" s="15"/>
      <c r="V795" s="15"/>
      <c r="W795" s="15"/>
      <c r="X795" s="15"/>
      <c r="Y795" s="15"/>
      <c r="Z795" s="15"/>
    </row>
    <row r="796" spans="1:26" ht="21" customHeight="1" x14ac:dyDescent="0.85">
      <c r="A796" s="15"/>
      <c r="B796" s="15"/>
      <c r="C796" s="15"/>
      <c r="D796" s="15"/>
      <c r="E796" s="15"/>
      <c r="F796" s="15"/>
      <c r="G796" s="15"/>
      <c r="H796" s="15"/>
      <c r="I796" s="15"/>
      <c r="J796" s="15"/>
      <c r="K796" s="15"/>
      <c r="L796" s="15"/>
      <c r="M796" s="15"/>
      <c r="N796" s="15"/>
      <c r="O796" s="15"/>
      <c r="P796" s="15"/>
      <c r="Q796" s="15"/>
      <c r="R796" s="15"/>
      <c r="S796" s="15"/>
      <c r="T796" s="15"/>
      <c r="U796" s="15"/>
      <c r="V796" s="15"/>
      <c r="W796" s="15"/>
      <c r="X796" s="15"/>
      <c r="Y796" s="15"/>
      <c r="Z796" s="15"/>
    </row>
    <row r="797" spans="1:26" ht="21" customHeight="1" x14ac:dyDescent="0.85">
      <c r="A797" s="15"/>
      <c r="B797" s="15"/>
      <c r="C797" s="15"/>
      <c r="D797" s="15"/>
      <c r="E797" s="15"/>
      <c r="F797" s="15"/>
      <c r="G797" s="15"/>
      <c r="H797" s="15"/>
      <c r="I797" s="15"/>
      <c r="J797" s="15"/>
      <c r="K797" s="15"/>
      <c r="L797" s="15"/>
      <c r="M797" s="15"/>
      <c r="N797" s="15"/>
      <c r="O797" s="15"/>
      <c r="P797" s="15"/>
      <c r="Q797" s="15"/>
      <c r="R797" s="15"/>
      <c r="S797" s="15"/>
      <c r="T797" s="15"/>
      <c r="U797" s="15"/>
      <c r="V797" s="15"/>
      <c r="W797" s="15"/>
      <c r="X797" s="15"/>
      <c r="Y797" s="15"/>
      <c r="Z797" s="15"/>
    </row>
    <row r="798" spans="1:26" ht="21" customHeight="1" x14ac:dyDescent="0.85">
      <c r="A798" s="15"/>
      <c r="B798" s="15"/>
      <c r="C798" s="15"/>
      <c r="D798" s="15"/>
      <c r="E798" s="15"/>
      <c r="F798" s="15"/>
      <c r="G798" s="15"/>
      <c r="H798" s="15"/>
      <c r="I798" s="15"/>
      <c r="J798" s="15"/>
      <c r="K798" s="15"/>
      <c r="L798" s="15"/>
      <c r="M798" s="15"/>
      <c r="N798" s="15"/>
      <c r="O798" s="15"/>
      <c r="P798" s="15"/>
      <c r="Q798" s="15"/>
      <c r="R798" s="15"/>
      <c r="S798" s="15"/>
      <c r="T798" s="15"/>
      <c r="U798" s="15"/>
      <c r="V798" s="15"/>
      <c r="W798" s="15"/>
      <c r="X798" s="15"/>
      <c r="Y798" s="15"/>
      <c r="Z798" s="15"/>
    </row>
    <row r="799" spans="1:26" ht="21" customHeight="1" x14ac:dyDescent="0.85">
      <c r="A799" s="15"/>
      <c r="B799" s="15"/>
      <c r="C799" s="15"/>
      <c r="D799" s="15"/>
      <c r="E799" s="15"/>
      <c r="F799" s="15"/>
      <c r="G799" s="15"/>
      <c r="H799" s="15"/>
      <c r="I799" s="15"/>
      <c r="J799" s="15"/>
      <c r="K799" s="15"/>
      <c r="L799" s="15"/>
      <c r="M799" s="15"/>
      <c r="N799" s="15"/>
      <c r="O799" s="15"/>
      <c r="P799" s="15"/>
      <c r="Q799" s="15"/>
      <c r="R799" s="15"/>
      <c r="S799" s="15"/>
      <c r="T799" s="15"/>
      <c r="U799" s="15"/>
      <c r="V799" s="15"/>
      <c r="W799" s="15"/>
      <c r="X799" s="15"/>
      <c r="Y799" s="15"/>
      <c r="Z799" s="15"/>
    </row>
    <row r="800" spans="1:26" ht="21" customHeight="1" x14ac:dyDescent="0.85">
      <c r="A800" s="15"/>
      <c r="B800" s="15"/>
      <c r="C800" s="15"/>
      <c r="D800" s="15"/>
      <c r="E800" s="15"/>
      <c r="F800" s="15"/>
      <c r="G800" s="15"/>
      <c r="H800" s="15"/>
      <c r="I800" s="15"/>
      <c r="J800" s="15"/>
      <c r="K800" s="15"/>
      <c r="L800" s="15"/>
      <c r="M800" s="15"/>
      <c r="N800" s="15"/>
      <c r="O800" s="15"/>
      <c r="P800" s="15"/>
      <c r="Q800" s="15"/>
      <c r="R800" s="15"/>
      <c r="S800" s="15"/>
      <c r="T800" s="15"/>
      <c r="U800" s="15"/>
      <c r="V800" s="15"/>
      <c r="W800" s="15"/>
      <c r="X800" s="15"/>
      <c r="Y800" s="15"/>
      <c r="Z800" s="15"/>
    </row>
    <row r="801" spans="1:26" ht="21" customHeight="1" x14ac:dyDescent="0.85">
      <c r="A801" s="15"/>
      <c r="B801" s="15"/>
      <c r="C801" s="15"/>
      <c r="D801" s="15"/>
      <c r="E801" s="15"/>
      <c r="F801" s="15"/>
      <c r="G801" s="15"/>
      <c r="H801" s="15"/>
      <c r="I801" s="15"/>
      <c r="J801" s="15"/>
      <c r="K801" s="15"/>
      <c r="L801" s="15"/>
      <c r="M801" s="15"/>
      <c r="N801" s="15"/>
      <c r="O801" s="15"/>
      <c r="P801" s="15"/>
      <c r="Q801" s="15"/>
      <c r="R801" s="15"/>
      <c r="S801" s="15"/>
      <c r="T801" s="15"/>
      <c r="U801" s="15"/>
      <c r="V801" s="15"/>
      <c r="W801" s="15"/>
      <c r="X801" s="15"/>
      <c r="Y801" s="15"/>
      <c r="Z801" s="15"/>
    </row>
    <row r="802" spans="1:26" ht="21" customHeight="1" x14ac:dyDescent="0.85">
      <c r="A802" s="15"/>
      <c r="B802" s="15"/>
      <c r="C802" s="15"/>
      <c r="D802" s="15"/>
      <c r="E802" s="15"/>
      <c r="F802" s="15"/>
      <c r="G802" s="15"/>
      <c r="H802" s="15"/>
      <c r="I802" s="15"/>
      <c r="J802" s="15"/>
      <c r="K802" s="15"/>
      <c r="L802" s="15"/>
      <c r="M802" s="15"/>
      <c r="N802" s="15"/>
      <c r="O802" s="15"/>
      <c r="P802" s="15"/>
      <c r="Q802" s="15"/>
      <c r="R802" s="15"/>
      <c r="S802" s="15"/>
      <c r="T802" s="15"/>
      <c r="U802" s="15"/>
      <c r="V802" s="15"/>
      <c r="W802" s="15"/>
      <c r="X802" s="15"/>
      <c r="Y802" s="15"/>
      <c r="Z802" s="15"/>
    </row>
    <row r="803" spans="1:26" ht="21" customHeight="1" x14ac:dyDescent="0.85">
      <c r="A803" s="15"/>
      <c r="B803" s="15"/>
      <c r="C803" s="15"/>
      <c r="D803" s="15"/>
      <c r="E803" s="15"/>
      <c r="F803" s="15"/>
      <c r="G803" s="15"/>
      <c r="H803" s="15"/>
      <c r="I803" s="15"/>
      <c r="J803" s="15"/>
      <c r="K803" s="15"/>
      <c r="L803" s="15"/>
      <c r="M803" s="15"/>
      <c r="N803" s="15"/>
      <c r="O803" s="15"/>
      <c r="P803" s="15"/>
      <c r="Q803" s="15"/>
      <c r="R803" s="15"/>
      <c r="S803" s="15"/>
      <c r="T803" s="15"/>
      <c r="U803" s="15"/>
      <c r="V803" s="15"/>
      <c r="W803" s="15"/>
      <c r="X803" s="15"/>
      <c r="Y803" s="15"/>
      <c r="Z803" s="15"/>
    </row>
    <row r="804" spans="1:26" ht="21" customHeight="1" x14ac:dyDescent="0.85">
      <c r="A804" s="15"/>
      <c r="B804" s="15"/>
      <c r="C804" s="15"/>
      <c r="D804" s="15"/>
      <c r="E804" s="15"/>
      <c r="F804" s="15"/>
      <c r="G804" s="15"/>
      <c r="H804" s="15"/>
      <c r="I804" s="15"/>
      <c r="J804" s="15"/>
      <c r="K804" s="15"/>
      <c r="L804" s="15"/>
      <c r="M804" s="15"/>
      <c r="N804" s="15"/>
      <c r="O804" s="15"/>
      <c r="P804" s="15"/>
      <c r="Q804" s="15"/>
      <c r="R804" s="15"/>
      <c r="S804" s="15"/>
      <c r="T804" s="15"/>
      <c r="U804" s="15"/>
      <c r="V804" s="15"/>
      <c r="W804" s="15"/>
      <c r="X804" s="15"/>
      <c r="Y804" s="15"/>
      <c r="Z804" s="15"/>
    </row>
    <row r="805" spans="1:26" ht="21" customHeight="1" x14ac:dyDescent="0.85">
      <c r="A805" s="15"/>
      <c r="B805" s="15"/>
      <c r="C805" s="15"/>
      <c r="D805" s="15"/>
      <c r="E805" s="15"/>
      <c r="F805" s="15"/>
      <c r="G805" s="15"/>
      <c r="H805" s="15"/>
      <c r="I805" s="15"/>
      <c r="J805" s="15"/>
      <c r="K805" s="15"/>
      <c r="L805" s="15"/>
      <c r="M805" s="15"/>
      <c r="N805" s="15"/>
      <c r="O805" s="15"/>
      <c r="P805" s="15"/>
      <c r="Q805" s="15"/>
      <c r="R805" s="15"/>
      <c r="S805" s="15"/>
      <c r="T805" s="15"/>
      <c r="U805" s="15"/>
      <c r="V805" s="15"/>
      <c r="W805" s="15"/>
      <c r="X805" s="15"/>
      <c r="Y805" s="15"/>
      <c r="Z805" s="15"/>
    </row>
    <row r="806" spans="1:26" ht="21" customHeight="1" x14ac:dyDescent="0.85">
      <c r="A806" s="15"/>
      <c r="B806" s="15"/>
      <c r="C806" s="15"/>
      <c r="D806" s="15"/>
      <c r="E806" s="15"/>
      <c r="F806" s="15"/>
      <c r="G806" s="15"/>
      <c r="H806" s="15"/>
      <c r="I806" s="15"/>
      <c r="J806" s="15"/>
      <c r="K806" s="15"/>
      <c r="L806" s="15"/>
      <c r="M806" s="15"/>
      <c r="N806" s="15"/>
      <c r="O806" s="15"/>
      <c r="P806" s="15"/>
      <c r="Q806" s="15"/>
      <c r="R806" s="15"/>
      <c r="S806" s="15"/>
      <c r="T806" s="15"/>
      <c r="U806" s="15"/>
      <c r="V806" s="15"/>
      <c r="W806" s="15"/>
      <c r="X806" s="15"/>
      <c r="Y806" s="15"/>
      <c r="Z806" s="15"/>
    </row>
    <row r="807" spans="1:26" ht="21" customHeight="1" x14ac:dyDescent="0.85">
      <c r="A807" s="15"/>
      <c r="B807" s="15"/>
      <c r="C807" s="15"/>
      <c r="D807" s="15"/>
      <c r="E807" s="15"/>
      <c r="F807" s="15"/>
      <c r="G807" s="15"/>
      <c r="H807" s="15"/>
      <c r="I807" s="15"/>
      <c r="J807" s="15"/>
      <c r="K807" s="15"/>
      <c r="L807" s="15"/>
      <c r="M807" s="15"/>
      <c r="N807" s="15"/>
      <c r="O807" s="15"/>
      <c r="P807" s="15"/>
      <c r="Q807" s="15"/>
      <c r="R807" s="15"/>
      <c r="S807" s="15"/>
      <c r="T807" s="15"/>
      <c r="U807" s="15"/>
      <c r="V807" s="15"/>
      <c r="W807" s="15"/>
      <c r="X807" s="15"/>
      <c r="Y807" s="15"/>
      <c r="Z807" s="15"/>
    </row>
    <row r="808" spans="1:26" ht="21" customHeight="1" x14ac:dyDescent="0.85">
      <c r="A808" s="15"/>
      <c r="B808" s="15"/>
      <c r="C808" s="15"/>
      <c r="D808" s="15"/>
      <c r="E808" s="15"/>
      <c r="F808" s="15"/>
      <c r="G808" s="15"/>
      <c r="H808" s="15"/>
      <c r="I808" s="15"/>
      <c r="J808" s="15"/>
      <c r="K808" s="15"/>
      <c r="L808" s="15"/>
      <c r="M808" s="15"/>
      <c r="N808" s="15"/>
      <c r="O808" s="15"/>
      <c r="P808" s="15"/>
      <c r="Q808" s="15"/>
      <c r="R808" s="15"/>
      <c r="S808" s="15"/>
      <c r="T808" s="15"/>
      <c r="U808" s="15"/>
      <c r="V808" s="15"/>
      <c r="W808" s="15"/>
      <c r="X808" s="15"/>
      <c r="Y808" s="15"/>
      <c r="Z808" s="15"/>
    </row>
    <row r="809" spans="1:26" ht="21" customHeight="1" x14ac:dyDescent="0.85">
      <c r="A809" s="15"/>
      <c r="B809" s="15"/>
      <c r="C809" s="15"/>
      <c r="D809" s="15"/>
      <c r="E809" s="15"/>
      <c r="F809" s="15"/>
      <c r="G809" s="15"/>
      <c r="H809" s="15"/>
      <c r="I809" s="15"/>
      <c r="J809" s="15"/>
      <c r="K809" s="15"/>
      <c r="L809" s="15"/>
      <c r="M809" s="15"/>
      <c r="N809" s="15"/>
      <c r="O809" s="15"/>
      <c r="P809" s="15"/>
      <c r="Q809" s="15"/>
      <c r="R809" s="15"/>
      <c r="S809" s="15"/>
      <c r="T809" s="15"/>
      <c r="U809" s="15"/>
      <c r="V809" s="15"/>
      <c r="W809" s="15"/>
      <c r="X809" s="15"/>
      <c r="Y809" s="15"/>
      <c r="Z809" s="15"/>
    </row>
    <row r="810" spans="1:26" ht="21" customHeight="1" x14ac:dyDescent="0.85">
      <c r="A810" s="15"/>
      <c r="B810" s="15"/>
      <c r="C810" s="15"/>
      <c r="D810" s="15"/>
      <c r="E810" s="15"/>
      <c r="F810" s="15"/>
      <c r="G810" s="15"/>
      <c r="H810" s="15"/>
      <c r="I810" s="15"/>
      <c r="J810" s="15"/>
      <c r="K810" s="15"/>
      <c r="L810" s="15"/>
      <c r="M810" s="15"/>
      <c r="N810" s="15"/>
      <c r="O810" s="15"/>
      <c r="P810" s="15"/>
      <c r="Q810" s="15"/>
      <c r="R810" s="15"/>
      <c r="S810" s="15"/>
      <c r="T810" s="15"/>
      <c r="U810" s="15"/>
      <c r="V810" s="15"/>
      <c r="W810" s="15"/>
      <c r="X810" s="15"/>
      <c r="Y810" s="15"/>
      <c r="Z810" s="15"/>
    </row>
    <row r="811" spans="1:26" ht="21" customHeight="1" x14ac:dyDescent="0.85">
      <c r="A811" s="15"/>
      <c r="B811" s="15"/>
      <c r="C811" s="15"/>
      <c r="D811" s="15"/>
      <c r="E811" s="15"/>
      <c r="F811" s="15"/>
      <c r="G811" s="15"/>
      <c r="H811" s="15"/>
      <c r="I811" s="15"/>
      <c r="J811" s="15"/>
      <c r="K811" s="15"/>
      <c r="L811" s="15"/>
      <c r="M811" s="15"/>
      <c r="N811" s="15"/>
      <c r="O811" s="15"/>
      <c r="P811" s="15"/>
      <c r="Q811" s="15"/>
      <c r="R811" s="15"/>
      <c r="S811" s="15"/>
      <c r="T811" s="15"/>
      <c r="U811" s="15"/>
      <c r="V811" s="15"/>
      <c r="W811" s="15"/>
      <c r="X811" s="15"/>
      <c r="Y811" s="15"/>
      <c r="Z811" s="15"/>
    </row>
    <row r="812" spans="1:26" ht="21" customHeight="1" x14ac:dyDescent="0.85">
      <c r="A812" s="15"/>
      <c r="B812" s="15"/>
      <c r="C812" s="15"/>
      <c r="D812" s="15"/>
      <c r="E812" s="15"/>
      <c r="F812" s="15"/>
      <c r="G812" s="15"/>
      <c r="H812" s="15"/>
      <c r="I812" s="15"/>
      <c r="J812" s="15"/>
      <c r="K812" s="15"/>
      <c r="L812" s="15"/>
      <c r="M812" s="15"/>
      <c r="N812" s="15"/>
      <c r="O812" s="15"/>
      <c r="P812" s="15"/>
      <c r="Q812" s="15"/>
      <c r="R812" s="15"/>
      <c r="S812" s="15"/>
      <c r="T812" s="15"/>
      <c r="U812" s="15"/>
      <c r="V812" s="15"/>
      <c r="W812" s="15"/>
      <c r="X812" s="15"/>
      <c r="Y812" s="15"/>
      <c r="Z812" s="15"/>
    </row>
    <row r="813" spans="1:26" ht="21" customHeight="1" x14ac:dyDescent="0.85">
      <c r="A813" s="15"/>
      <c r="B813" s="15"/>
      <c r="C813" s="15"/>
      <c r="D813" s="15"/>
      <c r="E813" s="15"/>
      <c r="F813" s="15"/>
      <c r="G813" s="15"/>
      <c r="H813" s="15"/>
      <c r="I813" s="15"/>
      <c r="J813" s="15"/>
      <c r="K813" s="15"/>
      <c r="L813" s="15"/>
      <c r="M813" s="15"/>
      <c r="N813" s="15"/>
      <c r="O813" s="15"/>
      <c r="P813" s="15"/>
      <c r="Q813" s="15"/>
      <c r="R813" s="15"/>
      <c r="S813" s="15"/>
      <c r="T813" s="15"/>
      <c r="U813" s="15"/>
      <c r="V813" s="15"/>
      <c r="W813" s="15"/>
      <c r="X813" s="15"/>
      <c r="Y813" s="15"/>
      <c r="Z813" s="15"/>
    </row>
    <row r="814" spans="1:26" ht="21" customHeight="1" x14ac:dyDescent="0.85">
      <c r="A814" s="15"/>
      <c r="B814" s="15"/>
      <c r="C814" s="15"/>
      <c r="D814" s="15"/>
      <c r="E814" s="15"/>
      <c r="F814" s="15"/>
      <c r="G814" s="15"/>
      <c r="H814" s="15"/>
      <c r="I814" s="15"/>
      <c r="J814" s="15"/>
      <c r="K814" s="15"/>
      <c r="L814" s="15"/>
      <c r="M814" s="15"/>
      <c r="N814" s="15"/>
      <c r="O814" s="15"/>
      <c r="P814" s="15"/>
      <c r="Q814" s="15"/>
      <c r="R814" s="15"/>
      <c r="S814" s="15"/>
      <c r="T814" s="15"/>
      <c r="U814" s="15"/>
      <c r="V814" s="15"/>
      <c r="W814" s="15"/>
      <c r="X814" s="15"/>
      <c r="Y814" s="15"/>
      <c r="Z814" s="15"/>
    </row>
    <row r="815" spans="1:26" ht="21" customHeight="1" x14ac:dyDescent="0.85">
      <c r="A815" s="15"/>
      <c r="B815" s="15"/>
      <c r="C815" s="15"/>
      <c r="D815" s="15"/>
      <c r="E815" s="15"/>
      <c r="F815" s="15"/>
      <c r="G815" s="15"/>
      <c r="H815" s="15"/>
      <c r="I815" s="15"/>
      <c r="J815" s="15"/>
      <c r="K815" s="15"/>
      <c r="L815" s="15"/>
      <c r="M815" s="15"/>
      <c r="N815" s="15"/>
      <c r="O815" s="15"/>
      <c r="P815" s="15"/>
      <c r="Q815" s="15"/>
      <c r="R815" s="15"/>
      <c r="S815" s="15"/>
      <c r="T815" s="15"/>
      <c r="U815" s="15"/>
      <c r="V815" s="15"/>
      <c r="W815" s="15"/>
      <c r="X815" s="15"/>
      <c r="Y815" s="15"/>
      <c r="Z815" s="15"/>
    </row>
    <row r="816" spans="1:26" ht="21" customHeight="1" x14ac:dyDescent="0.85">
      <c r="A816" s="15"/>
      <c r="B816" s="15"/>
      <c r="C816" s="15"/>
      <c r="D816" s="15"/>
      <c r="E816" s="15"/>
      <c r="F816" s="15"/>
      <c r="G816" s="15"/>
      <c r="H816" s="15"/>
      <c r="I816" s="15"/>
      <c r="J816" s="15"/>
      <c r="K816" s="15"/>
      <c r="L816" s="15"/>
      <c r="M816" s="15"/>
      <c r="N816" s="15"/>
      <c r="O816" s="15"/>
      <c r="P816" s="15"/>
      <c r="Q816" s="15"/>
      <c r="R816" s="15"/>
      <c r="S816" s="15"/>
      <c r="T816" s="15"/>
      <c r="U816" s="15"/>
      <c r="V816" s="15"/>
      <c r="W816" s="15"/>
      <c r="X816" s="15"/>
      <c r="Y816" s="15"/>
      <c r="Z816" s="15"/>
    </row>
    <row r="817" spans="1:26" ht="21" customHeight="1" x14ac:dyDescent="0.85">
      <c r="A817" s="15"/>
      <c r="B817" s="15"/>
      <c r="C817" s="15"/>
      <c r="D817" s="15"/>
      <c r="E817" s="15"/>
      <c r="F817" s="15"/>
      <c r="G817" s="15"/>
      <c r="H817" s="15"/>
      <c r="I817" s="15"/>
      <c r="J817" s="15"/>
      <c r="K817" s="15"/>
      <c r="L817" s="15"/>
      <c r="M817" s="15"/>
      <c r="N817" s="15"/>
      <c r="O817" s="15"/>
      <c r="P817" s="15"/>
      <c r="Q817" s="15"/>
      <c r="R817" s="15"/>
      <c r="S817" s="15"/>
      <c r="T817" s="15"/>
      <c r="U817" s="15"/>
      <c r="V817" s="15"/>
      <c r="W817" s="15"/>
      <c r="X817" s="15"/>
      <c r="Y817" s="15"/>
      <c r="Z817" s="15"/>
    </row>
    <row r="818" spans="1:26" ht="21" customHeight="1" x14ac:dyDescent="0.85">
      <c r="A818" s="15"/>
      <c r="B818" s="15"/>
      <c r="C818" s="15"/>
      <c r="D818" s="15"/>
      <c r="E818" s="15"/>
      <c r="F818" s="15"/>
      <c r="G818" s="15"/>
      <c r="H818" s="15"/>
      <c r="I818" s="15"/>
      <c r="J818" s="15"/>
      <c r="K818" s="15"/>
      <c r="L818" s="15"/>
      <c r="M818" s="15"/>
      <c r="N818" s="15"/>
      <c r="O818" s="15"/>
      <c r="P818" s="15"/>
      <c r="Q818" s="15"/>
      <c r="R818" s="15"/>
      <c r="S818" s="15"/>
      <c r="T818" s="15"/>
      <c r="U818" s="15"/>
      <c r="V818" s="15"/>
      <c r="W818" s="15"/>
      <c r="X818" s="15"/>
      <c r="Y818" s="15"/>
      <c r="Z818" s="15"/>
    </row>
    <row r="819" spans="1:26" ht="21" customHeight="1" x14ac:dyDescent="0.85">
      <c r="A819" s="15"/>
      <c r="B819" s="15"/>
      <c r="C819" s="15"/>
      <c r="D819" s="15"/>
      <c r="E819" s="15"/>
      <c r="F819" s="15"/>
      <c r="G819" s="15"/>
      <c r="H819" s="15"/>
      <c r="I819" s="15"/>
      <c r="J819" s="15"/>
      <c r="K819" s="15"/>
      <c r="L819" s="15"/>
      <c r="M819" s="15"/>
      <c r="N819" s="15"/>
      <c r="O819" s="15"/>
      <c r="P819" s="15"/>
      <c r="Q819" s="15"/>
      <c r="R819" s="15"/>
      <c r="S819" s="15"/>
      <c r="T819" s="15"/>
      <c r="U819" s="15"/>
      <c r="V819" s="15"/>
      <c r="W819" s="15"/>
      <c r="X819" s="15"/>
      <c r="Y819" s="15"/>
      <c r="Z819" s="15"/>
    </row>
    <row r="820" spans="1:26" ht="21" customHeight="1" x14ac:dyDescent="0.85">
      <c r="A820" s="15"/>
      <c r="B820" s="15"/>
      <c r="C820" s="15"/>
      <c r="D820" s="15"/>
      <c r="E820" s="15"/>
      <c r="F820" s="15"/>
      <c r="G820" s="15"/>
      <c r="H820" s="15"/>
      <c r="I820" s="15"/>
      <c r="J820" s="15"/>
      <c r="K820" s="15"/>
      <c r="L820" s="15"/>
      <c r="M820" s="15"/>
      <c r="N820" s="15"/>
      <c r="O820" s="15"/>
      <c r="P820" s="15"/>
      <c r="Q820" s="15"/>
      <c r="R820" s="15"/>
      <c r="S820" s="15"/>
      <c r="T820" s="15"/>
      <c r="U820" s="15"/>
      <c r="V820" s="15"/>
      <c r="W820" s="15"/>
      <c r="X820" s="15"/>
      <c r="Y820" s="15"/>
      <c r="Z820" s="15"/>
    </row>
    <row r="821" spans="1:26" ht="21" customHeight="1" x14ac:dyDescent="0.85">
      <c r="A821" s="15"/>
      <c r="B821" s="15"/>
      <c r="C821" s="15"/>
      <c r="D821" s="15"/>
      <c r="E821" s="15"/>
      <c r="F821" s="15"/>
      <c r="G821" s="15"/>
      <c r="H821" s="15"/>
      <c r="I821" s="15"/>
      <c r="J821" s="15"/>
      <c r="K821" s="15"/>
      <c r="L821" s="15"/>
      <c r="M821" s="15"/>
      <c r="N821" s="15"/>
      <c r="O821" s="15"/>
      <c r="P821" s="15"/>
      <c r="Q821" s="15"/>
      <c r="R821" s="15"/>
      <c r="S821" s="15"/>
      <c r="T821" s="15"/>
      <c r="U821" s="15"/>
      <c r="V821" s="15"/>
      <c r="W821" s="15"/>
      <c r="X821" s="15"/>
      <c r="Y821" s="15"/>
      <c r="Z821" s="15"/>
    </row>
    <row r="822" spans="1:26" ht="21" customHeight="1" x14ac:dyDescent="0.85">
      <c r="A822" s="15"/>
      <c r="B822" s="15"/>
      <c r="C822" s="15"/>
      <c r="D822" s="15"/>
      <c r="E822" s="15"/>
      <c r="F822" s="15"/>
      <c r="G822" s="15"/>
      <c r="H822" s="15"/>
      <c r="I822" s="15"/>
      <c r="J822" s="15"/>
      <c r="K822" s="15"/>
      <c r="L822" s="15"/>
      <c r="M822" s="15"/>
      <c r="N822" s="15"/>
      <c r="O822" s="15"/>
      <c r="P822" s="15"/>
      <c r="Q822" s="15"/>
      <c r="R822" s="15"/>
      <c r="S822" s="15"/>
      <c r="T822" s="15"/>
      <c r="U822" s="15"/>
      <c r="V822" s="15"/>
      <c r="W822" s="15"/>
      <c r="X822" s="15"/>
      <c r="Y822" s="15"/>
      <c r="Z822" s="15"/>
    </row>
    <row r="823" spans="1:26" ht="21" customHeight="1" x14ac:dyDescent="0.85">
      <c r="A823" s="15"/>
      <c r="B823" s="15"/>
      <c r="C823" s="15"/>
      <c r="D823" s="15"/>
      <c r="E823" s="15"/>
      <c r="F823" s="15"/>
      <c r="G823" s="15"/>
      <c r="H823" s="15"/>
      <c r="I823" s="15"/>
      <c r="J823" s="15"/>
      <c r="K823" s="15"/>
      <c r="L823" s="15"/>
      <c r="M823" s="15"/>
      <c r="N823" s="15"/>
      <c r="O823" s="15"/>
      <c r="P823" s="15"/>
      <c r="Q823" s="15"/>
      <c r="R823" s="15"/>
      <c r="S823" s="15"/>
      <c r="T823" s="15"/>
      <c r="U823" s="15"/>
      <c r="V823" s="15"/>
      <c r="W823" s="15"/>
      <c r="X823" s="15"/>
      <c r="Y823" s="15"/>
      <c r="Z823" s="15"/>
    </row>
    <row r="824" spans="1:26" ht="21" customHeight="1" x14ac:dyDescent="0.85">
      <c r="A824" s="15"/>
      <c r="B824" s="15"/>
      <c r="C824" s="15"/>
      <c r="D824" s="15"/>
      <c r="E824" s="15"/>
      <c r="F824" s="15"/>
      <c r="G824" s="15"/>
      <c r="H824" s="15"/>
      <c r="I824" s="15"/>
      <c r="J824" s="15"/>
      <c r="K824" s="15"/>
      <c r="L824" s="15"/>
      <c r="M824" s="15"/>
      <c r="N824" s="15"/>
      <c r="O824" s="15"/>
      <c r="P824" s="15"/>
      <c r="Q824" s="15"/>
      <c r="R824" s="15"/>
      <c r="S824" s="15"/>
      <c r="T824" s="15"/>
      <c r="U824" s="15"/>
      <c r="V824" s="15"/>
      <c r="W824" s="15"/>
      <c r="X824" s="15"/>
      <c r="Y824" s="15"/>
      <c r="Z824" s="15"/>
    </row>
    <row r="825" spans="1:26" ht="21" customHeight="1" x14ac:dyDescent="0.85">
      <c r="A825" s="15"/>
      <c r="B825" s="15"/>
      <c r="C825" s="15"/>
      <c r="D825" s="15"/>
      <c r="E825" s="15"/>
      <c r="F825" s="15"/>
      <c r="G825" s="15"/>
      <c r="H825" s="15"/>
      <c r="I825" s="15"/>
      <c r="J825" s="15"/>
      <c r="K825" s="15"/>
      <c r="L825" s="15"/>
      <c r="M825" s="15"/>
      <c r="N825" s="15"/>
      <c r="O825" s="15"/>
      <c r="P825" s="15"/>
      <c r="Q825" s="15"/>
      <c r="R825" s="15"/>
      <c r="S825" s="15"/>
      <c r="T825" s="15"/>
      <c r="U825" s="15"/>
      <c r="V825" s="15"/>
      <c r="W825" s="15"/>
      <c r="X825" s="15"/>
      <c r="Y825" s="15"/>
      <c r="Z825" s="15"/>
    </row>
    <row r="826" spans="1:26" ht="21" customHeight="1" x14ac:dyDescent="0.85">
      <c r="A826" s="15"/>
      <c r="B826" s="15"/>
      <c r="C826" s="15"/>
      <c r="D826" s="15"/>
      <c r="E826" s="15"/>
      <c r="F826" s="15"/>
      <c r="G826" s="15"/>
      <c r="H826" s="15"/>
      <c r="I826" s="15"/>
      <c r="J826" s="15"/>
      <c r="K826" s="15"/>
      <c r="L826" s="15"/>
      <c r="M826" s="15"/>
      <c r="N826" s="15"/>
      <c r="O826" s="15"/>
      <c r="P826" s="15"/>
      <c r="Q826" s="15"/>
      <c r="R826" s="15"/>
      <c r="S826" s="15"/>
      <c r="T826" s="15"/>
      <c r="U826" s="15"/>
      <c r="V826" s="15"/>
      <c r="W826" s="15"/>
      <c r="X826" s="15"/>
      <c r="Y826" s="15"/>
      <c r="Z826" s="15"/>
    </row>
    <row r="827" spans="1:26" ht="21" customHeight="1" x14ac:dyDescent="0.85">
      <c r="A827" s="15"/>
      <c r="B827" s="15"/>
      <c r="C827" s="15"/>
      <c r="D827" s="15"/>
      <c r="E827" s="15"/>
      <c r="F827" s="15"/>
      <c r="G827" s="15"/>
      <c r="H827" s="15"/>
      <c r="I827" s="15"/>
      <c r="J827" s="15"/>
      <c r="K827" s="15"/>
      <c r="L827" s="15"/>
      <c r="M827" s="15"/>
      <c r="N827" s="15"/>
      <c r="O827" s="15"/>
      <c r="P827" s="15"/>
      <c r="Q827" s="15"/>
      <c r="R827" s="15"/>
      <c r="S827" s="15"/>
      <c r="T827" s="15"/>
      <c r="U827" s="15"/>
      <c r="V827" s="15"/>
      <c r="W827" s="15"/>
      <c r="X827" s="15"/>
      <c r="Y827" s="15"/>
      <c r="Z827" s="15"/>
    </row>
    <row r="828" spans="1:26" ht="21" customHeight="1" x14ac:dyDescent="0.85">
      <c r="A828" s="15"/>
      <c r="B828" s="15"/>
      <c r="C828" s="15"/>
      <c r="D828" s="15"/>
      <c r="E828" s="15"/>
      <c r="F828" s="15"/>
      <c r="G828" s="15"/>
      <c r="H828" s="15"/>
      <c r="I828" s="15"/>
      <c r="J828" s="15"/>
      <c r="K828" s="15"/>
      <c r="L828" s="15"/>
      <c r="M828" s="15"/>
      <c r="N828" s="15"/>
      <c r="O828" s="15"/>
      <c r="P828" s="15"/>
      <c r="Q828" s="15"/>
      <c r="R828" s="15"/>
      <c r="S828" s="15"/>
      <c r="T828" s="15"/>
      <c r="U828" s="15"/>
      <c r="V828" s="15"/>
      <c r="W828" s="15"/>
      <c r="X828" s="15"/>
      <c r="Y828" s="15"/>
      <c r="Z828" s="15"/>
    </row>
    <row r="829" spans="1:26" ht="21" customHeight="1" x14ac:dyDescent="0.85">
      <c r="A829" s="15"/>
      <c r="B829" s="15"/>
      <c r="C829" s="15"/>
      <c r="D829" s="15"/>
      <c r="E829" s="15"/>
      <c r="F829" s="15"/>
      <c r="G829" s="15"/>
      <c r="H829" s="15"/>
      <c r="I829" s="15"/>
      <c r="J829" s="15"/>
      <c r="K829" s="15"/>
      <c r="L829" s="15"/>
      <c r="M829" s="15"/>
      <c r="N829" s="15"/>
      <c r="O829" s="15"/>
      <c r="P829" s="15"/>
      <c r="Q829" s="15"/>
      <c r="R829" s="15"/>
      <c r="S829" s="15"/>
      <c r="T829" s="15"/>
      <c r="U829" s="15"/>
      <c r="V829" s="15"/>
      <c r="W829" s="15"/>
      <c r="X829" s="15"/>
      <c r="Y829" s="15"/>
      <c r="Z829" s="15"/>
    </row>
    <row r="830" spans="1:26" ht="21" customHeight="1" x14ac:dyDescent="0.85">
      <c r="A830" s="15"/>
      <c r="B830" s="15"/>
      <c r="C830" s="15"/>
      <c r="D830" s="15"/>
      <c r="E830" s="15"/>
      <c r="F830" s="15"/>
      <c r="G830" s="15"/>
      <c r="H830" s="15"/>
      <c r="I830" s="15"/>
      <c r="J830" s="15"/>
      <c r="K830" s="15"/>
      <c r="L830" s="15"/>
      <c r="M830" s="15"/>
      <c r="N830" s="15"/>
      <c r="O830" s="15"/>
      <c r="P830" s="15"/>
      <c r="Q830" s="15"/>
      <c r="R830" s="15"/>
      <c r="S830" s="15"/>
      <c r="T830" s="15"/>
      <c r="U830" s="15"/>
      <c r="V830" s="15"/>
      <c r="W830" s="15"/>
      <c r="X830" s="15"/>
      <c r="Y830" s="15"/>
      <c r="Z830" s="15"/>
    </row>
    <row r="831" spans="1:26" ht="21" customHeight="1" x14ac:dyDescent="0.85">
      <c r="A831" s="15"/>
      <c r="B831" s="15"/>
      <c r="C831" s="15"/>
      <c r="D831" s="15"/>
      <c r="E831" s="15"/>
      <c r="F831" s="15"/>
      <c r="G831" s="15"/>
      <c r="H831" s="15"/>
      <c r="I831" s="15"/>
      <c r="J831" s="15"/>
      <c r="K831" s="15"/>
      <c r="L831" s="15"/>
      <c r="M831" s="15"/>
      <c r="N831" s="15"/>
      <c r="O831" s="15"/>
      <c r="P831" s="15"/>
      <c r="Q831" s="15"/>
      <c r="R831" s="15"/>
      <c r="S831" s="15"/>
      <c r="T831" s="15"/>
      <c r="U831" s="15"/>
      <c r="V831" s="15"/>
      <c r="W831" s="15"/>
      <c r="X831" s="15"/>
      <c r="Y831" s="15"/>
      <c r="Z831" s="15"/>
    </row>
    <row r="832" spans="1:26" ht="21" customHeight="1" x14ac:dyDescent="0.85">
      <c r="A832" s="15"/>
      <c r="B832" s="15"/>
      <c r="C832" s="15"/>
      <c r="D832" s="15"/>
      <c r="E832" s="15"/>
      <c r="F832" s="15"/>
      <c r="G832" s="15"/>
      <c r="H832" s="15"/>
      <c r="I832" s="15"/>
      <c r="J832" s="15"/>
      <c r="K832" s="15"/>
      <c r="L832" s="15"/>
      <c r="M832" s="15"/>
      <c r="N832" s="15"/>
      <c r="O832" s="15"/>
      <c r="P832" s="15"/>
      <c r="Q832" s="15"/>
      <c r="R832" s="15"/>
      <c r="S832" s="15"/>
      <c r="T832" s="15"/>
      <c r="U832" s="15"/>
      <c r="V832" s="15"/>
      <c r="W832" s="15"/>
      <c r="X832" s="15"/>
      <c r="Y832" s="15"/>
      <c r="Z832" s="15"/>
    </row>
    <row r="833" spans="1:26" ht="21" customHeight="1" x14ac:dyDescent="0.85">
      <c r="A833" s="15"/>
      <c r="B833" s="15"/>
      <c r="C833" s="15"/>
      <c r="D833" s="15"/>
      <c r="E833" s="15"/>
      <c r="F833" s="15"/>
      <c r="G833" s="15"/>
      <c r="H833" s="15"/>
      <c r="I833" s="15"/>
      <c r="J833" s="15"/>
      <c r="K833" s="15"/>
      <c r="L833" s="15"/>
      <c r="M833" s="15"/>
      <c r="N833" s="15"/>
      <c r="O833" s="15"/>
      <c r="P833" s="15"/>
      <c r="Q833" s="15"/>
      <c r="R833" s="15"/>
      <c r="S833" s="15"/>
      <c r="T833" s="15"/>
      <c r="U833" s="15"/>
      <c r="V833" s="15"/>
      <c r="W833" s="15"/>
      <c r="X833" s="15"/>
      <c r="Y833" s="15"/>
      <c r="Z833" s="15"/>
    </row>
    <row r="834" spans="1:26" ht="21" customHeight="1" x14ac:dyDescent="0.85">
      <c r="A834" s="15"/>
      <c r="B834" s="15"/>
      <c r="C834" s="15"/>
      <c r="D834" s="15"/>
      <c r="E834" s="15"/>
      <c r="F834" s="15"/>
      <c r="G834" s="15"/>
      <c r="H834" s="15"/>
      <c r="I834" s="15"/>
      <c r="J834" s="15"/>
      <c r="K834" s="15"/>
      <c r="L834" s="15"/>
      <c r="M834" s="15"/>
      <c r="N834" s="15"/>
      <c r="O834" s="15"/>
      <c r="P834" s="15"/>
      <c r="Q834" s="15"/>
      <c r="R834" s="15"/>
      <c r="S834" s="15"/>
      <c r="T834" s="15"/>
      <c r="U834" s="15"/>
      <c r="V834" s="15"/>
      <c r="W834" s="15"/>
      <c r="X834" s="15"/>
      <c r="Y834" s="15"/>
      <c r="Z834" s="15"/>
    </row>
    <row r="835" spans="1:26" ht="21" customHeight="1" x14ac:dyDescent="0.85">
      <c r="A835" s="15"/>
      <c r="B835" s="15"/>
      <c r="C835" s="15"/>
      <c r="D835" s="15"/>
      <c r="E835" s="15"/>
      <c r="F835" s="15"/>
      <c r="G835" s="15"/>
      <c r="H835" s="15"/>
      <c r="I835" s="15"/>
      <c r="J835" s="15"/>
      <c r="K835" s="15"/>
      <c r="L835" s="15"/>
      <c r="M835" s="15"/>
      <c r="N835" s="15"/>
      <c r="O835" s="15"/>
      <c r="P835" s="15"/>
      <c r="Q835" s="15"/>
      <c r="R835" s="15"/>
      <c r="S835" s="15"/>
      <c r="T835" s="15"/>
      <c r="U835" s="15"/>
      <c r="V835" s="15"/>
      <c r="W835" s="15"/>
      <c r="X835" s="15"/>
      <c r="Y835" s="15"/>
      <c r="Z835" s="15"/>
    </row>
    <row r="836" spans="1:26" ht="21" customHeight="1" x14ac:dyDescent="0.85">
      <c r="A836" s="15"/>
      <c r="B836" s="15"/>
      <c r="C836" s="15"/>
      <c r="D836" s="15"/>
      <c r="E836" s="15"/>
      <c r="F836" s="15"/>
      <c r="G836" s="15"/>
      <c r="H836" s="15"/>
      <c r="I836" s="15"/>
      <c r="J836" s="15"/>
      <c r="K836" s="15"/>
      <c r="L836" s="15"/>
      <c r="M836" s="15"/>
      <c r="N836" s="15"/>
      <c r="O836" s="15"/>
      <c r="P836" s="15"/>
      <c r="Q836" s="15"/>
      <c r="R836" s="15"/>
      <c r="S836" s="15"/>
      <c r="T836" s="15"/>
      <c r="U836" s="15"/>
      <c r="V836" s="15"/>
      <c r="W836" s="15"/>
      <c r="X836" s="15"/>
      <c r="Y836" s="15"/>
      <c r="Z836" s="15"/>
    </row>
    <row r="837" spans="1:26" ht="21" customHeight="1" x14ac:dyDescent="0.85">
      <c r="A837" s="15"/>
      <c r="B837" s="15"/>
      <c r="C837" s="15"/>
      <c r="D837" s="15"/>
      <c r="E837" s="15"/>
      <c r="F837" s="15"/>
      <c r="G837" s="15"/>
      <c r="H837" s="15"/>
      <c r="I837" s="15"/>
      <c r="J837" s="15"/>
      <c r="K837" s="15"/>
      <c r="L837" s="15"/>
      <c r="M837" s="15"/>
      <c r="N837" s="15"/>
      <c r="O837" s="15"/>
      <c r="P837" s="15"/>
      <c r="Q837" s="15"/>
      <c r="R837" s="15"/>
      <c r="S837" s="15"/>
      <c r="T837" s="15"/>
      <c r="U837" s="15"/>
      <c r="V837" s="15"/>
      <c r="W837" s="15"/>
      <c r="X837" s="15"/>
      <c r="Y837" s="15"/>
      <c r="Z837" s="15"/>
    </row>
    <row r="838" spans="1:26" ht="21" customHeight="1" x14ac:dyDescent="0.85">
      <c r="A838" s="15"/>
      <c r="B838" s="15"/>
      <c r="C838" s="15"/>
      <c r="D838" s="15"/>
      <c r="E838" s="15"/>
      <c r="F838" s="15"/>
      <c r="G838" s="15"/>
      <c r="H838" s="15"/>
      <c r="I838" s="15"/>
      <c r="J838" s="15"/>
      <c r="K838" s="15"/>
      <c r="L838" s="15"/>
      <c r="M838" s="15"/>
      <c r="N838" s="15"/>
      <c r="O838" s="15"/>
      <c r="P838" s="15"/>
      <c r="Q838" s="15"/>
      <c r="R838" s="15"/>
      <c r="S838" s="15"/>
      <c r="T838" s="15"/>
      <c r="U838" s="15"/>
      <c r="V838" s="15"/>
      <c r="W838" s="15"/>
      <c r="X838" s="15"/>
      <c r="Y838" s="15"/>
      <c r="Z838" s="15"/>
    </row>
    <row r="839" spans="1:26" ht="21" customHeight="1" x14ac:dyDescent="0.85">
      <c r="A839" s="15"/>
      <c r="B839" s="15"/>
      <c r="C839" s="15"/>
      <c r="D839" s="15"/>
      <c r="E839" s="15"/>
      <c r="F839" s="15"/>
      <c r="G839" s="15"/>
      <c r="H839" s="15"/>
      <c r="I839" s="15"/>
      <c r="J839" s="15"/>
      <c r="K839" s="15"/>
      <c r="L839" s="15"/>
      <c r="M839" s="15"/>
      <c r="N839" s="15"/>
      <c r="O839" s="15"/>
      <c r="P839" s="15"/>
      <c r="Q839" s="15"/>
      <c r="R839" s="15"/>
      <c r="S839" s="15"/>
      <c r="T839" s="15"/>
      <c r="U839" s="15"/>
      <c r="V839" s="15"/>
      <c r="W839" s="15"/>
      <c r="X839" s="15"/>
      <c r="Y839" s="15"/>
      <c r="Z839" s="15"/>
    </row>
    <row r="840" spans="1:26" ht="21" customHeight="1" x14ac:dyDescent="0.85">
      <c r="A840" s="15"/>
      <c r="B840" s="15"/>
      <c r="C840" s="15"/>
      <c r="D840" s="15"/>
      <c r="E840" s="15"/>
      <c r="F840" s="15"/>
      <c r="G840" s="15"/>
      <c r="H840" s="15"/>
      <c r="I840" s="15"/>
      <c r="J840" s="15"/>
      <c r="K840" s="15"/>
      <c r="L840" s="15"/>
      <c r="M840" s="15"/>
      <c r="N840" s="15"/>
      <c r="O840" s="15"/>
      <c r="P840" s="15"/>
      <c r="Q840" s="15"/>
      <c r="R840" s="15"/>
      <c r="S840" s="15"/>
      <c r="T840" s="15"/>
      <c r="U840" s="15"/>
      <c r="V840" s="15"/>
      <c r="W840" s="15"/>
      <c r="X840" s="15"/>
      <c r="Y840" s="15"/>
      <c r="Z840" s="15"/>
    </row>
    <row r="841" spans="1:26" ht="21" customHeight="1" x14ac:dyDescent="0.85">
      <c r="A841" s="15"/>
      <c r="B841" s="15"/>
      <c r="C841" s="15"/>
      <c r="D841" s="15"/>
      <c r="E841" s="15"/>
      <c r="F841" s="15"/>
      <c r="G841" s="15"/>
      <c r="H841" s="15"/>
      <c r="I841" s="15"/>
      <c r="J841" s="15"/>
      <c r="K841" s="15"/>
      <c r="L841" s="15"/>
      <c r="M841" s="15"/>
      <c r="N841" s="15"/>
      <c r="O841" s="15"/>
      <c r="P841" s="15"/>
      <c r="Q841" s="15"/>
      <c r="R841" s="15"/>
      <c r="S841" s="15"/>
      <c r="T841" s="15"/>
      <c r="U841" s="15"/>
      <c r="V841" s="15"/>
      <c r="W841" s="15"/>
      <c r="X841" s="15"/>
      <c r="Y841" s="15"/>
      <c r="Z841" s="15"/>
    </row>
    <row r="842" spans="1:26" ht="21" customHeight="1" x14ac:dyDescent="0.85">
      <c r="A842" s="15"/>
      <c r="B842" s="15"/>
      <c r="C842" s="15"/>
      <c r="D842" s="15"/>
      <c r="E842" s="15"/>
      <c r="F842" s="15"/>
      <c r="G842" s="15"/>
      <c r="H842" s="15"/>
      <c r="I842" s="15"/>
      <c r="J842" s="15"/>
      <c r="K842" s="15"/>
      <c r="L842" s="15"/>
      <c r="M842" s="15"/>
      <c r="N842" s="15"/>
      <c r="O842" s="15"/>
      <c r="P842" s="15"/>
      <c r="Q842" s="15"/>
      <c r="R842" s="15"/>
      <c r="S842" s="15"/>
      <c r="T842" s="15"/>
      <c r="U842" s="15"/>
      <c r="V842" s="15"/>
      <c r="W842" s="15"/>
      <c r="X842" s="15"/>
      <c r="Y842" s="15"/>
      <c r="Z842" s="15"/>
    </row>
    <row r="843" spans="1:26" ht="21" customHeight="1" x14ac:dyDescent="0.85">
      <c r="A843" s="15"/>
      <c r="B843" s="15"/>
      <c r="C843" s="15"/>
      <c r="D843" s="15"/>
      <c r="E843" s="15"/>
      <c r="F843" s="15"/>
      <c r="G843" s="15"/>
      <c r="H843" s="15"/>
      <c r="I843" s="15"/>
      <c r="J843" s="15"/>
      <c r="K843" s="15"/>
      <c r="L843" s="15"/>
      <c r="M843" s="15"/>
      <c r="N843" s="15"/>
      <c r="O843" s="15"/>
      <c r="P843" s="15"/>
      <c r="Q843" s="15"/>
      <c r="R843" s="15"/>
      <c r="S843" s="15"/>
      <c r="T843" s="15"/>
      <c r="U843" s="15"/>
      <c r="V843" s="15"/>
      <c r="W843" s="15"/>
      <c r="X843" s="15"/>
      <c r="Y843" s="15"/>
      <c r="Z843" s="15"/>
    </row>
    <row r="844" spans="1:26" ht="21" customHeight="1" x14ac:dyDescent="0.85">
      <c r="A844" s="15"/>
      <c r="B844" s="15"/>
      <c r="C844" s="15"/>
      <c r="D844" s="15"/>
      <c r="E844" s="15"/>
      <c r="F844" s="15"/>
      <c r="G844" s="15"/>
      <c r="H844" s="15"/>
      <c r="I844" s="15"/>
      <c r="J844" s="15"/>
      <c r="K844" s="15"/>
      <c r="L844" s="15"/>
      <c r="M844" s="15"/>
      <c r="N844" s="15"/>
      <c r="O844" s="15"/>
      <c r="P844" s="15"/>
      <c r="Q844" s="15"/>
      <c r="R844" s="15"/>
      <c r="S844" s="15"/>
      <c r="T844" s="15"/>
      <c r="U844" s="15"/>
      <c r="V844" s="15"/>
      <c r="W844" s="15"/>
      <c r="X844" s="15"/>
      <c r="Y844" s="15"/>
      <c r="Z844" s="15"/>
    </row>
    <row r="845" spans="1:26" ht="21" customHeight="1" x14ac:dyDescent="0.85">
      <c r="A845" s="15"/>
      <c r="B845" s="15"/>
      <c r="C845" s="15"/>
      <c r="D845" s="15"/>
      <c r="E845" s="15"/>
      <c r="F845" s="15"/>
      <c r="G845" s="15"/>
      <c r="H845" s="15"/>
      <c r="I845" s="15"/>
      <c r="J845" s="15"/>
      <c r="K845" s="15"/>
      <c r="L845" s="15"/>
      <c r="M845" s="15"/>
      <c r="N845" s="15"/>
      <c r="O845" s="15"/>
      <c r="P845" s="15"/>
      <c r="Q845" s="15"/>
      <c r="R845" s="15"/>
      <c r="S845" s="15"/>
      <c r="T845" s="15"/>
      <c r="U845" s="15"/>
      <c r="V845" s="15"/>
      <c r="W845" s="15"/>
      <c r="X845" s="15"/>
      <c r="Y845" s="15"/>
      <c r="Z845" s="15"/>
    </row>
    <row r="846" spans="1:26" ht="21" customHeight="1" x14ac:dyDescent="0.85">
      <c r="A846" s="15"/>
      <c r="B846" s="15"/>
      <c r="C846" s="15"/>
      <c r="D846" s="15"/>
      <c r="E846" s="15"/>
      <c r="F846" s="15"/>
      <c r="G846" s="15"/>
      <c r="H846" s="15"/>
      <c r="I846" s="15"/>
      <c r="J846" s="15"/>
      <c r="K846" s="15"/>
      <c r="L846" s="15"/>
      <c r="M846" s="15"/>
      <c r="N846" s="15"/>
      <c r="O846" s="15"/>
      <c r="P846" s="15"/>
      <c r="Q846" s="15"/>
      <c r="R846" s="15"/>
      <c r="S846" s="15"/>
      <c r="T846" s="15"/>
      <c r="U846" s="15"/>
      <c r="V846" s="15"/>
      <c r="W846" s="15"/>
      <c r="X846" s="15"/>
      <c r="Y846" s="15"/>
      <c r="Z846" s="15"/>
    </row>
    <row r="847" spans="1:26" ht="21" customHeight="1" x14ac:dyDescent="0.85">
      <c r="A847" s="15"/>
      <c r="B847" s="15"/>
      <c r="C847" s="15"/>
      <c r="D847" s="15"/>
      <c r="E847" s="15"/>
      <c r="F847" s="15"/>
      <c r="G847" s="15"/>
      <c r="H847" s="15"/>
      <c r="I847" s="15"/>
      <c r="J847" s="15"/>
      <c r="K847" s="15"/>
      <c r="L847" s="15"/>
      <c r="M847" s="15"/>
      <c r="N847" s="15"/>
      <c r="O847" s="15"/>
      <c r="P847" s="15"/>
      <c r="Q847" s="15"/>
      <c r="R847" s="15"/>
      <c r="S847" s="15"/>
      <c r="T847" s="15"/>
      <c r="U847" s="15"/>
      <c r="V847" s="15"/>
      <c r="W847" s="15"/>
      <c r="X847" s="15"/>
      <c r="Y847" s="15"/>
      <c r="Z847" s="15"/>
    </row>
    <row r="848" spans="1:26" ht="21" customHeight="1" x14ac:dyDescent="0.85">
      <c r="A848" s="15"/>
      <c r="B848" s="15"/>
      <c r="C848" s="15"/>
      <c r="D848" s="15"/>
      <c r="E848" s="15"/>
      <c r="F848" s="15"/>
      <c r="G848" s="15"/>
      <c r="H848" s="15"/>
      <c r="I848" s="15"/>
      <c r="J848" s="15"/>
      <c r="K848" s="15"/>
      <c r="L848" s="15"/>
      <c r="M848" s="15"/>
      <c r="N848" s="15"/>
      <c r="O848" s="15"/>
      <c r="P848" s="15"/>
      <c r="Q848" s="15"/>
      <c r="R848" s="15"/>
      <c r="S848" s="15"/>
      <c r="T848" s="15"/>
      <c r="U848" s="15"/>
      <c r="V848" s="15"/>
      <c r="W848" s="15"/>
      <c r="X848" s="15"/>
      <c r="Y848" s="15"/>
      <c r="Z848" s="15"/>
    </row>
    <row r="849" spans="1:26" ht="21" customHeight="1" x14ac:dyDescent="0.85">
      <c r="A849" s="15"/>
      <c r="B849" s="15"/>
      <c r="C849" s="15"/>
      <c r="D849" s="15"/>
      <c r="E849" s="15"/>
      <c r="F849" s="15"/>
      <c r="G849" s="15"/>
      <c r="H849" s="15"/>
      <c r="I849" s="15"/>
      <c r="J849" s="15"/>
      <c r="K849" s="15"/>
      <c r="L849" s="15"/>
      <c r="M849" s="15"/>
      <c r="N849" s="15"/>
      <c r="O849" s="15"/>
      <c r="P849" s="15"/>
      <c r="Q849" s="15"/>
      <c r="R849" s="15"/>
      <c r="S849" s="15"/>
      <c r="T849" s="15"/>
      <c r="U849" s="15"/>
      <c r="V849" s="15"/>
      <c r="W849" s="15"/>
      <c r="X849" s="15"/>
      <c r="Y849" s="15"/>
      <c r="Z849" s="15"/>
    </row>
    <row r="850" spans="1:26" ht="21" customHeight="1" x14ac:dyDescent="0.85">
      <c r="A850" s="15"/>
      <c r="B850" s="15"/>
      <c r="C850" s="15"/>
      <c r="D850" s="15"/>
      <c r="E850" s="15"/>
      <c r="F850" s="15"/>
      <c r="G850" s="15"/>
      <c r="H850" s="15"/>
      <c r="I850" s="15"/>
      <c r="J850" s="15"/>
      <c r="K850" s="15"/>
      <c r="L850" s="15"/>
      <c r="M850" s="15"/>
      <c r="N850" s="15"/>
      <c r="O850" s="15"/>
      <c r="P850" s="15"/>
      <c r="Q850" s="15"/>
      <c r="R850" s="15"/>
      <c r="S850" s="15"/>
      <c r="T850" s="15"/>
      <c r="U850" s="15"/>
      <c r="V850" s="15"/>
      <c r="W850" s="15"/>
      <c r="X850" s="15"/>
      <c r="Y850" s="15"/>
      <c r="Z850" s="15"/>
    </row>
    <row r="851" spans="1:26" ht="21" customHeight="1" x14ac:dyDescent="0.85">
      <c r="A851" s="15"/>
      <c r="B851" s="15"/>
      <c r="C851" s="15"/>
      <c r="D851" s="15"/>
      <c r="E851" s="15"/>
      <c r="F851" s="15"/>
      <c r="G851" s="15"/>
      <c r="H851" s="15"/>
      <c r="I851" s="15"/>
      <c r="J851" s="15"/>
      <c r="K851" s="15"/>
      <c r="L851" s="15"/>
      <c r="M851" s="15"/>
      <c r="N851" s="15"/>
      <c r="O851" s="15"/>
      <c r="P851" s="15"/>
      <c r="Q851" s="15"/>
      <c r="R851" s="15"/>
      <c r="S851" s="15"/>
      <c r="T851" s="15"/>
      <c r="U851" s="15"/>
      <c r="V851" s="15"/>
      <c r="W851" s="15"/>
      <c r="X851" s="15"/>
      <c r="Y851" s="15"/>
      <c r="Z851" s="15"/>
    </row>
    <row r="852" spans="1:26" ht="21" customHeight="1" x14ac:dyDescent="0.85">
      <c r="A852" s="15"/>
      <c r="B852" s="15"/>
      <c r="C852" s="15"/>
      <c r="D852" s="15"/>
      <c r="E852" s="15"/>
      <c r="F852" s="15"/>
      <c r="G852" s="15"/>
      <c r="H852" s="15"/>
      <c r="I852" s="15"/>
      <c r="J852" s="15"/>
      <c r="K852" s="15"/>
      <c r="L852" s="15"/>
      <c r="M852" s="15"/>
      <c r="N852" s="15"/>
      <c r="O852" s="15"/>
      <c r="P852" s="15"/>
      <c r="Q852" s="15"/>
      <c r="R852" s="15"/>
      <c r="S852" s="15"/>
      <c r="T852" s="15"/>
      <c r="U852" s="15"/>
      <c r="V852" s="15"/>
      <c r="W852" s="15"/>
      <c r="X852" s="15"/>
      <c r="Y852" s="15"/>
      <c r="Z852" s="15"/>
    </row>
    <row r="853" spans="1:26" ht="21" customHeight="1" x14ac:dyDescent="0.85">
      <c r="A853" s="15"/>
      <c r="B853" s="15"/>
      <c r="C853" s="15"/>
      <c r="D853" s="15"/>
      <c r="E853" s="15"/>
      <c r="F853" s="15"/>
      <c r="G853" s="15"/>
      <c r="H853" s="15"/>
      <c r="I853" s="15"/>
      <c r="J853" s="15"/>
      <c r="K853" s="15"/>
      <c r="L853" s="15"/>
      <c r="M853" s="15"/>
      <c r="N853" s="15"/>
      <c r="O853" s="15"/>
      <c r="P853" s="15"/>
      <c r="Q853" s="15"/>
      <c r="R853" s="15"/>
      <c r="S853" s="15"/>
      <c r="T853" s="15"/>
      <c r="U853" s="15"/>
      <c r="V853" s="15"/>
      <c r="W853" s="15"/>
      <c r="X853" s="15"/>
      <c r="Y853" s="15"/>
      <c r="Z853" s="15"/>
    </row>
    <row r="854" spans="1:26" ht="21" customHeight="1" x14ac:dyDescent="0.85">
      <c r="A854" s="15"/>
      <c r="B854" s="15"/>
      <c r="C854" s="15"/>
      <c r="D854" s="15"/>
      <c r="E854" s="15"/>
      <c r="F854" s="15"/>
      <c r="G854" s="15"/>
      <c r="H854" s="15"/>
      <c r="I854" s="15"/>
      <c r="J854" s="15"/>
      <c r="K854" s="15"/>
      <c r="L854" s="15"/>
      <c r="M854" s="15"/>
      <c r="N854" s="15"/>
      <c r="O854" s="15"/>
      <c r="P854" s="15"/>
      <c r="Q854" s="15"/>
      <c r="R854" s="15"/>
      <c r="S854" s="15"/>
      <c r="T854" s="15"/>
      <c r="U854" s="15"/>
      <c r="V854" s="15"/>
      <c r="W854" s="15"/>
      <c r="X854" s="15"/>
      <c r="Y854" s="15"/>
      <c r="Z854" s="15"/>
    </row>
    <row r="855" spans="1:26" ht="21" customHeight="1" x14ac:dyDescent="0.85">
      <c r="A855" s="15"/>
      <c r="B855" s="15"/>
      <c r="C855" s="15"/>
      <c r="D855" s="15"/>
      <c r="E855" s="15"/>
      <c r="F855" s="15"/>
      <c r="G855" s="15"/>
      <c r="H855" s="15"/>
      <c r="I855" s="15"/>
      <c r="J855" s="15"/>
      <c r="K855" s="15"/>
      <c r="L855" s="15"/>
      <c r="M855" s="15"/>
      <c r="N855" s="15"/>
      <c r="O855" s="15"/>
      <c r="P855" s="15"/>
      <c r="Q855" s="15"/>
      <c r="R855" s="15"/>
      <c r="S855" s="15"/>
      <c r="T855" s="15"/>
      <c r="U855" s="15"/>
      <c r="V855" s="15"/>
      <c r="W855" s="15"/>
      <c r="X855" s="15"/>
      <c r="Y855" s="15"/>
      <c r="Z855" s="15"/>
    </row>
    <row r="856" spans="1:26" ht="21" customHeight="1" x14ac:dyDescent="0.85">
      <c r="A856" s="15"/>
      <c r="B856" s="15"/>
      <c r="C856" s="15"/>
      <c r="D856" s="15"/>
      <c r="E856" s="15"/>
      <c r="F856" s="15"/>
      <c r="G856" s="15"/>
      <c r="H856" s="15"/>
      <c r="I856" s="15"/>
      <c r="J856" s="15"/>
      <c r="K856" s="15"/>
      <c r="L856" s="15"/>
      <c r="M856" s="15"/>
      <c r="N856" s="15"/>
      <c r="O856" s="15"/>
      <c r="P856" s="15"/>
      <c r="Q856" s="15"/>
      <c r="R856" s="15"/>
      <c r="S856" s="15"/>
      <c r="T856" s="15"/>
      <c r="U856" s="15"/>
      <c r="V856" s="15"/>
      <c r="W856" s="15"/>
      <c r="X856" s="15"/>
      <c r="Y856" s="15"/>
      <c r="Z856" s="15"/>
    </row>
    <row r="857" spans="1:26" ht="21" customHeight="1" x14ac:dyDescent="0.85">
      <c r="A857" s="15"/>
      <c r="B857" s="15"/>
      <c r="C857" s="15"/>
      <c r="D857" s="15"/>
      <c r="E857" s="15"/>
      <c r="F857" s="15"/>
      <c r="G857" s="15"/>
      <c r="H857" s="15"/>
      <c r="I857" s="15"/>
      <c r="J857" s="15"/>
      <c r="K857" s="15"/>
      <c r="L857" s="15"/>
      <c r="M857" s="15"/>
      <c r="N857" s="15"/>
      <c r="O857" s="15"/>
      <c r="P857" s="15"/>
      <c r="Q857" s="15"/>
      <c r="R857" s="15"/>
      <c r="S857" s="15"/>
      <c r="T857" s="15"/>
      <c r="U857" s="15"/>
      <c r="V857" s="15"/>
      <c r="W857" s="15"/>
      <c r="X857" s="15"/>
      <c r="Y857" s="15"/>
      <c r="Z857" s="15"/>
    </row>
    <row r="858" spans="1:26" ht="21" customHeight="1" x14ac:dyDescent="0.85">
      <c r="A858" s="15"/>
      <c r="B858" s="15"/>
      <c r="C858" s="15"/>
      <c r="D858" s="15"/>
      <c r="E858" s="15"/>
      <c r="F858" s="15"/>
      <c r="G858" s="15"/>
      <c r="H858" s="15"/>
      <c r="I858" s="15"/>
      <c r="J858" s="15"/>
      <c r="K858" s="15"/>
      <c r="L858" s="15"/>
      <c r="M858" s="15"/>
      <c r="N858" s="15"/>
      <c r="O858" s="15"/>
      <c r="P858" s="15"/>
      <c r="Q858" s="15"/>
      <c r="R858" s="15"/>
      <c r="S858" s="15"/>
      <c r="T858" s="15"/>
      <c r="U858" s="15"/>
      <c r="V858" s="15"/>
      <c r="W858" s="15"/>
      <c r="X858" s="15"/>
      <c r="Y858" s="15"/>
      <c r="Z858" s="15"/>
    </row>
    <row r="859" spans="1:26" ht="21" customHeight="1" x14ac:dyDescent="0.85">
      <c r="A859" s="15"/>
      <c r="B859" s="15"/>
      <c r="C859" s="15"/>
      <c r="D859" s="15"/>
      <c r="E859" s="15"/>
      <c r="F859" s="15"/>
      <c r="G859" s="15"/>
      <c r="H859" s="15"/>
      <c r="I859" s="15"/>
      <c r="J859" s="15"/>
      <c r="K859" s="15"/>
      <c r="L859" s="15"/>
      <c r="M859" s="15"/>
      <c r="N859" s="15"/>
      <c r="O859" s="15"/>
      <c r="P859" s="15"/>
      <c r="Q859" s="15"/>
      <c r="R859" s="15"/>
      <c r="S859" s="15"/>
      <c r="T859" s="15"/>
      <c r="U859" s="15"/>
      <c r="V859" s="15"/>
      <c r="W859" s="15"/>
      <c r="X859" s="15"/>
      <c r="Y859" s="15"/>
      <c r="Z859" s="15"/>
    </row>
    <row r="860" spans="1:26" ht="21" customHeight="1" x14ac:dyDescent="0.85">
      <c r="A860" s="15"/>
      <c r="B860" s="15"/>
      <c r="C860" s="15"/>
      <c r="D860" s="15"/>
      <c r="E860" s="15"/>
      <c r="F860" s="15"/>
      <c r="G860" s="15"/>
      <c r="H860" s="15"/>
      <c r="I860" s="15"/>
      <c r="J860" s="15"/>
      <c r="K860" s="15"/>
      <c r="L860" s="15"/>
      <c r="M860" s="15"/>
      <c r="N860" s="15"/>
      <c r="O860" s="15"/>
      <c r="P860" s="15"/>
      <c r="Q860" s="15"/>
      <c r="R860" s="15"/>
      <c r="S860" s="15"/>
      <c r="T860" s="15"/>
      <c r="U860" s="15"/>
      <c r="V860" s="15"/>
      <c r="W860" s="15"/>
      <c r="X860" s="15"/>
      <c r="Y860" s="15"/>
      <c r="Z860" s="15"/>
    </row>
    <row r="861" spans="1:26" ht="21" customHeight="1" x14ac:dyDescent="0.85">
      <c r="A861" s="15"/>
      <c r="B861" s="15"/>
      <c r="C861" s="15"/>
      <c r="D861" s="15"/>
      <c r="E861" s="15"/>
      <c r="F861" s="15"/>
      <c r="G861" s="15"/>
      <c r="H861" s="15"/>
      <c r="I861" s="15"/>
      <c r="J861" s="15"/>
      <c r="K861" s="15"/>
      <c r="L861" s="15"/>
      <c r="M861" s="15"/>
      <c r="N861" s="15"/>
      <c r="O861" s="15"/>
      <c r="P861" s="15"/>
      <c r="Q861" s="15"/>
      <c r="R861" s="15"/>
      <c r="S861" s="15"/>
      <c r="T861" s="15"/>
      <c r="U861" s="15"/>
      <c r="V861" s="15"/>
      <c r="W861" s="15"/>
      <c r="X861" s="15"/>
      <c r="Y861" s="15"/>
      <c r="Z861" s="15"/>
    </row>
    <row r="862" spans="1:26" ht="21" customHeight="1" x14ac:dyDescent="0.85">
      <c r="A862" s="15"/>
      <c r="B862" s="15"/>
      <c r="C862" s="15"/>
      <c r="D862" s="15"/>
      <c r="E862" s="15"/>
      <c r="F862" s="15"/>
      <c r="G862" s="15"/>
      <c r="H862" s="15"/>
      <c r="I862" s="15"/>
      <c r="J862" s="15"/>
      <c r="K862" s="15"/>
      <c r="L862" s="15"/>
      <c r="M862" s="15"/>
      <c r="N862" s="15"/>
      <c r="O862" s="15"/>
      <c r="P862" s="15"/>
      <c r="Q862" s="15"/>
      <c r="R862" s="15"/>
      <c r="S862" s="15"/>
      <c r="T862" s="15"/>
      <c r="U862" s="15"/>
      <c r="V862" s="15"/>
      <c r="W862" s="15"/>
      <c r="X862" s="15"/>
      <c r="Y862" s="15"/>
      <c r="Z862" s="15"/>
    </row>
    <row r="863" spans="1:26" ht="21" customHeight="1" x14ac:dyDescent="0.85">
      <c r="A863" s="15"/>
      <c r="B863" s="15"/>
      <c r="C863" s="15"/>
      <c r="D863" s="15"/>
      <c r="E863" s="15"/>
      <c r="F863" s="15"/>
      <c r="G863" s="15"/>
      <c r="H863" s="15"/>
      <c r="I863" s="15"/>
      <c r="J863" s="15"/>
      <c r="K863" s="15"/>
      <c r="L863" s="15"/>
      <c r="M863" s="15"/>
      <c r="N863" s="15"/>
      <c r="O863" s="15"/>
      <c r="P863" s="15"/>
      <c r="Q863" s="15"/>
      <c r="R863" s="15"/>
      <c r="S863" s="15"/>
      <c r="T863" s="15"/>
      <c r="U863" s="15"/>
      <c r="V863" s="15"/>
      <c r="W863" s="15"/>
      <c r="X863" s="15"/>
      <c r="Y863" s="15"/>
      <c r="Z863" s="15"/>
    </row>
    <row r="864" spans="1:26" ht="21" customHeight="1" x14ac:dyDescent="0.85">
      <c r="A864" s="15"/>
      <c r="B864" s="15"/>
      <c r="C864" s="15"/>
      <c r="D864" s="15"/>
      <c r="E864" s="15"/>
      <c r="F864" s="15"/>
      <c r="G864" s="15"/>
      <c r="H864" s="15"/>
      <c r="I864" s="15"/>
      <c r="J864" s="15"/>
      <c r="K864" s="15"/>
      <c r="L864" s="15"/>
      <c r="M864" s="15"/>
      <c r="N864" s="15"/>
      <c r="O864" s="15"/>
      <c r="P864" s="15"/>
      <c r="Q864" s="15"/>
      <c r="R864" s="15"/>
      <c r="S864" s="15"/>
      <c r="T864" s="15"/>
      <c r="U864" s="15"/>
      <c r="V864" s="15"/>
      <c r="W864" s="15"/>
      <c r="X864" s="15"/>
      <c r="Y864" s="15"/>
      <c r="Z864" s="15"/>
    </row>
    <row r="865" spans="1:26" ht="21" customHeight="1" x14ac:dyDescent="0.85">
      <c r="A865" s="15"/>
      <c r="B865" s="15"/>
      <c r="C865" s="15"/>
      <c r="D865" s="15"/>
      <c r="E865" s="15"/>
      <c r="F865" s="15"/>
      <c r="G865" s="15"/>
      <c r="H865" s="15"/>
      <c r="I865" s="15"/>
      <c r="J865" s="15"/>
      <c r="K865" s="15"/>
      <c r="L865" s="15"/>
      <c r="M865" s="15"/>
      <c r="N865" s="15"/>
      <c r="O865" s="15"/>
      <c r="P865" s="15"/>
      <c r="Q865" s="15"/>
      <c r="R865" s="15"/>
      <c r="S865" s="15"/>
      <c r="T865" s="15"/>
      <c r="U865" s="15"/>
      <c r="V865" s="15"/>
      <c r="W865" s="15"/>
      <c r="X865" s="15"/>
      <c r="Y865" s="15"/>
      <c r="Z865" s="15"/>
    </row>
    <row r="866" spans="1:26" ht="21" customHeight="1" x14ac:dyDescent="0.85">
      <c r="A866" s="15"/>
      <c r="B866" s="15"/>
      <c r="C866" s="15"/>
      <c r="D866" s="15"/>
      <c r="E866" s="15"/>
      <c r="F866" s="15"/>
      <c r="G866" s="15"/>
      <c r="H866" s="15"/>
      <c r="I866" s="15"/>
      <c r="J866" s="15"/>
      <c r="K866" s="15"/>
      <c r="L866" s="15"/>
      <c r="M866" s="15"/>
      <c r="N866" s="15"/>
      <c r="O866" s="15"/>
      <c r="P866" s="15"/>
      <c r="Q866" s="15"/>
      <c r="R866" s="15"/>
      <c r="S866" s="15"/>
      <c r="T866" s="15"/>
      <c r="U866" s="15"/>
      <c r="V866" s="15"/>
      <c r="W866" s="15"/>
      <c r="X866" s="15"/>
      <c r="Y866" s="15"/>
      <c r="Z866" s="15"/>
    </row>
    <row r="867" spans="1:26" ht="21" customHeight="1" x14ac:dyDescent="0.85">
      <c r="A867" s="15"/>
      <c r="B867" s="15"/>
      <c r="C867" s="15"/>
      <c r="D867" s="15"/>
      <c r="E867" s="15"/>
      <c r="F867" s="15"/>
      <c r="G867" s="15"/>
      <c r="H867" s="15"/>
      <c r="I867" s="15"/>
      <c r="J867" s="15"/>
      <c r="K867" s="15"/>
      <c r="L867" s="15"/>
      <c r="M867" s="15"/>
      <c r="N867" s="15"/>
      <c r="O867" s="15"/>
      <c r="P867" s="15"/>
      <c r="Q867" s="15"/>
      <c r="R867" s="15"/>
      <c r="S867" s="15"/>
      <c r="T867" s="15"/>
      <c r="U867" s="15"/>
      <c r="V867" s="15"/>
      <c r="W867" s="15"/>
      <c r="X867" s="15"/>
      <c r="Y867" s="15"/>
      <c r="Z867" s="15"/>
    </row>
    <row r="868" spans="1:26" ht="21" customHeight="1" x14ac:dyDescent="0.85">
      <c r="A868" s="15"/>
      <c r="B868" s="15"/>
      <c r="C868" s="15"/>
      <c r="D868" s="15"/>
      <c r="E868" s="15"/>
      <c r="F868" s="15"/>
      <c r="G868" s="15"/>
      <c r="H868" s="15"/>
      <c r="I868" s="15"/>
      <c r="J868" s="15"/>
      <c r="K868" s="15"/>
      <c r="L868" s="15"/>
      <c r="M868" s="15"/>
      <c r="N868" s="15"/>
      <c r="O868" s="15"/>
      <c r="P868" s="15"/>
      <c r="Q868" s="15"/>
      <c r="R868" s="15"/>
      <c r="S868" s="15"/>
      <c r="T868" s="15"/>
      <c r="U868" s="15"/>
      <c r="V868" s="15"/>
      <c r="W868" s="15"/>
      <c r="X868" s="15"/>
      <c r="Y868" s="15"/>
      <c r="Z868" s="15"/>
    </row>
    <row r="869" spans="1:26" ht="21" customHeight="1" x14ac:dyDescent="0.85">
      <c r="A869" s="15"/>
      <c r="B869" s="15"/>
      <c r="C869" s="15"/>
      <c r="D869" s="15"/>
      <c r="E869" s="15"/>
      <c r="F869" s="15"/>
      <c r="G869" s="15"/>
      <c r="H869" s="15"/>
      <c r="I869" s="15"/>
      <c r="J869" s="15"/>
      <c r="K869" s="15"/>
      <c r="L869" s="15"/>
      <c r="M869" s="15"/>
      <c r="N869" s="15"/>
      <c r="O869" s="15"/>
      <c r="P869" s="15"/>
      <c r="Q869" s="15"/>
      <c r="R869" s="15"/>
      <c r="S869" s="15"/>
      <c r="T869" s="15"/>
      <c r="U869" s="15"/>
      <c r="V869" s="15"/>
      <c r="W869" s="15"/>
      <c r="X869" s="15"/>
      <c r="Y869" s="15"/>
      <c r="Z869" s="15"/>
    </row>
    <row r="870" spans="1:26" ht="21" customHeight="1" x14ac:dyDescent="0.85">
      <c r="A870" s="15"/>
      <c r="B870" s="15"/>
      <c r="C870" s="15"/>
      <c r="D870" s="15"/>
      <c r="E870" s="15"/>
      <c r="F870" s="15"/>
      <c r="G870" s="15"/>
      <c r="H870" s="15"/>
      <c r="I870" s="15"/>
      <c r="J870" s="15"/>
      <c r="K870" s="15"/>
      <c r="L870" s="15"/>
      <c r="M870" s="15"/>
      <c r="N870" s="15"/>
      <c r="O870" s="15"/>
      <c r="P870" s="15"/>
      <c r="Q870" s="15"/>
      <c r="R870" s="15"/>
      <c r="S870" s="15"/>
      <c r="T870" s="15"/>
      <c r="U870" s="15"/>
      <c r="V870" s="15"/>
      <c r="W870" s="15"/>
      <c r="X870" s="15"/>
      <c r="Y870" s="15"/>
      <c r="Z870" s="15"/>
    </row>
    <row r="871" spans="1:26" ht="21" customHeight="1" x14ac:dyDescent="0.85">
      <c r="A871" s="15"/>
      <c r="B871" s="15"/>
      <c r="C871" s="15"/>
      <c r="D871" s="15"/>
      <c r="E871" s="15"/>
      <c r="F871" s="15"/>
      <c r="G871" s="15"/>
      <c r="H871" s="15"/>
      <c r="I871" s="15"/>
      <c r="J871" s="15"/>
      <c r="K871" s="15"/>
      <c r="L871" s="15"/>
      <c r="M871" s="15"/>
      <c r="N871" s="15"/>
      <c r="O871" s="15"/>
      <c r="P871" s="15"/>
      <c r="Q871" s="15"/>
      <c r="R871" s="15"/>
      <c r="S871" s="15"/>
      <c r="T871" s="15"/>
      <c r="U871" s="15"/>
      <c r="V871" s="15"/>
      <c r="W871" s="15"/>
      <c r="X871" s="15"/>
      <c r="Y871" s="15"/>
      <c r="Z871" s="15"/>
    </row>
    <row r="872" spans="1:26" ht="21" customHeight="1" x14ac:dyDescent="0.85">
      <c r="A872" s="15"/>
      <c r="B872" s="15"/>
      <c r="C872" s="15"/>
      <c r="D872" s="15"/>
      <c r="E872" s="15"/>
      <c r="F872" s="15"/>
      <c r="G872" s="15"/>
      <c r="H872" s="15"/>
      <c r="I872" s="15"/>
      <c r="J872" s="15"/>
      <c r="K872" s="15"/>
      <c r="L872" s="15"/>
      <c r="M872" s="15"/>
      <c r="N872" s="15"/>
      <c r="O872" s="15"/>
      <c r="P872" s="15"/>
      <c r="Q872" s="15"/>
      <c r="R872" s="15"/>
      <c r="S872" s="15"/>
      <c r="T872" s="15"/>
      <c r="U872" s="15"/>
      <c r="V872" s="15"/>
      <c r="W872" s="15"/>
      <c r="X872" s="15"/>
      <c r="Y872" s="15"/>
      <c r="Z872" s="15"/>
    </row>
    <row r="873" spans="1:26" ht="21" customHeight="1" x14ac:dyDescent="0.85">
      <c r="A873" s="15"/>
      <c r="B873" s="15"/>
      <c r="C873" s="15"/>
      <c r="D873" s="15"/>
      <c r="E873" s="15"/>
      <c r="F873" s="15"/>
      <c r="G873" s="15"/>
      <c r="H873" s="15"/>
      <c r="I873" s="15"/>
      <c r="J873" s="15"/>
      <c r="K873" s="15"/>
      <c r="L873" s="15"/>
      <c r="M873" s="15"/>
      <c r="N873" s="15"/>
      <c r="O873" s="15"/>
      <c r="P873" s="15"/>
      <c r="Q873" s="15"/>
      <c r="R873" s="15"/>
      <c r="S873" s="15"/>
      <c r="T873" s="15"/>
      <c r="U873" s="15"/>
      <c r="V873" s="15"/>
      <c r="W873" s="15"/>
      <c r="X873" s="15"/>
      <c r="Y873" s="15"/>
      <c r="Z873" s="15"/>
    </row>
    <row r="874" spans="1:26" ht="21" customHeight="1" x14ac:dyDescent="0.85">
      <c r="A874" s="15"/>
      <c r="B874" s="15"/>
      <c r="C874" s="15"/>
      <c r="D874" s="15"/>
      <c r="E874" s="15"/>
      <c r="F874" s="15"/>
      <c r="G874" s="15"/>
      <c r="H874" s="15"/>
      <c r="I874" s="15"/>
      <c r="J874" s="15"/>
      <c r="K874" s="15"/>
      <c r="L874" s="15"/>
      <c r="M874" s="15"/>
      <c r="N874" s="15"/>
      <c r="O874" s="15"/>
      <c r="P874" s="15"/>
      <c r="Q874" s="15"/>
      <c r="R874" s="15"/>
      <c r="S874" s="15"/>
      <c r="T874" s="15"/>
      <c r="U874" s="15"/>
      <c r="V874" s="15"/>
      <c r="W874" s="15"/>
      <c r="X874" s="15"/>
      <c r="Y874" s="15"/>
      <c r="Z874" s="15"/>
    </row>
    <row r="875" spans="1:26" ht="21" customHeight="1" x14ac:dyDescent="0.85">
      <c r="A875" s="15"/>
      <c r="B875" s="15"/>
      <c r="C875" s="15"/>
      <c r="D875" s="15"/>
      <c r="E875" s="15"/>
      <c r="F875" s="15"/>
      <c r="G875" s="15"/>
      <c r="H875" s="15"/>
      <c r="I875" s="15"/>
      <c r="J875" s="15"/>
      <c r="K875" s="15"/>
      <c r="L875" s="15"/>
      <c r="M875" s="15"/>
      <c r="N875" s="15"/>
      <c r="O875" s="15"/>
      <c r="P875" s="15"/>
      <c r="Q875" s="15"/>
      <c r="R875" s="15"/>
      <c r="S875" s="15"/>
      <c r="T875" s="15"/>
      <c r="U875" s="15"/>
      <c r="V875" s="15"/>
      <c r="W875" s="15"/>
      <c r="X875" s="15"/>
      <c r="Y875" s="15"/>
      <c r="Z875" s="15"/>
    </row>
    <row r="876" spans="1:26" ht="21" customHeight="1" x14ac:dyDescent="0.85">
      <c r="A876" s="15"/>
      <c r="B876" s="15"/>
      <c r="C876" s="15"/>
      <c r="D876" s="15"/>
      <c r="E876" s="15"/>
      <c r="F876" s="15"/>
      <c r="G876" s="15"/>
      <c r="H876" s="15"/>
      <c r="I876" s="15"/>
      <c r="J876" s="15"/>
      <c r="K876" s="15"/>
      <c r="L876" s="15"/>
      <c r="M876" s="15"/>
      <c r="N876" s="15"/>
      <c r="O876" s="15"/>
      <c r="P876" s="15"/>
      <c r="Q876" s="15"/>
      <c r="R876" s="15"/>
      <c r="S876" s="15"/>
      <c r="T876" s="15"/>
      <c r="U876" s="15"/>
      <c r="V876" s="15"/>
      <c r="W876" s="15"/>
      <c r="X876" s="15"/>
      <c r="Y876" s="15"/>
      <c r="Z876" s="15"/>
    </row>
    <row r="877" spans="1:26" ht="21" customHeight="1" x14ac:dyDescent="0.85">
      <c r="A877" s="15"/>
      <c r="B877" s="15"/>
      <c r="C877" s="15"/>
      <c r="D877" s="15"/>
      <c r="E877" s="15"/>
      <c r="F877" s="15"/>
      <c r="G877" s="15"/>
      <c r="H877" s="15"/>
      <c r="I877" s="15"/>
      <c r="J877" s="15"/>
      <c r="K877" s="15"/>
      <c r="L877" s="15"/>
      <c r="M877" s="15"/>
      <c r="N877" s="15"/>
      <c r="O877" s="15"/>
      <c r="P877" s="15"/>
      <c r="Q877" s="15"/>
      <c r="R877" s="15"/>
      <c r="S877" s="15"/>
      <c r="T877" s="15"/>
      <c r="U877" s="15"/>
      <c r="V877" s="15"/>
      <c r="W877" s="15"/>
      <c r="X877" s="15"/>
      <c r="Y877" s="15"/>
      <c r="Z877" s="15"/>
    </row>
    <row r="878" spans="1:26" ht="21" customHeight="1" x14ac:dyDescent="0.85">
      <c r="A878" s="15"/>
      <c r="B878" s="15"/>
      <c r="C878" s="15"/>
      <c r="D878" s="15"/>
      <c r="E878" s="15"/>
      <c r="F878" s="15"/>
      <c r="G878" s="15"/>
      <c r="H878" s="15"/>
      <c r="I878" s="15"/>
      <c r="J878" s="15"/>
      <c r="K878" s="15"/>
      <c r="L878" s="15"/>
      <c r="M878" s="15"/>
      <c r="N878" s="15"/>
      <c r="O878" s="15"/>
      <c r="P878" s="15"/>
      <c r="Q878" s="15"/>
      <c r="R878" s="15"/>
      <c r="S878" s="15"/>
      <c r="T878" s="15"/>
      <c r="U878" s="15"/>
      <c r="V878" s="15"/>
      <c r="W878" s="15"/>
      <c r="X878" s="15"/>
      <c r="Y878" s="15"/>
      <c r="Z878" s="15"/>
    </row>
    <row r="879" spans="1:26" ht="21" customHeight="1" x14ac:dyDescent="0.85">
      <c r="A879" s="15"/>
      <c r="B879" s="15"/>
      <c r="C879" s="15"/>
      <c r="D879" s="15"/>
      <c r="E879" s="15"/>
      <c r="F879" s="15"/>
      <c r="G879" s="15"/>
      <c r="H879" s="15"/>
      <c r="I879" s="15"/>
      <c r="J879" s="15"/>
      <c r="K879" s="15"/>
      <c r="L879" s="15"/>
      <c r="M879" s="15"/>
      <c r="N879" s="15"/>
      <c r="O879" s="15"/>
      <c r="P879" s="15"/>
      <c r="Q879" s="15"/>
      <c r="R879" s="15"/>
      <c r="S879" s="15"/>
      <c r="T879" s="15"/>
      <c r="U879" s="15"/>
      <c r="V879" s="15"/>
      <c r="W879" s="15"/>
      <c r="X879" s="15"/>
      <c r="Y879" s="15"/>
      <c r="Z879" s="15"/>
    </row>
    <row r="880" spans="1:26" ht="21" customHeight="1" x14ac:dyDescent="0.85">
      <c r="A880" s="15"/>
      <c r="B880" s="15"/>
      <c r="C880" s="15"/>
      <c r="D880" s="15"/>
      <c r="E880" s="15"/>
      <c r="F880" s="15"/>
      <c r="G880" s="15"/>
      <c r="H880" s="15"/>
      <c r="I880" s="15"/>
      <c r="J880" s="15"/>
      <c r="K880" s="15"/>
      <c r="L880" s="15"/>
      <c r="M880" s="15"/>
      <c r="N880" s="15"/>
      <c r="O880" s="15"/>
      <c r="P880" s="15"/>
      <c r="Q880" s="15"/>
      <c r="R880" s="15"/>
      <c r="S880" s="15"/>
      <c r="T880" s="15"/>
      <c r="U880" s="15"/>
      <c r="V880" s="15"/>
      <c r="W880" s="15"/>
      <c r="X880" s="15"/>
      <c r="Y880" s="15"/>
      <c r="Z880" s="15"/>
    </row>
    <row r="881" spans="1:26" ht="21" customHeight="1" x14ac:dyDescent="0.85">
      <c r="A881" s="15"/>
      <c r="B881" s="15"/>
      <c r="C881" s="15"/>
      <c r="D881" s="15"/>
      <c r="E881" s="15"/>
      <c r="F881" s="15"/>
      <c r="G881" s="15"/>
      <c r="H881" s="15"/>
      <c r="I881" s="15"/>
      <c r="J881" s="15"/>
      <c r="K881" s="15"/>
      <c r="L881" s="15"/>
      <c r="M881" s="15"/>
      <c r="N881" s="15"/>
      <c r="O881" s="15"/>
      <c r="P881" s="15"/>
      <c r="Q881" s="15"/>
      <c r="R881" s="15"/>
      <c r="S881" s="15"/>
      <c r="T881" s="15"/>
      <c r="U881" s="15"/>
      <c r="V881" s="15"/>
      <c r="W881" s="15"/>
      <c r="X881" s="15"/>
      <c r="Y881" s="15"/>
      <c r="Z881" s="15"/>
    </row>
    <row r="882" spans="1:26" ht="21" customHeight="1" x14ac:dyDescent="0.85">
      <c r="A882" s="15"/>
      <c r="B882" s="15"/>
      <c r="C882" s="15"/>
      <c r="D882" s="15"/>
      <c r="E882" s="15"/>
      <c r="F882" s="15"/>
      <c r="G882" s="15"/>
      <c r="H882" s="15"/>
      <c r="I882" s="15"/>
      <c r="J882" s="15"/>
      <c r="K882" s="15"/>
      <c r="L882" s="15"/>
      <c r="M882" s="15"/>
      <c r="N882" s="15"/>
      <c r="O882" s="15"/>
      <c r="P882" s="15"/>
      <c r="Q882" s="15"/>
      <c r="R882" s="15"/>
      <c r="S882" s="15"/>
      <c r="T882" s="15"/>
      <c r="U882" s="15"/>
      <c r="V882" s="15"/>
      <c r="W882" s="15"/>
      <c r="X882" s="15"/>
      <c r="Y882" s="15"/>
      <c r="Z882" s="15"/>
    </row>
    <row r="883" spans="1:26" ht="21" customHeight="1" x14ac:dyDescent="0.85">
      <c r="A883" s="15"/>
      <c r="B883" s="15"/>
      <c r="C883" s="15"/>
      <c r="D883" s="15"/>
      <c r="E883" s="15"/>
      <c r="F883" s="15"/>
      <c r="G883" s="15"/>
      <c r="H883" s="15"/>
      <c r="I883" s="15"/>
      <c r="J883" s="15"/>
      <c r="K883" s="15"/>
      <c r="L883" s="15"/>
      <c r="M883" s="15"/>
      <c r="N883" s="15"/>
      <c r="O883" s="15"/>
      <c r="P883" s="15"/>
      <c r="Q883" s="15"/>
      <c r="R883" s="15"/>
      <c r="S883" s="15"/>
      <c r="T883" s="15"/>
      <c r="U883" s="15"/>
      <c r="V883" s="15"/>
      <c r="W883" s="15"/>
      <c r="X883" s="15"/>
      <c r="Y883" s="15"/>
      <c r="Z883" s="15"/>
    </row>
    <row r="884" spans="1:26" ht="21" customHeight="1" x14ac:dyDescent="0.85">
      <c r="A884" s="15"/>
      <c r="B884" s="15"/>
      <c r="C884" s="15"/>
      <c r="D884" s="15"/>
      <c r="E884" s="15"/>
      <c r="F884" s="15"/>
      <c r="G884" s="15"/>
      <c r="H884" s="15"/>
      <c r="I884" s="15"/>
      <c r="J884" s="15"/>
      <c r="K884" s="15"/>
      <c r="L884" s="15"/>
      <c r="M884" s="15"/>
      <c r="N884" s="15"/>
      <c r="O884" s="15"/>
      <c r="P884" s="15"/>
      <c r="Q884" s="15"/>
      <c r="R884" s="15"/>
      <c r="S884" s="15"/>
      <c r="T884" s="15"/>
      <c r="U884" s="15"/>
      <c r="V884" s="15"/>
      <c r="W884" s="15"/>
      <c r="X884" s="15"/>
      <c r="Y884" s="15"/>
      <c r="Z884" s="15"/>
    </row>
    <row r="885" spans="1:26" ht="21" customHeight="1" x14ac:dyDescent="0.85">
      <c r="A885" s="15"/>
      <c r="B885" s="15"/>
      <c r="C885" s="15"/>
      <c r="D885" s="15"/>
      <c r="E885" s="15"/>
      <c r="F885" s="15"/>
      <c r="G885" s="15"/>
      <c r="H885" s="15"/>
      <c r="I885" s="15"/>
      <c r="J885" s="15"/>
      <c r="K885" s="15"/>
      <c r="L885" s="15"/>
      <c r="M885" s="15"/>
      <c r="N885" s="15"/>
      <c r="O885" s="15"/>
      <c r="P885" s="15"/>
      <c r="Q885" s="15"/>
      <c r="R885" s="15"/>
      <c r="S885" s="15"/>
      <c r="T885" s="15"/>
      <c r="U885" s="15"/>
      <c r="V885" s="15"/>
      <c r="W885" s="15"/>
      <c r="X885" s="15"/>
      <c r="Y885" s="15"/>
      <c r="Z885" s="15"/>
    </row>
    <row r="886" spans="1:26" ht="21" customHeight="1" x14ac:dyDescent="0.85">
      <c r="A886" s="15"/>
      <c r="B886" s="15"/>
      <c r="C886" s="15"/>
      <c r="D886" s="15"/>
      <c r="E886" s="15"/>
      <c r="F886" s="15"/>
      <c r="G886" s="15"/>
      <c r="H886" s="15"/>
      <c r="I886" s="15"/>
      <c r="J886" s="15"/>
      <c r="K886" s="15"/>
      <c r="L886" s="15"/>
      <c r="M886" s="15"/>
      <c r="N886" s="15"/>
      <c r="O886" s="15"/>
      <c r="P886" s="15"/>
      <c r="Q886" s="15"/>
      <c r="R886" s="15"/>
      <c r="S886" s="15"/>
      <c r="T886" s="15"/>
      <c r="U886" s="15"/>
      <c r="V886" s="15"/>
      <c r="W886" s="15"/>
      <c r="X886" s="15"/>
      <c r="Y886" s="15"/>
      <c r="Z886" s="15"/>
    </row>
    <row r="887" spans="1:26" ht="21" customHeight="1" x14ac:dyDescent="0.85">
      <c r="A887" s="15"/>
      <c r="B887" s="15"/>
      <c r="C887" s="15"/>
      <c r="D887" s="15"/>
      <c r="E887" s="15"/>
      <c r="F887" s="15"/>
      <c r="G887" s="15"/>
      <c r="H887" s="15"/>
      <c r="I887" s="15"/>
      <c r="J887" s="15"/>
      <c r="K887" s="15"/>
      <c r="L887" s="15"/>
      <c r="M887" s="15"/>
      <c r="N887" s="15"/>
      <c r="O887" s="15"/>
      <c r="P887" s="15"/>
      <c r="Q887" s="15"/>
      <c r="R887" s="15"/>
      <c r="S887" s="15"/>
      <c r="T887" s="15"/>
      <c r="U887" s="15"/>
      <c r="V887" s="15"/>
      <c r="W887" s="15"/>
      <c r="X887" s="15"/>
      <c r="Y887" s="15"/>
      <c r="Z887" s="15"/>
    </row>
    <row r="888" spans="1:26" ht="21" customHeight="1" x14ac:dyDescent="0.85">
      <c r="A888" s="15"/>
      <c r="B888" s="15"/>
      <c r="C888" s="15"/>
      <c r="D888" s="15"/>
      <c r="E888" s="15"/>
      <c r="F888" s="15"/>
      <c r="G888" s="15"/>
      <c r="H888" s="15"/>
      <c r="I888" s="15"/>
      <c r="J888" s="15"/>
      <c r="K888" s="15"/>
      <c r="L888" s="15"/>
      <c r="M888" s="15"/>
      <c r="N888" s="15"/>
      <c r="O888" s="15"/>
      <c r="P888" s="15"/>
      <c r="Q888" s="15"/>
      <c r="R888" s="15"/>
      <c r="S888" s="15"/>
      <c r="T888" s="15"/>
      <c r="U888" s="15"/>
      <c r="V888" s="15"/>
      <c r="W888" s="15"/>
      <c r="X888" s="15"/>
      <c r="Y888" s="15"/>
      <c r="Z888" s="15"/>
    </row>
    <row r="889" spans="1:26" ht="21" customHeight="1" x14ac:dyDescent="0.85">
      <c r="A889" s="15"/>
      <c r="B889" s="15"/>
      <c r="C889" s="15"/>
      <c r="D889" s="15"/>
      <c r="E889" s="15"/>
      <c r="F889" s="15"/>
      <c r="G889" s="15"/>
      <c r="H889" s="15"/>
      <c r="I889" s="15"/>
      <c r="J889" s="15"/>
      <c r="K889" s="15"/>
      <c r="L889" s="15"/>
      <c r="M889" s="15"/>
      <c r="N889" s="15"/>
      <c r="O889" s="15"/>
      <c r="P889" s="15"/>
      <c r="Q889" s="15"/>
      <c r="R889" s="15"/>
      <c r="S889" s="15"/>
      <c r="T889" s="15"/>
      <c r="U889" s="15"/>
      <c r="V889" s="15"/>
      <c r="W889" s="15"/>
      <c r="X889" s="15"/>
      <c r="Y889" s="15"/>
      <c r="Z889" s="15"/>
    </row>
    <row r="890" spans="1:26" ht="21" customHeight="1" x14ac:dyDescent="0.85">
      <c r="A890" s="15"/>
      <c r="B890" s="15"/>
      <c r="C890" s="15"/>
      <c r="D890" s="15"/>
      <c r="E890" s="15"/>
      <c r="F890" s="15"/>
      <c r="G890" s="15"/>
      <c r="H890" s="15"/>
      <c r="I890" s="15"/>
      <c r="J890" s="15"/>
      <c r="K890" s="15"/>
      <c r="L890" s="15"/>
      <c r="M890" s="15"/>
      <c r="N890" s="15"/>
      <c r="O890" s="15"/>
      <c r="P890" s="15"/>
      <c r="Q890" s="15"/>
      <c r="R890" s="15"/>
      <c r="S890" s="15"/>
      <c r="T890" s="15"/>
      <c r="U890" s="15"/>
      <c r="V890" s="15"/>
      <c r="W890" s="15"/>
      <c r="X890" s="15"/>
      <c r="Y890" s="15"/>
      <c r="Z890" s="15"/>
    </row>
    <row r="891" spans="1:26" ht="21" customHeight="1" x14ac:dyDescent="0.85">
      <c r="A891" s="15"/>
      <c r="B891" s="15"/>
      <c r="C891" s="15"/>
      <c r="D891" s="15"/>
      <c r="E891" s="15"/>
      <c r="F891" s="15"/>
      <c r="G891" s="15"/>
      <c r="H891" s="15"/>
      <c r="I891" s="15"/>
      <c r="J891" s="15"/>
      <c r="K891" s="15"/>
      <c r="L891" s="15"/>
      <c r="M891" s="15"/>
      <c r="N891" s="15"/>
      <c r="O891" s="15"/>
      <c r="P891" s="15"/>
      <c r="Q891" s="15"/>
      <c r="R891" s="15"/>
      <c r="S891" s="15"/>
      <c r="T891" s="15"/>
      <c r="U891" s="15"/>
      <c r="V891" s="15"/>
      <c r="W891" s="15"/>
      <c r="X891" s="15"/>
      <c r="Y891" s="15"/>
      <c r="Z891" s="15"/>
    </row>
    <row r="892" spans="1:26" ht="21" customHeight="1" x14ac:dyDescent="0.85">
      <c r="A892" s="15"/>
      <c r="B892" s="15"/>
      <c r="C892" s="15"/>
      <c r="D892" s="15"/>
      <c r="E892" s="15"/>
      <c r="F892" s="15"/>
      <c r="G892" s="15"/>
      <c r="H892" s="15"/>
      <c r="I892" s="15"/>
      <c r="J892" s="15"/>
      <c r="K892" s="15"/>
      <c r="L892" s="15"/>
      <c r="M892" s="15"/>
      <c r="N892" s="15"/>
      <c r="O892" s="15"/>
      <c r="P892" s="15"/>
      <c r="Q892" s="15"/>
      <c r="R892" s="15"/>
      <c r="S892" s="15"/>
      <c r="T892" s="15"/>
      <c r="U892" s="15"/>
      <c r="V892" s="15"/>
      <c r="W892" s="15"/>
      <c r="X892" s="15"/>
      <c r="Y892" s="15"/>
      <c r="Z892" s="15"/>
    </row>
    <row r="893" spans="1:26" ht="21" customHeight="1" x14ac:dyDescent="0.85">
      <c r="A893" s="15"/>
      <c r="B893" s="15"/>
      <c r="C893" s="15"/>
      <c r="D893" s="15"/>
      <c r="E893" s="15"/>
      <c r="F893" s="15"/>
      <c r="G893" s="15"/>
      <c r="H893" s="15"/>
      <c r="I893" s="15"/>
      <c r="J893" s="15"/>
      <c r="K893" s="15"/>
      <c r="L893" s="15"/>
      <c r="M893" s="15"/>
      <c r="N893" s="15"/>
      <c r="O893" s="15"/>
      <c r="P893" s="15"/>
      <c r="Q893" s="15"/>
      <c r="R893" s="15"/>
      <c r="S893" s="15"/>
      <c r="T893" s="15"/>
      <c r="U893" s="15"/>
      <c r="V893" s="15"/>
      <c r="W893" s="15"/>
      <c r="X893" s="15"/>
      <c r="Y893" s="15"/>
      <c r="Z893" s="15"/>
    </row>
    <row r="894" spans="1:26" ht="21" customHeight="1" x14ac:dyDescent="0.85">
      <c r="A894" s="15"/>
      <c r="B894" s="15"/>
      <c r="C894" s="15"/>
      <c r="D894" s="15"/>
      <c r="E894" s="15"/>
      <c r="F894" s="15"/>
      <c r="G894" s="15"/>
      <c r="H894" s="15"/>
      <c r="I894" s="15"/>
      <c r="J894" s="15"/>
      <c r="K894" s="15"/>
      <c r="L894" s="15"/>
      <c r="M894" s="15"/>
      <c r="N894" s="15"/>
      <c r="O894" s="15"/>
      <c r="P894" s="15"/>
      <c r="Q894" s="15"/>
      <c r="R894" s="15"/>
      <c r="S894" s="15"/>
      <c r="T894" s="15"/>
      <c r="U894" s="15"/>
      <c r="V894" s="15"/>
      <c r="W894" s="15"/>
      <c r="X894" s="15"/>
      <c r="Y894" s="15"/>
      <c r="Z894" s="15"/>
    </row>
    <row r="895" spans="1:26" ht="21" customHeight="1" x14ac:dyDescent="0.85">
      <c r="A895" s="15"/>
      <c r="B895" s="15"/>
      <c r="C895" s="15"/>
      <c r="D895" s="15"/>
      <c r="E895" s="15"/>
      <c r="F895" s="15"/>
      <c r="G895" s="15"/>
      <c r="H895" s="15"/>
      <c r="I895" s="15"/>
      <c r="J895" s="15"/>
      <c r="K895" s="15"/>
      <c r="L895" s="15"/>
      <c r="M895" s="15"/>
      <c r="N895" s="15"/>
      <c r="O895" s="15"/>
      <c r="P895" s="15"/>
      <c r="Q895" s="15"/>
      <c r="R895" s="15"/>
      <c r="S895" s="15"/>
      <c r="T895" s="15"/>
      <c r="U895" s="15"/>
      <c r="V895" s="15"/>
      <c r="W895" s="15"/>
      <c r="X895" s="15"/>
      <c r="Y895" s="15"/>
      <c r="Z895" s="15"/>
    </row>
    <row r="896" spans="1:26" ht="21" customHeight="1" x14ac:dyDescent="0.85">
      <c r="A896" s="15"/>
      <c r="B896" s="15"/>
      <c r="C896" s="15"/>
      <c r="D896" s="15"/>
      <c r="E896" s="15"/>
      <c r="F896" s="15"/>
      <c r="G896" s="15"/>
      <c r="H896" s="15"/>
      <c r="I896" s="15"/>
      <c r="J896" s="15"/>
      <c r="K896" s="15"/>
      <c r="L896" s="15"/>
      <c r="M896" s="15"/>
      <c r="N896" s="15"/>
      <c r="O896" s="15"/>
      <c r="P896" s="15"/>
      <c r="Q896" s="15"/>
      <c r="R896" s="15"/>
      <c r="S896" s="15"/>
      <c r="T896" s="15"/>
      <c r="U896" s="15"/>
      <c r="V896" s="15"/>
      <c r="W896" s="15"/>
      <c r="X896" s="15"/>
      <c r="Y896" s="15"/>
      <c r="Z896" s="15"/>
    </row>
    <row r="897" spans="1:26" ht="21" customHeight="1" x14ac:dyDescent="0.85">
      <c r="A897" s="15"/>
      <c r="B897" s="15"/>
      <c r="C897" s="15"/>
      <c r="D897" s="15"/>
      <c r="E897" s="15"/>
      <c r="F897" s="15"/>
      <c r="G897" s="15"/>
      <c r="H897" s="15"/>
      <c r="I897" s="15"/>
      <c r="J897" s="15"/>
      <c r="K897" s="15"/>
      <c r="L897" s="15"/>
      <c r="M897" s="15"/>
      <c r="N897" s="15"/>
      <c r="O897" s="15"/>
      <c r="P897" s="15"/>
      <c r="Q897" s="15"/>
      <c r="R897" s="15"/>
      <c r="S897" s="15"/>
      <c r="T897" s="15"/>
      <c r="U897" s="15"/>
      <c r="V897" s="15"/>
      <c r="W897" s="15"/>
      <c r="X897" s="15"/>
      <c r="Y897" s="15"/>
      <c r="Z897" s="15"/>
    </row>
    <row r="898" spans="1:26" ht="21" customHeight="1" x14ac:dyDescent="0.85">
      <c r="A898" s="15"/>
      <c r="B898" s="15"/>
      <c r="C898" s="15"/>
      <c r="D898" s="15"/>
      <c r="E898" s="15"/>
      <c r="F898" s="15"/>
      <c r="G898" s="15"/>
      <c r="H898" s="15"/>
      <c r="I898" s="15"/>
      <c r="J898" s="15"/>
      <c r="K898" s="15"/>
      <c r="L898" s="15"/>
      <c r="M898" s="15"/>
      <c r="N898" s="15"/>
      <c r="O898" s="15"/>
      <c r="P898" s="15"/>
      <c r="Q898" s="15"/>
      <c r="R898" s="15"/>
      <c r="S898" s="15"/>
      <c r="T898" s="15"/>
      <c r="U898" s="15"/>
      <c r="V898" s="15"/>
      <c r="W898" s="15"/>
      <c r="X898" s="15"/>
      <c r="Y898" s="15"/>
      <c r="Z898" s="15"/>
    </row>
    <row r="899" spans="1:26" ht="21" customHeight="1" x14ac:dyDescent="0.85">
      <c r="A899" s="15"/>
      <c r="B899" s="15"/>
      <c r="C899" s="15"/>
      <c r="D899" s="15"/>
      <c r="E899" s="15"/>
      <c r="F899" s="15"/>
      <c r="G899" s="15"/>
      <c r="H899" s="15"/>
      <c r="I899" s="15"/>
      <c r="J899" s="15"/>
      <c r="K899" s="15"/>
      <c r="L899" s="15"/>
      <c r="M899" s="15"/>
      <c r="N899" s="15"/>
      <c r="O899" s="15"/>
      <c r="P899" s="15"/>
      <c r="Q899" s="15"/>
      <c r="R899" s="15"/>
      <c r="S899" s="15"/>
      <c r="T899" s="15"/>
      <c r="U899" s="15"/>
      <c r="V899" s="15"/>
      <c r="W899" s="15"/>
      <c r="X899" s="15"/>
      <c r="Y899" s="15"/>
      <c r="Z899" s="15"/>
    </row>
    <row r="900" spans="1:26" ht="21" customHeight="1" x14ac:dyDescent="0.85">
      <c r="A900" s="15"/>
      <c r="B900" s="15"/>
      <c r="C900" s="15"/>
      <c r="D900" s="15"/>
      <c r="E900" s="15"/>
      <c r="F900" s="15"/>
      <c r="G900" s="15"/>
      <c r="H900" s="15"/>
      <c r="I900" s="15"/>
      <c r="J900" s="15"/>
      <c r="K900" s="15"/>
      <c r="L900" s="15"/>
      <c r="M900" s="15"/>
      <c r="N900" s="15"/>
      <c r="O900" s="15"/>
      <c r="P900" s="15"/>
      <c r="Q900" s="15"/>
      <c r="R900" s="15"/>
      <c r="S900" s="15"/>
      <c r="T900" s="15"/>
      <c r="U900" s="15"/>
      <c r="V900" s="15"/>
      <c r="W900" s="15"/>
      <c r="X900" s="15"/>
      <c r="Y900" s="15"/>
      <c r="Z900" s="15"/>
    </row>
    <row r="901" spans="1:26" ht="21" customHeight="1" x14ac:dyDescent="0.85">
      <c r="A901" s="15"/>
      <c r="B901" s="15"/>
      <c r="C901" s="15"/>
      <c r="D901" s="15"/>
      <c r="E901" s="15"/>
      <c r="F901" s="15"/>
      <c r="G901" s="15"/>
      <c r="H901" s="15"/>
      <c r="I901" s="15"/>
      <c r="J901" s="15"/>
      <c r="K901" s="15"/>
      <c r="L901" s="15"/>
      <c r="M901" s="15"/>
      <c r="N901" s="15"/>
      <c r="O901" s="15"/>
      <c r="P901" s="15"/>
      <c r="Q901" s="15"/>
      <c r="R901" s="15"/>
      <c r="S901" s="15"/>
      <c r="T901" s="15"/>
      <c r="U901" s="15"/>
      <c r="V901" s="15"/>
      <c r="W901" s="15"/>
      <c r="X901" s="15"/>
      <c r="Y901" s="15"/>
      <c r="Z901" s="15"/>
    </row>
    <row r="902" spans="1:26" ht="21" customHeight="1" x14ac:dyDescent="0.85">
      <c r="A902" s="15"/>
      <c r="B902" s="15"/>
      <c r="C902" s="15"/>
      <c r="D902" s="15"/>
      <c r="E902" s="15"/>
      <c r="F902" s="15"/>
      <c r="G902" s="15"/>
      <c r="H902" s="15"/>
      <c r="I902" s="15"/>
      <c r="J902" s="15"/>
      <c r="K902" s="15"/>
      <c r="L902" s="15"/>
      <c r="M902" s="15"/>
      <c r="N902" s="15"/>
      <c r="O902" s="15"/>
      <c r="P902" s="15"/>
      <c r="Q902" s="15"/>
      <c r="R902" s="15"/>
      <c r="S902" s="15"/>
      <c r="T902" s="15"/>
      <c r="U902" s="15"/>
      <c r="V902" s="15"/>
      <c r="W902" s="15"/>
      <c r="X902" s="15"/>
      <c r="Y902" s="15"/>
      <c r="Z902" s="15"/>
    </row>
    <row r="903" spans="1:26" ht="21" customHeight="1" x14ac:dyDescent="0.85">
      <c r="A903" s="15"/>
      <c r="B903" s="15"/>
      <c r="C903" s="15"/>
      <c r="D903" s="15"/>
      <c r="E903" s="15"/>
      <c r="F903" s="15"/>
      <c r="G903" s="15"/>
      <c r="H903" s="15"/>
      <c r="I903" s="15"/>
      <c r="J903" s="15"/>
      <c r="K903" s="15"/>
      <c r="L903" s="15"/>
      <c r="M903" s="15"/>
      <c r="N903" s="15"/>
      <c r="O903" s="15"/>
      <c r="P903" s="15"/>
      <c r="Q903" s="15"/>
      <c r="R903" s="15"/>
      <c r="S903" s="15"/>
      <c r="T903" s="15"/>
      <c r="U903" s="15"/>
      <c r="V903" s="15"/>
      <c r="W903" s="15"/>
      <c r="X903" s="15"/>
      <c r="Y903" s="15"/>
      <c r="Z903" s="15"/>
    </row>
    <row r="904" spans="1:26" ht="21" customHeight="1" x14ac:dyDescent="0.85">
      <c r="A904" s="15"/>
      <c r="B904" s="15"/>
      <c r="C904" s="15"/>
      <c r="D904" s="15"/>
      <c r="E904" s="15"/>
      <c r="F904" s="15"/>
      <c r="G904" s="15"/>
      <c r="H904" s="15"/>
      <c r="I904" s="15"/>
      <c r="J904" s="15"/>
      <c r="K904" s="15"/>
      <c r="L904" s="15"/>
      <c r="M904" s="15"/>
      <c r="N904" s="15"/>
      <c r="O904" s="15"/>
      <c r="P904" s="15"/>
      <c r="Q904" s="15"/>
      <c r="R904" s="15"/>
      <c r="S904" s="15"/>
      <c r="T904" s="15"/>
      <c r="U904" s="15"/>
      <c r="V904" s="15"/>
      <c r="W904" s="15"/>
      <c r="X904" s="15"/>
      <c r="Y904" s="15"/>
      <c r="Z904" s="15"/>
    </row>
    <row r="905" spans="1:26" ht="21" customHeight="1" x14ac:dyDescent="0.85">
      <c r="A905" s="15"/>
      <c r="B905" s="15"/>
      <c r="C905" s="15"/>
      <c r="D905" s="15"/>
      <c r="E905" s="15"/>
      <c r="F905" s="15"/>
      <c r="G905" s="15"/>
      <c r="H905" s="15"/>
      <c r="I905" s="15"/>
      <c r="J905" s="15"/>
      <c r="K905" s="15"/>
      <c r="L905" s="15"/>
      <c r="M905" s="15"/>
      <c r="N905" s="15"/>
      <c r="O905" s="15"/>
      <c r="P905" s="15"/>
      <c r="Q905" s="15"/>
      <c r="R905" s="15"/>
      <c r="S905" s="15"/>
      <c r="T905" s="15"/>
      <c r="U905" s="15"/>
      <c r="V905" s="15"/>
      <c r="W905" s="15"/>
      <c r="X905" s="15"/>
      <c r="Y905" s="15"/>
      <c r="Z905" s="15"/>
    </row>
    <row r="906" spans="1:26" ht="21" customHeight="1" x14ac:dyDescent="0.85">
      <c r="A906" s="15"/>
      <c r="B906" s="15"/>
      <c r="C906" s="15"/>
      <c r="D906" s="15"/>
      <c r="E906" s="15"/>
      <c r="F906" s="15"/>
      <c r="G906" s="15"/>
      <c r="H906" s="15"/>
      <c r="I906" s="15"/>
      <c r="J906" s="15"/>
      <c r="K906" s="15"/>
      <c r="L906" s="15"/>
      <c r="M906" s="15"/>
      <c r="N906" s="15"/>
      <c r="O906" s="15"/>
      <c r="P906" s="15"/>
      <c r="Q906" s="15"/>
      <c r="R906" s="15"/>
      <c r="S906" s="15"/>
      <c r="T906" s="15"/>
      <c r="U906" s="15"/>
      <c r="V906" s="15"/>
      <c r="W906" s="15"/>
      <c r="X906" s="15"/>
      <c r="Y906" s="15"/>
      <c r="Z906" s="15"/>
    </row>
    <row r="907" spans="1:26" ht="21" customHeight="1" x14ac:dyDescent="0.85">
      <c r="A907" s="15"/>
      <c r="B907" s="15"/>
      <c r="C907" s="15"/>
      <c r="D907" s="15"/>
      <c r="E907" s="15"/>
      <c r="F907" s="15"/>
      <c r="G907" s="15"/>
      <c r="H907" s="15"/>
      <c r="I907" s="15"/>
      <c r="J907" s="15"/>
      <c r="K907" s="15"/>
      <c r="L907" s="15"/>
      <c r="M907" s="15"/>
      <c r="N907" s="15"/>
      <c r="O907" s="15"/>
      <c r="P907" s="15"/>
      <c r="Q907" s="15"/>
      <c r="R907" s="15"/>
      <c r="S907" s="15"/>
      <c r="T907" s="15"/>
      <c r="U907" s="15"/>
      <c r="V907" s="15"/>
      <c r="W907" s="15"/>
      <c r="X907" s="15"/>
      <c r="Y907" s="15"/>
      <c r="Z907" s="15"/>
    </row>
    <row r="908" spans="1:26" ht="21" customHeight="1" x14ac:dyDescent="0.85">
      <c r="A908" s="15"/>
      <c r="B908" s="15"/>
      <c r="C908" s="15"/>
      <c r="D908" s="15"/>
      <c r="E908" s="15"/>
      <c r="F908" s="15"/>
      <c r="G908" s="15"/>
      <c r="H908" s="15"/>
      <c r="I908" s="15"/>
      <c r="J908" s="15"/>
      <c r="K908" s="15"/>
      <c r="L908" s="15"/>
      <c r="M908" s="15"/>
      <c r="N908" s="15"/>
      <c r="O908" s="15"/>
      <c r="P908" s="15"/>
      <c r="Q908" s="15"/>
      <c r="R908" s="15"/>
      <c r="S908" s="15"/>
      <c r="T908" s="15"/>
      <c r="U908" s="15"/>
      <c r="V908" s="15"/>
      <c r="W908" s="15"/>
      <c r="X908" s="15"/>
      <c r="Y908" s="15"/>
      <c r="Z908" s="15"/>
    </row>
    <row r="909" spans="1:26" ht="21" customHeight="1" x14ac:dyDescent="0.85">
      <c r="A909" s="15"/>
      <c r="B909" s="15"/>
      <c r="C909" s="15"/>
      <c r="D909" s="15"/>
      <c r="E909" s="15"/>
      <c r="F909" s="15"/>
      <c r="G909" s="15"/>
      <c r="H909" s="15"/>
      <c r="I909" s="15"/>
      <c r="J909" s="15"/>
      <c r="K909" s="15"/>
      <c r="L909" s="15"/>
      <c r="M909" s="15"/>
      <c r="N909" s="15"/>
      <c r="O909" s="15"/>
      <c r="P909" s="15"/>
      <c r="Q909" s="15"/>
      <c r="R909" s="15"/>
      <c r="S909" s="15"/>
      <c r="T909" s="15"/>
      <c r="U909" s="15"/>
      <c r="V909" s="15"/>
      <c r="W909" s="15"/>
      <c r="X909" s="15"/>
      <c r="Y909" s="15"/>
      <c r="Z909" s="15"/>
    </row>
    <row r="910" spans="1:26" ht="21" customHeight="1" x14ac:dyDescent="0.85">
      <c r="A910" s="15"/>
      <c r="B910" s="15"/>
      <c r="C910" s="15"/>
      <c r="D910" s="15"/>
      <c r="E910" s="15"/>
      <c r="F910" s="15"/>
      <c r="G910" s="15"/>
      <c r="H910" s="15"/>
      <c r="I910" s="15"/>
      <c r="J910" s="15"/>
      <c r="K910" s="15"/>
      <c r="L910" s="15"/>
      <c r="M910" s="15"/>
      <c r="N910" s="15"/>
      <c r="O910" s="15"/>
      <c r="P910" s="15"/>
      <c r="Q910" s="15"/>
      <c r="R910" s="15"/>
      <c r="S910" s="15"/>
      <c r="T910" s="15"/>
      <c r="U910" s="15"/>
      <c r="V910" s="15"/>
      <c r="W910" s="15"/>
      <c r="X910" s="15"/>
      <c r="Y910" s="15"/>
      <c r="Z910" s="15"/>
    </row>
    <row r="911" spans="1:26" ht="21" customHeight="1" x14ac:dyDescent="0.85">
      <c r="A911" s="15"/>
      <c r="B911" s="15"/>
      <c r="C911" s="15"/>
      <c r="D911" s="15"/>
      <c r="E911" s="15"/>
      <c r="F911" s="15"/>
      <c r="G911" s="15"/>
      <c r="H911" s="15"/>
      <c r="I911" s="15"/>
      <c r="J911" s="15"/>
      <c r="K911" s="15"/>
      <c r="L911" s="15"/>
      <c r="M911" s="15"/>
      <c r="N911" s="15"/>
      <c r="O911" s="15"/>
      <c r="P911" s="15"/>
      <c r="Q911" s="15"/>
      <c r="R911" s="15"/>
      <c r="S911" s="15"/>
      <c r="T911" s="15"/>
      <c r="U911" s="15"/>
      <c r="V911" s="15"/>
      <c r="W911" s="15"/>
      <c r="X911" s="15"/>
      <c r="Y911" s="15"/>
      <c r="Z911" s="15"/>
    </row>
    <row r="912" spans="1:26" ht="21" customHeight="1" x14ac:dyDescent="0.85">
      <c r="A912" s="15"/>
      <c r="B912" s="15"/>
      <c r="C912" s="15"/>
      <c r="D912" s="15"/>
      <c r="E912" s="15"/>
      <c r="F912" s="15"/>
      <c r="G912" s="15"/>
      <c r="H912" s="15"/>
      <c r="I912" s="15"/>
      <c r="J912" s="15"/>
      <c r="K912" s="15"/>
      <c r="L912" s="15"/>
      <c r="M912" s="15"/>
      <c r="N912" s="15"/>
      <c r="O912" s="15"/>
      <c r="P912" s="15"/>
      <c r="Q912" s="15"/>
      <c r="R912" s="15"/>
      <c r="S912" s="15"/>
      <c r="T912" s="15"/>
      <c r="U912" s="15"/>
      <c r="V912" s="15"/>
      <c r="W912" s="15"/>
      <c r="X912" s="15"/>
      <c r="Y912" s="15"/>
      <c r="Z912" s="15"/>
    </row>
    <row r="913" spans="1:26" ht="21" customHeight="1" x14ac:dyDescent="0.85">
      <c r="A913" s="15"/>
      <c r="B913" s="15"/>
      <c r="C913" s="15"/>
      <c r="D913" s="15"/>
      <c r="E913" s="15"/>
      <c r="F913" s="15"/>
      <c r="G913" s="15"/>
      <c r="H913" s="15"/>
      <c r="I913" s="15"/>
      <c r="J913" s="15"/>
      <c r="K913" s="15"/>
      <c r="L913" s="15"/>
      <c r="M913" s="15"/>
      <c r="N913" s="15"/>
      <c r="O913" s="15"/>
      <c r="P913" s="15"/>
      <c r="Q913" s="15"/>
      <c r="R913" s="15"/>
      <c r="S913" s="15"/>
      <c r="T913" s="15"/>
      <c r="U913" s="15"/>
      <c r="V913" s="15"/>
      <c r="W913" s="15"/>
      <c r="X913" s="15"/>
      <c r="Y913" s="15"/>
      <c r="Z913" s="15"/>
    </row>
    <row r="914" spans="1:26" ht="21" customHeight="1" x14ac:dyDescent="0.85">
      <c r="A914" s="15"/>
      <c r="B914" s="15"/>
      <c r="C914" s="15"/>
      <c r="D914" s="15"/>
      <c r="E914" s="15"/>
      <c r="F914" s="15"/>
      <c r="G914" s="15"/>
      <c r="H914" s="15"/>
      <c r="I914" s="15"/>
      <c r="J914" s="15"/>
      <c r="K914" s="15"/>
      <c r="L914" s="15"/>
      <c r="M914" s="15"/>
      <c r="N914" s="15"/>
      <c r="O914" s="15"/>
      <c r="P914" s="15"/>
      <c r="Q914" s="15"/>
      <c r="R914" s="15"/>
      <c r="S914" s="15"/>
      <c r="T914" s="15"/>
      <c r="U914" s="15"/>
      <c r="V914" s="15"/>
      <c r="W914" s="15"/>
      <c r="X914" s="15"/>
      <c r="Y914" s="15"/>
      <c r="Z914" s="15"/>
    </row>
    <row r="915" spans="1:26" ht="21" customHeight="1" x14ac:dyDescent="0.85">
      <c r="A915" s="15"/>
      <c r="B915" s="15"/>
      <c r="C915" s="15"/>
      <c r="D915" s="15"/>
      <c r="E915" s="15"/>
      <c r="F915" s="15"/>
      <c r="G915" s="15"/>
      <c r="H915" s="15"/>
      <c r="I915" s="15"/>
      <c r="J915" s="15"/>
      <c r="K915" s="15"/>
      <c r="L915" s="15"/>
      <c r="M915" s="15"/>
      <c r="N915" s="15"/>
      <c r="O915" s="15"/>
      <c r="P915" s="15"/>
      <c r="Q915" s="15"/>
      <c r="R915" s="15"/>
      <c r="S915" s="15"/>
      <c r="T915" s="15"/>
      <c r="U915" s="15"/>
      <c r="V915" s="15"/>
      <c r="W915" s="15"/>
      <c r="X915" s="15"/>
      <c r="Y915" s="15"/>
      <c r="Z915" s="15"/>
    </row>
    <row r="916" spans="1:26" ht="21" customHeight="1" x14ac:dyDescent="0.85">
      <c r="A916" s="15"/>
      <c r="B916" s="15"/>
      <c r="C916" s="15"/>
      <c r="D916" s="15"/>
      <c r="E916" s="15"/>
      <c r="F916" s="15"/>
      <c r="G916" s="15"/>
      <c r="H916" s="15"/>
      <c r="I916" s="15"/>
      <c r="J916" s="15"/>
      <c r="K916" s="15"/>
      <c r="L916" s="15"/>
      <c r="M916" s="15"/>
      <c r="N916" s="15"/>
      <c r="O916" s="15"/>
      <c r="P916" s="15"/>
      <c r="Q916" s="15"/>
      <c r="R916" s="15"/>
      <c r="S916" s="15"/>
      <c r="T916" s="15"/>
      <c r="U916" s="15"/>
      <c r="V916" s="15"/>
      <c r="W916" s="15"/>
      <c r="X916" s="15"/>
      <c r="Y916" s="15"/>
      <c r="Z916" s="15"/>
    </row>
    <row r="917" spans="1:26" ht="21" customHeight="1" x14ac:dyDescent="0.85">
      <c r="A917" s="15"/>
      <c r="B917" s="15"/>
      <c r="C917" s="15"/>
      <c r="D917" s="15"/>
      <c r="E917" s="15"/>
      <c r="F917" s="15"/>
      <c r="G917" s="15"/>
      <c r="H917" s="15"/>
      <c r="I917" s="15"/>
      <c r="J917" s="15"/>
      <c r="K917" s="15"/>
      <c r="L917" s="15"/>
      <c r="M917" s="15"/>
      <c r="N917" s="15"/>
      <c r="O917" s="15"/>
      <c r="P917" s="15"/>
      <c r="Q917" s="15"/>
      <c r="R917" s="15"/>
      <c r="S917" s="15"/>
      <c r="T917" s="15"/>
      <c r="U917" s="15"/>
      <c r="V917" s="15"/>
      <c r="W917" s="15"/>
      <c r="X917" s="15"/>
      <c r="Y917" s="15"/>
      <c r="Z917" s="15"/>
    </row>
    <row r="918" spans="1:26" ht="21" customHeight="1" x14ac:dyDescent="0.85">
      <c r="A918" s="15"/>
      <c r="B918" s="15"/>
      <c r="C918" s="15"/>
      <c r="D918" s="15"/>
      <c r="E918" s="15"/>
      <c r="F918" s="15"/>
      <c r="G918" s="15"/>
      <c r="H918" s="15"/>
      <c r="I918" s="15"/>
      <c r="J918" s="15"/>
      <c r="K918" s="15"/>
      <c r="L918" s="15"/>
      <c r="M918" s="15"/>
      <c r="N918" s="15"/>
      <c r="O918" s="15"/>
      <c r="P918" s="15"/>
      <c r="Q918" s="15"/>
      <c r="R918" s="15"/>
      <c r="S918" s="15"/>
      <c r="T918" s="15"/>
      <c r="U918" s="15"/>
      <c r="V918" s="15"/>
      <c r="W918" s="15"/>
      <c r="X918" s="15"/>
      <c r="Y918" s="15"/>
      <c r="Z918" s="15"/>
    </row>
    <row r="919" spans="1:26" ht="21" customHeight="1" x14ac:dyDescent="0.85">
      <c r="A919" s="15"/>
      <c r="B919" s="15"/>
      <c r="C919" s="15"/>
      <c r="D919" s="15"/>
      <c r="E919" s="15"/>
      <c r="F919" s="15"/>
      <c r="G919" s="15"/>
      <c r="H919" s="15"/>
      <c r="I919" s="15"/>
      <c r="J919" s="15"/>
      <c r="K919" s="15"/>
      <c r="L919" s="15"/>
      <c r="M919" s="15"/>
      <c r="N919" s="15"/>
      <c r="O919" s="15"/>
      <c r="P919" s="15"/>
      <c r="Q919" s="15"/>
      <c r="R919" s="15"/>
      <c r="S919" s="15"/>
      <c r="T919" s="15"/>
      <c r="U919" s="15"/>
      <c r="V919" s="15"/>
      <c r="W919" s="15"/>
      <c r="X919" s="15"/>
      <c r="Y919" s="15"/>
      <c r="Z919" s="15"/>
    </row>
    <row r="920" spans="1:26" ht="21" customHeight="1" x14ac:dyDescent="0.85">
      <c r="A920" s="15"/>
      <c r="B920" s="15"/>
      <c r="C920" s="15"/>
      <c r="D920" s="15"/>
      <c r="E920" s="15"/>
      <c r="F920" s="15"/>
      <c r="G920" s="15"/>
      <c r="H920" s="15"/>
      <c r="I920" s="15"/>
      <c r="J920" s="15"/>
      <c r="K920" s="15"/>
      <c r="L920" s="15"/>
      <c r="M920" s="15"/>
      <c r="N920" s="15"/>
      <c r="O920" s="15"/>
      <c r="P920" s="15"/>
      <c r="Q920" s="15"/>
      <c r="R920" s="15"/>
      <c r="S920" s="15"/>
      <c r="T920" s="15"/>
      <c r="U920" s="15"/>
      <c r="V920" s="15"/>
      <c r="W920" s="15"/>
      <c r="X920" s="15"/>
      <c r="Y920" s="15"/>
      <c r="Z920" s="15"/>
    </row>
    <row r="921" spans="1:26" ht="21" customHeight="1" x14ac:dyDescent="0.85">
      <c r="A921" s="15"/>
      <c r="B921" s="15"/>
      <c r="C921" s="15"/>
      <c r="D921" s="15"/>
      <c r="E921" s="15"/>
      <c r="F921" s="15"/>
      <c r="G921" s="15"/>
      <c r="H921" s="15"/>
      <c r="I921" s="15"/>
      <c r="J921" s="15"/>
      <c r="K921" s="15"/>
      <c r="L921" s="15"/>
      <c r="M921" s="15"/>
      <c r="N921" s="15"/>
      <c r="O921" s="15"/>
      <c r="P921" s="15"/>
      <c r="Q921" s="15"/>
      <c r="R921" s="15"/>
      <c r="S921" s="15"/>
      <c r="T921" s="15"/>
      <c r="U921" s="15"/>
      <c r="V921" s="15"/>
      <c r="W921" s="15"/>
      <c r="X921" s="15"/>
      <c r="Y921" s="15"/>
      <c r="Z921" s="15"/>
    </row>
    <row r="922" spans="1:26" ht="21" customHeight="1" x14ac:dyDescent="0.85">
      <c r="A922" s="15"/>
      <c r="B922" s="15"/>
      <c r="C922" s="15"/>
      <c r="D922" s="15"/>
      <c r="E922" s="15"/>
      <c r="F922" s="15"/>
      <c r="G922" s="15"/>
      <c r="H922" s="15"/>
      <c r="I922" s="15"/>
      <c r="J922" s="15"/>
      <c r="K922" s="15"/>
      <c r="L922" s="15"/>
      <c r="M922" s="15"/>
      <c r="N922" s="15"/>
      <c r="O922" s="15"/>
      <c r="P922" s="15"/>
      <c r="Q922" s="15"/>
      <c r="R922" s="15"/>
      <c r="S922" s="15"/>
      <c r="T922" s="15"/>
      <c r="U922" s="15"/>
      <c r="V922" s="15"/>
      <c r="W922" s="15"/>
      <c r="X922" s="15"/>
      <c r="Y922" s="15"/>
      <c r="Z922" s="15"/>
    </row>
    <row r="923" spans="1:26" ht="21" customHeight="1" x14ac:dyDescent="0.85">
      <c r="A923" s="15"/>
      <c r="B923" s="15"/>
      <c r="C923" s="15"/>
      <c r="D923" s="15"/>
      <c r="E923" s="15"/>
      <c r="F923" s="15"/>
      <c r="G923" s="15"/>
      <c r="H923" s="15"/>
      <c r="I923" s="15"/>
      <c r="J923" s="15"/>
      <c r="K923" s="15"/>
      <c r="L923" s="15"/>
      <c r="M923" s="15"/>
      <c r="N923" s="15"/>
      <c r="O923" s="15"/>
      <c r="P923" s="15"/>
      <c r="Q923" s="15"/>
      <c r="R923" s="15"/>
      <c r="S923" s="15"/>
      <c r="T923" s="15"/>
      <c r="U923" s="15"/>
      <c r="V923" s="15"/>
      <c r="W923" s="15"/>
      <c r="X923" s="15"/>
      <c r="Y923" s="15"/>
      <c r="Z923" s="15"/>
    </row>
    <row r="924" spans="1:26" ht="21" customHeight="1" x14ac:dyDescent="0.85">
      <c r="A924" s="15"/>
      <c r="B924" s="15"/>
      <c r="C924" s="15"/>
      <c r="D924" s="15"/>
      <c r="E924" s="15"/>
      <c r="F924" s="15"/>
      <c r="G924" s="15"/>
      <c r="H924" s="15"/>
      <c r="I924" s="15"/>
      <c r="J924" s="15"/>
      <c r="K924" s="15"/>
      <c r="L924" s="15"/>
      <c r="M924" s="15"/>
      <c r="N924" s="15"/>
      <c r="O924" s="15"/>
      <c r="P924" s="15"/>
      <c r="Q924" s="15"/>
      <c r="R924" s="15"/>
      <c r="S924" s="15"/>
      <c r="T924" s="15"/>
      <c r="U924" s="15"/>
      <c r="V924" s="15"/>
      <c r="W924" s="15"/>
      <c r="X924" s="15"/>
      <c r="Y924" s="15"/>
      <c r="Z924" s="15"/>
    </row>
    <row r="925" spans="1:26" ht="21" customHeight="1" x14ac:dyDescent="0.85">
      <c r="A925" s="15"/>
      <c r="B925" s="15"/>
      <c r="C925" s="15"/>
      <c r="D925" s="15"/>
      <c r="E925" s="15"/>
      <c r="F925" s="15"/>
      <c r="G925" s="15"/>
      <c r="H925" s="15"/>
      <c r="I925" s="15"/>
      <c r="J925" s="15"/>
      <c r="K925" s="15"/>
      <c r="L925" s="15"/>
      <c r="M925" s="15"/>
      <c r="N925" s="15"/>
      <c r="O925" s="15"/>
      <c r="P925" s="15"/>
      <c r="Q925" s="15"/>
      <c r="R925" s="15"/>
      <c r="S925" s="15"/>
      <c r="T925" s="15"/>
      <c r="U925" s="15"/>
      <c r="V925" s="15"/>
      <c r="W925" s="15"/>
      <c r="X925" s="15"/>
      <c r="Y925" s="15"/>
      <c r="Z925" s="15"/>
    </row>
    <row r="926" spans="1:26" ht="21" customHeight="1" x14ac:dyDescent="0.85">
      <c r="A926" s="15"/>
      <c r="B926" s="15"/>
      <c r="C926" s="15"/>
      <c r="D926" s="15"/>
      <c r="E926" s="15"/>
      <c r="F926" s="15"/>
      <c r="G926" s="15"/>
      <c r="H926" s="15"/>
      <c r="I926" s="15"/>
      <c r="J926" s="15"/>
      <c r="K926" s="15"/>
      <c r="L926" s="15"/>
      <c r="M926" s="15"/>
      <c r="N926" s="15"/>
      <c r="O926" s="15"/>
      <c r="P926" s="15"/>
      <c r="Q926" s="15"/>
      <c r="R926" s="15"/>
      <c r="S926" s="15"/>
      <c r="T926" s="15"/>
      <c r="U926" s="15"/>
      <c r="V926" s="15"/>
      <c r="W926" s="15"/>
      <c r="X926" s="15"/>
      <c r="Y926" s="15"/>
      <c r="Z926" s="15"/>
    </row>
    <row r="927" spans="1:26" ht="21" customHeight="1" x14ac:dyDescent="0.85">
      <c r="A927" s="15"/>
      <c r="B927" s="15"/>
      <c r="C927" s="15"/>
      <c r="D927" s="15"/>
      <c r="E927" s="15"/>
      <c r="F927" s="15"/>
      <c r="G927" s="15"/>
      <c r="H927" s="15"/>
      <c r="I927" s="15"/>
      <c r="J927" s="15"/>
      <c r="K927" s="15"/>
      <c r="L927" s="15"/>
      <c r="M927" s="15"/>
      <c r="N927" s="15"/>
      <c r="O927" s="15"/>
      <c r="P927" s="15"/>
      <c r="Q927" s="15"/>
      <c r="R927" s="15"/>
      <c r="S927" s="15"/>
      <c r="T927" s="15"/>
      <c r="U927" s="15"/>
      <c r="V927" s="15"/>
      <c r="W927" s="15"/>
      <c r="X927" s="15"/>
      <c r="Y927" s="15"/>
      <c r="Z927" s="15"/>
    </row>
    <row r="928" spans="1:26" ht="21" customHeight="1" x14ac:dyDescent="0.85">
      <c r="A928" s="15"/>
      <c r="B928" s="15"/>
      <c r="C928" s="15"/>
      <c r="D928" s="15"/>
      <c r="E928" s="15"/>
      <c r="F928" s="15"/>
      <c r="G928" s="15"/>
      <c r="H928" s="15"/>
      <c r="I928" s="15"/>
      <c r="J928" s="15"/>
      <c r="K928" s="15"/>
      <c r="L928" s="15"/>
      <c r="M928" s="15"/>
      <c r="N928" s="15"/>
      <c r="O928" s="15"/>
      <c r="P928" s="15"/>
      <c r="Q928" s="15"/>
      <c r="R928" s="15"/>
      <c r="S928" s="15"/>
      <c r="T928" s="15"/>
      <c r="U928" s="15"/>
      <c r="V928" s="15"/>
      <c r="W928" s="15"/>
      <c r="X928" s="15"/>
      <c r="Y928" s="15"/>
      <c r="Z928" s="15"/>
    </row>
    <row r="929" spans="1:26" ht="21" customHeight="1" x14ac:dyDescent="0.85">
      <c r="A929" s="15"/>
      <c r="B929" s="15"/>
      <c r="C929" s="15"/>
      <c r="D929" s="15"/>
      <c r="E929" s="15"/>
      <c r="F929" s="15"/>
      <c r="G929" s="15"/>
      <c r="H929" s="15"/>
      <c r="I929" s="15"/>
      <c r="J929" s="15"/>
      <c r="K929" s="15"/>
      <c r="L929" s="15"/>
      <c r="M929" s="15"/>
      <c r="N929" s="15"/>
      <c r="O929" s="15"/>
      <c r="P929" s="15"/>
      <c r="Q929" s="15"/>
      <c r="R929" s="15"/>
      <c r="S929" s="15"/>
      <c r="T929" s="15"/>
      <c r="U929" s="15"/>
      <c r="V929" s="15"/>
      <c r="W929" s="15"/>
      <c r="X929" s="15"/>
      <c r="Y929" s="15"/>
      <c r="Z929" s="15"/>
    </row>
    <row r="930" spans="1:26" ht="21" customHeight="1" x14ac:dyDescent="0.85">
      <c r="A930" s="15"/>
      <c r="B930" s="15"/>
      <c r="C930" s="15"/>
      <c r="D930" s="15"/>
      <c r="E930" s="15"/>
      <c r="F930" s="15"/>
      <c r="G930" s="15"/>
      <c r="H930" s="15"/>
      <c r="I930" s="15"/>
      <c r="J930" s="15"/>
      <c r="K930" s="15"/>
      <c r="L930" s="15"/>
      <c r="M930" s="15"/>
      <c r="N930" s="15"/>
      <c r="O930" s="15"/>
      <c r="P930" s="15"/>
      <c r="Q930" s="15"/>
      <c r="R930" s="15"/>
      <c r="S930" s="15"/>
      <c r="T930" s="15"/>
      <c r="U930" s="15"/>
      <c r="V930" s="15"/>
      <c r="W930" s="15"/>
      <c r="X930" s="15"/>
      <c r="Y930" s="15"/>
      <c r="Z930" s="15"/>
    </row>
    <row r="931" spans="1:26" ht="21" customHeight="1" x14ac:dyDescent="0.85">
      <c r="A931" s="15"/>
      <c r="B931" s="15"/>
      <c r="C931" s="15"/>
      <c r="D931" s="15"/>
      <c r="E931" s="15"/>
      <c r="F931" s="15"/>
      <c r="G931" s="15"/>
      <c r="H931" s="15"/>
      <c r="I931" s="15"/>
      <c r="J931" s="15"/>
      <c r="K931" s="15"/>
      <c r="L931" s="15"/>
      <c r="M931" s="15"/>
      <c r="N931" s="15"/>
      <c r="O931" s="15"/>
      <c r="P931" s="15"/>
      <c r="Q931" s="15"/>
      <c r="R931" s="15"/>
      <c r="S931" s="15"/>
      <c r="T931" s="15"/>
      <c r="U931" s="15"/>
      <c r="V931" s="15"/>
      <c r="W931" s="15"/>
      <c r="X931" s="15"/>
      <c r="Y931" s="15"/>
      <c r="Z931" s="15"/>
    </row>
    <row r="932" spans="1:26" ht="21" customHeight="1" x14ac:dyDescent="0.85">
      <c r="A932" s="15"/>
      <c r="B932" s="15"/>
      <c r="C932" s="15"/>
      <c r="D932" s="15"/>
      <c r="E932" s="15"/>
      <c r="F932" s="15"/>
      <c r="G932" s="15"/>
      <c r="H932" s="15"/>
      <c r="I932" s="15"/>
      <c r="J932" s="15"/>
      <c r="K932" s="15"/>
      <c r="L932" s="15"/>
      <c r="M932" s="15"/>
      <c r="N932" s="15"/>
      <c r="O932" s="15"/>
      <c r="P932" s="15"/>
      <c r="Q932" s="15"/>
      <c r="R932" s="15"/>
      <c r="S932" s="15"/>
      <c r="T932" s="15"/>
      <c r="U932" s="15"/>
      <c r="V932" s="15"/>
      <c r="W932" s="15"/>
      <c r="X932" s="15"/>
      <c r="Y932" s="15"/>
      <c r="Z932" s="15"/>
    </row>
    <row r="933" spans="1:26" ht="21" customHeight="1" x14ac:dyDescent="0.85">
      <c r="A933" s="15"/>
      <c r="B933" s="15"/>
      <c r="C933" s="15"/>
      <c r="D933" s="15"/>
      <c r="E933" s="15"/>
      <c r="F933" s="15"/>
      <c r="G933" s="15"/>
      <c r="H933" s="15"/>
      <c r="I933" s="15"/>
      <c r="J933" s="15"/>
      <c r="K933" s="15"/>
      <c r="L933" s="15"/>
      <c r="M933" s="15"/>
      <c r="N933" s="15"/>
      <c r="O933" s="15"/>
      <c r="P933" s="15"/>
      <c r="Q933" s="15"/>
      <c r="R933" s="15"/>
      <c r="S933" s="15"/>
      <c r="T933" s="15"/>
      <c r="U933" s="15"/>
      <c r="V933" s="15"/>
      <c r="W933" s="15"/>
      <c r="X933" s="15"/>
      <c r="Y933" s="15"/>
      <c r="Z933" s="15"/>
    </row>
    <row r="934" spans="1:26" ht="21" customHeight="1" x14ac:dyDescent="0.85">
      <c r="A934" s="15"/>
      <c r="B934" s="15"/>
      <c r="C934" s="15"/>
      <c r="D934" s="15"/>
      <c r="E934" s="15"/>
      <c r="F934" s="15"/>
      <c r="G934" s="15"/>
      <c r="H934" s="15"/>
      <c r="I934" s="15"/>
      <c r="J934" s="15"/>
      <c r="K934" s="15"/>
      <c r="L934" s="15"/>
      <c r="M934" s="15"/>
      <c r="N934" s="15"/>
      <c r="O934" s="15"/>
      <c r="P934" s="15"/>
      <c r="Q934" s="15"/>
      <c r="R934" s="15"/>
      <c r="S934" s="15"/>
      <c r="T934" s="15"/>
      <c r="U934" s="15"/>
      <c r="V934" s="15"/>
      <c r="W934" s="15"/>
      <c r="X934" s="15"/>
      <c r="Y934" s="15"/>
      <c r="Z934" s="15"/>
    </row>
    <row r="935" spans="1:26" ht="21" customHeight="1" x14ac:dyDescent="0.85">
      <c r="A935" s="15"/>
      <c r="B935" s="15"/>
      <c r="C935" s="15"/>
      <c r="D935" s="15"/>
      <c r="E935" s="15"/>
      <c r="F935" s="15"/>
      <c r="G935" s="15"/>
      <c r="H935" s="15"/>
      <c r="I935" s="15"/>
      <c r="J935" s="15"/>
      <c r="K935" s="15"/>
      <c r="L935" s="15"/>
      <c r="M935" s="15"/>
      <c r="N935" s="15"/>
      <c r="O935" s="15"/>
      <c r="P935" s="15"/>
      <c r="Q935" s="15"/>
      <c r="R935" s="15"/>
      <c r="S935" s="15"/>
      <c r="T935" s="15"/>
      <c r="U935" s="15"/>
      <c r="V935" s="15"/>
      <c r="W935" s="15"/>
      <c r="X935" s="15"/>
      <c r="Y935" s="15"/>
      <c r="Z935" s="15"/>
    </row>
    <row r="936" spans="1:26" ht="21" customHeight="1" x14ac:dyDescent="0.85">
      <c r="A936" s="15"/>
      <c r="B936" s="15"/>
      <c r="C936" s="15"/>
      <c r="D936" s="15"/>
      <c r="E936" s="15"/>
      <c r="F936" s="15"/>
      <c r="G936" s="15"/>
      <c r="H936" s="15"/>
      <c r="I936" s="15"/>
      <c r="J936" s="15"/>
      <c r="K936" s="15"/>
      <c r="L936" s="15"/>
      <c r="M936" s="15"/>
      <c r="N936" s="15"/>
      <c r="O936" s="15"/>
      <c r="P936" s="15"/>
      <c r="Q936" s="15"/>
      <c r="R936" s="15"/>
      <c r="S936" s="15"/>
      <c r="T936" s="15"/>
      <c r="U936" s="15"/>
      <c r="V936" s="15"/>
      <c r="W936" s="15"/>
      <c r="X936" s="15"/>
      <c r="Y936" s="15"/>
      <c r="Z936" s="15"/>
    </row>
    <row r="937" spans="1:26" ht="21" customHeight="1" x14ac:dyDescent="0.85">
      <c r="A937" s="15"/>
      <c r="B937" s="15"/>
      <c r="C937" s="15"/>
      <c r="D937" s="15"/>
      <c r="E937" s="15"/>
      <c r="F937" s="15"/>
      <c r="G937" s="15"/>
      <c r="H937" s="15"/>
      <c r="I937" s="15"/>
      <c r="J937" s="15"/>
      <c r="K937" s="15"/>
      <c r="L937" s="15"/>
      <c r="M937" s="15"/>
      <c r="N937" s="15"/>
      <c r="O937" s="15"/>
      <c r="P937" s="15"/>
      <c r="Q937" s="15"/>
      <c r="R937" s="15"/>
      <c r="S937" s="15"/>
      <c r="T937" s="15"/>
      <c r="U937" s="15"/>
      <c r="V937" s="15"/>
      <c r="W937" s="15"/>
      <c r="X937" s="15"/>
      <c r="Y937" s="15"/>
      <c r="Z937" s="15"/>
    </row>
    <row r="938" spans="1:26" ht="21" customHeight="1" x14ac:dyDescent="0.85">
      <c r="A938" s="15"/>
      <c r="B938" s="15"/>
      <c r="C938" s="15"/>
      <c r="D938" s="15"/>
      <c r="E938" s="15"/>
      <c r="F938" s="15"/>
      <c r="G938" s="15"/>
      <c r="H938" s="15"/>
      <c r="I938" s="15"/>
      <c r="J938" s="15"/>
      <c r="K938" s="15"/>
      <c r="L938" s="15"/>
      <c r="M938" s="15"/>
      <c r="N938" s="15"/>
      <c r="O938" s="15"/>
      <c r="P938" s="15"/>
      <c r="Q938" s="15"/>
      <c r="R938" s="15"/>
      <c r="S938" s="15"/>
      <c r="T938" s="15"/>
      <c r="U938" s="15"/>
      <c r="V938" s="15"/>
      <c r="W938" s="15"/>
      <c r="X938" s="15"/>
      <c r="Y938" s="15"/>
      <c r="Z938" s="15"/>
    </row>
    <row r="939" spans="1:26" ht="21" customHeight="1" x14ac:dyDescent="0.85">
      <c r="A939" s="15"/>
      <c r="B939" s="15"/>
      <c r="C939" s="15"/>
      <c r="D939" s="15"/>
      <c r="E939" s="15"/>
      <c r="F939" s="15"/>
      <c r="G939" s="15"/>
      <c r="H939" s="15"/>
      <c r="I939" s="15"/>
      <c r="J939" s="15"/>
      <c r="K939" s="15"/>
      <c r="L939" s="15"/>
      <c r="M939" s="15"/>
      <c r="N939" s="15"/>
      <c r="O939" s="15"/>
      <c r="P939" s="15"/>
      <c r="Q939" s="15"/>
      <c r="R939" s="15"/>
      <c r="S939" s="15"/>
      <c r="T939" s="15"/>
      <c r="U939" s="15"/>
      <c r="V939" s="15"/>
      <c r="W939" s="15"/>
      <c r="X939" s="15"/>
      <c r="Y939" s="15"/>
      <c r="Z939" s="15"/>
    </row>
    <row r="940" spans="1:26" ht="21" customHeight="1" x14ac:dyDescent="0.85">
      <c r="A940" s="15"/>
      <c r="B940" s="15"/>
      <c r="C940" s="15"/>
      <c r="D940" s="15"/>
      <c r="E940" s="15"/>
      <c r="F940" s="15"/>
      <c r="G940" s="15"/>
      <c r="H940" s="15"/>
      <c r="I940" s="15"/>
      <c r="J940" s="15"/>
      <c r="K940" s="15"/>
      <c r="L940" s="15"/>
      <c r="M940" s="15"/>
      <c r="N940" s="15"/>
      <c r="O940" s="15"/>
      <c r="P940" s="15"/>
      <c r="Q940" s="15"/>
      <c r="R940" s="15"/>
      <c r="S940" s="15"/>
      <c r="T940" s="15"/>
      <c r="U940" s="15"/>
      <c r="V940" s="15"/>
      <c r="W940" s="15"/>
      <c r="X940" s="15"/>
      <c r="Y940" s="15"/>
      <c r="Z940" s="15"/>
    </row>
    <row r="941" spans="1:26" ht="21" customHeight="1" x14ac:dyDescent="0.85">
      <c r="A941" s="15"/>
      <c r="B941" s="15"/>
      <c r="C941" s="15"/>
      <c r="D941" s="15"/>
      <c r="E941" s="15"/>
      <c r="F941" s="15"/>
      <c r="G941" s="15"/>
      <c r="H941" s="15"/>
      <c r="I941" s="15"/>
      <c r="J941" s="15"/>
      <c r="K941" s="15"/>
      <c r="L941" s="15"/>
      <c r="M941" s="15"/>
      <c r="N941" s="15"/>
      <c r="O941" s="15"/>
      <c r="P941" s="15"/>
      <c r="Q941" s="15"/>
      <c r="R941" s="15"/>
      <c r="S941" s="15"/>
      <c r="T941" s="15"/>
      <c r="U941" s="15"/>
      <c r="V941" s="15"/>
      <c r="W941" s="15"/>
      <c r="X941" s="15"/>
      <c r="Y941" s="15"/>
      <c r="Z941" s="15"/>
    </row>
    <row r="942" spans="1:26" ht="21" customHeight="1" x14ac:dyDescent="0.85">
      <c r="A942" s="15"/>
      <c r="B942" s="15"/>
      <c r="C942" s="15"/>
      <c r="D942" s="15"/>
      <c r="E942" s="15"/>
      <c r="F942" s="15"/>
      <c r="G942" s="15"/>
      <c r="H942" s="15"/>
      <c r="I942" s="15"/>
      <c r="J942" s="15"/>
      <c r="K942" s="15"/>
      <c r="L942" s="15"/>
      <c r="M942" s="15"/>
      <c r="N942" s="15"/>
      <c r="O942" s="15"/>
      <c r="P942" s="15"/>
      <c r="Q942" s="15"/>
      <c r="R942" s="15"/>
      <c r="S942" s="15"/>
      <c r="T942" s="15"/>
      <c r="U942" s="15"/>
      <c r="V942" s="15"/>
      <c r="W942" s="15"/>
      <c r="X942" s="15"/>
      <c r="Y942" s="15"/>
      <c r="Z942" s="15"/>
    </row>
    <row r="943" spans="1:26" ht="21" customHeight="1" x14ac:dyDescent="0.85">
      <c r="A943" s="15"/>
      <c r="B943" s="15"/>
      <c r="C943" s="15"/>
      <c r="D943" s="15"/>
      <c r="E943" s="15"/>
      <c r="F943" s="15"/>
      <c r="G943" s="15"/>
      <c r="H943" s="15"/>
      <c r="I943" s="15"/>
      <c r="J943" s="15"/>
      <c r="K943" s="15"/>
      <c r="L943" s="15"/>
      <c r="M943" s="15"/>
      <c r="N943" s="15"/>
      <c r="O943" s="15"/>
      <c r="P943" s="15"/>
      <c r="Q943" s="15"/>
      <c r="R943" s="15"/>
      <c r="S943" s="15"/>
      <c r="T943" s="15"/>
      <c r="U943" s="15"/>
      <c r="V943" s="15"/>
      <c r="W943" s="15"/>
      <c r="X943" s="15"/>
      <c r="Y943" s="15"/>
      <c r="Z943" s="15"/>
    </row>
    <row r="944" spans="1:26" ht="21" customHeight="1" x14ac:dyDescent="0.85">
      <c r="A944" s="15"/>
      <c r="B944" s="15"/>
      <c r="C944" s="15"/>
      <c r="D944" s="15"/>
      <c r="E944" s="15"/>
      <c r="F944" s="15"/>
      <c r="G944" s="15"/>
      <c r="H944" s="15"/>
      <c r="I944" s="15"/>
      <c r="J944" s="15"/>
      <c r="K944" s="15"/>
      <c r="L944" s="15"/>
      <c r="M944" s="15"/>
      <c r="N944" s="15"/>
      <c r="O944" s="15"/>
      <c r="P944" s="15"/>
      <c r="Q944" s="15"/>
      <c r="R944" s="15"/>
      <c r="S944" s="15"/>
      <c r="T944" s="15"/>
      <c r="U944" s="15"/>
      <c r="V944" s="15"/>
      <c r="W944" s="15"/>
      <c r="X944" s="15"/>
      <c r="Y944" s="15"/>
      <c r="Z944" s="15"/>
    </row>
    <row r="945" spans="1:26" ht="21" customHeight="1" x14ac:dyDescent="0.85">
      <c r="A945" s="15"/>
      <c r="B945" s="15"/>
      <c r="C945" s="15"/>
      <c r="D945" s="15"/>
      <c r="E945" s="15"/>
      <c r="F945" s="15"/>
      <c r="G945" s="15"/>
      <c r="H945" s="15"/>
      <c r="I945" s="15"/>
      <c r="J945" s="15"/>
      <c r="K945" s="15"/>
      <c r="L945" s="15"/>
      <c r="M945" s="15"/>
      <c r="N945" s="15"/>
      <c r="O945" s="15"/>
      <c r="P945" s="15"/>
      <c r="Q945" s="15"/>
      <c r="R945" s="15"/>
      <c r="S945" s="15"/>
      <c r="T945" s="15"/>
      <c r="U945" s="15"/>
      <c r="V945" s="15"/>
      <c r="W945" s="15"/>
      <c r="X945" s="15"/>
      <c r="Y945" s="15"/>
      <c r="Z945" s="15"/>
    </row>
    <row r="946" spans="1:26" ht="21" customHeight="1" x14ac:dyDescent="0.85">
      <c r="A946" s="15"/>
      <c r="B946" s="15"/>
      <c r="C946" s="15"/>
      <c r="D946" s="15"/>
      <c r="E946" s="15"/>
      <c r="F946" s="15"/>
      <c r="G946" s="15"/>
      <c r="H946" s="15"/>
      <c r="I946" s="15"/>
      <c r="J946" s="15"/>
      <c r="K946" s="15"/>
      <c r="L946" s="15"/>
      <c r="M946" s="15"/>
      <c r="N946" s="15"/>
      <c r="O946" s="15"/>
      <c r="P946" s="15"/>
      <c r="Q946" s="15"/>
      <c r="R946" s="15"/>
      <c r="S946" s="15"/>
      <c r="T946" s="15"/>
      <c r="U946" s="15"/>
      <c r="V946" s="15"/>
      <c r="W946" s="15"/>
      <c r="X946" s="15"/>
      <c r="Y946" s="15"/>
      <c r="Z946" s="15"/>
    </row>
    <row r="947" spans="1:26" ht="21" customHeight="1" x14ac:dyDescent="0.85">
      <c r="A947" s="15"/>
      <c r="B947" s="15"/>
      <c r="C947" s="15"/>
      <c r="D947" s="15"/>
      <c r="E947" s="15"/>
      <c r="F947" s="15"/>
      <c r="G947" s="15"/>
      <c r="H947" s="15"/>
      <c r="I947" s="15"/>
      <c r="J947" s="15"/>
      <c r="K947" s="15"/>
      <c r="L947" s="15"/>
      <c r="M947" s="15"/>
      <c r="N947" s="15"/>
      <c r="O947" s="15"/>
      <c r="P947" s="15"/>
      <c r="Q947" s="15"/>
      <c r="R947" s="15"/>
      <c r="S947" s="15"/>
      <c r="T947" s="15"/>
      <c r="U947" s="15"/>
      <c r="V947" s="15"/>
      <c r="W947" s="15"/>
      <c r="X947" s="15"/>
      <c r="Y947" s="15"/>
      <c r="Z947" s="15"/>
    </row>
    <row r="948" spans="1:26" ht="21" customHeight="1" x14ac:dyDescent="0.85">
      <c r="A948" s="15"/>
      <c r="B948" s="15"/>
      <c r="C948" s="15"/>
      <c r="D948" s="15"/>
      <c r="E948" s="15"/>
      <c r="F948" s="15"/>
      <c r="G948" s="15"/>
      <c r="H948" s="15"/>
      <c r="I948" s="15"/>
      <c r="J948" s="15"/>
      <c r="K948" s="15"/>
      <c r="L948" s="15"/>
      <c r="M948" s="15"/>
      <c r="N948" s="15"/>
      <c r="O948" s="15"/>
      <c r="P948" s="15"/>
      <c r="Q948" s="15"/>
      <c r="R948" s="15"/>
      <c r="S948" s="15"/>
      <c r="T948" s="15"/>
      <c r="U948" s="15"/>
      <c r="V948" s="15"/>
      <c r="W948" s="15"/>
      <c r="X948" s="15"/>
      <c r="Y948" s="15"/>
      <c r="Z948" s="15"/>
    </row>
    <row r="949" spans="1:26" ht="21" customHeight="1" x14ac:dyDescent="0.85">
      <c r="A949" s="15"/>
      <c r="B949" s="15"/>
      <c r="C949" s="15"/>
      <c r="D949" s="15"/>
      <c r="E949" s="15"/>
      <c r="F949" s="15"/>
      <c r="G949" s="15"/>
      <c r="H949" s="15"/>
      <c r="I949" s="15"/>
      <c r="J949" s="15"/>
      <c r="K949" s="15"/>
      <c r="L949" s="15"/>
      <c r="M949" s="15"/>
      <c r="N949" s="15"/>
      <c r="O949" s="15"/>
      <c r="P949" s="15"/>
      <c r="Q949" s="15"/>
      <c r="R949" s="15"/>
      <c r="S949" s="15"/>
      <c r="T949" s="15"/>
      <c r="U949" s="15"/>
      <c r="V949" s="15"/>
      <c r="W949" s="15"/>
      <c r="X949" s="15"/>
      <c r="Y949" s="15"/>
      <c r="Z949" s="15"/>
    </row>
    <row r="950" spans="1:26" ht="21" customHeight="1" x14ac:dyDescent="0.85">
      <c r="A950" s="15"/>
      <c r="B950" s="15"/>
      <c r="C950" s="15"/>
      <c r="D950" s="15"/>
      <c r="E950" s="15"/>
      <c r="F950" s="15"/>
      <c r="G950" s="15"/>
      <c r="H950" s="15"/>
      <c r="I950" s="15"/>
      <c r="J950" s="15"/>
      <c r="K950" s="15"/>
      <c r="L950" s="15"/>
      <c r="M950" s="15"/>
      <c r="N950" s="15"/>
      <c r="O950" s="15"/>
      <c r="P950" s="15"/>
      <c r="Q950" s="15"/>
      <c r="R950" s="15"/>
      <c r="S950" s="15"/>
      <c r="T950" s="15"/>
      <c r="U950" s="15"/>
      <c r="V950" s="15"/>
      <c r="W950" s="15"/>
      <c r="X950" s="15"/>
      <c r="Y950" s="15"/>
      <c r="Z950" s="15"/>
    </row>
    <row r="951" spans="1:26" ht="21" customHeight="1" x14ac:dyDescent="0.85">
      <c r="A951" s="15"/>
      <c r="B951" s="15"/>
      <c r="C951" s="15"/>
      <c r="D951" s="15"/>
      <c r="E951" s="15"/>
      <c r="F951" s="15"/>
      <c r="G951" s="15"/>
      <c r="H951" s="15"/>
      <c r="I951" s="15"/>
      <c r="J951" s="15"/>
      <c r="K951" s="15"/>
      <c r="L951" s="15"/>
      <c r="M951" s="15"/>
      <c r="N951" s="15"/>
      <c r="O951" s="15"/>
      <c r="P951" s="15"/>
      <c r="Q951" s="15"/>
      <c r="R951" s="15"/>
      <c r="S951" s="15"/>
      <c r="T951" s="15"/>
      <c r="U951" s="15"/>
      <c r="V951" s="15"/>
      <c r="W951" s="15"/>
      <c r="X951" s="15"/>
      <c r="Y951" s="15"/>
      <c r="Z951" s="15"/>
    </row>
    <row r="952" spans="1:26" ht="21" customHeight="1" x14ac:dyDescent="0.85">
      <c r="A952" s="15"/>
      <c r="B952" s="15"/>
      <c r="C952" s="15"/>
      <c r="D952" s="15"/>
      <c r="E952" s="15"/>
      <c r="F952" s="15"/>
      <c r="G952" s="15"/>
      <c r="H952" s="15"/>
      <c r="I952" s="15"/>
      <c r="J952" s="15"/>
      <c r="K952" s="15"/>
      <c r="L952" s="15"/>
      <c r="M952" s="15"/>
      <c r="N952" s="15"/>
      <c r="O952" s="15"/>
      <c r="P952" s="15"/>
      <c r="Q952" s="15"/>
      <c r="R952" s="15"/>
      <c r="S952" s="15"/>
      <c r="T952" s="15"/>
      <c r="U952" s="15"/>
      <c r="V952" s="15"/>
      <c r="W952" s="15"/>
      <c r="X952" s="15"/>
      <c r="Y952" s="15"/>
      <c r="Z952" s="15"/>
    </row>
    <row r="953" spans="1:26" ht="21" customHeight="1" x14ac:dyDescent="0.85">
      <c r="A953" s="15"/>
      <c r="B953" s="15"/>
      <c r="C953" s="15"/>
      <c r="D953" s="15"/>
      <c r="E953" s="15"/>
      <c r="F953" s="15"/>
      <c r="G953" s="15"/>
      <c r="H953" s="15"/>
      <c r="I953" s="15"/>
      <c r="J953" s="15"/>
      <c r="K953" s="15"/>
      <c r="L953" s="15"/>
      <c r="M953" s="15"/>
      <c r="N953" s="15"/>
      <c r="O953" s="15"/>
      <c r="P953" s="15"/>
      <c r="Q953" s="15"/>
      <c r="R953" s="15"/>
      <c r="S953" s="15"/>
      <c r="T953" s="15"/>
      <c r="U953" s="15"/>
      <c r="V953" s="15"/>
      <c r="W953" s="15"/>
      <c r="X953" s="15"/>
      <c r="Y953" s="15"/>
      <c r="Z953" s="15"/>
    </row>
    <row r="954" spans="1:26" ht="21" customHeight="1" x14ac:dyDescent="0.85">
      <c r="A954" s="15"/>
      <c r="B954" s="15"/>
      <c r="C954" s="15"/>
      <c r="D954" s="15"/>
      <c r="E954" s="15"/>
      <c r="F954" s="15"/>
      <c r="G954" s="15"/>
      <c r="H954" s="15"/>
      <c r="I954" s="15"/>
      <c r="J954" s="15"/>
      <c r="K954" s="15"/>
      <c r="L954" s="15"/>
      <c r="M954" s="15"/>
      <c r="N954" s="15"/>
      <c r="O954" s="15"/>
      <c r="P954" s="15"/>
      <c r="Q954" s="15"/>
      <c r="R954" s="15"/>
      <c r="S954" s="15"/>
      <c r="T954" s="15"/>
      <c r="U954" s="15"/>
      <c r="V954" s="15"/>
      <c r="W954" s="15"/>
      <c r="X954" s="15"/>
      <c r="Y954" s="15"/>
      <c r="Z954" s="15"/>
    </row>
    <row r="955" spans="1:26" ht="21" customHeight="1" x14ac:dyDescent="0.85">
      <c r="A955" s="15"/>
      <c r="B955" s="15"/>
      <c r="C955" s="15"/>
      <c r="D955" s="15"/>
      <c r="E955" s="15"/>
      <c r="F955" s="15"/>
      <c r="G955" s="15"/>
      <c r="H955" s="15"/>
      <c r="I955" s="15"/>
      <c r="J955" s="15"/>
      <c r="K955" s="15"/>
      <c r="L955" s="15"/>
      <c r="M955" s="15"/>
      <c r="N955" s="15"/>
      <c r="O955" s="15"/>
      <c r="P955" s="15"/>
      <c r="Q955" s="15"/>
      <c r="R955" s="15"/>
      <c r="S955" s="15"/>
      <c r="T955" s="15"/>
      <c r="U955" s="15"/>
      <c r="V955" s="15"/>
      <c r="W955" s="15"/>
      <c r="X955" s="15"/>
      <c r="Y955" s="15"/>
      <c r="Z955" s="15"/>
    </row>
    <row r="956" spans="1:26" ht="21" customHeight="1" x14ac:dyDescent="0.85">
      <c r="A956" s="15"/>
      <c r="B956" s="15"/>
      <c r="C956" s="15"/>
      <c r="D956" s="15"/>
      <c r="E956" s="15"/>
      <c r="F956" s="15"/>
      <c r="G956" s="15"/>
      <c r="H956" s="15"/>
      <c r="I956" s="15"/>
      <c r="J956" s="15"/>
      <c r="K956" s="15"/>
      <c r="L956" s="15"/>
      <c r="M956" s="15"/>
      <c r="N956" s="15"/>
      <c r="O956" s="15"/>
      <c r="P956" s="15"/>
      <c r="Q956" s="15"/>
      <c r="R956" s="15"/>
      <c r="S956" s="15"/>
      <c r="T956" s="15"/>
      <c r="U956" s="15"/>
      <c r="V956" s="15"/>
      <c r="W956" s="15"/>
      <c r="X956" s="15"/>
      <c r="Y956" s="15"/>
      <c r="Z956" s="15"/>
    </row>
    <row r="957" spans="1:26" ht="21" customHeight="1" x14ac:dyDescent="0.85">
      <c r="A957" s="15"/>
      <c r="B957" s="15"/>
      <c r="C957" s="15"/>
      <c r="D957" s="15"/>
      <c r="E957" s="15"/>
      <c r="F957" s="15"/>
      <c r="G957" s="15"/>
      <c r="H957" s="15"/>
      <c r="I957" s="15"/>
      <c r="J957" s="15"/>
      <c r="K957" s="15"/>
      <c r="L957" s="15"/>
      <c r="M957" s="15"/>
      <c r="N957" s="15"/>
      <c r="O957" s="15"/>
      <c r="P957" s="15"/>
      <c r="Q957" s="15"/>
      <c r="R957" s="15"/>
      <c r="S957" s="15"/>
      <c r="T957" s="15"/>
      <c r="U957" s="15"/>
      <c r="V957" s="15"/>
      <c r="W957" s="15"/>
      <c r="X957" s="15"/>
      <c r="Y957" s="15"/>
      <c r="Z957" s="15"/>
    </row>
    <row r="958" spans="1:26" ht="21" customHeight="1" x14ac:dyDescent="0.85">
      <c r="A958" s="15"/>
      <c r="B958" s="15"/>
      <c r="C958" s="15"/>
      <c r="D958" s="15"/>
      <c r="E958" s="15"/>
      <c r="F958" s="15"/>
      <c r="G958" s="15"/>
      <c r="H958" s="15"/>
      <c r="I958" s="15"/>
      <c r="J958" s="15"/>
      <c r="K958" s="15"/>
      <c r="L958" s="15"/>
      <c r="M958" s="15"/>
      <c r="N958" s="15"/>
      <c r="O958" s="15"/>
      <c r="P958" s="15"/>
      <c r="Q958" s="15"/>
      <c r="R958" s="15"/>
      <c r="S958" s="15"/>
      <c r="T958" s="15"/>
      <c r="U958" s="15"/>
      <c r="V958" s="15"/>
      <c r="W958" s="15"/>
      <c r="X958" s="15"/>
      <c r="Y958" s="15"/>
      <c r="Z958" s="15"/>
    </row>
    <row r="959" spans="1:26" ht="21" customHeight="1" x14ac:dyDescent="0.85">
      <c r="A959" s="15"/>
      <c r="B959" s="15"/>
      <c r="C959" s="15"/>
      <c r="D959" s="15"/>
      <c r="E959" s="15"/>
      <c r="F959" s="15"/>
      <c r="G959" s="15"/>
      <c r="H959" s="15"/>
      <c r="I959" s="15"/>
      <c r="J959" s="15"/>
      <c r="K959" s="15"/>
      <c r="L959" s="15"/>
      <c r="M959" s="15"/>
      <c r="N959" s="15"/>
      <c r="O959" s="15"/>
      <c r="P959" s="15"/>
      <c r="Q959" s="15"/>
      <c r="R959" s="15"/>
      <c r="S959" s="15"/>
      <c r="T959" s="15"/>
      <c r="U959" s="15"/>
      <c r="V959" s="15"/>
      <c r="W959" s="15"/>
      <c r="X959" s="15"/>
      <c r="Y959" s="15"/>
      <c r="Z959" s="15"/>
    </row>
    <row r="960" spans="1:26" ht="21" customHeight="1" x14ac:dyDescent="0.85">
      <c r="A960" s="15"/>
      <c r="B960" s="15"/>
      <c r="C960" s="15"/>
      <c r="D960" s="15"/>
      <c r="E960" s="15"/>
      <c r="F960" s="15"/>
      <c r="G960" s="15"/>
      <c r="H960" s="15"/>
      <c r="I960" s="15"/>
      <c r="J960" s="15"/>
      <c r="K960" s="15"/>
      <c r="L960" s="15"/>
      <c r="M960" s="15"/>
      <c r="N960" s="15"/>
      <c r="O960" s="15"/>
      <c r="P960" s="15"/>
      <c r="Q960" s="15"/>
      <c r="R960" s="15"/>
      <c r="S960" s="15"/>
      <c r="T960" s="15"/>
      <c r="U960" s="15"/>
      <c r="V960" s="15"/>
      <c r="W960" s="15"/>
      <c r="X960" s="15"/>
      <c r="Y960" s="15"/>
      <c r="Z960" s="15"/>
    </row>
    <row r="961" spans="1:26" ht="21" customHeight="1" x14ac:dyDescent="0.85">
      <c r="A961" s="15"/>
      <c r="B961" s="15"/>
      <c r="C961" s="15"/>
      <c r="D961" s="15"/>
      <c r="E961" s="15"/>
      <c r="F961" s="15"/>
      <c r="G961" s="15"/>
      <c r="H961" s="15"/>
      <c r="I961" s="15"/>
      <c r="J961" s="15"/>
      <c r="K961" s="15"/>
      <c r="L961" s="15"/>
      <c r="M961" s="15"/>
      <c r="N961" s="15"/>
      <c r="O961" s="15"/>
      <c r="P961" s="15"/>
      <c r="Q961" s="15"/>
      <c r="R961" s="15"/>
      <c r="S961" s="15"/>
      <c r="T961" s="15"/>
      <c r="U961" s="15"/>
      <c r="V961" s="15"/>
      <c r="W961" s="15"/>
      <c r="X961" s="15"/>
      <c r="Y961" s="15"/>
      <c r="Z961" s="15"/>
    </row>
    <row r="962" spans="1:26" ht="21" customHeight="1" x14ac:dyDescent="0.85">
      <c r="A962" s="15"/>
      <c r="B962" s="15"/>
      <c r="C962" s="15"/>
      <c r="D962" s="15"/>
      <c r="E962" s="15"/>
      <c r="F962" s="15"/>
      <c r="G962" s="15"/>
      <c r="H962" s="15"/>
      <c r="I962" s="15"/>
      <c r="J962" s="15"/>
      <c r="K962" s="15"/>
      <c r="L962" s="15"/>
      <c r="M962" s="15"/>
      <c r="N962" s="15"/>
      <c r="O962" s="15"/>
      <c r="P962" s="15"/>
      <c r="Q962" s="15"/>
      <c r="R962" s="15"/>
      <c r="S962" s="15"/>
      <c r="T962" s="15"/>
      <c r="U962" s="15"/>
      <c r="V962" s="15"/>
      <c r="W962" s="15"/>
      <c r="X962" s="15"/>
      <c r="Y962" s="15"/>
      <c r="Z962" s="15"/>
    </row>
    <row r="963" spans="1:26" ht="21" customHeight="1" x14ac:dyDescent="0.85">
      <c r="A963" s="15"/>
      <c r="B963" s="15"/>
      <c r="C963" s="15"/>
      <c r="D963" s="15"/>
      <c r="E963" s="15"/>
      <c r="F963" s="15"/>
      <c r="G963" s="15"/>
      <c r="H963" s="15"/>
      <c r="I963" s="15"/>
      <c r="J963" s="15"/>
      <c r="K963" s="15"/>
      <c r="L963" s="15"/>
      <c r="M963" s="15"/>
      <c r="N963" s="15"/>
      <c r="O963" s="15"/>
      <c r="P963" s="15"/>
      <c r="Q963" s="15"/>
      <c r="R963" s="15"/>
      <c r="S963" s="15"/>
      <c r="T963" s="15"/>
      <c r="U963" s="15"/>
      <c r="V963" s="15"/>
      <c r="W963" s="15"/>
      <c r="X963" s="15"/>
      <c r="Y963" s="15"/>
      <c r="Z963" s="15"/>
    </row>
    <row r="964" spans="1:26" ht="21" customHeight="1" x14ac:dyDescent="0.85">
      <c r="A964" s="15"/>
      <c r="B964" s="15"/>
      <c r="C964" s="15"/>
      <c r="D964" s="15"/>
      <c r="E964" s="15"/>
      <c r="F964" s="15"/>
      <c r="G964" s="15"/>
      <c r="H964" s="15"/>
      <c r="I964" s="15"/>
      <c r="J964" s="15"/>
      <c r="K964" s="15"/>
      <c r="L964" s="15"/>
      <c r="M964" s="15"/>
      <c r="N964" s="15"/>
      <c r="O964" s="15"/>
      <c r="P964" s="15"/>
      <c r="Q964" s="15"/>
      <c r="R964" s="15"/>
      <c r="S964" s="15"/>
      <c r="T964" s="15"/>
      <c r="U964" s="15"/>
      <c r="V964" s="15"/>
      <c r="W964" s="15"/>
      <c r="X964" s="15"/>
      <c r="Y964" s="15"/>
      <c r="Z964" s="15"/>
    </row>
    <row r="965" spans="1:26" ht="21" customHeight="1" x14ac:dyDescent="0.85">
      <c r="A965" s="15"/>
      <c r="B965" s="15"/>
      <c r="C965" s="15"/>
      <c r="D965" s="15"/>
      <c r="E965" s="15"/>
      <c r="F965" s="15"/>
      <c r="G965" s="15"/>
      <c r="H965" s="15"/>
      <c r="I965" s="15"/>
      <c r="J965" s="15"/>
      <c r="K965" s="15"/>
      <c r="L965" s="15"/>
      <c r="M965" s="15"/>
      <c r="N965" s="15"/>
      <c r="O965" s="15"/>
      <c r="P965" s="15"/>
      <c r="Q965" s="15"/>
      <c r="R965" s="15"/>
      <c r="S965" s="15"/>
      <c r="T965" s="15"/>
      <c r="U965" s="15"/>
      <c r="V965" s="15"/>
      <c r="W965" s="15"/>
      <c r="X965" s="15"/>
      <c r="Y965" s="15"/>
      <c r="Z965" s="15"/>
    </row>
    <row r="966" spans="1:26" ht="21" customHeight="1" x14ac:dyDescent="0.85">
      <c r="A966" s="15"/>
      <c r="B966" s="15"/>
      <c r="C966" s="15"/>
      <c r="D966" s="15"/>
      <c r="E966" s="15"/>
      <c r="F966" s="15"/>
      <c r="G966" s="15"/>
      <c r="H966" s="15"/>
      <c r="I966" s="15"/>
      <c r="J966" s="15"/>
      <c r="K966" s="15"/>
      <c r="L966" s="15"/>
      <c r="M966" s="15"/>
      <c r="N966" s="15"/>
      <c r="O966" s="15"/>
      <c r="P966" s="15"/>
      <c r="Q966" s="15"/>
      <c r="R966" s="15"/>
      <c r="S966" s="15"/>
      <c r="T966" s="15"/>
      <c r="U966" s="15"/>
      <c r="V966" s="15"/>
      <c r="W966" s="15"/>
      <c r="X966" s="15"/>
      <c r="Y966" s="15"/>
      <c r="Z966" s="15"/>
    </row>
    <row r="967" spans="1:26" ht="21" customHeight="1" x14ac:dyDescent="0.85">
      <c r="A967" s="15"/>
      <c r="B967" s="15"/>
      <c r="C967" s="15"/>
      <c r="D967" s="15"/>
      <c r="E967" s="15"/>
      <c r="F967" s="15"/>
      <c r="G967" s="15"/>
      <c r="H967" s="15"/>
      <c r="I967" s="15"/>
      <c r="J967" s="15"/>
      <c r="K967" s="15"/>
      <c r="L967" s="15"/>
      <c r="M967" s="15"/>
      <c r="N967" s="15"/>
      <c r="O967" s="15"/>
      <c r="P967" s="15"/>
      <c r="Q967" s="15"/>
      <c r="R967" s="15"/>
      <c r="S967" s="15"/>
      <c r="T967" s="15"/>
      <c r="U967" s="15"/>
      <c r="V967" s="15"/>
      <c r="W967" s="15"/>
      <c r="X967" s="15"/>
      <c r="Y967" s="15"/>
      <c r="Z967" s="15"/>
    </row>
    <row r="968" spans="1:26" ht="21" customHeight="1" x14ac:dyDescent="0.85">
      <c r="A968" s="15"/>
      <c r="B968" s="15"/>
      <c r="C968" s="15"/>
      <c r="D968" s="15"/>
      <c r="E968" s="15"/>
      <c r="F968" s="15"/>
      <c r="G968" s="15"/>
      <c r="H968" s="15"/>
      <c r="I968" s="15"/>
      <c r="J968" s="15"/>
      <c r="K968" s="15"/>
      <c r="L968" s="15"/>
      <c r="M968" s="15"/>
      <c r="N968" s="15"/>
      <c r="O968" s="15"/>
      <c r="P968" s="15"/>
      <c r="Q968" s="15"/>
      <c r="R968" s="15"/>
      <c r="S968" s="15"/>
      <c r="T968" s="15"/>
      <c r="U968" s="15"/>
      <c r="V968" s="15"/>
      <c r="W968" s="15"/>
      <c r="X968" s="15"/>
      <c r="Y968" s="15"/>
      <c r="Z968" s="15"/>
    </row>
    <row r="969" spans="1:26" ht="21" customHeight="1" x14ac:dyDescent="0.85">
      <c r="A969" s="15"/>
      <c r="B969" s="15"/>
      <c r="C969" s="15"/>
      <c r="D969" s="15"/>
      <c r="E969" s="15"/>
      <c r="F969" s="15"/>
      <c r="G969" s="15"/>
      <c r="H969" s="15"/>
      <c r="I969" s="15"/>
      <c r="J969" s="15"/>
      <c r="K969" s="15"/>
      <c r="L969" s="15"/>
      <c r="M969" s="15"/>
      <c r="N969" s="15"/>
      <c r="O969" s="15"/>
      <c r="P969" s="15"/>
      <c r="Q969" s="15"/>
      <c r="R969" s="15"/>
      <c r="S969" s="15"/>
      <c r="T969" s="15"/>
      <c r="U969" s="15"/>
      <c r="V969" s="15"/>
      <c r="W969" s="15"/>
      <c r="X969" s="15"/>
      <c r="Y969" s="15"/>
      <c r="Z969" s="15"/>
    </row>
    <row r="970" spans="1:26" ht="21" customHeight="1" x14ac:dyDescent="0.85">
      <c r="A970" s="15"/>
      <c r="B970" s="15"/>
      <c r="C970" s="15"/>
      <c r="D970" s="15"/>
      <c r="E970" s="15"/>
      <c r="F970" s="15"/>
      <c r="G970" s="15"/>
      <c r="H970" s="15"/>
      <c r="I970" s="15"/>
      <c r="J970" s="15"/>
      <c r="K970" s="15"/>
      <c r="L970" s="15"/>
      <c r="M970" s="15"/>
      <c r="N970" s="15"/>
      <c r="O970" s="15"/>
      <c r="P970" s="15"/>
      <c r="Q970" s="15"/>
      <c r="R970" s="15"/>
      <c r="S970" s="15"/>
      <c r="T970" s="15"/>
      <c r="U970" s="15"/>
      <c r="V970" s="15"/>
      <c r="W970" s="15"/>
      <c r="X970" s="15"/>
      <c r="Y970" s="15"/>
      <c r="Z970" s="15"/>
    </row>
    <row r="971" spans="1:26" ht="21" customHeight="1" x14ac:dyDescent="0.85">
      <c r="A971" s="15"/>
      <c r="B971" s="15"/>
      <c r="C971" s="15"/>
      <c r="D971" s="15"/>
      <c r="E971" s="15"/>
      <c r="F971" s="15"/>
      <c r="G971" s="15"/>
      <c r="H971" s="15"/>
      <c r="I971" s="15"/>
      <c r="J971" s="15"/>
      <c r="K971" s="15"/>
      <c r="L971" s="15"/>
      <c r="M971" s="15"/>
      <c r="N971" s="15"/>
      <c r="O971" s="15"/>
      <c r="P971" s="15"/>
      <c r="Q971" s="15"/>
      <c r="R971" s="15"/>
      <c r="S971" s="15"/>
      <c r="T971" s="15"/>
      <c r="U971" s="15"/>
      <c r="V971" s="15"/>
      <c r="W971" s="15"/>
      <c r="X971" s="15"/>
      <c r="Y971" s="15"/>
      <c r="Z971" s="15"/>
    </row>
    <row r="972" spans="1:26" ht="21" customHeight="1" x14ac:dyDescent="0.85">
      <c r="A972" s="15"/>
      <c r="B972" s="15"/>
      <c r="C972" s="15"/>
      <c r="D972" s="15"/>
      <c r="E972" s="15"/>
      <c r="F972" s="15"/>
      <c r="G972" s="15"/>
      <c r="H972" s="15"/>
      <c r="I972" s="15"/>
      <c r="J972" s="15"/>
      <c r="K972" s="15"/>
      <c r="L972" s="15"/>
      <c r="M972" s="15"/>
      <c r="N972" s="15"/>
      <c r="O972" s="15"/>
      <c r="P972" s="15"/>
      <c r="Q972" s="15"/>
      <c r="R972" s="15"/>
      <c r="S972" s="15"/>
      <c r="T972" s="15"/>
      <c r="U972" s="15"/>
      <c r="V972" s="15"/>
      <c r="W972" s="15"/>
      <c r="X972" s="15"/>
      <c r="Y972" s="15"/>
      <c r="Z972" s="15"/>
    </row>
    <row r="973" spans="1:26" ht="21" customHeight="1" x14ac:dyDescent="0.85">
      <c r="A973" s="15"/>
      <c r="B973" s="15"/>
      <c r="C973" s="15"/>
      <c r="D973" s="15"/>
      <c r="E973" s="15"/>
      <c r="F973" s="15"/>
      <c r="G973" s="15"/>
      <c r="H973" s="15"/>
      <c r="I973" s="15"/>
      <c r="J973" s="15"/>
      <c r="K973" s="15"/>
      <c r="L973" s="15"/>
      <c r="M973" s="15"/>
      <c r="N973" s="15"/>
      <c r="O973" s="15"/>
      <c r="P973" s="15"/>
      <c r="Q973" s="15"/>
      <c r="R973" s="15"/>
      <c r="S973" s="15"/>
      <c r="T973" s="15"/>
      <c r="U973" s="15"/>
      <c r="V973" s="15"/>
      <c r="W973" s="15"/>
      <c r="X973" s="15"/>
      <c r="Y973" s="15"/>
      <c r="Z973" s="15"/>
    </row>
    <row r="974" spans="1:26" ht="21" customHeight="1" x14ac:dyDescent="0.85">
      <c r="A974" s="15"/>
      <c r="B974" s="15"/>
      <c r="C974" s="15"/>
      <c r="D974" s="15"/>
      <c r="E974" s="15"/>
      <c r="F974" s="15"/>
      <c r="G974" s="15"/>
      <c r="H974" s="15"/>
      <c r="I974" s="15"/>
      <c r="J974" s="15"/>
      <c r="K974" s="15"/>
      <c r="L974" s="15"/>
      <c r="M974" s="15"/>
      <c r="N974" s="15"/>
      <c r="O974" s="15"/>
      <c r="P974" s="15"/>
      <c r="Q974" s="15"/>
      <c r="R974" s="15"/>
      <c r="S974" s="15"/>
      <c r="T974" s="15"/>
      <c r="U974" s="15"/>
      <c r="V974" s="15"/>
      <c r="W974" s="15"/>
      <c r="X974" s="15"/>
      <c r="Y974" s="15"/>
      <c r="Z974" s="15"/>
    </row>
    <row r="975" spans="1:26" ht="21" customHeight="1" x14ac:dyDescent="0.85">
      <c r="A975" s="15"/>
      <c r="B975" s="15"/>
      <c r="C975" s="15"/>
      <c r="D975" s="15"/>
      <c r="E975" s="15"/>
      <c r="F975" s="15"/>
      <c r="G975" s="15"/>
      <c r="H975" s="15"/>
      <c r="I975" s="15"/>
      <c r="J975" s="15"/>
      <c r="K975" s="15"/>
      <c r="L975" s="15"/>
      <c r="M975" s="15"/>
      <c r="N975" s="15"/>
      <c r="O975" s="15"/>
      <c r="P975" s="15"/>
      <c r="Q975" s="15"/>
      <c r="R975" s="15"/>
      <c r="S975" s="15"/>
      <c r="T975" s="15"/>
      <c r="U975" s="15"/>
      <c r="V975" s="15"/>
      <c r="W975" s="15"/>
      <c r="X975" s="15"/>
      <c r="Y975" s="15"/>
      <c r="Z975" s="15"/>
    </row>
    <row r="976" spans="1:26" ht="21" customHeight="1" x14ac:dyDescent="0.85">
      <c r="A976" s="15"/>
      <c r="B976" s="15"/>
      <c r="C976" s="15"/>
      <c r="D976" s="15"/>
      <c r="E976" s="15"/>
      <c r="F976" s="15"/>
      <c r="G976" s="15"/>
      <c r="H976" s="15"/>
      <c r="I976" s="15"/>
      <c r="J976" s="15"/>
      <c r="K976" s="15"/>
      <c r="L976" s="15"/>
      <c r="M976" s="15"/>
      <c r="N976" s="15"/>
      <c r="O976" s="15"/>
      <c r="P976" s="15"/>
      <c r="Q976" s="15"/>
      <c r="R976" s="15"/>
      <c r="S976" s="15"/>
      <c r="T976" s="15"/>
      <c r="U976" s="15"/>
      <c r="V976" s="15"/>
      <c r="W976" s="15"/>
      <c r="X976" s="15"/>
      <c r="Y976" s="15"/>
      <c r="Z976" s="15"/>
    </row>
    <row r="977" spans="1:26" ht="21" customHeight="1" x14ac:dyDescent="0.85">
      <c r="A977" s="15"/>
      <c r="B977" s="15"/>
      <c r="C977" s="15"/>
      <c r="D977" s="15"/>
      <c r="E977" s="15"/>
      <c r="F977" s="15"/>
      <c r="G977" s="15"/>
      <c r="H977" s="15"/>
      <c r="I977" s="15"/>
      <c r="J977" s="15"/>
      <c r="K977" s="15"/>
      <c r="L977" s="15"/>
      <c r="M977" s="15"/>
      <c r="N977" s="15"/>
      <c r="O977" s="15"/>
      <c r="P977" s="15"/>
      <c r="Q977" s="15"/>
      <c r="R977" s="15"/>
      <c r="S977" s="15"/>
      <c r="T977" s="15"/>
      <c r="U977" s="15"/>
      <c r="V977" s="15"/>
      <c r="W977" s="15"/>
      <c r="X977" s="15"/>
      <c r="Y977" s="15"/>
      <c r="Z977" s="15"/>
    </row>
    <row r="978" spans="1:26" ht="21" customHeight="1" x14ac:dyDescent="0.85">
      <c r="A978" s="15"/>
      <c r="B978" s="15"/>
      <c r="C978" s="15"/>
      <c r="D978" s="15"/>
      <c r="E978" s="15"/>
      <c r="F978" s="15"/>
      <c r="G978" s="15"/>
      <c r="H978" s="15"/>
      <c r="I978" s="15"/>
      <c r="J978" s="15"/>
      <c r="K978" s="15"/>
      <c r="L978" s="15"/>
      <c r="M978" s="15"/>
      <c r="N978" s="15"/>
      <c r="O978" s="15"/>
      <c r="P978" s="15"/>
      <c r="Q978" s="15"/>
      <c r="R978" s="15"/>
      <c r="S978" s="15"/>
      <c r="T978" s="15"/>
      <c r="U978" s="15"/>
      <c r="V978" s="15"/>
      <c r="W978" s="15"/>
      <c r="X978" s="15"/>
      <c r="Y978" s="15"/>
      <c r="Z978" s="15"/>
    </row>
    <row r="979" spans="1:26" ht="21" customHeight="1" x14ac:dyDescent="0.85">
      <c r="A979" s="15"/>
      <c r="B979" s="15"/>
      <c r="C979" s="15"/>
      <c r="D979" s="15"/>
      <c r="E979" s="15"/>
      <c r="F979" s="15"/>
      <c r="G979" s="15"/>
      <c r="H979" s="15"/>
      <c r="I979" s="15"/>
      <c r="J979" s="15"/>
      <c r="K979" s="15"/>
      <c r="L979" s="15"/>
      <c r="M979" s="15"/>
      <c r="N979" s="15"/>
      <c r="O979" s="15"/>
      <c r="P979" s="15"/>
      <c r="Q979" s="15"/>
      <c r="R979" s="15"/>
      <c r="S979" s="15"/>
      <c r="T979" s="15"/>
      <c r="U979" s="15"/>
      <c r="V979" s="15"/>
      <c r="W979" s="15"/>
      <c r="X979" s="15"/>
      <c r="Y979" s="15"/>
      <c r="Z979" s="15"/>
    </row>
    <row r="980" spans="1:26" ht="21" customHeight="1" x14ac:dyDescent="0.85">
      <c r="A980" s="15"/>
      <c r="B980" s="15"/>
      <c r="C980" s="15"/>
      <c r="D980" s="15"/>
      <c r="E980" s="15"/>
      <c r="F980" s="15"/>
      <c r="G980" s="15"/>
      <c r="H980" s="15"/>
      <c r="I980" s="15"/>
      <c r="J980" s="15"/>
      <c r="K980" s="15"/>
      <c r="L980" s="15"/>
      <c r="M980" s="15"/>
      <c r="N980" s="15"/>
      <c r="O980" s="15"/>
      <c r="P980" s="15"/>
      <c r="Q980" s="15"/>
      <c r="R980" s="15"/>
      <c r="S980" s="15"/>
      <c r="T980" s="15"/>
      <c r="U980" s="15"/>
      <c r="V980" s="15"/>
      <c r="W980" s="15"/>
      <c r="X980" s="15"/>
      <c r="Y980" s="15"/>
      <c r="Z980" s="15"/>
    </row>
    <row r="981" spans="1:26" ht="21" customHeight="1" x14ac:dyDescent="0.85">
      <c r="A981" s="15"/>
      <c r="B981" s="15"/>
      <c r="C981" s="15"/>
      <c r="D981" s="15"/>
      <c r="E981" s="15"/>
      <c r="F981" s="15"/>
      <c r="G981" s="15"/>
      <c r="H981" s="15"/>
      <c r="I981" s="15"/>
      <c r="J981" s="15"/>
      <c r="K981" s="15"/>
      <c r="L981" s="15"/>
      <c r="M981" s="15"/>
      <c r="N981" s="15"/>
      <c r="O981" s="15"/>
      <c r="P981" s="15"/>
      <c r="Q981" s="15"/>
      <c r="R981" s="15"/>
      <c r="S981" s="15"/>
      <c r="T981" s="15"/>
      <c r="U981" s="15"/>
      <c r="V981" s="15"/>
      <c r="W981" s="15"/>
      <c r="X981" s="15"/>
      <c r="Y981" s="15"/>
      <c r="Z981" s="15"/>
    </row>
    <row r="982" spans="1:26" ht="21" customHeight="1" x14ac:dyDescent="0.85">
      <c r="A982" s="15"/>
      <c r="B982" s="15"/>
      <c r="C982" s="15"/>
      <c r="D982" s="15"/>
      <c r="E982" s="15"/>
      <c r="F982" s="15"/>
      <c r="G982" s="15"/>
      <c r="H982" s="15"/>
      <c r="I982" s="15"/>
      <c r="J982" s="15"/>
      <c r="K982" s="15"/>
      <c r="L982" s="15"/>
      <c r="M982" s="15"/>
      <c r="N982" s="15"/>
      <c r="O982" s="15"/>
      <c r="P982" s="15"/>
      <c r="Q982" s="15"/>
      <c r="R982" s="15"/>
      <c r="S982" s="15"/>
      <c r="T982" s="15"/>
      <c r="U982" s="15"/>
      <c r="V982" s="15"/>
      <c r="W982" s="15"/>
      <c r="X982" s="15"/>
      <c r="Y982" s="15"/>
      <c r="Z982" s="15"/>
    </row>
    <row r="983" spans="1:26" ht="21" customHeight="1" x14ac:dyDescent="0.85">
      <c r="A983" s="15"/>
      <c r="B983" s="15"/>
      <c r="C983" s="15"/>
      <c r="D983" s="15"/>
      <c r="E983" s="15"/>
      <c r="F983" s="15"/>
      <c r="G983" s="15"/>
      <c r="H983" s="15"/>
      <c r="I983" s="15"/>
      <c r="J983" s="15"/>
      <c r="K983" s="15"/>
      <c r="L983" s="15"/>
      <c r="M983" s="15"/>
      <c r="N983" s="15"/>
      <c r="O983" s="15"/>
      <c r="P983" s="15"/>
      <c r="Q983" s="15"/>
      <c r="R983" s="15"/>
      <c r="S983" s="15"/>
      <c r="T983" s="15"/>
      <c r="U983" s="15"/>
      <c r="V983" s="15"/>
      <c r="W983" s="15"/>
      <c r="X983" s="15"/>
      <c r="Y983" s="15"/>
      <c r="Z983" s="15"/>
    </row>
    <row r="984" spans="1:26" ht="21" customHeight="1" x14ac:dyDescent="0.85">
      <c r="A984" s="15"/>
      <c r="B984" s="15"/>
      <c r="C984" s="15"/>
      <c r="D984" s="15"/>
      <c r="E984" s="15"/>
      <c r="F984" s="15"/>
      <c r="G984" s="15"/>
      <c r="H984" s="15"/>
      <c r="I984" s="15"/>
      <c r="J984" s="15"/>
      <c r="K984" s="15"/>
      <c r="L984" s="15"/>
      <c r="M984" s="15"/>
      <c r="N984" s="15"/>
      <c r="O984" s="15"/>
      <c r="P984" s="15"/>
      <c r="Q984" s="15"/>
      <c r="R984" s="15"/>
      <c r="S984" s="15"/>
      <c r="T984" s="15"/>
      <c r="U984" s="15"/>
      <c r="V984" s="15"/>
      <c r="W984" s="15"/>
      <c r="X984" s="15"/>
      <c r="Y984" s="15"/>
      <c r="Z984" s="15"/>
    </row>
    <row r="985" spans="1:26" ht="21" customHeight="1" x14ac:dyDescent="0.85">
      <c r="A985" s="15"/>
      <c r="B985" s="15"/>
      <c r="C985" s="15"/>
      <c r="D985" s="15"/>
      <c r="E985" s="15"/>
      <c r="F985" s="15"/>
      <c r="G985" s="15"/>
      <c r="H985" s="15"/>
      <c r="I985" s="15"/>
      <c r="J985" s="15"/>
      <c r="K985" s="15"/>
      <c r="L985" s="15"/>
      <c r="M985" s="15"/>
      <c r="N985" s="15"/>
      <c r="O985" s="15"/>
      <c r="P985" s="15"/>
      <c r="Q985" s="15"/>
      <c r="R985" s="15"/>
      <c r="S985" s="15"/>
      <c r="T985" s="15"/>
      <c r="U985" s="15"/>
      <c r="V985" s="15"/>
      <c r="W985" s="15"/>
      <c r="X985" s="15"/>
      <c r="Y985" s="15"/>
      <c r="Z985" s="15"/>
    </row>
    <row r="986" spans="1:26" ht="21" customHeight="1" x14ac:dyDescent="0.85">
      <c r="A986" s="15"/>
      <c r="B986" s="15"/>
      <c r="C986" s="15"/>
      <c r="D986" s="15"/>
      <c r="E986" s="15"/>
      <c r="F986" s="15"/>
      <c r="G986" s="15"/>
      <c r="H986" s="15"/>
      <c r="I986" s="15"/>
      <c r="J986" s="15"/>
      <c r="K986" s="15"/>
      <c r="L986" s="15"/>
      <c r="M986" s="15"/>
      <c r="N986" s="15"/>
      <c r="O986" s="15"/>
      <c r="P986" s="15"/>
      <c r="Q986" s="15"/>
      <c r="R986" s="15"/>
      <c r="S986" s="15"/>
      <c r="T986" s="15"/>
      <c r="U986" s="15"/>
      <c r="V986" s="15"/>
      <c r="W986" s="15"/>
      <c r="X986" s="15"/>
      <c r="Y986" s="15"/>
      <c r="Z986" s="15"/>
    </row>
    <row r="987" spans="1:26" ht="21" customHeight="1" x14ac:dyDescent="0.85">
      <c r="A987" s="15"/>
      <c r="B987" s="15"/>
      <c r="C987" s="15"/>
      <c r="D987" s="15"/>
      <c r="E987" s="15"/>
      <c r="F987" s="15"/>
      <c r="G987" s="15"/>
      <c r="H987" s="15"/>
      <c r="I987" s="15"/>
      <c r="J987" s="15"/>
      <c r="K987" s="15"/>
      <c r="L987" s="15"/>
      <c r="M987" s="15"/>
      <c r="N987" s="15"/>
      <c r="O987" s="15"/>
      <c r="P987" s="15"/>
      <c r="Q987" s="15"/>
      <c r="R987" s="15"/>
      <c r="S987" s="15"/>
      <c r="T987" s="15"/>
      <c r="U987" s="15"/>
      <c r="V987" s="15"/>
      <c r="W987" s="15"/>
      <c r="X987" s="15"/>
      <c r="Y987" s="15"/>
      <c r="Z987" s="15"/>
    </row>
    <row r="988" spans="1:26" ht="21" customHeight="1" x14ac:dyDescent="0.85">
      <c r="A988" s="15"/>
      <c r="B988" s="15"/>
      <c r="C988" s="15"/>
      <c r="D988" s="15"/>
      <c r="E988" s="15"/>
      <c r="F988" s="15"/>
      <c r="G988" s="15"/>
      <c r="H988" s="15"/>
      <c r="I988" s="15"/>
      <c r="J988" s="15"/>
      <c r="K988" s="15"/>
      <c r="L988" s="15"/>
      <c r="M988" s="15"/>
      <c r="N988" s="15"/>
      <c r="O988" s="15"/>
      <c r="P988" s="15"/>
      <c r="Q988" s="15"/>
      <c r="R988" s="15"/>
      <c r="S988" s="15"/>
      <c r="T988" s="15"/>
      <c r="U988" s="15"/>
      <c r="V988" s="15"/>
      <c r="W988" s="15"/>
      <c r="X988" s="15"/>
      <c r="Y988" s="15"/>
      <c r="Z988" s="15"/>
    </row>
    <row r="989" spans="1:26" ht="21" customHeight="1" x14ac:dyDescent="0.85">
      <c r="A989" s="15"/>
      <c r="B989" s="15"/>
      <c r="C989" s="15"/>
      <c r="D989" s="15"/>
      <c r="E989" s="15"/>
      <c r="F989" s="15"/>
      <c r="G989" s="15"/>
      <c r="H989" s="15"/>
      <c r="I989" s="15"/>
      <c r="J989" s="15"/>
      <c r="K989" s="15"/>
      <c r="L989" s="15"/>
      <c r="M989" s="15"/>
      <c r="N989" s="15"/>
      <c r="O989" s="15"/>
      <c r="P989" s="15"/>
      <c r="Q989" s="15"/>
      <c r="R989" s="15"/>
      <c r="S989" s="15"/>
      <c r="T989" s="15"/>
      <c r="U989" s="15"/>
      <c r="V989" s="15"/>
      <c r="W989" s="15"/>
      <c r="X989" s="15"/>
      <c r="Y989" s="15"/>
      <c r="Z989" s="15"/>
    </row>
    <row r="990" spans="1:26" ht="21" customHeight="1" x14ac:dyDescent="0.85">
      <c r="A990" s="15"/>
      <c r="B990" s="15"/>
      <c r="C990" s="15"/>
      <c r="D990" s="15"/>
      <c r="E990" s="15"/>
      <c r="F990" s="15"/>
      <c r="G990" s="15"/>
      <c r="H990" s="15"/>
      <c r="I990" s="15"/>
      <c r="J990" s="15"/>
      <c r="K990" s="15"/>
      <c r="L990" s="15"/>
      <c r="M990" s="15"/>
      <c r="N990" s="15"/>
      <c r="O990" s="15"/>
      <c r="P990" s="15"/>
      <c r="Q990" s="15"/>
      <c r="R990" s="15"/>
      <c r="S990" s="15"/>
      <c r="T990" s="15"/>
      <c r="U990" s="15"/>
      <c r="V990" s="15"/>
      <c r="W990" s="15"/>
      <c r="X990" s="15"/>
      <c r="Y990" s="15"/>
      <c r="Z990" s="15"/>
    </row>
    <row r="991" spans="1:26" ht="21" customHeight="1" x14ac:dyDescent="0.85">
      <c r="A991" s="15"/>
      <c r="B991" s="15"/>
      <c r="C991" s="15"/>
      <c r="D991" s="15"/>
      <c r="E991" s="15"/>
      <c r="F991" s="15"/>
      <c r="G991" s="15"/>
      <c r="H991" s="15"/>
      <c r="I991" s="15"/>
      <c r="J991" s="15"/>
      <c r="K991" s="15"/>
      <c r="L991" s="15"/>
      <c r="M991" s="15"/>
      <c r="N991" s="15"/>
      <c r="O991" s="15"/>
      <c r="P991" s="15"/>
      <c r="Q991" s="15"/>
      <c r="R991" s="15"/>
      <c r="S991" s="15"/>
      <c r="T991" s="15"/>
      <c r="U991" s="15"/>
      <c r="V991" s="15"/>
      <c r="W991" s="15"/>
      <c r="X991" s="15"/>
      <c r="Y991" s="15"/>
      <c r="Z991" s="15"/>
    </row>
    <row r="992" spans="1:26" ht="21" customHeight="1" x14ac:dyDescent="0.85">
      <c r="A992" s="15"/>
      <c r="B992" s="15"/>
      <c r="C992" s="15"/>
      <c r="D992" s="15"/>
      <c r="E992" s="15"/>
      <c r="F992" s="15"/>
      <c r="G992" s="15"/>
      <c r="H992" s="15"/>
      <c r="I992" s="15"/>
      <c r="J992" s="15"/>
      <c r="K992" s="15"/>
      <c r="L992" s="15"/>
      <c r="M992" s="15"/>
      <c r="N992" s="15"/>
      <c r="O992" s="15"/>
      <c r="P992" s="15"/>
      <c r="Q992" s="15"/>
      <c r="R992" s="15"/>
      <c r="S992" s="15"/>
      <c r="T992" s="15"/>
      <c r="U992" s="15"/>
      <c r="V992" s="15"/>
      <c r="W992" s="15"/>
      <c r="X992" s="15"/>
      <c r="Y992" s="15"/>
      <c r="Z992" s="15"/>
    </row>
    <row r="993" spans="1:26" ht="21" customHeight="1" x14ac:dyDescent="0.85">
      <c r="A993" s="15"/>
      <c r="B993" s="15"/>
      <c r="C993" s="15"/>
      <c r="D993" s="15"/>
      <c r="E993" s="15"/>
      <c r="F993" s="15"/>
      <c r="G993" s="15"/>
      <c r="H993" s="15"/>
      <c r="I993" s="15"/>
      <c r="J993" s="15"/>
      <c r="K993" s="15"/>
      <c r="L993" s="15"/>
      <c r="M993" s="15"/>
      <c r="N993" s="15"/>
      <c r="O993" s="15"/>
      <c r="P993" s="15"/>
      <c r="Q993" s="15"/>
      <c r="R993" s="15"/>
      <c r="S993" s="15"/>
      <c r="T993" s="15"/>
      <c r="U993" s="15"/>
      <c r="V993" s="15"/>
      <c r="W993" s="15"/>
      <c r="X993" s="15"/>
      <c r="Y993" s="15"/>
      <c r="Z993" s="15"/>
    </row>
    <row r="994" spans="1:26" ht="21" customHeight="1" x14ac:dyDescent="0.85">
      <c r="A994" s="15"/>
      <c r="B994" s="15"/>
      <c r="C994" s="15"/>
      <c r="D994" s="15"/>
      <c r="E994" s="15"/>
      <c r="F994" s="15"/>
      <c r="G994" s="15"/>
      <c r="H994" s="15"/>
      <c r="I994" s="15"/>
      <c r="J994" s="15"/>
      <c r="K994" s="15"/>
      <c r="L994" s="15"/>
      <c r="M994" s="15"/>
      <c r="N994" s="15"/>
      <c r="O994" s="15"/>
      <c r="P994" s="15"/>
      <c r="Q994" s="15"/>
      <c r="R994" s="15"/>
      <c r="S994" s="15"/>
      <c r="T994" s="15"/>
      <c r="U994" s="15"/>
      <c r="V994" s="15"/>
      <c r="W994" s="15"/>
      <c r="X994" s="15"/>
      <c r="Y994" s="15"/>
      <c r="Z994" s="15"/>
    </row>
    <row r="995" spans="1:26" ht="21" customHeight="1" x14ac:dyDescent="0.85">
      <c r="A995" s="15"/>
      <c r="B995" s="15"/>
      <c r="C995" s="15"/>
      <c r="D995" s="15"/>
      <c r="E995" s="15"/>
      <c r="F995" s="15"/>
      <c r="G995" s="15"/>
      <c r="H995" s="15"/>
      <c r="I995" s="15"/>
      <c r="J995" s="15"/>
      <c r="K995" s="15"/>
      <c r="L995" s="15"/>
      <c r="M995" s="15"/>
      <c r="N995" s="15"/>
      <c r="O995" s="15"/>
      <c r="P995" s="15"/>
      <c r="Q995" s="15"/>
      <c r="R995" s="15"/>
      <c r="S995" s="15"/>
      <c r="T995" s="15"/>
      <c r="U995" s="15"/>
      <c r="V995" s="15"/>
      <c r="W995" s="15"/>
      <c r="X995" s="15"/>
      <c r="Y995" s="15"/>
      <c r="Z995" s="15"/>
    </row>
    <row r="996" spans="1:26" ht="21" customHeight="1" x14ac:dyDescent="0.85">
      <c r="A996" s="15"/>
      <c r="B996" s="15"/>
      <c r="C996" s="15"/>
      <c r="D996" s="15"/>
      <c r="E996" s="15"/>
      <c r="F996" s="15"/>
      <c r="G996" s="15"/>
      <c r="H996" s="15"/>
      <c r="I996" s="15"/>
      <c r="J996" s="15"/>
      <c r="K996" s="15"/>
      <c r="L996" s="15"/>
      <c r="M996" s="15"/>
      <c r="N996" s="15"/>
      <c r="O996" s="15"/>
      <c r="P996" s="15"/>
      <c r="Q996" s="15"/>
      <c r="R996" s="15"/>
      <c r="S996" s="15"/>
      <c r="T996" s="15"/>
      <c r="U996" s="15"/>
      <c r="V996" s="15"/>
      <c r="W996" s="15"/>
      <c r="X996" s="15"/>
      <c r="Y996" s="15"/>
      <c r="Z996" s="15"/>
    </row>
    <row r="997" spans="1:26" ht="21" customHeight="1" x14ac:dyDescent="0.85">
      <c r="A997" s="15"/>
      <c r="B997" s="15"/>
      <c r="C997" s="15"/>
      <c r="D997" s="15"/>
      <c r="E997" s="15"/>
      <c r="F997" s="15"/>
      <c r="G997" s="15"/>
      <c r="H997" s="15"/>
      <c r="I997" s="15"/>
      <c r="J997" s="15"/>
      <c r="K997" s="15"/>
      <c r="L997" s="15"/>
      <c r="M997" s="15"/>
      <c r="N997" s="15"/>
      <c r="O997" s="15"/>
      <c r="P997" s="15"/>
      <c r="Q997" s="15"/>
      <c r="R997" s="15"/>
      <c r="S997" s="15"/>
      <c r="T997" s="15"/>
      <c r="U997" s="15"/>
      <c r="V997" s="15"/>
      <c r="W997" s="15"/>
      <c r="X997" s="15"/>
      <c r="Y997" s="15"/>
      <c r="Z997" s="15"/>
    </row>
    <row r="998" spans="1:26" ht="21" customHeight="1" x14ac:dyDescent="0.85">
      <c r="A998" s="15"/>
      <c r="B998" s="15"/>
      <c r="C998" s="15"/>
      <c r="D998" s="15"/>
      <c r="E998" s="15"/>
      <c r="F998" s="15"/>
      <c r="G998" s="15"/>
      <c r="H998" s="15"/>
      <c r="I998" s="15"/>
      <c r="J998" s="15"/>
      <c r="K998" s="15"/>
      <c r="L998" s="15"/>
      <c r="M998" s="15"/>
      <c r="N998" s="15"/>
      <c r="O998" s="15"/>
      <c r="P998" s="15"/>
      <c r="Q998" s="15"/>
      <c r="R998" s="15"/>
      <c r="S998" s="15"/>
      <c r="T998" s="15"/>
      <c r="U998" s="15"/>
      <c r="V998" s="15"/>
      <c r="W998" s="15"/>
      <c r="X998" s="15"/>
      <c r="Y998" s="15"/>
      <c r="Z998" s="15"/>
    </row>
    <row r="999" spans="1:26" ht="21" customHeight="1" x14ac:dyDescent="0.85">
      <c r="A999" s="15"/>
      <c r="B999" s="15"/>
      <c r="C999" s="15"/>
      <c r="D999" s="15"/>
      <c r="E999" s="15"/>
      <c r="F999" s="15"/>
      <c r="G999" s="15"/>
      <c r="H999" s="15"/>
      <c r="I999" s="15"/>
      <c r="J999" s="15"/>
      <c r="K999" s="15"/>
      <c r="L999" s="15"/>
      <c r="M999" s="15"/>
      <c r="N999" s="15"/>
      <c r="O999" s="15"/>
      <c r="P999" s="15"/>
      <c r="Q999" s="15"/>
      <c r="R999" s="15"/>
      <c r="S999" s="15"/>
      <c r="T999" s="15"/>
      <c r="U999" s="15"/>
      <c r="V999" s="15"/>
      <c r="W999" s="15"/>
      <c r="X999" s="15"/>
      <c r="Y999" s="15"/>
      <c r="Z999" s="15"/>
    </row>
    <row r="1000" spans="1:26" ht="21" customHeight="1" x14ac:dyDescent="0.85">
      <c r="A1000" s="15"/>
      <c r="B1000" s="15"/>
      <c r="C1000" s="15"/>
      <c r="D1000" s="15"/>
      <c r="E1000" s="15"/>
      <c r="F1000" s="15"/>
      <c r="G1000" s="15"/>
      <c r="H1000" s="15"/>
      <c r="I1000" s="15"/>
      <c r="J1000" s="15"/>
      <c r="K1000" s="15"/>
      <c r="L1000" s="15"/>
      <c r="M1000" s="15"/>
      <c r="N1000" s="15"/>
      <c r="O1000" s="15"/>
      <c r="P1000" s="15"/>
      <c r="Q1000" s="15"/>
      <c r="R1000" s="15"/>
      <c r="S1000" s="15"/>
      <c r="T1000" s="15"/>
      <c r="U1000" s="15"/>
      <c r="V1000" s="15"/>
      <c r="W1000" s="15"/>
      <c r="X1000" s="15"/>
      <c r="Y1000" s="15"/>
      <c r="Z1000" s="15"/>
    </row>
  </sheetData>
  <mergeCells count="147">
    <mergeCell ref="A1:M1"/>
    <mergeCell ref="A2:M2"/>
    <mergeCell ref="A3:A4"/>
    <mergeCell ref="B3:F3"/>
    <mergeCell ref="A7:M7"/>
    <mergeCell ref="A8:H8"/>
    <mergeCell ref="A9:H9"/>
    <mergeCell ref="A10:H10"/>
    <mergeCell ref="A11:H11"/>
    <mergeCell ref="A12:H12"/>
    <mergeCell ref="A13:H13"/>
    <mergeCell ref="A14:H14"/>
    <mergeCell ref="A15:H15"/>
    <mergeCell ref="A16:H16"/>
    <mergeCell ref="A17:H17"/>
    <mergeCell ref="A18:H18"/>
    <mergeCell ref="A19:H19"/>
    <mergeCell ref="A20:H20"/>
    <mergeCell ref="A21:M21"/>
    <mergeCell ref="A22:H22"/>
    <mergeCell ref="A23:H23"/>
    <mergeCell ref="F24:H24"/>
    <mergeCell ref="F25:H25"/>
    <mergeCell ref="A26:H26"/>
    <mergeCell ref="A27:H27"/>
    <mergeCell ref="F28:H28"/>
    <mergeCell ref="F29:H29"/>
    <mergeCell ref="A30:H30"/>
    <mergeCell ref="F31:H31"/>
    <mergeCell ref="F32:H32"/>
    <mergeCell ref="A33:H33"/>
    <mergeCell ref="F34:H34"/>
    <mergeCell ref="F35:H35"/>
    <mergeCell ref="A36:H36"/>
    <mergeCell ref="F37:H37"/>
    <mergeCell ref="F38:H38"/>
    <mergeCell ref="A39:H39"/>
    <mergeCell ref="F40:H40"/>
    <mergeCell ref="F41:H41"/>
    <mergeCell ref="A42:I42"/>
    <mergeCell ref="A43:I43"/>
    <mergeCell ref="H44:I44"/>
    <mergeCell ref="H45:I49"/>
    <mergeCell ref="J45:N50"/>
    <mergeCell ref="A50:I50"/>
    <mergeCell ref="H51:I51"/>
    <mergeCell ref="J51:N56"/>
    <mergeCell ref="H52:I56"/>
    <mergeCell ref="A57:I57"/>
    <mergeCell ref="A96:K96"/>
    <mergeCell ref="A97:K97"/>
    <mergeCell ref="F98:K98"/>
    <mergeCell ref="A101:J101"/>
    <mergeCell ref="E102:J102"/>
    <mergeCell ref="B102:B103"/>
    <mergeCell ref="C102:C103"/>
    <mergeCell ref="H58:I58"/>
    <mergeCell ref="H59:I59"/>
    <mergeCell ref="A60:H60"/>
    <mergeCell ref="F61:H61"/>
    <mergeCell ref="F62:H62"/>
    <mergeCell ref="A63:I63"/>
    <mergeCell ref="H64:I64"/>
    <mergeCell ref="H65:I66"/>
    <mergeCell ref="A67:I67"/>
    <mergeCell ref="C68:E68"/>
    <mergeCell ref="C69:E69"/>
    <mergeCell ref="A70:M70"/>
    <mergeCell ref="A71:M71"/>
    <mergeCell ref="A105:G105"/>
    <mergeCell ref="B106:B107"/>
    <mergeCell ref="C106:G106"/>
    <mergeCell ref="A109:J109"/>
    <mergeCell ref="A110:J110"/>
    <mergeCell ref="A106:A107"/>
    <mergeCell ref="B111:B112"/>
    <mergeCell ref="C111:C112"/>
    <mergeCell ref="D111:D112"/>
    <mergeCell ref="E111:E112"/>
    <mergeCell ref="F111:J111"/>
    <mergeCell ref="B129:G129"/>
    <mergeCell ref="A114:J114"/>
    <mergeCell ref="F115:J115"/>
    <mergeCell ref="A111:A112"/>
    <mergeCell ref="B115:B116"/>
    <mergeCell ref="C115:C116"/>
    <mergeCell ref="D115:D116"/>
    <mergeCell ref="E115:E116"/>
    <mergeCell ref="A119:G119"/>
    <mergeCell ref="A120:G120"/>
    <mergeCell ref="A115:A116"/>
    <mergeCell ref="A161:E161"/>
    <mergeCell ref="A162:E162"/>
    <mergeCell ref="A133:A134"/>
    <mergeCell ref="A138:A139"/>
    <mergeCell ref="B138:G138"/>
    <mergeCell ref="A141:G141"/>
    <mergeCell ref="A142:A143"/>
    <mergeCell ref="B142:G142"/>
    <mergeCell ref="A151:G151"/>
    <mergeCell ref="A72:G72"/>
    <mergeCell ref="A73:A74"/>
    <mergeCell ref="B73:B74"/>
    <mergeCell ref="C73:G73"/>
    <mergeCell ref="A76:H76"/>
    <mergeCell ref="B77:B78"/>
    <mergeCell ref="C77:C78"/>
    <mergeCell ref="D77:H77"/>
    <mergeCell ref="A82:G82"/>
    <mergeCell ref="C83:G83"/>
    <mergeCell ref="A86:G86"/>
    <mergeCell ref="C87:G87"/>
    <mergeCell ref="A90:H90"/>
    <mergeCell ref="C91:C92"/>
    <mergeCell ref="D91:H91"/>
    <mergeCell ref="A77:A78"/>
    <mergeCell ref="A79:A81"/>
    <mergeCell ref="A83:A84"/>
    <mergeCell ref="B83:B84"/>
    <mergeCell ref="A87:A88"/>
    <mergeCell ref="B87:B88"/>
    <mergeCell ref="B91:B92"/>
    <mergeCell ref="A91:A92"/>
    <mergeCell ref="A98:A99"/>
    <mergeCell ref="B98:B99"/>
    <mergeCell ref="C98:C99"/>
    <mergeCell ref="D98:D99"/>
    <mergeCell ref="E98:E99"/>
    <mergeCell ref="A102:A103"/>
    <mergeCell ref="D102:D103"/>
    <mergeCell ref="A146:A147"/>
    <mergeCell ref="A152:A153"/>
    <mergeCell ref="B152:G152"/>
    <mergeCell ref="A132:F132"/>
    <mergeCell ref="A136:K136"/>
    <mergeCell ref="A137:G137"/>
    <mergeCell ref="A145:G145"/>
    <mergeCell ref="B146:G146"/>
    <mergeCell ref="A121:A122"/>
    <mergeCell ref="B121:G121"/>
    <mergeCell ref="A124:I124"/>
    <mergeCell ref="A125:A126"/>
    <mergeCell ref="B125:B126"/>
    <mergeCell ref="D125:I125"/>
    <mergeCell ref="C125:C126"/>
    <mergeCell ref="A128:G128"/>
    <mergeCell ref="A129:A130"/>
  </mergeCells>
  <hyperlinks>
    <hyperlink ref="C69" r:id="rId1" xr:uid="{00000000-0004-0000-0300-000000000000}"/>
  </hyperlinks>
  <pageMargins left="0.7" right="0.7" top="0.75" bottom="0.75" header="0" footer="0"/>
  <pageSetup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574B"/>
  </sheetPr>
  <dimension ref="A1:Z1000"/>
  <sheetViews>
    <sheetView zoomScale="70" zoomScaleNormal="70" workbookViewId="0">
      <selection activeCell="B13" sqref="B13"/>
    </sheetView>
  </sheetViews>
  <sheetFormatPr defaultColWidth="11.23046875" defaultRowHeight="15" customHeight="1" x14ac:dyDescent="0.85"/>
  <cols>
    <col min="1" max="1" width="42.23046875" customWidth="1"/>
    <col min="2" max="2" width="17.3828125" customWidth="1"/>
    <col min="3" max="3" width="18.07421875" customWidth="1"/>
    <col min="4" max="4" width="29.61328125" customWidth="1"/>
    <col min="5" max="8" width="17.3828125" customWidth="1"/>
    <col min="9" max="9" width="24.765625" customWidth="1"/>
    <col min="10" max="10" width="21" customWidth="1"/>
    <col min="11" max="13" width="17.3828125" customWidth="1"/>
    <col min="14" max="26" width="11" customWidth="1"/>
  </cols>
  <sheetData>
    <row r="1" spans="1:26" ht="22.5" customHeight="1" x14ac:dyDescent="0.85">
      <c r="A1" s="847" t="s">
        <v>105</v>
      </c>
      <c r="B1" s="765"/>
      <c r="C1" s="765"/>
      <c r="D1" s="765"/>
      <c r="E1" s="765"/>
      <c r="F1" s="765"/>
      <c r="G1" s="765"/>
      <c r="H1" s="765"/>
      <c r="I1" s="765"/>
      <c r="J1" s="765"/>
      <c r="K1" s="765"/>
      <c r="L1" s="765"/>
      <c r="M1" s="762"/>
      <c r="N1" s="3"/>
      <c r="O1" s="3"/>
      <c r="P1" s="3"/>
      <c r="Q1" s="3"/>
      <c r="R1" s="3"/>
      <c r="S1" s="3"/>
      <c r="T1" s="3"/>
      <c r="U1" s="3"/>
      <c r="V1" s="3"/>
      <c r="W1" s="3"/>
      <c r="X1" s="3"/>
      <c r="Y1" s="3"/>
      <c r="Z1" s="3"/>
    </row>
    <row r="2" spans="1:26" ht="22.5" customHeight="1" x14ac:dyDescent="0.85">
      <c r="A2" s="848" t="s">
        <v>361</v>
      </c>
      <c r="B2" s="765"/>
      <c r="C2" s="765"/>
      <c r="D2" s="765"/>
      <c r="E2" s="765"/>
      <c r="F2" s="765"/>
      <c r="G2" s="765"/>
      <c r="H2" s="765"/>
      <c r="I2" s="765"/>
      <c r="J2" s="765"/>
      <c r="K2" s="765"/>
      <c r="L2" s="765"/>
      <c r="M2" s="762"/>
      <c r="N2" s="3"/>
      <c r="O2" s="3"/>
      <c r="P2" s="3"/>
      <c r="Q2" s="3"/>
      <c r="R2" s="3"/>
      <c r="S2" s="3"/>
      <c r="T2" s="3"/>
      <c r="U2" s="3"/>
      <c r="V2" s="3"/>
      <c r="W2" s="3"/>
      <c r="X2" s="3"/>
      <c r="Y2" s="3"/>
      <c r="Z2" s="3"/>
    </row>
    <row r="3" spans="1:26" ht="22.5" customHeight="1" x14ac:dyDescent="0.85">
      <c r="A3" s="130" t="s">
        <v>361</v>
      </c>
      <c r="B3" s="130" t="s">
        <v>251</v>
      </c>
      <c r="C3" s="130" t="s">
        <v>362</v>
      </c>
      <c r="D3" s="849" t="s">
        <v>138</v>
      </c>
      <c r="E3" s="765"/>
      <c r="F3" s="765"/>
      <c r="G3" s="765"/>
      <c r="H3" s="765"/>
      <c r="I3" s="765"/>
      <c r="J3" s="765"/>
      <c r="K3" s="765"/>
      <c r="L3" s="765"/>
      <c r="M3" s="762"/>
      <c r="N3" s="3"/>
      <c r="O3" s="3"/>
      <c r="P3" s="3"/>
      <c r="Q3" s="3"/>
      <c r="R3" s="3"/>
      <c r="S3" s="3"/>
      <c r="T3" s="3"/>
      <c r="U3" s="3"/>
      <c r="V3" s="3"/>
      <c r="W3" s="3"/>
      <c r="X3" s="3"/>
      <c r="Y3" s="3"/>
      <c r="Z3" s="3"/>
    </row>
    <row r="4" spans="1:26" ht="22.5" customHeight="1" x14ac:dyDescent="0.85">
      <c r="A4" s="131" t="s">
        <v>363</v>
      </c>
      <c r="B4" s="132">
        <v>187.27</v>
      </c>
      <c r="C4" s="133" t="s">
        <v>364</v>
      </c>
      <c r="D4" s="844" t="s">
        <v>365</v>
      </c>
      <c r="E4" s="765"/>
      <c r="F4" s="765"/>
      <c r="G4" s="765"/>
      <c r="H4" s="765"/>
      <c r="I4" s="765"/>
      <c r="J4" s="765"/>
      <c r="K4" s="765"/>
      <c r="L4" s="765"/>
      <c r="M4" s="762"/>
      <c r="N4" s="15"/>
      <c r="O4" s="15"/>
      <c r="P4" s="15"/>
      <c r="Q4" s="15"/>
      <c r="R4" s="15"/>
      <c r="S4" s="15"/>
      <c r="T4" s="15"/>
      <c r="U4" s="15"/>
      <c r="V4" s="15"/>
      <c r="W4" s="15"/>
      <c r="X4" s="15"/>
      <c r="Y4" s="15"/>
      <c r="Z4" s="15"/>
    </row>
    <row r="5" spans="1:26" ht="22.5" customHeight="1" x14ac:dyDescent="0.85">
      <c r="A5" s="131" t="s">
        <v>366</v>
      </c>
      <c r="B5" s="134">
        <v>561006</v>
      </c>
      <c r="C5" s="133" t="s">
        <v>367</v>
      </c>
      <c r="D5" s="844" t="s">
        <v>368</v>
      </c>
      <c r="E5" s="765"/>
      <c r="F5" s="765"/>
      <c r="G5" s="765"/>
      <c r="H5" s="765"/>
      <c r="I5" s="765"/>
      <c r="J5" s="765"/>
      <c r="K5" s="765"/>
      <c r="L5" s="765"/>
      <c r="M5" s="762"/>
      <c r="N5" s="15"/>
      <c r="O5" s="15"/>
      <c r="P5" s="15"/>
      <c r="Q5" s="15"/>
      <c r="R5" s="15"/>
      <c r="S5" s="15"/>
      <c r="T5" s="15"/>
      <c r="U5" s="15"/>
      <c r="V5" s="15"/>
      <c r="W5" s="15"/>
      <c r="X5" s="15"/>
      <c r="Y5" s="15"/>
      <c r="Z5" s="15"/>
    </row>
    <row r="6" spans="1:26" ht="22.5" customHeight="1" x14ac:dyDescent="0.85">
      <c r="A6" s="131" t="s">
        <v>369</v>
      </c>
      <c r="B6" s="135">
        <f>B14*'Bernalillo County Data'!B6</f>
        <v>41685222864.37149</v>
      </c>
      <c r="C6" s="133" t="s">
        <v>370</v>
      </c>
      <c r="D6" s="844" t="s">
        <v>371</v>
      </c>
      <c r="E6" s="765"/>
      <c r="F6" s="765"/>
      <c r="G6" s="765"/>
      <c r="H6" s="765"/>
      <c r="I6" s="765"/>
      <c r="J6" s="765"/>
      <c r="K6" s="765"/>
      <c r="L6" s="765"/>
      <c r="M6" s="762"/>
      <c r="N6" s="15"/>
      <c r="O6" s="15"/>
      <c r="P6" s="15"/>
      <c r="Q6" s="15"/>
      <c r="R6" s="15"/>
      <c r="S6" s="15"/>
      <c r="T6" s="15"/>
      <c r="U6" s="15"/>
      <c r="V6" s="15"/>
      <c r="W6" s="15"/>
      <c r="X6" s="15"/>
      <c r="Y6" s="15"/>
      <c r="Z6" s="15"/>
    </row>
    <row r="7" spans="1:26" ht="22.5" customHeight="1" x14ac:dyDescent="0.85">
      <c r="A7" s="131" t="s">
        <v>372</v>
      </c>
      <c r="B7" s="134">
        <v>258335</v>
      </c>
      <c r="C7" s="133" t="s">
        <v>373</v>
      </c>
      <c r="D7" s="844" t="s">
        <v>374</v>
      </c>
      <c r="E7" s="765"/>
      <c r="F7" s="765"/>
      <c r="G7" s="765"/>
      <c r="H7" s="765"/>
      <c r="I7" s="765"/>
      <c r="J7" s="765"/>
      <c r="K7" s="765"/>
      <c r="L7" s="765"/>
      <c r="M7" s="762"/>
      <c r="N7" s="15"/>
      <c r="O7" s="15"/>
      <c r="P7" s="15"/>
      <c r="Q7" s="15"/>
      <c r="R7" s="15"/>
      <c r="S7" s="15"/>
      <c r="T7" s="15"/>
      <c r="U7" s="15"/>
      <c r="V7" s="15"/>
      <c r="W7" s="15"/>
      <c r="X7" s="15"/>
      <c r="Y7" s="15"/>
      <c r="Z7" s="15"/>
    </row>
    <row r="8" spans="1:26" ht="22.5" customHeight="1" x14ac:dyDescent="0.85">
      <c r="A8" s="131" t="s">
        <v>375</v>
      </c>
      <c r="B8" s="136">
        <v>243680</v>
      </c>
      <c r="C8" s="133" t="s">
        <v>373</v>
      </c>
      <c r="D8" s="844" t="s">
        <v>376</v>
      </c>
      <c r="E8" s="765"/>
      <c r="F8" s="765"/>
      <c r="G8" s="765"/>
      <c r="H8" s="765"/>
      <c r="I8" s="765"/>
      <c r="J8" s="765"/>
      <c r="K8" s="765"/>
      <c r="L8" s="765"/>
      <c r="M8" s="762"/>
      <c r="N8" s="15"/>
      <c r="O8" s="15"/>
      <c r="P8" s="15"/>
      <c r="Q8" s="15"/>
      <c r="R8" s="15"/>
      <c r="S8" s="15"/>
      <c r="T8" s="15"/>
      <c r="U8" s="15"/>
      <c r="V8" s="15"/>
      <c r="W8" s="15"/>
      <c r="X8" s="15"/>
      <c r="Y8" s="15"/>
      <c r="Z8" s="15"/>
    </row>
    <row r="9" spans="1:26" ht="22.5" customHeight="1" x14ac:dyDescent="0.85">
      <c r="A9" s="131" t="s">
        <v>377</v>
      </c>
      <c r="B9" s="136">
        <f>14061000*'Conversion Factors and GWP'!$A$27</f>
        <v>151351197.90000001</v>
      </c>
      <c r="C9" s="133" t="s">
        <v>378</v>
      </c>
      <c r="D9" s="844" t="s">
        <v>379</v>
      </c>
      <c r="E9" s="765"/>
      <c r="F9" s="765"/>
      <c r="G9" s="765"/>
      <c r="H9" s="765"/>
      <c r="I9" s="765"/>
      <c r="J9" s="765"/>
      <c r="K9" s="765"/>
      <c r="L9" s="765"/>
      <c r="M9" s="762"/>
      <c r="N9" s="15"/>
      <c r="O9" s="15"/>
      <c r="P9" s="15"/>
      <c r="Q9" s="15"/>
      <c r="R9" s="15"/>
      <c r="S9" s="15"/>
      <c r="T9" s="15"/>
      <c r="U9" s="15"/>
      <c r="V9" s="15"/>
      <c r="W9" s="15"/>
      <c r="X9" s="15"/>
      <c r="Y9" s="15"/>
      <c r="Z9" s="15"/>
    </row>
    <row r="10" spans="1:26" ht="22.5" customHeight="1" x14ac:dyDescent="0.85">
      <c r="A10" s="131" t="s">
        <v>380</v>
      </c>
      <c r="B10" s="136">
        <f>50517000*'Conversion Factors and GWP'!$A$27</f>
        <v>543759936.29999995</v>
      </c>
      <c r="C10" s="133" t="s">
        <v>378</v>
      </c>
      <c r="D10" s="844" t="s">
        <v>381</v>
      </c>
      <c r="E10" s="765"/>
      <c r="F10" s="765"/>
      <c r="G10" s="765"/>
      <c r="H10" s="765"/>
      <c r="I10" s="765"/>
      <c r="J10" s="765"/>
      <c r="K10" s="765"/>
      <c r="L10" s="765"/>
      <c r="M10" s="762"/>
      <c r="N10" s="15"/>
      <c r="O10" s="15"/>
      <c r="P10" s="15"/>
      <c r="Q10" s="15"/>
      <c r="R10" s="15"/>
      <c r="S10" s="15"/>
      <c r="T10" s="15"/>
      <c r="U10" s="15"/>
      <c r="V10" s="15"/>
      <c r="W10" s="15"/>
      <c r="X10" s="15"/>
      <c r="Y10" s="15"/>
      <c r="Z10" s="15"/>
    </row>
    <row r="11" spans="1:26" ht="22.5" customHeight="1" x14ac:dyDescent="0.85">
      <c r="A11" s="131" t="s">
        <v>382</v>
      </c>
      <c r="B11" s="136">
        <v>284206</v>
      </c>
      <c r="C11" s="133" t="s">
        <v>383</v>
      </c>
      <c r="D11" s="844" t="s">
        <v>384</v>
      </c>
      <c r="E11" s="765"/>
      <c r="F11" s="765"/>
      <c r="G11" s="765"/>
      <c r="H11" s="765"/>
      <c r="I11" s="765"/>
      <c r="J11" s="765"/>
      <c r="K11" s="765"/>
      <c r="L11" s="765"/>
      <c r="M11" s="762"/>
      <c r="N11" s="15"/>
      <c r="O11" s="15"/>
      <c r="P11" s="15"/>
      <c r="Q11" s="15"/>
      <c r="R11" s="15"/>
      <c r="S11" s="15"/>
      <c r="T11" s="15"/>
      <c r="U11" s="15"/>
      <c r="V11" s="15"/>
      <c r="W11" s="15"/>
      <c r="X11" s="15"/>
      <c r="Y11" s="15"/>
      <c r="Z11" s="15"/>
    </row>
    <row r="12" spans="1:26" ht="22.5" customHeight="1" x14ac:dyDescent="0.85">
      <c r="A12" s="131" t="s">
        <v>385</v>
      </c>
      <c r="B12" s="136">
        <v>2784</v>
      </c>
      <c r="C12" s="133" t="s">
        <v>386</v>
      </c>
      <c r="D12" s="845" t="s">
        <v>387</v>
      </c>
      <c r="E12" s="828"/>
      <c r="F12" s="828"/>
      <c r="G12" s="828"/>
      <c r="H12" s="828"/>
      <c r="I12" s="828"/>
      <c r="J12" s="828"/>
      <c r="K12" s="828"/>
      <c r="L12" s="828"/>
      <c r="M12" s="825"/>
      <c r="N12" s="15"/>
      <c r="O12" s="15"/>
      <c r="P12" s="15"/>
      <c r="Q12" s="15"/>
      <c r="R12" s="15"/>
      <c r="S12" s="15"/>
      <c r="T12" s="15"/>
      <c r="U12" s="15"/>
      <c r="V12" s="15"/>
      <c r="W12" s="15"/>
      <c r="X12" s="15"/>
      <c r="Y12" s="15"/>
      <c r="Z12" s="15"/>
    </row>
    <row r="13" spans="1:26" ht="22.5" customHeight="1" x14ac:dyDescent="0.85">
      <c r="A13" s="137" t="s">
        <v>388</v>
      </c>
      <c r="B13" s="138">
        <v>2741</v>
      </c>
      <c r="C13" s="139" t="s">
        <v>389</v>
      </c>
      <c r="D13" s="810"/>
      <c r="E13" s="830"/>
      <c r="F13" s="830"/>
      <c r="G13" s="830"/>
      <c r="H13" s="830"/>
      <c r="I13" s="830"/>
      <c r="J13" s="830"/>
      <c r="K13" s="830"/>
      <c r="L13" s="830"/>
      <c r="M13" s="767"/>
      <c r="N13" s="15"/>
      <c r="O13" s="15"/>
      <c r="P13" s="15"/>
      <c r="Q13" s="15"/>
      <c r="R13" s="15"/>
      <c r="S13" s="15"/>
      <c r="T13" s="15"/>
      <c r="U13" s="15"/>
      <c r="V13" s="15"/>
      <c r="W13" s="15"/>
      <c r="X13" s="15"/>
      <c r="Y13" s="15"/>
      <c r="Z13" s="15"/>
    </row>
    <row r="14" spans="1:26" ht="22.5" customHeight="1" x14ac:dyDescent="0.85">
      <c r="A14" s="140" t="s">
        <v>390</v>
      </c>
      <c r="B14" s="141">
        <f>B5/'Bernalillo County Data'!B5</f>
        <v>0.8341997418618069</v>
      </c>
      <c r="C14" s="133" t="s">
        <v>391</v>
      </c>
      <c r="D14" s="844"/>
      <c r="E14" s="765"/>
      <c r="F14" s="765"/>
      <c r="G14" s="765"/>
      <c r="H14" s="765"/>
      <c r="I14" s="765"/>
      <c r="J14" s="765"/>
      <c r="K14" s="765"/>
      <c r="L14" s="765"/>
      <c r="M14" s="762"/>
      <c r="N14" s="15"/>
      <c r="O14" s="15"/>
      <c r="P14" s="15"/>
      <c r="Q14" s="15"/>
      <c r="R14" s="15"/>
      <c r="S14" s="15"/>
      <c r="T14" s="15"/>
      <c r="U14" s="15"/>
      <c r="V14" s="15"/>
      <c r="W14" s="15"/>
      <c r="X14" s="15"/>
      <c r="Y14" s="15"/>
      <c r="Z14" s="15"/>
    </row>
    <row r="15" spans="1:26" ht="22.5" customHeight="1" x14ac:dyDescent="0.85">
      <c r="A15" s="140" t="s">
        <v>392</v>
      </c>
      <c r="B15" s="141">
        <f>B5/'Albuquerque MSA Data'!B5</f>
        <v>0.61025876435343718</v>
      </c>
      <c r="C15" s="133" t="s">
        <v>391</v>
      </c>
      <c r="D15" s="844"/>
      <c r="E15" s="765"/>
      <c r="F15" s="765"/>
      <c r="G15" s="765"/>
      <c r="H15" s="765"/>
      <c r="I15" s="765"/>
      <c r="J15" s="765"/>
      <c r="K15" s="765"/>
      <c r="L15" s="765"/>
      <c r="M15" s="762"/>
      <c r="N15" s="15"/>
      <c r="O15" s="15"/>
      <c r="P15" s="15"/>
      <c r="Q15" s="15"/>
      <c r="R15" s="15"/>
      <c r="S15" s="15"/>
      <c r="T15" s="15"/>
      <c r="U15" s="15"/>
      <c r="V15" s="15"/>
      <c r="W15" s="15"/>
      <c r="X15" s="15"/>
      <c r="Y15" s="15"/>
      <c r="Z15" s="15"/>
    </row>
    <row r="16" spans="1:26" ht="22.5" customHeight="1" x14ac:dyDescent="0.85">
      <c r="A16" s="142"/>
      <c r="B16" s="76"/>
      <c r="C16" s="76"/>
      <c r="D16" s="143"/>
      <c r="E16" s="143"/>
      <c r="F16" s="143"/>
      <c r="G16" s="143"/>
      <c r="H16" s="143"/>
      <c r="I16" s="143"/>
      <c r="J16" s="143"/>
      <c r="K16" s="15"/>
      <c r="L16" s="15"/>
      <c r="M16" s="15"/>
      <c r="N16" s="15"/>
      <c r="O16" s="15"/>
      <c r="P16" s="15"/>
      <c r="Q16" s="15"/>
      <c r="R16" s="15"/>
      <c r="S16" s="15"/>
      <c r="T16" s="15"/>
      <c r="U16" s="15"/>
      <c r="V16" s="15"/>
      <c r="W16" s="15"/>
      <c r="X16" s="15"/>
      <c r="Y16" s="15"/>
      <c r="Z16" s="15"/>
    </row>
    <row r="17" spans="1:26" ht="22.5" customHeight="1" x14ac:dyDescent="0.85">
      <c r="A17" s="144" t="s">
        <v>393</v>
      </c>
      <c r="B17" s="145"/>
      <c r="C17" s="145"/>
      <c r="D17" s="145"/>
      <c r="E17" s="145"/>
      <c r="F17" s="145"/>
      <c r="G17" s="145"/>
      <c r="H17" s="145"/>
      <c r="I17" s="145"/>
      <c r="J17" s="145"/>
      <c r="K17" s="145"/>
      <c r="L17" s="146"/>
      <c r="M17" s="147"/>
      <c r="N17" s="3"/>
      <c r="O17" s="3"/>
      <c r="P17" s="3"/>
      <c r="Q17" s="3"/>
      <c r="R17" s="3"/>
      <c r="S17" s="3"/>
      <c r="T17" s="3"/>
      <c r="U17" s="3"/>
      <c r="V17" s="3"/>
      <c r="W17" s="3"/>
      <c r="X17" s="3"/>
      <c r="Y17" s="3"/>
      <c r="Z17" s="3"/>
    </row>
    <row r="18" spans="1:26" ht="22.5" customHeight="1" x14ac:dyDescent="0.85">
      <c r="A18" s="846" t="s">
        <v>137</v>
      </c>
      <c r="B18" s="813"/>
      <c r="C18" s="814"/>
      <c r="D18" s="846" t="s">
        <v>124</v>
      </c>
      <c r="E18" s="813"/>
      <c r="F18" s="814"/>
      <c r="G18" s="846" t="s">
        <v>116</v>
      </c>
      <c r="H18" s="813"/>
      <c r="I18" s="814"/>
      <c r="J18" s="846" t="s">
        <v>394</v>
      </c>
      <c r="K18" s="813"/>
      <c r="L18" s="814"/>
      <c r="M18" s="147"/>
      <c r="N18" s="3"/>
      <c r="O18" s="3" t="s">
        <v>1684</v>
      </c>
      <c r="P18" s="3" t="s">
        <v>1683</v>
      </c>
      <c r="Q18" s="3"/>
      <c r="R18" s="3"/>
      <c r="S18" s="3"/>
      <c r="T18" s="3"/>
      <c r="U18" s="3"/>
      <c r="V18" s="3"/>
      <c r="W18" s="3"/>
      <c r="X18" s="3"/>
      <c r="Y18" s="3"/>
      <c r="Z18" s="3"/>
    </row>
    <row r="19" spans="1:26" ht="22.5" customHeight="1" x14ac:dyDescent="0.85">
      <c r="A19" s="148" t="s">
        <v>138</v>
      </c>
      <c r="B19" s="148" t="s">
        <v>118</v>
      </c>
      <c r="C19" s="148" t="s">
        <v>395</v>
      </c>
      <c r="D19" s="148" t="s">
        <v>125</v>
      </c>
      <c r="E19" s="148" t="s">
        <v>118</v>
      </c>
      <c r="F19" s="148" t="s">
        <v>395</v>
      </c>
      <c r="G19" s="148" t="s">
        <v>117</v>
      </c>
      <c r="H19" s="148" t="s">
        <v>118</v>
      </c>
      <c r="I19" s="148" t="s">
        <v>395</v>
      </c>
      <c r="J19" s="148" t="s">
        <v>396</v>
      </c>
      <c r="K19" s="148" t="s">
        <v>118</v>
      </c>
      <c r="L19" s="148" t="s">
        <v>397</v>
      </c>
      <c r="M19" s="3" t="s">
        <v>1680</v>
      </c>
      <c r="N19" s="3" t="s">
        <v>1681</v>
      </c>
      <c r="O19" s="741" t="s">
        <v>1682</v>
      </c>
      <c r="P19" s="741"/>
      <c r="Q19" s="3"/>
      <c r="R19" s="3"/>
      <c r="S19" s="3"/>
      <c r="T19" s="3"/>
      <c r="U19" s="3"/>
      <c r="V19" s="3"/>
      <c r="W19" s="3"/>
      <c r="X19" s="3"/>
      <c r="Y19" s="3"/>
      <c r="Z19" s="3"/>
    </row>
    <row r="20" spans="1:26" ht="22.5" customHeight="1" x14ac:dyDescent="0.85">
      <c r="A20" s="149" t="s">
        <v>139</v>
      </c>
      <c r="B20" s="150">
        <f>B65</f>
        <v>987528.6662180156</v>
      </c>
      <c r="C20" s="151">
        <f t="shared" ref="C20:C44" si="0">B20/$B$46</f>
        <v>0.17856638843318201</v>
      </c>
      <c r="D20" s="149" t="s">
        <v>130</v>
      </c>
      <c r="E20" s="150">
        <f>SUM(B20:B26)</f>
        <v>3113205.2661262383</v>
      </c>
      <c r="F20" s="151">
        <f t="shared" ref="F20:F26" si="1">E20/$E$27</f>
        <v>0.56365708713729346</v>
      </c>
      <c r="G20" s="150" t="s">
        <v>120</v>
      </c>
      <c r="H20" s="150">
        <f>B54+B55+B56+B57+B58+B72+B73+B79+B84+B89+B93+B96+B101+B103+B110+B114+B115+B119+B120+B121</f>
        <v>4112962.4387353244</v>
      </c>
      <c r="I20" s="152">
        <f t="shared" ref="I20:I22" si="2">H20/$H$23</f>
        <v>0.74466674361222362</v>
      </c>
      <c r="J20" s="150">
        <f>B5</f>
        <v>561006</v>
      </c>
      <c r="K20" s="150">
        <f>B48</f>
        <v>5523225.6227587126</v>
      </c>
      <c r="L20" s="133">
        <f>K20/J20</f>
        <v>9.8452166692668399</v>
      </c>
      <c r="M20" s="3">
        <v>5809351</v>
      </c>
      <c r="N20" s="3">
        <v>9407128</v>
      </c>
      <c r="O20" s="3">
        <f>N20*0.5</f>
        <v>4703564</v>
      </c>
      <c r="P20" s="3">
        <v>2634833</v>
      </c>
      <c r="Q20" s="3"/>
      <c r="R20" s="3"/>
      <c r="S20" s="3"/>
      <c r="T20" s="3"/>
      <c r="U20" s="3"/>
      <c r="V20" s="3"/>
      <c r="W20" s="3"/>
      <c r="X20" s="3"/>
      <c r="Y20" s="3"/>
      <c r="Z20" s="3"/>
    </row>
    <row r="21" spans="1:26" ht="22.5" customHeight="1" x14ac:dyDescent="0.85">
      <c r="A21" s="149" t="s">
        <v>140</v>
      </c>
      <c r="B21" s="150">
        <f>B54+B55</f>
        <v>2027036.4164636249</v>
      </c>
      <c r="C21" s="151">
        <f t="shared" si="0"/>
        <v>0.36653171142531604</v>
      </c>
      <c r="D21" s="149" t="s">
        <v>131</v>
      </c>
      <c r="E21" s="150">
        <f>SUM(B27:B35)</f>
        <v>2169199.1952947495</v>
      </c>
      <c r="F21" s="151">
        <f t="shared" si="1"/>
        <v>0.39274136952806393</v>
      </c>
      <c r="G21" s="150" t="s">
        <v>121</v>
      </c>
      <c r="H21" s="150">
        <f>B62+B63+B64+B80+B85</f>
        <v>994939.62821341818</v>
      </c>
      <c r="I21" s="152">
        <f t="shared" si="2"/>
        <v>0.18013742261654545</v>
      </c>
      <c r="J21" s="147"/>
      <c r="K21" s="147"/>
      <c r="L21" s="147"/>
      <c r="M21" s="738">
        <f>1-H23/M20</f>
        <v>4.9252554586784347E-2</v>
      </c>
      <c r="N21" s="738">
        <f>1-H23/N20</f>
        <v>0.41286802701539627</v>
      </c>
      <c r="O21" s="740">
        <f>1-O20/H23</f>
        <v>0.14840270500289821</v>
      </c>
      <c r="P21" s="739">
        <f>1-P20/H23</f>
        <v>0.52295394395205452</v>
      </c>
      <c r="Q21" s="3"/>
      <c r="R21" s="3"/>
      <c r="S21" s="3"/>
      <c r="T21" s="3"/>
      <c r="U21" s="3"/>
      <c r="V21" s="3"/>
      <c r="W21" s="3"/>
      <c r="X21" s="3"/>
      <c r="Y21" s="3"/>
      <c r="Z21" s="3"/>
    </row>
    <row r="22" spans="1:26" ht="22.5" customHeight="1" x14ac:dyDescent="0.85">
      <c r="A22" s="149" t="s">
        <v>266</v>
      </c>
      <c r="B22" s="150">
        <f t="shared" ref="B22:B24" si="3">B56</f>
        <v>0</v>
      </c>
      <c r="C22" s="151">
        <f t="shared" si="0"/>
        <v>0</v>
      </c>
      <c r="D22" s="149" t="s">
        <v>132</v>
      </c>
      <c r="E22" s="150">
        <f>SUM(B36,B37)</f>
        <v>135220.034251023</v>
      </c>
      <c r="F22" s="151">
        <f t="shared" si="1"/>
        <v>2.4482076867155762E-2</v>
      </c>
      <c r="G22" s="150" t="s">
        <v>122</v>
      </c>
      <c r="H22" s="150">
        <f>B68+B81+B90+B102+B104+B86</f>
        <v>415323.55580996751</v>
      </c>
      <c r="I22" s="152">
        <f t="shared" si="2"/>
        <v>7.5195833771230958E-2</v>
      </c>
      <c r="J22" s="147"/>
      <c r="K22" s="147"/>
      <c r="L22" s="147"/>
      <c r="M22" s="147"/>
      <c r="O22" s="58"/>
      <c r="P22" s="3"/>
      <c r="Q22" s="3"/>
      <c r="R22" s="3"/>
      <c r="S22" s="3"/>
      <c r="T22" s="3"/>
      <c r="U22" s="3"/>
      <c r="V22" s="3"/>
      <c r="W22" s="3"/>
      <c r="X22" s="3"/>
      <c r="Y22" s="3"/>
      <c r="Z22" s="3"/>
    </row>
    <row r="23" spans="1:26" ht="22.5" customHeight="1" x14ac:dyDescent="0.85">
      <c r="A23" s="149" t="s">
        <v>141</v>
      </c>
      <c r="B23" s="150">
        <f t="shared" si="3"/>
        <v>6145.0806318442628</v>
      </c>
      <c r="C23" s="153">
        <f t="shared" si="0"/>
        <v>1.1111625339054972E-3</v>
      </c>
      <c r="D23" s="149" t="s">
        <v>340</v>
      </c>
      <c r="E23" s="150">
        <f>B38</f>
        <v>1692.1514559397194</v>
      </c>
      <c r="F23" s="151">
        <f t="shared" si="1"/>
        <v>3.0637014880709022E-4</v>
      </c>
      <c r="G23" s="154" t="s">
        <v>398</v>
      </c>
      <c r="H23" s="155">
        <f t="shared" ref="H23:I23" si="4">SUM(H16:H22)</f>
        <v>5523225.6227587098</v>
      </c>
      <c r="I23" s="156">
        <f t="shared" si="4"/>
        <v>1</v>
      </c>
      <c r="J23" s="147"/>
      <c r="K23" s="147"/>
      <c r="L23" s="147"/>
      <c r="M23" s="147"/>
      <c r="P23" s="3"/>
      <c r="Q23" s="3"/>
      <c r="R23" s="3"/>
      <c r="S23" s="3"/>
      <c r="T23" s="3"/>
      <c r="U23" s="3"/>
      <c r="V23" s="3"/>
      <c r="W23" s="3"/>
      <c r="X23" s="3"/>
      <c r="Y23" s="3"/>
      <c r="Z23" s="3"/>
    </row>
    <row r="24" spans="1:26" ht="22.5" customHeight="1" x14ac:dyDescent="0.85">
      <c r="A24" s="149" t="s">
        <v>142</v>
      </c>
      <c r="B24" s="150">
        <f t="shared" si="3"/>
        <v>16.13682</v>
      </c>
      <c r="C24" s="157">
        <f t="shared" si="0"/>
        <v>2.9178835681112228E-6</v>
      </c>
      <c r="D24" s="149" t="s">
        <v>133</v>
      </c>
      <c r="E24" s="150">
        <f>SUM(B39,B40)</f>
        <v>110903.37603337824</v>
      </c>
      <c r="F24" s="151">
        <f t="shared" si="1"/>
        <v>2.0079457840070064E-2</v>
      </c>
      <c r="G24" s="147"/>
      <c r="H24" s="147"/>
      <c r="I24" s="147"/>
      <c r="J24" s="147"/>
      <c r="K24" s="147"/>
      <c r="L24" s="147"/>
      <c r="M24" s="147"/>
      <c r="N24" s="3"/>
      <c r="O24" s="3"/>
      <c r="P24" s="3"/>
      <c r="Q24" s="3"/>
      <c r="R24" s="3"/>
      <c r="S24" s="3"/>
      <c r="T24" s="3"/>
      <c r="U24" s="3"/>
      <c r="V24" s="3"/>
      <c r="W24" s="3"/>
      <c r="X24" s="3"/>
      <c r="Y24" s="3"/>
      <c r="Z24" s="3"/>
    </row>
    <row r="25" spans="1:26" ht="22.5" customHeight="1" x14ac:dyDescent="0.85">
      <c r="A25" s="149" t="s">
        <v>143</v>
      </c>
      <c r="B25" s="150">
        <f>B74</f>
        <v>66013.197738110437</v>
      </c>
      <c r="C25" s="153">
        <f t="shared" si="0"/>
        <v>1.1936603677707838E-2</v>
      </c>
      <c r="D25" s="149" t="s">
        <v>399</v>
      </c>
      <c r="E25" s="150">
        <f>SUM(B41:B44)</f>
        <v>96.599597381866147</v>
      </c>
      <c r="F25" s="151">
        <f t="shared" si="1"/>
        <v>1.7489706917606803E-5</v>
      </c>
      <c r="G25" s="147"/>
      <c r="H25" s="147"/>
      <c r="I25" s="147"/>
      <c r="J25" s="147"/>
      <c r="K25" s="147"/>
      <c r="L25" s="147"/>
      <c r="M25" s="147"/>
      <c r="N25" s="3"/>
      <c r="O25" s="3"/>
      <c r="P25" s="3"/>
      <c r="Q25" s="3"/>
      <c r="R25" s="3"/>
      <c r="S25" s="3"/>
      <c r="T25" s="3"/>
      <c r="U25" s="3"/>
      <c r="V25" s="3"/>
      <c r="W25" s="3"/>
      <c r="X25" s="3"/>
      <c r="Y25" s="3"/>
      <c r="Z25" s="3"/>
    </row>
    <row r="26" spans="1:26" ht="22.5" customHeight="1" x14ac:dyDescent="0.85">
      <c r="A26" s="149" t="s">
        <v>400</v>
      </c>
      <c r="B26" s="150">
        <f>B69</f>
        <v>26465.768254642815</v>
      </c>
      <c r="C26" s="153">
        <f t="shared" si="0"/>
        <v>4.7855792100092772E-3</v>
      </c>
      <c r="D26" s="149" t="s">
        <v>401</v>
      </c>
      <c r="E26" s="158">
        <f>B45</f>
        <v>-7091</v>
      </c>
      <c r="F26" s="159">
        <f t="shared" si="1"/>
        <v>-1.2838512283078211E-3</v>
      </c>
      <c r="G26" s="147"/>
      <c r="H26" s="147"/>
      <c r="I26" s="147"/>
      <c r="J26" s="147"/>
      <c r="K26" s="147"/>
      <c r="L26" s="147"/>
      <c r="M26" s="147"/>
      <c r="N26" s="3"/>
      <c r="O26" s="3"/>
      <c r="P26" s="3"/>
      <c r="Q26" s="3"/>
      <c r="R26" s="3"/>
      <c r="S26" s="3"/>
      <c r="T26" s="3"/>
      <c r="U26" s="3"/>
      <c r="V26" s="3"/>
      <c r="W26" s="3"/>
      <c r="X26" s="3"/>
      <c r="Y26" s="3"/>
      <c r="Z26" s="3"/>
    </row>
    <row r="27" spans="1:26" ht="22.5" customHeight="1" x14ac:dyDescent="0.85">
      <c r="A27" s="149" t="s">
        <v>145</v>
      </c>
      <c r="B27" s="150">
        <f t="shared" ref="B27:B29" si="5">B79</f>
        <v>1789334.2677238872</v>
      </c>
      <c r="C27" s="151">
        <f t="shared" si="0"/>
        <v>0.32355005866396591</v>
      </c>
      <c r="D27" s="154" t="s">
        <v>398</v>
      </c>
      <c r="E27" s="155">
        <f t="shared" ref="E27:F27" si="6">SUM(E20:E26)</f>
        <v>5523225.6227587098</v>
      </c>
      <c r="F27" s="156">
        <f t="shared" si="6"/>
        <v>1.0000000000000002</v>
      </c>
      <c r="G27" s="147"/>
      <c r="H27" s="147"/>
      <c r="I27" s="147"/>
      <c r="J27" s="147"/>
      <c r="K27" s="147"/>
      <c r="L27" s="147"/>
      <c r="M27" s="147"/>
      <c r="N27" s="3"/>
      <c r="O27" s="3"/>
      <c r="P27" s="3"/>
      <c r="Q27" s="3"/>
      <c r="R27" s="3"/>
      <c r="S27" s="3"/>
      <c r="T27" s="3"/>
      <c r="U27" s="3"/>
      <c r="V27" s="3"/>
      <c r="W27" s="3"/>
      <c r="X27" s="3"/>
      <c r="Y27" s="3"/>
      <c r="Z27" s="3"/>
    </row>
    <row r="28" spans="1:26" ht="22.5" customHeight="1" x14ac:dyDescent="0.85">
      <c r="A28" s="149" t="s">
        <v>146</v>
      </c>
      <c r="B28" s="150">
        <f t="shared" si="5"/>
        <v>7388.038727467545</v>
      </c>
      <c r="C28" s="159">
        <f t="shared" si="0"/>
        <v>1.3359160481090388E-3</v>
      </c>
      <c r="D28" s="147"/>
      <c r="E28" s="147"/>
      <c r="F28" s="147"/>
      <c r="G28" s="147"/>
      <c r="H28" s="147"/>
      <c r="I28" s="147"/>
      <c r="J28" s="147"/>
      <c r="K28" s="147"/>
      <c r="L28" s="147"/>
      <c r="M28" s="147"/>
      <c r="N28" s="3"/>
      <c r="O28" s="3"/>
      <c r="P28" s="3"/>
      <c r="Q28" s="3"/>
      <c r="R28" s="3"/>
      <c r="S28" s="3"/>
      <c r="T28" s="3"/>
      <c r="U28" s="3"/>
      <c r="V28" s="3"/>
      <c r="W28" s="3"/>
      <c r="X28" s="3"/>
      <c r="Y28" s="3"/>
      <c r="Z28" s="3"/>
    </row>
    <row r="29" spans="1:26" ht="22.5" customHeight="1" x14ac:dyDescent="0.85">
      <c r="A29" s="149" t="s">
        <v>147</v>
      </c>
      <c r="B29" s="150">
        <f t="shared" si="5"/>
        <v>197.99943789613022</v>
      </c>
      <c r="C29" s="160">
        <f t="shared" si="0"/>
        <v>3.5802550089322238E-5</v>
      </c>
      <c r="D29" s="147"/>
      <c r="E29" s="147"/>
      <c r="F29" s="147"/>
      <c r="G29" s="147"/>
      <c r="H29" s="147"/>
      <c r="I29" s="147"/>
      <c r="J29" s="147"/>
      <c r="K29" s="147"/>
      <c r="L29" s="147"/>
      <c r="M29" s="147"/>
      <c r="N29" s="3"/>
      <c r="O29" s="3"/>
      <c r="P29" s="3"/>
      <c r="Q29" s="3"/>
      <c r="R29" s="3"/>
      <c r="S29" s="3"/>
      <c r="T29" s="3"/>
      <c r="U29" s="3"/>
      <c r="V29" s="3"/>
      <c r="W29" s="3"/>
      <c r="X29" s="3"/>
      <c r="Y29" s="3"/>
      <c r="Z29" s="3"/>
    </row>
    <row r="30" spans="1:26" ht="22.5" customHeight="1" x14ac:dyDescent="0.85">
      <c r="A30" s="149" t="s">
        <v>148</v>
      </c>
      <c r="B30" s="150">
        <f>B84</f>
        <v>10881.175140508007</v>
      </c>
      <c r="C30" s="153">
        <f t="shared" si="0"/>
        <v>1.967550121041732E-3</v>
      </c>
      <c r="D30" s="147"/>
      <c r="E30" s="147"/>
      <c r="F30" s="147"/>
      <c r="G30" s="147"/>
      <c r="H30" s="147"/>
      <c r="I30" s="147"/>
      <c r="J30" s="147"/>
      <c r="K30" s="147"/>
      <c r="L30" s="147"/>
      <c r="M30" s="147"/>
      <c r="N30" s="3"/>
      <c r="O30" s="3"/>
      <c r="P30" s="3"/>
      <c r="Q30" s="3"/>
      <c r="R30" s="3"/>
      <c r="S30" s="3"/>
      <c r="T30" s="3"/>
      <c r="U30" s="3"/>
      <c r="V30" s="3"/>
      <c r="W30" s="3"/>
      <c r="X30" s="3"/>
      <c r="Y30" s="3"/>
      <c r="Z30" s="3"/>
    </row>
    <row r="31" spans="1:26" ht="22.5" customHeight="1" x14ac:dyDescent="0.85">
      <c r="A31" s="149" t="s">
        <v>149</v>
      </c>
      <c r="B31" s="150">
        <f>B85+B86</f>
        <v>23.537611515685484</v>
      </c>
      <c r="C31" s="157">
        <f t="shared" si="0"/>
        <v>4.2561055941755666E-6</v>
      </c>
      <c r="D31" s="147"/>
      <c r="E31" s="147"/>
      <c r="F31" s="147"/>
      <c r="G31" s="147"/>
      <c r="H31" s="147"/>
      <c r="I31" s="147"/>
      <c r="J31" s="147"/>
      <c r="K31" s="147"/>
      <c r="L31" s="147"/>
      <c r="M31" s="147"/>
      <c r="N31" s="3"/>
      <c r="O31" s="3"/>
      <c r="P31" s="3"/>
      <c r="Q31" s="3"/>
      <c r="R31" s="3"/>
      <c r="S31" s="3"/>
      <c r="T31" s="3"/>
      <c r="U31" s="3"/>
      <c r="V31" s="3"/>
      <c r="W31" s="3"/>
      <c r="X31" s="3"/>
      <c r="Y31" s="3"/>
      <c r="Z31" s="3"/>
    </row>
    <row r="32" spans="1:26" ht="22.5" customHeight="1" x14ac:dyDescent="0.85">
      <c r="A32" s="149" t="s">
        <v>150</v>
      </c>
      <c r="B32" s="150">
        <f t="shared" ref="B32:B33" si="7">B89</f>
        <v>28249.864606659077</v>
      </c>
      <c r="C32" s="153">
        <f t="shared" si="0"/>
        <v>5.108182141037536E-3</v>
      </c>
      <c r="D32" s="147"/>
      <c r="E32" s="147"/>
      <c r="F32" s="147"/>
      <c r="G32" s="147"/>
      <c r="H32" s="147"/>
      <c r="I32" s="147"/>
      <c r="J32" s="147"/>
      <c r="K32" s="147"/>
      <c r="L32" s="147"/>
      <c r="M32" s="147"/>
      <c r="N32" s="3"/>
      <c r="O32" s="3"/>
      <c r="P32" s="3"/>
      <c r="Q32" s="3"/>
      <c r="R32" s="3"/>
      <c r="S32" s="3"/>
      <c r="T32" s="3"/>
      <c r="U32" s="3"/>
      <c r="V32" s="3"/>
      <c r="W32" s="3"/>
      <c r="X32" s="3"/>
      <c r="Y32" s="3"/>
      <c r="Z32" s="3"/>
    </row>
    <row r="33" spans="1:26" ht="22.5" customHeight="1" x14ac:dyDescent="0.85">
      <c r="A33" s="149" t="s">
        <v>151</v>
      </c>
      <c r="B33" s="150">
        <f t="shared" si="7"/>
        <v>253855.49369732151</v>
      </c>
      <c r="C33" s="151">
        <f t="shared" si="0"/>
        <v>4.590252439663927E-2</v>
      </c>
      <c r="D33" s="147"/>
      <c r="E33" s="147"/>
      <c r="F33" s="147"/>
      <c r="G33" s="147"/>
      <c r="H33" s="147"/>
      <c r="I33" s="147"/>
      <c r="J33" s="147"/>
      <c r="K33" s="147"/>
      <c r="L33" s="147"/>
      <c r="M33" s="147"/>
      <c r="N33" s="3"/>
      <c r="O33" s="3"/>
      <c r="P33" s="3"/>
      <c r="Q33" s="3"/>
      <c r="R33" s="3"/>
      <c r="S33" s="3"/>
      <c r="T33" s="3"/>
      <c r="U33" s="3"/>
      <c r="V33" s="3"/>
      <c r="W33" s="3"/>
      <c r="X33" s="3"/>
      <c r="Y33" s="3"/>
      <c r="Z33" s="3"/>
    </row>
    <row r="34" spans="1:26" ht="22.5" customHeight="1" x14ac:dyDescent="0.85">
      <c r="A34" s="149" t="s">
        <v>152</v>
      </c>
      <c r="B34" s="150">
        <f>B93</f>
        <v>79004.937282497689</v>
      </c>
      <c r="C34" s="151">
        <f t="shared" si="0"/>
        <v>1.4285789163928069E-2</v>
      </c>
      <c r="D34" s="147"/>
      <c r="E34" s="147"/>
      <c r="F34" s="147"/>
      <c r="G34" s="147"/>
      <c r="H34" s="147"/>
      <c r="I34" s="147"/>
      <c r="J34" s="147"/>
      <c r="K34" s="147"/>
      <c r="L34" s="147"/>
      <c r="M34" s="147"/>
      <c r="N34" s="3"/>
      <c r="O34" s="3"/>
      <c r="P34" s="3"/>
      <c r="Q34" s="3"/>
      <c r="R34" s="3"/>
      <c r="S34" s="3"/>
      <c r="T34" s="3"/>
      <c r="U34" s="3"/>
      <c r="V34" s="3"/>
      <c r="W34" s="3"/>
      <c r="X34" s="3"/>
      <c r="Y34" s="3"/>
      <c r="Z34" s="3"/>
    </row>
    <row r="35" spans="1:26" ht="22.5" customHeight="1" x14ac:dyDescent="0.85">
      <c r="A35" s="149" t="s">
        <v>153</v>
      </c>
      <c r="B35" s="150">
        <f>B96</f>
        <v>263.88106699674921</v>
      </c>
      <c r="C35" s="160">
        <f t="shared" si="0"/>
        <v>4.7715363332147923E-5</v>
      </c>
      <c r="D35" s="147"/>
      <c r="E35" s="147"/>
      <c r="F35" s="147"/>
      <c r="G35" s="147"/>
      <c r="H35" s="147"/>
      <c r="I35" s="147"/>
      <c r="J35" s="147"/>
      <c r="K35" s="147"/>
      <c r="L35" s="147"/>
      <c r="M35" s="147"/>
      <c r="N35" s="3"/>
      <c r="O35" s="3"/>
      <c r="P35" s="3"/>
      <c r="Q35" s="3"/>
      <c r="R35" s="3"/>
      <c r="S35" s="3"/>
      <c r="T35" s="3"/>
      <c r="U35" s="3"/>
      <c r="V35" s="3"/>
      <c r="W35" s="3"/>
      <c r="X35" s="3"/>
      <c r="Y35" s="3"/>
      <c r="Z35" s="3"/>
    </row>
    <row r="36" spans="1:26" ht="22.5" customHeight="1" x14ac:dyDescent="0.85">
      <c r="A36" s="149" t="s">
        <v>154</v>
      </c>
      <c r="B36" s="150">
        <f>B101+B102</f>
        <v>134803.68007652636</v>
      </c>
      <c r="C36" s="151">
        <f t="shared" si="0"/>
        <v>2.4375400048845964E-2</v>
      </c>
      <c r="D36" s="147"/>
      <c r="E36" s="147"/>
      <c r="F36" s="147"/>
      <c r="G36" s="147"/>
      <c r="H36" s="147"/>
      <c r="I36" s="147"/>
      <c r="J36" s="147"/>
      <c r="K36" s="147"/>
      <c r="L36" s="147"/>
      <c r="M36" s="147"/>
      <c r="N36" s="3"/>
      <c r="O36" s="3"/>
      <c r="P36" s="3"/>
      <c r="Q36" s="3"/>
      <c r="R36" s="3"/>
      <c r="S36" s="3"/>
      <c r="T36" s="3"/>
      <c r="U36" s="3"/>
      <c r="V36" s="3"/>
      <c r="W36" s="3"/>
      <c r="X36" s="3"/>
      <c r="Y36" s="3"/>
      <c r="Z36" s="3"/>
    </row>
    <row r="37" spans="1:26" ht="22.5" customHeight="1" x14ac:dyDescent="0.85">
      <c r="A37" s="149" t="s">
        <v>155</v>
      </c>
      <c r="B37" s="150">
        <f>B103+B104</f>
        <v>416.3541744966443</v>
      </c>
      <c r="C37" s="160">
        <f t="shared" si="0"/>
        <v>7.5285775281515888E-5</v>
      </c>
      <c r="D37" s="147"/>
      <c r="E37" s="147"/>
      <c r="F37" s="147"/>
      <c r="G37" s="147"/>
      <c r="H37" s="147"/>
      <c r="I37" s="147"/>
      <c r="J37" s="147"/>
      <c r="K37" s="147"/>
      <c r="L37" s="147"/>
      <c r="M37" s="147"/>
      <c r="N37" s="3"/>
      <c r="O37" s="3"/>
      <c r="P37" s="3"/>
      <c r="Q37" s="3"/>
      <c r="R37" s="3"/>
      <c r="S37" s="3"/>
      <c r="T37" s="3"/>
      <c r="U37" s="3"/>
      <c r="V37" s="3"/>
      <c r="W37" s="3"/>
      <c r="X37" s="3"/>
      <c r="Y37" s="3"/>
      <c r="Z37" s="3"/>
    </row>
    <row r="38" spans="1:26" ht="22.5" customHeight="1" x14ac:dyDescent="0.85">
      <c r="A38" s="149" t="s">
        <v>156</v>
      </c>
      <c r="B38" s="150">
        <f>B110</f>
        <v>1692.1514559397194</v>
      </c>
      <c r="C38" s="159">
        <f t="shared" si="0"/>
        <v>3.0597731944968022E-4</v>
      </c>
      <c r="D38" s="147"/>
      <c r="E38" s="147"/>
      <c r="F38" s="147"/>
      <c r="G38" s="147"/>
      <c r="H38" s="147"/>
      <c r="I38" s="147"/>
      <c r="J38" s="147"/>
      <c r="K38" s="147"/>
      <c r="L38" s="147"/>
      <c r="M38" s="147"/>
      <c r="N38" s="3"/>
      <c r="O38" s="3"/>
      <c r="P38" s="3"/>
      <c r="Q38" s="3"/>
      <c r="R38" s="3"/>
      <c r="S38" s="3"/>
      <c r="T38" s="3"/>
      <c r="U38" s="3"/>
      <c r="V38" s="3"/>
      <c r="W38" s="3"/>
      <c r="X38" s="3"/>
      <c r="Y38" s="3"/>
      <c r="Z38" s="3"/>
    </row>
    <row r="39" spans="1:26" ht="22.5" customHeight="1" x14ac:dyDescent="0.85">
      <c r="A39" s="149" t="s">
        <v>346</v>
      </c>
      <c r="B39" s="150">
        <f t="shared" ref="B39:B40" si="8">B114</f>
        <v>0</v>
      </c>
      <c r="C39" s="151">
        <f t="shared" si="0"/>
        <v>0</v>
      </c>
      <c r="D39" s="147"/>
      <c r="E39" s="147"/>
      <c r="F39" s="147"/>
      <c r="G39" s="147"/>
      <c r="H39" s="147"/>
      <c r="I39" s="161"/>
      <c r="J39" s="147"/>
      <c r="K39" s="147"/>
      <c r="L39" s="147"/>
      <c r="M39" s="147"/>
      <c r="N39" s="3"/>
      <c r="O39" s="3"/>
      <c r="P39" s="3"/>
      <c r="Q39" s="3"/>
      <c r="R39" s="3"/>
      <c r="S39" s="3"/>
      <c r="T39" s="3"/>
      <c r="U39" s="3"/>
      <c r="V39" s="3"/>
      <c r="W39" s="3"/>
      <c r="X39" s="3"/>
      <c r="Y39" s="3"/>
      <c r="Z39" s="3"/>
    </row>
    <row r="40" spans="1:26" ht="22.5" customHeight="1" x14ac:dyDescent="0.85">
      <c r="A40" s="149" t="s">
        <v>158</v>
      </c>
      <c r="B40" s="150">
        <f t="shared" si="8"/>
        <v>110903.37603337824</v>
      </c>
      <c r="C40" s="159">
        <f t="shared" si="0"/>
        <v>2.0053711857469712E-2</v>
      </c>
      <c r="D40" s="147"/>
      <c r="E40" s="147"/>
      <c r="F40" s="147"/>
      <c r="G40" s="147"/>
      <c r="H40" s="147"/>
      <c r="I40" s="161"/>
      <c r="J40" s="147"/>
      <c r="K40" s="147"/>
      <c r="L40" s="147"/>
      <c r="M40" s="147"/>
      <c r="N40" s="3"/>
      <c r="O40" s="3"/>
      <c r="P40" s="3"/>
      <c r="Q40" s="3"/>
      <c r="R40" s="3"/>
      <c r="S40" s="3"/>
      <c r="T40" s="3"/>
      <c r="U40" s="3"/>
      <c r="V40" s="3"/>
      <c r="W40" s="3"/>
      <c r="X40" s="3"/>
      <c r="Y40" s="3"/>
      <c r="Z40" s="3"/>
    </row>
    <row r="41" spans="1:26" ht="22.5" customHeight="1" x14ac:dyDescent="0.85">
      <c r="A41" s="149" t="s">
        <v>402</v>
      </c>
      <c r="B41" s="150">
        <f>0.05*'AFOLU Data'!O67</f>
        <v>40.0428</v>
      </c>
      <c r="C41" s="151">
        <f t="shared" si="0"/>
        <v>7.2405980943682881E-6</v>
      </c>
      <c r="D41" s="147"/>
      <c r="E41" s="147"/>
      <c r="F41" s="147"/>
      <c r="G41" s="147"/>
      <c r="H41" s="147"/>
      <c r="I41" s="147"/>
      <c r="J41" s="147"/>
      <c r="K41" s="3"/>
      <c r="L41" s="3"/>
      <c r="M41" s="3"/>
      <c r="N41" s="3"/>
      <c r="O41" s="3"/>
      <c r="P41" s="3"/>
      <c r="Q41" s="3"/>
      <c r="R41" s="3"/>
      <c r="S41" s="3"/>
      <c r="T41" s="3"/>
      <c r="U41" s="3"/>
      <c r="V41" s="3"/>
      <c r="W41" s="3"/>
      <c r="X41" s="3"/>
      <c r="Y41" s="3"/>
      <c r="Z41" s="3"/>
    </row>
    <row r="42" spans="1:26" ht="22.5" customHeight="1" x14ac:dyDescent="0.85">
      <c r="A42" s="149" t="s">
        <v>403</v>
      </c>
      <c r="B42" s="150">
        <f>0.05*'AFOLU Data'!J80</f>
        <v>13.300015806000003</v>
      </c>
      <c r="C42" s="151">
        <f t="shared" si="0"/>
        <v>2.4049284540539553E-6</v>
      </c>
      <c r="D42" s="147"/>
      <c r="E42" s="147"/>
      <c r="F42" s="147"/>
      <c r="G42" s="147"/>
      <c r="H42" s="147"/>
      <c r="I42" s="147"/>
      <c r="J42" s="147"/>
      <c r="K42" s="3"/>
      <c r="L42" s="3"/>
      <c r="M42" s="3"/>
      <c r="N42" s="3"/>
      <c r="O42" s="3"/>
      <c r="P42" s="3"/>
      <c r="Q42" s="3"/>
      <c r="R42" s="3"/>
      <c r="S42" s="3"/>
      <c r="T42" s="3"/>
      <c r="U42" s="3"/>
      <c r="V42" s="3"/>
      <c r="W42" s="3"/>
      <c r="X42" s="3"/>
      <c r="Y42" s="3"/>
      <c r="Z42" s="3"/>
    </row>
    <row r="43" spans="1:26" ht="22.5" customHeight="1" x14ac:dyDescent="0.85">
      <c r="A43" s="149" t="s">
        <v>404</v>
      </c>
      <c r="B43" s="150">
        <f>'AFOLU Data'!E115</f>
        <v>8.2513733049522013</v>
      </c>
      <c r="C43" s="151">
        <f t="shared" si="0"/>
        <v>1.4920254784320344E-6</v>
      </c>
      <c r="D43" s="147"/>
      <c r="E43" s="147"/>
      <c r="F43" s="147"/>
      <c r="G43" s="147"/>
      <c r="H43" s="147"/>
      <c r="I43" s="147"/>
      <c r="J43" s="147"/>
      <c r="K43" s="3"/>
      <c r="L43" s="3"/>
      <c r="M43" s="3"/>
      <c r="N43" s="3"/>
      <c r="O43" s="3"/>
      <c r="P43" s="3"/>
      <c r="Q43" s="3"/>
      <c r="R43" s="3"/>
      <c r="S43" s="3"/>
      <c r="T43" s="3"/>
      <c r="U43" s="3"/>
      <c r="V43" s="3"/>
      <c r="W43" s="3"/>
      <c r="X43" s="3"/>
      <c r="Y43" s="3"/>
      <c r="Z43" s="3"/>
    </row>
    <row r="44" spans="1:26" ht="22.5" customHeight="1" x14ac:dyDescent="0.85">
      <c r="A44" s="149" t="s">
        <v>405</v>
      </c>
      <c r="B44" s="150">
        <f>'AFOLU Data'!I131</f>
        <v>35.005408270913932</v>
      </c>
      <c r="C44" s="151">
        <f t="shared" si="0"/>
        <v>6.3297294999091799E-6</v>
      </c>
      <c r="D44" s="147"/>
      <c r="E44" s="147"/>
      <c r="F44" s="147"/>
      <c r="G44" s="147"/>
      <c r="H44" s="147"/>
      <c r="I44" s="147"/>
      <c r="J44" s="147"/>
      <c r="K44" s="3"/>
      <c r="L44" s="3"/>
      <c r="M44" s="3"/>
      <c r="N44" s="3"/>
      <c r="O44" s="3"/>
      <c r="P44" s="3"/>
      <c r="Q44" s="3"/>
      <c r="R44" s="3"/>
      <c r="S44" s="3"/>
      <c r="T44" s="3"/>
      <c r="U44" s="3"/>
      <c r="V44" s="3"/>
      <c r="W44" s="3"/>
      <c r="X44" s="3"/>
      <c r="Y44" s="3"/>
      <c r="Z44" s="3"/>
    </row>
    <row r="45" spans="1:26" ht="22.5" customHeight="1" x14ac:dyDescent="0.85">
      <c r="A45" s="162" t="s">
        <v>406</v>
      </c>
      <c r="B45" s="158">
        <f>B121</f>
        <v>-7091</v>
      </c>
      <c r="C45" s="163" t="s">
        <v>106</v>
      </c>
      <c r="D45" s="147"/>
      <c r="E45" s="147"/>
      <c r="F45" s="147"/>
      <c r="G45" s="147"/>
      <c r="H45" s="147"/>
      <c r="I45" s="147"/>
      <c r="J45" s="147"/>
      <c r="K45" s="3"/>
      <c r="L45" s="3"/>
      <c r="M45" s="3"/>
      <c r="N45" s="3"/>
      <c r="O45" s="3"/>
      <c r="P45" s="3"/>
      <c r="Q45" s="3"/>
      <c r="R45" s="3"/>
      <c r="S45" s="3"/>
      <c r="T45" s="3"/>
      <c r="U45" s="3"/>
      <c r="V45" s="3"/>
      <c r="W45" s="3"/>
      <c r="X45" s="3"/>
      <c r="Y45" s="3"/>
      <c r="Z45" s="3"/>
    </row>
    <row r="46" spans="1:26" ht="22.5" customHeight="1" x14ac:dyDescent="0.85">
      <c r="A46" s="164" t="s">
        <v>101</v>
      </c>
      <c r="B46" s="155">
        <f>SUM(B20:B44)</f>
        <v>5530316.6227587126</v>
      </c>
      <c r="C46" s="156">
        <f>SUM(C20:C39)</f>
        <v>0.97992882086100319</v>
      </c>
      <c r="D46" s="147"/>
      <c r="E46" s="147"/>
      <c r="F46" s="147"/>
      <c r="G46" s="147"/>
      <c r="H46" s="147"/>
      <c r="I46" s="147"/>
      <c r="J46" s="147"/>
      <c r="K46" s="3"/>
      <c r="L46" s="3"/>
      <c r="M46" s="3"/>
      <c r="N46" s="3"/>
      <c r="O46" s="3"/>
      <c r="P46" s="3"/>
      <c r="Q46" s="3"/>
      <c r="R46" s="3"/>
      <c r="S46" s="3"/>
      <c r="T46" s="3"/>
      <c r="U46" s="3"/>
      <c r="V46" s="3"/>
      <c r="W46" s="3"/>
      <c r="X46" s="3"/>
      <c r="Y46" s="3"/>
      <c r="Z46" s="3"/>
    </row>
    <row r="47" spans="1:26" ht="22.5" customHeight="1" x14ac:dyDescent="0.85">
      <c r="A47" s="164" t="s">
        <v>136</v>
      </c>
      <c r="B47" s="165">
        <f>B45</f>
        <v>-7091</v>
      </c>
      <c r="C47" s="156" t="s">
        <v>106</v>
      </c>
      <c r="D47" s="147"/>
      <c r="E47" s="147"/>
      <c r="F47" s="147"/>
      <c r="G47" s="147"/>
      <c r="H47" s="147"/>
      <c r="I47" s="147"/>
      <c r="J47" s="147"/>
      <c r="K47" s="3"/>
      <c r="L47" s="3"/>
      <c r="M47" s="3"/>
      <c r="N47" s="3"/>
      <c r="O47" s="3"/>
      <c r="P47" s="3"/>
      <c r="Q47" s="3"/>
      <c r="R47" s="3"/>
      <c r="S47" s="3"/>
      <c r="T47" s="3"/>
      <c r="U47" s="3"/>
      <c r="V47" s="3"/>
      <c r="W47" s="3"/>
      <c r="X47" s="3"/>
      <c r="Y47" s="3"/>
      <c r="Z47" s="3"/>
    </row>
    <row r="48" spans="1:26" ht="22.5" customHeight="1" x14ac:dyDescent="0.85">
      <c r="A48" s="164" t="s">
        <v>123</v>
      </c>
      <c r="B48" s="155">
        <f>B46+B47</f>
        <v>5523225.6227587126</v>
      </c>
      <c r="C48" s="156" t="s">
        <v>106</v>
      </c>
      <c r="D48" s="147"/>
      <c r="E48" s="147"/>
      <c r="F48" s="147"/>
      <c r="G48" s="147"/>
      <c r="H48" s="147"/>
      <c r="I48" s="147"/>
      <c r="J48" s="147"/>
      <c r="K48" s="3"/>
      <c r="L48" s="3"/>
      <c r="M48" s="3"/>
      <c r="N48" s="3"/>
      <c r="O48" s="3"/>
      <c r="P48" s="3"/>
      <c r="Q48" s="3"/>
      <c r="R48" s="3"/>
      <c r="S48" s="3"/>
      <c r="T48" s="3"/>
      <c r="U48" s="3"/>
      <c r="V48" s="3"/>
      <c r="W48" s="3"/>
      <c r="X48" s="3"/>
      <c r="Y48" s="3"/>
      <c r="Z48" s="3"/>
    </row>
    <row r="49" spans="1:26" ht="22.5" customHeight="1" x14ac:dyDescent="0.85">
      <c r="A49" s="166"/>
      <c r="B49" s="167"/>
      <c r="C49" s="167"/>
      <c r="D49" s="147"/>
      <c r="E49" s="147"/>
      <c r="F49" s="147"/>
      <c r="G49" s="147"/>
      <c r="H49" s="147"/>
      <c r="I49" s="147"/>
      <c r="J49" s="147"/>
      <c r="K49" s="3"/>
      <c r="L49" s="3"/>
      <c r="M49" s="3"/>
      <c r="N49" s="3"/>
      <c r="O49" s="3"/>
      <c r="P49" s="3"/>
      <c r="Q49" s="3"/>
      <c r="R49" s="3"/>
      <c r="S49" s="3"/>
      <c r="T49" s="3"/>
      <c r="U49" s="3"/>
      <c r="V49" s="3"/>
      <c r="W49" s="3"/>
      <c r="X49" s="3"/>
      <c r="Y49" s="3"/>
      <c r="Z49" s="3"/>
    </row>
    <row r="50" spans="1:26" ht="22.5" customHeight="1" x14ac:dyDescent="0.85">
      <c r="A50" s="144" t="s">
        <v>407</v>
      </c>
      <c r="B50" s="145"/>
      <c r="C50" s="145"/>
      <c r="D50" s="145"/>
      <c r="E50" s="145"/>
      <c r="F50" s="146"/>
      <c r="G50" s="147"/>
      <c r="H50" s="147"/>
      <c r="I50" s="147"/>
      <c r="J50" s="147"/>
      <c r="K50" s="147"/>
      <c r="L50" s="147"/>
      <c r="M50" s="147"/>
      <c r="N50" s="3"/>
      <c r="O50" s="3"/>
      <c r="P50" s="3"/>
      <c r="Q50" s="3"/>
      <c r="R50" s="3"/>
      <c r="S50" s="3"/>
      <c r="T50" s="3"/>
      <c r="U50" s="3"/>
      <c r="V50" s="3"/>
      <c r="W50" s="3"/>
      <c r="X50" s="3"/>
      <c r="Y50" s="3"/>
      <c r="Z50" s="3"/>
    </row>
    <row r="51" spans="1:26" ht="22.5" customHeight="1" x14ac:dyDescent="0.85">
      <c r="A51" s="168" t="s">
        <v>184</v>
      </c>
      <c r="B51" s="169"/>
      <c r="C51" s="169"/>
      <c r="D51" s="169"/>
      <c r="E51" s="169"/>
      <c r="F51" s="170"/>
      <c r="G51" s="147"/>
      <c r="H51" s="147"/>
      <c r="I51" s="147"/>
      <c r="J51" s="147"/>
      <c r="K51" s="147"/>
      <c r="L51" s="147"/>
      <c r="M51" s="147"/>
      <c r="N51" s="3"/>
      <c r="O51" s="3"/>
      <c r="P51" s="3"/>
      <c r="Q51" s="3"/>
      <c r="R51" s="3"/>
      <c r="S51" s="3"/>
      <c r="T51" s="3"/>
      <c r="U51" s="3"/>
      <c r="V51" s="3"/>
      <c r="W51" s="3"/>
      <c r="X51" s="3"/>
      <c r="Y51" s="3"/>
      <c r="Z51" s="3"/>
    </row>
    <row r="52" spans="1:26" ht="22.5" customHeight="1" x14ac:dyDescent="0.85">
      <c r="A52" s="171" t="s">
        <v>408</v>
      </c>
      <c r="B52" s="172"/>
      <c r="C52" s="172"/>
      <c r="D52" s="172"/>
      <c r="E52" s="172"/>
      <c r="F52" s="173"/>
      <c r="G52" s="147"/>
      <c r="H52" s="147"/>
      <c r="I52" s="147"/>
      <c r="J52" s="147"/>
      <c r="K52" s="3"/>
      <c r="L52" s="3"/>
      <c r="M52" s="3"/>
      <c r="N52" s="3"/>
      <c r="O52" s="3"/>
      <c r="P52" s="3"/>
      <c r="Q52" s="3"/>
      <c r="R52" s="3"/>
      <c r="S52" s="3"/>
      <c r="T52" s="3"/>
      <c r="U52" s="3"/>
      <c r="V52" s="3"/>
      <c r="W52" s="3"/>
      <c r="X52" s="3"/>
      <c r="Y52" s="3"/>
      <c r="Z52" s="3"/>
    </row>
    <row r="53" spans="1:26" ht="22.5" customHeight="1" x14ac:dyDescent="0.85">
      <c r="A53" s="130" t="s">
        <v>409</v>
      </c>
      <c r="B53" s="130" t="s">
        <v>410</v>
      </c>
      <c r="C53" s="174" t="s">
        <v>362</v>
      </c>
      <c r="D53" s="174" t="s">
        <v>117</v>
      </c>
      <c r="E53" s="174" t="s">
        <v>251</v>
      </c>
      <c r="F53" s="174" t="s">
        <v>362</v>
      </c>
      <c r="G53" s="147"/>
      <c r="H53" s="147"/>
      <c r="I53" s="147"/>
      <c r="J53" s="147"/>
      <c r="K53" s="3"/>
      <c r="L53" s="3"/>
      <c r="M53" s="3"/>
      <c r="N53" s="3"/>
      <c r="O53" s="3"/>
      <c r="P53" s="3"/>
      <c r="Q53" s="3"/>
      <c r="R53" s="3"/>
      <c r="S53" s="3"/>
      <c r="T53" s="3"/>
      <c r="U53" s="3"/>
      <c r="V53" s="3"/>
      <c r="W53" s="3"/>
      <c r="X53" s="3"/>
      <c r="Y53" s="3"/>
      <c r="Z53" s="3"/>
    </row>
    <row r="54" spans="1:26" ht="22.5" customHeight="1" x14ac:dyDescent="0.85">
      <c r="A54" s="175" t="s">
        <v>411</v>
      </c>
      <c r="B54" s="150">
        <f>'Energy Data'!B231</f>
        <v>1261008.1062251902</v>
      </c>
      <c r="C54" s="176" t="s">
        <v>412</v>
      </c>
      <c r="D54" s="177">
        <v>1</v>
      </c>
      <c r="E54" s="178">
        <f>'Energy Data'!B227</f>
        <v>237413155.7720001</v>
      </c>
      <c r="F54" s="176" t="s">
        <v>413</v>
      </c>
      <c r="G54" s="147"/>
      <c r="H54" s="147"/>
      <c r="I54" s="147"/>
      <c r="J54" s="147"/>
      <c r="K54" s="3"/>
      <c r="L54" s="3"/>
      <c r="M54" s="3"/>
      <c r="N54" s="3"/>
      <c r="O54" s="3"/>
      <c r="P54" s="3"/>
      <c r="Q54" s="3"/>
      <c r="R54" s="3"/>
      <c r="S54" s="3"/>
      <c r="T54" s="3"/>
      <c r="U54" s="3"/>
      <c r="V54" s="3"/>
      <c r="W54" s="3"/>
      <c r="X54" s="3"/>
      <c r="Y54" s="3"/>
      <c r="Z54" s="3"/>
    </row>
    <row r="55" spans="1:26" ht="22.5" customHeight="1" x14ac:dyDescent="0.85">
      <c r="A55" s="13" t="s">
        <v>414</v>
      </c>
      <c r="B55" s="150">
        <f>'Energy Data'!B223</f>
        <v>766028.3102384347</v>
      </c>
      <c r="C55" s="176" t="s">
        <v>412</v>
      </c>
      <c r="D55" s="177">
        <v>1</v>
      </c>
      <c r="E55" s="178">
        <f>'Energy Data'!B219</f>
        <v>144222069.34799999</v>
      </c>
      <c r="F55" s="176" t="s">
        <v>413</v>
      </c>
      <c r="G55" s="147"/>
      <c r="H55" s="147"/>
      <c r="I55" s="147"/>
      <c r="J55" s="147"/>
      <c r="K55" s="3"/>
      <c r="L55" s="3"/>
      <c r="M55" s="3"/>
      <c r="N55" s="3"/>
      <c r="O55" s="3"/>
      <c r="P55" s="3"/>
      <c r="Q55" s="3"/>
      <c r="R55" s="3"/>
      <c r="S55" s="3"/>
      <c r="T55" s="3"/>
      <c r="U55" s="3"/>
      <c r="V55" s="3"/>
      <c r="W55" s="3"/>
      <c r="X55" s="3"/>
      <c r="Y55" s="3"/>
      <c r="Z55" s="3"/>
    </row>
    <row r="56" spans="1:26" ht="22.5" customHeight="1" x14ac:dyDescent="0.85">
      <c r="A56" s="13" t="s">
        <v>266</v>
      </c>
      <c r="B56" s="150">
        <f>'Energy Data'!B240</f>
        <v>0</v>
      </c>
      <c r="C56" s="176" t="s">
        <v>412</v>
      </c>
      <c r="D56" s="177">
        <v>1</v>
      </c>
      <c r="E56" s="178">
        <f>'Energy Data'!B236</f>
        <v>0</v>
      </c>
      <c r="F56" s="176" t="s">
        <v>415</v>
      </c>
      <c r="G56" s="147"/>
      <c r="H56" s="147"/>
      <c r="I56" s="147"/>
      <c r="J56" s="147"/>
      <c r="K56" s="3"/>
      <c r="L56" s="3"/>
      <c r="M56" s="3"/>
      <c r="N56" s="3"/>
      <c r="O56" s="3"/>
      <c r="P56" s="3"/>
      <c r="Q56" s="3"/>
      <c r="R56" s="3"/>
      <c r="S56" s="3"/>
      <c r="T56" s="3"/>
      <c r="U56" s="3"/>
      <c r="V56" s="3"/>
      <c r="W56" s="3"/>
      <c r="X56" s="3"/>
      <c r="Y56" s="3"/>
      <c r="Z56" s="3"/>
    </row>
    <row r="57" spans="1:26" ht="22.5" customHeight="1" x14ac:dyDescent="0.85">
      <c r="A57" s="13" t="s">
        <v>141</v>
      </c>
      <c r="B57" s="150">
        <f>'Energy Data'!B248+'Energy Data'!B256</f>
        <v>6145.0806318442628</v>
      </c>
      <c r="C57" s="176" t="s">
        <v>412</v>
      </c>
      <c r="D57" s="177">
        <v>1</v>
      </c>
      <c r="E57" s="178">
        <f>'Energy Data'!B244+'Energy Data'!B252</f>
        <v>1088684.6721311477</v>
      </c>
      <c r="F57" s="176" t="s">
        <v>416</v>
      </c>
      <c r="G57" s="147"/>
      <c r="H57" s="147"/>
      <c r="I57" s="147"/>
      <c r="J57" s="147"/>
      <c r="K57" s="3"/>
      <c r="L57" s="3"/>
      <c r="M57" s="3"/>
      <c r="N57" s="3"/>
      <c r="O57" s="3"/>
      <c r="P57" s="3"/>
      <c r="Q57" s="3"/>
      <c r="R57" s="3"/>
      <c r="S57" s="3"/>
      <c r="T57" s="3"/>
      <c r="U57" s="3"/>
      <c r="V57" s="3"/>
      <c r="W57" s="3"/>
      <c r="X57" s="3"/>
      <c r="Y57" s="3"/>
      <c r="Z57" s="3"/>
    </row>
    <row r="58" spans="1:26" ht="22.5" customHeight="1" x14ac:dyDescent="0.85">
      <c r="A58" s="13" t="s">
        <v>142</v>
      </c>
      <c r="B58" s="150">
        <f>'Energy Data'!B265</f>
        <v>16.13682</v>
      </c>
      <c r="C58" s="179" t="s">
        <v>412</v>
      </c>
      <c r="D58" s="180">
        <v>1</v>
      </c>
      <c r="E58" s="178">
        <f>'Energy Data'!B261</f>
        <v>112752</v>
      </c>
      <c r="F58" s="179" t="s">
        <v>417</v>
      </c>
      <c r="G58" s="147"/>
      <c r="H58" s="147"/>
      <c r="I58" s="147"/>
      <c r="J58" s="147"/>
      <c r="K58" s="3"/>
      <c r="L58" s="3"/>
      <c r="M58" s="3"/>
      <c r="N58" s="3"/>
      <c r="O58" s="3"/>
      <c r="P58" s="3"/>
      <c r="Q58" s="3"/>
      <c r="R58" s="3"/>
      <c r="S58" s="3"/>
      <c r="T58" s="3"/>
      <c r="U58" s="3"/>
      <c r="V58" s="3"/>
      <c r="W58" s="3"/>
      <c r="X58" s="3"/>
      <c r="Y58" s="3"/>
      <c r="Z58" s="3"/>
    </row>
    <row r="59" spans="1:26" ht="22.5" customHeight="1" x14ac:dyDescent="0.85">
      <c r="A59" s="181" t="s">
        <v>418</v>
      </c>
      <c r="B59" s="182">
        <f>SUM(B54:B58)</f>
        <v>2033197.6339154691</v>
      </c>
      <c r="C59" s="183"/>
      <c r="D59" s="184"/>
      <c r="E59" s="184"/>
      <c r="F59" s="185"/>
      <c r="G59" s="147"/>
      <c r="H59" s="147"/>
      <c r="I59" s="147"/>
      <c r="J59" s="147"/>
      <c r="K59" s="3"/>
      <c r="L59" s="3"/>
      <c r="M59" s="3"/>
      <c r="N59" s="3"/>
      <c r="O59" s="3"/>
      <c r="P59" s="3"/>
      <c r="Q59" s="3"/>
      <c r="R59" s="3"/>
      <c r="S59" s="3"/>
      <c r="T59" s="3"/>
      <c r="U59" s="3"/>
      <c r="V59" s="3"/>
      <c r="W59" s="3"/>
      <c r="X59" s="3"/>
      <c r="Y59" s="3"/>
      <c r="Z59" s="3"/>
    </row>
    <row r="60" spans="1:26" ht="22.5" customHeight="1" x14ac:dyDescent="0.85">
      <c r="A60" s="171" t="s">
        <v>419</v>
      </c>
      <c r="B60" s="172"/>
      <c r="C60" s="172"/>
      <c r="D60" s="172"/>
      <c r="E60" s="172"/>
      <c r="F60" s="173"/>
      <c r="G60" s="147"/>
      <c r="H60" s="147"/>
      <c r="I60" s="147"/>
      <c r="J60" s="147"/>
      <c r="K60" s="3"/>
      <c r="L60" s="3"/>
      <c r="M60" s="3"/>
      <c r="N60" s="3"/>
      <c r="O60" s="3"/>
      <c r="P60" s="3"/>
      <c r="Q60" s="3"/>
      <c r="R60" s="3"/>
      <c r="S60" s="3"/>
      <c r="T60" s="3"/>
      <c r="U60" s="3"/>
      <c r="V60" s="3"/>
      <c r="W60" s="3"/>
      <c r="X60" s="3"/>
      <c r="Y60" s="3"/>
      <c r="Z60" s="3"/>
    </row>
    <row r="61" spans="1:26" ht="22.5" customHeight="1" x14ac:dyDescent="0.85">
      <c r="A61" s="130" t="s">
        <v>409</v>
      </c>
      <c r="B61" s="130" t="s">
        <v>410</v>
      </c>
      <c r="C61" s="174" t="s">
        <v>362</v>
      </c>
      <c r="D61" s="174" t="s">
        <v>117</v>
      </c>
      <c r="E61" s="174" t="s">
        <v>251</v>
      </c>
      <c r="F61" s="174" t="s">
        <v>362</v>
      </c>
      <c r="G61" s="147"/>
      <c r="H61" s="147"/>
      <c r="I61" s="147"/>
      <c r="J61" s="147"/>
      <c r="K61" s="3"/>
      <c r="L61" s="3"/>
      <c r="M61" s="3"/>
      <c r="N61" s="3"/>
      <c r="O61" s="3"/>
      <c r="P61" s="3"/>
      <c r="Q61" s="3"/>
      <c r="R61" s="3"/>
      <c r="S61" s="3"/>
      <c r="T61" s="3"/>
      <c r="U61" s="3"/>
      <c r="V61" s="3"/>
      <c r="W61" s="3"/>
      <c r="X61" s="3"/>
      <c r="Y61" s="3"/>
      <c r="Z61" s="3"/>
    </row>
    <row r="62" spans="1:26" ht="22.5" customHeight="1" x14ac:dyDescent="0.85">
      <c r="A62" s="13" t="s">
        <v>420</v>
      </c>
      <c r="B62" s="150">
        <f>SUM('Energy Data'!B87,'Energy Data'!B140)</f>
        <v>596946.41711227165</v>
      </c>
      <c r="C62" s="176" t="s">
        <v>412</v>
      </c>
      <c r="D62" s="177">
        <v>2</v>
      </c>
      <c r="E62" s="150">
        <f>SUM('Energy Data'!B83,'Energy Data'!B136)</f>
        <v>2306690320.835999</v>
      </c>
      <c r="F62" s="176" t="s">
        <v>421</v>
      </c>
      <c r="G62" s="147"/>
      <c r="H62" s="147"/>
      <c r="I62" s="147"/>
      <c r="J62" s="147"/>
      <c r="K62" s="3"/>
      <c r="L62" s="3"/>
      <c r="M62" s="3"/>
      <c r="N62" s="3"/>
      <c r="O62" s="3"/>
      <c r="P62" s="3"/>
      <c r="Q62" s="3"/>
      <c r="R62" s="3"/>
      <c r="S62" s="3"/>
      <c r="T62" s="3"/>
      <c r="U62" s="3"/>
      <c r="V62" s="3"/>
      <c r="W62" s="3"/>
      <c r="X62" s="3"/>
      <c r="Y62" s="3"/>
      <c r="Z62" s="3"/>
    </row>
    <row r="63" spans="1:26" ht="22.5" customHeight="1" x14ac:dyDescent="0.85">
      <c r="A63" s="13" t="s">
        <v>422</v>
      </c>
      <c r="B63" s="150">
        <f>SUM('Energy Data'!B78)</f>
        <v>390582.24910574389</v>
      </c>
      <c r="C63" s="176" t="s">
        <v>412</v>
      </c>
      <c r="D63" s="177">
        <v>2</v>
      </c>
      <c r="E63" s="150">
        <f>SUM('Energy Data'!B73)</f>
        <v>1533534496.681</v>
      </c>
      <c r="F63" s="176" t="s">
        <v>421</v>
      </c>
      <c r="G63" s="147"/>
      <c r="H63" s="147"/>
      <c r="I63" s="147"/>
      <c r="J63" s="147"/>
      <c r="K63" s="3"/>
      <c r="L63" s="3"/>
      <c r="M63" s="3"/>
      <c r="N63" s="3"/>
      <c r="O63" s="3"/>
      <c r="P63" s="3"/>
      <c r="Q63" s="3"/>
      <c r="R63" s="3"/>
      <c r="S63" s="3"/>
      <c r="T63" s="3"/>
      <c r="U63" s="3"/>
      <c r="V63" s="3"/>
      <c r="W63" s="3"/>
      <c r="X63" s="3"/>
      <c r="Y63" s="3"/>
      <c r="Z63" s="3"/>
    </row>
    <row r="64" spans="1:26" ht="22.5" customHeight="1" x14ac:dyDescent="0.85">
      <c r="A64" s="13" t="s">
        <v>423</v>
      </c>
      <c r="B64" s="150">
        <v>0</v>
      </c>
      <c r="C64" s="179" t="s">
        <v>412</v>
      </c>
      <c r="D64" s="180">
        <v>2</v>
      </c>
      <c r="E64" s="150">
        <v>0</v>
      </c>
      <c r="F64" s="179" t="s">
        <v>421</v>
      </c>
      <c r="G64" s="147"/>
      <c r="H64" s="147"/>
      <c r="I64" s="147"/>
      <c r="J64" s="147"/>
      <c r="K64" s="3"/>
      <c r="L64" s="3"/>
      <c r="M64" s="3"/>
      <c r="N64" s="3"/>
      <c r="O64" s="3"/>
      <c r="P64" s="3"/>
      <c r="Q64" s="3"/>
      <c r="R64" s="3"/>
      <c r="S64" s="3"/>
      <c r="T64" s="3"/>
      <c r="U64" s="3"/>
      <c r="V64" s="3"/>
      <c r="W64" s="3"/>
      <c r="X64" s="3"/>
      <c r="Y64" s="3"/>
      <c r="Z64" s="3"/>
    </row>
    <row r="65" spans="1:26" ht="22.5" customHeight="1" x14ac:dyDescent="0.85">
      <c r="A65" s="181" t="s">
        <v>424</v>
      </c>
      <c r="B65" s="182">
        <f>SUM(B62:B64)</f>
        <v>987528.6662180156</v>
      </c>
      <c r="C65" s="183"/>
      <c r="D65" s="184"/>
      <c r="E65" s="184"/>
      <c r="F65" s="185"/>
      <c r="G65" s="147"/>
      <c r="H65" s="147"/>
      <c r="I65" s="147"/>
      <c r="J65" s="147"/>
      <c r="K65" s="3"/>
      <c r="L65" s="3"/>
      <c r="M65" s="3"/>
      <c r="N65" s="3"/>
      <c r="O65" s="3"/>
      <c r="P65" s="3"/>
      <c r="Q65" s="3"/>
      <c r="R65" s="3"/>
      <c r="S65" s="3"/>
      <c r="T65" s="3"/>
      <c r="U65" s="3"/>
      <c r="V65" s="3"/>
      <c r="W65" s="3"/>
      <c r="X65" s="3"/>
      <c r="Y65" s="3"/>
      <c r="Z65" s="3"/>
    </row>
    <row r="66" spans="1:26" ht="22.5" customHeight="1" x14ac:dyDescent="0.85">
      <c r="A66" s="171" t="s">
        <v>425</v>
      </c>
      <c r="B66" s="172"/>
      <c r="C66" s="172"/>
      <c r="D66" s="172"/>
      <c r="E66" s="172"/>
      <c r="F66" s="173"/>
      <c r="G66" s="147"/>
      <c r="H66" s="147"/>
      <c r="I66" s="147"/>
      <c r="J66" s="147"/>
      <c r="K66" s="3"/>
      <c r="L66" s="3"/>
      <c r="M66" s="3"/>
      <c r="N66" s="3"/>
      <c r="O66" s="3"/>
      <c r="P66" s="3"/>
      <c r="Q66" s="3"/>
      <c r="R66" s="3"/>
      <c r="S66" s="3"/>
      <c r="T66" s="3"/>
      <c r="U66" s="3"/>
      <c r="V66" s="3"/>
      <c r="W66" s="3"/>
      <c r="X66" s="3"/>
      <c r="Y66" s="3"/>
      <c r="Z66" s="3"/>
    </row>
    <row r="67" spans="1:26" ht="22.5" customHeight="1" x14ac:dyDescent="0.85">
      <c r="A67" s="130" t="s">
        <v>409</v>
      </c>
      <c r="B67" s="130" t="s">
        <v>410</v>
      </c>
      <c r="C67" s="174" t="s">
        <v>362</v>
      </c>
      <c r="D67" s="174" t="s">
        <v>117</v>
      </c>
      <c r="E67" s="174" t="s">
        <v>251</v>
      </c>
      <c r="F67" s="174" t="s">
        <v>362</v>
      </c>
      <c r="G67" s="147"/>
      <c r="H67" s="147"/>
      <c r="I67" s="147"/>
      <c r="J67" s="147"/>
      <c r="K67" s="3"/>
      <c r="L67" s="3"/>
      <c r="M67" s="3"/>
      <c r="N67" s="3"/>
      <c r="O67" s="3"/>
      <c r="P67" s="3"/>
      <c r="Q67" s="3"/>
      <c r="R67" s="3"/>
      <c r="S67" s="3"/>
      <c r="T67" s="3"/>
      <c r="U67" s="3"/>
      <c r="V67" s="3"/>
      <c r="W67" s="3"/>
      <c r="X67" s="3"/>
      <c r="Y67" s="3"/>
      <c r="Z67" s="3"/>
    </row>
    <row r="68" spans="1:26" ht="22.5" customHeight="1" x14ac:dyDescent="0.85">
      <c r="A68" s="13" t="s">
        <v>426</v>
      </c>
      <c r="B68" s="150">
        <f>'Energy Data'!F4</f>
        <v>26465.768254642815</v>
      </c>
      <c r="C68" s="176" t="s">
        <v>412</v>
      </c>
      <c r="D68" s="177">
        <v>3</v>
      </c>
      <c r="E68" s="150">
        <f>SUM('Energy Data'!B97,'Energy Data'!B150)</f>
        <v>102267690.56056078</v>
      </c>
      <c r="F68" s="176" t="s">
        <v>421</v>
      </c>
      <c r="G68" s="147"/>
      <c r="H68" s="147"/>
      <c r="I68" s="147"/>
      <c r="J68" s="147"/>
      <c r="K68" s="3"/>
      <c r="L68" s="3"/>
      <c r="M68" s="3"/>
      <c r="N68" s="3"/>
      <c r="O68" s="3"/>
      <c r="P68" s="3"/>
      <c r="Q68" s="3"/>
      <c r="R68" s="3"/>
      <c r="S68" s="3"/>
      <c r="T68" s="3"/>
      <c r="U68" s="3"/>
      <c r="V68" s="3"/>
      <c r="W68" s="3"/>
      <c r="X68" s="3"/>
      <c r="Y68" s="3"/>
      <c r="Z68" s="3"/>
    </row>
    <row r="69" spans="1:26" ht="22.5" customHeight="1" x14ac:dyDescent="0.85">
      <c r="A69" s="181" t="s">
        <v>427</v>
      </c>
      <c r="B69" s="182">
        <f>B68</f>
        <v>26465.768254642815</v>
      </c>
      <c r="C69" s="183"/>
      <c r="D69" s="184"/>
      <c r="E69" s="184"/>
      <c r="F69" s="185"/>
      <c r="G69" s="147"/>
      <c r="H69" s="147"/>
      <c r="I69" s="147"/>
      <c r="J69" s="147"/>
      <c r="K69" s="3"/>
      <c r="L69" s="3"/>
      <c r="M69" s="3"/>
      <c r="N69" s="3"/>
      <c r="O69" s="3"/>
      <c r="P69" s="3"/>
      <c r="Q69" s="3"/>
      <c r="R69" s="3"/>
      <c r="S69" s="3"/>
      <c r="T69" s="3"/>
      <c r="U69" s="3"/>
      <c r="V69" s="3"/>
      <c r="W69" s="3"/>
      <c r="X69" s="3"/>
      <c r="Y69" s="3"/>
      <c r="Z69" s="3"/>
    </row>
    <row r="70" spans="1:26" ht="22.5" customHeight="1" x14ac:dyDescent="0.85">
      <c r="A70" s="171" t="s">
        <v>428</v>
      </c>
      <c r="B70" s="172"/>
      <c r="C70" s="172"/>
      <c r="D70" s="172"/>
      <c r="E70" s="172"/>
      <c r="F70" s="173"/>
      <c r="G70" s="147"/>
      <c r="H70" s="147"/>
      <c r="I70" s="147"/>
      <c r="J70" s="147"/>
      <c r="K70" s="3"/>
      <c r="L70" s="3"/>
      <c r="M70" s="3"/>
      <c r="N70" s="3"/>
      <c r="O70" s="3"/>
      <c r="P70" s="3"/>
      <c r="Q70" s="3"/>
      <c r="R70" s="3"/>
      <c r="S70" s="3"/>
      <c r="T70" s="3"/>
      <c r="U70" s="3"/>
      <c r="V70" s="3"/>
      <c r="W70" s="3"/>
      <c r="X70" s="3"/>
      <c r="Y70" s="3"/>
      <c r="Z70" s="3"/>
    </row>
    <row r="71" spans="1:26" ht="22.5" customHeight="1" x14ac:dyDescent="0.85">
      <c r="A71" s="130" t="s">
        <v>409</v>
      </c>
      <c r="B71" s="130" t="s">
        <v>410</v>
      </c>
      <c r="C71" s="174" t="s">
        <v>362</v>
      </c>
      <c r="D71" s="174" t="s">
        <v>117</v>
      </c>
      <c r="E71" s="174" t="s">
        <v>251</v>
      </c>
      <c r="F71" s="174" t="s">
        <v>362</v>
      </c>
      <c r="G71" s="147"/>
      <c r="H71" s="147"/>
      <c r="I71" s="147"/>
      <c r="J71" s="147"/>
      <c r="K71" s="3"/>
      <c r="L71" s="3"/>
      <c r="M71" s="3"/>
      <c r="N71" s="3"/>
      <c r="O71" s="3"/>
      <c r="P71" s="3"/>
      <c r="Q71" s="3"/>
      <c r="R71" s="3"/>
      <c r="S71" s="3"/>
      <c r="T71" s="3"/>
      <c r="U71" s="3"/>
      <c r="V71" s="3"/>
      <c r="W71" s="3"/>
      <c r="X71" s="3"/>
      <c r="Y71" s="3"/>
      <c r="Z71" s="3"/>
    </row>
    <row r="72" spans="1:26" ht="22.5" customHeight="1" x14ac:dyDescent="0.85">
      <c r="A72" s="175" t="s">
        <v>429</v>
      </c>
      <c r="B72" s="150">
        <f>'Fugitive Emissions Data'!B30</f>
        <v>41066.443991583532</v>
      </c>
      <c r="C72" s="176" t="s">
        <v>412</v>
      </c>
      <c r="D72" s="177">
        <v>1</v>
      </c>
      <c r="E72" s="178">
        <f>'Fugitive Emissions Data'!B24</f>
        <v>237413155.7720001</v>
      </c>
      <c r="F72" s="176" t="s">
        <v>413</v>
      </c>
      <c r="G72" s="147"/>
      <c r="H72" s="147"/>
      <c r="I72" s="147"/>
      <c r="J72" s="147"/>
      <c r="K72" s="3"/>
      <c r="L72" s="3"/>
      <c r="M72" s="3"/>
      <c r="N72" s="3"/>
      <c r="O72" s="3"/>
      <c r="P72" s="3"/>
      <c r="Q72" s="3"/>
      <c r="R72" s="3"/>
      <c r="S72" s="3"/>
      <c r="T72" s="3"/>
      <c r="U72" s="3"/>
      <c r="V72" s="3"/>
      <c r="W72" s="3"/>
      <c r="X72" s="3"/>
      <c r="Y72" s="3"/>
      <c r="Z72" s="3"/>
    </row>
    <row r="73" spans="1:26" ht="22.5" customHeight="1" x14ac:dyDescent="0.85">
      <c r="A73" s="175" t="s">
        <v>430</v>
      </c>
      <c r="B73" s="150">
        <f>'Fugitive Emissions Data'!B31</f>
        <v>24946.753746526905</v>
      </c>
      <c r="C73" s="179" t="s">
        <v>412</v>
      </c>
      <c r="D73" s="180">
        <v>1</v>
      </c>
      <c r="E73" s="178">
        <f>'Fugitive Emissions Data'!B25</f>
        <v>144222069.34799999</v>
      </c>
      <c r="F73" s="179" t="s">
        <v>413</v>
      </c>
      <c r="G73" s="147"/>
      <c r="H73" s="147"/>
      <c r="I73" s="147"/>
      <c r="J73" s="147"/>
      <c r="K73" s="3"/>
      <c r="L73" s="3"/>
      <c r="M73" s="3"/>
      <c r="N73" s="3"/>
      <c r="O73" s="3"/>
      <c r="P73" s="3"/>
      <c r="Q73" s="3"/>
      <c r="R73" s="3"/>
      <c r="S73" s="3"/>
      <c r="T73" s="3"/>
      <c r="U73" s="3"/>
      <c r="V73" s="3"/>
      <c r="W73" s="3"/>
      <c r="X73" s="3"/>
      <c r="Y73" s="3"/>
      <c r="Z73" s="3"/>
    </row>
    <row r="74" spans="1:26" ht="22.5" customHeight="1" x14ac:dyDescent="0.85">
      <c r="A74" s="181" t="s">
        <v>431</v>
      </c>
      <c r="B74" s="182">
        <f>SUM(B72:B73)</f>
        <v>66013.197738110437</v>
      </c>
      <c r="C74" s="183"/>
      <c r="D74" s="184"/>
      <c r="E74" s="184"/>
      <c r="F74" s="185"/>
      <c r="G74" s="147"/>
      <c r="H74" s="147"/>
      <c r="I74" s="147"/>
      <c r="J74" s="147"/>
      <c r="K74" s="3"/>
      <c r="L74" s="3"/>
      <c r="M74" s="3"/>
      <c r="N74" s="3"/>
      <c r="O74" s="3"/>
      <c r="P74" s="3"/>
      <c r="Q74" s="3"/>
      <c r="R74" s="3"/>
      <c r="S74" s="3"/>
      <c r="T74" s="3"/>
      <c r="U74" s="3"/>
      <c r="V74" s="3"/>
      <c r="W74" s="3"/>
      <c r="X74" s="3"/>
      <c r="Y74" s="3"/>
      <c r="Z74" s="3"/>
    </row>
    <row r="75" spans="1:26" ht="22.5" customHeight="1" x14ac:dyDescent="0.85">
      <c r="A75" s="186" t="s">
        <v>432</v>
      </c>
      <c r="B75" s="187">
        <f>SUM(B54,B56,B55,B57,B58,B62,B63,B64,B68,B72,B73)</f>
        <v>3113205.2661262378</v>
      </c>
      <c r="C75" s="188"/>
      <c r="D75" s="189"/>
      <c r="E75" s="189"/>
      <c r="F75" s="190"/>
      <c r="G75" s="147"/>
      <c r="H75" s="147"/>
      <c r="I75" s="147"/>
      <c r="J75" s="147"/>
      <c r="K75" s="3"/>
      <c r="L75" s="3"/>
      <c r="M75" s="3"/>
      <c r="N75" s="3"/>
      <c r="O75" s="3"/>
      <c r="P75" s="3"/>
      <c r="Q75" s="3"/>
      <c r="R75" s="3"/>
      <c r="S75" s="3"/>
      <c r="T75" s="3"/>
      <c r="U75" s="3"/>
      <c r="V75" s="3"/>
      <c r="W75" s="3"/>
      <c r="X75" s="3"/>
      <c r="Y75" s="3"/>
      <c r="Z75" s="3"/>
    </row>
    <row r="76" spans="1:26" ht="22.5" customHeight="1" x14ac:dyDescent="0.85">
      <c r="A76" s="191" t="s">
        <v>131</v>
      </c>
      <c r="B76" s="192"/>
      <c r="C76" s="193"/>
      <c r="D76" s="193"/>
      <c r="E76" s="193"/>
      <c r="F76" s="194"/>
      <c r="G76" s="147"/>
      <c r="H76" s="147"/>
      <c r="I76" s="147"/>
      <c r="J76" s="147"/>
      <c r="K76" s="147"/>
      <c r="L76" s="147"/>
      <c r="M76" s="147"/>
      <c r="N76" s="3"/>
      <c r="O76" s="3"/>
      <c r="P76" s="3"/>
      <c r="Q76" s="3"/>
      <c r="R76" s="3"/>
      <c r="S76" s="3"/>
      <c r="T76" s="3"/>
      <c r="U76" s="3"/>
      <c r="V76" s="3"/>
      <c r="W76" s="3"/>
      <c r="X76" s="3"/>
      <c r="Y76" s="3"/>
      <c r="Z76" s="3"/>
    </row>
    <row r="77" spans="1:26" ht="22.5" customHeight="1" x14ac:dyDescent="0.85">
      <c r="A77" s="171" t="s">
        <v>433</v>
      </c>
      <c r="B77" s="172"/>
      <c r="C77" s="172"/>
      <c r="D77" s="172"/>
      <c r="E77" s="172"/>
      <c r="F77" s="173"/>
      <c r="G77" s="147"/>
      <c r="H77" s="147"/>
      <c r="I77" s="147"/>
      <c r="J77" s="147"/>
      <c r="K77" s="3"/>
      <c r="L77" s="3"/>
      <c r="M77" s="3"/>
      <c r="N77" s="3"/>
      <c r="O77" s="3"/>
      <c r="P77" s="3"/>
      <c r="Q77" s="3"/>
      <c r="R77" s="3"/>
      <c r="S77" s="3"/>
      <c r="T77" s="3"/>
      <c r="U77" s="3"/>
      <c r="V77" s="3"/>
      <c r="W77" s="3"/>
      <c r="X77" s="3"/>
      <c r="Y77" s="3"/>
      <c r="Z77" s="3"/>
    </row>
    <row r="78" spans="1:26" ht="22.5" customHeight="1" x14ac:dyDescent="0.85">
      <c r="A78" s="130" t="s">
        <v>409</v>
      </c>
      <c r="B78" s="130" t="s">
        <v>410</v>
      </c>
      <c r="C78" s="174" t="s">
        <v>362</v>
      </c>
      <c r="D78" s="174" t="s">
        <v>117</v>
      </c>
      <c r="E78" s="174" t="s">
        <v>251</v>
      </c>
      <c r="F78" s="174" t="s">
        <v>362</v>
      </c>
      <c r="G78" s="147"/>
      <c r="H78" s="147"/>
      <c r="I78" s="147"/>
      <c r="J78" s="147"/>
      <c r="K78" s="3"/>
      <c r="L78" s="3"/>
      <c r="M78" s="3"/>
      <c r="N78" s="3"/>
      <c r="O78" s="3"/>
      <c r="P78" s="3"/>
      <c r="Q78" s="3"/>
      <c r="R78" s="3"/>
      <c r="S78" s="3"/>
      <c r="T78" s="3"/>
      <c r="U78" s="3"/>
      <c r="V78" s="3"/>
      <c r="W78" s="3"/>
      <c r="X78" s="3"/>
      <c r="Y78" s="3"/>
      <c r="Z78" s="3"/>
    </row>
    <row r="79" spans="1:26" ht="22.5" customHeight="1" x14ac:dyDescent="0.85">
      <c r="A79" s="175" t="s">
        <v>434</v>
      </c>
      <c r="B79" s="150">
        <f>'On-Road Data'!D4</f>
        <v>1789334.2677238872</v>
      </c>
      <c r="C79" s="176" t="s">
        <v>412</v>
      </c>
      <c r="D79" s="176">
        <v>1</v>
      </c>
      <c r="E79" s="178">
        <f>'On-Road Data'!C92</f>
        <v>3992487034.4893227</v>
      </c>
      <c r="F79" s="176" t="s">
        <v>435</v>
      </c>
      <c r="G79" s="147"/>
      <c r="H79" s="147"/>
      <c r="I79" s="147"/>
      <c r="J79" s="147"/>
      <c r="K79" s="3"/>
      <c r="L79" s="3"/>
      <c r="M79" s="3"/>
      <c r="N79" s="3"/>
      <c r="O79" s="3"/>
      <c r="P79" s="3"/>
      <c r="Q79" s="3"/>
      <c r="R79" s="3"/>
      <c r="S79" s="3"/>
      <c r="T79" s="3"/>
      <c r="U79" s="3"/>
      <c r="V79" s="3"/>
      <c r="W79" s="3"/>
      <c r="X79" s="3"/>
      <c r="Y79" s="3"/>
      <c r="Z79" s="3"/>
    </row>
    <row r="80" spans="1:26" ht="22.5" customHeight="1" x14ac:dyDescent="0.85">
      <c r="A80" s="175" t="s">
        <v>436</v>
      </c>
      <c r="B80" s="150">
        <f>'On-Road Data'!E4</f>
        <v>7388.038727467545</v>
      </c>
      <c r="C80" s="176" t="s">
        <v>412</v>
      </c>
      <c r="D80" s="176">
        <v>2</v>
      </c>
      <c r="E80" s="178">
        <f>'On-Road Data'!E144+'On-Road Data'!F144</f>
        <v>28548487.66</v>
      </c>
      <c r="F80" s="176" t="s">
        <v>421</v>
      </c>
      <c r="G80" s="147"/>
      <c r="H80" s="147"/>
      <c r="I80" s="147"/>
      <c r="J80" s="147"/>
      <c r="K80" s="3"/>
      <c r="L80" s="3"/>
      <c r="M80" s="3"/>
      <c r="N80" s="3"/>
      <c r="O80" s="3"/>
      <c r="P80" s="3"/>
      <c r="Q80" s="3"/>
      <c r="R80" s="3"/>
      <c r="S80" s="3"/>
      <c r="T80" s="3"/>
      <c r="U80" s="3"/>
      <c r="V80" s="3"/>
      <c r="W80" s="3"/>
      <c r="X80" s="3"/>
      <c r="Y80" s="3"/>
      <c r="Z80" s="3"/>
    </row>
    <row r="81" spans="1:26" ht="22.5" customHeight="1" x14ac:dyDescent="0.85">
      <c r="A81" s="175" t="s">
        <v>437</v>
      </c>
      <c r="B81" s="150">
        <f>'On-Road Data'!F4</f>
        <v>197.99943789613022</v>
      </c>
      <c r="C81" s="176" t="s">
        <v>412</v>
      </c>
      <c r="D81" s="176">
        <v>3</v>
      </c>
      <c r="E81" s="178">
        <f>'On-Road Data'!I144</f>
        <v>765099.46928800002</v>
      </c>
      <c r="F81" s="176" t="s">
        <v>421</v>
      </c>
      <c r="G81" s="147"/>
      <c r="H81" s="147"/>
      <c r="I81" s="147"/>
      <c r="J81" s="147"/>
      <c r="K81" s="3"/>
      <c r="L81" s="3"/>
      <c r="M81" s="3"/>
      <c r="N81" s="3"/>
      <c r="O81" s="3"/>
      <c r="P81" s="3"/>
      <c r="Q81" s="3"/>
      <c r="R81" s="3"/>
      <c r="S81" s="3"/>
      <c r="T81" s="3"/>
      <c r="U81" s="3"/>
      <c r="V81" s="3"/>
      <c r="W81" s="3"/>
      <c r="X81" s="3"/>
      <c r="Y81" s="3"/>
      <c r="Z81" s="3"/>
    </row>
    <row r="82" spans="1:26" ht="22.5" customHeight="1" x14ac:dyDescent="0.85">
      <c r="A82" s="171" t="s">
        <v>292</v>
      </c>
      <c r="B82" s="172"/>
      <c r="C82" s="172"/>
      <c r="D82" s="172"/>
      <c r="E82" s="172"/>
      <c r="F82" s="173"/>
      <c r="G82" s="147"/>
      <c r="H82" s="147"/>
      <c r="I82" s="147"/>
      <c r="J82" s="147"/>
      <c r="K82" s="3"/>
      <c r="L82" s="3"/>
      <c r="M82" s="3"/>
      <c r="N82" s="3"/>
      <c r="O82" s="3"/>
      <c r="P82" s="3"/>
      <c r="Q82" s="3"/>
      <c r="R82" s="3"/>
      <c r="S82" s="3"/>
      <c r="T82" s="3"/>
      <c r="U82" s="3"/>
      <c r="V82" s="3"/>
      <c r="W82" s="3"/>
      <c r="X82" s="3"/>
      <c r="Y82" s="3"/>
      <c r="Z82" s="3"/>
    </row>
    <row r="83" spans="1:26" ht="22.5" customHeight="1" x14ac:dyDescent="0.85">
      <c r="A83" s="130" t="s">
        <v>409</v>
      </c>
      <c r="B83" s="130" t="s">
        <v>410</v>
      </c>
      <c r="C83" s="174" t="s">
        <v>362</v>
      </c>
      <c r="D83" s="174" t="s">
        <v>117</v>
      </c>
      <c r="E83" s="174" t="s">
        <v>251</v>
      </c>
      <c r="F83" s="174" t="s">
        <v>362</v>
      </c>
      <c r="G83" s="147"/>
      <c r="H83" s="147"/>
      <c r="I83" s="147"/>
      <c r="J83" s="147"/>
      <c r="K83" s="3"/>
      <c r="L83" s="3"/>
      <c r="M83" s="3"/>
      <c r="N83" s="3"/>
      <c r="O83" s="3"/>
      <c r="P83" s="3"/>
      <c r="Q83" s="3"/>
      <c r="R83" s="3"/>
      <c r="S83" s="3"/>
      <c r="T83" s="3"/>
      <c r="U83" s="3"/>
      <c r="V83" s="3"/>
      <c r="W83" s="3"/>
      <c r="X83" s="3"/>
      <c r="Y83" s="3"/>
      <c r="Z83" s="3"/>
    </row>
    <row r="84" spans="1:26" ht="22.5" customHeight="1" x14ac:dyDescent="0.85">
      <c r="A84" s="175" t="s">
        <v>438</v>
      </c>
      <c r="B84" s="150">
        <f>'Transit Data'!D4</f>
        <v>10881.175140508007</v>
      </c>
      <c r="C84" s="176" t="s">
        <v>412</v>
      </c>
      <c r="D84" s="176">
        <v>1</v>
      </c>
      <c r="E84" s="150">
        <f>SUM('Transit Data'!B58,'Transit Data'!B64,'Transit Data'!B68)</f>
        <v>1353224.9695652174</v>
      </c>
      <c r="F84" s="176" t="s">
        <v>439</v>
      </c>
      <c r="G84" s="147"/>
      <c r="H84" s="147"/>
      <c r="I84" s="147"/>
      <c r="J84" s="147"/>
      <c r="K84" s="3"/>
      <c r="L84" s="3"/>
      <c r="M84" s="3"/>
      <c r="N84" s="3"/>
      <c r="O84" s="3"/>
      <c r="P84" s="3"/>
      <c r="Q84" s="3"/>
      <c r="R84" s="3"/>
      <c r="S84" s="3"/>
      <c r="T84" s="3"/>
      <c r="U84" s="3"/>
      <c r="V84" s="3"/>
      <c r="W84" s="3"/>
      <c r="X84" s="3"/>
      <c r="Y84" s="3"/>
      <c r="Z84" s="3"/>
    </row>
    <row r="85" spans="1:26" ht="22.5" customHeight="1" x14ac:dyDescent="0.85">
      <c r="A85" s="175" t="s">
        <v>440</v>
      </c>
      <c r="B85" s="150">
        <f>'Transit Data'!E4</f>
        <v>22.923267935026768</v>
      </c>
      <c r="C85" s="176" t="s">
        <v>412</v>
      </c>
      <c r="D85" s="176">
        <v>2</v>
      </c>
      <c r="E85" s="150">
        <f>'Transit Data'!B72</f>
        <v>88578.938999999998</v>
      </c>
      <c r="F85" s="176" t="s">
        <v>421</v>
      </c>
      <c r="G85" s="147"/>
      <c r="H85" s="147"/>
      <c r="I85" s="147"/>
      <c r="J85" s="147"/>
      <c r="K85" s="3"/>
      <c r="L85" s="3"/>
      <c r="M85" s="3"/>
      <c r="N85" s="3"/>
      <c r="O85" s="3"/>
      <c r="P85" s="3"/>
      <c r="Q85" s="3"/>
      <c r="R85" s="3"/>
      <c r="S85" s="3"/>
      <c r="T85" s="3"/>
      <c r="U85" s="3"/>
      <c r="V85" s="3"/>
      <c r="W85" s="3"/>
      <c r="X85" s="3"/>
      <c r="Y85" s="3"/>
      <c r="Z85" s="3"/>
    </row>
    <row r="86" spans="1:26" ht="22.5" customHeight="1" x14ac:dyDescent="0.85">
      <c r="A86" s="175" t="s">
        <v>441</v>
      </c>
      <c r="B86" s="195">
        <f>'Transit Data'!F4</f>
        <v>0.6143435806587173</v>
      </c>
      <c r="C86" s="176" t="s">
        <v>412</v>
      </c>
      <c r="D86" s="176">
        <v>3</v>
      </c>
      <c r="E86" s="196">
        <f>'Transit Data'!A78</f>
        <v>2373.9155651999999</v>
      </c>
      <c r="F86" s="176" t="s">
        <v>421</v>
      </c>
      <c r="G86" s="147"/>
      <c r="H86" s="147"/>
      <c r="I86" s="147"/>
      <c r="J86" s="147"/>
      <c r="K86" s="3"/>
      <c r="L86" s="3"/>
      <c r="M86" s="3"/>
      <c r="N86" s="3"/>
      <c r="O86" s="3"/>
      <c r="P86" s="3"/>
      <c r="Q86" s="3"/>
      <c r="R86" s="3"/>
      <c r="S86" s="3"/>
      <c r="T86" s="3"/>
      <c r="U86" s="3"/>
      <c r="V86" s="3"/>
      <c r="W86" s="3"/>
      <c r="X86" s="3"/>
      <c r="Y86" s="3"/>
      <c r="Z86" s="3"/>
    </row>
    <row r="87" spans="1:26" ht="22.5" customHeight="1" x14ac:dyDescent="0.85">
      <c r="A87" s="171" t="s">
        <v>299</v>
      </c>
      <c r="B87" s="172"/>
      <c r="C87" s="172"/>
      <c r="D87" s="172"/>
      <c r="E87" s="172"/>
      <c r="F87" s="173"/>
      <c r="G87" s="147"/>
      <c r="H87" s="147"/>
      <c r="I87" s="147"/>
      <c r="J87" s="147"/>
      <c r="K87" s="3"/>
      <c r="L87" s="3"/>
      <c r="M87" s="3"/>
      <c r="N87" s="3"/>
      <c r="O87" s="3"/>
      <c r="P87" s="3"/>
      <c r="Q87" s="3"/>
      <c r="R87" s="3"/>
      <c r="S87" s="3"/>
      <c r="T87" s="3"/>
      <c r="U87" s="3"/>
      <c r="V87" s="3"/>
      <c r="W87" s="3"/>
      <c r="X87" s="3"/>
      <c r="Y87" s="3"/>
      <c r="Z87" s="3"/>
    </row>
    <row r="88" spans="1:26" ht="22.5" customHeight="1" x14ac:dyDescent="0.85">
      <c r="A88" s="130" t="s">
        <v>409</v>
      </c>
      <c r="B88" s="130" t="s">
        <v>410</v>
      </c>
      <c r="C88" s="174" t="s">
        <v>362</v>
      </c>
      <c r="D88" s="174" t="s">
        <v>117</v>
      </c>
      <c r="E88" s="174" t="s">
        <v>251</v>
      </c>
      <c r="F88" s="174" t="s">
        <v>362</v>
      </c>
      <c r="G88" s="147"/>
      <c r="H88" s="147"/>
      <c r="I88" s="147"/>
      <c r="J88" s="147"/>
      <c r="K88" s="3"/>
      <c r="L88" s="3"/>
      <c r="M88" s="3"/>
      <c r="N88" s="3"/>
      <c r="O88" s="3"/>
      <c r="P88" s="3"/>
      <c r="Q88" s="3"/>
      <c r="R88" s="3"/>
      <c r="S88" s="3"/>
      <c r="T88" s="3"/>
      <c r="U88" s="3"/>
      <c r="V88" s="3"/>
      <c r="W88" s="3"/>
      <c r="X88" s="3"/>
      <c r="Y88" s="3"/>
      <c r="Z88" s="3"/>
    </row>
    <row r="89" spans="1:26" ht="22.5" customHeight="1" x14ac:dyDescent="0.85">
      <c r="A89" s="175" t="s">
        <v>150</v>
      </c>
      <c r="B89" s="150">
        <f>'Aviation Data'!D4</f>
        <v>28249.864606659077</v>
      </c>
      <c r="C89" s="176" t="s">
        <v>412</v>
      </c>
      <c r="D89" s="177">
        <v>1</v>
      </c>
      <c r="E89" s="150">
        <f>'Aviation Data'!G43</f>
        <v>2591271.3047749302</v>
      </c>
      <c r="F89" s="176" t="s">
        <v>442</v>
      </c>
      <c r="G89" s="147"/>
      <c r="H89" s="147"/>
      <c r="I89" s="147"/>
      <c r="J89" s="147"/>
      <c r="K89" s="3"/>
      <c r="L89" s="3"/>
      <c r="M89" s="3"/>
      <c r="N89" s="3"/>
      <c r="O89" s="3"/>
      <c r="P89" s="3"/>
      <c r="Q89" s="3"/>
      <c r="R89" s="3"/>
      <c r="S89" s="3"/>
      <c r="T89" s="3"/>
      <c r="U89" s="3"/>
      <c r="V89" s="3"/>
      <c r="W89" s="3"/>
      <c r="X89" s="3"/>
      <c r="Y89" s="3"/>
      <c r="Z89" s="3"/>
    </row>
    <row r="90" spans="1:26" ht="22.5" customHeight="1" x14ac:dyDescent="0.85">
      <c r="A90" s="175" t="s">
        <v>151</v>
      </c>
      <c r="B90" s="150">
        <f>'Aviation Data'!F4</f>
        <v>253855.49369732151</v>
      </c>
      <c r="C90" s="176" t="s">
        <v>412</v>
      </c>
      <c r="D90" s="177">
        <v>3</v>
      </c>
      <c r="E90" s="150">
        <f>'Aviation Data'!G45</f>
        <v>24505431.695225082</v>
      </c>
      <c r="F90" s="176" t="s">
        <v>443</v>
      </c>
      <c r="G90" s="147"/>
      <c r="H90" s="147"/>
      <c r="I90" s="147"/>
      <c r="J90" s="147"/>
      <c r="K90" s="3"/>
      <c r="L90" s="3"/>
      <c r="M90" s="3"/>
      <c r="N90" s="3"/>
      <c r="O90" s="3"/>
      <c r="P90" s="3"/>
      <c r="Q90" s="3"/>
      <c r="R90" s="3"/>
      <c r="S90" s="3"/>
      <c r="T90" s="3"/>
      <c r="U90" s="3"/>
      <c r="V90" s="3"/>
      <c r="W90" s="3"/>
      <c r="X90" s="3"/>
      <c r="Y90" s="3"/>
      <c r="Z90" s="3"/>
    </row>
    <row r="91" spans="1:26" ht="22.5" customHeight="1" x14ac:dyDescent="0.85">
      <c r="A91" s="171" t="s">
        <v>152</v>
      </c>
      <c r="B91" s="172"/>
      <c r="C91" s="172"/>
      <c r="D91" s="172"/>
      <c r="E91" s="172"/>
      <c r="F91" s="173"/>
      <c r="G91" s="147"/>
      <c r="H91" s="147"/>
      <c r="I91" s="147"/>
      <c r="J91" s="147"/>
      <c r="K91" s="3"/>
      <c r="L91" s="3"/>
      <c r="M91" s="3"/>
      <c r="N91" s="3"/>
      <c r="O91" s="3"/>
      <c r="P91" s="3"/>
      <c r="Q91" s="3"/>
      <c r="R91" s="3"/>
      <c r="S91" s="3"/>
      <c r="T91" s="3"/>
      <c r="U91" s="3"/>
      <c r="V91" s="3"/>
      <c r="W91" s="3"/>
      <c r="X91" s="3"/>
      <c r="Y91" s="3"/>
      <c r="Z91" s="3"/>
    </row>
    <row r="92" spans="1:26" ht="22.5" customHeight="1" x14ac:dyDescent="0.85">
      <c r="A92" s="130" t="s">
        <v>409</v>
      </c>
      <c r="B92" s="130" t="s">
        <v>410</v>
      </c>
      <c r="C92" s="174" t="s">
        <v>362</v>
      </c>
      <c r="D92" s="174" t="s">
        <v>117</v>
      </c>
      <c r="E92" s="174" t="s">
        <v>251</v>
      </c>
      <c r="F92" s="174" t="s">
        <v>362</v>
      </c>
      <c r="G92" s="147"/>
      <c r="H92" s="147"/>
      <c r="I92" s="147"/>
      <c r="J92" s="147"/>
      <c r="K92" s="3"/>
      <c r="L92" s="3"/>
      <c r="M92" s="3"/>
      <c r="N92" s="3"/>
      <c r="O92" s="3"/>
      <c r="P92" s="3"/>
      <c r="Q92" s="3"/>
      <c r="R92" s="3"/>
      <c r="S92" s="3"/>
      <c r="T92" s="3"/>
      <c r="U92" s="3"/>
      <c r="V92" s="3"/>
      <c r="W92" s="3"/>
      <c r="X92" s="3"/>
      <c r="Y92" s="3"/>
      <c r="Z92" s="3"/>
    </row>
    <row r="93" spans="1:26" ht="22.5" customHeight="1" x14ac:dyDescent="0.85">
      <c r="A93" s="175" t="s">
        <v>444</v>
      </c>
      <c r="B93" s="150">
        <f>'Off-Road Data'!B4</f>
        <v>79004.937282497689</v>
      </c>
      <c r="C93" s="176" t="s">
        <v>412</v>
      </c>
      <c r="D93" s="177">
        <v>1</v>
      </c>
      <c r="E93" s="176" t="s">
        <v>106</v>
      </c>
      <c r="F93" s="176" t="s">
        <v>106</v>
      </c>
      <c r="G93" s="147"/>
      <c r="H93" s="147"/>
      <c r="I93" s="147"/>
      <c r="J93" s="147"/>
      <c r="K93" s="3"/>
      <c r="L93" s="3"/>
      <c r="M93" s="3"/>
      <c r="N93" s="3"/>
      <c r="O93" s="3"/>
      <c r="P93" s="3"/>
      <c r="Q93" s="3"/>
      <c r="R93" s="3"/>
      <c r="S93" s="3"/>
      <c r="T93" s="3"/>
      <c r="U93" s="3"/>
      <c r="V93" s="3"/>
      <c r="W93" s="3"/>
      <c r="X93" s="3"/>
      <c r="Y93" s="3"/>
      <c r="Z93" s="3"/>
    </row>
    <row r="94" spans="1:26" ht="22.5" customHeight="1" x14ac:dyDescent="0.85">
      <c r="A94" s="171" t="s">
        <v>153</v>
      </c>
      <c r="B94" s="172"/>
      <c r="C94" s="172"/>
      <c r="D94" s="172"/>
      <c r="E94" s="172"/>
      <c r="F94" s="173"/>
      <c r="G94" s="147"/>
      <c r="H94" s="147"/>
      <c r="I94" s="147"/>
      <c r="J94" s="147"/>
      <c r="K94" s="3"/>
      <c r="L94" s="3"/>
      <c r="M94" s="3"/>
      <c r="N94" s="3"/>
      <c r="O94" s="3"/>
      <c r="P94" s="3"/>
      <c r="Q94" s="3"/>
      <c r="R94" s="3"/>
      <c r="S94" s="3"/>
      <c r="T94" s="3"/>
      <c r="U94" s="3"/>
      <c r="V94" s="3"/>
      <c r="W94" s="3"/>
      <c r="X94" s="3"/>
      <c r="Y94" s="3"/>
      <c r="Z94" s="3"/>
    </row>
    <row r="95" spans="1:26" ht="22.5" customHeight="1" x14ac:dyDescent="0.85">
      <c r="A95" s="130" t="s">
        <v>409</v>
      </c>
      <c r="B95" s="130" t="s">
        <v>410</v>
      </c>
      <c r="C95" s="174" t="s">
        <v>362</v>
      </c>
      <c r="D95" s="174" t="s">
        <v>117</v>
      </c>
      <c r="E95" s="174" t="s">
        <v>251</v>
      </c>
      <c r="F95" s="174" t="s">
        <v>362</v>
      </c>
      <c r="G95" s="147"/>
      <c r="H95" s="147"/>
      <c r="I95" s="147"/>
      <c r="J95" s="147"/>
      <c r="K95" s="3"/>
      <c r="L95" s="3"/>
      <c r="M95" s="3"/>
      <c r="N95" s="3"/>
      <c r="O95" s="3"/>
      <c r="P95" s="3"/>
      <c r="Q95" s="3"/>
      <c r="R95" s="3"/>
      <c r="S95" s="3"/>
      <c r="T95" s="3"/>
      <c r="U95" s="3"/>
      <c r="V95" s="3"/>
      <c r="W95" s="3"/>
      <c r="X95" s="3"/>
      <c r="Y95" s="3"/>
      <c r="Z95" s="3"/>
    </row>
    <row r="96" spans="1:26" ht="22.5" customHeight="1" x14ac:dyDescent="0.85">
      <c r="A96" s="175" t="s">
        <v>445</v>
      </c>
      <c r="B96" s="150">
        <f>'Railways Data'!B4</f>
        <v>263.88106699674921</v>
      </c>
      <c r="C96" s="176" t="s">
        <v>412</v>
      </c>
      <c r="D96" s="176">
        <v>1</v>
      </c>
      <c r="E96" s="176" t="s">
        <v>106</v>
      </c>
      <c r="F96" s="176" t="s">
        <v>106</v>
      </c>
      <c r="G96" s="147"/>
      <c r="H96" s="147"/>
      <c r="I96" s="147"/>
      <c r="J96" s="147"/>
      <c r="K96" s="3"/>
      <c r="L96" s="3"/>
      <c r="M96" s="3"/>
      <c r="N96" s="3"/>
      <c r="O96" s="3"/>
      <c r="P96" s="3"/>
      <c r="Q96" s="3"/>
      <c r="R96" s="3"/>
      <c r="S96" s="3"/>
      <c r="T96" s="3"/>
      <c r="U96" s="3"/>
      <c r="V96" s="3"/>
      <c r="W96" s="3"/>
      <c r="X96" s="3"/>
      <c r="Y96" s="3"/>
      <c r="Z96" s="3"/>
    </row>
    <row r="97" spans="1:26" ht="22.5" customHeight="1" x14ac:dyDescent="0.85">
      <c r="A97" s="197" t="s">
        <v>446</v>
      </c>
      <c r="B97" s="198">
        <f>SUM(B79,B80,B81,B84,B85,B89,B90,B96,B93,B86)</f>
        <v>2169199.1952947499</v>
      </c>
      <c r="C97" s="199"/>
      <c r="D97" s="200"/>
      <c r="E97" s="200"/>
      <c r="F97" s="201"/>
      <c r="G97" s="147"/>
      <c r="H97" s="147"/>
      <c r="I97" s="147"/>
      <c r="J97" s="147"/>
      <c r="K97" s="3"/>
      <c r="L97" s="3"/>
      <c r="M97" s="3"/>
      <c r="N97" s="3"/>
      <c r="O97" s="3"/>
      <c r="P97" s="3"/>
      <c r="Q97" s="3"/>
      <c r="R97" s="3"/>
      <c r="S97" s="3"/>
      <c r="T97" s="3"/>
      <c r="U97" s="3"/>
      <c r="V97" s="3"/>
      <c r="W97" s="3"/>
      <c r="X97" s="3"/>
      <c r="Y97" s="3"/>
      <c r="Z97" s="3"/>
    </row>
    <row r="98" spans="1:26" ht="22.5" customHeight="1" x14ac:dyDescent="0.85">
      <c r="A98" s="168" t="s">
        <v>329</v>
      </c>
      <c r="B98" s="169"/>
      <c r="C98" s="202"/>
      <c r="D98" s="202"/>
      <c r="E98" s="202"/>
      <c r="F98" s="203"/>
      <c r="G98" s="147"/>
      <c r="H98" s="147"/>
      <c r="I98" s="147"/>
      <c r="J98" s="147"/>
      <c r="K98" s="147"/>
      <c r="L98" s="147"/>
      <c r="M98" s="147"/>
      <c r="N98" s="3"/>
      <c r="O98" s="3"/>
      <c r="P98" s="3"/>
      <c r="Q98" s="3"/>
      <c r="R98" s="3"/>
      <c r="S98" s="3"/>
      <c r="T98" s="3"/>
      <c r="U98" s="3"/>
      <c r="V98" s="3"/>
      <c r="W98" s="3"/>
      <c r="X98" s="3"/>
      <c r="Y98" s="3"/>
      <c r="Z98" s="3"/>
    </row>
    <row r="99" spans="1:26" ht="22.5" customHeight="1" x14ac:dyDescent="0.85">
      <c r="A99" s="171" t="s">
        <v>447</v>
      </c>
      <c r="B99" s="172"/>
      <c r="C99" s="172"/>
      <c r="D99" s="172"/>
      <c r="E99" s="172"/>
      <c r="F99" s="173"/>
      <c r="G99" s="147"/>
      <c r="H99" s="147"/>
      <c r="I99" s="147"/>
      <c r="J99" s="147"/>
      <c r="K99" s="3"/>
      <c r="L99" s="3"/>
      <c r="M99" s="3"/>
      <c r="N99" s="3"/>
      <c r="O99" s="3"/>
      <c r="P99" s="3"/>
      <c r="Q99" s="3"/>
      <c r="R99" s="3"/>
      <c r="S99" s="3"/>
      <c r="T99" s="3"/>
      <c r="U99" s="3"/>
      <c r="V99" s="3"/>
      <c r="W99" s="3"/>
      <c r="X99" s="3"/>
      <c r="Y99" s="3"/>
      <c r="Z99" s="3"/>
    </row>
    <row r="100" spans="1:26" ht="22.5" customHeight="1" x14ac:dyDescent="0.85">
      <c r="A100" s="148" t="s">
        <v>409</v>
      </c>
      <c r="B100" s="148" t="s">
        <v>410</v>
      </c>
      <c r="C100" s="204" t="s">
        <v>362</v>
      </c>
      <c r="D100" s="204" t="s">
        <v>117</v>
      </c>
      <c r="E100" s="204" t="s">
        <v>251</v>
      </c>
      <c r="F100" s="204" t="s">
        <v>362</v>
      </c>
      <c r="G100" s="147"/>
      <c r="H100" s="147"/>
      <c r="I100" s="147"/>
      <c r="J100" s="147"/>
      <c r="K100" s="3"/>
      <c r="L100" s="3"/>
      <c r="M100" s="3"/>
      <c r="N100" s="3"/>
      <c r="O100" s="3"/>
      <c r="P100" s="3"/>
      <c r="Q100" s="3"/>
      <c r="R100" s="3"/>
      <c r="S100" s="3"/>
      <c r="T100" s="3"/>
      <c r="U100" s="3"/>
      <c r="V100" s="3"/>
      <c r="W100" s="3"/>
      <c r="X100" s="3"/>
      <c r="Y100" s="3"/>
      <c r="Z100" s="3"/>
    </row>
    <row r="101" spans="1:26" ht="22.5" customHeight="1" x14ac:dyDescent="0.85">
      <c r="A101" s="175" t="s">
        <v>448</v>
      </c>
      <c r="B101" s="150">
        <f>'Waste_Recycling Data'!B80</f>
        <v>0</v>
      </c>
      <c r="C101" s="176" t="s">
        <v>412</v>
      </c>
      <c r="D101" s="176">
        <v>1</v>
      </c>
      <c r="E101" s="150" t="s">
        <v>106</v>
      </c>
      <c r="F101" s="176" t="s">
        <v>449</v>
      </c>
      <c r="G101" s="147"/>
      <c r="H101" s="147"/>
      <c r="I101" s="147"/>
      <c r="J101" s="147"/>
      <c r="K101" s="3"/>
      <c r="L101" s="3"/>
      <c r="M101" s="3"/>
      <c r="N101" s="3"/>
      <c r="O101" s="3"/>
      <c r="P101" s="3"/>
      <c r="Q101" s="3"/>
      <c r="R101" s="3"/>
      <c r="S101" s="3"/>
      <c r="T101" s="3"/>
      <c r="U101" s="3"/>
      <c r="V101" s="3"/>
      <c r="W101" s="3"/>
      <c r="X101" s="3"/>
      <c r="Y101" s="3"/>
      <c r="Z101" s="3"/>
    </row>
    <row r="102" spans="1:26" ht="22.5" customHeight="1" x14ac:dyDescent="0.85">
      <c r="A102" s="175" t="s">
        <v>450</v>
      </c>
      <c r="B102" s="150">
        <f>'Waste_Recycling Data'!B81</f>
        <v>134803.68007652636</v>
      </c>
      <c r="C102" s="176" t="s">
        <v>412</v>
      </c>
      <c r="D102" s="176">
        <v>3</v>
      </c>
      <c r="E102" s="150">
        <f>SUM('Waste_Recycling Data'!B93,'Waste_Recycling Data'!B103)</f>
        <v>354199.473</v>
      </c>
      <c r="F102" s="176" t="s">
        <v>449</v>
      </c>
      <c r="G102" s="147"/>
      <c r="H102" s="147"/>
      <c r="I102" s="147"/>
      <c r="J102" s="147"/>
      <c r="K102" s="3"/>
      <c r="L102" s="3"/>
      <c r="M102" s="3"/>
      <c r="N102" s="3"/>
      <c r="O102" s="3"/>
      <c r="P102" s="3"/>
      <c r="Q102" s="3"/>
      <c r="R102" s="3"/>
      <c r="S102" s="3"/>
      <c r="T102" s="3"/>
      <c r="U102" s="3"/>
      <c r="V102" s="3"/>
      <c r="W102" s="3"/>
      <c r="X102" s="3"/>
      <c r="Y102" s="3"/>
      <c r="Z102" s="3"/>
    </row>
    <row r="103" spans="1:26" ht="22.5" customHeight="1" x14ac:dyDescent="0.85">
      <c r="A103" s="175" t="s">
        <v>451</v>
      </c>
      <c r="B103" s="150">
        <f>'Waste_Recycling Data'!B82</f>
        <v>416.3541744966443</v>
      </c>
      <c r="C103" s="176" t="s">
        <v>412</v>
      </c>
      <c r="D103" s="176">
        <v>1</v>
      </c>
      <c r="E103" s="150">
        <f>SUM('Waste_Recycling Data'!B94,'Waste_Recycling Data'!B104)</f>
        <v>3444</v>
      </c>
      <c r="F103" s="176" t="s">
        <v>449</v>
      </c>
      <c r="G103" s="147"/>
      <c r="H103" s="147"/>
      <c r="I103" s="147"/>
      <c r="J103" s="147"/>
      <c r="K103" s="3"/>
      <c r="L103" s="3"/>
      <c r="M103" s="3"/>
      <c r="N103" s="3"/>
      <c r="O103" s="3"/>
      <c r="P103" s="3"/>
      <c r="Q103" s="3"/>
      <c r="R103" s="3"/>
      <c r="S103" s="3"/>
      <c r="T103" s="3"/>
      <c r="U103" s="3"/>
      <c r="V103" s="3"/>
      <c r="W103" s="3"/>
      <c r="X103" s="3"/>
      <c r="Y103" s="3"/>
      <c r="Z103" s="3"/>
    </row>
    <row r="104" spans="1:26" ht="22.5" customHeight="1" x14ac:dyDescent="0.85">
      <c r="A104" s="175" t="s">
        <v>452</v>
      </c>
      <c r="B104" s="150">
        <f>'Waste_Recycling Data'!B83</f>
        <v>0</v>
      </c>
      <c r="C104" s="179" t="s">
        <v>412</v>
      </c>
      <c r="D104" s="179">
        <v>3</v>
      </c>
      <c r="E104" s="150" t="s">
        <v>106</v>
      </c>
      <c r="F104" s="179" t="s">
        <v>449</v>
      </c>
      <c r="G104" s="147"/>
      <c r="H104" s="147"/>
      <c r="I104" s="147"/>
      <c r="J104" s="147"/>
      <c r="K104" s="3"/>
      <c r="L104" s="3"/>
      <c r="M104" s="3"/>
      <c r="N104" s="3"/>
      <c r="O104" s="3"/>
      <c r="P104" s="3"/>
      <c r="Q104" s="3"/>
      <c r="R104" s="3"/>
      <c r="S104" s="3"/>
      <c r="T104" s="3"/>
      <c r="U104" s="3"/>
      <c r="V104" s="3"/>
      <c r="W104" s="3"/>
      <c r="X104" s="3"/>
      <c r="Y104" s="3"/>
      <c r="Z104" s="3"/>
    </row>
    <row r="105" spans="1:26" ht="22.5" customHeight="1" x14ac:dyDescent="0.85">
      <c r="A105" s="181" t="s">
        <v>453</v>
      </c>
      <c r="B105" s="182">
        <f>SUM(B101:B104)</f>
        <v>135220.034251023</v>
      </c>
      <c r="C105" s="183"/>
      <c r="D105" s="184"/>
      <c r="E105" s="184"/>
      <c r="F105" s="185"/>
      <c r="G105" s="147"/>
      <c r="H105" s="147"/>
      <c r="I105" s="147"/>
      <c r="J105" s="147"/>
      <c r="K105" s="3"/>
      <c r="L105" s="3"/>
      <c r="M105" s="3"/>
      <c r="N105" s="3"/>
      <c r="O105" s="3"/>
      <c r="P105" s="3"/>
      <c r="Q105" s="3"/>
      <c r="R105" s="3"/>
      <c r="S105" s="3"/>
      <c r="T105" s="3"/>
      <c r="U105" s="3"/>
      <c r="V105" s="3"/>
      <c r="W105" s="3"/>
      <c r="X105" s="3"/>
      <c r="Y105" s="3"/>
      <c r="Z105" s="3"/>
    </row>
    <row r="106" spans="1:26" ht="22.5" customHeight="1" x14ac:dyDescent="0.85">
      <c r="A106" s="171" t="s">
        <v>454</v>
      </c>
      <c r="B106" s="172"/>
      <c r="C106" s="172"/>
      <c r="D106" s="172"/>
      <c r="E106" s="172"/>
      <c r="F106" s="173"/>
      <c r="G106" s="147"/>
      <c r="H106" s="147"/>
      <c r="I106" s="147"/>
      <c r="J106" s="147"/>
      <c r="K106" s="3"/>
      <c r="L106" s="3"/>
      <c r="M106" s="3"/>
      <c r="N106" s="3"/>
      <c r="O106" s="3"/>
      <c r="P106" s="3"/>
      <c r="Q106" s="3"/>
      <c r="R106" s="3"/>
      <c r="S106" s="3"/>
      <c r="T106" s="3"/>
      <c r="U106" s="3"/>
      <c r="V106" s="3"/>
      <c r="W106" s="3"/>
      <c r="X106" s="3"/>
      <c r="Y106" s="3"/>
      <c r="Z106" s="3"/>
    </row>
    <row r="107" spans="1:26" ht="22.5" customHeight="1" x14ac:dyDescent="0.85">
      <c r="A107" s="130" t="s">
        <v>409</v>
      </c>
      <c r="B107" s="130" t="s">
        <v>410</v>
      </c>
      <c r="C107" s="174" t="s">
        <v>362</v>
      </c>
      <c r="D107" s="174" t="s">
        <v>117</v>
      </c>
      <c r="E107" s="174" t="s">
        <v>251</v>
      </c>
      <c r="F107" s="174" t="s">
        <v>362</v>
      </c>
      <c r="G107" s="147"/>
      <c r="H107" s="147"/>
      <c r="I107" s="147"/>
      <c r="J107" s="147"/>
      <c r="K107" s="3"/>
      <c r="L107" s="3"/>
      <c r="M107" s="3"/>
      <c r="N107" s="3"/>
      <c r="O107" s="3"/>
      <c r="P107" s="3"/>
      <c r="Q107" s="3"/>
      <c r="R107" s="3"/>
      <c r="S107" s="3"/>
      <c r="T107" s="3"/>
      <c r="U107" s="3"/>
      <c r="V107" s="3"/>
      <c r="W107" s="3"/>
      <c r="X107" s="3"/>
      <c r="Y107" s="3"/>
      <c r="Z107" s="3"/>
    </row>
    <row r="108" spans="1:26" ht="22.5" customHeight="1" x14ac:dyDescent="0.85">
      <c r="A108" s="175" t="s">
        <v>455</v>
      </c>
      <c r="B108" s="150">
        <f>'Wastewater Data'!B4</f>
        <v>1692.1514559397194</v>
      </c>
      <c r="C108" s="176" t="s">
        <v>412</v>
      </c>
      <c r="D108" s="176">
        <v>3</v>
      </c>
      <c r="E108" s="177" t="s">
        <v>106</v>
      </c>
      <c r="F108" s="176" t="s">
        <v>32</v>
      </c>
      <c r="G108" s="147"/>
      <c r="H108" s="147"/>
      <c r="I108" s="147"/>
      <c r="J108" s="147"/>
      <c r="K108" s="3"/>
      <c r="L108" s="3"/>
      <c r="M108" s="3"/>
      <c r="N108" s="3"/>
      <c r="O108" s="3"/>
      <c r="P108" s="3"/>
      <c r="Q108" s="3"/>
      <c r="R108" s="3"/>
      <c r="S108" s="3"/>
      <c r="T108" s="3"/>
      <c r="U108" s="3"/>
      <c r="V108" s="3"/>
      <c r="W108" s="3"/>
      <c r="X108" s="3"/>
      <c r="Y108" s="3"/>
      <c r="Z108" s="3"/>
    </row>
    <row r="109" spans="1:26" ht="22.5" customHeight="1" x14ac:dyDescent="0.85">
      <c r="A109" s="175" t="s">
        <v>456</v>
      </c>
      <c r="B109" s="150">
        <f>'Wastewater Data'!C4</f>
        <v>0</v>
      </c>
      <c r="C109" s="179" t="s">
        <v>412</v>
      </c>
      <c r="D109" s="179">
        <v>1</v>
      </c>
      <c r="E109" s="180" t="s">
        <v>106</v>
      </c>
      <c r="F109" s="179" t="s">
        <v>32</v>
      </c>
      <c r="G109" s="147"/>
      <c r="H109" s="147"/>
      <c r="I109" s="147"/>
      <c r="J109" s="147"/>
      <c r="K109" s="3"/>
      <c r="L109" s="3"/>
      <c r="M109" s="3"/>
      <c r="N109" s="3"/>
      <c r="O109" s="3"/>
      <c r="P109" s="3"/>
      <c r="Q109" s="3"/>
      <c r="R109" s="3"/>
      <c r="S109" s="3"/>
      <c r="T109" s="3"/>
      <c r="U109" s="3"/>
      <c r="V109" s="3"/>
      <c r="W109" s="3"/>
      <c r="X109" s="3"/>
      <c r="Y109" s="3"/>
      <c r="Z109" s="3"/>
    </row>
    <row r="110" spans="1:26" ht="22.5" customHeight="1" x14ac:dyDescent="0.85">
      <c r="A110" s="181" t="s">
        <v>457</v>
      </c>
      <c r="B110" s="182">
        <f>SUM(B108:B109)</f>
        <v>1692.1514559397194</v>
      </c>
      <c r="C110" s="183"/>
      <c r="D110" s="184"/>
      <c r="E110" s="184"/>
      <c r="F110" s="185"/>
      <c r="G110" s="147"/>
      <c r="H110" s="147"/>
      <c r="I110" s="147"/>
      <c r="J110" s="147"/>
      <c r="K110" s="3"/>
      <c r="L110" s="3"/>
      <c r="M110" s="3"/>
      <c r="N110" s="3"/>
      <c r="O110" s="3"/>
      <c r="P110" s="3"/>
      <c r="Q110" s="3"/>
      <c r="R110" s="3"/>
      <c r="S110" s="3"/>
      <c r="T110" s="3"/>
      <c r="U110" s="3"/>
      <c r="V110" s="3"/>
      <c r="W110" s="3"/>
      <c r="X110" s="3"/>
      <c r="Y110" s="3"/>
      <c r="Z110" s="3"/>
    </row>
    <row r="111" spans="1:26" ht="22.5" customHeight="1" x14ac:dyDescent="0.85">
      <c r="A111" s="186" t="s">
        <v>453</v>
      </c>
      <c r="B111" s="187">
        <f>SUM(B105+B110)</f>
        <v>136912.18570696271</v>
      </c>
      <c r="C111" s="188"/>
      <c r="D111" s="189"/>
      <c r="E111" s="189"/>
      <c r="F111" s="190"/>
      <c r="G111" s="147"/>
      <c r="H111" s="147"/>
      <c r="I111" s="147"/>
      <c r="J111" s="147"/>
      <c r="K111" s="3"/>
      <c r="L111" s="3"/>
      <c r="M111" s="3"/>
      <c r="N111" s="3"/>
      <c r="O111" s="3"/>
      <c r="P111" s="3"/>
      <c r="Q111" s="3"/>
      <c r="R111" s="3"/>
      <c r="S111" s="3"/>
      <c r="T111" s="3"/>
      <c r="U111" s="3"/>
      <c r="V111" s="3"/>
      <c r="W111" s="3"/>
      <c r="X111" s="3"/>
      <c r="Y111" s="3"/>
      <c r="Z111" s="3"/>
    </row>
    <row r="112" spans="1:26" ht="22.5" customHeight="1" x14ac:dyDescent="0.85">
      <c r="A112" s="205" t="s">
        <v>458</v>
      </c>
      <c r="B112" s="169"/>
      <c r="C112" s="202"/>
      <c r="D112" s="202"/>
      <c r="E112" s="202"/>
      <c r="F112" s="203"/>
      <c r="G112" s="147"/>
      <c r="H112" s="147"/>
      <c r="I112" s="147"/>
      <c r="J112" s="147"/>
      <c r="K112" s="147"/>
      <c r="L112" s="147"/>
      <c r="M112" s="147"/>
      <c r="N112" s="3"/>
      <c r="O112" s="3"/>
      <c r="P112" s="3"/>
      <c r="Q112" s="3"/>
      <c r="R112" s="3"/>
      <c r="S112" s="3"/>
      <c r="T112" s="3"/>
      <c r="U112" s="3"/>
      <c r="V112" s="3"/>
      <c r="W112" s="3"/>
      <c r="X112" s="3"/>
      <c r="Y112" s="3"/>
      <c r="Z112" s="3"/>
    </row>
    <row r="113" spans="1:26" ht="22.5" customHeight="1" x14ac:dyDescent="0.85">
      <c r="A113" s="130" t="s">
        <v>409</v>
      </c>
      <c r="B113" s="130" t="s">
        <v>410</v>
      </c>
      <c r="C113" s="174" t="s">
        <v>362</v>
      </c>
      <c r="D113" s="174" t="s">
        <v>117</v>
      </c>
      <c r="E113" s="174" t="s">
        <v>251</v>
      </c>
      <c r="F113" s="174" t="s">
        <v>362</v>
      </c>
      <c r="G113" s="147"/>
      <c r="H113" s="147"/>
      <c r="I113" s="147"/>
      <c r="J113" s="147"/>
      <c r="K113" s="3"/>
      <c r="L113" s="3"/>
      <c r="M113" s="3"/>
      <c r="N113" s="3"/>
      <c r="O113" s="3"/>
      <c r="P113" s="3"/>
      <c r="Q113" s="3"/>
      <c r="R113" s="3"/>
      <c r="S113" s="3"/>
      <c r="T113" s="3"/>
      <c r="U113" s="3"/>
      <c r="V113" s="3"/>
      <c r="W113" s="3"/>
      <c r="X113" s="3"/>
      <c r="Y113" s="3"/>
      <c r="Z113" s="3"/>
    </row>
    <row r="114" spans="1:26" ht="22.5" customHeight="1" x14ac:dyDescent="0.85">
      <c r="A114" s="175" t="s">
        <v>459</v>
      </c>
      <c r="B114" s="150">
        <f>'Industrial Processes Data'!B4</f>
        <v>0</v>
      </c>
      <c r="C114" s="176" t="s">
        <v>412</v>
      </c>
      <c r="D114" s="176">
        <v>1</v>
      </c>
      <c r="E114" s="178" t="s">
        <v>106</v>
      </c>
      <c r="F114" s="176" t="s">
        <v>106</v>
      </c>
      <c r="G114" s="147"/>
      <c r="H114" s="147"/>
      <c r="I114" s="147"/>
      <c r="J114" s="147"/>
      <c r="K114" s="3"/>
      <c r="L114" s="3"/>
      <c r="M114" s="3"/>
      <c r="N114" s="3"/>
      <c r="O114" s="3"/>
      <c r="P114" s="3"/>
      <c r="Q114" s="3"/>
      <c r="R114" s="3"/>
      <c r="S114" s="3"/>
      <c r="T114" s="3"/>
      <c r="U114" s="3"/>
      <c r="V114" s="3"/>
      <c r="W114" s="3"/>
      <c r="X114" s="3"/>
      <c r="Y114" s="3"/>
      <c r="Z114" s="3"/>
    </row>
    <row r="115" spans="1:26" ht="22.5" customHeight="1" x14ac:dyDescent="0.85">
      <c r="A115" s="175" t="s">
        <v>460</v>
      </c>
      <c r="B115" s="150">
        <f>'Refrigerants Data'!B4</f>
        <v>110903.37603337824</v>
      </c>
      <c r="C115" s="179" t="s">
        <v>412</v>
      </c>
      <c r="D115" s="179">
        <v>1</v>
      </c>
      <c r="E115" s="206">
        <f>'Refrigerants Data'!B27+'Refrigerants Data'!B37</f>
        <v>695111134.19999993</v>
      </c>
      <c r="F115" s="179" t="s">
        <v>461</v>
      </c>
      <c r="G115" s="147"/>
      <c r="H115" s="147"/>
      <c r="I115" s="147"/>
      <c r="J115" s="147"/>
      <c r="K115" s="3"/>
      <c r="L115" s="3"/>
      <c r="M115" s="3"/>
      <c r="N115" s="3"/>
      <c r="O115" s="3"/>
      <c r="P115" s="3"/>
      <c r="Q115" s="3"/>
      <c r="R115" s="3"/>
      <c r="S115" s="3"/>
      <c r="T115" s="3"/>
      <c r="U115" s="3"/>
      <c r="V115" s="3"/>
      <c r="W115" s="3"/>
      <c r="X115" s="3"/>
      <c r="Y115" s="3"/>
      <c r="Z115" s="3"/>
    </row>
    <row r="116" spans="1:26" ht="22.5" customHeight="1" x14ac:dyDescent="0.85">
      <c r="A116" s="186" t="s">
        <v>462</v>
      </c>
      <c r="B116" s="187">
        <f>B114+B115</f>
        <v>110903.37603337824</v>
      </c>
      <c r="C116" s="188"/>
      <c r="D116" s="189"/>
      <c r="E116" s="189"/>
      <c r="F116" s="190"/>
      <c r="G116" s="147"/>
      <c r="H116" s="147"/>
      <c r="I116" s="147"/>
      <c r="J116" s="147"/>
      <c r="K116" s="3"/>
      <c r="L116" s="3"/>
      <c r="M116" s="3"/>
      <c r="N116" s="3"/>
      <c r="O116" s="3"/>
      <c r="P116" s="3"/>
      <c r="Q116" s="3"/>
      <c r="R116" s="3"/>
      <c r="S116" s="3"/>
      <c r="T116" s="3"/>
      <c r="U116" s="3"/>
      <c r="V116" s="3"/>
      <c r="W116" s="3"/>
      <c r="X116" s="3"/>
      <c r="Y116" s="3"/>
      <c r="Z116" s="3"/>
    </row>
    <row r="117" spans="1:26" ht="22.5" customHeight="1" x14ac:dyDescent="0.85">
      <c r="A117" s="205" t="s">
        <v>463</v>
      </c>
      <c r="B117" s="169"/>
      <c r="C117" s="202"/>
      <c r="D117" s="202"/>
      <c r="E117" s="202"/>
      <c r="F117" s="203"/>
      <c r="G117" s="147"/>
      <c r="H117" s="147"/>
      <c r="I117" s="147"/>
      <c r="J117" s="147"/>
      <c r="K117" s="147"/>
      <c r="L117" s="147"/>
      <c r="M117" s="147"/>
      <c r="N117" s="3"/>
      <c r="O117" s="3"/>
      <c r="P117" s="3"/>
      <c r="Q117" s="3"/>
      <c r="R117" s="3"/>
      <c r="S117" s="3"/>
      <c r="T117" s="3"/>
      <c r="U117" s="3"/>
      <c r="V117" s="3"/>
      <c r="W117" s="3"/>
      <c r="X117" s="3"/>
      <c r="Y117" s="3"/>
      <c r="Z117" s="3"/>
    </row>
    <row r="118" spans="1:26" ht="22.5" customHeight="1" x14ac:dyDescent="0.85">
      <c r="A118" s="130" t="s">
        <v>409</v>
      </c>
      <c r="B118" s="130" t="s">
        <v>410</v>
      </c>
      <c r="C118" s="174" t="s">
        <v>362</v>
      </c>
      <c r="D118" s="174" t="s">
        <v>117</v>
      </c>
      <c r="E118" s="174" t="s">
        <v>251</v>
      </c>
      <c r="F118" s="174" t="s">
        <v>362</v>
      </c>
      <c r="G118" s="147"/>
      <c r="H118" s="147"/>
      <c r="I118" s="147"/>
      <c r="J118" s="147"/>
      <c r="K118" s="3"/>
      <c r="L118" s="3"/>
      <c r="M118" s="3"/>
      <c r="N118" s="3"/>
      <c r="O118" s="3"/>
      <c r="P118" s="3"/>
      <c r="Q118" s="3"/>
      <c r="R118" s="3"/>
      <c r="S118" s="3"/>
      <c r="T118" s="3"/>
      <c r="U118" s="3"/>
      <c r="V118" s="3"/>
      <c r="W118" s="3"/>
      <c r="X118" s="3"/>
      <c r="Y118" s="3"/>
      <c r="Z118" s="3"/>
    </row>
    <row r="119" spans="1:26" ht="22.5" customHeight="1" x14ac:dyDescent="0.85">
      <c r="A119" s="175" t="s">
        <v>464</v>
      </c>
      <c r="B119" s="150">
        <v>0</v>
      </c>
      <c r="C119" s="176" t="s">
        <v>412</v>
      </c>
      <c r="D119" s="176">
        <v>1</v>
      </c>
      <c r="E119" s="178">
        <v>0</v>
      </c>
      <c r="F119" s="176" t="s">
        <v>465</v>
      </c>
      <c r="G119" s="147"/>
      <c r="H119" s="147"/>
      <c r="I119" s="147"/>
      <c r="J119" s="147"/>
      <c r="K119" s="3"/>
      <c r="L119" s="3"/>
      <c r="M119" s="3"/>
      <c r="N119" s="3"/>
      <c r="O119" s="3"/>
      <c r="P119" s="3"/>
      <c r="Q119" s="3"/>
      <c r="R119" s="3"/>
      <c r="S119" s="3"/>
      <c r="T119" s="3"/>
      <c r="U119" s="3"/>
      <c r="V119" s="3"/>
      <c r="W119" s="3"/>
      <c r="X119" s="3"/>
      <c r="Y119" s="3"/>
      <c r="Z119" s="3"/>
    </row>
    <row r="120" spans="1:26" ht="36" customHeight="1" x14ac:dyDescent="0.85">
      <c r="A120" s="175" t="s">
        <v>466</v>
      </c>
      <c r="B120" s="150">
        <f>'AFOLU Data'!B4</f>
        <v>96.599597381866147</v>
      </c>
      <c r="C120" s="179" t="s">
        <v>412</v>
      </c>
      <c r="D120" s="179">
        <v>1</v>
      </c>
      <c r="E120" s="178">
        <f>'AFOLU Data'!D115</f>
        <v>366</v>
      </c>
      <c r="F120" s="179" t="s">
        <v>467</v>
      </c>
      <c r="G120" s="147"/>
      <c r="H120" s="147"/>
      <c r="I120" s="147"/>
      <c r="J120" s="147"/>
      <c r="K120" s="3"/>
      <c r="L120" s="3"/>
      <c r="M120" s="3"/>
      <c r="N120" s="3"/>
      <c r="O120" s="3"/>
      <c r="P120" s="3"/>
      <c r="Q120" s="3"/>
      <c r="R120" s="3"/>
      <c r="S120" s="3"/>
      <c r="T120" s="3"/>
      <c r="U120" s="3"/>
      <c r="V120" s="3"/>
      <c r="W120" s="3"/>
      <c r="X120" s="3"/>
      <c r="Y120" s="3"/>
      <c r="Z120" s="3"/>
    </row>
    <row r="121" spans="1:26" ht="22.5" customHeight="1" x14ac:dyDescent="0.85">
      <c r="A121" s="175" t="s">
        <v>468</v>
      </c>
      <c r="B121" s="207">
        <f>Trees!B4</f>
        <v>-7091</v>
      </c>
      <c r="C121" s="179" t="s">
        <v>412</v>
      </c>
      <c r="D121" s="179">
        <v>1</v>
      </c>
      <c r="E121" s="178">
        <f>Trees!D22+Trees!D23+Trees!D27+Trees!D28</f>
        <v>790</v>
      </c>
      <c r="F121" s="179" t="s">
        <v>469</v>
      </c>
      <c r="G121" s="147"/>
      <c r="H121" s="147"/>
      <c r="I121" s="147"/>
      <c r="J121" s="147"/>
      <c r="K121" s="3"/>
      <c r="L121" s="3"/>
      <c r="M121" s="3"/>
      <c r="N121" s="3"/>
      <c r="O121" s="3"/>
      <c r="P121" s="3"/>
      <c r="Q121" s="3"/>
      <c r="R121" s="3"/>
      <c r="S121" s="3"/>
      <c r="T121" s="3"/>
      <c r="U121" s="3"/>
      <c r="V121" s="3"/>
      <c r="W121" s="3"/>
      <c r="X121" s="3"/>
      <c r="Y121" s="3"/>
      <c r="Z121" s="3"/>
    </row>
    <row r="122" spans="1:26" ht="22.5" customHeight="1" x14ac:dyDescent="0.85">
      <c r="A122" s="186" t="s">
        <v>470</v>
      </c>
      <c r="B122" s="208">
        <f>SUM(B119+B120+B121)</f>
        <v>-6994.4004026181337</v>
      </c>
      <c r="C122" s="188"/>
      <c r="D122" s="189"/>
      <c r="E122" s="189"/>
      <c r="F122" s="190"/>
      <c r="G122" s="147"/>
      <c r="H122" s="147"/>
      <c r="I122" s="147"/>
      <c r="J122" s="147"/>
      <c r="K122" s="3"/>
      <c r="L122" s="3"/>
      <c r="M122" s="3"/>
      <c r="N122" s="3"/>
      <c r="O122" s="3"/>
      <c r="P122" s="3"/>
      <c r="Q122" s="3"/>
      <c r="R122" s="3"/>
      <c r="S122" s="3"/>
      <c r="T122" s="3"/>
      <c r="U122" s="3"/>
      <c r="V122" s="3"/>
      <c r="W122" s="3"/>
      <c r="X122" s="3"/>
      <c r="Y122" s="3"/>
      <c r="Z122" s="3"/>
    </row>
    <row r="123" spans="1:26" ht="22.5" customHeight="1" x14ac:dyDescent="0.85">
      <c r="A123" s="209" t="s">
        <v>101</v>
      </c>
      <c r="B123" s="210">
        <f>B116+B111+B97+B75+B119+B120</f>
        <v>5530316.6227587108</v>
      </c>
      <c r="C123" s="211"/>
      <c r="D123" s="212"/>
      <c r="E123" s="212"/>
      <c r="F123" s="213"/>
      <c r="G123" s="147"/>
      <c r="H123" s="147"/>
      <c r="I123" s="147"/>
      <c r="J123" s="147"/>
      <c r="K123" s="3"/>
      <c r="L123" s="3"/>
      <c r="M123" s="3"/>
      <c r="N123" s="3"/>
      <c r="O123" s="3"/>
      <c r="P123" s="3"/>
      <c r="Q123" s="3"/>
      <c r="R123" s="3"/>
      <c r="S123" s="3"/>
      <c r="T123" s="3"/>
      <c r="U123" s="3"/>
      <c r="V123" s="3"/>
      <c r="W123" s="3"/>
      <c r="X123" s="3"/>
      <c r="Y123" s="3"/>
      <c r="Z123" s="3"/>
    </row>
    <row r="124" spans="1:26" ht="22.5" customHeight="1" x14ac:dyDescent="0.85">
      <c r="A124" s="209" t="s">
        <v>136</v>
      </c>
      <c r="B124" s="214">
        <f>B121</f>
        <v>-7091</v>
      </c>
      <c r="C124" s="211"/>
      <c r="D124" s="212"/>
      <c r="E124" s="212"/>
      <c r="F124" s="213"/>
      <c r="G124" s="147"/>
      <c r="H124" s="147"/>
      <c r="I124" s="147"/>
      <c r="J124" s="147"/>
      <c r="K124" s="3"/>
      <c r="L124" s="3"/>
      <c r="M124" s="3"/>
      <c r="N124" s="3"/>
      <c r="O124" s="3"/>
      <c r="P124" s="3"/>
      <c r="Q124" s="3"/>
      <c r="R124" s="3"/>
      <c r="S124" s="3"/>
      <c r="T124" s="3"/>
      <c r="U124" s="3"/>
      <c r="V124" s="3"/>
      <c r="W124" s="3"/>
      <c r="X124" s="3"/>
      <c r="Y124" s="3"/>
      <c r="Z124" s="3"/>
    </row>
    <row r="125" spans="1:26" ht="22.5" customHeight="1" x14ac:dyDescent="0.85">
      <c r="A125" s="209" t="s">
        <v>123</v>
      </c>
      <c r="B125" s="210">
        <f>B123+B124</f>
        <v>5523225.6227587108</v>
      </c>
      <c r="C125" s="211"/>
      <c r="D125" s="212"/>
      <c r="E125" s="212"/>
      <c r="F125" s="213"/>
      <c r="G125" s="147"/>
      <c r="H125" s="147"/>
      <c r="I125" s="147"/>
      <c r="J125" s="147"/>
      <c r="K125" s="3"/>
      <c r="L125" s="3"/>
      <c r="M125" s="3"/>
      <c r="N125" s="3"/>
      <c r="O125" s="3"/>
      <c r="P125" s="3"/>
      <c r="Q125" s="3"/>
      <c r="R125" s="3"/>
      <c r="S125" s="3"/>
      <c r="T125" s="3"/>
      <c r="U125" s="3"/>
      <c r="V125" s="3"/>
      <c r="W125" s="3"/>
      <c r="X125" s="3"/>
      <c r="Y125" s="3"/>
      <c r="Z125" s="3"/>
    </row>
    <row r="126" spans="1:26" ht="22.5" customHeight="1" x14ac:dyDescent="0.85">
      <c r="A126" s="166"/>
      <c r="B126" s="167"/>
      <c r="C126" s="167"/>
      <c r="D126" s="147"/>
      <c r="E126" s="147"/>
      <c r="F126" s="147"/>
      <c r="G126" s="147"/>
      <c r="H126" s="147"/>
      <c r="I126" s="147"/>
      <c r="J126" s="147"/>
      <c r="K126" s="3"/>
      <c r="L126" s="3"/>
      <c r="M126" s="3"/>
      <c r="N126" s="3"/>
      <c r="O126" s="3"/>
      <c r="P126" s="3"/>
      <c r="Q126" s="3"/>
      <c r="R126" s="3"/>
      <c r="S126" s="3"/>
      <c r="T126" s="3"/>
      <c r="U126" s="3"/>
      <c r="V126" s="3"/>
      <c r="W126" s="3"/>
      <c r="X126" s="3"/>
      <c r="Y126" s="3"/>
      <c r="Z126" s="3"/>
    </row>
    <row r="127" spans="1:26" ht="22.5" customHeight="1" x14ac:dyDescent="0.85">
      <c r="A127" s="144" t="s">
        <v>471</v>
      </c>
      <c r="B127" s="145"/>
      <c r="C127" s="145"/>
      <c r="D127" s="145"/>
      <c r="E127" s="145"/>
      <c r="F127" s="145"/>
      <c r="G127" s="146"/>
      <c r="H127" s="147"/>
      <c r="I127" s="147"/>
      <c r="J127" s="147"/>
      <c r="K127" s="147"/>
      <c r="L127" s="147"/>
      <c r="M127" s="147"/>
      <c r="N127" s="3"/>
      <c r="O127" s="3"/>
      <c r="P127" s="3"/>
      <c r="Q127" s="3"/>
      <c r="R127" s="3"/>
      <c r="S127" s="3"/>
      <c r="T127" s="3"/>
      <c r="U127" s="3"/>
      <c r="V127" s="3"/>
      <c r="W127" s="3"/>
      <c r="X127" s="3"/>
      <c r="Y127" s="3"/>
      <c r="Z127" s="3"/>
    </row>
    <row r="128" spans="1:26" ht="22.5" customHeight="1" x14ac:dyDescent="0.85">
      <c r="A128" s="215" t="s">
        <v>472</v>
      </c>
      <c r="B128" s="216"/>
      <c r="C128" s="216"/>
      <c r="D128" s="216"/>
      <c r="E128" s="216"/>
      <c r="F128" s="216"/>
      <c r="G128" s="217"/>
      <c r="H128" s="147"/>
      <c r="I128" s="147"/>
      <c r="J128" s="147"/>
      <c r="K128" s="3"/>
      <c r="L128" s="3"/>
      <c r="M128" s="3"/>
      <c r="N128" s="3"/>
      <c r="O128" s="3"/>
      <c r="P128" s="3"/>
      <c r="Q128" s="3"/>
      <c r="R128" s="3"/>
      <c r="S128" s="3"/>
      <c r="T128" s="3"/>
      <c r="U128" s="3"/>
      <c r="V128" s="3"/>
      <c r="W128" s="3"/>
      <c r="X128" s="3"/>
      <c r="Y128" s="3"/>
      <c r="Z128" s="3"/>
    </row>
    <row r="129" spans="1:26" ht="22.5" customHeight="1" x14ac:dyDescent="0.85">
      <c r="A129" s="218" t="s">
        <v>473</v>
      </c>
      <c r="B129" s="148" t="s">
        <v>409</v>
      </c>
      <c r="C129" s="148" t="s">
        <v>410</v>
      </c>
      <c r="D129" s="204" t="s">
        <v>362</v>
      </c>
      <c r="E129" s="204" t="s">
        <v>117</v>
      </c>
      <c r="F129" s="204" t="s">
        <v>251</v>
      </c>
      <c r="G129" s="204" t="s">
        <v>362</v>
      </c>
      <c r="H129" s="147"/>
      <c r="I129" s="147"/>
      <c r="J129" s="147"/>
      <c r="K129" s="3"/>
      <c r="L129" s="3"/>
      <c r="M129" s="3"/>
      <c r="N129" s="3"/>
      <c r="O129" s="3"/>
      <c r="P129" s="3"/>
      <c r="Q129" s="3"/>
      <c r="R129" s="3"/>
      <c r="S129" s="3"/>
      <c r="T129" s="3"/>
      <c r="U129" s="3"/>
      <c r="V129" s="3"/>
      <c r="W129" s="3"/>
      <c r="X129" s="3"/>
      <c r="Y129" s="3"/>
      <c r="Z129" s="3"/>
    </row>
    <row r="130" spans="1:26" ht="22.5" customHeight="1" x14ac:dyDescent="0.85">
      <c r="A130" s="843" t="s">
        <v>474</v>
      </c>
      <c r="B130" s="175" t="s">
        <v>475</v>
      </c>
      <c r="C130" s="219">
        <f>'Renewable Energy Data '!C25</f>
        <v>-21569.006727408596</v>
      </c>
      <c r="D130" s="176" t="s">
        <v>412</v>
      </c>
      <c r="E130" s="176" t="s">
        <v>106</v>
      </c>
      <c r="F130" s="178">
        <f>'Renewable Energy Data '!B25</f>
        <v>83345.870955788952</v>
      </c>
      <c r="G130" s="176" t="s">
        <v>476</v>
      </c>
      <c r="H130" s="147"/>
      <c r="I130" s="147"/>
      <c r="J130" s="147"/>
      <c r="K130" s="3"/>
      <c r="L130" s="3"/>
      <c r="M130" s="3"/>
      <c r="N130" s="3"/>
      <c r="O130" s="3"/>
      <c r="P130" s="3"/>
      <c r="Q130" s="3"/>
      <c r="R130" s="3"/>
      <c r="S130" s="3"/>
      <c r="T130" s="3"/>
      <c r="U130" s="3"/>
      <c r="V130" s="3"/>
      <c r="W130" s="3"/>
      <c r="X130" s="3"/>
      <c r="Y130" s="3"/>
      <c r="Z130" s="3"/>
    </row>
    <row r="131" spans="1:26" ht="22.5" customHeight="1" x14ac:dyDescent="0.85">
      <c r="A131" s="797"/>
      <c r="B131" s="175" t="s">
        <v>477</v>
      </c>
      <c r="C131" s="219">
        <f>'Renewable Energy Data '!C26</f>
        <v>-1916.3597590608279</v>
      </c>
      <c r="D131" s="176" t="s">
        <v>412</v>
      </c>
      <c r="E131" s="176" t="s">
        <v>106</v>
      </c>
      <c r="F131" s="178">
        <f>'Renewable Energy Data '!B26</f>
        <v>7405.1009952436598</v>
      </c>
      <c r="G131" s="176" t="s">
        <v>476</v>
      </c>
      <c r="H131" s="147"/>
      <c r="I131" s="147"/>
      <c r="J131" s="147"/>
      <c r="K131" s="3"/>
      <c r="L131" s="3"/>
      <c r="M131" s="3"/>
      <c r="N131" s="3"/>
      <c r="O131" s="3"/>
      <c r="P131" s="3"/>
      <c r="Q131" s="3"/>
      <c r="R131" s="3"/>
      <c r="S131" s="3"/>
      <c r="T131" s="3"/>
      <c r="U131" s="3"/>
      <c r="V131" s="3"/>
      <c r="W131" s="3"/>
      <c r="X131" s="3"/>
      <c r="Y131" s="3"/>
      <c r="Z131" s="3"/>
    </row>
    <row r="132" spans="1:26" ht="22.5" customHeight="1" x14ac:dyDescent="0.85">
      <c r="A132" s="86" t="s">
        <v>478</v>
      </c>
      <c r="B132" s="175" t="s">
        <v>479</v>
      </c>
      <c r="C132" s="219" t="s">
        <v>106</v>
      </c>
      <c r="D132" s="176" t="s">
        <v>412</v>
      </c>
      <c r="E132" s="176" t="s">
        <v>106</v>
      </c>
      <c r="F132" s="178" t="s">
        <v>106</v>
      </c>
      <c r="G132" s="176" t="s">
        <v>476</v>
      </c>
      <c r="H132" s="147"/>
      <c r="I132" s="147"/>
      <c r="J132" s="147"/>
      <c r="K132" s="3"/>
      <c r="L132" s="3"/>
      <c r="M132" s="3"/>
      <c r="N132" s="3"/>
      <c r="O132" s="3"/>
      <c r="P132" s="3"/>
      <c r="Q132" s="3"/>
      <c r="R132" s="3"/>
      <c r="S132" s="3"/>
      <c r="T132" s="3"/>
      <c r="U132" s="3"/>
      <c r="V132" s="3"/>
      <c r="W132" s="3"/>
      <c r="X132" s="3"/>
      <c r="Y132" s="3"/>
      <c r="Z132" s="3"/>
    </row>
    <row r="133" spans="1:26" ht="22.5" customHeight="1" x14ac:dyDescent="0.85">
      <c r="A133" s="220" t="s">
        <v>480</v>
      </c>
      <c r="B133" s="221"/>
      <c r="C133" s="222"/>
      <c r="D133" s="223"/>
      <c r="E133" s="223"/>
      <c r="F133" s="224"/>
      <c r="G133" s="225"/>
      <c r="H133" s="147"/>
      <c r="I133" s="147"/>
      <c r="J133" s="147"/>
      <c r="K133" s="3"/>
      <c r="L133" s="3"/>
      <c r="M133" s="3"/>
      <c r="N133" s="3"/>
      <c r="O133" s="3"/>
      <c r="P133" s="3"/>
      <c r="Q133" s="3"/>
      <c r="R133" s="3"/>
      <c r="S133" s="3"/>
      <c r="T133" s="3"/>
      <c r="U133" s="3"/>
      <c r="V133" s="3"/>
      <c r="W133" s="3"/>
      <c r="X133" s="3"/>
      <c r="Y133" s="3"/>
      <c r="Z133" s="3"/>
    </row>
    <row r="134" spans="1:26" ht="22.5" customHeight="1" x14ac:dyDescent="0.85">
      <c r="A134" s="130" t="s">
        <v>409</v>
      </c>
      <c r="B134" s="130" t="s">
        <v>410</v>
      </c>
      <c r="C134" s="174" t="s">
        <v>362</v>
      </c>
      <c r="D134" s="174" t="s">
        <v>117</v>
      </c>
      <c r="E134" s="174" t="s">
        <v>251</v>
      </c>
      <c r="F134" s="174" t="s">
        <v>362</v>
      </c>
      <c r="G134" s="225"/>
      <c r="H134" s="147"/>
      <c r="I134" s="147"/>
      <c r="J134" s="147"/>
      <c r="K134" s="3"/>
      <c r="L134" s="3"/>
      <c r="M134" s="3"/>
      <c r="N134" s="3"/>
      <c r="O134" s="3"/>
      <c r="P134" s="3"/>
      <c r="Q134" s="3"/>
      <c r="R134" s="3"/>
      <c r="S134" s="3"/>
      <c r="T134" s="3"/>
      <c r="U134" s="3"/>
      <c r="V134" s="3"/>
      <c r="W134" s="3"/>
      <c r="X134" s="3"/>
      <c r="Y134" s="3"/>
      <c r="Z134" s="3"/>
    </row>
    <row r="135" spans="1:26" ht="22.5" customHeight="1" x14ac:dyDescent="0.85">
      <c r="A135" s="175" t="s">
        <v>481</v>
      </c>
      <c r="B135" s="178">
        <f>'Waste_Recycling Data'!B88</f>
        <v>-109484.31168240006</v>
      </c>
      <c r="C135" s="179" t="s">
        <v>412</v>
      </c>
      <c r="D135" s="179" t="s">
        <v>106</v>
      </c>
      <c r="E135" s="98">
        <f>SUM('Waste_Recycling Data'!B97,'Waste_Recycling Data'!B98,'Waste_Recycling Data'!B106,'Waste_Recycling Data'!B107)</f>
        <v>36268.39</v>
      </c>
      <c r="F135" s="179" t="s">
        <v>482</v>
      </c>
      <c r="G135" s="225"/>
      <c r="H135" s="147"/>
      <c r="I135" s="147"/>
      <c r="J135" s="147"/>
      <c r="K135" s="3"/>
      <c r="L135" s="3"/>
      <c r="M135" s="3"/>
      <c r="N135" s="3"/>
      <c r="O135" s="3"/>
      <c r="P135" s="3"/>
      <c r="Q135" s="3"/>
      <c r="R135" s="3"/>
      <c r="S135" s="3"/>
      <c r="T135" s="3"/>
      <c r="U135" s="3"/>
      <c r="V135" s="3"/>
      <c r="W135" s="3"/>
      <c r="X135" s="3"/>
      <c r="Y135" s="3"/>
      <c r="Z135" s="3"/>
    </row>
    <row r="136" spans="1:26" ht="22.5" customHeight="1" x14ac:dyDescent="0.85">
      <c r="A136" s="186" t="s">
        <v>483</v>
      </c>
      <c r="B136" s="226">
        <f>B135+SUM(C130:C132)</f>
        <v>-132969.67816886949</v>
      </c>
      <c r="C136" s="188"/>
      <c r="D136" s="189"/>
      <c r="E136" s="189"/>
      <c r="F136" s="190"/>
      <c r="G136" s="225"/>
      <c r="H136" s="147"/>
      <c r="I136" s="147"/>
      <c r="J136" s="147"/>
      <c r="K136" s="3"/>
      <c r="L136" s="3"/>
      <c r="M136" s="3"/>
      <c r="N136" s="3"/>
      <c r="O136" s="3"/>
      <c r="P136" s="3"/>
      <c r="Q136" s="3"/>
      <c r="R136" s="3"/>
      <c r="S136" s="3"/>
      <c r="T136" s="3"/>
      <c r="U136" s="3"/>
      <c r="V136" s="3"/>
      <c r="W136" s="3"/>
      <c r="X136" s="3"/>
      <c r="Y136" s="3"/>
      <c r="Z136" s="3"/>
    </row>
    <row r="137" spans="1:26" ht="22.5" customHeight="1" x14ac:dyDescent="0.85">
      <c r="A137" s="166"/>
      <c r="B137" s="167"/>
      <c r="C137" s="167"/>
      <c r="D137" s="147"/>
      <c r="E137" s="147"/>
      <c r="F137" s="147"/>
      <c r="G137" s="147"/>
      <c r="H137" s="147"/>
      <c r="I137" s="147"/>
      <c r="J137" s="147"/>
      <c r="K137" s="3"/>
      <c r="L137" s="3"/>
      <c r="M137" s="3"/>
      <c r="N137" s="3"/>
      <c r="O137" s="3"/>
      <c r="P137" s="3"/>
      <c r="Q137" s="3"/>
      <c r="R137" s="3"/>
      <c r="S137" s="3"/>
      <c r="T137" s="3"/>
      <c r="U137" s="3"/>
      <c r="V137" s="3"/>
      <c r="W137" s="3"/>
      <c r="X137" s="3"/>
      <c r="Y137" s="3"/>
      <c r="Z137" s="3"/>
    </row>
    <row r="138" spans="1:26" ht="22.5" customHeight="1" x14ac:dyDescent="0.85">
      <c r="A138" s="166"/>
      <c r="B138" s="167"/>
      <c r="C138" s="167"/>
      <c r="D138" s="147"/>
      <c r="E138" s="147"/>
      <c r="F138" s="147"/>
      <c r="G138" s="147"/>
      <c r="H138" s="147"/>
      <c r="I138" s="147"/>
      <c r="J138" s="147"/>
      <c r="K138" s="3"/>
      <c r="L138" s="3"/>
      <c r="M138" s="3"/>
      <c r="N138" s="3"/>
      <c r="O138" s="3"/>
      <c r="P138" s="3"/>
      <c r="Q138" s="3"/>
      <c r="R138" s="3"/>
      <c r="S138" s="3"/>
      <c r="T138" s="3"/>
      <c r="U138" s="3"/>
      <c r="V138" s="3"/>
      <c r="W138" s="3"/>
      <c r="X138" s="3"/>
      <c r="Y138" s="3"/>
      <c r="Z138" s="3"/>
    </row>
    <row r="139" spans="1:26" ht="22.5" customHeight="1" x14ac:dyDescent="0.85">
      <c r="A139" s="166"/>
      <c r="B139" s="167"/>
      <c r="C139" s="167"/>
      <c r="D139" s="147"/>
      <c r="E139" s="147"/>
      <c r="F139" s="147"/>
      <c r="G139" s="147"/>
      <c r="H139" s="147"/>
      <c r="I139" s="147"/>
      <c r="J139" s="147"/>
      <c r="K139" s="3"/>
      <c r="L139" s="3"/>
      <c r="M139" s="3"/>
      <c r="N139" s="3"/>
      <c r="O139" s="3"/>
      <c r="P139" s="3"/>
      <c r="Q139" s="3"/>
      <c r="R139" s="3"/>
      <c r="S139" s="3"/>
      <c r="T139" s="3"/>
      <c r="U139" s="3"/>
      <c r="V139" s="3"/>
      <c r="W139" s="3"/>
      <c r="X139" s="3"/>
      <c r="Y139" s="3"/>
      <c r="Z139" s="3"/>
    </row>
    <row r="140" spans="1:26" ht="22.5" customHeight="1" x14ac:dyDescent="0.85">
      <c r="A140" s="166"/>
      <c r="B140" s="167"/>
      <c r="C140" s="167"/>
      <c r="D140" s="147"/>
      <c r="E140" s="147"/>
      <c r="F140" s="147"/>
      <c r="G140" s="147"/>
      <c r="H140" s="147"/>
      <c r="I140" s="147"/>
      <c r="J140" s="147"/>
      <c r="K140" s="3"/>
      <c r="L140" s="3"/>
      <c r="M140" s="3"/>
      <c r="N140" s="3"/>
      <c r="O140" s="3"/>
      <c r="P140" s="3"/>
      <c r="Q140" s="3"/>
      <c r="R140" s="3"/>
      <c r="S140" s="3"/>
      <c r="T140" s="3"/>
      <c r="U140" s="3"/>
      <c r="V140" s="3"/>
      <c r="W140" s="3"/>
      <c r="X140" s="3"/>
      <c r="Y140" s="3"/>
      <c r="Z140" s="3"/>
    </row>
    <row r="141" spans="1:26" ht="22.5" customHeight="1" x14ac:dyDescent="0.85">
      <c r="A141" s="166"/>
      <c r="B141" s="167"/>
      <c r="C141" s="167"/>
      <c r="D141" s="147"/>
      <c r="E141" s="147"/>
      <c r="F141" s="147"/>
      <c r="G141" s="147"/>
      <c r="H141" s="147"/>
      <c r="I141" s="147"/>
      <c r="J141" s="147"/>
      <c r="K141" s="3"/>
      <c r="L141" s="3"/>
      <c r="M141" s="3"/>
      <c r="N141" s="3"/>
      <c r="O141" s="3"/>
      <c r="P141" s="3"/>
      <c r="Q141" s="3"/>
      <c r="R141" s="3"/>
      <c r="S141" s="3"/>
      <c r="T141" s="3"/>
      <c r="U141" s="3"/>
      <c r="V141" s="3"/>
      <c r="W141" s="3"/>
      <c r="X141" s="3"/>
      <c r="Y141" s="3"/>
      <c r="Z141" s="3"/>
    </row>
    <row r="142" spans="1:26" ht="22.5" customHeight="1" x14ac:dyDescent="0.85">
      <c r="A142" s="166"/>
      <c r="B142" s="167"/>
      <c r="C142" s="167"/>
      <c r="D142" s="147"/>
      <c r="E142" s="147"/>
      <c r="F142" s="147"/>
      <c r="G142" s="147"/>
      <c r="H142" s="147"/>
      <c r="I142" s="147"/>
      <c r="J142" s="147"/>
      <c r="K142" s="3"/>
      <c r="L142" s="3"/>
      <c r="M142" s="3"/>
      <c r="N142" s="3"/>
      <c r="O142" s="3"/>
      <c r="P142" s="3"/>
      <c r="Q142" s="3"/>
      <c r="R142" s="3"/>
      <c r="S142" s="3"/>
      <c r="T142" s="3"/>
      <c r="U142" s="3"/>
      <c r="V142" s="3"/>
      <c r="W142" s="3"/>
      <c r="X142" s="3"/>
      <c r="Y142" s="3"/>
      <c r="Z142" s="3"/>
    </row>
    <row r="143" spans="1:26" ht="22.5" customHeight="1" x14ac:dyDescent="0.85">
      <c r="A143" s="166"/>
      <c r="B143" s="167"/>
      <c r="C143" s="167"/>
      <c r="D143" s="147"/>
      <c r="E143" s="147"/>
      <c r="F143" s="147"/>
      <c r="G143" s="147"/>
      <c r="H143" s="147"/>
      <c r="I143" s="147"/>
      <c r="J143" s="147"/>
      <c r="K143" s="3"/>
      <c r="L143" s="3"/>
      <c r="M143" s="3"/>
      <c r="N143" s="3"/>
      <c r="O143" s="3"/>
      <c r="P143" s="3"/>
      <c r="Q143" s="3"/>
      <c r="R143" s="3"/>
      <c r="S143" s="3"/>
      <c r="T143" s="3"/>
      <c r="U143" s="3"/>
      <c r="V143" s="3"/>
      <c r="W143" s="3"/>
      <c r="X143" s="3"/>
      <c r="Y143" s="3"/>
      <c r="Z143" s="3"/>
    </row>
    <row r="144" spans="1:26" ht="22.5" customHeight="1" x14ac:dyDescent="0.85">
      <c r="A144" s="166"/>
      <c r="B144" s="167"/>
      <c r="C144" s="167"/>
      <c r="D144" s="147"/>
      <c r="E144" s="147"/>
      <c r="F144" s="147"/>
      <c r="G144" s="147"/>
      <c r="H144" s="147"/>
      <c r="I144" s="147"/>
      <c r="J144" s="147"/>
      <c r="K144" s="3"/>
      <c r="L144" s="3"/>
      <c r="M144" s="3"/>
      <c r="N144" s="3"/>
      <c r="O144" s="3"/>
      <c r="P144" s="3"/>
      <c r="Q144" s="3"/>
      <c r="R144" s="3"/>
      <c r="S144" s="3"/>
      <c r="T144" s="3"/>
      <c r="U144" s="3"/>
      <c r="V144" s="3"/>
      <c r="W144" s="3"/>
      <c r="X144" s="3"/>
      <c r="Y144" s="3"/>
      <c r="Z144" s="3"/>
    </row>
    <row r="145" spans="1:26" ht="22.5" customHeight="1" x14ac:dyDescent="0.85">
      <c r="A145" s="166"/>
      <c r="B145" s="167"/>
      <c r="C145" s="167"/>
      <c r="D145" s="147"/>
      <c r="E145" s="147"/>
      <c r="F145" s="147"/>
      <c r="G145" s="147"/>
      <c r="H145" s="147"/>
      <c r="I145" s="147"/>
      <c r="J145" s="147"/>
      <c r="K145" s="3"/>
      <c r="L145" s="3"/>
      <c r="M145" s="3"/>
      <c r="N145" s="3"/>
      <c r="O145" s="3"/>
      <c r="P145" s="3"/>
      <c r="Q145" s="3"/>
      <c r="R145" s="3"/>
      <c r="S145" s="3"/>
      <c r="T145" s="3"/>
      <c r="U145" s="3"/>
      <c r="V145" s="3"/>
      <c r="W145" s="3"/>
      <c r="X145" s="3"/>
      <c r="Y145" s="3"/>
      <c r="Z145" s="3"/>
    </row>
    <row r="146" spans="1:26" ht="22.5" customHeight="1" x14ac:dyDescent="0.85">
      <c r="A146" s="166"/>
      <c r="B146" s="167"/>
      <c r="C146" s="167"/>
      <c r="D146" s="147"/>
      <c r="E146" s="147"/>
      <c r="F146" s="147"/>
      <c r="G146" s="147"/>
      <c r="H146" s="147"/>
      <c r="I146" s="147"/>
      <c r="J146" s="147"/>
      <c r="K146" s="3"/>
      <c r="L146" s="3"/>
      <c r="M146" s="3"/>
      <c r="N146" s="3"/>
      <c r="O146" s="3"/>
      <c r="P146" s="3"/>
      <c r="Q146" s="3"/>
      <c r="R146" s="3"/>
      <c r="S146" s="3"/>
      <c r="T146" s="3"/>
      <c r="U146" s="3"/>
      <c r="V146" s="3"/>
      <c r="W146" s="3"/>
      <c r="X146" s="3"/>
      <c r="Y146" s="3"/>
      <c r="Z146" s="3"/>
    </row>
    <row r="147" spans="1:26" ht="22.5" customHeight="1" x14ac:dyDescent="0.85">
      <c r="A147" s="166"/>
      <c r="B147" s="167"/>
      <c r="C147" s="167"/>
      <c r="D147" s="147"/>
      <c r="E147" s="147"/>
      <c r="F147" s="147"/>
      <c r="G147" s="147"/>
      <c r="H147" s="147"/>
      <c r="I147" s="147"/>
      <c r="J147" s="147"/>
      <c r="K147" s="3"/>
      <c r="L147" s="3"/>
      <c r="M147" s="3"/>
      <c r="N147" s="3"/>
      <c r="O147" s="3"/>
      <c r="P147" s="3"/>
      <c r="Q147" s="3"/>
      <c r="R147" s="3"/>
      <c r="S147" s="3"/>
      <c r="T147" s="3"/>
      <c r="U147" s="3"/>
      <c r="V147" s="3"/>
      <c r="W147" s="3"/>
      <c r="X147" s="3"/>
      <c r="Y147" s="3"/>
      <c r="Z147" s="3"/>
    </row>
    <row r="148" spans="1:26" ht="22.5" customHeight="1" x14ac:dyDescent="0.85">
      <c r="A148" s="166"/>
      <c r="B148" s="167"/>
      <c r="C148" s="167"/>
      <c r="D148" s="147"/>
      <c r="E148" s="147"/>
      <c r="F148" s="147"/>
      <c r="G148" s="147"/>
      <c r="H148" s="147"/>
      <c r="I148" s="147"/>
      <c r="J148" s="147"/>
      <c r="K148" s="3"/>
      <c r="L148" s="3"/>
      <c r="M148" s="3"/>
      <c r="N148" s="3"/>
      <c r="O148" s="3"/>
      <c r="P148" s="3"/>
      <c r="Q148" s="3"/>
      <c r="R148" s="3"/>
      <c r="S148" s="3"/>
      <c r="T148" s="3"/>
      <c r="U148" s="3"/>
      <c r="V148" s="3"/>
      <c r="W148" s="3"/>
      <c r="X148" s="3"/>
      <c r="Y148" s="3"/>
      <c r="Z148" s="3"/>
    </row>
    <row r="149" spans="1:26" ht="22.5" customHeight="1" x14ac:dyDescent="0.85">
      <c r="A149" s="166"/>
      <c r="B149" s="167"/>
      <c r="C149" s="167"/>
      <c r="D149" s="147"/>
      <c r="E149" s="147"/>
      <c r="F149" s="147"/>
      <c r="G149" s="147"/>
      <c r="H149" s="147"/>
      <c r="I149" s="147"/>
      <c r="J149" s="147"/>
      <c r="K149" s="3"/>
      <c r="L149" s="3"/>
      <c r="M149" s="3"/>
      <c r="N149" s="3"/>
      <c r="O149" s="3"/>
      <c r="P149" s="3"/>
      <c r="Q149" s="3"/>
      <c r="R149" s="3"/>
      <c r="S149" s="3"/>
      <c r="T149" s="3"/>
      <c r="U149" s="3"/>
      <c r="V149" s="3"/>
      <c r="W149" s="3"/>
      <c r="X149" s="3"/>
      <c r="Y149" s="3"/>
      <c r="Z149" s="3"/>
    </row>
    <row r="150" spans="1:26" ht="22.5" customHeight="1" x14ac:dyDescent="0.85">
      <c r="A150" s="166"/>
      <c r="B150" s="167"/>
      <c r="C150" s="167"/>
      <c r="D150" s="147"/>
      <c r="E150" s="147"/>
      <c r="F150" s="147"/>
      <c r="G150" s="147"/>
      <c r="H150" s="147"/>
      <c r="I150" s="147"/>
      <c r="J150" s="147"/>
      <c r="K150" s="3"/>
      <c r="L150" s="3"/>
      <c r="M150" s="3"/>
      <c r="N150" s="3"/>
      <c r="O150" s="3"/>
      <c r="P150" s="3"/>
      <c r="Q150" s="3"/>
      <c r="R150" s="3"/>
      <c r="S150" s="3"/>
      <c r="T150" s="3"/>
      <c r="U150" s="3"/>
      <c r="V150" s="3"/>
      <c r="W150" s="3"/>
      <c r="X150" s="3"/>
      <c r="Y150" s="3"/>
      <c r="Z150" s="3"/>
    </row>
    <row r="151" spans="1:26" ht="22.5" customHeight="1" x14ac:dyDescent="0.85">
      <c r="A151" s="166"/>
      <c r="B151" s="167"/>
      <c r="C151" s="167"/>
      <c r="D151" s="147"/>
      <c r="E151" s="147"/>
      <c r="F151" s="147"/>
      <c r="G151" s="147"/>
      <c r="H151" s="147"/>
      <c r="I151" s="147"/>
      <c r="J151" s="147"/>
      <c r="K151" s="3"/>
      <c r="L151" s="3"/>
      <c r="M151" s="3"/>
      <c r="N151" s="3"/>
      <c r="O151" s="3"/>
      <c r="P151" s="3"/>
      <c r="Q151" s="3"/>
      <c r="R151" s="3"/>
      <c r="S151" s="3"/>
      <c r="T151" s="3"/>
      <c r="U151" s="3"/>
      <c r="V151" s="3"/>
      <c r="W151" s="3"/>
      <c r="X151" s="3"/>
      <c r="Y151" s="3"/>
      <c r="Z151" s="3"/>
    </row>
    <row r="152" spans="1:26" ht="22.5" customHeight="1" x14ac:dyDescent="0.85">
      <c r="A152" s="166"/>
      <c r="B152" s="167"/>
      <c r="C152" s="167"/>
      <c r="D152" s="147"/>
      <c r="E152" s="147"/>
      <c r="F152" s="147"/>
      <c r="G152" s="147"/>
      <c r="H152" s="147"/>
      <c r="I152" s="147"/>
      <c r="J152" s="147"/>
      <c r="K152" s="3"/>
      <c r="L152" s="3"/>
      <c r="M152" s="3"/>
      <c r="N152" s="3"/>
      <c r="O152" s="3"/>
      <c r="P152" s="3"/>
      <c r="Q152" s="3"/>
      <c r="R152" s="3"/>
      <c r="S152" s="3"/>
      <c r="T152" s="3"/>
      <c r="U152" s="3"/>
      <c r="V152" s="3"/>
      <c r="W152" s="3"/>
      <c r="X152" s="3"/>
      <c r="Y152" s="3"/>
      <c r="Z152" s="3"/>
    </row>
    <row r="153" spans="1:26" ht="22.5" customHeight="1" x14ac:dyDescent="0.85">
      <c r="A153" s="166"/>
      <c r="B153" s="167"/>
      <c r="C153" s="167"/>
      <c r="D153" s="147"/>
      <c r="E153" s="147"/>
      <c r="F153" s="147"/>
      <c r="G153" s="147"/>
      <c r="H153" s="147"/>
      <c r="I153" s="147"/>
      <c r="J153" s="147"/>
      <c r="K153" s="3"/>
      <c r="L153" s="3"/>
      <c r="M153" s="3"/>
      <c r="N153" s="3"/>
      <c r="O153" s="3"/>
      <c r="P153" s="3"/>
      <c r="Q153" s="3"/>
      <c r="R153" s="3"/>
      <c r="S153" s="3"/>
      <c r="T153" s="3"/>
      <c r="U153" s="3"/>
      <c r="V153" s="3"/>
      <c r="W153" s="3"/>
      <c r="X153" s="3"/>
      <c r="Y153" s="3"/>
      <c r="Z153" s="3"/>
    </row>
    <row r="154" spans="1:26" ht="22.5" customHeight="1" x14ac:dyDescent="0.85">
      <c r="A154" s="166"/>
      <c r="B154" s="167"/>
      <c r="C154" s="167"/>
      <c r="D154" s="147"/>
      <c r="E154" s="147"/>
      <c r="F154" s="147"/>
      <c r="G154" s="147"/>
      <c r="H154" s="147"/>
      <c r="I154" s="147"/>
      <c r="J154" s="147"/>
      <c r="K154" s="3"/>
      <c r="L154" s="3"/>
      <c r="M154" s="3"/>
      <c r="N154" s="3"/>
      <c r="O154" s="3"/>
      <c r="P154" s="3"/>
      <c r="Q154" s="3"/>
      <c r="R154" s="3"/>
      <c r="S154" s="3"/>
      <c r="T154" s="3"/>
      <c r="U154" s="3"/>
      <c r="V154" s="3"/>
      <c r="W154" s="3"/>
      <c r="X154" s="3"/>
      <c r="Y154" s="3"/>
      <c r="Z154" s="3"/>
    </row>
    <row r="155" spans="1:26" ht="22.5" customHeight="1" x14ac:dyDescent="0.85">
      <c r="A155" s="166"/>
      <c r="B155" s="167"/>
      <c r="C155" s="167"/>
      <c r="D155" s="147"/>
      <c r="E155" s="147"/>
      <c r="F155" s="147"/>
      <c r="G155" s="147"/>
      <c r="H155" s="147"/>
      <c r="I155" s="147"/>
      <c r="J155" s="147"/>
      <c r="K155" s="3"/>
      <c r="L155" s="3"/>
      <c r="M155" s="3"/>
      <c r="N155" s="3"/>
      <c r="O155" s="3"/>
      <c r="P155" s="3"/>
      <c r="Q155" s="3"/>
      <c r="R155" s="3"/>
      <c r="S155" s="3"/>
      <c r="T155" s="3"/>
      <c r="U155" s="3"/>
      <c r="V155" s="3"/>
      <c r="W155" s="3"/>
      <c r="X155" s="3"/>
      <c r="Y155" s="3"/>
      <c r="Z155" s="3"/>
    </row>
    <row r="156" spans="1:26" ht="22.5" customHeight="1" x14ac:dyDescent="0.85">
      <c r="A156" s="166"/>
      <c r="B156" s="167"/>
      <c r="C156" s="167"/>
      <c r="D156" s="147"/>
      <c r="E156" s="147"/>
      <c r="F156" s="147"/>
      <c r="G156" s="147"/>
      <c r="H156" s="147"/>
      <c r="I156" s="147"/>
      <c r="J156" s="147"/>
      <c r="K156" s="3"/>
      <c r="L156" s="3"/>
      <c r="M156" s="3"/>
      <c r="N156" s="3"/>
      <c r="O156" s="3"/>
      <c r="P156" s="3"/>
      <c r="Q156" s="3"/>
      <c r="R156" s="3"/>
      <c r="S156" s="3"/>
      <c r="T156" s="3"/>
      <c r="U156" s="3"/>
      <c r="V156" s="3"/>
      <c r="W156" s="3"/>
      <c r="X156" s="3"/>
      <c r="Y156" s="3"/>
      <c r="Z156" s="3"/>
    </row>
    <row r="157" spans="1:26" ht="22.5" customHeight="1" x14ac:dyDescent="0.85">
      <c r="A157" s="166"/>
      <c r="B157" s="167"/>
      <c r="C157" s="167"/>
      <c r="D157" s="147"/>
      <c r="E157" s="147"/>
      <c r="F157" s="147"/>
      <c r="G157" s="147"/>
      <c r="H157" s="147"/>
      <c r="I157" s="147"/>
      <c r="J157" s="147"/>
      <c r="K157" s="3"/>
      <c r="L157" s="3"/>
      <c r="M157" s="3"/>
      <c r="N157" s="3"/>
      <c r="O157" s="3"/>
      <c r="P157" s="3"/>
      <c r="Q157" s="3"/>
      <c r="R157" s="3"/>
      <c r="S157" s="3"/>
      <c r="T157" s="3"/>
      <c r="U157" s="3"/>
      <c r="V157" s="3"/>
      <c r="W157" s="3"/>
      <c r="X157" s="3"/>
      <c r="Y157" s="3"/>
      <c r="Z157" s="3"/>
    </row>
    <row r="158" spans="1:26" ht="22.5" customHeight="1" x14ac:dyDescent="0.85">
      <c r="A158" s="166"/>
      <c r="B158" s="167"/>
      <c r="C158" s="167"/>
      <c r="D158" s="147"/>
      <c r="E158" s="147"/>
      <c r="F158" s="147"/>
      <c r="G158" s="147"/>
      <c r="H158" s="147"/>
      <c r="I158" s="147"/>
      <c r="J158" s="147"/>
      <c r="K158" s="3"/>
      <c r="L158" s="3"/>
      <c r="M158" s="3"/>
      <c r="N158" s="3"/>
      <c r="O158" s="3"/>
      <c r="P158" s="3"/>
      <c r="Q158" s="3"/>
      <c r="R158" s="3"/>
      <c r="S158" s="3"/>
      <c r="T158" s="3"/>
      <c r="U158" s="3"/>
      <c r="V158" s="3"/>
      <c r="W158" s="3"/>
      <c r="X158" s="3"/>
      <c r="Y158" s="3"/>
      <c r="Z158" s="3"/>
    </row>
    <row r="159" spans="1:26" ht="22.5" customHeight="1" x14ac:dyDescent="0.85">
      <c r="A159" s="166"/>
      <c r="B159" s="167"/>
      <c r="C159" s="167"/>
      <c r="D159" s="147"/>
      <c r="E159" s="147"/>
      <c r="F159" s="147"/>
      <c r="G159" s="147"/>
      <c r="H159" s="147"/>
      <c r="I159" s="147"/>
      <c r="J159" s="147"/>
      <c r="K159" s="3"/>
      <c r="L159" s="3"/>
      <c r="M159" s="3"/>
      <c r="N159" s="3"/>
      <c r="O159" s="3"/>
      <c r="P159" s="3"/>
      <c r="Q159" s="3"/>
      <c r="R159" s="3"/>
      <c r="S159" s="3"/>
      <c r="T159" s="3"/>
      <c r="U159" s="3"/>
      <c r="V159" s="3"/>
      <c r="W159" s="3"/>
      <c r="X159" s="3"/>
      <c r="Y159" s="3"/>
      <c r="Z159" s="3"/>
    </row>
    <row r="160" spans="1:26" ht="22.5" customHeight="1" x14ac:dyDescent="0.85">
      <c r="A160" s="166"/>
      <c r="B160" s="167"/>
      <c r="C160" s="167"/>
      <c r="D160" s="147"/>
      <c r="E160" s="147"/>
      <c r="F160" s="147"/>
      <c r="G160" s="147"/>
      <c r="H160" s="147"/>
      <c r="I160" s="147"/>
      <c r="J160" s="147"/>
      <c r="K160" s="3"/>
      <c r="L160" s="3"/>
      <c r="M160" s="3"/>
      <c r="N160" s="3"/>
      <c r="O160" s="3"/>
      <c r="P160" s="3"/>
      <c r="Q160" s="3"/>
      <c r="R160" s="3"/>
      <c r="S160" s="3"/>
      <c r="T160" s="3"/>
      <c r="U160" s="3"/>
      <c r="V160" s="3"/>
      <c r="W160" s="3"/>
      <c r="X160" s="3"/>
      <c r="Y160" s="3"/>
      <c r="Z160" s="3"/>
    </row>
    <row r="161" spans="1:26" ht="22.5" customHeight="1" x14ac:dyDescent="0.85">
      <c r="A161" s="166"/>
      <c r="B161" s="167"/>
      <c r="C161" s="167"/>
      <c r="D161" s="147"/>
      <c r="E161" s="147"/>
      <c r="F161" s="147"/>
      <c r="G161" s="147"/>
      <c r="H161" s="147"/>
      <c r="I161" s="147"/>
      <c r="J161" s="147"/>
      <c r="K161" s="3"/>
      <c r="L161" s="3"/>
      <c r="M161" s="3"/>
      <c r="N161" s="3"/>
      <c r="O161" s="3"/>
      <c r="P161" s="3"/>
      <c r="Q161" s="3"/>
      <c r="R161" s="3"/>
      <c r="S161" s="3"/>
      <c r="T161" s="3"/>
      <c r="U161" s="3"/>
      <c r="V161" s="3"/>
      <c r="W161" s="3"/>
      <c r="X161" s="3"/>
      <c r="Y161" s="3"/>
      <c r="Z161" s="3"/>
    </row>
    <row r="162" spans="1:26" ht="22.5" customHeight="1" x14ac:dyDescent="0.85">
      <c r="A162" s="166"/>
      <c r="B162" s="167"/>
      <c r="C162" s="167"/>
      <c r="D162" s="147"/>
      <c r="E162" s="147"/>
      <c r="F162" s="147"/>
      <c r="G162" s="147"/>
      <c r="H162" s="147"/>
      <c r="I162" s="147"/>
      <c r="J162" s="147"/>
      <c r="K162" s="3"/>
      <c r="L162" s="3"/>
      <c r="M162" s="3"/>
      <c r="N162" s="3"/>
      <c r="O162" s="3"/>
      <c r="P162" s="3"/>
      <c r="Q162" s="3"/>
      <c r="R162" s="3"/>
      <c r="S162" s="3"/>
      <c r="T162" s="3"/>
      <c r="U162" s="3"/>
      <c r="V162" s="3"/>
      <c r="W162" s="3"/>
      <c r="X162" s="3"/>
      <c r="Y162" s="3"/>
      <c r="Z162" s="3"/>
    </row>
    <row r="163" spans="1:26" ht="22.5" customHeight="1" x14ac:dyDescent="0.85">
      <c r="A163" s="166"/>
      <c r="B163" s="167"/>
      <c r="C163" s="167"/>
      <c r="D163" s="147"/>
      <c r="E163" s="147"/>
      <c r="F163" s="147"/>
      <c r="G163" s="147"/>
      <c r="H163" s="147"/>
      <c r="I163" s="147"/>
      <c r="J163" s="147"/>
      <c r="K163" s="3"/>
      <c r="L163" s="3"/>
      <c r="M163" s="3"/>
      <c r="N163" s="3"/>
      <c r="O163" s="3"/>
      <c r="P163" s="3"/>
      <c r="Q163" s="3"/>
      <c r="R163" s="3"/>
      <c r="S163" s="3"/>
      <c r="T163" s="3"/>
      <c r="U163" s="3"/>
      <c r="V163" s="3"/>
      <c r="W163" s="3"/>
      <c r="X163" s="3"/>
      <c r="Y163" s="3"/>
      <c r="Z163" s="3"/>
    </row>
    <row r="164" spans="1:26" ht="22.5" customHeight="1" x14ac:dyDescent="0.85">
      <c r="A164" s="166"/>
      <c r="B164" s="167"/>
      <c r="C164" s="167"/>
      <c r="D164" s="147"/>
      <c r="E164" s="147"/>
      <c r="F164" s="147"/>
      <c r="G164" s="147"/>
      <c r="H164" s="147"/>
      <c r="I164" s="147"/>
      <c r="J164" s="147"/>
      <c r="K164" s="3"/>
      <c r="L164" s="3"/>
      <c r="M164" s="3"/>
      <c r="N164" s="3"/>
      <c r="O164" s="3"/>
      <c r="P164" s="3"/>
      <c r="Q164" s="3"/>
      <c r="R164" s="3"/>
      <c r="S164" s="3"/>
      <c r="T164" s="3"/>
      <c r="U164" s="3"/>
      <c r="V164" s="3"/>
      <c r="W164" s="3"/>
      <c r="X164" s="3"/>
      <c r="Y164" s="3"/>
      <c r="Z164" s="3"/>
    </row>
    <row r="165" spans="1:26" ht="22.5" customHeight="1" x14ac:dyDescent="0.85">
      <c r="A165" s="166"/>
      <c r="B165" s="167"/>
      <c r="C165" s="167"/>
      <c r="D165" s="147"/>
      <c r="E165" s="147"/>
      <c r="F165" s="147"/>
      <c r="G165" s="147"/>
      <c r="H165" s="147"/>
      <c r="I165" s="147"/>
      <c r="J165" s="147"/>
      <c r="K165" s="3"/>
      <c r="L165" s="3"/>
      <c r="M165" s="3"/>
      <c r="N165" s="3"/>
      <c r="O165" s="3"/>
      <c r="P165" s="3"/>
      <c r="Q165" s="3"/>
      <c r="R165" s="3"/>
      <c r="S165" s="3"/>
      <c r="T165" s="3"/>
      <c r="U165" s="3"/>
      <c r="V165" s="3"/>
      <c r="W165" s="3"/>
      <c r="X165" s="3"/>
      <c r="Y165" s="3"/>
      <c r="Z165" s="3"/>
    </row>
    <row r="166" spans="1:26" ht="22.5" customHeight="1" x14ac:dyDescent="0.85">
      <c r="A166" s="166"/>
      <c r="B166" s="167"/>
      <c r="C166" s="167"/>
      <c r="D166" s="147"/>
      <c r="E166" s="147"/>
      <c r="F166" s="147"/>
      <c r="G166" s="147"/>
      <c r="H166" s="147"/>
      <c r="I166" s="147"/>
      <c r="J166" s="147"/>
      <c r="K166" s="3"/>
      <c r="L166" s="3"/>
      <c r="M166" s="3"/>
      <c r="N166" s="3"/>
      <c r="O166" s="3"/>
      <c r="P166" s="3"/>
      <c r="Q166" s="3"/>
      <c r="R166" s="3"/>
      <c r="S166" s="3"/>
      <c r="T166" s="3"/>
      <c r="U166" s="3"/>
      <c r="V166" s="3"/>
      <c r="W166" s="3"/>
      <c r="X166" s="3"/>
      <c r="Y166" s="3"/>
      <c r="Z166" s="3"/>
    </row>
    <row r="167" spans="1:26" ht="22.5" customHeight="1" x14ac:dyDescent="0.85">
      <c r="A167" s="166"/>
      <c r="B167" s="167"/>
      <c r="C167" s="167"/>
      <c r="D167" s="147"/>
      <c r="E167" s="147"/>
      <c r="F167" s="147"/>
      <c r="G167" s="147"/>
      <c r="H167" s="147"/>
      <c r="I167" s="147"/>
      <c r="J167" s="147"/>
      <c r="K167" s="3"/>
      <c r="L167" s="3"/>
      <c r="M167" s="3"/>
      <c r="N167" s="3"/>
      <c r="O167" s="3"/>
      <c r="P167" s="3"/>
      <c r="Q167" s="3"/>
      <c r="R167" s="3"/>
      <c r="S167" s="3"/>
      <c r="T167" s="3"/>
      <c r="U167" s="3"/>
      <c r="V167" s="3"/>
      <c r="W167" s="3"/>
      <c r="X167" s="3"/>
      <c r="Y167" s="3"/>
      <c r="Z167" s="3"/>
    </row>
    <row r="168" spans="1:26" ht="22.5" customHeight="1" x14ac:dyDescent="0.85">
      <c r="A168" s="166"/>
      <c r="B168" s="167"/>
      <c r="C168" s="167"/>
      <c r="D168" s="147"/>
      <c r="E168" s="147"/>
      <c r="F168" s="147"/>
      <c r="G168" s="147"/>
      <c r="H168" s="147"/>
      <c r="I168" s="147"/>
      <c r="J168" s="147"/>
      <c r="K168" s="3"/>
      <c r="L168" s="3"/>
      <c r="M168" s="3"/>
      <c r="N168" s="3"/>
      <c r="O168" s="3"/>
      <c r="P168" s="3"/>
      <c r="Q168" s="3"/>
      <c r="R168" s="3"/>
      <c r="S168" s="3"/>
      <c r="T168" s="3"/>
      <c r="U168" s="3"/>
      <c r="V168" s="3"/>
      <c r="W168" s="3"/>
      <c r="X168" s="3"/>
      <c r="Y168" s="3"/>
      <c r="Z168" s="3"/>
    </row>
    <row r="169" spans="1:26" ht="22.5" customHeight="1" x14ac:dyDescent="0.85">
      <c r="A169" s="166"/>
      <c r="B169" s="167"/>
      <c r="C169" s="167"/>
      <c r="D169" s="147"/>
      <c r="E169" s="147"/>
      <c r="F169" s="147"/>
      <c r="G169" s="147"/>
      <c r="H169" s="147"/>
      <c r="I169" s="147"/>
      <c r="J169" s="147"/>
      <c r="K169" s="3"/>
      <c r="L169" s="3"/>
      <c r="M169" s="3"/>
      <c r="N169" s="3"/>
      <c r="O169" s="3"/>
      <c r="P169" s="3"/>
      <c r="Q169" s="3"/>
      <c r="R169" s="3"/>
      <c r="S169" s="3"/>
      <c r="T169" s="3"/>
      <c r="U169" s="3"/>
      <c r="V169" s="3"/>
      <c r="W169" s="3"/>
      <c r="X169" s="3"/>
      <c r="Y169" s="3"/>
      <c r="Z169" s="3"/>
    </row>
    <row r="170" spans="1:26" ht="22.5" customHeight="1" x14ac:dyDescent="0.85">
      <c r="A170" s="166"/>
      <c r="B170" s="167"/>
      <c r="C170" s="167"/>
      <c r="D170" s="147"/>
      <c r="E170" s="147"/>
      <c r="F170" s="147"/>
      <c r="G170" s="147"/>
      <c r="H170" s="147"/>
      <c r="I170" s="147"/>
      <c r="J170" s="147"/>
      <c r="K170" s="3"/>
      <c r="L170" s="3"/>
      <c r="M170" s="3"/>
      <c r="N170" s="3"/>
      <c r="O170" s="3"/>
      <c r="P170" s="3"/>
      <c r="Q170" s="3"/>
      <c r="R170" s="3"/>
      <c r="S170" s="3"/>
      <c r="T170" s="3"/>
      <c r="U170" s="3"/>
      <c r="V170" s="3"/>
      <c r="W170" s="3"/>
      <c r="X170" s="3"/>
      <c r="Y170" s="3"/>
      <c r="Z170" s="3"/>
    </row>
    <row r="171" spans="1:26" ht="22.5" customHeight="1" x14ac:dyDescent="0.85">
      <c r="A171" s="166"/>
      <c r="B171" s="167"/>
      <c r="C171" s="167"/>
      <c r="D171" s="147"/>
      <c r="E171" s="147"/>
      <c r="F171" s="147"/>
      <c r="G171" s="147"/>
      <c r="H171" s="147"/>
      <c r="I171" s="147"/>
      <c r="J171" s="147"/>
      <c r="K171" s="3"/>
      <c r="L171" s="3"/>
      <c r="M171" s="3"/>
      <c r="N171" s="3"/>
      <c r="O171" s="3"/>
      <c r="P171" s="3"/>
      <c r="Q171" s="3"/>
      <c r="R171" s="3"/>
      <c r="S171" s="3"/>
      <c r="T171" s="3"/>
      <c r="U171" s="3"/>
      <c r="V171" s="3"/>
      <c r="W171" s="3"/>
      <c r="X171" s="3"/>
      <c r="Y171" s="3"/>
      <c r="Z171" s="3"/>
    </row>
    <row r="172" spans="1:26" ht="22.5" customHeight="1" x14ac:dyDescent="0.85">
      <c r="A172" s="166"/>
      <c r="B172" s="167"/>
      <c r="C172" s="167"/>
      <c r="D172" s="147"/>
      <c r="E172" s="147"/>
      <c r="F172" s="147"/>
      <c r="G172" s="147"/>
      <c r="H172" s="147"/>
      <c r="I172" s="147"/>
      <c r="J172" s="147"/>
      <c r="K172" s="3"/>
      <c r="L172" s="3"/>
      <c r="M172" s="3"/>
      <c r="N172" s="3"/>
      <c r="O172" s="3"/>
      <c r="P172" s="3"/>
      <c r="Q172" s="3"/>
      <c r="R172" s="3"/>
      <c r="S172" s="3"/>
      <c r="T172" s="3"/>
      <c r="U172" s="3"/>
      <c r="V172" s="3"/>
      <c r="W172" s="3"/>
      <c r="X172" s="3"/>
      <c r="Y172" s="3"/>
      <c r="Z172" s="3"/>
    </row>
    <row r="173" spans="1:26" ht="22.5" customHeight="1" x14ac:dyDescent="0.85">
      <c r="A173" s="166"/>
      <c r="B173" s="167"/>
      <c r="C173" s="167"/>
      <c r="D173" s="147"/>
      <c r="E173" s="147"/>
      <c r="F173" s="147"/>
      <c r="G173" s="147"/>
      <c r="H173" s="147"/>
      <c r="I173" s="147"/>
      <c r="J173" s="147"/>
      <c r="K173" s="3"/>
      <c r="L173" s="3"/>
      <c r="M173" s="3"/>
      <c r="N173" s="3"/>
      <c r="O173" s="3"/>
      <c r="P173" s="3"/>
      <c r="Q173" s="3"/>
      <c r="R173" s="3"/>
      <c r="S173" s="3"/>
      <c r="T173" s="3"/>
      <c r="U173" s="3"/>
      <c r="V173" s="3"/>
      <c r="W173" s="3"/>
      <c r="X173" s="3"/>
      <c r="Y173" s="3"/>
      <c r="Z173" s="3"/>
    </row>
    <row r="174" spans="1:26" ht="22.5" customHeight="1" x14ac:dyDescent="0.85">
      <c r="A174" s="166"/>
      <c r="B174" s="167"/>
      <c r="C174" s="167"/>
      <c r="D174" s="147"/>
      <c r="E174" s="147"/>
      <c r="F174" s="147"/>
      <c r="G174" s="147"/>
      <c r="H174" s="147"/>
      <c r="I174" s="147"/>
      <c r="J174" s="147"/>
      <c r="K174" s="3"/>
      <c r="L174" s="3"/>
      <c r="M174" s="3"/>
      <c r="N174" s="3"/>
      <c r="O174" s="3"/>
      <c r="P174" s="3"/>
      <c r="Q174" s="3"/>
      <c r="R174" s="3"/>
      <c r="S174" s="3"/>
      <c r="T174" s="3"/>
      <c r="U174" s="3"/>
      <c r="V174" s="3"/>
      <c r="W174" s="3"/>
      <c r="X174" s="3"/>
      <c r="Y174" s="3"/>
      <c r="Z174" s="3"/>
    </row>
    <row r="175" spans="1:26" ht="22.5" customHeight="1" x14ac:dyDescent="0.85">
      <c r="A175" s="166"/>
      <c r="B175" s="167"/>
      <c r="C175" s="167"/>
      <c r="D175" s="147"/>
      <c r="E175" s="147"/>
      <c r="F175" s="147"/>
      <c r="G175" s="147"/>
      <c r="H175" s="147"/>
      <c r="I175" s="147"/>
      <c r="J175" s="147"/>
      <c r="K175" s="3"/>
      <c r="L175" s="3"/>
      <c r="M175" s="3"/>
      <c r="N175" s="3"/>
      <c r="O175" s="3"/>
      <c r="P175" s="3"/>
      <c r="Q175" s="3"/>
      <c r="R175" s="3"/>
      <c r="S175" s="3"/>
      <c r="T175" s="3"/>
      <c r="U175" s="3"/>
      <c r="V175" s="3"/>
      <c r="W175" s="3"/>
      <c r="X175" s="3"/>
      <c r="Y175" s="3"/>
      <c r="Z175" s="3"/>
    </row>
    <row r="176" spans="1:26" ht="22.5" customHeight="1" x14ac:dyDescent="0.85">
      <c r="A176" s="166"/>
      <c r="B176" s="167"/>
      <c r="C176" s="167"/>
      <c r="D176" s="147"/>
      <c r="E176" s="147"/>
      <c r="F176" s="147"/>
      <c r="G176" s="147"/>
      <c r="H176" s="147"/>
      <c r="I176" s="147"/>
      <c r="J176" s="147"/>
      <c r="K176" s="3"/>
      <c r="L176" s="3"/>
      <c r="M176" s="3"/>
      <c r="N176" s="3"/>
      <c r="O176" s="3"/>
      <c r="P176" s="3"/>
      <c r="Q176" s="3"/>
      <c r="R176" s="3"/>
      <c r="S176" s="3"/>
      <c r="T176" s="3"/>
      <c r="U176" s="3"/>
      <c r="V176" s="3"/>
      <c r="W176" s="3"/>
      <c r="X176" s="3"/>
      <c r="Y176" s="3"/>
      <c r="Z176" s="3"/>
    </row>
    <row r="177" spans="1:26" ht="22.5" customHeight="1" x14ac:dyDescent="0.85">
      <c r="A177" s="166"/>
      <c r="B177" s="167"/>
      <c r="C177" s="167"/>
      <c r="D177" s="147"/>
      <c r="E177" s="147"/>
      <c r="F177" s="147"/>
      <c r="G177" s="147"/>
      <c r="H177" s="147"/>
      <c r="I177" s="147"/>
      <c r="J177" s="147"/>
      <c r="K177" s="3"/>
      <c r="L177" s="3"/>
      <c r="M177" s="3"/>
      <c r="N177" s="3"/>
      <c r="O177" s="3"/>
      <c r="P177" s="3"/>
      <c r="Q177" s="3"/>
      <c r="R177" s="3"/>
      <c r="S177" s="3"/>
      <c r="T177" s="3"/>
      <c r="U177" s="3"/>
      <c r="V177" s="3"/>
      <c r="W177" s="3"/>
      <c r="X177" s="3"/>
      <c r="Y177" s="3"/>
      <c r="Z177" s="3"/>
    </row>
    <row r="178" spans="1:26" ht="22.5" customHeight="1" x14ac:dyDescent="0.85">
      <c r="A178" s="166"/>
      <c r="B178" s="167"/>
      <c r="C178" s="167"/>
      <c r="D178" s="147"/>
      <c r="E178" s="147"/>
      <c r="F178" s="147"/>
      <c r="G178" s="147"/>
      <c r="H178" s="147"/>
      <c r="I178" s="147"/>
      <c r="J178" s="147"/>
      <c r="K178" s="3"/>
      <c r="L178" s="3"/>
      <c r="M178" s="3"/>
      <c r="N178" s="3"/>
      <c r="O178" s="3"/>
      <c r="P178" s="3"/>
      <c r="Q178" s="3"/>
      <c r="R178" s="3"/>
      <c r="S178" s="3"/>
      <c r="T178" s="3"/>
      <c r="U178" s="3"/>
      <c r="V178" s="3"/>
      <c r="W178" s="3"/>
      <c r="X178" s="3"/>
      <c r="Y178" s="3"/>
      <c r="Z178" s="3"/>
    </row>
    <row r="179" spans="1:26" ht="22.5" customHeight="1" x14ac:dyDescent="0.85">
      <c r="A179" s="166"/>
      <c r="B179" s="167"/>
      <c r="C179" s="167"/>
      <c r="D179" s="147"/>
      <c r="E179" s="147"/>
      <c r="F179" s="147"/>
      <c r="G179" s="147"/>
      <c r="H179" s="147"/>
      <c r="I179" s="147"/>
      <c r="J179" s="147"/>
      <c r="K179" s="3"/>
      <c r="L179" s="3"/>
      <c r="M179" s="3"/>
      <c r="N179" s="3"/>
      <c r="O179" s="3"/>
      <c r="P179" s="3"/>
      <c r="Q179" s="3"/>
      <c r="R179" s="3"/>
      <c r="S179" s="3"/>
      <c r="T179" s="3"/>
      <c r="U179" s="3"/>
      <c r="V179" s="3"/>
      <c r="W179" s="3"/>
      <c r="X179" s="3"/>
      <c r="Y179" s="3"/>
      <c r="Z179" s="3"/>
    </row>
    <row r="180" spans="1:26" ht="22.5" customHeight="1" x14ac:dyDescent="0.85">
      <c r="A180" s="166"/>
      <c r="B180" s="167"/>
      <c r="C180" s="167"/>
      <c r="D180" s="147"/>
      <c r="E180" s="147"/>
      <c r="F180" s="147"/>
      <c r="G180" s="147"/>
      <c r="H180" s="147"/>
      <c r="I180" s="147"/>
      <c r="J180" s="147"/>
      <c r="K180" s="3"/>
      <c r="L180" s="3"/>
      <c r="M180" s="3"/>
      <c r="N180" s="3"/>
      <c r="O180" s="3"/>
      <c r="P180" s="3"/>
      <c r="Q180" s="3"/>
      <c r="R180" s="3"/>
      <c r="S180" s="3"/>
      <c r="T180" s="3"/>
      <c r="U180" s="3"/>
      <c r="V180" s="3"/>
      <c r="W180" s="3"/>
      <c r="X180" s="3"/>
      <c r="Y180" s="3"/>
      <c r="Z180" s="3"/>
    </row>
    <row r="181" spans="1:26" ht="22.5" customHeight="1" x14ac:dyDescent="0.85">
      <c r="A181" s="166"/>
      <c r="B181" s="167"/>
      <c r="C181" s="167"/>
      <c r="D181" s="147"/>
      <c r="E181" s="147"/>
      <c r="F181" s="147"/>
      <c r="G181" s="147"/>
      <c r="H181" s="147"/>
      <c r="I181" s="147"/>
      <c r="J181" s="147"/>
      <c r="K181" s="3"/>
      <c r="L181" s="3"/>
      <c r="M181" s="3"/>
      <c r="N181" s="3"/>
      <c r="O181" s="3"/>
      <c r="P181" s="3"/>
      <c r="Q181" s="3"/>
      <c r="R181" s="3"/>
      <c r="S181" s="3"/>
      <c r="T181" s="3"/>
      <c r="U181" s="3"/>
      <c r="V181" s="3"/>
      <c r="W181" s="3"/>
      <c r="X181" s="3"/>
      <c r="Y181" s="3"/>
      <c r="Z181" s="3"/>
    </row>
    <row r="182" spans="1:26" ht="22.5" customHeight="1" x14ac:dyDescent="0.85">
      <c r="A182" s="166"/>
      <c r="B182" s="167"/>
      <c r="C182" s="167"/>
      <c r="D182" s="147"/>
      <c r="E182" s="147"/>
      <c r="F182" s="147"/>
      <c r="G182" s="147"/>
      <c r="H182" s="147"/>
      <c r="I182" s="147"/>
      <c r="J182" s="147"/>
      <c r="K182" s="3"/>
      <c r="L182" s="3"/>
      <c r="M182" s="3"/>
      <c r="N182" s="3"/>
      <c r="O182" s="3"/>
      <c r="P182" s="3"/>
      <c r="Q182" s="3"/>
      <c r="R182" s="3"/>
      <c r="S182" s="3"/>
      <c r="T182" s="3"/>
      <c r="U182" s="3"/>
      <c r="V182" s="3"/>
      <c r="W182" s="3"/>
      <c r="X182" s="3"/>
      <c r="Y182" s="3"/>
      <c r="Z182" s="3"/>
    </row>
    <row r="183" spans="1:26" ht="22.5" customHeight="1" x14ac:dyDescent="0.85">
      <c r="A183" s="166"/>
      <c r="B183" s="167"/>
      <c r="C183" s="167"/>
      <c r="D183" s="147"/>
      <c r="E183" s="147"/>
      <c r="F183" s="147"/>
      <c r="G183" s="147"/>
      <c r="H183" s="147"/>
      <c r="I183" s="147"/>
      <c r="J183" s="147"/>
      <c r="K183" s="3"/>
      <c r="L183" s="3"/>
      <c r="M183" s="3"/>
      <c r="N183" s="3"/>
      <c r="O183" s="3"/>
      <c r="P183" s="3"/>
      <c r="Q183" s="3"/>
      <c r="R183" s="3"/>
      <c r="S183" s="3"/>
      <c r="T183" s="3"/>
      <c r="U183" s="3"/>
      <c r="V183" s="3"/>
      <c r="W183" s="3"/>
      <c r="X183" s="3"/>
      <c r="Y183" s="3"/>
      <c r="Z183" s="3"/>
    </row>
    <row r="184" spans="1:26" ht="22.5" customHeight="1" x14ac:dyDescent="0.85">
      <c r="A184" s="166"/>
      <c r="B184" s="167"/>
      <c r="C184" s="167"/>
      <c r="D184" s="147"/>
      <c r="E184" s="147"/>
      <c r="F184" s="147"/>
      <c r="G184" s="147"/>
      <c r="H184" s="147"/>
      <c r="I184" s="147"/>
      <c r="J184" s="147"/>
      <c r="K184" s="3"/>
      <c r="L184" s="3"/>
      <c r="M184" s="3"/>
      <c r="N184" s="3"/>
      <c r="O184" s="3"/>
      <c r="P184" s="3"/>
      <c r="Q184" s="3"/>
      <c r="R184" s="3"/>
      <c r="S184" s="3"/>
      <c r="T184" s="3"/>
      <c r="U184" s="3"/>
      <c r="V184" s="3"/>
      <c r="W184" s="3"/>
      <c r="X184" s="3"/>
      <c r="Y184" s="3"/>
      <c r="Z184" s="3"/>
    </row>
    <row r="185" spans="1:26" ht="22.5" customHeight="1" x14ac:dyDescent="0.85">
      <c r="A185" s="166"/>
      <c r="B185" s="167"/>
      <c r="C185" s="167"/>
      <c r="D185" s="147"/>
      <c r="E185" s="147"/>
      <c r="F185" s="147"/>
      <c r="G185" s="147"/>
      <c r="H185" s="147"/>
      <c r="I185" s="147"/>
      <c r="J185" s="147"/>
      <c r="K185" s="3"/>
      <c r="L185" s="3"/>
      <c r="M185" s="3"/>
      <c r="N185" s="3"/>
      <c r="O185" s="3"/>
      <c r="P185" s="3"/>
      <c r="Q185" s="3"/>
      <c r="R185" s="3"/>
      <c r="S185" s="3"/>
      <c r="T185" s="3"/>
      <c r="U185" s="3"/>
      <c r="V185" s="3"/>
      <c r="W185" s="3"/>
      <c r="X185" s="3"/>
      <c r="Y185" s="3"/>
      <c r="Z185" s="3"/>
    </row>
    <row r="186" spans="1:26" ht="22.5" customHeight="1" x14ac:dyDescent="0.85">
      <c r="A186" s="166"/>
      <c r="B186" s="167"/>
      <c r="C186" s="167"/>
      <c r="D186" s="147"/>
      <c r="E186" s="147"/>
      <c r="F186" s="147"/>
      <c r="G186" s="147"/>
      <c r="H186" s="147"/>
      <c r="I186" s="147"/>
      <c r="J186" s="147"/>
      <c r="K186" s="3"/>
      <c r="L186" s="3"/>
      <c r="M186" s="3"/>
      <c r="N186" s="3"/>
      <c r="O186" s="3"/>
      <c r="P186" s="3"/>
      <c r="Q186" s="3"/>
      <c r="R186" s="3"/>
      <c r="S186" s="3"/>
      <c r="T186" s="3"/>
      <c r="U186" s="3"/>
      <c r="V186" s="3"/>
      <c r="W186" s="3"/>
      <c r="X186" s="3"/>
      <c r="Y186" s="3"/>
      <c r="Z186" s="3"/>
    </row>
    <row r="187" spans="1:26" ht="22.5" customHeight="1" x14ac:dyDescent="0.85">
      <c r="A187" s="166"/>
      <c r="B187" s="167"/>
      <c r="C187" s="167"/>
      <c r="D187" s="147"/>
      <c r="E187" s="147"/>
      <c r="F187" s="147"/>
      <c r="G187" s="147"/>
      <c r="H187" s="147"/>
      <c r="I187" s="147"/>
      <c r="J187" s="147"/>
      <c r="K187" s="3"/>
      <c r="L187" s="3"/>
      <c r="M187" s="3"/>
      <c r="N187" s="3"/>
      <c r="O187" s="3"/>
      <c r="P187" s="3"/>
      <c r="Q187" s="3"/>
      <c r="R187" s="3"/>
      <c r="S187" s="3"/>
      <c r="T187" s="3"/>
      <c r="U187" s="3"/>
      <c r="V187" s="3"/>
      <c r="W187" s="3"/>
      <c r="X187" s="3"/>
      <c r="Y187" s="3"/>
      <c r="Z187" s="3"/>
    </row>
    <row r="188" spans="1:26" ht="22.5" customHeight="1" x14ac:dyDescent="0.85">
      <c r="A188" s="166"/>
      <c r="B188" s="167"/>
      <c r="C188" s="167"/>
      <c r="D188" s="147"/>
      <c r="E188" s="147"/>
      <c r="F188" s="147"/>
      <c r="G188" s="147"/>
      <c r="H188" s="147"/>
      <c r="I188" s="147"/>
      <c r="J188" s="147"/>
      <c r="K188" s="3"/>
      <c r="L188" s="3"/>
      <c r="M188" s="3"/>
      <c r="N188" s="3"/>
      <c r="O188" s="3"/>
      <c r="P188" s="3"/>
      <c r="Q188" s="3"/>
      <c r="R188" s="3"/>
      <c r="S188" s="3"/>
      <c r="T188" s="3"/>
      <c r="U188" s="3"/>
      <c r="V188" s="3"/>
      <c r="W188" s="3"/>
      <c r="X188" s="3"/>
      <c r="Y188" s="3"/>
      <c r="Z188" s="3"/>
    </row>
    <row r="189" spans="1:26" ht="22.5" customHeight="1" x14ac:dyDescent="0.85">
      <c r="A189" s="166"/>
      <c r="B189" s="167"/>
      <c r="C189" s="167"/>
      <c r="D189" s="147"/>
      <c r="E189" s="147"/>
      <c r="F189" s="147"/>
      <c r="G189" s="147"/>
      <c r="H189" s="147"/>
      <c r="I189" s="147"/>
      <c r="J189" s="147"/>
      <c r="K189" s="3"/>
      <c r="L189" s="3"/>
      <c r="M189" s="3"/>
      <c r="N189" s="3"/>
      <c r="O189" s="3"/>
      <c r="P189" s="3"/>
      <c r="Q189" s="3"/>
      <c r="R189" s="3"/>
      <c r="S189" s="3"/>
      <c r="T189" s="3"/>
      <c r="U189" s="3"/>
      <c r="V189" s="3"/>
      <c r="W189" s="3"/>
      <c r="X189" s="3"/>
      <c r="Y189" s="3"/>
      <c r="Z189" s="3"/>
    </row>
    <row r="190" spans="1:26" ht="22.5" customHeight="1" x14ac:dyDescent="0.85">
      <c r="A190" s="166"/>
      <c r="B190" s="167"/>
      <c r="C190" s="167"/>
      <c r="D190" s="147"/>
      <c r="E190" s="147"/>
      <c r="F190" s="147"/>
      <c r="G190" s="147"/>
      <c r="H190" s="147"/>
      <c r="I190" s="147"/>
      <c r="J190" s="147"/>
      <c r="K190" s="3"/>
      <c r="L190" s="3"/>
      <c r="M190" s="3"/>
      <c r="N190" s="3"/>
      <c r="O190" s="3"/>
      <c r="P190" s="3"/>
      <c r="Q190" s="3"/>
      <c r="R190" s="3"/>
      <c r="S190" s="3"/>
      <c r="T190" s="3"/>
      <c r="U190" s="3"/>
      <c r="V190" s="3"/>
      <c r="W190" s="3"/>
      <c r="X190" s="3"/>
      <c r="Y190" s="3"/>
      <c r="Z190" s="3"/>
    </row>
    <row r="191" spans="1:26" ht="22.5" customHeight="1" x14ac:dyDescent="0.85">
      <c r="A191" s="166"/>
      <c r="B191" s="167"/>
      <c r="C191" s="167"/>
      <c r="D191" s="147"/>
      <c r="E191" s="147"/>
      <c r="F191" s="147"/>
      <c r="G191" s="147"/>
      <c r="H191" s="147"/>
      <c r="I191" s="147"/>
      <c r="J191" s="147"/>
      <c r="K191" s="3"/>
      <c r="L191" s="3"/>
      <c r="M191" s="3"/>
      <c r="N191" s="3"/>
      <c r="O191" s="3"/>
      <c r="P191" s="3"/>
      <c r="Q191" s="3"/>
      <c r="R191" s="3"/>
      <c r="S191" s="3"/>
      <c r="T191" s="3"/>
      <c r="U191" s="3"/>
      <c r="V191" s="3"/>
      <c r="W191" s="3"/>
      <c r="X191" s="3"/>
      <c r="Y191" s="3"/>
      <c r="Z191" s="3"/>
    </row>
    <row r="192" spans="1:26" ht="22.5" customHeight="1" x14ac:dyDescent="0.85">
      <c r="A192" s="166"/>
      <c r="B192" s="167"/>
      <c r="C192" s="167"/>
      <c r="D192" s="147"/>
      <c r="E192" s="147"/>
      <c r="F192" s="147"/>
      <c r="G192" s="147"/>
      <c r="H192" s="147"/>
      <c r="I192" s="147"/>
      <c r="J192" s="147"/>
      <c r="K192" s="3"/>
      <c r="L192" s="3"/>
      <c r="M192" s="3"/>
      <c r="N192" s="3"/>
      <c r="O192" s="3"/>
      <c r="P192" s="3"/>
      <c r="Q192" s="3"/>
      <c r="R192" s="3"/>
      <c r="S192" s="3"/>
      <c r="T192" s="3"/>
      <c r="U192" s="3"/>
      <c r="V192" s="3"/>
      <c r="W192" s="3"/>
      <c r="X192" s="3"/>
      <c r="Y192" s="3"/>
      <c r="Z192" s="3"/>
    </row>
    <row r="193" spans="1:26" ht="22.5" customHeight="1" x14ac:dyDescent="0.85">
      <c r="A193" s="166"/>
      <c r="B193" s="167"/>
      <c r="C193" s="167"/>
      <c r="D193" s="147"/>
      <c r="E193" s="147"/>
      <c r="F193" s="147"/>
      <c r="G193" s="147"/>
      <c r="H193" s="147"/>
      <c r="I193" s="147"/>
      <c r="J193" s="147"/>
      <c r="K193" s="3"/>
      <c r="L193" s="3"/>
      <c r="M193" s="3"/>
      <c r="N193" s="3"/>
      <c r="O193" s="3"/>
      <c r="P193" s="3"/>
      <c r="Q193" s="3"/>
      <c r="R193" s="3"/>
      <c r="S193" s="3"/>
      <c r="T193" s="3"/>
      <c r="U193" s="3"/>
      <c r="V193" s="3"/>
      <c r="W193" s="3"/>
      <c r="X193" s="3"/>
      <c r="Y193" s="3"/>
      <c r="Z193" s="3"/>
    </row>
    <row r="194" spans="1:26" ht="22.5" customHeight="1" x14ac:dyDescent="0.85">
      <c r="A194" s="166"/>
      <c r="B194" s="167"/>
      <c r="C194" s="167"/>
      <c r="D194" s="147"/>
      <c r="E194" s="147"/>
      <c r="F194" s="147"/>
      <c r="G194" s="147"/>
      <c r="H194" s="147"/>
      <c r="I194" s="147"/>
      <c r="J194" s="147"/>
      <c r="K194" s="3"/>
      <c r="L194" s="3"/>
      <c r="M194" s="3"/>
      <c r="N194" s="3"/>
      <c r="O194" s="3"/>
      <c r="P194" s="3"/>
      <c r="Q194" s="3"/>
      <c r="R194" s="3"/>
      <c r="S194" s="3"/>
      <c r="T194" s="3"/>
      <c r="U194" s="3"/>
      <c r="V194" s="3"/>
      <c r="W194" s="3"/>
      <c r="X194" s="3"/>
      <c r="Y194" s="3"/>
      <c r="Z194" s="3"/>
    </row>
    <row r="195" spans="1:26" ht="22.5" customHeight="1" x14ac:dyDescent="0.85">
      <c r="A195" s="166"/>
      <c r="B195" s="167"/>
      <c r="C195" s="167"/>
      <c r="D195" s="147"/>
      <c r="E195" s="147"/>
      <c r="F195" s="147"/>
      <c r="G195" s="147"/>
      <c r="H195" s="147"/>
      <c r="I195" s="147"/>
      <c r="J195" s="147"/>
      <c r="K195" s="3"/>
      <c r="L195" s="3"/>
      <c r="M195" s="3"/>
      <c r="N195" s="3"/>
      <c r="O195" s="3"/>
      <c r="P195" s="3"/>
      <c r="Q195" s="3"/>
      <c r="R195" s="3"/>
      <c r="S195" s="3"/>
      <c r="T195" s="3"/>
      <c r="U195" s="3"/>
      <c r="V195" s="3"/>
      <c r="W195" s="3"/>
      <c r="X195" s="3"/>
      <c r="Y195" s="3"/>
      <c r="Z195" s="3"/>
    </row>
    <row r="196" spans="1:26" ht="22.5" customHeight="1" x14ac:dyDescent="0.85">
      <c r="A196" s="166"/>
      <c r="B196" s="167"/>
      <c r="C196" s="167"/>
      <c r="D196" s="147"/>
      <c r="E196" s="147"/>
      <c r="F196" s="147"/>
      <c r="G196" s="147"/>
      <c r="H196" s="147"/>
      <c r="I196" s="147"/>
      <c r="J196" s="147"/>
      <c r="K196" s="3"/>
      <c r="L196" s="3"/>
      <c r="M196" s="3"/>
      <c r="N196" s="3"/>
      <c r="O196" s="3"/>
      <c r="P196" s="3"/>
      <c r="Q196" s="3"/>
      <c r="R196" s="3"/>
      <c r="S196" s="3"/>
      <c r="T196" s="3"/>
      <c r="U196" s="3"/>
      <c r="V196" s="3"/>
      <c r="W196" s="3"/>
      <c r="X196" s="3"/>
      <c r="Y196" s="3"/>
      <c r="Z196" s="3"/>
    </row>
    <row r="197" spans="1:26" ht="22.5" customHeight="1" x14ac:dyDescent="0.85">
      <c r="A197" s="166"/>
      <c r="B197" s="167"/>
      <c r="C197" s="167"/>
      <c r="D197" s="147"/>
      <c r="E197" s="147"/>
      <c r="F197" s="147"/>
      <c r="G197" s="147"/>
      <c r="H197" s="147"/>
      <c r="I197" s="147"/>
      <c r="J197" s="147"/>
      <c r="K197" s="3"/>
      <c r="L197" s="3"/>
      <c r="M197" s="3"/>
      <c r="N197" s="3"/>
      <c r="O197" s="3"/>
      <c r="P197" s="3"/>
      <c r="Q197" s="3"/>
      <c r="R197" s="3"/>
      <c r="S197" s="3"/>
      <c r="T197" s="3"/>
      <c r="U197" s="3"/>
      <c r="V197" s="3"/>
      <c r="W197" s="3"/>
      <c r="X197" s="3"/>
      <c r="Y197" s="3"/>
      <c r="Z197" s="3"/>
    </row>
    <row r="198" spans="1:26" ht="22.5" customHeight="1" x14ac:dyDescent="0.85">
      <c r="A198" s="166"/>
      <c r="B198" s="167"/>
      <c r="C198" s="167"/>
      <c r="D198" s="147"/>
      <c r="E198" s="147"/>
      <c r="F198" s="147"/>
      <c r="G198" s="147"/>
      <c r="H198" s="147"/>
      <c r="I198" s="147"/>
      <c r="J198" s="147"/>
      <c r="K198" s="3"/>
      <c r="L198" s="3"/>
      <c r="M198" s="3"/>
      <c r="N198" s="3"/>
      <c r="O198" s="3"/>
      <c r="P198" s="3"/>
      <c r="Q198" s="3"/>
      <c r="R198" s="3"/>
      <c r="S198" s="3"/>
      <c r="T198" s="3"/>
      <c r="U198" s="3"/>
      <c r="V198" s="3"/>
      <c r="W198" s="3"/>
      <c r="X198" s="3"/>
      <c r="Y198" s="3"/>
      <c r="Z198" s="3"/>
    </row>
    <row r="199" spans="1:26" ht="22.5" customHeight="1" x14ac:dyDescent="0.85">
      <c r="A199" s="166"/>
      <c r="B199" s="167"/>
      <c r="C199" s="167"/>
      <c r="D199" s="147"/>
      <c r="E199" s="147"/>
      <c r="F199" s="147"/>
      <c r="G199" s="147"/>
      <c r="H199" s="147"/>
      <c r="I199" s="147"/>
      <c r="J199" s="147"/>
      <c r="K199" s="3"/>
      <c r="L199" s="3"/>
      <c r="M199" s="3"/>
      <c r="N199" s="3"/>
      <c r="O199" s="3"/>
      <c r="P199" s="3"/>
      <c r="Q199" s="3"/>
      <c r="R199" s="3"/>
      <c r="S199" s="3"/>
      <c r="T199" s="3"/>
      <c r="U199" s="3"/>
      <c r="V199" s="3"/>
      <c r="W199" s="3"/>
      <c r="X199" s="3"/>
      <c r="Y199" s="3"/>
      <c r="Z199" s="3"/>
    </row>
    <row r="200" spans="1:26" ht="22.5" customHeight="1" x14ac:dyDescent="0.85">
      <c r="A200" s="166"/>
      <c r="B200" s="167"/>
      <c r="C200" s="167"/>
      <c r="D200" s="147"/>
      <c r="E200" s="147"/>
      <c r="F200" s="147"/>
      <c r="G200" s="147"/>
      <c r="H200" s="147"/>
      <c r="I200" s="147"/>
      <c r="J200" s="147"/>
      <c r="K200" s="3"/>
      <c r="L200" s="3"/>
      <c r="M200" s="3"/>
      <c r="N200" s="3"/>
      <c r="O200" s="3"/>
      <c r="P200" s="3"/>
      <c r="Q200" s="3"/>
      <c r="R200" s="3"/>
      <c r="S200" s="3"/>
      <c r="T200" s="3"/>
      <c r="U200" s="3"/>
      <c r="V200" s="3"/>
      <c r="W200" s="3"/>
      <c r="X200" s="3"/>
      <c r="Y200" s="3"/>
      <c r="Z200" s="3"/>
    </row>
    <row r="201" spans="1:26" ht="22.5" customHeight="1" x14ac:dyDescent="0.85">
      <c r="A201" s="166"/>
      <c r="B201" s="167"/>
      <c r="C201" s="167"/>
      <c r="D201" s="147"/>
      <c r="E201" s="147"/>
      <c r="F201" s="147"/>
      <c r="G201" s="147"/>
      <c r="H201" s="147"/>
      <c r="I201" s="147"/>
      <c r="J201" s="147"/>
      <c r="K201" s="3"/>
      <c r="L201" s="3"/>
      <c r="M201" s="3"/>
      <c r="N201" s="3"/>
      <c r="O201" s="3"/>
      <c r="P201" s="3"/>
      <c r="Q201" s="3"/>
      <c r="R201" s="3"/>
      <c r="S201" s="3"/>
      <c r="T201" s="3"/>
      <c r="U201" s="3"/>
      <c r="V201" s="3"/>
      <c r="W201" s="3"/>
      <c r="X201" s="3"/>
      <c r="Y201" s="3"/>
      <c r="Z201" s="3"/>
    </row>
    <row r="202" spans="1:26" ht="22.5" customHeight="1" x14ac:dyDescent="0.85">
      <c r="A202" s="166"/>
      <c r="B202" s="167"/>
      <c r="C202" s="167"/>
      <c r="D202" s="147"/>
      <c r="E202" s="147"/>
      <c r="F202" s="147"/>
      <c r="G202" s="147"/>
      <c r="H202" s="147"/>
      <c r="I202" s="147"/>
      <c r="J202" s="147"/>
      <c r="K202" s="3"/>
      <c r="L202" s="3"/>
      <c r="M202" s="3"/>
      <c r="N202" s="3"/>
      <c r="O202" s="3"/>
      <c r="P202" s="3"/>
      <c r="Q202" s="3"/>
      <c r="R202" s="3"/>
      <c r="S202" s="3"/>
      <c r="T202" s="3"/>
      <c r="U202" s="3"/>
      <c r="V202" s="3"/>
      <c r="W202" s="3"/>
      <c r="X202" s="3"/>
      <c r="Y202" s="3"/>
      <c r="Z202" s="3"/>
    </row>
    <row r="203" spans="1:26" ht="22.5" customHeight="1" x14ac:dyDescent="0.85">
      <c r="A203" s="166"/>
      <c r="B203" s="167"/>
      <c r="C203" s="167"/>
      <c r="D203" s="147"/>
      <c r="E203" s="147"/>
      <c r="F203" s="147"/>
      <c r="G203" s="147"/>
      <c r="H203" s="147"/>
      <c r="I203" s="147"/>
      <c r="J203" s="147"/>
      <c r="K203" s="3"/>
      <c r="L203" s="3"/>
      <c r="M203" s="3"/>
      <c r="N203" s="3"/>
      <c r="O203" s="3"/>
      <c r="P203" s="3"/>
      <c r="Q203" s="3"/>
      <c r="R203" s="3"/>
      <c r="S203" s="3"/>
      <c r="T203" s="3"/>
      <c r="U203" s="3"/>
      <c r="V203" s="3"/>
      <c r="W203" s="3"/>
      <c r="X203" s="3"/>
      <c r="Y203" s="3"/>
      <c r="Z203" s="3"/>
    </row>
    <row r="204" spans="1:26" ht="22.5" customHeight="1" x14ac:dyDescent="0.85">
      <c r="A204" s="166"/>
      <c r="B204" s="167"/>
      <c r="C204" s="167"/>
      <c r="D204" s="147"/>
      <c r="E204" s="147"/>
      <c r="F204" s="147"/>
      <c r="G204" s="147"/>
      <c r="H204" s="147"/>
      <c r="I204" s="147"/>
      <c r="J204" s="147"/>
      <c r="K204" s="3"/>
      <c r="L204" s="3"/>
      <c r="M204" s="3"/>
      <c r="N204" s="3"/>
      <c r="O204" s="3"/>
      <c r="P204" s="3"/>
      <c r="Q204" s="3"/>
      <c r="R204" s="3"/>
      <c r="S204" s="3"/>
      <c r="T204" s="3"/>
      <c r="U204" s="3"/>
      <c r="V204" s="3"/>
      <c r="W204" s="3"/>
      <c r="X204" s="3"/>
      <c r="Y204" s="3"/>
      <c r="Z204" s="3"/>
    </row>
    <row r="205" spans="1:26" ht="22.5" customHeight="1" x14ac:dyDescent="0.85">
      <c r="A205" s="166"/>
      <c r="B205" s="167"/>
      <c r="C205" s="167"/>
      <c r="D205" s="147"/>
      <c r="E205" s="147"/>
      <c r="F205" s="147"/>
      <c r="G205" s="147"/>
      <c r="H205" s="147"/>
      <c r="I205" s="147"/>
      <c r="J205" s="147"/>
      <c r="K205" s="3"/>
      <c r="L205" s="3"/>
      <c r="M205" s="3"/>
      <c r="N205" s="3"/>
      <c r="O205" s="3"/>
      <c r="P205" s="3"/>
      <c r="Q205" s="3"/>
      <c r="R205" s="3"/>
      <c r="S205" s="3"/>
      <c r="T205" s="3"/>
      <c r="U205" s="3"/>
      <c r="V205" s="3"/>
      <c r="W205" s="3"/>
      <c r="X205" s="3"/>
      <c r="Y205" s="3"/>
      <c r="Z205" s="3"/>
    </row>
    <row r="206" spans="1:26" ht="22.5" customHeight="1" x14ac:dyDescent="0.85">
      <c r="A206" s="166"/>
      <c r="B206" s="167"/>
      <c r="C206" s="167"/>
      <c r="D206" s="147"/>
      <c r="E206" s="147"/>
      <c r="F206" s="147"/>
      <c r="G206" s="147"/>
      <c r="H206" s="147"/>
      <c r="I206" s="147"/>
      <c r="J206" s="147"/>
      <c r="K206" s="3"/>
      <c r="L206" s="3"/>
      <c r="M206" s="3"/>
      <c r="N206" s="3"/>
      <c r="O206" s="3"/>
      <c r="P206" s="3"/>
      <c r="Q206" s="3"/>
      <c r="R206" s="3"/>
      <c r="S206" s="3"/>
      <c r="T206" s="3"/>
      <c r="U206" s="3"/>
      <c r="V206" s="3"/>
      <c r="W206" s="3"/>
      <c r="X206" s="3"/>
      <c r="Y206" s="3"/>
      <c r="Z206" s="3"/>
    </row>
    <row r="207" spans="1:26" ht="22.5" customHeight="1" x14ac:dyDescent="0.85">
      <c r="A207" s="166"/>
      <c r="B207" s="167"/>
      <c r="C207" s="167"/>
      <c r="D207" s="147"/>
      <c r="E207" s="147"/>
      <c r="F207" s="147"/>
      <c r="G207" s="147"/>
      <c r="H207" s="147"/>
      <c r="I207" s="147"/>
      <c r="J207" s="147"/>
      <c r="K207" s="3"/>
      <c r="L207" s="3"/>
      <c r="M207" s="3"/>
      <c r="N207" s="3"/>
      <c r="O207" s="3"/>
      <c r="P207" s="3"/>
      <c r="Q207" s="3"/>
      <c r="R207" s="3"/>
      <c r="S207" s="3"/>
      <c r="T207" s="3"/>
      <c r="U207" s="3"/>
      <c r="V207" s="3"/>
      <c r="W207" s="3"/>
      <c r="X207" s="3"/>
      <c r="Y207" s="3"/>
      <c r="Z207" s="3"/>
    </row>
    <row r="208" spans="1:26" ht="22.5" customHeight="1" x14ac:dyDescent="0.85">
      <c r="A208" s="166"/>
      <c r="B208" s="167"/>
      <c r="C208" s="167"/>
      <c r="D208" s="147"/>
      <c r="E208" s="147"/>
      <c r="F208" s="147"/>
      <c r="G208" s="147"/>
      <c r="H208" s="147"/>
      <c r="I208" s="147"/>
      <c r="J208" s="147"/>
      <c r="K208" s="3"/>
      <c r="L208" s="3"/>
      <c r="M208" s="3"/>
      <c r="N208" s="3"/>
      <c r="O208" s="3"/>
      <c r="P208" s="3"/>
      <c r="Q208" s="3"/>
      <c r="R208" s="3"/>
      <c r="S208" s="3"/>
      <c r="T208" s="3"/>
      <c r="U208" s="3"/>
      <c r="V208" s="3"/>
      <c r="W208" s="3"/>
      <c r="X208" s="3"/>
      <c r="Y208" s="3"/>
      <c r="Z208" s="3"/>
    </row>
    <row r="209" spans="1:26" ht="22.5" customHeight="1" x14ac:dyDescent="0.85">
      <c r="A209" s="166"/>
      <c r="B209" s="167"/>
      <c r="C209" s="167"/>
      <c r="D209" s="147"/>
      <c r="E209" s="147"/>
      <c r="F209" s="147"/>
      <c r="G209" s="147"/>
      <c r="H209" s="147"/>
      <c r="I209" s="147"/>
      <c r="J209" s="147"/>
      <c r="K209" s="3"/>
      <c r="L209" s="3"/>
      <c r="M209" s="3"/>
      <c r="N209" s="3"/>
      <c r="O209" s="3"/>
      <c r="P209" s="3"/>
      <c r="Q209" s="3"/>
      <c r="R209" s="3"/>
      <c r="S209" s="3"/>
      <c r="T209" s="3"/>
      <c r="U209" s="3"/>
      <c r="V209" s="3"/>
      <c r="W209" s="3"/>
      <c r="X209" s="3"/>
      <c r="Y209" s="3"/>
      <c r="Z209" s="3"/>
    </row>
    <row r="210" spans="1:26" ht="22.5" customHeight="1" x14ac:dyDescent="0.85">
      <c r="A210" s="166"/>
      <c r="B210" s="167"/>
      <c r="C210" s="167"/>
      <c r="D210" s="147"/>
      <c r="E210" s="147"/>
      <c r="F210" s="147"/>
      <c r="G210" s="147"/>
      <c r="H210" s="147"/>
      <c r="I210" s="147"/>
      <c r="J210" s="147"/>
      <c r="K210" s="3"/>
      <c r="L210" s="3"/>
      <c r="M210" s="3"/>
      <c r="N210" s="3"/>
      <c r="O210" s="3"/>
      <c r="P210" s="3"/>
      <c r="Q210" s="3"/>
      <c r="R210" s="3"/>
      <c r="S210" s="3"/>
      <c r="T210" s="3"/>
      <c r="U210" s="3"/>
      <c r="V210" s="3"/>
      <c r="W210" s="3"/>
      <c r="X210" s="3"/>
      <c r="Y210" s="3"/>
      <c r="Z210" s="3"/>
    </row>
    <row r="211" spans="1:26" ht="22.5" customHeight="1" x14ac:dyDescent="0.85">
      <c r="A211" s="166"/>
      <c r="B211" s="167"/>
      <c r="C211" s="167"/>
      <c r="D211" s="147"/>
      <c r="E211" s="147"/>
      <c r="F211" s="147"/>
      <c r="G211" s="147"/>
      <c r="H211" s="147"/>
      <c r="I211" s="147"/>
      <c r="J211" s="147"/>
      <c r="K211" s="3"/>
      <c r="L211" s="3"/>
      <c r="M211" s="3"/>
      <c r="N211" s="3"/>
      <c r="O211" s="3"/>
      <c r="P211" s="3"/>
      <c r="Q211" s="3"/>
      <c r="R211" s="3"/>
      <c r="S211" s="3"/>
      <c r="T211" s="3"/>
      <c r="U211" s="3"/>
      <c r="V211" s="3"/>
      <c r="W211" s="3"/>
      <c r="X211" s="3"/>
      <c r="Y211" s="3"/>
      <c r="Z211" s="3"/>
    </row>
    <row r="212" spans="1:26" ht="22.5" customHeight="1" x14ac:dyDescent="0.85">
      <c r="A212" s="166"/>
      <c r="B212" s="167"/>
      <c r="C212" s="167"/>
      <c r="D212" s="147"/>
      <c r="E212" s="147"/>
      <c r="F212" s="147"/>
      <c r="G212" s="147"/>
      <c r="H212" s="147"/>
      <c r="I212" s="147"/>
      <c r="J212" s="147"/>
      <c r="K212" s="3"/>
      <c r="L212" s="3"/>
      <c r="M212" s="3"/>
      <c r="N212" s="3"/>
      <c r="O212" s="3"/>
      <c r="P212" s="3"/>
      <c r="Q212" s="3"/>
      <c r="R212" s="3"/>
      <c r="S212" s="3"/>
      <c r="T212" s="3"/>
      <c r="U212" s="3"/>
      <c r="V212" s="3"/>
      <c r="W212" s="3"/>
      <c r="X212" s="3"/>
      <c r="Y212" s="3"/>
      <c r="Z212" s="3"/>
    </row>
    <row r="213" spans="1:26" ht="22.5" customHeight="1" x14ac:dyDescent="0.85">
      <c r="A213" s="166"/>
      <c r="B213" s="167"/>
      <c r="C213" s="167"/>
      <c r="D213" s="147"/>
      <c r="E213" s="147"/>
      <c r="F213" s="147"/>
      <c r="G213" s="147"/>
      <c r="H213" s="147"/>
      <c r="I213" s="147"/>
      <c r="J213" s="147"/>
      <c r="K213" s="3"/>
      <c r="L213" s="3"/>
      <c r="M213" s="3"/>
      <c r="N213" s="3"/>
      <c r="O213" s="3"/>
      <c r="P213" s="3"/>
      <c r="Q213" s="3"/>
      <c r="R213" s="3"/>
      <c r="S213" s="3"/>
      <c r="T213" s="3"/>
      <c r="U213" s="3"/>
      <c r="V213" s="3"/>
      <c r="W213" s="3"/>
      <c r="X213" s="3"/>
      <c r="Y213" s="3"/>
      <c r="Z213" s="3"/>
    </row>
    <row r="214" spans="1:26" ht="22.5" customHeight="1" x14ac:dyDescent="0.85">
      <c r="A214" s="166"/>
      <c r="B214" s="167"/>
      <c r="C214" s="167"/>
      <c r="D214" s="147"/>
      <c r="E214" s="147"/>
      <c r="F214" s="147"/>
      <c r="G214" s="147"/>
      <c r="H214" s="147"/>
      <c r="I214" s="147"/>
      <c r="J214" s="147"/>
      <c r="K214" s="3"/>
      <c r="L214" s="3"/>
      <c r="M214" s="3"/>
      <c r="N214" s="3"/>
      <c r="O214" s="3"/>
      <c r="P214" s="3"/>
      <c r="Q214" s="3"/>
      <c r="R214" s="3"/>
      <c r="S214" s="3"/>
      <c r="T214" s="3"/>
      <c r="U214" s="3"/>
      <c r="V214" s="3"/>
      <c r="W214" s="3"/>
      <c r="X214" s="3"/>
      <c r="Y214" s="3"/>
      <c r="Z214" s="3"/>
    </row>
    <row r="215" spans="1:26" ht="22.5" customHeight="1" x14ac:dyDescent="0.85">
      <c r="A215" s="166"/>
      <c r="B215" s="167"/>
      <c r="C215" s="167"/>
      <c r="D215" s="147"/>
      <c r="E215" s="147"/>
      <c r="F215" s="147"/>
      <c r="G215" s="147"/>
      <c r="H215" s="147"/>
      <c r="I215" s="147"/>
      <c r="J215" s="147"/>
      <c r="K215" s="3"/>
      <c r="L215" s="3"/>
      <c r="M215" s="3"/>
      <c r="N215" s="3"/>
      <c r="O215" s="3"/>
      <c r="P215" s="3"/>
      <c r="Q215" s="3"/>
      <c r="R215" s="3"/>
      <c r="S215" s="3"/>
      <c r="T215" s="3"/>
      <c r="U215" s="3"/>
      <c r="V215" s="3"/>
      <c r="W215" s="3"/>
      <c r="X215" s="3"/>
      <c r="Y215" s="3"/>
      <c r="Z215" s="3"/>
    </row>
    <row r="216" spans="1:26" ht="22.5" customHeight="1" x14ac:dyDescent="0.85">
      <c r="A216" s="166"/>
      <c r="B216" s="167"/>
      <c r="C216" s="167"/>
      <c r="D216" s="147"/>
      <c r="E216" s="147"/>
      <c r="F216" s="147"/>
      <c r="G216" s="147"/>
      <c r="H216" s="147"/>
      <c r="I216" s="147"/>
      <c r="J216" s="147"/>
      <c r="K216" s="3"/>
      <c r="L216" s="3"/>
      <c r="M216" s="3"/>
      <c r="N216" s="3"/>
      <c r="O216" s="3"/>
      <c r="P216" s="3"/>
      <c r="Q216" s="3"/>
      <c r="R216" s="3"/>
      <c r="S216" s="3"/>
      <c r="T216" s="3"/>
      <c r="U216" s="3"/>
      <c r="V216" s="3"/>
      <c r="W216" s="3"/>
      <c r="X216" s="3"/>
      <c r="Y216" s="3"/>
      <c r="Z216" s="3"/>
    </row>
    <row r="217" spans="1:26" ht="22.5" customHeight="1" x14ac:dyDescent="0.85">
      <c r="A217" s="166"/>
      <c r="B217" s="167"/>
      <c r="C217" s="167"/>
      <c r="D217" s="147"/>
      <c r="E217" s="147"/>
      <c r="F217" s="147"/>
      <c r="G217" s="147"/>
      <c r="H217" s="147"/>
      <c r="I217" s="147"/>
      <c r="J217" s="147"/>
      <c r="K217" s="3"/>
      <c r="L217" s="3"/>
      <c r="M217" s="3"/>
      <c r="N217" s="3"/>
      <c r="O217" s="3"/>
      <c r="P217" s="3"/>
      <c r="Q217" s="3"/>
      <c r="R217" s="3"/>
      <c r="S217" s="3"/>
      <c r="T217" s="3"/>
      <c r="U217" s="3"/>
      <c r="V217" s="3"/>
      <c r="W217" s="3"/>
      <c r="X217" s="3"/>
      <c r="Y217" s="3"/>
      <c r="Z217" s="3"/>
    </row>
    <row r="218" spans="1:26" ht="22.5" customHeight="1" x14ac:dyDescent="0.85">
      <c r="A218" s="166"/>
      <c r="B218" s="167"/>
      <c r="C218" s="167"/>
      <c r="D218" s="147"/>
      <c r="E218" s="147"/>
      <c r="F218" s="147"/>
      <c r="G218" s="147"/>
      <c r="H218" s="147"/>
      <c r="I218" s="147"/>
      <c r="J218" s="147"/>
      <c r="K218" s="3"/>
      <c r="L218" s="3"/>
      <c r="M218" s="3"/>
      <c r="N218" s="3"/>
      <c r="O218" s="3"/>
      <c r="P218" s="3"/>
      <c r="Q218" s="3"/>
      <c r="R218" s="3"/>
      <c r="S218" s="3"/>
      <c r="T218" s="3"/>
      <c r="U218" s="3"/>
      <c r="V218" s="3"/>
      <c r="W218" s="3"/>
      <c r="X218" s="3"/>
      <c r="Y218" s="3"/>
      <c r="Z218" s="3"/>
    </row>
    <row r="219" spans="1:26" ht="22.5" customHeight="1" x14ac:dyDescent="0.85">
      <c r="A219" s="166"/>
      <c r="B219" s="167"/>
      <c r="C219" s="167"/>
      <c r="D219" s="147"/>
      <c r="E219" s="147"/>
      <c r="F219" s="147"/>
      <c r="G219" s="147"/>
      <c r="H219" s="147"/>
      <c r="I219" s="147"/>
      <c r="J219" s="147"/>
      <c r="K219" s="3"/>
      <c r="L219" s="3"/>
      <c r="M219" s="3"/>
      <c r="N219" s="3"/>
      <c r="O219" s="3"/>
      <c r="P219" s="3"/>
      <c r="Q219" s="3"/>
      <c r="R219" s="3"/>
      <c r="S219" s="3"/>
      <c r="T219" s="3"/>
      <c r="U219" s="3"/>
      <c r="V219" s="3"/>
      <c r="W219" s="3"/>
      <c r="X219" s="3"/>
      <c r="Y219" s="3"/>
      <c r="Z219" s="3"/>
    </row>
    <row r="220" spans="1:26" ht="22.5" customHeight="1" x14ac:dyDescent="0.85">
      <c r="A220" s="166"/>
      <c r="B220" s="167"/>
      <c r="C220" s="167"/>
      <c r="D220" s="147"/>
      <c r="E220" s="147"/>
      <c r="F220" s="147"/>
      <c r="G220" s="147"/>
      <c r="H220" s="147"/>
      <c r="I220" s="147"/>
      <c r="J220" s="147"/>
      <c r="K220" s="3"/>
      <c r="L220" s="3"/>
      <c r="M220" s="3"/>
      <c r="N220" s="3"/>
      <c r="O220" s="3"/>
      <c r="P220" s="3"/>
      <c r="Q220" s="3"/>
      <c r="R220" s="3"/>
      <c r="S220" s="3"/>
      <c r="T220" s="3"/>
      <c r="U220" s="3"/>
      <c r="V220" s="3"/>
      <c r="W220" s="3"/>
      <c r="X220" s="3"/>
      <c r="Y220" s="3"/>
      <c r="Z220" s="3"/>
    </row>
    <row r="221" spans="1:26" ht="22.5" customHeight="1" x14ac:dyDescent="0.85">
      <c r="A221" s="166"/>
      <c r="B221" s="167"/>
      <c r="C221" s="167"/>
      <c r="D221" s="147"/>
      <c r="E221" s="147"/>
      <c r="F221" s="147"/>
      <c r="G221" s="147"/>
      <c r="H221" s="147"/>
      <c r="I221" s="147"/>
      <c r="J221" s="147"/>
      <c r="K221" s="3"/>
      <c r="L221" s="3"/>
      <c r="M221" s="3"/>
      <c r="N221" s="3"/>
      <c r="O221" s="3"/>
      <c r="P221" s="3"/>
      <c r="Q221" s="3"/>
      <c r="R221" s="3"/>
      <c r="S221" s="3"/>
      <c r="T221" s="3"/>
      <c r="U221" s="3"/>
      <c r="V221" s="3"/>
      <c r="W221" s="3"/>
      <c r="X221" s="3"/>
      <c r="Y221" s="3"/>
      <c r="Z221" s="3"/>
    </row>
    <row r="222" spans="1:26" ht="22.5" customHeight="1" x14ac:dyDescent="0.85">
      <c r="A222" s="166"/>
      <c r="B222" s="167"/>
      <c r="C222" s="167"/>
      <c r="D222" s="147"/>
      <c r="E222" s="147"/>
      <c r="F222" s="147"/>
      <c r="G222" s="147"/>
      <c r="H222" s="147"/>
      <c r="I222" s="147"/>
      <c r="J222" s="147"/>
      <c r="K222" s="3"/>
      <c r="L222" s="3"/>
      <c r="M222" s="3"/>
      <c r="N222" s="3"/>
      <c r="O222" s="3"/>
      <c r="P222" s="3"/>
      <c r="Q222" s="3"/>
      <c r="R222" s="3"/>
      <c r="S222" s="3"/>
      <c r="T222" s="3"/>
      <c r="U222" s="3"/>
      <c r="V222" s="3"/>
      <c r="W222" s="3"/>
      <c r="X222" s="3"/>
      <c r="Y222" s="3"/>
      <c r="Z222" s="3"/>
    </row>
    <row r="223" spans="1:26" ht="22.5" customHeight="1" x14ac:dyDescent="0.85">
      <c r="A223" s="166"/>
      <c r="B223" s="167"/>
      <c r="C223" s="167"/>
      <c r="D223" s="147"/>
      <c r="E223" s="147"/>
      <c r="F223" s="147"/>
      <c r="G223" s="147"/>
      <c r="H223" s="147"/>
      <c r="I223" s="147"/>
      <c r="J223" s="147"/>
      <c r="K223" s="3"/>
      <c r="L223" s="3"/>
      <c r="M223" s="3"/>
      <c r="N223" s="3"/>
      <c r="O223" s="3"/>
      <c r="P223" s="3"/>
      <c r="Q223" s="3"/>
      <c r="R223" s="3"/>
      <c r="S223" s="3"/>
      <c r="T223" s="3"/>
      <c r="U223" s="3"/>
      <c r="V223" s="3"/>
      <c r="W223" s="3"/>
      <c r="X223" s="3"/>
      <c r="Y223" s="3"/>
      <c r="Z223" s="3"/>
    </row>
    <row r="224" spans="1:26" ht="22.5" customHeight="1" x14ac:dyDescent="0.85">
      <c r="A224" s="166"/>
      <c r="B224" s="167"/>
      <c r="C224" s="167"/>
      <c r="D224" s="147"/>
      <c r="E224" s="147"/>
      <c r="F224" s="147"/>
      <c r="G224" s="147"/>
      <c r="H224" s="147"/>
      <c r="I224" s="147"/>
      <c r="J224" s="147"/>
      <c r="K224" s="3"/>
      <c r="L224" s="3"/>
      <c r="M224" s="3"/>
      <c r="N224" s="3"/>
      <c r="O224" s="3"/>
      <c r="P224" s="3"/>
      <c r="Q224" s="3"/>
      <c r="R224" s="3"/>
      <c r="S224" s="3"/>
      <c r="T224" s="3"/>
      <c r="U224" s="3"/>
      <c r="V224" s="3"/>
      <c r="W224" s="3"/>
      <c r="X224" s="3"/>
      <c r="Y224" s="3"/>
      <c r="Z224" s="3"/>
    </row>
    <row r="225" spans="1:26" ht="22.5" customHeight="1" x14ac:dyDescent="0.85">
      <c r="A225" s="166"/>
      <c r="B225" s="167"/>
      <c r="C225" s="167"/>
      <c r="D225" s="147"/>
      <c r="E225" s="147"/>
      <c r="F225" s="147"/>
      <c r="G225" s="147"/>
      <c r="H225" s="147"/>
      <c r="I225" s="147"/>
      <c r="J225" s="147"/>
      <c r="K225" s="3"/>
      <c r="L225" s="3"/>
      <c r="M225" s="3"/>
      <c r="N225" s="3"/>
      <c r="O225" s="3"/>
      <c r="P225" s="3"/>
      <c r="Q225" s="3"/>
      <c r="R225" s="3"/>
      <c r="S225" s="3"/>
      <c r="T225" s="3"/>
      <c r="U225" s="3"/>
      <c r="V225" s="3"/>
      <c r="W225" s="3"/>
      <c r="X225" s="3"/>
      <c r="Y225" s="3"/>
      <c r="Z225" s="3"/>
    </row>
    <row r="226" spans="1:26" ht="22.5" customHeight="1" x14ac:dyDescent="0.85">
      <c r="A226" s="166"/>
      <c r="B226" s="167"/>
      <c r="C226" s="167"/>
      <c r="D226" s="147"/>
      <c r="E226" s="147"/>
      <c r="F226" s="147"/>
      <c r="G226" s="147"/>
      <c r="H226" s="147"/>
      <c r="I226" s="147"/>
      <c r="J226" s="147"/>
      <c r="K226" s="3"/>
      <c r="L226" s="3"/>
      <c r="M226" s="3"/>
      <c r="N226" s="3"/>
      <c r="O226" s="3"/>
      <c r="P226" s="3"/>
      <c r="Q226" s="3"/>
      <c r="R226" s="3"/>
      <c r="S226" s="3"/>
      <c r="T226" s="3"/>
      <c r="U226" s="3"/>
      <c r="V226" s="3"/>
      <c r="W226" s="3"/>
      <c r="X226" s="3"/>
      <c r="Y226" s="3"/>
      <c r="Z226" s="3"/>
    </row>
    <row r="227" spans="1:26" ht="22.5" customHeight="1" x14ac:dyDescent="0.85">
      <c r="A227" s="166"/>
      <c r="B227" s="167"/>
      <c r="C227" s="167"/>
      <c r="D227" s="147"/>
      <c r="E227" s="147"/>
      <c r="F227" s="147"/>
      <c r="G227" s="147"/>
      <c r="H227" s="147"/>
      <c r="I227" s="147"/>
      <c r="J227" s="147"/>
      <c r="K227" s="3"/>
      <c r="L227" s="3"/>
      <c r="M227" s="3"/>
      <c r="N227" s="3"/>
      <c r="O227" s="3"/>
      <c r="P227" s="3"/>
      <c r="Q227" s="3"/>
      <c r="R227" s="3"/>
      <c r="S227" s="3"/>
      <c r="T227" s="3"/>
      <c r="U227" s="3"/>
      <c r="V227" s="3"/>
      <c r="W227" s="3"/>
      <c r="X227" s="3"/>
      <c r="Y227" s="3"/>
      <c r="Z227" s="3"/>
    </row>
    <row r="228" spans="1:26" ht="22.5" customHeight="1" x14ac:dyDescent="0.85">
      <c r="A228" s="166"/>
      <c r="B228" s="167"/>
      <c r="C228" s="167"/>
      <c r="D228" s="147"/>
      <c r="E228" s="147"/>
      <c r="F228" s="147"/>
      <c r="G228" s="147"/>
      <c r="H228" s="147"/>
      <c r="I228" s="147"/>
      <c r="J228" s="147"/>
      <c r="K228" s="3"/>
      <c r="L228" s="3"/>
      <c r="M228" s="3"/>
      <c r="N228" s="3"/>
      <c r="O228" s="3"/>
      <c r="P228" s="3"/>
      <c r="Q228" s="3"/>
      <c r="R228" s="3"/>
      <c r="S228" s="3"/>
      <c r="T228" s="3"/>
      <c r="U228" s="3"/>
      <c r="V228" s="3"/>
      <c r="W228" s="3"/>
      <c r="X228" s="3"/>
      <c r="Y228" s="3"/>
      <c r="Z228" s="3"/>
    </row>
    <row r="229" spans="1:26" ht="22.5" customHeight="1" x14ac:dyDescent="0.85">
      <c r="A229" s="166"/>
      <c r="B229" s="167"/>
      <c r="C229" s="167"/>
      <c r="D229" s="147"/>
      <c r="E229" s="147"/>
      <c r="F229" s="147"/>
      <c r="G229" s="147"/>
      <c r="H229" s="147"/>
      <c r="I229" s="147"/>
      <c r="J229" s="147"/>
      <c r="K229" s="3"/>
      <c r="L229" s="3"/>
      <c r="M229" s="3"/>
      <c r="N229" s="3"/>
      <c r="O229" s="3"/>
      <c r="P229" s="3"/>
      <c r="Q229" s="3"/>
      <c r="R229" s="3"/>
      <c r="S229" s="3"/>
      <c r="T229" s="3"/>
      <c r="U229" s="3"/>
      <c r="V229" s="3"/>
      <c r="W229" s="3"/>
      <c r="X229" s="3"/>
      <c r="Y229" s="3"/>
      <c r="Z229" s="3"/>
    </row>
    <row r="230" spans="1:26" ht="22.5" customHeight="1" x14ac:dyDescent="0.85">
      <c r="A230" s="166"/>
      <c r="B230" s="167"/>
      <c r="C230" s="167"/>
      <c r="D230" s="147"/>
      <c r="E230" s="147"/>
      <c r="F230" s="147"/>
      <c r="G230" s="147"/>
      <c r="H230" s="147"/>
      <c r="I230" s="147"/>
      <c r="J230" s="147"/>
      <c r="K230" s="3"/>
      <c r="L230" s="3"/>
      <c r="M230" s="3"/>
      <c r="N230" s="3"/>
      <c r="O230" s="3"/>
      <c r="P230" s="3"/>
      <c r="Q230" s="3"/>
      <c r="R230" s="3"/>
      <c r="S230" s="3"/>
      <c r="T230" s="3"/>
      <c r="U230" s="3"/>
      <c r="V230" s="3"/>
      <c r="W230" s="3"/>
      <c r="X230" s="3"/>
      <c r="Y230" s="3"/>
      <c r="Z230" s="3"/>
    </row>
    <row r="231" spans="1:26" ht="22.5" customHeight="1" x14ac:dyDescent="0.85">
      <c r="A231" s="166"/>
      <c r="B231" s="167"/>
      <c r="C231" s="167"/>
      <c r="D231" s="147"/>
      <c r="E231" s="147"/>
      <c r="F231" s="147"/>
      <c r="G231" s="147"/>
      <c r="H231" s="147"/>
      <c r="I231" s="147"/>
      <c r="J231" s="147"/>
      <c r="K231" s="3"/>
      <c r="L231" s="3"/>
      <c r="M231" s="3"/>
      <c r="N231" s="3"/>
      <c r="O231" s="3"/>
      <c r="P231" s="3"/>
      <c r="Q231" s="3"/>
      <c r="R231" s="3"/>
      <c r="S231" s="3"/>
      <c r="T231" s="3"/>
      <c r="U231" s="3"/>
      <c r="V231" s="3"/>
      <c r="W231" s="3"/>
      <c r="X231" s="3"/>
      <c r="Y231" s="3"/>
      <c r="Z231" s="3"/>
    </row>
    <row r="232" spans="1:26" ht="22.5" customHeight="1" x14ac:dyDescent="0.85">
      <c r="A232" s="166"/>
      <c r="B232" s="167"/>
      <c r="C232" s="167"/>
      <c r="D232" s="147"/>
      <c r="E232" s="147"/>
      <c r="F232" s="147"/>
      <c r="G232" s="147"/>
      <c r="H232" s="147"/>
      <c r="I232" s="147"/>
      <c r="J232" s="147"/>
      <c r="K232" s="3"/>
      <c r="L232" s="3"/>
      <c r="M232" s="3"/>
      <c r="N232" s="3"/>
      <c r="O232" s="3"/>
      <c r="P232" s="3"/>
      <c r="Q232" s="3"/>
      <c r="R232" s="3"/>
      <c r="S232" s="3"/>
      <c r="T232" s="3"/>
      <c r="U232" s="3"/>
      <c r="V232" s="3"/>
      <c r="W232" s="3"/>
      <c r="X232" s="3"/>
      <c r="Y232" s="3"/>
      <c r="Z232" s="3"/>
    </row>
    <row r="233" spans="1:26" ht="22.5" customHeight="1" x14ac:dyDescent="0.85">
      <c r="A233" s="166"/>
      <c r="B233" s="167"/>
      <c r="C233" s="167"/>
      <c r="D233" s="147"/>
      <c r="E233" s="147"/>
      <c r="F233" s="147"/>
      <c r="G233" s="147"/>
      <c r="H233" s="147"/>
      <c r="I233" s="147"/>
      <c r="J233" s="147"/>
      <c r="K233" s="3"/>
      <c r="L233" s="3"/>
      <c r="M233" s="3"/>
      <c r="N233" s="3"/>
      <c r="O233" s="3"/>
      <c r="P233" s="3"/>
      <c r="Q233" s="3"/>
      <c r="R233" s="3"/>
      <c r="S233" s="3"/>
      <c r="T233" s="3"/>
      <c r="U233" s="3"/>
      <c r="V233" s="3"/>
      <c r="W233" s="3"/>
      <c r="X233" s="3"/>
      <c r="Y233" s="3"/>
      <c r="Z233" s="3"/>
    </row>
    <row r="234" spans="1:26" ht="22.5" customHeight="1" x14ac:dyDescent="0.85">
      <c r="A234" s="166"/>
      <c r="B234" s="167"/>
      <c r="C234" s="167"/>
      <c r="D234" s="147"/>
      <c r="E234" s="147"/>
      <c r="F234" s="147"/>
      <c r="G234" s="147"/>
      <c r="H234" s="147"/>
      <c r="I234" s="147"/>
      <c r="J234" s="147"/>
      <c r="K234" s="3"/>
      <c r="L234" s="3"/>
      <c r="M234" s="3"/>
      <c r="N234" s="3"/>
      <c r="O234" s="3"/>
      <c r="P234" s="3"/>
      <c r="Q234" s="3"/>
      <c r="R234" s="3"/>
      <c r="S234" s="3"/>
      <c r="T234" s="3"/>
      <c r="U234" s="3"/>
      <c r="V234" s="3"/>
      <c r="W234" s="3"/>
      <c r="X234" s="3"/>
      <c r="Y234" s="3"/>
      <c r="Z234" s="3"/>
    </row>
    <row r="235" spans="1:26" ht="22.5" customHeight="1" x14ac:dyDescent="0.85">
      <c r="A235" s="166"/>
      <c r="B235" s="167"/>
      <c r="C235" s="167"/>
      <c r="D235" s="147"/>
      <c r="E235" s="147"/>
      <c r="F235" s="147"/>
      <c r="G235" s="147"/>
      <c r="H235" s="147"/>
      <c r="I235" s="147"/>
      <c r="J235" s="147"/>
      <c r="K235" s="3"/>
      <c r="L235" s="3"/>
      <c r="M235" s="3"/>
      <c r="N235" s="3"/>
      <c r="O235" s="3"/>
      <c r="P235" s="3"/>
      <c r="Q235" s="3"/>
      <c r="R235" s="3"/>
      <c r="S235" s="3"/>
      <c r="T235" s="3"/>
      <c r="U235" s="3"/>
      <c r="V235" s="3"/>
      <c r="W235" s="3"/>
      <c r="X235" s="3"/>
      <c r="Y235" s="3"/>
      <c r="Z235" s="3"/>
    </row>
    <row r="236" spans="1:26" ht="22.5" customHeight="1" x14ac:dyDescent="0.85">
      <c r="A236" s="166"/>
      <c r="B236" s="167"/>
      <c r="C236" s="167"/>
      <c r="D236" s="147"/>
      <c r="E236" s="147"/>
      <c r="F236" s="147"/>
      <c r="G236" s="147"/>
      <c r="H236" s="147"/>
      <c r="I236" s="147"/>
      <c r="J236" s="147"/>
      <c r="K236" s="3"/>
      <c r="L236" s="3"/>
      <c r="M236" s="3"/>
      <c r="N236" s="3"/>
      <c r="O236" s="3"/>
      <c r="P236" s="3"/>
      <c r="Q236" s="3"/>
      <c r="R236" s="3"/>
      <c r="S236" s="3"/>
      <c r="T236" s="3"/>
      <c r="U236" s="3"/>
      <c r="V236" s="3"/>
      <c r="W236" s="3"/>
      <c r="X236" s="3"/>
      <c r="Y236" s="3"/>
      <c r="Z236" s="3"/>
    </row>
    <row r="237" spans="1:26" ht="22.5" customHeight="1" x14ac:dyDescent="0.85">
      <c r="A237" s="166"/>
      <c r="B237" s="167"/>
      <c r="C237" s="167"/>
      <c r="D237" s="147"/>
      <c r="E237" s="147"/>
      <c r="F237" s="147"/>
      <c r="G237" s="147"/>
      <c r="H237" s="147"/>
      <c r="I237" s="147"/>
      <c r="J237" s="147"/>
      <c r="K237" s="3"/>
      <c r="L237" s="3"/>
      <c r="M237" s="3"/>
      <c r="N237" s="3"/>
      <c r="O237" s="3"/>
      <c r="P237" s="3"/>
      <c r="Q237" s="3"/>
      <c r="R237" s="3"/>
      <c r="S237" s="3"/>
      <c r="T237" s="3"/>
      <c r="U237" s="3"/>
      <c r="V237" s="3"/>
      <c r="W237" s="3"/>
      <c r="X237" s="3"/>
      <c r="Y237" s="3"/>
      <c r="Z237" s="3"/>
    </row>
    <row r="238" spans="1:26" ht="22.5" customHeight="1" x14ac:dyDescent="0.85">
      <c r="A238" s="166"/>
      <c r="B238" s="167"/>
      <c r="C238" s="167"/>
      <c r="D238" s="147"/>
      <c r="E238" s="147"/>
      <c r="F238" s="147"/>
      <c r="G238" s="147"/>
      <c r="H238" s="147"/>
      <c r="I238" s="147"/>
      <c r="J238" s="147"/>
      <c r="K238" s="3"/>
      <c r="L238" s="3"/>
      <c r="M238" s="3"/>
      <c r="N238" s="3"/>
      <c r="O238" s="3"/>
      <c r="P238" s="3"/>
      <c r="Q238" s="3"/>
      <c r="R238" s="3"/>
      <c r="S238" s="3"/>
      <c r="T238" s="3"/>
      <c r="U238" s="3"/>
      <c r="V238" s="3"/>
      <c r="W238" s="3"/>
      <c r="X238" s="3"/>
      <c r="Y238" s="3"/>
      <c r="Z238" s="3"/>
    </row>
    <row r="239" spans="1:26" ht="22.5" customHeight="1" x14ac:dyDescent="0.85">
      <c r="A239" s="166"/>
      <c r="B239" s="167"/>
      <c r="C239" s="167"/>
      <c r="D239" s="147"/>
      <c r="E239" s="147"/>
      <c r="F239" s="147"/>
      <c r="G239" s="147"/>
      <c r="H239" s="147"/>
      <c r="I239" s="147"/>
      <c r="J239" s="147"/>
      <c r="K239" s="3"/>
      <c r="L239" s="3"/>
      <c r="M239" s="3"/>
      <c r="N239" s="3"/>
      <c r="O239" s="3"/>
      <c r="P239" s="3"/>
      <c r="Q239" s="3"/>
      <c r="R239" s="3"/>
      <c r="S239" s="3"/>
      <c r="T239" s="3"/>
      <c r="U239" s="3"/>
      <c r="V239" s="3"/>
      <c r="W239" s="3"/>
      <c r="X239" s="3"/>
      <c r="Y239" s="3"/>
      <c r="Z239" s="3"/>
    </row>
    <row r="240" spans="1:26" ht="22.5" customHeight="1" x14ac:dyDescent="0.85">
      <c r="A240" s="166"/>
      <c r="B240" s="167"/>
      <c r="C240" s="167"/>
      <c r="D240" s="147"/>
      <c r="E240" s="147"/>
      <c r="F240" s="147"/>
      <c r="G240" s="147"/>
      <c r="H240" s="147"/>
      <c r="I240" s="147"/>
      <c r="J240" s="147"/>
      <c r="K240" s="3"/>
      <c r="L240" s="3"/>
      <c r="M240" s="3"/>
      <c r="N240" s="3"/>
      <c r="O240" s="3"/>
      <c r="P240" s="3"/>
      <c r="Q240" s="3"/>
      <c r="R240" s="3"/>
      <c r="S240" s="3"/>
      <c r="T240" s="3"/>
      <c r="U240" s="3"/>
      <c r="V240" s="3"/>
      <c r="W240" s="3"/>
      <c r="X240" s="3"/>
      <c r="Y240" s="3"/>
      <c r="Z240" s="3"/>
    </row>
    <row r="241" spans="1:26" ht="22.5" customHeight="1" x14ac:dyDescent="0.85">
      <c r="A241" s="166"/>
      <c r="B241" s="167"/>
      <c r="C241" s="167"/>
      <c r="D241" s="147"/>
      <c r="E241" s="147"/>
      <c r="F241" s="147"/>
      <c r="G241" s="147"/>
      <c r="H241" s="147"/>
      <c r="I241" s="147"/>
      <c r="J241" s="147"/>
      <c r="K241" s="3"/>
      <c r="L241" s="3"/>
      <c r="M241" s="3"/>
      <c r="N241" s="3"/>
      <c r="O241" s="3"/>
      <c r="P241" s="3"/>
      <c r="Q241" s="3"/>
      <c r="R241" s="3"/>
      <c r="S241" s="3"/>
      <c r="T241" s="3"/>
      <c r="U241" s="3"/>
      <c r="V241" s="3"/>
      <c r="W241" s="3"/>
      <c r="X241" s="3"/>
      <c r="Y241" s="3"/>
      <c r="Z241" s="3"/>
    </row>
    <row r="242" spans="1:26" ht="22.5" customHeight="1" x14ac:dyDescent="0.85">
      <c r="A242" s="166"/>
      <c r="B242" s="167"/>
      <c r="C242" s="167"/>
      <c r="D242" s="147"/>
      <c r="E242" s="147"/>
      <c r="F242" s="147"/>
      <c r="G242" s="147"/>
      <c r="H242" s="147"/>
      <c r="I242" s="147"/>
      <c r="J242" s="147"/>
      <c r="K242" s="3"/>
      <c r="L242" s="3"/>
      <c r="M242" s="3"/>
      <c r="N242" s="3"/>
      <c r="O242" s="3"/>
      <c r="P242" s="3"/>
      <c r="Q242" s="3"/>
      <c r="R242" s="3"/>
      <c r="S242" s="3"/>
      <c r="T242" s="3"/>
      <c r="U242" s="3"/>
      <c r="V242" s="3"/>
      <c r="W242" s="3"/>
      <c r="X242" s="3"/>
      <c r="Y242" s="3"/>
      <c r="Z242" s="3"/>
    </row>
    <row r="243" spans="1:26" ht="22.5" customHeight="1" x14ac:dyDescent="0.85">
      <c r="A243" s="166"/>
      <c r="B243" s="167"/>
      <c r="C243" s="167"/>
      <c r="D243" s="147"/>
      <c r="E243" s="147"/>
      <c r="F243" s="147"/>
      <c r="G243" s="147"/>
      <c r="H243" s="147"/>
      <c r="I243" s="147"/>
      <c r="J243" s="147"/>
      <c r="K243" s="3"/>
      <c r="L243" s="3"/>
      <c r="M243" s="3"/>
      <c r="N243" s="3"/>
      <c r="O243" s="3"/>
      <c r="P243" s="3"/>
      <c r="Q243" s="3"/>
      <c r="R243" s="3"/>
      <c r="S243" s="3"/>
      <c r="T243" s="3"/>
      <c r="U243" s="3"/>
      <c r="V243" s="3"/>
      <c r="W243" s="3"/>
      <c r="X243" s="3"/>
      <c r="Y243" s="3"/>
      <c r="Z243" s="3"/>
    </row>
    <row r="244" spans="1:26" ht="22.5" customHeight="1" x14ac:dyDescent="0.85">
      <c r="A244" s="166"/>
      <c r="B244" s="167"/>
      <c r="C244" s="167"/>
      <c r="D244" s="147"/>
      <c r="E244" s="147"/>
      <c r="F244" s="147"/>
      <c r="G244" s="147"/>
      <c r="H244" s="147"/>
      <c r="I244" s="147"/>
      <c r="J244" s="147"/>
      <c r="K244" s="3"/>
      <c r="L244" s="3"/>
      <c r="M244" s="3"/>
      <c r="N244" s="3"/>
      <c r="O244" s="3"/>
      <c r="P244" s="3"/>
      <c r="Q244" s="3"/>
      <c r="R244" s="3"/>
      <c r="S244" s="3"/>
      <c r="T244" s="3"/>
      <c r="U244" s="3"/>
      <c r="V244" s="3"/>
      <c r="W244" s="3"/>
      <c r="X244" s="3"/>
      <c r="Y244" s="3"/>
      <c r="Z244" s="3"/>
    </row>
    <row r="245" spans="1:26" ht="22.5" customHeight="1" x14ac:dyDescent="0.85">
      <c r="A245" s="166"/>
      <c r="B245" s="167"/>
      <c r="C245" s="167"/>
      <c r="D245" s="147"/>
      <c r="E245" s="147"/>
      <c r="F245" s="147"/>
      <c r="G245" s="147"/>
      <c r="H245" s="147"/>
      <c r="I245" s="147"/>
      <c r="J245" s="147"/>
      <c r="K245" s="3"/>
      <c r="L245" s="3"/>
      <c r="M245" s="3"/>
      <c r="N245" s="3"/>
      <c r="O245" s="3"/>
      <c r="P245" s="3"/>
      <c r="Q245" s="3"/>
      <c r="R245" s="3"/>
      <c r="S245" s="3"/>
      <c r="T245" s="3"/>
      <c r="U245" s="3"/>
      <c r="V245" s="3"/>
      <c r="W245" s="3"/>
      <c r="X245" s="3"/>
      <c r="Y245" s="3"/>
      <c r="Z245" s="3"/>
    </row>
    <row r="246" spans="1:26" ht="22.5" customHeight="1" x14ac:dyDescent="0.85">
      <c r="A246" s="166"/>
      <c r="B246" s="167"/>
      <c r="C246" s="167"/>
      <c r="D246" s="147"/>
      <c r="E246" s="147"/>
      <c r="F246" s="147"/>
      <c r="G246" s="147"/>
      <c r="H246" s="147"/>
      <c r="I246" s="147"/>
      <c r="J246" s="147"/>
      <c r="K246" s="3"/>
      <c r="L246" s="3"/>
      <c r="M246" s="3"/>
      <c r="N246" s="3"/>
      <c r="O246" s="3"/>
      <c r="P246" s="3"/>
      <c r="Q246" s="3"/>
      <c r="R246" s="3"/>
      <c r="S246" s="3"/>
      <c r="T246" s="3"/>
      <c r="U246" s="3"/>
      <c r="V246" s="3"/>
      <c r="W246" s="3"/>
      <c r="X246" s="3"/>
      <c r="Y246" s="3"/>
      <c r="Z246" s="3"/>
    </row>
    <row r="247" spans="1:26" ht="22.5" customHeight="1" x14ac:dyDescent="0.85">
      <c r="A247" s="166"/>
      <c r="B247" s="167"/>
      <c r="C247" s="167"/>
      <c r="D247" s="147"/>
      <c r="E247" s="147"/>
      <c r="F247" s="147"/>
      <c r="G247" s="147"/>
      <c r="H247" s="147"/>
      <c r="I247" s="147"/>
      <c r="J247" s="147"/>
      <c r="K247" s="3"/>
      <c r="L247" s="3"/>
      <c r="M247" s="3"/>
      <c r="N247" s="3"/>
      <c r="O247" s="3"/>
      <c r="P247" s="3"/>
      <c r="Q247" s="3"/>
      <c r="R247" s="3"/>
      <c r="S247" s="3"/>
      <c r="T247" s="3"/>
      <c r="U247" s="3"/>
      <c r="V247" s="3"/>
      <c r="W247" s="3"/>
      <c r="X247" s="3"/>
      <c r="Y247" s="3"/>
      <c r="Z247" s="3"/>
    </row>
    <row r="248" spans="1:26" ht="22.5" customHeight="1" x14ac:dyDescent="0.85">
      <c r="A248" s="166"/>
      <c r="B248" s="167"/>
      <c r="C248" s="167"/>
      <c r="D248" s="147"/>
      <c r="E248" s="147"/>
      <c r="F248" s="147"/>
      <c r="G248" s="147"/>
      <c r="H248" s="147"/>
      <c r="I248" s="147"/>
      <c r="J248" s="147"/>
      <c r="K248" s="3"/>
      <c r="L248" s="3"/>
      <c r="M248" s="3"/>
      <c r="N248" s="3"/>
      <c r="O248" s="3"/>
      <c r="P248" s="3"/>
      <c r="Q248" s="3"/>
      <c r="R248" s="3"/>
      <c r="S248" s="3"/>
      <c r="T248" s="3"/>
      <c r="U248" s="3"/>
      <c r="V248" s="3"/>
      <c r="W248" s="3"/>
      <c r="X248" s="3"/>
      <c r="Y248" s="3"/>
      <c r="Z248" s="3"/>
    </row>
    <row r="249" spans="1:26" ht="22.5" customHeight="1" x14ac:dyDescent="0.85">
      <c r="A249" s="166"/>
      <c r="B249" s="167"/>
      <c r="C249" s="167"/>
      <c r="D249" s="147"/>
      <c r="E249" s="147"/>
      <c r="F249" s="147"/>
      <c r="G249" s="147"/>
      <c r="H249" s="147"/>
      <c r="I249" s="147"/>
      <c r="J249" s="147"/>
      <c r="K249" s="3"/>
      <c r="L249" s="3"/>
      <c r="M249" s="3"/>
      <c r="N249" s="3"/>
      <c r="O249" s="3"/>
      <c r="P249" s="3"/>
      <c r="Q249" s="3"/>
      <c r="R249" s="3"/>
      <c r="S249" s="3"/>
      <c r="T249" s="3"/>
      <c r="U249" s="3"/>
      <c r="V249" s="3"/>
      <c r="W249" s="3"/>
      <c r="X249" s="3"/>
      <c r="Y249" s="3"/>
      <c r="Z249" s="3"/>
    </row>
    <row r="250" spans="1:26" ht="22.5" customHeight="1" x14ac:dyDescent="0.85">
      <c r="A250" s="166"/>
      <c r="B250" s="167"/>
      <c r="C250" s="167"/>
      <c r="D250" s="147"/>
      <c r="E250" s="147"/>
      <c r="F250" s="147"/>
      <c r="G250" s="147"/>
      <c r="H250" s="147"/>
      <c r="I250" s="147"/>
      <c r="J250" s="147"/>
      <c r="K250" s="3"/>
      <c r="L250" s="3"/>
      <c r="M250" s="3"/>
      <c r="N250" s="3"/>
      <c r="O250" s="3"/>
      <c r="P250" s="3"/>
      <c r="Q250" s="3"/>
      <c r="R250" s="3"/>
      <c r="S250" s="3"/>
      <c r="T250" s="3"/>
      <c r="U250" s="3"/>
      <c r="V250" s="3"/>
      <c r="W250" s="3"/>
      <c r="X250" s="3"/>
      <c r="Y250" s="3"/>
      <c r="Z250" s="3"/>
    </row>
    <row r="251" spans="1:26" ht="22.5" customHeight="1" x14ac:dyDescent="0.85">
      <c r="A251" s="166"/>
      <c r="B251" s="167"/>
      <c r="C251" s="167"/>
      <c r="D251" s="147"/>
      <c r="E251" s="147"/>
      <c r="F251" s="147"/>
      <c r="G251" s="147"/>
      <c r="H251" s="147"/>
      <c r="I251" s="147"/>
      <c r="J251" s="147"/>
      <c r="K251" s="3"/>
      <c r="L251" s="3"/>
      <c r="M251" s="3"/>
      <c r="N251" s="3"/>
      <c r="O251" s="3"/>
      <c r="P251" s="3"/>
      <c r="Q251" s="3"/>
      <c r="R251" s="3"/>
      <c r="S251" s="3"/>
      <c r="T251" s="3"/>
      <c r="U251" s="3"/>
      <c r="V251" s="3"/>
      <c r="W251" s="3"/>
      <c r="X251" s="3"/>
      <c r="Y251" s="3"/>
      <c r="Z251" s="3"/>
    </row>
    <row r="252" spans="1:26" ht="22.5" customHeight="1" x14ac:dyDescent="0.85">
      <c r="A252" s="166"/>
      <c r="B252" s="167"/>
      <c r="C252" s="167"/>
      <c r="D252" s="147"/>
      <c r="E252" s="147"/>
      <c r="F252" s="147"/>
      <c r="G252" s="147"/>
      <c r="H252" s="147"/>
      <c r="I252" s="147"/>
      <c r="J252" s="147"/>
      <c r="K252" s="3"/>
      <c r="L252" s="3"/>
      <c r="M252" s="3"/>
      <c r="N252" s="3"/>
      <c r="O252" s="3"/>
      <c r="P252" s="3"/>
      <c r="Q252" s="3"/>
      <c r="R252" s="3"/>
      <c r="S252" s="3"/>
      <c r="T252" s="3"/>
      <c r="U252" s="3"/>
      <c r="V252" s="3"/>
      <c r="W252" s="3"/>
      <c r="X252" s="3"/>
      <c r="Y252" s="3"/>
      <c r="Z252" s="3"/>
    </row>
    <row r="253" spans="1:26" ht="22.5" customHeight="1" x14ac:dyDescent="0.85">
      <c r="A253" s="166"/>
      <c r="B253" s="167"/>
      <c r="C253" s="167"/>
      <c r="D253" s="147"/>
      <c r="E253" s="147"/>
      <c r="F253" s="147"/>
      <c r="G253" s="147"/>
      <c r="H253" s="147"/>
      <c r="I253" s="147"/>
      <c r="J253" s="147"/>
      <c r="K253" s="3"/>
      <c r="L253" s="3"/>
      <c r="M253" s="3"/>
      <c r="N253" s="3"/>
      <c r="O253" s="3"/>
      <c r="P253" s="3"/>
      <c r="Q253" s="3"/>
      <c r="R253" s="3"/>
      <c r="S253" s="3"/>
      <c r="T253" s="3"/>
      <c r="U253" s="3"/>
      <c r="V253" s="3"/>
      <c r="W253" s="3"/>
      <c r="X253" s="3"/>
      <c r="Y253" s="3"/>
      <c r="Z253" s="3"/>
    </row>
    <row r="254" spans="1:26" ht="22.5" customHeight="1" x14ac:dyDescent="0.85">
      <c r="A254" s="166"/>
      <c r="B254" s="167"/>
      <c r="C254" s="167"/>
      <c r="D254" s="147"/>
      <c r="E254" s="147"/>
      <c r="F254" s="147"/>
      <c r="G254" s="147"/>
      <c r="H254" s="147"/>
      <c r="I254" s="147"/>
      <c r="J254" s="147"/>
      <c r="K254" s="3"/>
      <c r="L254" s="3"/>
      <c r="M254" s="3"/>
      <c r="N254" s="3"/>
      <c r="O254" s="3"/>
      <c r="P254" s="3"/>
      <c r="Q254" s="3"/>
      <c r="R254" s="3"/>
      <c r="S254" s="3"/>
      <c r="T254" s="3"/>
      <c r="U254" s="3"/>
      <c r="V254" s="3"/>
      <c r="W254" s="3"/>
      <c r="X254" s="3"/>
      <c r="Y254" s="3"/>
      <c r="Z254" s="3"/>
    </row>
    <row r="255" spans="1:26" ht="22.5" customHeight="1" x14ac:dyDescent="0.85">
      <c r="A255" s="166"/>
      <c r="B255" s="167"/>
      <c r="C255" s="167"/>
      <c r="D255" s="147"/>
      <c r="E255" s="147"/>
      <c r="F255" s="147"/>
      <c r="G255" s="147"/>
      <c r="H255" s="147"/>
      <c r="I255" s="147"/>
      <c r="J255" s="147"/>
      <c r="K255" s="3"/>
      <c r="L255" s="3"/>
      <c r="M255" s="3"/>
      <c r="N255" s="3"/>
      <c r="O255" s="3"/>
      <c r="P255" s="3"/>
      <c r="Q255" s="3"/>
      <c r="R255" s="3"/>
      <c r="S255" s="3"/>
      <c r="T255" s="3"/>
      <c r="U255" s="3"/>
      <c r="V255" s="3"/>
      <c r="W255" s="3"/>
      <c r="X255" s="3"/>
      <c r="Y255" s="3"/>
      <c r="Z255" s="3"/>
    </row>
    <row r="256" spans="1:26" ht="22.5" customHeight="1" x14ac:dyDescent="0.85">
      <c r="A256" s="166"/>
      <c r="B256" s="167"/>
      <c r="C256" s="167"/>
      <c r="D256" s="147"/>
      <c r="E256" s="147"/>
      <c r="F256" s="147"/>
      <c r="G256" s="147"/>
      <c r="H256" s="147"/>
      <c r="I256" s="147"/>
      <c r="J256" s="147"/>
      <c r="K256" s="3"/>
      <c r="L256" s="3"/>
      <c r="M256" s="3"/>
      <c r="N256" s="3"/>
      <c r="O256" s="3"/>
      <c r="P256" s="3"/>
      <c r="Q256" s="3"/>
      <c r="R256" s="3"/>
      <c r="S256" s="3"/>
      <c r="T256" s="3"/>
      <c r="U256" s="3"/>
      <c r="V256" s="3"/>
      <c r="W256" s="3"/>
      <c r="X256" s="3"/>
      <c r="Y256" s="3"/>
      <c r="Z256" s="3"/>
    </row>
    <row r="257" spans="1:26" ht="22.5" customHeight="1" x14ac:dyDescent="0.85">
      <c r="A257" s="166"/>
      <c r="B257" s="167"/>
      <c r="C257" s="167"/>
      <c r="D257" s="147"/>
      <c r="E257" s="147"/>
      <c r="F257" s="147"/>
      <c r="G257" s="147"/>
      <c r="H257" s="147"/>
      <c r="I257" s="147"/>
      <c r="J257" s="147"/>
      <c r="K257" s="3"/>
      <c r="L257" s="3"/>
      <c r="M257" s="3"/>
      <c r="N257" s="3"/>
      <c r="O257" s="3"/>
      <c r="P257" s="3"/>
      <c r="Q257" s="3"/>
      <c r="R257" s="3"/>
      <c r="S257" s="3"/>
      <c r="T257" s="3"/>
      <c r="U257" s="3"/>
      <c r="V257" s="3"/>
      <c r="W257" s="3"/>
      <c r="X257" s="3"/>
      <c r="Y257" s="3"/>
      <c r="Z257" s="3"/>
    </row>
    <row r="258" spans="1:26" ht="22.5" customHeight="1" x14ac:dyDescent="0.85">
      <c r="A258" s="166"/>
      <c r="B258" s="167"/>
      <c r="C258" s="167"/>
      <c r="D258" s="147"/>
      <c r="E258" s="147"/>
      <c r="F258" s="147"/>
      <c r="G258" s="147"/>
      <c r="H258" s="147"/>
      <c r="I258" s="147"/>
      <c r="J258" s="147"/>
      <c r="K258" s="3"/>
      <c r="L258" s="3"/>
      <c r="M258" s="3"/>
      <c r="N258" s="3"/>
      <c r="O258" s="3"/>
      <c r="P258" s="3"/>
      <c r="Q258" s="3"/>
      <c r="R258" s="3"/>
      <c r="S258" s="3"/>
      <c r="T258" s="3"/>
      <c r="U258" s="3"/>
      <c r="V258" s="3"/>
      <c r="W258" s="3"/>
      <c r="X258" s="3"/>
      <c r="Y258" s="3"/>
      <c r="Z258" s="3"/>
    </row>
    <row r="259" spans="1:26" ht="22.5" customHeight="1" x14ac:dyDescent="0.85">
      <c r="A259" s="166"/>
      <c r="B259" s="167"/>
      <c r="C259" s="167"/>
      <c r="D259" s="147"/>
      <c r="E259" s="147"/>
      <c r="F259" s="147"/>
      <c r="G259" s="147"/>
      <c r="H259" s="147"/>
      <c r="I259" s="147"/>
      <c r="J259" s="147"/>
      <c r="K259" s="3"/>
      <c r="L259" s="3"/>
      <c r="M259" s="3"/>
      <c r="N259" s="3"/>
      <c r="O259" s="3"/>
      <c r="P259" s="3"/>
      <c r="Q259" s="3"/>
      <c r="R259" s="3"/>
      <c r="S259" s="3"/>
      <c r="T259" s="3"/>
      <c r="U259" s="3"/>
      <c r="V259" s="3"/>
      <c r="W259" s="3"/>
      <c r="X259" s="3"/>
      <c r="Y259" s="3"/>
      <c r="Z259" s="3"/>
    </row>
    <row r="260" spans="1:26" ht="22.5" customHeight="1" x14ac:dyDescent="0.85">
      <c r="A260" s="166"/>
      <c r="B260" s="167"/>
      <c r="C260" s="167"/>
      <c r="D260" s="147"/>
      <c r="E260" s="147"/>
      <c r="F260" s="147"/>
      <c r="G260" s="147"/>
      <c r="H260" s="147"/>
      <c r="I260" s="147"/>
      <c r="J260" s="147"/>
      <c r="K260" s="3"/>
      <c r="L260" s="3"/>
      <c r="M260" s="3"/>
      <c r="N260" s="3"/>
      <c r="O260" s="3"/>
      <c r="P260" s="3"/>
      <c r="Q260" s="3"/>
      <c r="R260" s="3"/>
      <c r="S260" s="3"/>
      <c r="T260" s="3"/>
      <c r="U260" s="3"/>
      <c r="V260" s="3"/>
      <c r="W260" s="3"/>
      <c r="X260" s="3"/>
      <c r="Y260" s="3"/>
      <c r="Z260" s="3"/>
    </row>
    <row r="261" spans="1:26" ht="22.5" customHeight="1" x14ac:dyDescent="0.85">
      <c r="A261" s="166"/>
      <c r="B261" s="167"/>
      <c r="C261" s="167"/>
      <c r="D261" s="147"/>
      <c r="E261" s="147"/>
      <c r="F261" s="147"/>
      <c r="G261" s="147"/>
      <c r="H261" s="147"/>
      <c r="I261" s="147"/>
      <c r="J261" s="147"/>
      <c r="K261" s="3"/>
      <c r="L261" s="3"/>
      <c r="M261" s="3"/>
      <c r="N261" s="3"/>
      <c r="O261" s="3"/>
      <c r="P261" s="3"/>
      <c r="Q261" s="3"/>
      <c r="R261" s="3"/>
      <c r="S261" s="3"/>
      <c r="T261" s="3"/>
      <c r="U261" s="3"/>
      <c r="V261" s="3"/>
      <c r="W261" s="3"/>
      <c r="X261" s="3"/>
      <c r="Y261" s="3"/>
      <c r="Z261" s="3"/>
    </row>
    <row r="262" spans="1:26" ht="22.5" customHeight="1" x14ac:dyDescent="0.85">
      <c r="A262" s="166"/>
      <c r="B262" s="167"/>
      <c r="C262" s="167"/>
      <c r="D262" s="147"/>
      <c r="E262" s="147"/>
      <c r="F262" s="147"/>
      <c r="G262" s="147"/>
      <c r="H262" s="147"/>
      <c r="I262" s="147"/>
      <c r="J262" s="147"/>
      <c r="K262" s="3"/>
      <c r="L262" s="3"/>
      <c r="M262" s="3"/>
      <c r="N262" s="3"/>
      <c r="O262" s="3"/>
      <c r="P262" s="3"/>
      <c r="Q262" s="3"/>
      <c r="R262" s="3"/>
      <c r="S262" s="3"/>
      <c r="T262" s="3"/>
      <c r="U262" s="3"/>
      <c r="V262" s="3"/>
      <c r="W262" s="3"/>
      <c r="X262" s="3"/>
      <c r="Y262" s="3"/>
      <c r="Z262" s="3"/>
    </row>
    <row r="263" spans="1:26" ht="22.5" customHeight="1" x14ac:dyDescent="0.85">
      <c r="A263" s="166"/>
      <c r="B263" s="167"/>
      <c r="C263" s="167"/>
      <c r="D263" s="147"/>
      <c r="E263" s="147"/>
      <c r="F263" s="147"/>
      <c r="G263" s="147"/>
      <c r="H263" s="147"/>
      <c r="I263" s="147"/>
      <c r="J263" s="147"/>
      <c r="K263" s="3"/>
      <c r="L263" s="3"/>
      <c r="M263" s="3"/>
      <c r="N263" s="3"/>
      <c r="O263" s="3"/>
      <c r="P263" s="3"/>
      <c r="Q263" s="3"/>
      <c r="R263" s="3"/>
      <c r="S263" s="3"/>
      <c r="T263" s="3"/>
      <c r="U263" s="3"/>
      <c r="V263" s="3"/>
      <c r="W263" s="3"/>
      <c r="X263" s="3"/>
      <c r="Y263" s="3"/>
      <c r="Z263" s="3"/>
    </row>
    <row r="264" spans="1:26" ht="22.5" customHeight="1" x14ac:dyDescent="0.85">
      <c r="A264" s="166"/>
      <c r="B264" s="167"/>
      <c r="C264" s="167"/>
      <c r="D264" s="147"/>
      <c r="E264" s="147"/>
      <c r="F264" s="147"/>
      <c r="G264" s="147"/>
      <c r="H264" s="147"/>
      <c r="I264" s="147"/>
      <c r="J264" s="147"/>
      <c r="K264" s="3"/>
      <c r="L264" s="3"/>
      <c r="M264" s="3"/>
      <c r="N264" s="3"/>
      <c r="O264" s="3"/>
      <c r="P264" s="3"/>
      <c r="Q264" s="3"/>
      <c r="R264" s="3"/>
      <c r="S264" s="3"/>
      <c r="T264" s="3"/>
      <c r="U264" s="3"/>
      <c r="V264" s="3"/>
      <c r="W264" s="3"/>
      <c r="X264" s="3"/>
      <c r="Y264" s="3"/>
      <c r="Z264" s="3"/>
    </row>
    <row r="265" spans="1:26" ht="22.5" customHeight="1" x14ac:dyDescent="0.85">
      <c r="A265" s="166"/>
      <c r="B265" s="167"/>
      <c r="C265" s="167"/>
      <c r="D265" s="147"/>
      <c r="E265" s="147"/>
      <c r="F265" s="147"/>
      <c r="G265" s="147"/>
      <c r="H265" s="147"/>
      <c r="I265" s="147"/>
      <c r="J265" s="147"/>
      <c r="K265" s="3"/>
      <c r="L265" s="3"/>
      <c r="M265" s="3"/>
      <c r="N265" s="3"/>
      <c r="O265" s="3"/>
      <c r="P265" s="3"/>
      <c r="Q265" s="3"/>
      <c r="R265" s="3"/>
      <c r="S265" s="3"/>
      <c r="T265" s="3"/>
      <c r="U265" s="3"/>
      <c r="V265" s="3"/>
      <c r="W265" s="3"/>
      <c r="X265" s="3"/>
      <c r="Y265" s="3"/>
      <c r="Z265" s="3"/>
    </row>
    <row r="266" spans="1:26" ht="22.5" customHeight="1" x14ac:dyDescent="0.85">
      <c r="A266" s="166"/>
      <c r="B266" s="167"/>
      <c r="C266" s="167"/>
      <c r="D266" s="147"/>
      <c r="E266" s="147"/>
      <c r="F266" s="147"/>
      <c r="G266" s="147"/>
      <c r="H266" s="147"/>
      <c r="I266" s="147"/>
      <c r="J266" s="147"/>
      <c r="K266" s="3"/>
      <c r="L266" s="3"/>
      <c r="M266" s="3"/>
      <c r="N266" s="3"/>
      <c r="O266" s="3"/>
      <c r="P266" s="3"/>
      <c r="Q266" s="3"/>
      <c r="R266" s="3"/>
      <c r="S266" s="3"/>
      <c r="T266" s="3"/>
      <c r="U266" s="3"/>
      <c r="V266" s="3"/>
      <c r="W266" s="3"/>
      <c r="X266" s="3"/>
      <c r="Y266" s="3"/>
      <c r="Z266" s="3"/>
    </row>
    <row r="267" spans="1:26" ht="22.5" customHeight="1" x14ac:dyDescent="0.85">
      <c r="A267" s="166"/>
      <c r="B267" s="167"/>
      <c r="C267" s="167"/>
      <c r="D267" s="147"/>
      <c r="E267" s="147"/>
      <c r="F267" s="147"/>
      <c r="G267" s="147"/>
      <c r="H267" s="147"/>
      <c r="I267" s="147"/>
      <c r="J267" s="147"/>
      <c r="K267" s="3"/>
      <c r="L267" s="3"/>
      <c r="M267" s="3"/>
      <c r="N267" s="3"/>
      <c r="O267" s="3"/>
      <c r="P267" s="3"/>
      <c r="Q267" s="3"/>
      <c r="R267" s="3"/>
      <c r="S267" s="3"/>
      <c r="T267" s="3"/>
      <c r="U267" s="3"/>
      <c r="V267" s="3"/>
      <c r="W267" s="3"/>
      <c r="X267" s="3"/>
      <c r="Y267" s="3"/>
      <c r="Z267" s="3"/>
    </row>
    <row r="268" spans="1:26" ht="22.5" customHeight="1" x14ac:dyDescent="0.85">
      <c r="A268" s="166"/>
      <c r="B268" s="167"/>
      <c r="C268" s="167"/>
      <c r="D268" s="147"/>
      <c r="E268" s="147"/>
      <c r="F268" s="147"/>
      <c r="G268" s="147"/>
      <c r="H268" s="147"/>
      <c r="I268" s="147"/>
      <c r="J268" s="147"/>
      <c r="K268" s="3"/>
      <c r="L268" s="3"/>
      <c r="M268" s="3"/>
      <c r="N268" s="3"/>
      <c r="O268" s="3"/>
      <c r="P268" s="3"/>
      <c r="Q268" s="3"/>
      <c r="R268" s="3"/>
      <c r="S268" s="3"/>
      <c r="T268" s="3"/>
      <c r="U268" s="3"/>
      <c r="V268" s="3"/>
      <c r="W268" s="3"/>
      <c r="X268" s="3"/>
      <c r="Y268" s="3"/>
      <c r="Z268" s="3"/>
    </row>
    <row r="269" spans="1:26" ht="22.5" customHeight="1" x14ac:dyDescent="0.85">
      <c r="A269" s="166"/>
      <c r="B269" s="167"/>
      <c r="C269" s="167"/>
      <c r="D269" s="147"/>
      <c r="E269" s="147"/>
      <c r="F269" s="147"/>
      <c r="G269" s="147"/>
      <c r="H269" s="147"/>
      <c r="I269" s="147"/>
      <c r="J269" s="147"/>
      <c r="K269" s="3"/>
      <c r="L269" s="3"/>
      <c r="M269" s="3"/>
      <c r="N269" s="3"/>
      <c r="O269" s="3"/>
      <c r="P269" s="3"/>
      <c r="Q269" s="3"/>
      <c r="R269" s="3"/>
      <c r="S269" s="3"/>
      <c r="T269" s="3"/>
      <c r="U269" s="3"/>
      <c r="V269" s="3"/>
      <c r="W269" s="3"/>
      <c r="X269" s="3"/>
      <c r="Y269" s="3"/>
      <c r="Z269" s="3"/>
    </row>
    <row r="270" spans="1:26" ht="22.5" customHeight="1" x14ac:dyDescent="0.85">
      <c r="A270" s="166"/>
      <c r="B270" s="167"/>
      <c r="C270" s="167"/>
      <c r="D270" s="147"/>
      <c r="E270" s="147"/>
      <c r="F270" s="147"/>
      <c r="G270" s="147"/>
      <c r="H270" s="147"/>
      <c r="I270" s="147"/>
      <c r="J270" s="147"/>
      <c r="K270" s="3"/>
      <c r="L270" s="3"/>
      <c r="M270" s="3"/>
      <c r="N270" s="3"/>
      <c r="O270" s="3"/>
      <c r="P270" s="3"/>
      <c r="Q270" s="3"/>
      <c r="R270" s="3"/>
      <c r="S270" s="3"/>
      <c r="T270" s="3"/>
      <c r="U270" s="3"/>
      <c r="V270" s="3"/>
      <c r="W270" s="3"/>
      <c r="X270" s="3"/>
      <c r="Y270" s="3"/>
      <c r="Z270" s="3"/>
    </row>
    <row r="271" spans="1:26" ht="22.5" customHeight="1" x14ac:dyDescent="0.85">
      <c r="A271" s="166"/>
      <c r="B271" s="167"/>
      <c r="C271" s="167"/>
      <c r="D271" s="147"/>
      <c r="E271" s="147"/>
      <c r="F271" s="147"/>
      <c r="G271" s="147"/>
      <c r="H271" s="147"/>
      <c r="I271" s="147"/>
      <c r="J271" s="147"/>
      <c r="K271" s="3"/>
      <c r="L271" s="3"/>
      <c r="M271" s="3"/>
      <c r="N271" s="3"/>
      <c r="O271" s="3"/>
      <c r="P271" s="3"/>
      <c r="Q271" s="3"/>
      <c r="R271" s="3"/>
      <c r="S271" s="3"/>
      <c r="T271" s="3"/>
      <c r="U271" s="3"/>
      <c r="V271" s="3"/>
      <c r="W271" s="3"/>
      <c r="X271" s="3"/>
      <c r="Y271" s="3"/>
      <c r="Z271" s="3"/>
    </row>
    <row r="272" spans="1:26" ht="22.5" customHeight="1" x14ac:dyDescent="0.85">
      <c r="A272" s="166"/>
      <c r="B272" s="167"/>
      <c r="C272" s="167"/>
      <c r="D272" s="147"/>
      <c r="E272" s="147"/>
      <c r="F272" s="147"/>
      <c r="G272" s="147"/>
      <c r="H272" s="147"/>
      <c r="I272" s="147"/>
      <c r="J272" s="147"/>
      <c r="K272" s="3"/>
      <c r="L272" s="3"/>
      <c r="M272" s="3"/>
      <c r="N272" s="3"/>
      <c r="O272" s="3"/>
      <c r="P272" s="3"/>
      <c r="Q272" s="3"/>
      <c r="R272" s="3"/>
      <c r="S272" s="3"/>
      <c r="T272" s="3"/>
      <c r="U272" s="3"/>
      <c r="V272" s="3"/>
      <c r="W272" s="3"/>
      <c r="X272" s="3"/>
      <c r="Y272" s="3"/>
      <c r="Z272" s="3"/>
    </row>
    <row r="273" spans="1:26" ht="22.5" customHeight="1" x14ac:dyDescent="0.85">
      <c r="A273" s="166"/>
      <c r="B273" s="167"/>
      <c r="C273" s="167"/>
      <c r="D273" s="147"/>
      <c r="E273" s="147"/>
      <c r="F273" s="147"/>
      <c r="G273" s="147"/>
      <c r="H273" s="147"/>
      <c r="I273" s="147"/>
      <c r="J273" s="147"/>
      <c r="K273" s="3"/>
      <c r="L273" s="3"/>
      <c r="M273" s="3"/>
      <c r="N273" s="3"/>
      <c r="O273" s="3"/>
      <c r="P273" s="3"/>
      <c r="Q273" s="3"/>
      <c r="R273" s="3"/>
      <c r="S273" s="3"/>
      <c r="T273" s="3"/>
      <c r="U273" s="3"/>
      <c r="V273" s="3"/>
      <c r="W273" s="3"/>
      <c r="X273" s="3"/>
      <c r="Y273" s="3"/>
      <c r="Z273" s="3"/>
    </row>
    <row r="274" spans="1:26" ht="22.5" customHeight="1" x14ac:dyDescent="0.85">
      <c r="A274" s="166"/>
      <c r="B274" s="167"/>
      <c r="C274" s="167"/>
      <c r="D274" s="147"/>
      <c r="E274" s="147"/>
      <c r="F274" s="147"/>
      <c r="G274" s="147"/>
      <c r="H274" s="147"/>
      <c r="I274" s="147"/>
      <c r="J274" s="147"/>
      <c r="K274" s="3"/>
      <c r="L274" s="3"/>
      <c r="M274" s="3"/>
      <c r="N274" s="3"/>
      <c r="O274" s="3"/>
      <c r="P274" s="3"/>
      <c r="Q274" s="3"/>
      <c r="R274" s="3"/>
      <c r="S274" s="3"/>
      <c r="T274" s="3"/>
      <c r="U274" s="3"/>
      <c r="V274" s="3"/>
      <c r="W274" s="3"/>
      <c r="X274" s="3"/>
      <c r="Y274" s="3"/>
      <c r="Z274" s="3"/>
    </row>
    <row r="275" spans="1:26" ht="22.5" customHeight="1" x14ac:dyDescent="0.85">
      <c r="A275" s="166"/>
      <c r="B275" s="167"/>
      <c r="C275" s="167"/>
      <c r="D275" s="147"/>
      <c r="E275" s="147"/>
      <c r="F275" s="147"/>
      <c r="G275" s="147"/>
      <c r="H275" s="147"/>
      <c r="I275" s="147"/>
      <c r="J275" s="147"/>
      <c r="K275" s="3"/>
      <c r="L275" s="3"/>
      <c r="M275" s="3"/>
      <c r="N275" s="3"/>
      <c r="O275" s="3"/>
      <c r="P275" s="3"/>
      <c r="Q275" s="3"/>
      <c r="R275" s="3"/>
      <c r="S275" s="3"/>
      <c r="T275" s="3"/>
      <c r="U275" s="3"/>
      <c r="V275" s="3"/>
      <c r="W275" s="3"/>
      <c r="X275" s="3"/>
      <c r="Y275" s="3"/>
      <c r="Z275" s="3"/>
    </row>
    <row r="276" spans="1:26" ht="22.5" customHeight="1" x14ac:dyDescent="0.85">
      <c r="A276" s="166"/>
      <c r="B276" s="167"/>
      <c r="C276" s="167"/>
      <c r="D276" s="147"/>
      <c r="E276" s="147"/>
      <c r="F276" s="147"/>
      <c r="G276" s="147"/>
      <c r="H276" s="147"/>
      <c r="I276" s="147"/>
      <c r="J276" s="147"/>
      <c r="K276" s="3"/>
      <c r="L276" s="3"/>
      <c r="M276" s="3"/>
      <c r="N276" s="3"/>
      <c r="O276" s="3"/>
      <c r="P276" s="3"/>
      <c r="Q276" s="3"/>
      <c r="R276" s="3"/>
      <c r="S276" s="3"/>
      <c r="T276" s="3"/>
      <c r="U276" s="3"/>
      <c r="V276" s="3"/>
      <c r="W276" s="3"/>
      <c r="X276" s="3"/>
      <c r="Y276" s="3"/>
      <c r="Z276" s="3"/>
    </row>
    <row r="277" spans="1:26" ht="22.5" customHeight="1" x14ac:dyDescent="0.85">
      <c r="A277" s="166"/>
      <c r="B277" s="167"/>
      <c r="C277" s="167"/>
      <c r="D277" s="147"/>
      <c r="E277" s="147"/>
      <c r="F277" s="147"/>
      <c r="G277" s="147"/>
      <c r="H277" s="147"/>
      <c r="I277" s="147"/>
      <c r="J277" s="147"/>
      <c r="K277" s="3"/>
      <c r="L277" s="3"/>
      <c r="M277" s="3"/>
      <c r="N277" s="3"/>
      <c r="O277" s="3"/>
      <c r="P277" s="3"/>
      <c r="Q277" s="3"/>
      <c r="R277" s="3"/>
      <c r="S277" s="3"/>
      <c r="T277" s="3"/>
      <c r="U277" s="3"/>
      <c r="V277" s="3"/>
      <c r="W277" s="3"/>
      <c r="X277" s="3"/>
      <c r="Y277" s="3"/>
      <c r="Z277" s="3"/>
    </row>
    <row r="278" spans="1:26" ht="22.5" customHeight="1" x14ac:dyDescent="0.85">
      <c r="A278" s="166"/>
      <c r="B278" s="167"/>
      <c r="C278" s="167"/>
      <c r="D278" s="147"/>
      <c r="E278" s="147"/>
      <c r="F278" s="147"/>
      <c r="G278" s="147"/>
      <c r="H278" s="147"/>
      <c r="I278" s="147"/>
      <c r="J278" s="147"/>
      <c r="K278" s="3"/>
      <c r="L278" s="3"/>
      <c r="M278" s="3"/>
      <c r="N278" s="3"/>
      <c r="O278" s="3"/>
      <c r="P278" s="3"/>
      <c r="Q278" s="3"/>
      <c r="R278" s="3"/>
      <c r="S278" s="3"/>
      <c r="T278" s="3"/>
      <c r="U278" s="3"/>
      <c r="V278" s="3"/>
      <c r="W278" s="3"/>
      <c r="X278" s="3"/>
      <c r="Y278" s="3"/>
      <c r="Z278" s="3"/>
    </row>
    <row r="279" spans="1:26" ht="22.5" customHeight="1" x14ac:dyDescent="0.85">
      <c r="A279" s="166"/>
      <c r="B279" s="167"/>
      <c r="C279" s="167"/>
      <c r="D279" s="147"/>
      <c r="E279" s="147"/>
      <c r="F279" s="147"/>
      <c r="G279" s="147"/>
      <c r="H279" s="147"/>
      <c r="I279" s="147"/>
      <c r="J279" s="147"/>
      <c r="K279" s="3"/>
      <c r="L279" s="3"/>
      <c r="M279" s="3"/>
      <c r="N279" s="3"/>
      <c r="O279" s="3"/>
      <c r="P279" s="3"/>
      <c r="Q279" s="3"/>
      <c r="R279" s="3"/>
      <c r="S279" s="3"/>
      <c r="T279" s="3"/>
      <c r="U279" s="3"/>
      <c r="V279" s="3"/>
      <c r="W279" s="3"/>
      <c r="X279" s="3"/>
      <c r="Y279" s="3"/>
      <c r="Z279" s="3"/>
    </row>
    <row r="280" spans="1:26" ht="22.5" customHeight="1" x14ac:dyDescent="0.85">
      <c r="A280" s="166"/>
      <c r="B280" s="167"/>
      <c r="C280" s="167"/>
      <c r="D280" s="147"/>
      <c r="E280" s="147"/>
      <c r="F280" s="147"/>
      <c r="G280" s="147"/>
      <c r="H280" s="147"/>
      <c r="I280" s="147"/>
      <c r="J280" s="147"/>
      <c r="K280" s="3"/>
      <c r="L280" s="3"/>
      <c r="M280" s="3"/>
      <c r="N280" s="3"/>
      <c r="O280" s="3"/>
      <c r="P280" s="3"/>
      <c r="Q280" s="3"/>
      <c r="R280" s="3"/>
      <c r="S280" s="3"/>
      <c r="T280" s="3"/>
      <c r="U280" s="3"/>
      <c r="V280" s="3"/>
      <c r="W280" s="3"/>
      <c r="X280" s="3"/>
      <c r="Y280" s="3"/>
      <c r="Z280" s="3"/>
    </row>
    <row r="281" spans="1:26" ht="22.5" customHeight="1" x14ac:dyDescent="0.85">
      <c r="A281" s="166"/>
      <c r="B281" s="167"/>
      <c r="C281" s="167"/>
      <c r="D281" s="147"/>
      <c r="E281" s="147"/>
      <c r="F281" s="147"/>
      <c r="G281" s="147"/>
      <c r="H281" s="147"/>
      <c r="I281" s="147"/>
      <c r="J281" s="147"/>
      <c r="K281" s="3"/>
      <c r="L281" s="3"/>
      <c r="M281" s="3"/>
      <c r="N281" s="3"/>
      <c r="O281" s="3"/>
      <c r="P281" s="3"/>
      <c r="Q281" s="3"/>
      <c r="R281" s="3"/>
      <c r="S281" s="3"/>
      <c r="T281" s="3"/>
      <c r="U281" s="3"/>
      <c r="V281" s="3"/>
      <c r="W281" s="3"/>
      <c r="X281" s="3"/>
      <c r="Y281" s="3"/>
      <c r="Z281" s="3"/>
    </row>
    <row r="282" spans="1:26" ht="22.5" customHeight="1" x14ac:dyDescent="0.85">
      <c r="A282" s="166"/>
      <c r="B282" s="167"/>
      <c r="C282" s="167"/>
      <c r="D282" s="147"/>
      <c r="E282" s="147"/>
      <c r="F282" s="147"/>
      <c r="G282" s="147"/>
      <c r="H282" s="147"/>
      <c r="I282" s="147"/>
      <c r="J282" s="147"/>
      <c r="K282" s="3"/>
      <c r="L282" s="3"/>
      <c r="M282" s="3"/>
      <c r="N282" s="3"/>
      <c r="O282" s="3"/>
      <c r="P282" s="3"/>
      <c r="Q282" s="3"/>
      <c r="R282" s="3"/>
      <c r="S282" s="3"/>
      <c r="T282" s="3"/>
      <c r="U282" s="3"/>
      <c r="V282" s="3"/>
      <c r="W282" s="3"/>
      <c r="X282" s="3"/>
      <c r="Y282" s="3"/>
      <c r="Z282" s="3"/>
    </row>
    <row r="283" spans="1:26" ht="22.5" customHeight="1" x14ac:dyDescent="0.85">
      <c r="A283" s="166"/>
      <c r="B283" s="167"/>
      <c r="C283" s="167"/>
      <c r="D283" s="147"/>
      <c r="E283" s="147"/>
      <c r="F283" s="147"/>
      <c r="G283" s="147"/>
      <c r="H283" s="147"/>
      <c r="I283" s="147"/>
      <c r="J283" s="147"/>
      <c r="K283" s="3"/>
      <c r="L283" s="3"/>
      <c r="M283" s="3"/>
      <c r="N283" s="3"/>
      <c r="O283" s="3"/>
      <c r="P283" s="3"/>
      <c r="Q283" s="3"/>
      <c r="R283" s="3"/>
      <c r="S283" s="3"/>
      <c r="T283" s="3"/>
      <c r="U283" s="3"/>
      <c r="V283" s="3"/>
      <c r="W283" s="3"/>
      <c r="X283" s="3"/>
      <c r="Y283" s="3"/>
      <c r="Z283" s="3"/>
    </row>
    <row r="284" spans="1:26" ht="22.5" customHeight="1" x14ac:dyDescent="0.85">
      <c r="A284" s="166"/>
      <c r="B284" s="167"/>
      <c r="C284" s="167"/>
      <c r="D284" s="147"/>
      <c r="E284" s="147"/>
      <c r="F284" s="147"/>
      <c r="G284" s="147"/>
      <c r="H284" s="147"/>
      <c r="I284" s="147"/>
      <c r="J284" s="147"/>
      <c r="K284" s="3"/>
      <c r="L284" s="3"/>
      <c r="M284" s="3"/>
      <c r="N284" s="3"/>
      <c r="O284" s="3"/>
      <c r="P284" s="3"/>
      <c r="Q284" s="3"/>
      <c r="R284" s="3"/>
      <c r="S284" s="3"/>
      <c r="T284" s="3"/>
      <c r="U284" s="3"/>
      <c r="V284" s="3"/>
      <c r="W284" s="3"/>
      <c r="X284" s="3"/>
      <c r="Y284" s="3"/>
      <c r="Z284" s="3"/>
    </row>
    <row r="285" spans="1:26" ht="22.5" customHeight="1" x14ac:dyDescent="0.85">
      <c r="A285" s="166"/>
      <c r="B285" s="167"/>
      <c r="C285" s="167"/>
      <c r="D285" s="147"/>
      <c r="E285" s="147"/>
      <c r="F285" s="147"/>
      <c r="G285" s="147"/>
      <c r="H285" s="147"/>
      <c r="I285" s="147"/>
      <c r="J285" s="147"/>
      <c r="K285" s="3"/>
      <c r="L285" s="3"/>
      <c r="M285" s="3"/>
      <c r="N285" s="3"/>
      <c r="O285" s="3"/>
      <c r="P285" s="3"/>
      <c r="Q285" s="3"/>
      <c r="R285" s="3"/>
      <c r="S285" s="3"/>
      <c r="T285" s="3"/>
      <c r="U285" s="3"/>
      <c r="V285" s="3"/>
      <c r="W285" s="3"/>
      <c r="X285" s="3"/>
      <c r="Y285" s="3"/>
      <c r="Z285" s="3"/>
    </row>
    <row r="286" spans="1:26" ht="22.5" customHeight="1" x14ac:dyDescent="0.85">
      <c r="A286" s="166"/>
      <c r="B286" s="167"/>
      <c r="C286" s="167"/>
      <c r="D286" s="147"/>
      <c r="E286" s="147"/>
      <c r="F286" s="147"/>
      <c r="G286" s="147"/>
      <c r="H286" s="147"/>
      <c r="I286" s="147"/>
      <c r="J286" s="147"/>
      <c r="K286" s="3"/>
      <c r="L286" s="3"/>
      <c r="M286" s="3"/>
      <c r="N286" s="3"/>
      <c r="O286" s="3"/>
      <c r="P286" s="3"/>
      <c r="Q286" s="3"/>
      <c r="R286" s="3"/>
      <c r="S286" s="3"/>
      <c r="T286" s="3"/>
      <c r="U286" s="3"/>
      <c r="V286" s="3"/>
      <c r="W286" s="3"/>
      <c r="X286" s="3"/>
      <c r="Y286" s="3"/>
      <c r="Z286" s="3"/>
    </row>
    <row r="287" spans="1:26" ht="22.5" customHeight="1" x14ac:dyDescent="0.85">
      <c r="A287" s="166"/>
      <c r="B287" s="167"/>
      <c r="C287" s="167"/>
      <c r="D287" s="147"/>
      <c r="E287" s="147"/>
      <c r="F287" s="147"/>
      <c r="G287" s="147"/>
      <c r="H287" s="147"/>
      <c r="I287" s="147"/>
      <c r="J287" s="147"/>
      <c r="K287" s="3"/>
      <c r="L287" s="3"/>
      <c r="M287" s="3"/>
      <c r="N287" s="3"/>
      <c r="O287" s="3"/>
      <c r="P287" s="3"/>
      <c r="Q287" s="3"/>
      <c r="R287" s="3"/>
      <c r="S287" s="3"/>
      <c r="T287" s="3"/>
      <c r="U287" s="3"/>
      <c r="V287" s="3"/>
      <c r="W287" s="3"/>
      <c r="X287" s="3"/>
      <c r="Y287" s="3"/>
      <c r="Z287" s="3"/>
    </row>
    <row r="288" spans="1:26" ht="22.5" customHeight="1" x14ac:dyDescent="0.85">
      <c r="A288" s="166"/>
      <c r="B288" s="167"/>
      <c r="C288" s="167"/>
      <c r="D288" s="147"/>
      <c r="E288" s="147"/>
      <c r="F288" s="147"/>
      <c r="G288" s="147"/>
      <c r="H288" s="147"/>
      <c r="I288" s="147"/>
      <c r="J288" s="147"/>
      <c r="K288" s="3"/>
      <c r="L288" s="3"/>
      <c r="M288" s="3"/>
      <c r="N288" s="3"/>
      <c r="O288" s="3"/>
      <c r="P288" s="3"/>
      <c r="Q288" s="3"/>
      <c r="R288" s="3"/>
      <c r="S288" s="3"/>
      <c r="T288" s="3"/>
      <c r="U288" s="3"/>
      <c r="V288" s="3"/>
      <c r="W288" s="3"/>
      <c r="X288" s="3"/>
      <c r="Y288" s="3"/>
      <c r="Z288" s="3"/>
    </row>
    <row r="289" spans="1:26" ht="22.5" customHeight="1" x14ac:dyDescent="0.85">
      <c r="A289" s="166"/>
      <c r="B289" s="167"/>
      <c r="C289" s="167"/>
      <c r="D289" s="147"/>
      <c r="E289" s="147"/>
      <c r="F289" s="147"/>
      <c r="G289" s="147"/>
      <c r="H289" s="147"/>
      <c r="I289" s="147"/>
      <c r="J289" s="147"/>
      <c r="K289" s="3"/>
      <c r="L289" s="3"/>
      <c r="M289" s="3"/>
      <c r="N289" s="3"/>
      <c r="O289" s="3"/>
      <c r="P289" s="3"/>
      <c r="Q289" s="3"/>
      <c r="R289" s="3"/>
      <c r="S289" s="3"/>
      <c r="T289" s="3"/>
      <c r="U289" s="3"/>
      <c r="V289" s="3"/>
      <c r="W289" s="3"/>
      <c r="X289" s="3"/>
      <c r="Y289" s="3"/>
      <c r="Z289" s="3"/>
    </row>
    <row r="290" spans="1:26" ht="22.5" customHeight="1" x14ac:dyDescent="0.85">
      <c r="A290" s="166"/>
      <c r="B290" s="167"/>
      <c r="C290" s="167"/>
      <c r="D290" s="147"/>
      <c r="E290" s="147"/>
      <c r="F290" s="147"/>
      <c r="G290" s="147"/>
      <c r="H290" s="147"/>
      <c r="I290" s="147"/>
      <c r="J290" s="147"/>
      <c r="K290" s="3"/>
      <c r="L290" s="3"/>
      <c r="M290" s="3"/>
      <c r="N290" s="3"/>
      <c r="O290" s="3"/>
      <c r="P290" s="3"/>
      <c r="Q290" s="3"/>
      <c r="R290" s="3"/>
      <c r="S290" s="3"/>
      <c r="T290" s="3"/>
      <c r="U290" s="3"/>
      <c r="V290" s="3"/>
      <c r="W290" s="3"/>
      <c r="X290" s="3"/>
      <c r="Y290" s="3"/>
      <c r="Z290" s="3"/>
    </row>
    <row r="291" spans="1:26" ht="22.5" customHeight="1" x14ac:dyDescent="0.85">
      <c r="A291" s="166"/>
      <c r="B291" s="167"/>
      <c r="C291" s="167"/>
      <c r="D291" s="147"/>
      <c r="E291" s="147"/>
      <c r="F291" s="147"/>
      <c r="G291" s="147"/>
      <c r="H291" s="147"/>
      <c r="I291" s="147"/>
      <c r="J291" s="147"/>
      <c r="K291" s="3"/>
      <c r="L291" s="3"/>
      <c r="M291" s="3"/>
      <c r="N291" s="3"/>
      <c r="O291" s="3"/>
      <c r="P291" s="3"/>
      <c r="Q291" s="3"/>
      <c r="R291" s="3"/>
      <c r="S291" s="3"/>
      <c r="T291" s="3"/>
      <c r="U291" s="3"/>
      <c r="V291" s="3"/>
      <c r="W291" s="3"/>
      <c r="X291" s="3"/>
      <c r="Y291" s="3"/>
      <c r="Z291" s="3"/>
    </row>
    <row r="292" spans="1:26" ht="22.5" customHeight="1" x14ac:dyDescent="0.85">
      <c r="A292" s="166"/>
      <c r="B292" s="167"/>
      <c r="C292" s="167"/>
      <c r="D292" s="147"/>
      <c r="E292" s="147"/>
      <c r="F292" s="147"/>
      <c r="G292" s="147"/>
      <c r="H292" s="147"/>
      <c r="I292" s="147"/>
      <c r="J292" s="147"/>
      <c r="K292" s="3"/>
      <c r="L292" s="3"/>
      <c r="M292" s="3"/>
      <c r="N292" s="3"/>
      <c r="O292" s="3"/>
      <c r="P292" s="3"/>
      <c r="Q292" s="3"/>
      <c r="R292" s="3"/>
      <c r="S292" s="3"/>
      <c r="T292" s="3"/>
      <c r="U292" s="3"/>
      <c r="V292" s="3"/>
      <c r="W292" s="3"/>
      <c r="X292" s="3"/>
      <c r="Y292" s="3"/>
      <c r="Z292" s="3"/>
    </row>
    <row r="293" spans="1:26" ht="22.5" customHeight="1" x14ac:dyDescent="0.85">
      <c r="A293" s="166"/>
      <c r="B293" s="167"/>
      <c r="C293" s="167"/>
      <c r="D293" s="147"/>
      <c r="E293" s="147"/>
      <c r="F293" s="147"/>
      <c r="G293" s="147"/>
      <c r="H293" s="147"/>
      <c r="I293" s="147"/>
      <c r="J293" s="147"/>
      <c r="K293" s="3"/>
      <c r="L293" s="3"/>
      <c r="M293" s="3"/>
      <c r="N293" s="3"/>
      <c r="O293" s="3"/>
      <c r="P293" s="3"/>
      <c r="Q293" s="3"/>
      <c r="R293" s="3"/>
      <c r="S293" s="3"/>
      <c r="T293" s="3"/>
      <c r="U293" s="3"/>
      <c r="V293" s="3"/>
      <c r="W293" s="3"/>
      <c r="X293" s="3"/>
      <c r="Y293" s="3"/>
      <c r="Z293" s="3"/>
    </row>
    <row r="294" spans="1:26" ht="22.5" customHeight="1" x14ac:dyDescent="0.85">
      <c r="A294" s="166"/>
      <c r="B294" s="167"/>
      <c r="C294" s="167"/>
      <c r="D294" s="147"/>
      <c r="E294" s="147"/>
      <c r="F294" s="147"/>
      <c r="G294" s="147"/>
      <c r="H294" s="147"/>
      <c r="I294" s="147"/>
      <c r="J294" s="147"/>
      <c r="K294" s="3"/>
      <c r="L294" s="3"/>
      <c r="M294" s="3"/>
      <c r="N294" s="3"/>
      <c r="O294" s="3"/>
      <c r="P294" s="3"/>
      <c r="Q294" s="3"/>
      <c r="R294" s="3"/>
      <c r="S294" s="3"/>
      <c r="T294" s="3"/>
      <c r="U294" s="3"/>
      <c r="V294" s="3"/>
      <c r="W294" s="3"/>
      <c r="X294" s="3"/>
      <c r="Y294" s="3"/>
      <c r="Z294" s="3"/>
    </row>
    <row r="295" spans="1:26" ht="22.5" customHeight="1" x14ac:dyDescent="0.85">
      <c r="A295" s="166"/>
      <c r="B295" s="167"/>
      <c r="C295" s="167"/>
      <c r="D295" s="147"/>
      <c r="E295" s="147"/>
      <c r="F295" s="147"/>
      <c r="G295" s="147"/>
      <c r="H295" s="147"/>
      <c r="I295" s="147"/>
      <c r="J295" s="147"/>
      <c r="K295" s="3"/>
      <c r="L295" s="3"/>
      <c r="M295" s="3"/>
      <c r="N295" s="3"/>
      <c r="O295" s="3"/>
      <c r="P295" s="3"/>
      <c r="Q295" s="3"/>
      <c r="R295" s="3"/>
      <c r="S295" s="3"/>
      <c r="T295" s="3"/>
      <c r="U295" s="3"/>
      <c r="V295" s="3"/>
      <c r="W295" s="3"/>
      <c r="X295" s="3"/>
      <c r="Y295" s="3"/>
      <c r="Z295" s="3"/>
    </row>
    <row r="296" spans="1:26" ht="22.5" customHeight="1" x14ac:dyDescent="0.85">
      <c r="A296" s="166"/>
      <c r="B296" s="167"/>
      <c r="C296" s="167"/>
      <c r="D296" s="147"/>
      <c r="E296" s="147"/>
      <c r="F296" s="147"/>
      <c r="G296" s="147"/>
      <c r="H296" s="147"/>
      <c r="I296" s="147"/>
      <c r="J296" s="147"/>
      <c r="K296" s="3"/>
      <c r="L296" s="3"/>
      <c r="M296" s="3"/>
      <c r="N296" s="3"/>
      <c r="O296" s="3"/>
      <c r="P296" s="3"/>
      <c r="Q296" s="3"/>
      <c r="R296" s="3"/>
      <c r="S296" s="3"/>
      <c r="T296" s="3"/>
      <c r="U296" s="3"/>
      <c r="V296" s="3"/>
      <c r="W296" s="3"/>
      <c r="X296" s="3"/>
      <c r="Y296" s="3"/>
      <c r="Z296" s="3"/>
    </row>
    <row r="297" spans="1:26" ht="22.5" customHeight="1" x14ac:dyDescent="0.85">
      <c r="A297" s="166"/>
      <c r="B297" s="167"/>
      <c r="C297" s="167"/>
      <c r="D297" s="147"/>
      <c r="E297" s="147"/>
      <c r="F297" s="147"/>
      <c r="G297" s="147"/>
      <c r="H297" s="147"/>
      <c r="I297" s="147"/>
      <c r="J297" s="147"/>
      <c r="K297" s="3"/>
      <c r="L297" s="3"/>
      <c r="M297" s="3"/>
      <c r="N297" s="3"/>
      <c r="O297" s="3"/>
      <c r="P297" s="3"/>
      <c r="Q297" s="3"/>
      <c r="R297" s="3"/>
      <c r="S297" s="3"/>
      <c r="T297" s="3"/>
      <c r="U297" s="3"/>
      <c r="V297" s="3"/>
      <c r="W297" s="3"/>
      <c r="X297" s="3"/>
      <c r="Y297" s="3"/>
      <c r="Z297" s="3"/>
    </row>
    <row r="298" spans="1:26" ht="22.5" customHeight="1" x14ac:dyDescent="0.85">
      <c r="A298" s="166"/>
      <c r="B298" s="167"/>
      <c r="C298" s="167"/>
      <c r="D298" s="147"/>
      <c r="E298" s="147"/>
      <c r="F298" s="147"/>
      <c r="G298" s="147"/>
      <c r="H298" s="147"/>
      <c r="I298" s="147"/>
      <c r="J298" s="147"/>
      <c r="K298" s="3"/>
      <c r="L298" s="3"/>
      <c r="M298" s="3"/>
      <c r="N298" s="3"/>
      <c r="O298" s="3"/>
      <c r="P298" s="3"/>
      <c r="Q298" s="3"/>
      <c r="R298" s="3"/>
      <c r="S298" s="3"/>
      <c r="T298" s="3"/>
      <c r="U298" s="3"/>
      <c r="V298" s="3"/>
      <c r="W298" s="3"/>
      <c r="X298" s="3"/>
      <c r="Y298" s="3"/>
      <c r="Z298" s="3"/>
    </row>
    <row r="299" spans="1:26" ht="22.5" customHeight="1" x14ac:dyDescent="0.85">
      <c r="A299" s="166"/>
      <c r="B299" s="167"/>
      <c r="C299" s="167"/>
      <c r="D299" s="147"/>
      <c r="E299" s="147"/>
      <c r="F299" s="147"/>
      <c r="G299" s="147"/>
      <c r="H299" s="147"/>
      <c r="I299" s="147"/>
      <c r="J299" s="147"/>
      <c r="K299" s="3"/>
      <c r="L299" s="3"/>
      <c r="M299" s="3"/>
      <c r="N299" s="3"/>
      <c r="O299" s="3"/>
      <c r="P299" s="3"/>
      <c r="Q299" s="3"/>
      <c r="R299" s="3"/>
      <c r="S299" s="3"/>
      <c r="T299" s="3"/>
      <c r="U299" s="3"/>
      <c r="V299" s="3"/>
      <c r="W299" s="3"/>
      <c r="X299" s="3"/>
      <c r="Y299" s="3"/>
      <c r="Z299" s="3"/>
    </row>
    <row r="300" spans="1:26" ht="22.5" customHeight="1" x14ac:dyDescent="0.85">
      <c r="A300" s="166"/>
      <c r="B300" s="167"/>
      <c r="C300" s="167"/>
      <c r="D300" s="147"/>
      <c r="E300" s="147"/>
      <c r="F300" s="147"/>
      <c r="G300" s="147"/>
      <c r="H300" s="147"/>
      <c r="I300" s="147"/>
      <c r="J300" s="147"/>
      <c r="K300" s="3"/>
      <c r="L300" s="3"/>
      <c r="M300" s="3"/>
      <c r="N300" s="3"/>
      <c r="O300" s="3"/>
      <c r="P300" s="3"/>
      <c r="Q300" s="3"/>
      <c r="R300" s="3"/>
      <c r="S300" s="3"/>
      <c r="T300" s="3"/>
      <c r="U300" s="3"/>
      <c r="V300" s="3"/>
      <c r="W300" s="3"/>
      <c r="X300" s="3"/>
      <c r="Y300" s="3"/>
      <c r="Z300" s="3"/>
    </row>
    <row r="301" spans="1:26" ht="22.5" customHeight="1" x14ac:dyDescent="0.85">
      <c r="A301" s="166"/>
      <c r="B301" s="167"/>
      <c r="C301" s="167"/>
      <c r="D301" s="147"/>
      <c r="E301" s="147"/>
      <c r="F301" s="147"/>
      <c r="G301" s="147"/>
      <c r="H301" s="147"/>
      <c r="I301" s="147"/>
      <c r="J301" s="147"/>
      <c r="K301" s="3"/>
      <c r="L301" s="3"/>
      <c r="M301" s="3"/>
      <c r="N301" s="3"/>
      <c r="O301" s="3"/>
      <c r="P301" s="3"/>
      <c r="Q301" s="3"/>
      <c r="R301" s="3"/>
      <c r="S301" s="3"/>
      <c r="T301" s="3"/>
      <c r="U301" s="3"/>
      <c r="V301" s="3"/>
      <c r="W301" s="3"/>
      <c r="X301" s="3"/>
      <c r="Y301" s="3"/>
      <c r="Z301" s="3"/>
    </row>
    <row r="302" spans="1:26" ht="22.5" customHeight="1" x14ac:dyDescent="0.85">
      <c r="A302" s="166"/>
      <c r="B302" s="167"/>
      <c r="C302" s="167"/>
      <c r="D302" s="147"/>
      <c r="E302" s="147"/>
      <c r="F302" s="147"/>
      <c r="G302" s="147"/>
      <c r="H302" s="147"/>
      <c r="I302" s="147"/>
      <c r="J302" s="147"/>
      <c r="K302" s="3"/>
      <c r="L302" s="3"/>
      <c r="M302" s="3"/>
      <c r="N302" s="3"/>
      <c r="O302" s="3"/>
      <c r="P302" s="3"/>
      <c r="Q302" s="3"/>
      <c r="R302" s="3"/>
      <c r="S302" s="3"/>
      <c r="T302" s="3"/>
      <c r="U302" s="3"/>
      <c r="V302" s="3"/>
      <c r="W302" s="3"/>
      <c r="X302" s="3"/>
      <c r="Y302" s="3"/>
      <c r="Z302" s="3"/>
    </row>
    <row r="303" spans="1:26" ht="22.5" customHeight="1" x14ac:dyDescent="0.85">
      <c r="A303" s="166"/>
      <c r="B303" s="167"/>
      <c r="C303" s="167"/>
      <c r="D303" s="147"/>
      <c r="E303" s="147"/>
      <c r="F303" s="147"/>
      <c r="G303" s="147"/>
      <c r="H303" s="147"/>
      <c r="I303" s="147"/>
      <c r="J303" s="147"/>
      <c r="K303" s="3"/>
      <c r="L303" s="3"/>
      <c r="M303" s="3"/>
      <c r="N303" s="3"/>
      <c r="O303" s="3"/>
      <c r="P303" s="3"/>
      <c r="Q303" s="3"/>
      <c r="R303" s="3"/>
      <c r="S303" s="3"/>
      <c r="T303" s="3"/>
      <c r="U303" s="3"/>
      <c r="V303" s="3"/>
      <c r="W303" s="3"/>
      <c r="X303" s="3"/>
      <c r="Y303" s="3"/>
      <c r="Z303" s="3"/>
    </row>
    <row r="304" spans="1:26" ht="22.5" customHeight="1" x14ac:dyDescent="0.85">
      <c r="A304" s="166"/>
      <c r="B304" s="167"/>
      <c r="C304" s="167"/>
      <c r="D304" s="147"/>
      <c r="E304" s="147"/>
      <c r="F304" s="147"/>
      <c r="G304" s="147"/>
      <c r="H304" s="147"/>
      <c r="I304" s="147"/>
      <c r="J304" s="147"/>
      <c r="K304" s="3"/>
      <c r="L304" s="3"/>
      <c r="M304" s="3"/>
      <c r="N304" s="3"/>
      <c r="O304" s="3"/>
      <c r="P304" s="3"/>
      <c r="Q304" s="3"/>
      <c r="R304" s="3"/>
      <c r="S304" s="3"/>
      <c r="T304" s="3"/>
      <c r="U304" s="3"/>
      <c r="V304" s="3"/>
      <c r="W304" s="3"/>
      <c r="X304" s="3"/>
      <c r="Y304" s="3"/>
      <c r="Z304" s="3"/>
    </row>
    <row r="305" spans="1:26" ht="22.5" customHeight="1" x14ac:dyDescent="0.85">
      <c r="A305" s="166"/>
      <c r="B305" s="167"/>
      <c r="C305" s="167"/>
      <c r="D305" s="147"/>
      <c r="E305" s="147"/>
      <c r="F305" s="147"/>
      <c r="G305" s="147"/>
      <c r="H305" s="147"/>
      <c r="I305" s="147"/>
      <c r="J305" s="147"/>
      <c r="K305" s="3"/>
      <c r="L305" s="3"/>
      <c r="M305" s="3"/>
      <c r="N305" s="3"/>
      <c r="O305" s="3"/>
      <c r="P305" s="3"/>
      <c r="Q305" s="3"/>
      <c r="R305" s="3"/>
      <c r="S305" s="3"/>
      <c r="T305" s="3"/>
      <c r="U305" s="3"/>
      <c r="V305" s="3"/>
      <c r="W305" s="3"/>
      <c r="X305" s="3"/>
      <c r="Y305" s="3"/>
      <c r="Z305" s="3"/>
    </row>
    <row r="306" spans="1:26" ht="22.5" customHeight="1" x14ac:dyDescent="0.85">
      <c r="A306" s="166"/>
      <c r="B306" s="167"/>
      <c r="C306" s="167"/>
      <c r="D306" s="147"/>
      <c r="E306" s="147"/>
      <c r="F306" s="147"/>
      <c r="G306" s="147"/>
      <c r="H306" s="147"/>
      <c r="I306" s="147"/>
      <c r="J306" s="147"/>
      <c r="K306" s="3"/>
      <c r="L306" s="3"/>
      <c r="M306" s="3"/>
      <c r="N306" s="3"/>
      <c r="O306" s="3"/>
      <c r="P306" s="3"/>
      <c r="Q306" s="3"/>
      <c r="R306" s="3"/>
      <c r="S306" s="3"/>
      <c r="T306" s="3"/>
      <c r="U306" s="3"/>
      <c r="V306" s="3"/>
      <c r="W306" s="3"/>
      <c r="X306" s="3"/>
      <c r="Y306" s="3"/>
      <c r="Z306" s="3"/>
    </row>
    <row r="307" spans="1:26" ht="22.5" customHeight="1" x14ac:dyDescent="0.85">
      <c r="A307" s="166"/>
      <c r="B307" s="167"/>
      <c r="C307" s="167"/>
      <c r="D307" s="147"/>
      <c r="E307" s="147"/>
      <c r="F307" s="147"/>
      <c r="G307" s="147"/>
      <c r="H307" s="147"/>
      <c r="I307" s="147"/>
      <c r="J307" s="147"/>
      <c r="K307" s="3"/>
      <c r="L307" s="3"/>
      <c r="M307" s="3"/>
      <c r="N307" s="3"/>
      <c r="O307" s="3"/>
      <c r="P307" s="3"/>
      <c r="Q307" s="3"/>
      <c r="R307" s="3"/>
      <c r="S307" s="3"/>
      <c r="T307" s="3"/>
      <c r="U307" s="3"/>
      <c r="V307" s="3"/>
      <c r="W307" s="3"/>
      <c r="X307" s="3"/>
      <c r="Y307" s="3"/>
      <c r="Z307" s="3"/>
    </row>
    <row r="308" spans="1:26" ht="22.5" customHeight="1" x14ac:dyDescent="0.85">
      <c r="A308" s="166"/>
      <c r="B308" s="167"/>
      <c r="C308" s="167"/>
      <c r="D308" s="147"/>
      <c r="E308" s="147"/>
      <c r="F308" s="147"/>
      <c r="G308" s="147"/>
      <c r="H308" s="147"/>
      <c r="I308" s="147"/>
      <c r="J308" s="147"/>
      <c r="K308" s="3"/>
      <c r="L308" s="3"/>
      <c r="M308" s="3"/>
      <c r="N308" s="3"/>
      <c r="O308" s="3"/>
      <c r="P308" s="3"/>
      <c r="Q308" s="3"/>
      <c r="R308" s="3"/>
      <c r="S308" s="3"/>
      <c r="T308" s="3"/>
      <c r="U308" s="3"/>
      <c r="V308" s="3"/>
      <c r="W308" s="3"/>
      <c r="X308" s="3"/>
      <c r="Y308" s="3"/>
      <c r="Z308" s="3"/>
    </row>
    <row r="309" spans="1:26" ht="22.5" customHeight="1" x14ac:dyDescent="0.85">
      <c r="A309" s="166"/>
      <c r="B309" s="167"/>
      <c r="C309" s="167"/>
      <c r="D309" s="147"/>
      <c r="E309" s="147"/>
      <c r="F309" s="147"/>
      <c r="G309" s="147"/>
      <c r="H309" s="147"/>
      <c r="I309" s="147"/>
      <c r="J309" s="147"/>
      <c r="K309" s="3"/>
      <c r="L309" s="3"/>
      <c r="M309" s="3"/>
      <c r="N309" s="3"/>
      <c r="O309" s="3"/>
      <c r="P309" s="3"/>
      <c r="Q309" s="3"/>
      <c r="R309" s="3"/>
      <c r="S309" s="3"/>
      <c r="T309" s="3"/>
      <c r="U309" s="3"/>
      <c r="V309" s="3"/>
      <c r="W309" s="3"/>
      <c r="X309" s="3"/>
      <c r="Y309" s="3"/>
      <c r="Z309" s="3"/>
    </row>
    <row r="310" spans="1:26" ht="22.5" customHeight="1" x14ac:dyDescent="0.85">
      <c r="A310" s="166"/>
      <c r="B310" s="167"/>
      <c r="C310" s="167"/>
      <c r="D310" s="147"/>
      <c r="E310" s="147"/>
      <c r="F310" s="147"/>
      <c r="G310" s="147"/>
      <c r="H310" s="147"/>
      <c r="I310" s="147"/>
      <c r="J310" s="147"/>
      <c r="K310" s="3"/>
      <c r="L310" s="3"/>
      <c r="M310" s="3"/>
      <c r="N310" s="3"/>
      <c r="O310" s="3"/>
      <c r="P310" s="3"/>
      <c r="Q310" s="3"/>
      <c r="R310" s="3"/>
      <c r="S310" s="3"/>
      <c r="T310" s="3"/>
      <c r="U310" s="3"/>
      <c r="V310" s="3"/>
      <c r="W310" s="3"/>
      <c r="X310" s="3"/>
      <c r="Y310" s="3"/>
      <c r="Z310" s="3"/>
    </row>
    <row r="311" spans="1:26" ht="22.5" customHeight="1" x14ac:dyDescent="0.85">
      <c r="A311" s="166"/>
      <c r="B311" s="167"/>
      <c r="C311" s="167"/>
      <c r="D311" s="147"/>
      <c r="E311" s="147"/>
      <c r="F311" s="147"/>
      <c r="G311" s="147"/>
      <c r="H311" s="147"/>
      <c r="I311" s="147"/>
      <c r="J311" s="147"/>
      <c r="K311" s="3"/>
      <c r="L311" s="3"/>
      <c r="M311" s="3"/>
      <c r="N311" s="3"/>
      <c r="O311" s="3"/>
      <c r="P311" s="3"/>
      <c r="Q311" s="3"/>
      <c r="R311" s="3"/>
      <c r="S311" s="3"/>
      <c r="T311" s="3"/>
      <c r="U311" s="3"/>
      <c r="V311" s="3"/>
      <c r="W311" s="3"/>
      <c r="X311" s="3"/>
      <c r="Y311" s="3"/>
      <c r="Z311" s="3"/>
    </row>
    <row r="312" spans="1:26" ht="22.5" customHeight="1" x14ac:dyDescent="0.85">
      <c r="A312" s="166"/>
      <c r="B312" s="167"/>
      <c r="C312" s="167"/>
      <c r="D312" s="147"/>
      <c r="E312" s="147"/>
      <c r="F312" s="147"/>
      <c r="G312" s="147"/>
      <c r="H312" s="147"/>
      <c r="I312" s="147"/>
      <c r="J312" s="147"/>
      <c r="K312" s="3"/>
      <c r="L312" s="3"/>
      <c r="M312" s="3"/>
      <c r="N312" s="3"/>
      <c r="O312" s="3"/>
      <c r="P312" s="3"/>
      <c r="Q312" s="3"/>
      <c r="R312" s="3"/>
      <c r="S312" s="3"/>
      <c r="T312" s="3"/>
      <c r="U312" s="3"/>
      <c r="V312" s="3"/>
      <c r="W312" s="3"/>
      <c r="X312" s="3"/>
      <c r="Y312" s="3"/>
      <c r="Z312" s="3"/>
    </row>
    <row r="313" spans="1:26" ht="22.5" customHeight="1" x14ac:dyDescent="0.85">
      <c r="A313" s="166"/>
      <c r="B313" s="167"/>
      <c r="C313" s="167"/>
      <c r="D313" s="147"/>
      <c r="E313" s="147"/>
      <c r="F313" s="147"/>
      <c r="G313" s="147"/>
      <c r="H313" s="147"/>
      <c r="I313" s="147"/>
      <c r="J313" s="147"/>
      <c r="K313" s="3"/>
      <c r="L313" s="3"/>
      <c r="M313" s="3"/>
      <c r="N313" s="3"/>
      <c r="O313" s="3"/>
      <c r="P313" s="3"/>
      <c r="Q313" s="3"/>
      <c r="R313" s="3"/>
      <c r="S313" s="3"/>
      <c r="T313" s="3"/>
      <c r="U313" s="3"/>
      <c r="V313" s="3"/>
      <c r="W313" s="3"/>
      <c r="X313" s="3"/>
      <c r="Y313" s="3"/>
      <c r="Z313" s="3"/>
    </row>
    <row r="314" spans="1:26" ht="22.5" customHeight="1" x14ac:dyDescent="0.85">
      <c r="A314" s="166"/>
      <c r="B314" s="167"/>
      <c r="C314" s="167"/>
      <c r="D314" s="147"/>
      <c r="E314" s="147"/>
      <c r="F314" s="147"/>
      <c r="G314" s="147"/>
      <c r="H314" s="147"/>
      <c r="I314" s="147"/>
      <c r="J314" s="147"/>
      <c r="K314" s="3"/>
      <c r="L314" s="3"/>
      <c r="M314" s="3"/>
      <c r="N314" s="3"/>
      <c r="O314" s="3"/>
      <c r="P314" s="3"/>
      <c r="Q314" s="3"/>
      <c r="R314" s="3"/>
      <c r="S314" s="3"/>
      <c r="T314" s="3"/>
      <c r="U314" s="3"/>
      <c r="V314" s="3"/>
      <c r="W314" s="3"/>
      <c r="X314" s="3"/>
      <c r="Y314" s="3"/>
      <c r="Z314" s="3"/>
    </row>
    <row r="315" spans="1:26" ht="22.5" customHeight="1" x14ac:dyDescent="0.85">
      <c r="A315" s="166"/>
      <c r="B315" s="167"/>
      <c r="C315" s="167"/>
      <c r="D315" s="147"/>
      <c r="E315" s="147"/>
      <c r="F315" s="147"/>
      <c r="G315" s="147"/>
      <c r="H315" s="147"/>
      <c r="I315" s="147"/>
      <c r="J315" s="147"/>
      <c r="K315" s="3"/>
      <c r="L315" s="3"/>
      <c r="M315" s="3"/>
      <c r="N315" s="3"/>
      <c r="O315" s="3"/>
      <c r="P315" s="3"/>
      <c r="Q315" s="3"/>
      <c r="R315" s="3"/>
      <c r="S315" s="3"/>
      <c r="T315" s="3"/>
      <c r="U315" s="3"/>
      <c r="V315" s="3"/>
      <c r="W315" s="3"/>
      <c r="X315" s="3"/>
      <c r="Y315" s="3"/>
      <c r="Z315" s="3"/>
    </row>
    <row r="316" spans="1:26" ht="22.5" customHeight="1" x14ac:dyDescent="0.85">
      <c r="A316" s="166"/>
      <c r="B316" s="167"/>
      <c r="C316" s="167"/>
      <c r="D316" s="147"/>
      <c r="E316" s="147"/>
      <c r="F316" s="147"/>
      <c r="G316" s="147"/>
      <c r="H316" s="147"/>
      <c r="I316" s="147"/>
      <c r="J316" s="147"/>
      <c r="K316" s="3"/>
      <c r="L316" s="3"/>
      <c r="M316" s="3"/>
      <c r="N316" s="3"/>
      <c r="O316" s="3"/>
      <c r="P316" s="3"/>
      <c r="Q316" s="3"/>
      <c r="R316" s="3"/>
      <c r="S316" s="3"/>
      <c r="T316" s="3"/>
      <c r="U316" s="3"/>
      <c r="V316" s="3"/>
      <c r="W316" s="3"/>
      <c r="X316" s="3"/>
      <c r="Y316" s="3"/>
      <c r="Z316" s="3"/>
    </row>
    <row r="317" spans="1:26" ht="22.5" customHeight="1" x14ac:dyDescent="0.85">
      <c r="A317" s="166"/>
      <c r="B317" s="167"/>
      <c r="C317" s="167"/>
      <c r="D317" s="147"/>
      <c r="E317" s="147"/>
      <c r="F317" s="147"/>
      <c r="G317" s="147"/>
      <c r="H317" s="147"/>
      <c r="I317" s="147"/>
      <c r="J317" s="147"/>
      <c r="K317" s="3"/>
      <c r="L317" s="3"/>
      <c r="M317" s="3"/>
      <c r="N317" s="3"/>
      <c r="O317" s="3"/>
      <c r="P317" s="3"/>
      <c r="Q317" s="3"/>
      <c r="R317" s="3"/>
      <c r="S317" s="3"/>
      <c r="T317" s="3"/>
      <c r="U317" s="3"/>
      <c r="V317" s="3"/>
      <c r="W317" s="3"/>
      <c r="X317" s="3"/>
      <c r="Y317" s="3"/>
      <c r="Z317" s="3"/>
    </row>
    <row r="318" spans="1:26" ht="22.5" customHeight="1" x14ac:dyDescent="0.85">
      <c r="A318" s="166"/>
      <c r="B318" s="167"/>
      <c r="C318" s="167"/>
      <c r="D318" s="147"/>
      <c r="E318" s="147"/>
      <c r="F318" s="147"/>
      <c r="G318" s="147"/>
      <c r="H318" s="147"/>
      <c r="I318" s="147"/>
      <c r="J318" s="147"/>
      <c r="K318" s="3"/>
      <c r="L318" s="3"/>
      <c r="M318" s="3"/>
      <c r="N318" s="3"/>
      <c r="O318" s="3"/>
      <c r="P318" s="3"/>
      <c r="Q318" s="3"/>
      <c r="R318" s="3"/>
      <c r="S318" s="3"/>
      <c r="T318" s="3"/>
      <c r="U318" s="3"/>
      <c r="V318" s="3"/>
      <c r="W318" s="3"/>
      <c r="X318" s="3"/>
      <c r="Y318" s="3"/>
      <c r="Z318" s="3"/>
    </row>
    <row r="319" spans="1:26" ht="22.5" customHeight="1" x14ac:dyDescent="0.85">
      <c r="A319" s="166"/>
      <c r="B319" s="167"/>
      <c r="C319" s="167"/>
      <c r="D319" s="147"/>
      <c r="E319" s="147"/>
      <c r="F319" s="147"/>
      <c r="G319" s="147"/>
      <c r="H319" s="147"/>
      <c r="I319" s="147"/>
      <c r="J319" s="147"/>
      <c r="K319" s="3"/>
      <c r="L319" s="3"/>
      <c r="M319" s="3"/>
      <c r="N319" s="3"/>
      <c r="O319" s="3"/>
      <c r="P319" s="3"/>
      <c r="Q319" s="3"/>
      <c r="R319" s="3"/>
      <c r="S319" s="3"/>
      <c r="T319" s="3"/>
      <c r="U319" s="3"/>
      <c r="V319" s="3"/>
      <c r="W319" s="3"/>
      <c r="X319" s="3"/>
      <c r="Y319" s="3"/>
      <c r="Z319" s="3"/>
    </row>
    <row r="320" spans="1:26" ht="22.5" customHeight="1" x14ac:dyDescent="0.85">
      <c r="A320" s="166"/>
      <c r="B320" s="167"/>
      <c r="C320" s="167"/>
      <c r="D320" s="147"/>
      <c r="E320" s="147"/>
      <c r="F320" s="147"/>
      <c r="G320" s="147"/>
      <c r="H320" s="147"/>
      <c r="I320" s="147"/>
      <c r="J320" s="147"/>
      <c r="K320" s="3"/>
      <c r="L320" s="3"/>
      <c r="M320" s="3"/>
      <c r="N320" s="3"/>
      <c r="O320" s="3"/>
      <c r="P320" s="3"/>
      <c r="Q320" s="3"/>
      <c r="R320" s="3"/>
      <c r="S320" s="3"/>
      <c r="T320" s="3"/>
      <c r="U320" s="3"/>
      <c r="V320" s="3"/>
      <c r="W320" s="3"/>
      <c r="X320" s="3"/>
      <c r="Y320" s="3"/>
      <c r="Z320" s="3"/>
    </row>
    <row r="321" spans="1:26" ht="22.5" customHeight="1" x14ac:dyDescent="0.85">
      <c r="A321" s="166"/>
      <c r="B321" s="167"/>
      <c r="C321" s="167"/>
      <c r="D321" s="147"/>
      <c r="E321" s="147"/>
      <c r="F321" s="147"/>
      <c r="G321" s="147"/>
      <c r="H321" s="147"/>
      <c r="I321" s="147"/>
      <c r="J321" s="147"/>
      <c r="K321" s="3"/>
      <c r="L321" s="3"/>
      <c r="M321" s="3"/>
      <c r="N321" s="3"/>
      <c r="O321" s="3"/>
      <c r="P321" s="3"/>
      <c r="Q321" s="3"/>
      <c r="R321" s="3"/>
      <c r="S321" s="3"/>
      <c r="T321" s="3"/>
      <c r="U321" s="3"/>
      <c r="V321" s="3"/>
      <c r="W321" s="3"/>
      <c r="X321" s="3"/>
      <c r="Y321" s="3"/>
      <c r="Z321" s="3"/>
    </row>
    <row r="322" spans="1:26" ht="22.5" customHeight="1" x14ac:dyDescent="0.85">
      <c r="A322" s="166"/>
      <c r="B322" s="167"/>
      <c r="C322" s="167"/>
      <c r="D322" s="147"/>
      <c r="E322" s="147"/>
      <c r="F322" s="147"/>
      <c r="G322" s="147"/>
      <c r="H322" s="147"/>
      <c r="I322" s="147"/>
      <c r="J322" s="147"/>
      <c r="K322" s="3"/>
      <c r="L322" s="3"/>
      <c r="M322" s="3"/>
      <c r="N322" s="3"/>
      <c r="O322" s="3"/>
      <c r="P322" s="3"/>
      <c r="Q322" s="3"/>
      <c r="R322" s="3"/>
      <c r="S322" s="3"/>
      <c r="T322" s="3"/>
      <c r="U322" s="3"/>
      <c r="V322" s="3"/>
      <c r="W322" s="3"/>
      <c r="X322" s="3"/>
      <c r="Y322" s="3"/>
      <c r="Z322" s="3"/>
    </row>
    <row r="323" spans="1:26" ht="22.5" customHeight="1" x14ac:dyDescent="0.85">
      <c r="A323" s="166"/>
      <c r="B323" s="167"/>
      <c r="C323" s="167"/>
      <c r="D323" s="147"/>
      <c r="E323" s="147"/>
      <c r="F323" s="147"/>
      <c r="G323" s="147"/>
      <c r="H323" s="147"/>
      <c r="I323" s="147"/>
      <c r="J323" s="147"/>
      <c r="K323" s="3"/>
      <c r="L323" s="3"/>
      <c r="M323" s="3"/>
      <c r="N323" s="3"/>
      <c r="O323" s="3"/>
      <c r="P323" s="3"/>
      <c r="Q323" s="3"/>
      <c r="R323" s="3"/>
      <c r="S323" s="3"/>
      <c r="T323" s="3"/>
      <c r="U323" s="3"/>
      <c r="V323" s="3"/>
      <c r="W323" s="3"/>
      <c r="X323" s="3"/>
      <c r="Y323" s="3"/>
      <c r="Z323" s="3"/>
    </row>
    <row r="324" spans="1:26" ht="22.5" customHeight="1" x14ac:dyDescent="0.85">
      <c r="A324" s="166"/>
      <c r="B324" s="167"/>
      <c r="C324" s="167"/>
      <c r="D324" s="147"/>
      <c r="E324" s="147"/>
      <c r="F324" s="147"/>
      <c r="G324" s="147"/>
      <c r="H324" s="147"/>
      <c r="I324" s="147"/>
      <c r="J324" s="147"/>
      <c r="K324" s="3"/>
      <c r="L324" s="3"/>
      <c r="M324" s="3"/>
      <c r="N324" s="3"/>
      <c r="O324" s="3"/>
      <c r="P324" s="3"/>
      <c r="Q324" s="3"/>
      <c r="R324" s="3"/>
      <c r="S324" s="3"/>
      <c r="T324" s="3"/>
      <c r="U324" s="3"/>
      <c r="V324" s="3"/>
      <c r="W324" s="3"/>
      <c r="X324" s="3"/>
      <c r="Y324" s="3"/>
      <c r="Z324" s="3"/>
    </row>
    <row r="325" spans="1:26" ht="22.5" customHeight="1" x14ac:dyDescent="0.85">
      <c r="A325" s="166"/>
      <c r="B325" s="167"/>
      <c r="C325" s="167"/>
      <c r="D325" s="147"/>
      <c r="E325" s="147"/>
      <c r="F325" s="147"/>
      <c r="G325" s="147"/>
      <c r="H325" s="147"/>
      <c r="I325" s="147"/>
      <c r="J325" s="147"/>
      <c r="K325" s="3"/>
      <c r="L325" s="3"/>
      <c r="M325" s="3"/>
      <c r="N325" s="3"/>
      <c r="O325" s="3"/>
      <c r="P325" s="3"/>
      <c r="Q325" s="3"/>
      <c r="R325" s="3"/>
      <c r="S325" s="3"/>
      <c r="T325" s="3"/>
      <c r="U325" s="3"/>
      <c r="V325" s="3"/>
      <c r="W325" s="3"/>
      <c r="X325" s="3"/>
      <c r="Y325" s="3"/>
      <c r="Z325" s="3"/>
    </row>
    <row r="326" spans="1:26" ht="22.5" customHeight="1" x14ac:dyDescent="0.85">
      <c r="A326" s="166"/>
      <c r="B326" s="167"/>
      <c r="C326" s="167"/>
      <c r="D326" s="147"/>
      <c r="E326" s="147"/>
      <c r="F326" s="147"/>
      <c r="G326" s="147"/>
      <c r="H326" s="147"/>
      <c r="I326" s="147"/>
      <c r="J326" s="147"/>
      <c r="K326" s="3"/>
      <c r="L326" s="3"/>
      <c r="M326" s="3"/>
      <c r="N326" s="3"/>
      <c r="O326" s="3"/>
      <c r="P326" s="3"/>
      <c r="Q326" s="3"/>
      <c r="R326" s="3"/>
      <c r="S326" s="3"/>
      <c r="T326" s="3"/>
      <c r="U326" s="3"/>
      <c r="V326" s="3"/>
      <c r="W326" s="3"/>
      <c r="X326" s="3"/>
      <c r="Y326" s="3"/>
      <c r="Z326" s="3"/>
    </row>
    <row r="327" spans="1:26" ht="22.5" customHeight="1" x14ac:dyDescent="0.85">
      <c r="A327" s="166"/>
      <c r="B327" s="167"/>
      <c r="C327" s="167"/>
      <c r="D327" s="147"/>
      <c r="E327" s="147"/>
      <c r="F327" s="147"/>
      <c r="G327" s="147"/>
      <c r="H327" s="147"/>
      <c r="I327" s="147"/>
      <c r="J327" s="147"/>
      <c r="K327" s="3"/>
      <c r="L327" s="3"/>
      <c r="M327" s="3"/>
      <c r="N327" s="3"/>
      <c r="O327" s="3"/>
      <c r="P327" s="3"/>
      <c r="Q327" s="3"/>
      <c r="R327" s="3"/>
      <c r="S327" s="3"/>
      <c r="T327" s="3"/>
      <c r="U327" s="3"/>
      <c r="V327" s="3"/>
      <c r="W327" s="3"/>
      <c r="X327" s="3"/>
      <c r="Y327" s="3"/>
      <c r="Z327" s="3"/>
    </row>
    <row r="328" spans="1:26" ht="22.5" customHeight="1" x14ac:dyDescent="0.85">
      <c r="A328" s="166"/>
      <c r="B328" s="167"/>
      <c r="C328" s="167"/>
      <c r="D328" s="147"/>
      <c r="E328" s="147"/>
      <c r="F328" s="147"/>
      <c r="G328" s="147"/>
      <c r="H328" s="147"/>
      <c r="I328" s="147"/>
      <c r="J328" s="147"/>
      <c r="K328" s="3"/>
      <c r="L328" s="3"/>
      <c r="M328" s="3"/>
      <c r="N328" s="3"/>
      <c r="O328" s="3"/>
      <c r="P328" s="3"/>
      <c r="Q328" s="3"/>
      <c r="R328" s="3"/>
      <c r="S328" s="3"/>
      <c r="T328" s="3"/>
      <c r="U328" s="3"/>
      <c r="V328" s="3"/>
      <c r="W328" s="3"/>
      <c r="X328" s="3"/>
      <c r="Y328" s="3"/>
      <c r="Z328" s="3"/>
    </row>
    <row r="329" spans="1:26" ht="22.5" customHeight="1" x14ac:dyDescent="0.85">
      <c r="A329" s="166"/>
      <c r="B329" s="167"/>
      <c r="C329" s="167"/>
      <c r="D329" s="147"/>
      <c r="E329" s="147"/>
      <c r="F329" s="147"/>
      <c r="G329" s="147"/>
      <c r="H329" s="147"/>
      <c r="I329" s="147"/>
      <c r="J329" s="147"/>
      <c r="K329" s="3"/>
      <c r="L329" s="3"/>
      <c r="M329" s="3"/>
      <c r="N329" s="3"/>
      <c r="O329" s="3"/>
      <c r="P329" s="3"/>
      <c r="Q329" s="3"/>
      <c r="R329" s="3"/>
      <c r="S329" s="3"/>
      <c r="T329" s="3"/>
      <c r="U329" s="3"/>
      <c r="V329" s="3"/>
      <c r="W329" s="3"/>
      <c r="X329" s="3"/>
      <c r="Y329" s="3"/>
      <c r="Z329" s="3"/>
    </row>
    <row r="330" spans="1:26" ht="22.5" customHeight="1" x14ac:dyDescent="0.85">
      <c r="A330" s="166"/>
      <c r="B330" s="167"/>
      <c r="C330" s="167"/>
      <c r="D330" s="147"/>
      <c r="E330" s="147"/>
      <c r="F330" s="147"/>
      <c r="G330" s="147"/>
      <c r="H330" s="147"/>
      <c r="I330" s="147"/>
      <c r="J330" s="147"/>
      <c r="K330" s="3"/>
      <c r="L330" s="3"/>
      <c r="M330" s="3"/>
      <c r="N330" s="3"/>
      <c r="O330" s="3"/>
      <c r="P330" s="3"/>
      <c r="Q330" s="3"/>
      <c r="R330" s="3"/>
      <c r="S330" s="3"/>
      <c r="T330" s="3"/>
      <c r="U330" s="3"/>
      <c r="V330" s="3"/>
      <c r="W330" s="3"/>
      <c r="X330" s="3"/>
      <c r="Y330" s="3"/>
      <c r="Z330" s="3"/>
    </row>
    <row r="331" spans="1:26" ht="22.5" customHeight="1" x14ac:dyDescent="0.85">
      <c r="A331" s="166"/>
      <c r="B331" s="167"/>
      <c r="C331" s="167"/>
      <c r="D331" s="147"/>
      <c r="E331" s="147"/>
      <c r="F331" s="147"/>
      <c r="G331" s="147"/>
      <c r="H331" s="147"/>
      <c r="I331" s="147"/>
      <c r="J331" s="147"/>
      <c r="K331" s="3"/>
      <c r="L331" s="3"/>
      <c r="M331" s="3"/>
      <c r="N331" s="3"/>
      <c r="O331" s="3"/>
      <c r="P331" s="3"/>
      <c r="Q331" s="3"/>
      <c r="R331" s="3"/>
      <c r="S331" s="3"/>
      <c r="T331" s="3"/>
      <c r="U331" s="3"/>
      <c r="V331" s="3"/>
      <c r="W331" s="3"/>
      <c r="X331" s="3"/>
      <c r="Y331" s="3"/>
      <c r="Z331" s="3"/>
    </row>
    <row r="332" spans="1:26" ht="22.5" customHeight="1" x14ac:dyDescent="0.85">
      <c r="A332" s="166"/>
      <c r="B332" s="167"/>
      <c r="C332" s="167"/>
      <c r="D332" s="147"/>
      <c r="E332" s="147"/>
      <c r="F332" s="147"/>
      <c r="G332" s="147"/>
      <c r="H332" s="147"/>
      <c r="I332" s="147"/>
      <c r="J332" s="147"/>
      <c r="K332" s="3"/>
      <c r="L332" s="3"/>
      <c r="M332" s="3"/>
      <c r="N332" s="3"/>
      <c r="O332" s="3"/>
      <c r="P332" s="3"/>
      <c r="Q332" s="3"/>
      <c r="R332" s="3"/>
      <c r="S332" s="3"/>
      <c r="T332" s="3"/>
      <c r="U332" s="3"/>
      <c r="V332" s="3"/>
      <c r="W332" s="3"/>
      <c r="X332" s="3"/>
      <c r="Y332" s="3"/>
      <c r="Z332" s="3"/>
    </row>
    <row r="333" spans="1:26" ht="22.5" customHeight="1" x14ac:dyDescent="0.85">
      <c r="A333" s="166"/>
      <c r="B333" s="167"/>
      <c r="C333" s="167"/>
      <c r="D333" s="147"/>
      <c r="E333" s="147"/>
      <c r="F333" s="147"/>
      <c r="G333" s="147"/>
      <c r="H333" s="147"/>
      <c r="I333" s="147"/>
      <c r="J333" s="147"/>
      <c r="K333" s="3"/>
      <c r="L333" s="3"/>
      <c r="M333" s="3"/>
      <c r="N333" s="3"/>
      <c r="O333" s="3"/>
      <c r="P333" s="3"/>
      <c r="Q333" s="3"/>
      <c r="R333" s="3"/>
      <c r="S333" s="3"/>
      <c r="T333" s="3"/>
      <c r="U333" s="3"/>
      <c r="V333" s="3"/>
      <c r="W333" s="3"/>
      <c r="X333" s="3"/>
      <c r="Y333" s="3"/>
      <c r="Z333" s="3"/>
    </row>
    <row r="334" spans="1:26" ht="22.5" customHeight="1" x14ac:dyDescent="0.85">
      <c r="A334" s="166"/>
      <c r="B334" s="167"/>
      <c r="C334" s="167"/>
      <c r="D334" s="147"/>
      <c r="E334" s="147"/>
      <c r="F334" s="147"/>
      <c r="G334" s="147"/>
      <c r="H334" s="147"/>
      <c r="I334" s="147"/>
      <c r="J334" s="147"/>
      <c r="K334" s="3"/>
      <c r="L334" s="3"/>
      <c r="M334" s="3"/>
      <c r="N334" s="3"/>
      <c r="O334" s="3"/>
      <c r="P334" s="3"/>
      <c r="Q334" s="3"/>
      <c r="R334" s="3"/>
      <c r="S334" s="3"/>
      <c r="T334" s="3"/>
      <c r="U334" s="3"/>
      <c r="V334" s="3"/>
      <c r="W334" s="3"/>
      <c r="X334" s="3"/>
      <c r="Y334" s="3"/>
      <c r="Z334" s="3"/>
    </row>
    <row r="335" spans="1:26" ht="22.5" customHeight="1" x14ac:dyDescent="0.85">
      <c r="A335" s="166"/>
      <c r="B335" s="167"/>
      <c r="C335" s="167"/>
      <c r="D335" s="147"/>
      <c r="E335" s="147"/>
      <c r="F335" s="147"/>
      <c r="G335" s="147"/>
      <c r="H335" s="147"/>
      <c r="I335" s="147"/>
      <c r="J335" s="147"/>
      <c r="K335" s="3"/>
      <c r="L335" s="3"/>
      <c r="M335" s="3"/>
      <c r="N335" s="3"/>
      <c r="O335" s="3"/>
      <c r="P335" s="3"/>
      <c r="Q335" s="3"/>
      <c r="R335" s="3"/>
      <c r="S335" s="3"/>
      <c r="T335" s="3"/>
      <c r="U335" s="3"/>
      <c r="V335" s="3"/>
      <c r="W335" s="3"/>
      <c r="X335" s="3"/>
      <c r="Y335" s="3"/>
      <c r="Z335" s="3"/>
    </row>
    <row r="336" spans="1:26" ht="22.5" customHeight="1" x14ac:dyDescent="0.85">
      <c r="A336" s="166"/>
      <c r="B336" s="167"/>
      <c r="C336" s="167"/>
      <c r="D336" s="147"/>
      <c r="E336" s="147"/>
      <c r="F336" s="147"/>
      <c r="G336" s="147"/>
      <c r="H336" s="147"/>
      <c r="I336" s="147"/>
      <c r="J336" s="147"/>
      <c r="K336" s="3"/>
      <c r="L336" s="3"/>
      <c r="M336" s="3"/>
      <c r="N336" s="3"/>
      <c r="O336" s="3"/>
      <c r="P336" s="3"/>
      <c r="Q336" s="3"/>
      <c r="R336" s="3"/>
      <c r="S336" s="3"/>
      <c r="T336" s="3"/>
      <c r="U336" s="3"/>
      <c r="V336" s="3"/>
      <c r="W336" s="3"/>
      <c r="X336" s="3"/>
      <c r="Y336" s="3"/>
      <c r="Z336" s="3"/>
    </row>
    <row r="337" spans="1:26" ht="22.5" customHeight="1" x14ac:dyDescent="0.85">
      <c r="A337" s="166"/>
      <c r="B337" s="167"/>
      <c r="C337" s="167"/>
      <c r="D337" s="147"/>
      <c r="E337" s="147"/>
      <c r="F337" s="147"/>
      <c r="G337" s="147"/>
      <c r="H337" s="147"/>
      <c r="I337" s="147"/>
      <c r="J337" s="147"/>
      <c r="K337" s="3"/>
      <c r="L337" s="3"/>
      <c r="M337" s="3"/>
      <c r="N337" s="3"/>
      <c r="O337" s="3"/>
      <c r="P337" s="3"/>
      <c r="Q337" s="3"/>
      <c r="R337" s="3"/>
      <c r="S337" s="3"/>
      <c r="T337" s="3"/>
      <c r="U337" s="3"/>
      <c r="V337" s="3"/>
      <c r="W337" s="3"/>
      <c r="X337" s="3"/>
      <c r="Y337" s="3"/>
      <c r="Z337" s="3"/>
    </row>
    <row r="338" spans="1:26" ht="22.5" customHeight="1" x14ac:dyDescent="0.85">
      <c r="A338" s="166"/>
      <c r="B338" s="167"/>
      <c r="C338" s="167"/>
      <c r="D338" s="147"/>
      <c r="E338" s="147"/>
      <c r="F338" s="147"/>
      <c r="G338" s="147"/>
      <c r="H338" s="147"/>
      <c r="I338" s="147"/>
      <c r="J338" s="147"/>
      <c r="K338" s="3"/>
      <c r="L338" s="3"/>
      <c r="M338" s="3"/>
      <c r="N338" s="3"/>
      <c r="O338" s="3"/>
      <c r="P338" s="3"/>
      <c r="Q338" s="3"/>
      <c r="R338" s="3"/>
      <c r="S338" s="3"/>
      <c r="T338" s="3"/>
      <c r="U338" s="3"/>
      <c r="V338" s="3"/>
      <c r="W338" s="3"/>
      <c r="X338" s="3"/>
      <c r="Y338" s="3"/>
      <c r="Z338" s="3"/>
    </row>
    <row r="339" spans="1:26" ht="22.5" customHeight="1" x14ac:dyDescent="0.85">
      <c r="A339" s="166"/>
      <c r="B339" s="167"/>
      <c r="C339" s="167"/>
      <c r="D339" s="147"/>
      <c r="E339" s="147"/>
      <c r="F339" s="147"/>
      <c r="G339" s="147"/>
      <c r="H339" s="147"/>
      <c r="I339" s="147"/>
      <c r="J339" s="147"/>
      <c r="K339" s="3"/>
      <c r="L339" s="3"/>
      <c r="M339" s="3"/>
      <c r="N339" s="3"/>
      <c r="O339" s="3"/>
      <c r="P339" s="3"/>
      <c r="Q339" s="3"/>
      <c r="R339" s="3"/>
      <c r="S339" s="3"/>
      <c r="T339" s="3"/>
      <c r="U339" s="3"/>
      <c r="V339" s="3"/>
      <c r="W339" s="3"/>
      <c r="X339" s="3"/>
      <c r="Y339" s="3"/>
      <c r="Z339" s="3"/>
    </row>
    <row r="340" spans="1:26" ht="22.5" customHeight="1" x14ac:dyDescent="0.85">
      <c r="A340" s="166"/>
      <c r="B340" s="167"/>
      <c r="C340" s="167"/>
      <c r="D340" s="147"/>
      <c r="E340" s="147"/>
      <c r="F340" s="147"/>
      <c r="G340" s="147"/>
      <c r="H340" s="147"/>
      <c r="I340" s="147"/>
      <c r="J340" s="147"/>
      <c r="K340" s="3"/>
      <c r="L340" s="3"/>
      <c r="M340" s="3"/>
      <c r="N340" s="3"/>
      <c r="O340" s="3"/>
      <c r="P340" s="3"/>
      <c r="Q340" s="3"/>
      <c r="R340" s="3"/>
      <c r="S340" s="3"/>
      <c r="T340" s="3"/>
      <c r="U340" s="3"/>
      <c r="V340" s="3"/>
      <c r="W340" s="3"/>
      <c r="X340" s="3"/>
      <c r="Y340" s="3"/>
      <c r="Z340" s="3"/>
    </row>
    <row r="341" spans="1:26" ht="22.5" customHeight="1" x14ac:dyDescent="0.85">
      <c r="A341" s="166"/>
      <c r="B341" s="167"/>
      <c r="C341" s="167"/>
      <c r="D341" s="147"/>
      <c r="E341" s="147"/>
      <c r="F341" s="147"/>
      <c r="G341" s="147"/>
      <c r="H341" s="147"/>
      <c r="I341" s="147"/>
      <c r="J341" s="147"/>
      <c r="K341" s="3"/>
      <c r="L341" s="3"/>
      <c r="M341" s="3"/>
      <c r="N341" s="3"/>
      <c r="O341" s="3"/>
      <c r="P341" s="3"/>
      <c r="Q341" s="3"/>
      <c r="R341" s="3"/>
      <c r="S341" s="3"/>
      <c r="T341" s="3"/>
      <c r="U341" s="3"/>
      <c r="V341" s="3"/>
      <c r="W341" s="3"/>
      <c r="X341" s="3"/>
      <c r="Y341" s="3"/>
      <c r="Z341" s="3"/>
    </row>
    <row r="342" spans="1:26" ht="22.5" customHeight="1" x14ac:dyDescent="0.85">
      <c r="A342" s="166"/>
      <c r="B342" s="167"/>
      <c r="C342" s="167"/>
      <c r="D342" s="147"/>
      <c r="E342" s="147"/>
      <c r="F342" s="147"/>
      <c r="G342" s="147"/>
      <c r="H342" s="147"/>
      <c r="I342" s="147"/>
      <c r="J342" s="147"/>
      <c r="K342" s="3"/>
      <c r="L342" s="3"/>
      <c r="M342" s="3"/>
      <c r="N342" s="3"/>
      <c r="O342" s="3"/>
      <c r="P342" s="3"/>
      <c r="Q342" s="3"/>
      <c r="R342" s="3"/>
      <c r="S342" s="3"/>
      <c r="T342" s="3"/>
      <c r="U342" s="3"/>
      <c r="V342" s="3"/>
      <c r="W342" s="3"/>
      <c r="X342" s="3"/>
      <c r="Y342" s="3"/>
      <c r="Z342" s="3"/>
    </row>
    <row r="343" spans="1:26" ht="22.5" customHeight="1" x14ac:dyDescent="0.85">
      <c r="A343" s="166"/>
      <c r="B343" s="167"/>
      <c r="C343" s="167"/>
      <c r="D343" s="147"/>
      <c r="E343" s="147"/>
      <c r="F343" s="147"/>
      <c r="G343" s="147"/>
      <c r="H343" s="147"/>
      <c r="I343" s="147"/>
      <c r="J343" s="147"/>
      <c r="K343" s="3"/>
      <c r="L343" s="3"/>
      <c r="M343" s="3"/>
      <c r="N343" s="3"/>
      <c r="O343" s="3"/>
      <c r="P343" s="3"/>
      <c r="Q343" s="3"/>
      <c r="R343" s="3"/>
      <c r="S343" s="3"/>
      <c r="T343" s="3"/>
      <c r="U343" s="3"/>
      <c r="V343" s="3"/>
      <c r="W343" s="3"/>
      <c r="X343" s="3"/>
      <c r="Y343" s="3"/>
      <c r="Z343" s="3"/>
    </row>
    <row r="344" spans="1:26" ht="22.5" customHeight="1" x14ac:dyDescent="0.85">
      <c r="A344" s="166"/>
      <c r="B344" s="167"/>
      <c r="C344" s="167"/>
      <c r="D344" s="147"/>
      <c r="E344" s="147"/>
      <c r="F344" s="147"/>
      <c r="G344" s="147"/>
      <c r="H344" s="147"/>
      <c r="I344" s="147"/>
      <c r="J344" s="147"/>
      <c r="K344" s="3"/>
      <c r="L344" s="3"/>
      <c r="M344" s="3"/>
      <c r="N344" s="3"/>
      <c r="O344" s="3"/>
      <c r="P344" s="3"/>
      <c r="Q344" s="3"/>
      <c r="R344" s="3"/>
      <c r="S344" s="3"/>
      <c r="T344" s="3"/>
      <c r="U344" s="3"/>
      <c r="V344" s="3"/>
      <c r="W344" s="3"/>
      <c r="X344" s="3"/>
      <c r="Y344" s="3"/>
      <c r="Z344" s="3"/>
    </row>
    <row r="345" spans="1:26" ht="22.5" customHeight="1" x14ac:dyDescent="0.85">
      <c r="A345" s="166"/>
      <c r="B345" s="167"/>
      <c r="C345" s="167"/>
      <c r="D345" s="147"/>
      <c r="E345" s="147"/>
      <c r="F345" s="147"/>
      <c r="G345" s="147"/>
      <c r="H345" s="147"/>
      <c r="I345" s="147"/>
      <c r="J345" s="147"/>
      <c r="K345" s="3"/>
      <c r="L345" s="3"/>
      <c r="M345" s="3"/>
      <c r="N345" s="3"/>
      <c r="O345" s="3"/>
      <c r="P345" s="3"/>
      <c r="Q345" s="3"/>
      <c r="R345" s="3"/>
      <c r="S345" s="3"/>
      <c r="T345" s="3"/>
      <c r="U345" s="3"/>
      <c r="V345" s="3"/>
      <c r="W345" s="3"/>
      <c r="X345" s="3"/>
      <c r="Y345" s="3"/>
      <c r="Z345" s="3"/>
    </row>
    <row r="346" spans="1:26" ht="22.5" customHeight="1" x14ac:dyDescent="0.85">
      <c r="A346" s="166"/>
      <c r="B346" s="167"/>
      <c r="C346" s="167"/>
      <c r="D346" s="147"/>
      <c r="E346" s="147"/>
      <c r="F346" s="147"/>
      <c r="G346" s="147"/>
      <c r="H346" s="147"/>
      <c r="I346" s="147"/>
      <c r="J346" s="147"/>
      <c r="K346" s="3"/>
      <c r="L346" s="3"/>
      <c r="M346" s="3"/>
      <c r="N346" s="3"/>
      <c r="O346" s="3"/>
      <c r="P346" s="3"/>
      <c r="Q346" s="3"/>
      <c r="R346" s="3"/>
      <c r="S346" s="3"/>
      <c r="T346" s="3"/>
      <c r="U346" s="3"/>
      <c r="V346" s="3"/>
      <c r="W346" s="3"/>
      <c r="X346" s="3"/>
      <c r="Y346" s="3"/>
      <c r="Z346" s="3"/>
    </row>
    <row r="347" spans="1:26" ht="22.5" customHeight="1" x14ac:dyDescent="0.85">
      <c r="A347" s="166"/>
      <c r="B347" s="167"/>
      <c r="C347" s="167"/>
      <c r="D347" s="147"/>
      <c r="E347" s="147"/>
      <c r="F347" s="147"/>
      <c r="G347" s="147"/>
      <c r="H347" s="147"/>
      <c r="I347" s="147"/>
      <c r="J347" s="147"/>
      <c r="K347" s="3"/>
      <c r="L347" s="3"/>
      <c r="M347" s="3"/>
      <c r="N347" s="3"/>
      <c r="O347" s="3"/>
      <c r="P347" s="3"/>
      <c r="Q347" s="3"/>
      <c r="R347" s="3"/>
      <c r="S347" s="3"/>
      <c r="T347" s="3"/>
      <c r="U347" s="3"/>
      <c r="V347" s="3"/>
      <c r="W347" s="3"/>
      <c r="X347" s="3"/>
      <c r="Y347" s="3"/>
      <c r="Z347" s="3"/>
    </row>
    <row r="348" spans="1:26" ht="22.5" customHeight="1" x14ac:dyDescent="0.85">
      <c r="A348" s="166"/>
      <c r="B348" s="167"/>
      <c r="C348" s="167"/>
      <c r="D348" s="147"/>
      <c r="E348" s="147"/>
      <c r="F348" s="147"/>
      <c r="G348" s="147"/>
      <c r="H348" s="147"/>
      <c r="I348" s="147"/>
      <c r="J348" s="147"/>
      <c r="K348" s="3"/>
      <c r="L348" s="3"/>
      <c r="M348" s="3"/>
      <c r="N348" s="3"/>
      <c r="O348" s="3"/>
      <c r="P348" s="3"/>
      <c r="Q348" s="3"/>
      <c r="R348" s="3"/>
      <c r="S348" s="3"/>
      <c r="T348" s="3"/>
      <c r="U348" s="3"/>
      <c r="V348" s="3"/>
      <c r="W348" s="3"/>
      <c r="X348" s="3"/>
      <c r="Y348" s="3"/>
      <c r="Z348" s="3"/>
    </row>
    <row r="349" spans="1:26" ht="22.5" customHeight="1" x14ac:dyDescent="0.85">
      <c r="A349" s="166"/>
      <c r="B349" s="167"/>
      <c r="C349" s="167"/>
      <c r="D349" s="147"/>
      <c r="E349" s="147"/>
      <c r="F349" s="147"/>
      <c r="G349" s="147"/>
      <c r="H349" s="147"/>
      <c r="I349" s="147"/>
      <c r="J349" s="147"/>
      <c r="K349" s="3"/>
      <c r="L349" s="3"/>
      <c r="M349" s="3"/>
      <c r="N349" s="3"/>
      <c r="O349" s="3"/>
      <c r="P349" s="3"/>
      <c r="Q349" s="3"/>
      <c r="R349" s="3"/>
      <c r="S349" s="3"/>
      <c r="T349" s="3"/>
      <c r="U349" s="3"/>
      <c r="V349" s="3"/>
      <c r="W349" s="3"/>
      <c r="X349" s="3"/>
      <c r="Y349" s="3"/>
      <c r="Z349" s="3"/>
    </row>
    <row r="350" spans="1:26" ht="22.5" customHeight="1" x14ac:dyDescent="0.85">
      <c r="A350" s="166"/>
      <c r="B350" s="167"/>
      <c r="C350" s="167"/>
      <c r="D350" s="147"/>
      <c r="E350" s="147"/>
      <c r="F350" s="147"/>
      <c r="G350" s="147"/>
      <c r="H350" s="147"/>
      <c r="I350" s="147"/>
      <c r="J350" s="147"/>
      <c r="K350" s="3"/>
      <c r="L350" s="3"/>
      <c r="M350" s="3"/>
      <c r="N350" s="3"/>
      <c r="O350" s="3"/>
      <c r="P350" s="3"/>
      <c r="Q350" s="3"/>
      <c r="R350" s="3"/>
      <c r="S350" s="3"/>
      <c r="T350" s="3"/>
      <c r="U350" s="3"/>
      <c r="V350" s="3"/>
      <c r="W350" s="3"/>
      <c r="X350" s="3"/>
      <c r="Y350" s="3"/>
      <c r="Z350" s="3"/>
    </row>
    <row r="351" spans="1:26" ht="22.5" customHeight="1" x14ac:dyDescent="0.85">
      <c r="A351" s="166"/>
      <c r="B351" s="167"/>
      <c r="C351" s="167"/>
      <c r="D351" s="147"/>
      <c r="E351" s="147"/>
      <c r="F351" s="147"/>
      <c r="G351" s="147"/>
      <c r="H351" s="147"/>
      <c r="I351" s="147"/>
      <c r="J351" s="147"/>
      <c r="K351" s="3"/>
      <c r="L351" s="3"/>
      <c r="M351" s="3"/>
      <c r="N351" s="3"/>
      <c r="O351" s="3"/>
      <c r="P351" s="3"/>
      <c r="Q351" s="3"/>
      <c r="R351" s="3"/>
      <c r="S351" s="3"/>
      <c r="T351" s="3"/>
      <c r="U351" s="3"/>
      <c r="V351" s="3"/>
      <c r="W351" s="3"/>
      <c r="X351" s="3"/>
      <c r="Y351" s="3"/>
      <c r="Z351" s="3"/>
    </row>
    <row r="352" spans="1:26" ht="22.5" customHeight="1" x14ac:dyDescent="0.85">
      <c r="A352" s="166"/>
      <c r="B352" s="167"/>
      <c r="C352" s="167"/>
      <c r="D352" s="147"/>
      <c r="E352" s="147"/>
      <c r="F352" s="147"/>
      <c r="G352" s="147"/>
      <c r="H352" s="147"/>
      <c r="I352" s="147"/>
      <c r="J352" s="147"/>
      <c r="K352" s="3"/>
      <c r="L352" s="3"/>
      <c r="M352" s="3"/>
      <c r="N352" s="3"/>
      <c r="O352" s="3"/>
      <c r="P352" s="3"/>
      <c r="Q352" s="3"/>
      <c r="R352" s="3"/>
      <c r="S352" s="3"/>
      <c r="T352" s="3"/>
      <c r="U352" s="3"/>
      <c r="V352" s="3"/>
      <c r="W352" s="3"/>
      <c r="X352" s="3"/>
      <c r="Y352" s="3"/>
      <c r="Z352" s="3"/>
    </row>
    <row r="353" spans="1:26" ht="22.5" customHeight="1" x14ac:dyDescent="0.85">
      <c r="A353" s="166"/>
      <c r="B353" s="167"/>
      <c r="C353" s="167"/>
      <c r="D353" s="147"/>
      <c r="E353" s="147"/>
      <c r="F353" s="147"/>
      <c r="G353" s="147"/>
      <c r="H353" s="147"/>
      <c r="I353" s="147"/>
      <c r="J353" s="147"/>
      <c r="K353" s="3"/>
      <c r="L353" s="3"/>
      <c r="M353" s="3"/>
      <c r="N353" s="3"/>
      <c r="O353" s="3"/>
      <c r="P353" s="3"/>
      <c r="Q353" s="3"/>
      <c r="R353" s="3"/>
      <c r="S353" s="3"/>
      <c r="T353" s="3"/>
      <c r="U353" s="3"/>
      <c r="V353" s="3"/>
      <c r="W353" s="3"/>
      <c r="X353" s="3"/>
      <c r="Y353" s="3"/>
      <c r="Z353" s="3"/>
    </row>
    <row r="354" spans="1:26" ht="22.5" customHeight="1" x14ac:dyDescent="0.85">
      <c r="A354" s="166"/>
      <c r="B354" s="167"/>
      <c r="C354" s="167"/>
      <c r="D354" s="147"/>
      <c r="E354" s="147"/>
      <c r="F354" s="147"/>
      <c r="G354" s="147"/>
      <c r="H354" s="147"/>
      <c r="I354" s="147"/>
      <c r="J354" s="147"/>
      <c r="K354" s="3"/>
      <c r="L354" s="3"/>
      <c r="M354" s="3"/>
      <c r="N354" s="3"/>
      <c r="O354" s="3"/>
      <c r="P354" s="3"/>
      <c r="Q354" s="3"/>
      <c r="R354" s="3"/>
      <c r="S354" s="3"/>
      <c r="T354" s="3"/>
      <c r="U354" s="3"/>
      <c r="V354" s="3"/>
      <c r="W354" s="3"/>
      <c r="X354" s="3"/>
      <c r="Y354" s="3"/>
      <c r="Z354" s="3"/>
    </row>
    <row r="355" spans="1:26" ht="22.5" customHeight="1" x14ac:dyDescent="0.85">
      <c r="A355" s="166"/>
      <c r="B355" s="167"/>
      <c r="C355" s="167"/>
      <c r="D355" s="147"/>
      <c r="E355" s="147"/>
      <c r="F355" s="147"/>
      <c r="G355" s="147"/>
      <c r="H355" s="147"/>
      <c r="I355" s="147"/>
      <c r="J355" s="147"/>
      <c r="K355" s="3"/>
      <c r="L355" s="3"/>
      <c r="M355" s="3"/>
      <c r="N355" s="3"/>
      <c r="O355" s="3"/>
      <c r="P355" s="3"/>
      <c r="Q355" s="3"/>
      <c r="R355" s="3"/>
      <c r="S355" s="3"/>
      <c r="T355" s="3"/>
      <c r="U355" s="3"/>
      <c r="V355" s="3"/>
      <c r="W355" s="3"/>
      <c r="X355" s="3"/>
      <c r="Y355" s="3"/>
      <c r="Z355" s="3"/>
    </row>
    <row r="356" spans="1:26" ht="22.5" customHeight="1" x14ac:dyDescent="0.85">
      <c r="A356" s="166"/>
      <c r="B356" s="167"/>
      <c r="C356" s="167"/>
      <c r="D356" s="147"/>
      <c r="E356" s="147"/>
      <c r="F356" s="147"/>
      <c r="G356" s="147"/>
      <c r="H356" s="147"/>
      <c r="I356" s="147"/>
      <c r="J356" s="147"/>
      <c r="K356" s="3"/>
      <c r="L356" s="3"/>
      <c r="M356" s="3"/>
      <c r="N356" s="3"/>
      <c r="O356" s="3"/>
      <c r="P356" s="3"/>
      <c r="Q356" s="3"/>
      <c r="R356" s="3"/>
      <c r="S356" s="3"/>
      <c r="T356" s="3"/>
      <c r="U356" s="3"/>
      <c r="V356" s="3"/>
      <c r="W356" s="3"/>
      <c r="X356" s="3"/>
      <c r="Y356" s="3"/>
      <c r="Z356" s="3"/>
    </row>
    <row r="357" spans="1:26" ht="22.5" customHeight="1" x14ac:dyDescent="0.85">
      <c r="A357" s="166"/>
      <c r="B357" s="167"/>
      <c r="C357" s="167"/>
      <c r="D357" s="147"/>
      <c r="E357" s="147"/>
      <c r="F357" s="147"/>
      <c r="G357" s="147"/>
      <c r="H357" s="147"/>
      <c r="I357" s="147"/>
      <c r="J357" s="147"/>
      <c r="K357" s="3"/>
      <c r="L357" s="3"/>
      <c r="M357" s="3"/>
      <c r="N357" s="3"/>
      <c r="O357" s="3"/>
      <c r="P357" s="3"/>
      <c r="Q357" s="3"/>
      <c r="R357" s="3"/>
      <c r="S357" s="3"/>
      <c r="T357" s="3"/>
      <c r="U357" s="3"/>
      <c r="V357" s="3"/>
      <c r="W357" s="3"/>
      <c r="X357" s="3"/>
      <c r="Y357" s="3"/>
      <c r="Z357" s="3"/>
    </row>
    <row r="358" spans="1:26" ht="22.5" customHeight="1" x14ac:dyDescent="0.85">
      <c r="A358" s="166"/>
      <c r="B358" s="167"/>
      <c r="C358" s="167"/>
      <c r="D358" s="147"/>
      <c r="E358" s="147"/>
      <c r="F358" s="147"/>
      <c r="G358" s="147"/>
      <c r="H358" s="147"/>
      <c r="I358" s="147"/>
      <c r="J358" s="147"/>
      <c r="K358" s="3"/>
      <c r="L358" s="3"/>
      <c r="M358" s="3"/>
      <c r="N358" s="3"/>
      <c r="O358" s="3"/>
      <c r="P358" s="3"/>
      <c r="Q358" s="3"/>
      <c r="R358" s="3"/>
      <c r="S358" s="3"/>
      <c r="T358" s="3"/>
      <c r="U358" s="3"/>
      <c r="V358" s="3"/>
      <c r="W358" s="3"/>
      <c r="X358" s="3"/>
      <c r="Y358" s="3"/>
      <c r="Z358" s="3"/>
    </row>
    <row r="359" spans="1:26" ht="22.5" customHeight="1" x14ac:dyDescent="0.85">
      <c r="A359" s="166"/>
      <c r="B359" s="167"/>
      <c r="C359" s="167"/>
      <c r="D359" s="147"/>
      <c r="E359" s="147"/>
      <c r="F359" s="147"/>
      <c r="G359" s="147"/>
      <c r="H359" s="147"/>
      <c r="I359" s="147"/>
      <c r="J359" s="147"/>
      <c r="K359" s="3"/>
      <c r="L359" s="3"/>
      <c r="M359" s="3"/>
      <c r="N359" s="3"/>
      <c r="O359" s="3"/>
      <c r="P359" s="3"/>
      <c r="Q359" s="3"/>
      <c r="R359" s="3"/>
      <c r="S359" s="3"/>
      <c r="T359" s="3"/>
      <c r="U359" s="3"/>
      <c r="V359" s="3"/>
      <c r="W359" s="3"/>
      <c r="X359" s="3"/>
      <c r="Y359" s="3"/>
      <c r="Z359" s="3"/>
    </row>
    <row r="360" spans="1:26" ht="22.5" customHeight="1" x14ac:dyDescent="0.85">
      <c r="A360" s="166"/>
      <c r="B360" s="167"/>
      <c r="C360" s="167"/>
      <c r="D360" s="147"/>
      <c r="E360" s="147"/>
      <c r="F360" s="147"/>
      <c r="G360" s="147"/>
      <c r="H360" s="147"/>
      <c r="I360" s="147"/>
      <c r="J360" s="147"/>
      <c r="K360" s="3"/>
      <c r="L360" s="3"/>
      <c r="M360" s="3"/>
      <c r="N360" s="3"/>
      <c r="O360" s="3"/>
      <c r="P360" s="3"/>
      <c r="Q360" s="3"/>
      <c r="R360" s="3"/>
      <c r="S360" s="3"/>
      <c r="T360" s="3"/>
      <c r="U360" s="3"/>
      <c r="V360" s="3"/>
      <c r="W360" s="3"/>
      <c r="X360" s="3"/>
      <c r="Y360" s="3"/>
      <c r="Z360" s="3"/>
    </row>
    <row r="361" spans="1:26" ht="22.5" customHeight="1" x14ac:dyDescent="0.85">
      <c r="A361" s="166"/>
      <c r="B361" s="167"/>
      <c r="C361" s="167"/>
      <c r="D361" s="147"/>
      <c r="E361" s="147"/>
      <c r="F361" s="147"/>
      <c r="G361" s="147"/>
      <c r="H361" s="147"/>
      <c r="I361" s="147"/>
      <c r="J361" s="147"/>
      <c r="K361" s="3"/>
      <c r="L361" s="3"/>
      <c r="M361" s="3"/>
      <c r="N361" s="3"/>
      <c r="O361" s="3"/>
      <c r="P361" s="3"/>
      <c r="Q361" s="3"/>
      <c r="R361" s="3"/>
      <c r="S361" s="3"/>
      <c r="T361" s="3"/>
      <c r="U361" s="3"/>
      <c r="V361" s="3"/>
      <c r="W361" s="3"/>
      <c r="X361" s="3"/>
      <c r="Y361" s="3"/>
      <c r="Z361" s="3"/>
    </row>
    <row r="362" spans="1:26" ht="22.5" customHeight="1" x14ac:dyDescent="0.85">
      <c r="A362" s="166"/>
      <c r="B362" s="167"/>
      <c r="C362" s="167"/>
      <c r="D362" s="147"/>
      <c r="E362" s="147"/>
      <c r="F362" s="147"/>
      <c r="G362" s="147"/>
      <c r="H362" s="147"/>
      <c r="I362" s="147"/>
      <c r="J362" s="147"/>
      <c r="K362" s="3"/>
      <c r="L362" s="3"/>
      <c r="M362" s="3"/>
      <c r="N362" s="3"/>
      <c r="O362" s="3"/>
      <c r="P362" s="3"/>
      <c r="Q362" s="3"/>
      <c r="R362" s="3"/>
      <c r="S362" s="3"/>
      <c r="T362" s="3"/>
      <c r="U362" s="3"/>
      <c r="V362" s="3"/>
      <c r="W362" s="3"/>
      <c r="X362" s="3"/>
      <c r="Y362" s="3"/>
      <c r="Z362" s="3"/>
    </row>
    <row r="363" spans="1:26" ht="22.5" customHeight="1" x14ac:dyDescent="0.85">
      <c r="A363" s="166"/>
      <c r="B363" s="167"/>
      <c r="C363" s="167"/>
      <c r="D363" s="147"/>
      <c r="E363" s="147"/>
      <c r="F363" s="147"/>
      <c r="G363" s="147"/>
      <c r="H363" s="147"/>
      <c r="I363" s="147"/>
      <c r="J363" s="147"/>
      <c r="K363" s="3"/>
      <c r="L363" s="3"/>
      <c r="M363" s="3"/>
      <c r="N363" s="3"/>
      <c r="O363" s="3"/>
      <c r="P363" s="3"/>
      <c r="Q363" s="3"/>
      <c r="R363" s="3"/>
      <c r="S363" s="3"/>
      <c r="T363" s="3"/>
      <c r="U363" s="3"/>
      <c r="V363" s="3"/>
      <c r="W363" s="3"/>
      <c r="X363" s="3"/>
      <c r="Y363" s="3"/>
      <c r="Z363" s="3"/>
    </row>
    <row r="364" spans="1:26" ht="22.5" customHeight="1" x14ac:dyDescent="0.85">
      <c r="A364" s="166"/>
      <c r="B364" s="167"/>
      <c r="C364" s="167"/>
      <c r="D364" s="147"/>
      <c r="E364" s="147"/>
      <c r="F364" s="147"/>
      <c r="G364" s="147"/>
      <c r="H364" s="147"/>
      <c r="I364" s="147"/>
      <c r="J364" s="147"/>
      <c r="K364" s="3"/>
      <c r="L364" s="3"/>
      <c r="M364" s="3"/>
      <c r="N364" s="3"/>
      <c r="O364" s="3"/>
      <c r="P364" s="3"/>
      <c r="Q364" s="3"/>
      <c r="R364" s="3"/>
      <c r="S364" s="3"/>
      <c r="T364" s="3"/>
      <c r="U364" s="3"/>
      <c r="V364" s="3"/>
      <c r="W364" s="3"/>
      <c r="X364" s="3"/>
      <c r="Y364" s="3"/>
      <c r="Z364" s="3"/>
    </row>
    <row r="365" spans="1:26" ht="22.5" customHeight="1" x14ac:dyDescent="0.85">
      <c r="A365" s="166"/>
      <c r="B365" s="167"/>
      <c r="C365" s="167"/>
      <c r="D365" s="147"/>
      <c r="E365" s="147"/>
      <c r="F365" s="147"/>
      <c r="G365" s="147"/>
      <c r="H365" s="147"/>
      <c r="I365" s="147"/>
      <c r="J365" s="147"/>
      <c r="K365" s="3"/>
      <c r="L365" s="3"/>
      <c r="M365" s="3"/>
      <c r="N365" s="3"/>
      <c r="O365" s="3"/>
      <c r="P365" s="3"/>
      <c r="Q365" s="3"/>
      <c r="R365" s="3"/>
      <c r="S365" s="3"/>
      <c r="T365" s="3"/>
      <c r="U365" s="3"/>
      <c r="V365" s="3"/>
      <c r="W365" s="3"/>
      <c r="X365" s="3"/>
      <c r="Y365" s="3"/>
      <c r="Z365" s="3"/>
    </row>
    <row r="366" spans="1:26" ht="22.5" customHeight="1" x14ac:dyDescent="0.85">
      <c r="A366" s="166"/>
      <c r="B366" s="167"/>
      <c r="C366" s="167"/>
      <c r="D366" s="147"/>
      <c r="E366" s="147"/>
      <c r="F366" s="147"/>
      <c r="G366" s="147"/>
      <c r="H366" s="147"/>
      <c r="I366" s="147"/>
      <c r="J366" s="147"/>
      <c r="K366" s="3"/>
      <c r="L366" s="3"/>
      <c r="M366" s="3"/>
      <c r="N366" s="3"/>
      <c r="O366" s="3"/>
      <c r="P366" s="3"/>
      <c r="Q366" s="3"/>
      <c r="R366" s="3"/>
      <c r="S366" s="3"/>
      <c r="T366" s="3"/>
      <c r="U366" s="3"/>
      <c r="V366" s="3"/>
      <c r="W366" s="3"/>
      <c r="X366" s="3"/>
      <c r="Y366" s="3"/>
      <c r="Z366" s="3"/>
    </row>
    <row r="367" spans="1:26" ht="22.5" customHeight="1" x14ac:dyDescent="0.85">
      <c r="A367" s="166"/>
      <c r="B367" s="167"/>
      <c r="C367" s="167"/>
      <c r="D367" s="147"/>
      <c r="E367" s="147"/>
      <c r="F367" s="147"/>
      <c r="G367" s="147"/>
      <c r="H367" s="147"/>
      <c r="I367" s="147"/>
      <c r="J367" s="147"/>
      <c r="K367" s="3"/>
      <c r="L367" s="3"/>
      <c r="M367" s="3"/>
      <c r="N367" s="3"/>
      <c r="O367" s="3"/>
      <c r="P367" s="3"/>
      <c r="Q367" s="3"/>
      <c r="R367" s="3"/>
      <c r="S367" s="3"/>
      <c r="T367" s="3"/>
      <c r="U367" s="3"/>
      <c r="V367" s="3"/>
      <c r="W367" s="3"/>
      <c r="X367" s="3"/>
      <c r="Y367" s="3"/>
      <c r="Z367" s="3"/>
    </row>
    <row r="368" spans="1:26" ht="22.5" customHeight="1" x14ac:dyDescent="0.85">
      <c r="A368" s="166"/>
      <c r="B368" s="167"/>
      <c r="C368" s="167"/>
      <c r="D368" s="147"/>
      <c r="E368" s="147"/>
      <c r="F368" s="147"/>
      <c r="G368" s="147"/>
      <c r="H368" s="147"/>
      <c r="I368" s="147"/>
      <c r="J368" s="147"/>
      <c r="K368" s="3"/>
      <c r="L368" s="3"/>
      <c r="M368" s="3"/>
      <c r="N368" s="3"/>
      <c r="O368" s="3"/>
      <c r="P368" s="3"/>
      <c r="Q368" s="3"/>
      <c r="R368" s="3"/>
      <c r="S368" s="3"/>
      <c r="T368" s="3"/>
      <c r="U368" s="3"/>
      <c r="V368" s="3"/>
      <c r="W368" s="3"/>
      <c r="X368" s="3"/>
      <c r="Y368" s="3"/>
      <c r="Z368" s="3"/>
    </row>
    <row r="369" spans="1:26" ht="22.5" customHeight="1" x14ac:dyDescent="0.85">
      <c r="A369" s="166"/>
      <c r="B369" s="167"/>
      <c r="C369" s="167"/>
      <c r="D369" s="147"/>
      <c r="E369" s="147"/>
      <c r="F369" s="147"/>
      <c r="G369" s="147"/>
      <c r="H369" s="147"/>
      <c r="I369" s="147"/>
      <c r="J369" s="147"/>
      <c r="K369" s="3"/>
      <c r="L369" s="3"/>
      <c r="M369" s="3"/>
      <c r="N369" s="3"/>
      <c r="O369" s="3"/>
      <c r="P369" s="3"/>
      <c r="Q369" s="3"/>
      <c r="R369" s="3"/>
      <c r="S369" s="3"/>
      <c r="T369" s="3"/>
      <c r="U369" s="3"/>
      <c r="V369" s="3"/>
      <c r="W369" s="3"/>
      <c r="X369" s="3"/>
      <c r="Y369" s="3"/>
      <c r="Z369" s="3"/>
    </row>
    <row r="370" spans="1:26" ht="22.5" customHeight="1" x14ac:dyDescent="0.85">
      <c r="A370" s="166"/>
      <c r="B370" s="167"/>
      <c r="C370" s="167"/>
      <c r="D370" s="147"/>
      <c r="E370" s="147"/>
      <c r="F370" s="147"/>
      <c r="G370" s="147"/>
      <c r="H370" s="147"/>
      <c r="I370" s="147"/>
      <c r="J370" s="147"/>
      <c r="K370" s="3"/>
      <c r="L370" s="3"/>
      <c r="M370" s="3"/>
      <c r="N370" s="3"/>
      <c r="O370" s="3"/>
      <c r="P370" s="3"/>
      <c r="Q370" s="3"/>
      <c r="R370" s="3"/>
      <c r="S370" s="3"/>
      <c r="T370" s="3"/>
      <c r="U370" s="3"/>
      <c r="V370" s="3"/>
      <c r="W370" s="3"/>
      <c r="X370" s="3"/>
      <c r="Y370" s="3"/>
      <c r="Z370" s="3"/>
    </row>
    <row r="371" spans="1:26" ht="22.5" customHeight="1" x14ac:dyDescent="0.85">
      <c r="A371" s="166"/>
      <c r="B371" s="167"/>
      <c r="C371" s="167"/>
      <c r="D371" s="147"/>
      <c r="E371" s="147"/>
      <c r="F371" s="147"/>
      <c r="G371" s="147"/>
      <c r="H371" s="147"/>
      <c r="I371" s="147"/>
      <c r="J371" s="147"/>
      <c r="K371" s="3"/>
      <c r="L371" s="3"/>
      <c r="M371" s="3"/>
      <c r="N371" s="3"/>
      <c r="O371" s="3"/>
      <c r="P371" s="3"/>
      <c r="Q371" s="3"/>
      <c r="R371" s="3"/>
      <c r="S371" s="3"/>
      <c r="T371" s="3"/>
      <c r="U371" s="3"/>
      <c r="V371" s="3"/>
      <c r="W371" s="3"/>
      <c r="X371" s="3"/>
      <c r="Y371" s="3"/>
      <c r="Z371" s="3"/>
    </row>
    <row r="372" spans="1:26" ht="22.5" customHeight="1" x14ac:dyDescent="0.85">
      <c r="A372" s="166"/>
      <c r="B372" s="167"/>
      <c r="C372" s="167"/>
      <c r="D372" s="147"/>
      <c r="E372" s="147"/>
      <c r="F372" s="147"/>
      <c r="G372" s="147"/>
      <c r="H372" s="147"/>
      <c r="I372" s="147"/>
      <c r="J372" s="147"/>
      <c r="K372" s="3"/>
      <c r="L372" s="3"/>
      <c r="M372" s="3"/>
      <c r="N372" s="3"/>
      <c r="O372" s="3"/>
      <c r="P372" s="3"/>
      <c r="Q372" s="3"/>
      <c r="R372" s="3"/>
      <c r="S372" s="3"/>
      <c r="T372" s="3"/>
      <c r="U372" s="3"/>
      <c r="V372" s="3"/>
      <c r="W372" s="3"/>
      <c r="X372" s="3"/>
      <c r="Y372" s="3"/>
      <c r="Z372" s="3"/>
    </row>
    <row r="373" spans="1:26" ht="22.5" customHeight="1" x14ac:dyDescent="0.85">
      <c r="A373" s="166"/>
      <c r="B373" s="167"/>
      <c r="C373" s="167"/>
      <c r="D373" s="147"/>
      <c r="E373" s="147"/>
      <c r="F373" s="147"/>
      <c r="G373" s="147"/>
      <c r="H373" s="147"/>
      <c r="I373" s="147"/>
      <c r="J373" s="147"/>
      <c r="K373" s="3"/>
      <c r="L373" s="3"/>
      <c r="M373" s="3"/>
      <c r="N373" s="3"/>
      <c r="O373" s="3"/>
      <c r="P373" s="3"/>
      <c r="Q373" s="3"/>
      <c r="R373" s="3"/>
      <c r="S373" s="3"/>
      <c r="T373" s="3"/>
      <c r="U373" s="3"/>
      <c r="V373" s="3"/>
      <c r="W373" s="3"/>
      <c r="X373" s="3"/>
      <c r="Y373" s="3"/>
      <c r="Z373" s="3"/>
    </row>
    <row r="374" spans="1:26" ht="22.5" customHeight="1" x14ac:dyDescent="0.85">
      <c r="A374" s="166"/>
      <c r="B374" s="167"/>
      <c r="C374" s="167"/>
      <c r="D374" s="147"/>
      <c r="E374" s="147"/>
      <c r="F374" s="147"/>
      <c r="G374" s="147"/>
      <c r="H374" s="147"/>
      <c r="I374" s="147"/>
      <c r="J374" s="147"/>
      <c r="K374" s="3"/>
      <c r="L374" s="3"/>
      <c r="M374" s="3"/>
      <c r="N374" s="3"/>
      <c r="O374" s="3"/>
      <c r="P374" s="3"/>
      <c r="Q374" s="3"/>
      <c r="R374" s="3"/>
      <c r="S374" s="3"/>
      <c r="T374" s="3"/>
      <c r="U374" s="3"/>
      <c r="V374" s="3"/>
      <c r="W374" s="3"/>
      <c r="X374" s="3"/>
      <c r="Y374" s="3"/>
      <c r="Z374" s="3"/>
    </row>
    <row r="375" spans="1:26" ht="22.5" customHeight="1" x14ac:dyDescent="0.85">
      <c r="A375" s="166"/>
      <c r="B375" s="167"/>
      <c r="C375" s="167"/>
      <c r="D375" s="147"/>
      <c r="E375" s="147"/>
      <c r="F375" s="147"/>
      <c r="G375" s="147"/>
      <c r="H375" s="147"/>
      <c r="I375" s="147"/>
      <c r="J375" s="147"/>
      <c r="K375" s="3"/>
      <c r="L375" s="3"/>
      <c r="M375" s="3"/>
      <c r="N375" s="3"/>
      <c r="O375" s="3"/>
      <c r="P375" s="3"/>
      <c r="Q375" s="3"/>
      <c r="R375" s="3"/>
      <c r="S375" s="3"/>
      <c r="T375" s="3"/>
      <c r="U375" s="3"/>
      <c r="V375" s="3"/>
      <c r="W375" s="3"/>
      <c r="X375" s="3"/>
      <c r="Y375" s="3"/>
      <c r="Z375" s="3"/>
    </row>
    <row r="376" spans="1:26" ht="22.5" customHeight="1" x14ac:dyDescent="0.85">
      <c r="A376" s="166"/>
      <c r="B376" s="167"/>
      <c r="C376" s="167"/>
      <c r="D376" s="147"/>
      <c r="E376" s="147"/>
      <c r="F376" s="147"/>
      <c r="G376" s="147"/>
      <c r="H376" s="147"/>
      <c r="I376" s="147"/>
      <c r="J376" s="147"/>
      <c r="K376" s="3"/>
      <c r="L376" s="3"/>
      <c r="M376" s="3"/>
      <c r="N376" s="3"/>
      <c r="O376" s="3"/>
      <c r="P376" s="3"/>
      <c r="Q376" s="3"/>
      <c r="R376" s="3"/>
      <c r="S376" s="3"/>
      <c r="T376" s="3"/>
      <c r="U376" s="3"/>
      <c r="V376" s="3"/>
      <c r="W376" s="3"/>
      <c r="X376" s="3"/>
      <c r="Y376" s="3"/>
      <c r="Z376" s="3"/>
    </row>
    <row r="377" spans="1:26" ht="22.5" customHeight="1" x14ac:dyDescent="0.85">
      <c r="A377" s="166"/>
      <c r="B377" s="167"/>
      <c r="C377" s="167"/>
      <c r="D377" s="147"/>
      <c r="E377" s="147"/>
      <c r="F377" s="147"/>
      <c r="G377" s="147"/>
      <c r="H377" s="147"/>
      <c r="I377" s="147"/>
      <c r="J377" s="147"/>
      <c r="K377" s="3"/>
      <c r="L377" s="3"/>
      <c r="M377" s="3"/>
      <c r="N377" s="3"/>
      <c r="O377" s="3"/>
      <c r="P377" s="3"/>
      <c r="Q377" s="3"/>
      <c r="R377" s="3"/>
      <c r="S377" s="3"/>
      <c r="T377" s="3"/>
      <c r="U377" s="3"/>
      <c r="V377" s="3"/>
      <c r="W377" s="3"/>
      <c r="X377" s="3"/>
      <c r="Y377" s="3"/>
      <c r="Z377" s="3"/>
    </row>
    <row r="378" spans="1:26" ht="22.5" customHeight="1" x14ac:dyDescent="0.85">
      <c r="A378" s="166"/>
      <c r="B378" s="167"/>
      <c r="C378" s="167"/>
      <c r="D378" s="147"/>
      <c r="E378" s="147"/>
      <c r="F378" s="147"/>
      <c r="G378" s="147"/>
      <c r="H378" s="147"/>
      <c r="I378" s="147"/>
      <c r="J378" s="147"/>
      <c r="K378" s="3"/>
      <c r="L378" s="3"/>
      <c r="M378" s="3"/>
      <c r="N378" s="3"/>
      <c r="O378" s="3"/>
      <c r="P378" s="3"/>
      <c r="Q378" s="3"/>
      <c r="R378" s="3"/>
      <c r="S378" s="3"/>
      <c r="T378" s="3"/>
      <c r="U378" s="3"/>
      <c r="V378" s="3"/>
      <c r="W378" s="3"/>
      <c r="X378" s="3"/>
      <c r="Y378" s="3"/>
      <c r="Z378" s="3"/>
    </row>
    <row r="379" spans="1:26" ht="22.5" customHeight="1" x14ac:dyDescent="0.85">
      <c r="A379" s="166"/>
      <c r="B379" s="167"/>
      <c r="C379" s="167"/>
      <c r="D379" s="147"/>
      <c r="E379" s="147"/>
      <c r="F379" s="147"/>
      <c r="G379" s="147"/>
      <c r="H379" s="147"/>
      <c r="I379" s="147"/>
      <c r="J379" s="147"/>
      <c r="K379" s="3"/>
      <c r="L379" s="3"/>
      <c r="M379" s="3"/>
      <c r="N379" s="3"/>
      <c r="O379" s="3"/>
      <c r="P379" s="3"/>
      <c r="Q379" s="3"/>
      <c r="R379" s="3"/>
      <c r="S379" s="3"/>
      <c r="T379" s="3"/>
      <c r="U379" s="3"/>
      <c r="V379" s="3"/>
      <c r="W379" s="3"/>
      <c r="X379" s="3"/>
      <c r="Y379" s="3"/>
      <c r="Z379" s="3"/>
    </row>
    <row r="380" spans="1:26" ht="22.5" customHeight="1" x14ac:dyDescent="0.85">
      <c r="A380" s="166"/>
      <c r="B380" s="167"/>
      <c r="C380" s="167"/>
      <c r="D380" s="147"/>
      <c r="E380" s="147"/>
      <c r="F380" s="147"/>
      <c r="G380" s="147"/>
      <c r="H380" s="147"/>
      <c r="I380" s="147"/>
      <c r="J380" s="147"/>
      <c r="K380" s="3"/>
      <c r="L380" s="3"/>
      <c r="M380" s="3"/>
      <c r="N380" s="3"/>
      <c r="O380" s="3"/>
      <c r="P380" s="3"/>
      <c r="Q380" s="3"/>
      <c r="R380" s="3"/>
      <c r="S380" s="3"/>
      <c r="T380" s="3"/>
      <c r="U380" s="3"/>
      <c r="V380" s="3"/>
      <c r="W380" s="3"/>
      <c r="X380" s="3"/>
      <c r="Y380" s="3"/>
      <c r="Z380" s="3"/>
    </row>
    <row r="381" spans="1:26" ht="22.5" customHeight="1" x14ac:dyDescent="0.85">
      <c r="A381" s="166"/>
      <c r="B381" s="167"/>
      <c r="C381" s="167"/>
      <c r="D381" s="147"/>
      <c r="E381" s="147"/>
      <c r="F381" s="147"/>
      <c r="G381" s="147"/>
      <c r="H381" s="147"/>
      <c r="I381" s="147"/>
      <c r="J381" s="147"/>
      <c r="K381" s="3"/>
      <c r="L381" s="3"/>
      <c r="M381" s="3"/>
      <c r="N381" s="3"/>
      <c r="O381" s="3"/>
      <c r="P381" s="3"/>
      <c r="Q381" s="3"/>
      <c r="R381" s="3"/>
      <c r="S381" s="3"/>
      <c r="T381" s="3"/>
      <c r="U381" s="3"/>
      <c r="V381" s="3"/>
      <c r="W381" s="3"/>
      <c r="X381" s="3"/>
      <c r="Y381" s="3"/>
      <c r="Z381" s="3"/>
    </row>
    <row r="382" spans="1:26" ht="22.5" customHeight="1" x14ac:dyDescent="0.85">
      <c r="A382" s="166"/>
      <c r="B382" s="167"/>
      <c r="C382" s="167"/>
      <c r="D382" s="147"/>
      <c r="E382" s="147"/>
      <c r="F382" s="147"/>
      <c r="G382" s="147"/>
      <c r="H382" s="147"/>
      <c r="I382" s="147"/>
      <c r="J382" s="147"/>
      <c r="K382" s="3"/>
      <c r="L382" s="3"/>
      <c r="M382" s="3"/>
      <c r="N382" s="3"/>
      <c r="O382" s="3"/>
      <c r="P382" s="3"/>
      <c r="Q382" s="3"/>
      <c r="R382" s="3"/>
      <c r="S382" s="3"/>
      <c r="T382" s="3"/>
      <c r="U382" s="3"/>
      <c r="V382" s="3"/>
      <c r="W382" s="3"/>
      <c r="X382" s="3"/>
      <c r="Y382" s="3"/>
      <c r="Z382" s="3"/>
    </row>
    <row r="383" spans="1:26" ht="22.5" customHeight="1" x14ac:dyDescent="0.85">
      <c r="A383" s="166"/>
      <c r="B383" s="167"/>
      <c r="C383" s="167"/>
      <c r="D383" s="147"/>
      <c r="E383" s="147"/>
      <c r="F383" s="147"/>
      <c r="G383" s="147"/>
      <c r="H383" s="147"/>
      <c r="I383" s="147"/>
      <c r="J383" s="147"/>
      <c r="K383" s="3"/>
      <c r="L383" s="3"/>
      <c r="M383" s="3"/>
      <c r="N383" s="3"/>
      <c r="O383" s="3"/>
      <c r="P383" s="3"/>
      <c r="Q383" s="3"/>
      <c r="R383" s="3"/>
      <c r="S383" s="3"/>
      <c r="T383" s="3"/>
      <c r="U383" s="3"/>
      <c r="V383" s="3"/>
      <c r="W383" s="3"/>
      <c r="X383" s="3"/>
      <c r="Y383" s="3"/>
      <c r="Z383" s="3"/>
    </row>
    <row r="384" spans="1:26" ht="22.5" customHeight="1" x14ac:dyDescent="0.85">
      <c r="A384" s="166"/>
      <c r="B384" s="167"/>
      <c r="C384" s="167"/>
      <c r="D384" s="147"/>
      <c r="E384" s="147"/>
      <c r="F384" s="147"/>
      <c r="G384" s="147"/>
      <c r="H384" s="147"/>
      <c r="I384" s="147"/>
      <c r="J384" s="147"/>
      <c r="K384" s="3"/>
      <c r="L384" s="3"/>
      <c r="M384" s="3"/>
      <c r="N384" s="3"/>
      <c r="O384" s="3"/>
      <c r="P384" s="3"/>
      <c r="Q384" s="3"/>
      <c r="R384" s="3"/>
      <c r="S384" s="3"/>
      <c r="T384" s="3"/>
      <c r="U384" s="3"/>
      <c r="V384" s="3"/>
      <c r="W384" s="3"/>
      <c r="X384" s="3"/>
      <c r="Y384" s="3"/>
      <c r="Z384" s="3"/>
    </row>
    <row r="385" spans="1:26" ht="22.5" customHeight="1" x14ac:dyDescent="0.85">
      <c r="A385" s="166"/>
      <c r="B385" s="167"/>
      <c r="C385" s="167"/>
      <c r="D385" s="147"/>
      <c r="E385" s="147"/>
      <c r="F385" s="147"/>
      <c r="G385" s="147"/>
      <c r="H385" s="147"/>
      <c r="I385" s="147"/>
      <c r="J385" s="147"/>
      <c r="K385" s="3"/>
      <c r="L385" s="3"/>
      <c r="M385" s="3"/>
      <c r="N385" s="3"/>
      <c r="O385" s="3"/>
      <c r="P385" s="3"/>
      <c r="Q385" s="3"/>
      <c r="R385" s="3"/>
      <c r="S385" s="3"/>
      <c r="T385" s="3"/>
      <c r="U385" s="3"/>
      <c r="V385" s="3"/>
      <c r="W385" s="3"/>
      <c r="X385" s="3"/>
      <c r="Y385" s="3"/>
      <c r="Z385" s="3"/>
    </row>
    <row r="386" spans="1:26" ht="22.5" customHeight="1" x14ac:dyDescent="0.85">
      <c r="A386" s="166"/>
      <c r="B386" s="167"/>
      <c r="C386" s="167"/>
      <c r="D386" s="147"/>
      <c r="E386" s="147"/>
      <c r="F386" s="147"/>
      <c r="G386" s="147"/>
      <c r="H386" s="147"/>
      <c r="I386" s="147"/>
      <c r="J386" s="147"/>
      <c r="K386" s="3"/>
      <c r="L386" s="3"/>
      <c r="M386" s="3"/>
      <c r="N386" s="3"/>
      <c r="O386" s="3"/>
      <c r="P386" s="3"/>
      <c r="Q386" s="3"/>
      <c r="R386" s="3"/>
      <c r="S386" s="3"/>
      <c r="T386" s="3"/>
      <c r="U386" s="3"/>
      <c r="V386" s="3"/>
      <c r="W386" s="3"/>
      <c r="X386" s="3"/>
      <c r="Y386" s="3"/>
      <c r="Z386" s="3"/>
    </row>
    <row r="387" spans="1:26" ht="22.5" customHeight="1" x14ac:dyDescent="0.85">
      <c r="A387" s="166"/>
      <c r="B387" s="167"/>
      <c r="C387" s="167"/>
      <c r="D387" s="147"/>
      <c r="E387" s="147"/>
      <c r="F387" s="147"/>
      <c r="G387" s="147"/>
      <c r="H387" s="147"/>
      <c r="I387" s="147"/>
      <c r="J387" s="147"/>
      <c r="K387" s="3"/>
      <c r="L387" s="3"/>
      <c r="M387" s="3"/>
      <c r="N387" s="3"/>
      <c r="O387" s="3"/>
      <c r="P387" s="3"/>
      <c r="Q387" s="3"/>
      <c r="R387" s="3"/>
      <c r="S387" s="3"/>
      <c r="T387" s="3"/>
      <c r="U387" s="3"/>
      <c r="V387" s="3"/>
      <c r="W387" s="3"/>
      <c r="X387" s="3"/>
      <c r="Y387" s="3"/>
      <c r="Z387" s="3"/>
    </row>
    <row r="388" spans="1:26" ht="22.5" customHeight="1" x14ac:dyDescent="0.85">
      <c r="A388" s="166"/>
      <c r="B388" s="167"/>
      <c r="C388" s="167"/>
      <c r="D388" s="147"/>
      <c r="E388" s="147"/>
      <c r="F388" s="147"/>
      <c r="G388" s="147"/>
      <c r="H388" s="147"/>
      <c r="I388" s="147"/>
      <c r="J388" s="147"/>
      <c r="K388" s="3"/>
      <c r="L388" s="3"/>
      <c r="M388" s="3"/>
      <c r="N388" s="3"/>
      <c r="O388" s="3"/>
      <c r="P388" s="3"/>
      <c r="Q388" s="3"/>
      <c r="R388" s="3"/>
      <c r="S388" s="3"/>
      <c r="T388" s="3"/>
      <c r="U388" s="3"/>
      <c r="V388" s="3"/>
      <c r="W388" s="3"/>
      <c r="X388" s="3"/>
      <c r="Y388" s="3"/>
      <c r="Z388" s="3"/>
    </row>
    <row r="389" spans="1:26" ht="22.5" customHeight="1" x14ac:dyDescent="0.85">
      <c r="A389" s="166"/>
      <c r="B389" s="167"/>
      <c r="C389" s="167"/>
      <c r="D389" s="147"/>
      <c r="E389" s="147"/>
      <c r="F389" s="147"/>
      <c r="G389" s="147"/>
      <c r="H389" s="147"/>
      <c r="I389" s="147"/>
      <c r="J389" s="147"/>
      <c r="K389" s="3"/>
      <c r="L389" s="3"/>
      <c r="M389" s="3"/>
      <c r="N389" s="3"/>
      <c r="O389" s="3"/>
      <c r="P389" s="3"/>
      <c r="Q389" s="3"/>
      <c r="R389" s="3"/>
      <c r="S389" s="3"/>
      <c r="T389" s="3"/>
      <c r="U389" s="3"/>
      <c r="V389" s="3"/>
      <c r="W389" s="3"/>
      <c r="X389" s="3"/>
      <c r="Y389" s="3"/>
      <c r="Z389" s="3"/>
    </row>
    <row r="390" spans="1:26" ht="22.5" customHeight="1" x14ac:dyDescent="0.85">
      <c r="A390" s="166"/>
      <c r="B390" s="167"/>
      <c r="C390" s="167"/>
      <c r="D390" s="147"/>
      <c r="E390" s="147"/>
      <c r="F390" s="147"/>
      <c r="G390" s="147"/>
      <c r="H390" s="147"/>
      <c r="I390" s="147"/>
      <c r="J390" s="147"/>
      <c r="K390" s="3"/>
      <c r="L390" s="3"/>
      <c r="M390" s="3"/>
      <c r="N390" s="3"/>
      <c r="O390" s="3"/>
      <c r="P390" s="3"/>
      <c r="Q390" s="3"/>
      <c r="R390" s="3"/>
      <c r="S390" s="3"/>
      <c r="T390" s="3"/>
      <c r="U390" s="3"/>
      <c r="V390" s="3"/>
      <c r="W390" s="3"/>
      <c r="X390" s="3"/>
      <c r="Y390" s="3"/>
      <c r="Z390" s="3"/>
    </row>
    <row r="391" spans="1:26" ht="22.5" customHeight="1" x14ac:dyDescent="0.85">
      <c r="A391" s="166"/>
      <c r="B391" s="167"/>
      <c r="C391" s="167"/>
      <c r="D391" s="147"/>
      <c r="E391" s="147"/>
      <c r="F391" s="147"/>
      <c r="G391" s="147"/>
      <c r="H391" s="147"/>
      <c r="I391" s="147"/>
      <c r="J391" s="147"/>
      <c r="K391" s="3"/>
      <c r="L391" s="3"/>
      <c r="M391" s="3"/>
      <c r="N391" s="3"/>
      <c r="O391" s="3"/>
      <c r="P391" s="3"/>
      <c r="Q391" s="3"/>
      <c r="R391" s="3"/>
      <c r="S391" s="3"/>
      <c r="T391" s="3"/>
      <c r="U391" s="3"/>
      <c r="V391" s="3"/>
      <c r="W391" s="3"/>
      <c r="X391" s="3"/>
      <c r="Y391" s="3"/>
      <c r="Z391" s="3"/>
    </row>
    <row r="392" spans="1:26" ht="22.5" customHeight="1" x14ac:dyDescent="0.85">
      <c r="A392" s="166"/>
      <c r="B392" s="167"/>
      <c r="C392" s="167"/>
      <c r="D392" s="147"/>
      <c r="E392" s="147"/>
      <c r="F392" s="147"/>
      <c r="G392" s="147"/>
      <c r="H392" s="147"/>
      <c r="I392" s="147"/>
      <c r="J392" s="147"/>
      <c r="K392" s="3"/>
      <c r="L392" s="3"/>
      <c r="M392" s="3"/>
      <c r="N392" s="3"/>
      <c r="O392" s="3"/>
      <c r="P392" s="3"/>
      <c r="Q392" s="3"/>
      <c r="R392" s="3"/>
      <c r="S392" s="3"/>
      <c r="T392" s="3"/>
      <c r="U392" s="3"/>
      <c r="V392" s="3"/>
      <c r="W392" s="3"/>
      <c r="X392" s="3"/>
      <c r="Y392" s="3"/>
      <c r="Z392" s="3"/>
    </row>
    <row r="393" spans="1:26" ht="22.5" customHeight="1" x14ac:dyDescent="0.85">
      <c r="A393" s="166"/>
      <c r="B393" s="167"/>
      <c r="C393" s="167"/>
      <c r="D393" s="147"/>
      <c r="E393" s="147"/>
      <c r="F393" s="147"/>
      <c r="G393" s="147"/>
      <c r="H393" s="147"/>
      <c r="I393" s="147"/>
      <c r="J393" s="147"/>
      <c r="K393" s="3"/>
      <c r="L393" s="3"/>
      <c r="M393" s="3"/>
      <c r="N393" s="3"/>
      <c r="O393" s="3"/>
      <c r="P393" s="3"/>
      <c r="Q393" s="3"/>
      <c r="R393" s="3"/>
      <c r="S393" s="3"/>
      <c r="T393" s="3"/>
      <c r="U393" s="3"/>
      <c r="V393" s="3"/>
      <c r="W393" s="3"/>
      <c r="X393" s="3"/>
      <c r="Y393" s="3"/>
      <c r="Z393" s="3"/>
    </row>
    <row r="394" spans="1:26" ht="22.5" customHeight="1" x14ac:dyDescent="0.85">
      <c r="A394" s="166"/>
      <c r="B394" s="167"/>
      <c r="C394" s="167"/>
      <c r="D394" s="147"/>
      <c r="E394" s="147"/>
      <c r="F394" s="147"/>
      <c r="G394" s="147"/>
      <c r="H394" s="147"/>
      <c r="I394" s="147"/>
      <c r="J394" s="147"/>
      <c r="K394" s="3"/>
      <c r="L394" s="3"/>
      <c r="M394" s="3"/>
      <c r="N394" s="3"/>
      <c r="O394" s="3"/>
      <c r="P394" s="3"/>
      <c r="Q394" s="3"/>
      <c r="R394" s="3"/>
      <c r="S394" s="3"/>
      <c r="T394" s="3"/>
      <c r="U394" s="3"/>
      <c r="V394" s="3"/>
      <c r="W394" s="3"/>
      <c r="X394" s="3"/>
      <c r="Y394" s="3"/>
      <c r="Z394" s="3"/>
    </row>
    <row r="395" spans="1:26" ht="22.5" customHeight="1" x14ac:dyDescent="0.85">
      <c r="A395" s="166"/>
      <c r="B395" s="167"/>
      <c r="C395" s="167"/>
      <c r="D395" s="147"/>
      <c r="E395" s="147"/>
      <c r="F395" s="147"/>
      <c r="G395" s="147"/>
      <c r="H395" s="147"/>
      <c r="I395" s="147"/>
      <c r="J395" s="147"/>
      <c r="K395" s="3"/>
      <c r="L395" s="3"/>
      <c r="M395" s="3"/>
      <c r="N395" s="3"/>
      <c r="O395" s="3"/>
      <c r="P395" s="3"/>
      <c r="Q395" s="3"/>
      <c r="R395" s="3"/>
      <c r="S395" s="3"/>
      <c r="T395" s="3"/>
      <c r="U395" s="3"/>
      <c r="V395" s="3"/>
      <c r="W395" s="3"/>
      <c r="X395" s="3"/>
      <c r="Y395" s="3"/>
      <c r="Z395" s="3"/>
    </row>
    <row r="396" spans="1:26" ht="22.5" customHeight="1" x14ac:dyDescent="0.85">
      <c r="A396" s="166"/>
      <c r="B396" s="167"/>
      <c r="C396" s="167"/>
      <c r="D396" s="147"/>
      <c r="E396" s="147"/>
      <c r="F396" s="147"/>
      <c r="G396" s="147"/>
      <c r="H396" s="147"/>
      <c r="I396" s="147"/>
      <c r="J396" s="147"/>
      <c r="K396" s="3"/>
      <c r="L396" s="3"/>
      <c r="M396" s="3"/>
      <c r="N396" s="3"/>
      <c r="O396" s="3"/>
      <c r="P396" s="3"/>
      <c r="Q396" s="3"/>
      <c r="R396" s="3"/>
      <c r="S396" s="3"/>
      <c r="T396" s="3"/>
      <c r="U396" s="3"/>
      <c r="V396" s="3"/>
      <c r="W396" s="3"/>
      <c r="X396" s="3"/>
      <c r="Y396" s="3"/>
      <c r="Z396" s="3"/>
    </row>
    <row r="397" spans="1:26" ht="22.5" customHeight="1" x14ac:dyDescent="0.85">
      <c r="A397" s="166"/>
      <c r="B397" s="167"/>
      <c r="C397" s="167"/>
      <c r="D397" s="147"/>
      <c r="E397" s="147"/>
      <c r="F397" s="147"/>
      <c r="G397" s="147"/>
      <c r="H397" s="147"/>
      <c r="I397" s="147"/>
      <c r="J397" s="147"/>
      <c r="K397" s="3"/>
      <c r="L397" s="3"/>
      <c r="M397" s="3"/>
      <c r="N397" s="3"/>
      <c r="O397" s="3"/>
      <c r="P397" s="3"/>
      <c r="Q397" s="3"/>
      <c r="R397" s="3"/>
      <c r="S397" s="3"/>
      <c r="T397" s="3"/>
      <c r="U397" s="3"/>
      <c r="V397" s="3"/>
      <c r="W397" s="3"/>
      <c r="X397" s="3"/>
      <c r="Y397" s="3"/>
      <c r="Z397" s="3"/>
    </row>
    <row r="398" spans="1:26" ht="22.5" customHeight="1" x14ac:dyDescent="0.85">
      <c r="A398" s="166"/>
      <c r="B398" s="167"/>
      <c r="C398" s="167"/>
      <c r="D398" s="147"/>
      <c r="E398" s="147"/>
      <c r="F398" s="147"/>
      <c r="G398" s="147"/>
      <c r="H398" s="147"/>
      <c r="I398" s="147"/>
      <c r="J398" s="147"/>
      <c r="K398" s="3"/>
      <c r="L398" s="3"/>
      <c r="M398" s="3"/>
      <c r="N398" s="3"/>
      <c r="O398" s="3"/>
      <c r="P398" s="3"/>
      <c r="Q398" s="3"/>
      <c r="R398" s="3"/>
      <c r="S398" s="3"/>
      <c r="T398" s="3"/>
      <c r="U398" s="3"/>
      <c r="V398" s="3"/>
      <c r="W398" s="3"/>
      <c r="X398" s="3"/>
      <c r="Y398" s="3"/>
      <c r="Z398" s="3"/>
    </row>
    <row r="399" spans="1:26" ht="22.5" customHeight="1" x14ac:dyDescent="0.85">
      <c r="A399" s="166"/>
      <c r="B399" s="167"/>
      <c r="C399" s="167"/>
      <c r="D399" s="147"/>
      <c r="E399" s="147"/>
      <c r="F399" s="147"/>
      <c r="G399" s="147"/>
      <c r="H399" s="147"/>
      <c r="I399" s="147"/>
      <c r="J399" s="147"/>
      <c r="K399" s="3"/>
      <c r="L399" s="3"/>
      <c r="M399" s="3"/>
      <c r="N399" s="3"/>
      <c r="O399" s="3"/>
      <c r="P399" s="3"/>
      <c r="Q399" s="3"/>
      <c r="R399" s="3"/>
      <c r="S399" s="3"/>
      <c r="T399" s="3"/>
      <c r="U399" s="3"/>
      <c r="V399" s="3"/>
      <c r="W399" s="3"/>
      <c r="X399" s="3"/>
      <c r="Y399" s="3"/>
      <c r="Z399" s="3"/>
    </row>
    <row r="400" spans="1:26" ht="22.5" customHeight="1" x14ac:dyDescent="0.85">
      <c r="A400" s="166"/>
      <c r="B400" s="167"/>
      <c r="C400" s="167"/>
      <c r="D400" s="147"/>
      <c r="E400" s="147"/>
      <c r="F400" s="147"/>
      <c r="G400" s="147"/>
      <c r="H400" s="147"/>
      <c r="I400" s="147"/>
      <c r="J400" s="147"/>
      <c r="K400" s="3"/>
      <c r="L400" s="3"/>
      <c r="M400" s="3"/>
      <c r="N400" s="3"/>
      <c r="O400" s="3"/>
      <c r="P400" s="3"/>
      <c r="Q400" s="3"/>
      <c r="R400" s="3"/>
      <c r="S400" s="3"/>
      <c r="T400" s="3"/>
      <c r="U400" s="3"/>
      <c r="V400" s="3"/>
      <c r="W400" s="3"/>
      <c r="X400" s="3"/>
      <c r="Y400" s="3"/>
      <c r="Z400" s="3"/>
    </row>
    <row r="401" spans="1:26" ht="22.5" customHeight="1" x14ac:dyDescent="0.85">
      <c r="A401" s="166"/>
      <c r="B401" s="167"/>
      <c r="C401" s="167"/>
      <c r="D401" s="147"/>
      <c r="E401" s="147"/>
      <c r="F401" s="147"/>
      <c r="G401" s="147"/>
      <c r="H401" s="147"/>
      <c r="I401" s="147"/>
      <c r="J401" s="147"/>
      <c r="K401" s="3"/>
      <c r="L401" s="3"/>
      <c r="M401" s="3"/>
      <c r="N401" s="3"/>
      <c r="O401" s="3"/>
      <c r="P401" s="3"/>
      <c r="Q401" s="3"/>
      <c r="R401" s="3"/>
      <c r="S401" s="3"/>
      <c r="T401" s="3"/>
      <c r="U401" s="3"/>
      <c r="V401" s="3"/>
      <c r="W401" s="3"/>
      <c r="X401" s="3"/>
      <c r="Y401" s="3"/>
      <c r="Z401" s="3"/>
    </row>
    <row r="402" spans="1:26" ht="22.5" customHeight="1" x14ac:dyDescent="0.85">
      <c r="A402" s="166"/>
      <c r="B402" s="167"/>
      <c r="C402" s="167"/>
      <c r="D402" s="147"/>
      <c r="E402" s="147"/>
      <c r="F402" s="147"/>
      <c r="G402" s="147"/>
      <c r="H402" s="147"/>
      <c r="I402" s="147"/>
      <c r="J402" s="147"/>
      <c r="K402" s="3"/>
      <c r="L402" s="3"/>
      <c r="M402" s="3"/>
      <c r="N402" s="3"/>
      <c r="O402" s="3"/>
      <c r="P402" s="3"/>
      <c r="Q402" s="3"/>
      <c r="R402" s="3"/>
      <c r="S402" s="3"/>
      <c r="T402" s="3"/>
      <c r="U402" s="3"/>
      <c r="V402" s="3"/>
      <c r="W402" s="3"/>
      <c r="X402" s="3"/>
      <c r="Y402" s="3"/>
      <c r="Z402" s="3"/>
    </row>
    <row r="403" spans="1:26" ht="22.5" customHeight="1" x14ac:dyDescent="0.85">
      <c r="A403" s="166"/>
      <c r="B403" s="167"/>
      <c r="C403" s="167"/>
      <c r="D403" s="147"/>
      <c r="E403" s="147"/>
      <c r="F403" s="147"/>
      <c r="G403" s="147"/>
      <c r="H403" s="147"/>
      <c r="I403" s="147"/>
      <c r="J403" s="147"/>
      <c r="K403" s="3"/>
      <c r="L403" s="3"/>
      <c r="M403" s="3"/>
      <c r="N403" s="3"/>
      <c r="O403" s="3"/>
      <c r="P403" s="3"/>
      <c r="Q403" s="3"/>
      <c r="R403" s="3"/>
      <c r="S403" s="3"/>
      <c r="T403" s="3"/>
      <c r="U403" s="3"/>
      <c r="V403" s="3"/>
      <c r="W403" s="3"/>
      <c r="X403" s="3"/>
      <c r="Y403" s="3"/>
      <c r="Z403" s="3"/>
    </row>
    <row r="404" spans="1:26" ht="22.5" customHeight="1" x14ac:dyDescent="0.85">
      <c r="A404" s="166"/>
      <c r="B404" s="167"/>
      <c r="C404" s="167"/>
      <c r="D404" s="147"/>
      <c r="E404" s="147"/>
      <c r="F404" s="147"/>
      <c r="G404" s="147"/>
      <c r="H404" s="147"/>
      <c r="I404" s="147"/>
      <c r="J404" s="147"/>
      <c r="K404" s="3"/>
      <c r="L404" s="3"/>
      <c r="M404" s="3"/>
      <c r="N404" s="3"/>
      <c r="O404" s="3"/>
      <c r="P404" s="3"/>
      <c r="Q404" s="3"/>
      <c r="R404" s="3"/>
      <c r="S404" s="3"/>
      <c r="T404" s="3"/>
      <c r="U404" s="3"/>
      <c r="V404" s="3"/>
      <c r="W404" s="3"/>
      <c r="X404" s="3"/>
      <c r="Y404" s="3"/>
      <c r="Z404" s="3"/>
    </row>
    <row r="405" spans="1:26" ht="22.5" customHeight="1" x14ac:dyDescent="0.85">
      <c r="A405" s="166"/>
      <c r="B405" s="167"/>
      <c r="C405" s="167"/>
      <c r="D405" s="147"/>
      <c r="E405" s="147"/>
      <c r="F405" s="147"/>
      <c r="G405" s="147"/>
      <c r="H405" s="147"/>
      <c r="I405" s="147"/>
      <c r="J405" s="147"/>
      <c r="K405" s="3"/>
      <c r="L405" s="3"/>
      <c r="M405" s="3"/>
      <c r="N405" s="3"/>
      <c r="O405" s="3"/>
      <c r="P405" s="3"/>
      <c r="Q405" s="3"/>
      <c r="R405" s="3"/>
      <c r="S405" s="3"/>
      <c r="T405" s="3"/>
      <c r="U405" s="3"/>
      <c r="V405" s="3"/>
      <c r="W405" s="3"/>
      <c r="X405" s="3"/>
      <c r="Y405" s="3"/>
      <c r="Z405" s="3"/>
    </row>
    <row r="406" spans="1:26" ht="22.5" customHeight="1" x14ac:dyDescent="0.85">
      <c r="A406" s="166"/>
      <c r="B406" s="167"/>
      <c r="C406" s="167"/>
      <c r="D406" s="147"/>
      <c r="E406" s="147"/>
      <c r="F406" s="147"/>
      <c r="G406" s="147"/>
      <c r="H406" s="147"/>
      <c r="I406" s="147"/>
      <c r="J406" s="147"/>
      <c r="K406" s="3"/>
      <c r="L406" s="3"/>
      <c r="M406" s="3"/>
      <c r="N406" s="3"/>
      <c r="O406" s="3"/>
      <c r="P406" s="3"/>
      <c r="Q406" s="3"/>
      <c r="R406" s="3"/>
      <c r="S406" s="3"/>
      <c r="T406" s="3"/>
      <c r="U406" s="3"/>
      <c r="V406" s="3"/>
      <c r="W406" s="3"/>
      <c r="X406" s="3"/>
      <c r="Y406" s="3"/>
      <c r="Z406" s="3"/>
    </row>
    <row r="407" spans="1:26" ht="22.5" customHeight="1" x14ac:dyDescent="0.85">
      <c r="A407" s="166"/>
      <c r="B407" s="167"/>
      <c r="C407" s="167"/>
      <c r="D407" s="147"/>
      <c r="E407" s="147"/>
      <c r="F407" s="147"/>
      <c r="G407" s="147"/>
      <c r="H407" s="147"/>
      <c r="I407" s="147"/>
      <c r="J407" s="147"/>
      <c r="K407" s="3"/>
      <c r="L407" s="3"/>
      <c r="M407" s="3"/>
      <c r="N407" s="3"/>
      <c r="O407" s="3"/>
      <c r="P407" s="3"/>
      <c r="Q407" s="3"/>
      <c r="R407" s="3"/>
      <c r="S407" s="3"/>
      <c r="T407" s="3"/>
      <c r="U407" s="3"/>
      <c r="V407" s="3"/>
      <c r="W407" s="3"/>
      <c r="X407" s="3"/>
      <c r="Y407" s="3"/>
      <c r="Z407" s="3"/>
    </row>
    <row r="408" spans="1:26" ht="22.5" customHeight="1" x14ac:dyDescent="0.85">
      <c r="A408" s="166"/>
      <c r="B408" s="167"/>
      <c r="C408" s="167"/>
      <c r="D408" s="147"/>
      <c r="E408" s="147"/>
      <c r="F408" s="147"/>
      <c r="G408" s="147"/>
      <c r="H408" s="147"/>
      <c r="I408" s="147"/>
      <c r="J408" s="147"/>
      <c r="K408" s="3"/>
      <c r="L408" s="3"/>
      <c r="M408" s="3"/>
      <c r="N408" s="3"/>
      <c r="O408" s="3"/>
      <c r="P408" s="3"/>
      <c r="Q408" s="3"/>
      <c r="R408" s="3"/>
      <c r="S408" s="3"/>
      <c r="T408" s="3"/>
      <c r="U408" s="3"/>
      <c r="V408" s="3"/>
      <c r="W408" s="3"/>
      <c r="X408" s="3"/>
      <c r="Y408" s="3"/>
      <c r="Z408" s="3"/>
    </row>
    <row r="409" spans="1:26" ht="22.5" customHeight="1" x14ac:dyDescent="0.85">
      <c r="A409" s="166"/>
      <c r="B409" s="167"/>
      <c r="C409" s="167"/>
      <c r="D409" s="147"/>
      <c r="E409" s="147"/>
      <c r="F409" s="147"/>
      <c r="G409" s="147"/>
      <c r="H409" s="147"/>
      <c r="I409" s="147"/>
      <c r="J409" s="147"/>
      <c r="K409" s="3"/>
      <c r="L409" s="3"/>
      <c r="M409" s="3"/>
      <c r="N409" s="3"/>
      <c r="O409" s="3"/>
      <c r="P409" s="3"/>
      <c r="Q409" s="3"/>
      <c r="R409" s="3"/>
      <c r="S409" s="3"/>
      <c r="T409" s="3"/>
      <c r="U409" s="3"/>
      <c r="V409" s="3"/>
      <c r="W409" s="3"/>
      <c r="X409" s="3"/>
      <c r="Y409" s="3"/>
      <c r="Z409" s="3"/>
    </row>
    <row r="410" spans="1:26" ht="22.5" customHeight="1" x14ac:dyDescent="0.85">
      <c r="A410" s="166"/>
      <c r="B410" s="167"/>
      <c r="C410" s="167"/>
      <c r="D410" s="147"/>
      <c r="E410" s="147"/>
      <c r="F410" s="147"/>
      <c r="G410" s="147"/>
      <c r="H410" s="147"/>
      <c r="I410" s="147"/>
      <c r="J410" s="147"/>
      <c r="K410" s="3"/>
      <c r="L410" s="3"/>
      <c r="M410" s="3"/>
      <c r="N410" s="3"/>
      <c r="O410" s="3"/>
      <c r="P410" s="3"/>
      <c r="Q410" s="3"/>
      <c r="R410" s="3"/>
      <c r="S410" s="3"/>
      <c r="T410" s="3"/>
      <c r="U410" s="3"/>
      <c r="V410" s="3"/>
      <c r="W410" s="3"/>
      <c r="X410" s="3"/>
      <c r="Y410" s="3"/>
      <c r="Z410" s="3"/>
    </row>
    <row r="411" spans="1:26" ht="22.5" customHeight="1" x14ac:dyDescent="0.85">
      <c r="A411" s="166"/>
      <c r="B411" s="167"/>
      <c r="C411" s="167"/>
      <c r="D411" s="147"/>
      <c r="E411" s="147"/>
      <c r="F411" s="147"/>
      <c r="G411" s="147"/>
      <c r="H411" s="147"/>
      <c r="I411" s="147"/>
      <c r="J411" s="147"/>
      <c r="K411" s="3"/>
      <c r="L411" s="3"/>
      <c r="M411" s="3"/>
      <c r="N411" s="3"/>
      <c r="O411" s="3"/>
      <c r="P411" s="3"/>
      <c r="Q411" s="3"/>
      <c r="R411" s="3"/>
      <c r="S411" s="3"/>
      <c r="T411" s="3"/>
      <c r="U411" s="3"/>
      <c r="V411" s="3"/>
      <c r="W411" s="3"/>
      <c r="X411" s="3"/>
      <c r="Y411" s="3"/>
      <c r="Z411" s="3"/>
    </row>
    <row r="412" spans="1:26" ht="22.5" customHeight="1" x14ac:dyDescent="0.85">
      <c r="A412" s="166"/>
      <c r="B412" s="167"/>
      <c r="C412" s="167"/>
      <c r="D412" s="147"/>
      <c r="E412" s="147"/>
      <c r="F412" s="147"/>
      <c r="G412" s="147"/>
      <c r="H412" s="147"/>
      <c r="I412" s="147"/>
      <c r="J412" s="147"/>
      <c r="K412" s="3"/>
      <c r="L412" s="3"/>
      <c r="M412" s="3"/>
      <c r="N412" s="3"/>
      <c r="O412" s="3"/>
      <c r="P412" s="3"/>
      <c r="Q412" s="3"/>
      <c r="R412" s="3"/>
      <c r="S412" s="3"/>
      <c r="T412" s="3"/>
      <c r="U412" s="3"/>
      <c r="V412" s="3"/>
      <c r="W412" s="3"/>
      <c r="X412" s="3"/>
      <c r="Y412" s="3"/>
      <c r="Z412" s="3"/>
    </row>
    <row r="413" spans="1:26" ht="22.5" customHeight="1" x14ac:dyDescent="0.85">
      <c r="A413" s="166"/>
      <c r="B413" s="167"/>
      <c r="C413" s="167"/>
      <c r="D413" s="147"/>
      <c r="E413" s="147"/>
      <c r="F413" s="147"/>
      <c r="G413" s="147"/>
      <c r="H413" s="147"/>
      <c r="I413" s="147"/>
      <c r="J413" s="147"/>
      <c r="K413" s="3"/>
      <c r="L413" s="3"/>
      <c r="M413" s="3"/>
      <c r="N413" s="3"/>
      <c r="O413" s="3"/>
      <c r="P413" s="3"/>
      <c r="Q413" s="3"/>
      <c r="R413" s="3"/>
      <c r="S413" s="3"/>
      <c r="T413" s="3"/>
      <c r="U413" s="3"/>
      <c r="V413" s="3"/>
      <c r="W413" s="3"/>
      <c r="X413" s="3"/>
      <c r="Y413" s="3"/>
      <c r="Z413" s="3"/>
    </row>
    <row r="414" spans="1:26" ht="22.5" customHeight="1" x14ac:dyDescent="0.85">
      <c r="A414" s="166"/>
      <c r="B414" s="167"/>
      <c r="C414" s="167"/>
      <c r="D414" s="147"/>
      <c r="E414" s="147"/>
      <c r="F414" s="147"/>
      <c r="G414" s="147"/>
      <c r="H414" s="147"/>
      <c r="I414" s="147"/>
      <c r="J414" s="147"/>
      <c r="K414" s="3"/>
      <c r="L414" s="3"/>
      <c r="M414" s="3"/>
      <c r="N414" s="3"/>
      <c r="O414" s="3"/>
      <c r="P414" s="3"/>
      <c r="Q414" s="3"/>
      <c r="R414" s="3"/>
      <c r="S414" s="3"/>
      <c r="T414" s="3"/>
      <c r="U414" s="3"/>
      <c r="V414" s="3"/>
      <c r="W414" s="3"/>
      <c r="X414" s="3"/>
      <c r="Y414" s="3"/>
      <c r="Z414" s="3"/>
    </row>
    <row r="415" spans="1:26" ht="22.5" customHeight="1" x14ac:dyDescent="0.85">
      <c r="A415" s="166"/>
      <c r="B415" s="167"/>
      <c r="C415" s="167"/>
      <c r="D415" s="147"/>
      <c r="E415" s="147"/>
      <c r="F415" s="147"/>
      <c r="G415" s="147"/>
      <c r="H415" s="147"/>
      <c r="I415" s="147"/>
      <c r="J415" s="147"/>
      <c r="K415" s="3"/>
      <c r="L415" s="3"/>
      <c r="M415" s="3"/>
      <c r="N415" s="3"/>
      <c r="O415" s="3"/>
      <c r="P415" s="3"/>
      <c r="Q415" s="3"/>
      <c r="R415" s="3"/>
      <c r="S415" s="3"/>
      <c r="T415" s="3"/>
      <c r="U415" s="3"/>
      <c r="V415" s="3"/>
      <c r="W415" s="3"/>
      <c r="X415" s="3"/>
      <c r="Y415" s="3"/>
      <c r="Z415" s="3"/>
    </row>
    <row r="416" spans="1:26" ht="22.5" customHeight="1" x14ac:dyDescent="0.85">
      <c r="A416" s="166"/>
      <c r="B416" s="167"/>
      <c r="C416" s="167"/>
      <c r="D416" s="147"/>
      <c r="E416" s="147"/>
      <c r="F416" s="147"/>
      <c r="G416" s="147"/>
      <c r="H416" s="147"/>
      <c r="I416" s="147"/>
      <c r="J416" s="147"/>
      <c r="K416" s="3"/>
      <c r="L416" s="3"/>
      <c r="M416" s="3"/>
      <c r="N416" s="3"/>
      <c r="O416" s="3"/>
      <c r="P416" s="3"/>
      <c r="Q416" s="3"/>
      <c r="R416" s="3"/>
      <c r="S416" s="3"/>
      <c r="T416" s="3"/>
      <c r="U416" s="3"/>
      <c r="V416" s="3"/>
      <c r="W416" s="3"/>
      <c r="X416" s="3"/>
      <c r="Y416" s="3"/>
      <c r="Z416" s="3"/>
    </row>
    <row r="417" spans="1:26" ht="22.5" customHeight="1" x14ac:dyDescent="0.85">
      <c r="A417" s="166"/>
      <c r="B417" s="167"/>
      <c r="C417" s="167"/>
      <c r="D417" s="147"/>
      <c r="E417" s="147"/>
      <c r="F417" s="147"/>
      <c r="G417" s="147"/>
      <c r="H417" s="147"/>
      <c r="I417" s="147"/>
      <c r="J417" s="147"/>
      <c r="K417" s="3"/>
      <c r="L417" s="3"/>
      <c r="M417" s="3"/>
      <c r="N417" s="3"/>
      <c r="O417" s="3"/>
      <c r="P417" s="3"/>
      <c r="Q417" s="3"/>
      <c r="R417" s="3"/>
      <c r="S417" s="3"/>
      <c r="T417" s="3"/>
      <c r="U417" s="3"/>
      <c r="V417" s="3"/>
      <c r="W417" s="3"/>
      <c r="X417" s="3"/>
      <c r="Y417" s="3"/>
      <c r="Z417" s="3"/>
    </row>
    <row r="418" spans="1:26" ht="22.5" customHeight="1" x14ac:dyDescent="0.85">
      <c r="A418" s="166"/>
      <c r="B418" s="167"/>
      <c r="C418" s="167"/>
      <c r="D418" s="147"/>
      <c r="E418" s="147"/>
      <c r="F418" s="147"/>
      <c r="G418" s="147"/>
      <c r="H418" s="147"/>
      <c r="I418" s="147"/>
      <c r="J418" s="147"/>
      <c r="K418" s="3"/>
      <c r="L418" s="3"/>
      <c r="M418" s="3"/>
      <c r="N418" s="3"/>
      <c r="O418" s="3"/>
      <c r="P418" s="3"/>
      <c r="Q418" s="3"/>
      <c r="R418" s="3"/>
      <c r="S418" s="3"/>
      <c r="T418" s="3"/>
      <c r="U418" s="3"/>
      <c r="V418" s="3"/>
      <c r="W418" s="3"/>
      <c r="X418" s="3"/>
      <c r="Y418" s="3"/>
      <c r="Z418" s="3"/>
    </row>
    <row r="419" spans="1:26" ht="22.5" customHeight="1" x14ac:dyDescent="0.85">
      <c r="A419" s="166"/>
      <c r="B419" s="167"/>
      <c r="C419" s="167"/>
      <c r="D419" s="147"/>
      <c r="E419" s="147"/>
      <c r="F419" s="147"/>
      <c r="G419" s="147"/>
      <c r="H419" s="147"/>
      <c r="I419" s="147"/>
      <c r="J419" s="147"/>
      <c r="K419" s="3"/>
      <c r="L419" s="3"/>
      <c r="M419" s="3"/>
      <c r="N419" s="3"/>
      <c r="O419" s="3"/>
      <c r="P419" s="3"/>
      <c r="Q419" s="3"/>
      <c r="R419" s="3"/>
      <c r="S419" s="3"/>
      <c r="T419" s="3"/>
      <c r="U419" s="3"/>
      <c r="V419" s="3"/>
      <c r="W419" s="3"/>
      <c r="X419" s="3"/>
      <c r="Y419" s="3"/>
      <c r="Z419" s="3"/>
    </row>
    <row r="420" spans="1:26" ht="22.5" customHeight="1" x14ac:dyDescent="0.85">
      <c r="A420" s="166"/>
      <c r="B420" s="167"/>
      <c r="C420" s="167"/>
      <c r="D420" s="147"/>
      <c r="E420" s="147"/>
      <c r="F420" s="147"/>
      <c r="G420" s="147"/>
      <c r="H420" s="147"/>
      <c r="I420" s="147"/>
      <c r="J420" s="147"/>
      <c r="K420" s="3"/>
      <c r="L420" s="3"/>
      <c r="M420" s="3"/>
      <c r="N420" s="3"/>
      <c r="O420" s="3"/>
      <c r="P420" s="3"/>
      <c r="Q420" s="3"/>
      <c r="R420" s="3"/>
      <c r="S420" s="3"/>
      <c r="T420" s="3"/>
      <c r="U420" s="3"/>
      <c r="V420" s="3"/>
      <c r="W420" s="3"/>
      <c r="X420" s="3"/>
      <c r="Y420" s="3"/>
      <c r="Z420" s="3"/>
    </row>
    <row r="421" spans="1:26" ht="22.5" customHeight="1" x14ac:dyDescent="0.85">
      <c r="A421" s="166"/>
      <c r="B421" s="167"/>
      <c r="C421" s="167"/>
      <c r="D421" s="147"/>
      <c r="E421" s="147"/>
      <c r="F421" s="147"/>
      <c r="G421" s="147"/>
      <c r="H421" s="147"/>
      <c r="I421" s="147"/>
      <c r="J421" s="147"/>
      <c r="K421" s="3"/>
      <c r="L421" s="3"/>
      <c r="M421" s="3"/>
      <c r="N421" s="3"/>
      <c r="O421" s="3"/>
      <c r="P421" s="3"/>
      <c r="Q421" s="3"/>
      <c r="R421" s="3"/>
      <c r="S421" s="3"/>
      <c r="T421" s="3"/>
      <c r="U421" s="3"/>
      <c r="V421" s="3"/>
      <c r="W421" s="3"/>
      <c r="X421" s="3"/>
      <c r="Y421" s="3"/>
      <c r="Z421" s="3"/>
    </row>
    <row r="422" spans="1:26" ht="22.5" customHeight="1" x14ac:dyDescent="0.85">
      <c r="A422" s="166"/>
      <c r="B422" s="167"/>
      <c r="C422" s="167"/>
      <c r="D422" s="147"/>
      <c r="E422" s="147"/>
      <c r="F422" s="147"/>
      <c r="G422" s="147"/>
      <c r="H422" s="147"/>
      <c r="I422" s="147"/>
      <c r="J422" s="147"/>
      <c r="K422" s="3"/>
      <c r="L422" s="3"/>
      <c r="M422" s="3"/>
      <c r="N422" s="3"/>
      <c r="O422" s="3"/>
      <c r="P422" s="3"/>
      <c r="Q422" s="3"/>
      <c r="R422" s="3"/>
      <c r="S422" s="3"/>
      <c r="T422" s="3"/>
      <c r="U422" s="3"/>
      <c r="V422" s="3"/>
      <c r="W422" s="3"/>
      <c r="X422" s="3"/>
      <c r="Y422" s="3"/>
      <c r="Z422" s="3"/>
    </row>
    <row r="423" spans="1:26" ht="22.5" customHeight="1" x14ac:dyDescent="0.85">
      <c r="A423" s="166"/>
      <c r="B423" s="167"/>
      <c r="C423" s="167"/>
      <c r="D423" s="147"/>
      <c r="E423" s="147"/>
      <c r="F423" s="147"/>
      <c r="G423" s="147"/>
      <c r="H423" s="147"/>
      <c r="I423" s="147"/>
      <c r="J423" s="147"/>
      <c r="K423" s="3"/>
      <c r="L423" s="3"/>
      <c r="M423" s="3"/>
      <c r="N423" s="3"/>
      <c r="O423" s="3"/>
      <c r="P423" s="3"/>
      <c r="Q423" s="3"/>
      <c r="R423" s="3"/>
      <c r="S423" s="3"/>
      <c r="T423" s="3"/>
      <c r="U423" s="3"/>
      <c r="V423" s="3"/>
      <c r="W423" s="3"/>
      <c r="X423" s="3"/>
      <c r="Y423" s="3"/>
      <c r="Z423" s="3"/>
    </row>
    <row r="424" spans="1:26" ht="22.5" customHeight="1" x14ac:dyDescent="0.85">
      <c r="A424" s="166"/>
      <c r="B424" s="167"/>
      <c r="C424" s="167"/>
      <c r="D424" s="147"/>
      <c r="E424" s="147"/>
      <c r="F424" s="147"/>
      <c r="G424" s="147"/>
      <c r="H424" s="147"/>
      <c r="I424" s="147"/>
      <c r="J424" s="147"/>
      <c r="K424" s="3"/>
      <c r="L424" s="3"/>
      <c r="M424" s="3"/>
      <c r="N424" s="3"/>
      <c r="O424" s="3"/>
      <c r="P424" s="3"/>
      <c r="Q424" s="3"/>
      <c r="R424" s="3"/>
      <c r="S424" s="3"/>
      <c r="T424" s="3"/>
      <c r="U424" s="3"/>
      <c r="V424" s="3"/>
      <c r="W424" s="3"/>
      <c r="X424" s="3"/>
      <c r="Y424" s="3"/>
      <c r="Z424" s="3"/>
    </row>
    <row r="425" spans="1:26" ht="22.5" customHeight="1" x14ac:dyDescent="0.85">
      <c r="A425" s="166"/>
      <c r="B425" s="167"/>
      <c r="C425" s="167"/>
      <c r="D425" s="147"/>
      <c r="E425" s="147"/>
      <c r="F425" s="147"/>
      <c r="G425" s="147"/>
      <c r="H425" s="147"/>
      <c r="I425" s="147"/>
      <c r="J425" s="147"/>
      <c r="K425" s="3"/>
      <c r="L425" s="3"/>
      <c r="M425" s="3"/>
      <c r="N425" s="3"/>
      <c r="O425" s="3"/>
      <c r="P425" s="3"/>
      <c r="Q425" s="3"/>
      <c r="R425" s="3"/>
      <c r="S425" s="3"/>
      <c r="T425" s="3"/>
      <c r="U425" s="3"/>
      <c r="V425" s="3"/>
      <c r="W425" s="3"/>
      <c r="X425" s="3"/>
      <c r="Y425" s="3"/>
      <c r="Z425" s="3"/>
    </row>
    <row r="426" spans="1:26" ht="22.5" customHeight="1" x14ac:dyDescent="0.85">
      <c r="A426" s="166"/>
      <c r="B426" s="167"/>
      <c r="C426" s="167"/>
      <c r="D426" s="147"/>
      <c r="E426" s="147"/>
      <c r="F426" s="147"/>
      <c r="G426" s="147"/>
      <c r="H426" s="147"/>
      <c r="I426" s="147"/>
      <c r="J426" s="147"/>
      <c r="K426" s="3"/>
      <c r="L426" s="3"/>
      <c r="M426" s="3"/>
      <c r="N426" s="3"/>
      <c r="O426" s="3"/>
      <c r="P426" s="3"/>
      <c r="Q426" s="3"/>
      <c r="R426" s="3"/>
      <c r="S426" s="3"/>
      <c r="T426" s="3"/>
      <c r="U426" s="3"/>
      <c r="V426" s="3"/>
      <c r="W426" s="3"/>
      <c r="X426" s="3"/>
      <c r="Y426" s="3"/>
      <c r="Z426" s="3"/>
    </row>
    <row r="427" spans="1:26" ht="22.5" customHeight="1" x14ac:dyDescent="0.85">
      <c r="A427" s="166"/>
      <c r="B427" s="167"/>
      <c r="C427" s="167"/>
      <c r="D427" s="147"/>
      <c r="E427" s="147"/>
      <c r="F427" s="147"/>
      <c r="G427" s="147"/>
      <c r="H427" s="147"/>
      <c r="I427" s="147"/>
      <c r="J427" s="147"/>
      <c r="K427" s="3"/>
      <c r="L427" s="3"/>
      <c r="M427" s="3"/>
      <c r="N427" s="3"/>
      <c r="O427" s="3"/>
      <c r="P427" s="3"/>
      <c r="Q427" s="3"/>
      <c r="R427" s="3"/>
      <c r="S427" s="3"/>
      <c r="T427" s="3"/>
      <c r="U427" s="3"/>
      <c r="V427" s="3"/>
      <c r="W427" s="3"/>
      <c r="X427" s="3"/>
      <c r="Y427" s="3"/>
      <c r="Z427" s="3"/>
    </row>
    <row r="428" spans="1:26" ht="22.5" customHeight="1" x14ac:dyDescent="0.85">
      <c r="A428" s="166"/>
      <c r="B428" s="167"/>
      <c r="C428" s="167"/>
      <c r="D428" s="147"/>
      <c r="E428" s="147"/>
      <c r="F428" s="147"/>
      <c r="G428" s="147"/>
      <c r="H428" s="147"/>
      <c r="I428" s="147"/>
      <c r="J428" s="147"/>
      <c r="K428" s="3"/>
      <c r="L428" s="3"/>
      <c r="M428" s="3"/>
      <c r="N428" s="3"/>
      <c r="O428" s="3"/>
      <c r="P428" s="3"/>
      <c r="Q428" s="3"/>
      <c r="R428" s="3"/>
      <c r="S428" s="3"/>
      <c r="T428" s="3"/>
      <c r="U428" s="3"/>
      <c r="V428" s="3"/>
      <c r="W428" s="3"/>
      <c r="X428" s="3"/>
      <c r="Y428" s="3"/>
      <c r="Z428" s="3"/>
    </row>
    <row r="429" spans="1:26" ht="22.5" customHeight="1" x14ac:dyDescent="0.85">
      <c r="A429" s="166"/>
      <c r="B429" s="167"/>
      <c r="C429" s="167"/>
      <c r="D429" s="147"/>
      <c r="E429" s="147"/>
      <c r="F429" s="147"/>
      <c r="G429" s="147"/>
      <c r="H429" s="147"/>
      <c r="I429" s="147"/>
      <c r="J429" s="147"/>
      <c r="K429" s="3"/>
      <c r="L429" s="3"/>
      <c r="M429" s="3"/>
      <c r="N429" s="3"/>
      <c r="O429" s="3"/>
      <c r="P429" s="3"/>
      <c r="Q429" s="3"/>
      <c r="R429" s="3"/>
      <c r="S429" s="3"/>
      <c r="T429" s="3"/>
      <c r="U429" s="3"/>
      <c r="V429" s="3"/>
      <c r="W429" s="3"/>
      <c r="X429" s="3"/>
      <c r="Y429" s="3"/>
      <c r="Z429" s="3"/>
    </row>
    <row r="430" spans="1:26" ht="22.5" customHeight="1" x14ac:dyDescent="0.85">
      <c r="A430" s="166"/>
      <c r="B430" s="167"/>
      <c r="C430" s="167"/>
      <c r="D430" s="147"/>
      <c r="E430" s="147"/>
      <c r="F430" s="147"/>
      <c r="G430" s="147"/>
      <c r="H430" s="147"/>
      <c r="I430" s="147"/>
      <c r="J430" s="147"/>
      <c r="K430" s="3"/>
      <c r="L430" s="3"/>
      <c r="M430" s="3"/>
      <c r="N430" s="3"/>
      <c r="O430" s="3"/>
      <c r="P430" s="3"/>
      <c r="Q430" s="3"/>
      <c r="R430" s="3"/>
      <c r="S430" s="3"/>
      <c r="T430" s="3"/>
      <c r="U430" s="3"/>
      <c r="V430" s="3"/>
      <c r="W430" s="3"/>
      <c r="X430" s="3"/>
      <c r="Y430" s="3"/>
      <c r="Z430" s="3"/>
    </row>
    <row r="431" spans="1:26" ht="22.5" customHeight="1" x14ac:dyDescent="0.85">
      <c r="A431" s="166"/>
      <c r="B431" s="167"/>
      <c r="C431" s="167"/>
      <c r="D431" s="147"/>
      <c r="E431" s="147"/>
      <c r="F431" s="147"/>
      <c r="G431" s="147"/>
      <c r="H431" s="147"/>
      <c r="I431" s="147"/>
      <c r="J431" s="147"/>
      <c r="K431" s="3"/>
      <c r="L431" s="3"/>
      <c r="M431" s="3"/>
      <c r="N431" s="3"/>
      <c r="O431" s="3"/>
      <c r="P431" s="3"/>
      <c r="Q431" s="3"/>
      <c r="R431" s="3"/>
      <c r="S431" s="3"/>
      <c r="T431" s="3"/>
      <c r="U431" s="3"/>
      <c r="V431" s="3"/>
      <c r="W431" s="3"/>
      <c r="X431" s="3"/>
      <c r="Y431" s="3"/>
      <c r="Z431" s="3"/>
    </row>
    <row r="432" spans="1:26" ht="22.5" customHeight="1" x14ac:dyDescent="0.85">
      <c r="A432" s="166"/>
      <c r="B432" s="167"/>
      <c r="C432" s="167"/>
      <c r="D432" s="147"/>
      <c r="E432" s="147"/>
      <c r="F432" s="147"/>
      <c r="G432" s="147"/>
      <c r="H432" s="147"/>
      <c r="I432" s="147"/>
      <c r="J432" s="147"/>
      <c r="K432" s="3"/>
      <c r="L432" s="3"/>
      <c r="M432" s="3"/>
      <c r="N432" s="3"/>
      <c r="O432" s="3"/>
      <c r="P432" s="3"/>
      <c r="Q432" s="3"/>
      <c r="R432" s="3"/>
      <c r="S432" s="3"/>
      <c r="T432" s="3"/>
      <c r="U432" s="3"/>
      <c r="V432" s="3"/>
      <c r="W432" s="3"/>
      <c r="X432" s="3"/>
      <c r="Y432" s="3"/>
      <c r="Z432" s="3"/>
    </row>
    <row r="433" spans="1:26" ht="22.5" customHeight="1" x14ac:dyDescent="0.85">
      <c r="A433" s="166"/>
      <c r="B433" s="167"/>
      <c r="C433" s="167"/>
      <c r="D433" s="147"/>
      <c r="E433" s="147"/>
      <c r="F433" s="147"/>
      <c r="G433" s="147"/>
      <c r="H433" s="147"/>
      <c r="I433" s="147"/>
      <c r="J433" s="147"/>
      <c r="K433" s="3"/>
      <c r="L433" s="3"/>
      <c r="M433" s="3"/>
      <c r="N433" s="3"/>
      <c r="O433" s="3"/>
      <c r="P433" s="3"/>
      <c r="Q433" s="3"/>
      <c r="R433" s="3"/>
      <c r="S433" s="3"/>
      <c r="T433" s="3"/>
      <c r="U433" s="3"/>
      <c r="V433" s="3"/>
      <c r="W433" s="3"/>
      <c r="X433" s="3"/>
      <c r="Y433" s="3"/>
      <c r="Z433" s="3"/>
    </row>
    <row r="434" spans="1:26" ht="22.5" customHeight="1" x14ac:dyDescent="0.85">
      <c r="A434" s="166"/>
      <c r="B434" s="167"/>
      <c r="C434" s="167"/>
      <c r="D434" s="147"/>
      <c r="E434" s="147"/>
      <c r="F434" s="147"/>
      <c r="G434" s="147"/>
      <c r="H434" s="147"/>
      <c r="I434" s="147"/>
      <c r="J434" s="147"/>
      <c r="K434" s="3"/>
      <c r="L434" s="3"/>
      <c r="M434" s="3"/>
      <c r="N434" s="3"/>
      <c r="O434" s="3"/>
      <c r="P434" s="3"/>
      <c r="Q434" s="3"/>
      <c r="R434" s="3"/>
      <c r="S434" s="3"/>
      <c r="T434" s="3"/>
      <c r="U434" s="3"/>
      <c r="V434" s="3"/>
      <c r="W434" s="3"/>
      <c r="X434" s="3"/>
      <c r="Y434" s="3"/>
      <c r="Z434" s="3"/>
    </row>
    <row r="435" spans="1:26" ht="22.5" customHeight="1" x14ac:dyDescent="0.85">
      <c r="A435" s="166"/>
      <c r="B435" s="167"/>
      <c r="C435" s="167"/>
      <c r="D435" s="147"/>
      <c r="E435" s="147"/>
      <c r="F435" s="147"/>
      <c r="G435" s="147"/>
      <c r="H435" s="147"/>
      <c r="I435" s="147"/>
      <c r="J435" s="147"/>
      <c r="K435" s="3"/>
      <c r="L435" s="3"/>
      <c r="M435" s="3"/>
      <c r="N435" s="3"/>
      <c r="O435" s="3"/>
      <c r="P435" s="3"/>
      <c r="Q435" s="3"/>
      <c r="R435" s="3"/>
      <c r="S435" s="3"/>
      <c r="T435" s="3"/>
      <c r="U435" s="3"/>
      <c r="V435" s="3"/>
      <c r="W435" s="3"/>
      <c r="X435" s="3"/>
      <c r="Y435" s="3"/>
      <c r="Z435" s="3"/>
    </row>
    <row r="436" spans="1:26" ht="22.5" customHeight="1" x14ac:dyDescent="0.85">
      <c r="A436" s="166"/>
      <c r="B436" s="167"/>
      <c r="C436" s="167"/>
      <c r="D436" s="147"/>
      <c r="E436" s="147"/>
      <c r="F436" s="147"/>
      <c r="G436" s="147"/>
      <c r="H436" s="147"/>
      <c r="I436" s="147"/>
      <c r="J436" s="147"/>
      <c r="K436" s="3"/>
      <c r="L436" s="3"/>
      <c r="M436" s="3"/>
      <c r="N436" s="3"/>
      <c r="O436" s="3"/>
      <c r="P436" s="3"/>
      <c r="Q436" s="3"/>
      <c r="R436" s="3"/>
      <c r="S436" s="3"/>
      <c r="T436" s="3"/>
      <c r="U436" s="3"/>
      <c r="V436" s="3"/>
      <c r="W436" s="3"/>
      <c r="X436" s="3"/>
      <c r="Y436" s="3"/>
      <c r="Z436" s="3"/>
    </row>
    <row r="437" spans="1:26" ht="22.5" customHeight="1" x14ac:dyDescent="0.85">
      <c r="A437" s="166"/>
      <c r="B437" s="167"/>
      <c r="C437" s="167"/>
      <c r="D437" s="147"/>
      <c r="E437" s="147"/>
      <c r="F437" s="147"/>
      <c r="G437" s="147"/>
      <c r="H437" s="147"/>
      <c r="I437" s="147"/>
      <c r="J437" s="147"/>
      <c r="K437" s="3"/>
      <c r="L437" s="3"/>
      <c r="M437" s="3"/>
      <c r="N437" s="3"/>
      <c r="O437" s="3"/>
      <c r="P437" s="3"/>
      <c r="Q437" s="3"/>
      <c r="R437" s="3"/>
      <c r="S437" s="3"/>
      <c r="T437" s="3"/>
      <c r="U437" s="3"/>
      <c r="V437" s="3"/>
      <c r="W437" s="3"/>
      <c r="X437" s="3"/>
      <c r="Y437" s="3"/>
      <c r="Z437" s="3"/>
    </row>
    <row r="438" spans="1:26" ht="22.5" customHeight="1" x14ac:dyDescent="0.85">
      <c r="A438" s="166"/>
      <c r="B438" s="167"/>
      <c r="C438" s="167"/>
      <c r="D438" s="147"/>
      <c r="E438" s="147"/>
      <c r="F438" s="147"/>
      <c r="G438" s="147"/>
      <c r="H438" s="147"/>
      <c r="I438" s="147"/>
      <c r="J438" s="147"/>
      <c r="K438" s="3"/>
      <c r="L438" s="3"/>
      <c r="M438" s="3"/>
      <c r="N438" s="3"/>
      <c r="O438" s="3"/>
      <c r="P438" s="3"/>
      <c r="Q438" s="3"/>
      <c r="R438" s="3"/>
      <c r="S438" s="3"/>
      <c r="T438" s="3"/>
      <c r="U438" s="3"/>
      <c r="V438" s="3"/>
      <c r="W438" s="3"/>
      <c r="X438" s="3"/>
      <c r="Y438" s="3"/>
      <c r="Z438" s="3"/>
    </row>
    <row r="439" spans="1:26" ht="22.5" customHeight="1" x14ac:dyDescent="0.85">
      <c r="A439" s="166"/>
      <c r="B439" s="167"/>
      <c r="C439" s="167"/>
      <c r="D439" s="147"/>
      <c r="E439" s="147"/>
      <c r="F439" s="147"/>
      <c r="G439" s="147"/>
      <c r="H439" s="147"/>
      <c r="I439" s="147"/>
      <c r="J439" s="147"/>
      <c r="K439" s="3"/>
      <c r="L439" s="3"/>
      <c r="M439" s="3"/>
      <c r="N439" s="3"/>
      <c r="O439" s="3"/>
      <c r="P439" s="3"/>
      <c r="Q439" s="3"/>
      <c r="R439" s="3"/>
      <c r="S439" s="3"/>
      <c r="T439" s="3"/>
      <c r="U439" s="3"/>
      <c r="V439" s="3"/>
      <c r="W439" s="3"/>
      <c r="X439" s="3"/>
      <c r="Y439" s="3"/>
      <c r="Z439" s="3"/>
    </row>
    <row r="440" spans="1:26" ht="22.5" customHeight="1" x14ac:dyDescent="0.85">
      <c r="A440" s="166"/>
      <c r="B440" s="167"/>
      <c r="C440" s="167"/>
      <c r="D440" s="147"/>
      <c r="E440" s="147"/>
      <c r="F440" s="147"/>
      <c r="G440" s="147"/>
      <c r="H440" s="147"/>
      <c r="I440" s="147"/>
      <c r="J440" s="147"/>
      <c r="K440" s="3"/>
      <c r="L440" s="3"/>
      <c r="M440" s="3"/>
      <c r="N440" s="3"/>
      <c r="O440" s="3"/>
      <c r="P440" s="3"/>
      <c r="Q440" s="3"/>
      <c r="R440" s="3"/>
      <c r="S440" s="3"/>
      <c r="T440" s="3"/>
      <c r="U440" s="3"/>
      <c r="V440" s="3"/>
      <c r="W440" s="3"/>
      <c r="X440" s="3"/>
      <c r="Y440" s="3"/>
      <c r="Z440" s="3"/>
    </row>
    <row r="441" spans="1:26" ht="22.5" customHeight="1" x14ac:dyDescent="0.85">
      <c r="A441" s="166"/>
      <c r="B441" s="167"/>
      <c r="C441" s="167"/>
      <c r="D441" s="147"/>
      <c r="E441" s="147"/>
      <c r="F441" s="147"/>
      <c r="G441" s="147"/>
      <c r="H441" s="147"/>
      <c r="I441" s="147"/>
      <c r="J441" s="147"/>
      <c r="K441" s="3"/>
      <c r="L441" s="3"/>
      <c r="M441" s="3"/>
      <c r="N441" s="3"/>
      <c r="O441" s="3"/>
      <c r="P441" s="3"/>
      <c r="Q441" s="3"/>
      <c r="R441" s="3"/>
      <c r="S441" s="3"/>
      <c r="T441" s="3"/>
      <c r="U441" s="3"/>
      <c r="V441" s="3"/>
      <c r="W441" s="3"/>
      <c r="X441" s="3"/>
      <c r="Y441" s="3"/>
      <c r="Z441" s="3"/>
    </row>
    <row r="442" spans="1:26" ht="22.5" customHeight="1" x14ac:dyDescent="0.85">
      <c r="A442" s="166"/>
      <c r="B442" s="167"/>
      <c r="C442" s="167"/>
      <c r="D442" s="147"/>
      <c r="E442" s="147"/>
      <c r="F442" s="147"/>
      <c r="G442" s="147"/>
      <c r="H442" s="147"/>
      <c r="I442" s="147"/>
      <c r="J442" s="147"/>
      <c r="K442" s="3"/>
      <c r="L442" s="3"/>
      <c r="M442" s="3"/>
      <c r="N442" s="3"/>
      <c r="O442" s="3"/>
      <c r="P442" s="3"/>
      <c r="Q442" s="3"/>
      <c r="R442" s="3"/>
      <c r="S442" s="3"/>
      <c r="T442" s="3"/>
      <c r="U442" s="3"/>
      <c r="V442" s="3"/>
      <c r="W442" s="3"/>
      <c r="X442" s="3"/>
      <c r="Y442" s="3"/>
      <c r="Z442" s="3"/>
    </row>
    <row r="443" spans="1:26" ht="22.5" customHeight="1" x14ac:dyDescent="0.85">
      <c r="A443" s="166"/>
      <c r="B443" s="167"/>
      <c r="C443" s="167"/>
      <c r="D443" s="147"/>
      <c r="E443" s="147"/>
      <c r="F443" s="147"/>
      <c r="G443" s="147"/>
      <c r="H443" s="147"/>
      <c r="I443" s="147"/>
      <c r="J443" s="147"/>
      <c r="K443" s="3"/>
      <c r="L443" s="3"/>
      <c r="M443" s="3"/>
      <c r="N443" s="3"/>
      <c r="O443" s="3"/>
      <c r="P443" s="3"/>
      <c r="Q443" s="3"/>
      <c r="R443" s="3"/>
      <c r="S443" s="3"/>
      <c r="T443" s="3"/>
      <c r="U443" s="3"/>
      <c r="V443" s="3"/>
      <c r="W443" s="3"/>
      <c r="X443" s="3"/>
      <c r="Y443" s="3"/>
      <c r="Z443" s="3"/>
    </row>
    <row r="444" spans="1:26" ht="22.5" customHeight="1" x14ac:dyDescent="0.85">
      <c r="A444" s="166"/>
      <c r="B444" s="167"/>
      <c r="C444" s="167"/>
      <c r="D444" s="147"/>
      <c r="E444" s="147"/>
      <c r="F444" s="147"/>
      <c r="G444" s="147"/>
      <c r="H444" s="147"/>
      <c r="I444" s="147"/>
      <c r="J444" s="147"/>
      <c r="K444" s="3"/>
      <c r="L444" s="3"/>
      <c r="M444" s="3"/>
      <c r="N444" s="3"/>
      <c r="O444" s="3"/>
      <c r="P444" s="3"/>
      <c r="Q444" s="3"/>
      <c r="R444" s="3"/>
      <c r="S444" s="3"/>
      <c r="T444" s="3"/>
      <c r="U444" s="3"/>
      <c r="V444" s="3"/>
      <c r="W444" s="3"/>
      <c r="X444" s="3"/>
      <c r="Y444" s="3"/>
      <c r="Z444" s="3"/>
    </row>
    <row r="445" spans="1:26" ht="22.5" customHeight="1" x14ac:dyDescent="0.85">
      <c r="A445" s="166"/>
      <c r="B445" s="167"/>
      <c r="C445" s="167"/>
      <c r="D445" s="147"/>
      <c r="E445" s="147"/>
      <c r="F445" s="147"/>
      <c r="G445" s="147"/>
      <c r="H445" s="147"/>
      <c r="I445" s="147"/>
      <c r="J445" s="147"/>
      <c r="K445" s="3"/>
      <c r="L445" s="3"/>
      <c r="M445" s="3"/>
      <c r="N445" s="3"/>
      <c r="O445" s="3"/>
      <c r="P445" s="3"/>
      <c r="Q445" s="3"/>
      <c r="R445" s="3"/>
      <c r="S445" s="3"/>
      <c r="T445" s="3"/>
      <c r="U445" s="3"/>
      <c r="V445" s="3"/>
      <c r="W445" s="3"/>
      <c r="X445" s="3"/>
      <c r="Y445" s="3"/>
      <c r="Z445" s="3"/>
    </row>
    <row r="446" spans="1:26" ht="22.5" customHeight="1" x14ac:dyDescent="0.85">
      <c r="A446" s="166"/>
      <c r="B446" s="167"/>
      <c r="C446" s="167"/>
      <c r="D446" s="147"/>
      <c r="E446" s="147"/>
      <c r="F446" s="147"/>
      <c r="G446" s="147"/>
      <c r="H446" s="147"/>
      <c r="I446" s="147"/>
      <c r="J446" s="147"/>
      <c r="K446" s="3"/>
      <c r="L446" s="3"/>
      <c r="M446" s="3"/>
      <c r="N446" s="3"/>
      <c r="O446" s="3"/>
      <c r="P446" s="3"/>
      <c r="Q446" s="3"/>
      <c r="R446" s="3"/>
      <c r="S446" s="3"/>
      <c r="T446" s="3"/>
      <c r="U446" s="3"/>
      <c r="V446" s="3"/>
      <c r="W446" s="3"/>
      <c r="X446" s="3"/>
      <c r="Y446" s="3"/>
      <c r="Z446" s="3"/>
    </row>
    <row r="447" spans="1:26" ht="22.5" customHeight="1" x14ac:dyDescent="0.85">
      <c r="A447" s="166"/>
      <c r="B447" s="167"/>
      <c r="C447" s="167"/>
      <c r="D447" s="147"/>
      <c r="E447" s="147"/>
      <c r="F447" s="147"/>
      <c r="G447" s="147"/>
      <c r="H447" s="147"/>
      <c r="I447" s="147"/>
      <c r="J447" s="147"/>
      <c r="K447" s="3"/>
      <c r="L447" s="3"/>
      <c r="M447" s="3"/>
      <c r="N447" s="3"/>
      <c r="O447" s="3"/>
      <c r="P447" s="3"/>
      <c r="Q447" s="3"/>
      <c r="R447" s="3"/>
      <c r="S447" s="3"/>
      <c r="T447" s="3"/>
      <c r="U447" s="3"/>
      <c r="V447" s="3"/>
      <c r="W447" s="3"/>
      <c r="X447" s="3"/>
      <c r="Y447" s="3"/>
      <c r="Z447" s="3"/>
    </row>
    <row r="448" spans="1:26" ht="22.5" customHeight="1" x14ac:dyDescent="0.85">
      <c r="A448" s="166"/>
      <c r="B448" s="167"/>
      <c r="C448" s="167"/>
      <c r="D448" s="147"/>
      <c r="E448" s="147"/>
      <c r="F448" s="147"/>
      <c r="G448" s="147"/>
      <c r="H448" s="147"/>
      <c r="I448" s="147"/>
      <c r="J448" s="147"/>
      <c r="K448" s="3"/>
      <c r="L448" s="3"/>
      <c r="M448" s="3"/>
      <c r="N448" s="3"/>
      <c r="O448" s="3"/>
      <c r="P448" s="3"/>
      <c r="Q448" s="3"/>
      <c r="R448" s="3"/>
      <c r="S448" s="3"/>
      <c r="T448" s="3"/>
      <c r="U448" s="3"/>
      <c r="V448" s="3"/>
      <c r="W448" s="3"/>
      <c r="X448" s="3"/>
      <c r="Y448" s="3"/>
      <c r="Z448" s="3"/>
    </row>
    <row r="449" spans="1:26" ht="22.5" customHeight="1" x14ac:dyDescent="0.85">
      <c r="A449" s="166"/>
      <c r="B449" s="167"/>
      <c r="C449" s="167"/>
      <c r="D449" s="147"/>
      <c r="E449" s="147"/>
      <c r="F449" s="147"/>
      <c r="G449" s="147"/>
      <c r="H449" s="147"/>
      <c r="I449" s="147"/>
      <c r="J449" s="147"/>
      <c r="K449" s="3"/>
      <c r="L449" s="3"/>
      <c r="M449" s="3"/>
      <c r="N449" s="3"/>
      <c r="O449" s="3"/>
      <c r="P449" s="3"/>
      <c r="Q449" s="3"/>
      <c r="R449" s="3"/>
      <c r="S449" s="3"/>
      <c r="T449" s="3"/>
      <c r="U449" s="3"/>
      <c r="V449" s="3"/>
      <c r="W449" s="3"/>
      <c r="X449" s="3"/>
      <c r="Y449" s="3"/>
      <c r="Z449" s="3"/>
    </row>
    <row r="450" spans="1:26" ht="22.5" customHeight="1" x14ac:dyDescent="0.85">
      <c r="A450" s="166"/>
      <c r="B450" s="167"/>
      <c r="C450" s="167"/>
      <c r="D450" s="147"/>
      <c r="E450" s="147"/>
      <c r="F450" s="147"/>
      <c r="G450" s="147"/>
      <c r="H450" s="147"/>
      <c r="I450" s="147"/>
      <c r="J450" s="147"/>
      <c r="K450" s="3"/>
      <c r="L450" s="3"/>
      <c r="M450" s="3"/>
      <c r="N450" s="3"/>
      <c r="O450" s="3"/>
      <c r="P450" s="3"/>
      <c r="Q450" s="3"/>
      <c r="R450" s="3"/>
      <c r="S450" s="3"/>
      <c r="T450" s="3"/>
      <c r="U450" s="3"/>
      <c r="V450" s="3"/>
      <c r="W450" s="3"/>
      <c r="X450" s="3"/>
      <c r="Y450" s="3"/>
      <c r="Z450" s="3"/>
    </row>
    <row r="451" spans="1:26" ht="22.5" customHeight="1" x14ac:dyDescent="0.85">
      <c r="A451" s="166"/>
      <c r="B451" s="167"/>
      <c r="C451" s="167"/>
      <c r="D451" s="147"/>
      <c r="E451" s="147"/>
      <c r="F451" s="147"/>
      <c r="G451" s="147"/>
      <c r="H451" s="147"/>
      <c r="I451" s="147"/>
      <c r="J451" s="147"/>
      <c r="K451" s="3"/>
      <c r="L451" s="3"/>
      <c r="M451" s="3"/>
      <c r="N451" s="3"/>
      <c r="O451" s="3"/>
      <c r="P451" s="3"/>
      <c r="Q451" s="3"/>
      <c r="R451" s="3"/>
      <c r="S451" s="3"/>
      <c r="T451" s="3"/>
      <c r="U451" s="3"/>
      <c r="V451" s="3"/>
      <c r="W451" s="3"/>
      <c r="X451" s="3"/>
      <c r="Y451" s="3"/>
      <c r="Z451" s="3"/>
    </row>
    <row r="452" spans="1:26" ht="22.5" customHeight="1" x14ac:dyDescent="0.85">
      <c r="A452" s="166"/>
      <c r="B452" s="167"/>
      <c r="C452" s="167"/>
      <c r="D452" s="147"/>
      <c r="E452" s="147"/>
      <c r="F452" s="147"/>
      <c r="G452" s="147"/>
      <c r="H452" s="147"/>
      <c r="I452" s="147"/>
      <c r="J452" s="147"/>
      <c r="K452" s="3"/>
      <c r="L452" s="3"/>
      <c r="M452" s="3"/>
      <c r="N452" s="3"/>
      <c r="O452" s="3"/>
      <c r="P452" s="3"/>
      <c r="Q452" s="3"/>
      <c r="R452" s="3"/>
      <c r="S452" s="3"/>
      <c r="T452" s="3"/>
      <c r="U452" s="3"/>
      <c r="V452" s="3"/>
      <c r="W452" s="3"/>
      <c r="X452" s="3"/>
      <c r="Y452" s="3"/>
      <c r="Z452" s="3"/>
    </row>
    <row r="453" spans="1:26" ht="22.5" customHeight="1" x14ac:dyDescent="0.85">
      <c r="A453" s="166"/>
      <c r="B453" s="167"/>
      <c r="C453" s="167"/>
      <c r="D453" s="147"/>
      <c r="E453" s="147"/>
      <c r="F453" s="147"/>
      <c r="G453" s="147"/>
      <c r="H453" s="147"/>
      <c r="I453" s="147"/>
      <c r="J453" s="147"/>
      <c r="K453" s="3"/>
      <c r="L453" s="3"/>
      <c r="M453" s="3"/>
      <c r="N453" s="3"/>
      <c r="O453" s="3"/>
      <c r="P453" s="3"/>
      <c r="Q453" s="3"/>
      <c r="R453" s="3"/>
      <c r="S453" s="3"/>
      <c r="T453" s="3"/>
      <c r="U453" s="3"/>
      <c r="V453" s="3"/>
      <c r="W453" s="3"/>
      <c r="X453" s="3"/>
      <c r="Y453" s="3"/>
      <c r="Z453" s="3"/>
    </row>
    <row r="454" spans="1:26" ht="22.5" customHeight="1" x14ac:dyDescent="0.85">
      <c r="A454" s="166"/>
      <c r="B454" s="167"/>
      <c r="C454" s="167"/>
      <c r="D454" s="147"/>
      <c r="E454" s="147"/>
      <c r="F454" s="147"/>
      <c r="G454" s="147"/>
      <c r="H454" s="147"/>
      <c r="I454" s="147"/>
      <c r="J454" s="147"/>
      <c r="K454" s="3"/>
      <c r="L454" s="3"/>
      <c r="M454" s="3"/>
      <c r="N454" s="3"/>
      <c r="O454" s="3"/>
      <c r="P454" s="3"/>
      <c r="Q454" s="3"/>
      <c r="R454" s="3"/>
      <c r="S454" s="3"/>
      <c r="T454" s="3"/>
      <c r="U454" s="3"/>
      <c r="V454" s="3"/>
      <c r="W454" s="3"/>
      <c r="X454" s="3"/>
      <c r="Y454" s="3"/>
      <c r="Z454" s="3"/>
    </row>
    <row r="455" spans="1:26" ht="22.5" customHeight="1" x14ac:dyDescent="0.85">
      <c r="A455" s="166"/>
      <c r="B455" s="167"/>
      <c r="C455" s="167"/>
      <c r="D455" s="147"/>
      <c r="E455" s="147"/>
      <c r="F455" s="147"/>
      <c r="G455" s="147"/>
      <c r="H455" s="147"/>
      <c r="I455" s="147"/>
      <c r="J455" s="147"/>
      <c r="K455" s="3"/>
      <c r="L455" s="3"/>
      <c r="M455" s="3"/>
      <c r="N455" s="3"/>
      <c r="O455" s="3"/>
      <c r="P455" s="3"/>
      <c r="Q455" s="3"/>
      <c r="R455" s="3"/>
      <c r="S455" s="3"/>
      <c r="T455" s="3"/>
      <c r="U455" s="3"/>
      <c r="V455" s="3"/>
      <c r="W455" s="3"/>
      <c r="X455" s="3"/>
      <c r="Y455" s="3"/>
      <c r="Z455" s="3"/>
    </row>
    <row r="456" spans="1:26" ht="22.5" customHeight="1" x14ac:dyDescent="0.85">
      <c r="A456" s="166"/>
      <c r="B456" s="167"/>
      <c r="C456" s="167"/>
      <c r="D456" s="147"/>
      <c r="E456" s="147"/>
      <c r="F456" s="147"/>
      <c r="G456" s="147"/>
      <c r="H456" s="147"/>
      <c r="I456" s="147"/>
      <c r="J456" s="147"/>
      <c r="K456" s="3"/>
      <c r="L456" s="3"/>
      <c r="M456" s="3"/>
      <c r="N456" s="3"/>
      <c r="O456" s="3"/>
      <c r="P456" s="3"/>
      <c r="Q456" s="3"/>
      <c r="R456" s="3"/>
      <c r="S456" s="3"/>
      <c r="T456" s="3"/>
      <c r="U456" s="3"/>
      <c r="V456" s="3"/>
      <c r="W456" s="3"/>
      <c r="X456" s="3"/>
      <c r="Y456" s="3"/>
      <c r="Z456" s="3"/>
    </row>
    <row r="457" spans="1:26" ht="22.5" customHeight="1" x14ac:dyDescent="0.85">
      <c r="A457" s="166"/>
      <c r="B457" s="167"/>
      <c r="C457" s="167"/>
      <c r="D457" s="147"/>
      <c r="E457" s="147"/>
      <c r="F457" s="147"/>
      <c r="G457" s="147"/>
      <c r="H457" s="147"/>
      <c r="I457" s="147"/>
      <c r="J457" s="147"/>
      <c r="K457" s="3"/>
      <c r="L457" s="3"/>
      <c r="M457" s="3"/>
      <c r="N457" s="3"/>
      <c r="O457" s="3"/>
      <c r="P457" s="3"/>
      <c r="Q457" s="3"/>
      <c r="R457" s="3"/>
      <c r="S457" s="3"/>
      <c r="T457" s="3"/>
      <c r="U457" s="3"/>
      <c r="V457" s="3"/>
      <c r="W457" s="3"/>
      <c r="X457" s="3"/>
      <c r="Y457" s="3"/>
      <c r="Z457" s="3"/>
    </row>
    <row r="458" spans="1:26" ht="22.5" customHeight="1" x14ac:dyDescent="0.85">
      <c r="A458" s="166"/>
      <c r="B458" s="167"/>
      <c r="C458" s="167"/>
      <c r="D458" s="147"/>
      <c r="E458" s="147"/>
      <c r="F458" s="147"/>
      <c r="G458" s="147"/>
      <c r="H458" s="147"/>
      <c r="I458" s="147"/>
      <c r="J458" s="147"/>
      <c r="K458" s="3"/>
      <c r="L458" s="3"/>
      <c r="M458" s="3"/>
      <c r="N458" s="3"/>
      <c r="O458" s="3"/>
      <c r="P458" s="3"/>
      <c r="Q458" s="3"/>
      <c r="R458" s="3"/>
      <c r="S458" s="3"/>
      <c r="T458" s="3"/>
      <c r="U458" s="3"/>
      <c r="V458" s="3"/>
      <c r="W458" s="3"/>
      <c r="X458" s="3"/>
      <c r="Y458" s="3"/>
      <c r="Z458" s="3"/>
    </row>
    <row r="459" spans="1:26" ht="22.5" customHeight="1" x14ac:dyDescent="0.85">
      <c r="A459" s="166"/>
      <c r="B459" s="167"/>
      <c r="C459" s="167"/>
      <c r="D459" s="147"/>
      <c r="E459" s="147"/>
      <c r="F459" s="147"/>
      <c r="G459" s="147"/>
      <c r="H459" s="147"/>
      <c r="I459" s="147"/>
      <c r="J459" s="147"/>
      <c r="K459" s="3"/>
      <c r="L459" s="3"/>
      <c r="M459" s="3"/>
      <c r="N459" s="3"/>
      <c r="O459" s="3"/>
      <c r="P459" s="3"/>
      <c r="Q459" s="3"/>
      <c r="R459" s="3"/>
      <c r="S459" s="3"/>
      <c r="T459" s="3"/>
      <c r="U459" s="3"/>
      <c r="V459" s="3"/>
      <c r="W459" s="3"/>
      <c r="X459" s="3"/>
      <c r="Y459" s="3"/>
      <c r="Z459" s="3"/>
    </row>
    <row r="460" spans="1:26" ht="22.5" customHeight="1" x14ac:dyDescent="0.85">
      <c r="A460" s="166"/>
      <c r="B460" s="167"/>
      <c r="C460" s="167"/>
      <c r="D460" s="147"/>
      <c r="E460" s="147"/>
      <c r="F460" s="147"/>
      <c r="G460" s="147"/>
      <c r="H460" s="147"/>
      <c r="I460" s="147"/>
      <c r="J460" s="147"/>
      <c r="K460" s="3"/>
      <c r="L460" s="3"/>
      <c r="M460" s="3"/>
      <c r="N460" s="3"/>
      <c r="O460" s="3"/>
      <c r="P460" s="3"/>
      <c r="Q460" s="3"/>
      <c r="R460" s="3"/>
      <c r="S460" s="3"/>
      <c r="T460" s="3"/>
      <c r="U460" s="3"/>
      <c r="V460" s="3"/>
      <c r="W460" s="3"/>
      <c r="X460" s="3"/>
      <c r="Y460" s="3"/>
      <c r="Z460" s="3"/>
    </row>
    <row r="461" spans="1:26" ht="22.5" customHeight="1" x14ac:dyDescent="0.85">
      <c r="A461" s="166"/>
      <c r="B461" s="167"/>
      <c r="C461" s="167"/>
      <c r="D461" s="147"/>
      <c r="E461" s="147"/>
      <c r="F461" s="147"/>
      <c r="G461" s="147"/>
      <c r="H461" s="147"/>
      <c r="I461" s="147"/>
      <c r="J461" s="147"/>
      <c r="K461" s="3"/>
      <c r="L461" s="3"/>
      <c r="M461" s="3"/>
      <c r="N461" s="3"/>
      <c r="O461" s="3"/>
      <c r="P461" s="3"/>
      <c r="Q461" s="3"/>
      <c r="R461" s="3"/>
      <c r="S461" s="3"/>
      <c r="T461" s="3"/>
      <c r="U461" s="3"/>
      <c r="V461" s="3"/>
      <c r="W461" s="3"/>
      <c r="X461" s="3"/>
      <c r="Y461" s="3"/>
      <c r="Z461" s="3"/>
    </row>
    <row r="462" spans="1:26" ht="22.5" customHeight="1" x14ac:dyDescent="0.85">
      <c r="A462" s="166"/>
      <c r="B462" s="167"/>
      <c r="C462" s="167"/>
      <c r="D462" s="147"/>
      <c r="E462" s="147"/>
      <c r="F462" s="147"/>
      <c r="G462" s="147"/>
      <c r="H462" s="147"/>
      <c r="I462" s="147"/>
      <c r="J462" s="147"/>
      <c r="K462" s="3"/>
      <c r="L462" s="3"/>
      <c r="M462" s="3"/>
      <c r="N462" s="3"/>
      <c r="O462" s="3"/>
      <c r="P462" s="3"/>
      <c r="Q462" s="3"/>
      <c r="R462" s="3"/>
      <c r="S462" s="3"/>
      <c r="T462" s="3"/>
      <c r="U462" s="3"/>
      <c r="V462" s="3"/>
      <c r="W462" s="3"/>
      <c r="X462" s="3"/>
      <c r="Y462" s="3"/>
      <c r="Z462" s="3"/>
    </row>
    <row r="463" spans="1:26" ht="22.5" customHeight="1" x14ac:dyDescent="0.85">
      <c r="A463" s="166"/>
      <c r="B463" s="167"/>
      <c r="C463" s="167"/>
      <c r="D463" s="147"/>
      <c r="E463" s="147"/>
      <c r="F463" s="147"/>
      <c r="G463" s="147"/>
      <c r="H463" s="147"/>
      <c r="I463" s="147"/>
      <c r="J463" s="147"/>
      <c r="K463" s="3"/>
      <c r="L463" s="3"/>
      <c r="M463" s="3"/>
      <c r="N463" s="3"/>
      <c r="O463" s="3"/>
      <c r="P463" s="3"/>
      <c r="Q463" s="3"/>
      <c r="R463" s="3"/>
      <c r="S463" s="3"/>
      <c r="T463" s="3"/>
      <c r="U463" s="3"/>
      <c r="V463" s="3"/>
      <c r="W463" s="3"/>
      <c r="X463" s="3"/>
      <c r="Y463" s="3"/>
      <c r="Z463" s="3"/>
    </row>
    <row r="464" spans="1:26" ht="22.5" customHeight="1" x14ac:dyDescent="0.85">
      <c r="A464" s="166"/>
      <c r="B464" s="167"/>
      <c r="C464" s="167"/>
      <c r="D464" s="147"/>
      <c r="E464" s="147"/>
      <c r="F464" s="147"/>
      <c r="G464" s="147"/>
      <c r="H464" s="147"/>
      <c r="I464" s="147"/>
      <c r="J464" s="147"/>
      <c r="K464" s="3"/>
      <c r="L464" s="3"/>
      <c r="M464" s="3"/>
      <c r="N464" s="3"/>
      <c r="O464" s="3"/>
      <c r="P464" s="3"/>
      <c r="Q464" s="3"/>
      <c r="R464" s="3"/>
      <c r="S464" s="3"/>
      <c r="T464" s="3"/>
      <c r="U464" s="3"/>
      <c r="V464" s="3"/>
      <c r="W464" s="3"/>
      <c r="X464" s="3"/>
      <c r="Y464" s="3"/>
      <c r="Z464" s="3"/>
    </row>
    <row r="465" spans="1:26" ht="22.5" customHeight="1" x14ac:dyDescent="0.85">
      <c r="A465" s="166"/>
      <c r="B465" s="167"/>
      <c r="C465" s="167"/>
      <c r="D465" s="147"/>
      <c r="E465" s="147"/>
      <c r="F465" s="147"/>
      <c r="G465" s="147"/>
      <c r="H465" s="147"/>
      <c r="I465" s="147"/>
      <c r="J465" s="147"/>
      <c r="K465" s="3"/>
      <c r="L465" s="3"/>
      <c r="M465" s="3"/>
      <c r="N465" s="3"/>
      <c r="O465" s="3"/>
      <c r="P465" s="3"/>
      <c r="Q465" s="3"/>
      <c r="R465" s="3"/>
      <c r="S465" s="3"/>
      <c r="T465" s="3"/>
      <c r="U465" s="3"/>
      <c r="V465" s="3"/>
      <c r="W465" s="3"/>
      <c r="X465" s="3"/>
      <c r="Y465" s="3"/>
      <c r="Z465" s="3"/>
    </row>
    <row r="466" spans="1:26" ht="22.5" customHeight="1" x14ac:dyDescent="0.85">
      <c r="A466" s="166"/>
      <c r="B466" s="167"/>
      <c r="C466" s="167"/>
      <c r="D466" s="147"/>
      <c r="E466" s="147"/>
      <c r="F466" s="147"/>
      <c r="G466" s="147"/>
      <c r="H466" s="147"/>
      <c r="I466" s="147"/>
      <c r="J466" s="147"/>
      <c r="K466" s="3"/>
      <c r="L466" s="3"/>
      <c r="M466" s="3"/>
      <c r="N466" s="3"/>
      <c r="O466" s="3"/>
      <c r="P466" s="3"/>
      <c r="Q466" s="3"/>
      <c r="R466" s="3"/>
      <c r="S466" s="3"/>
      <c r="T466" s="3"/>
      <c r="U466" s="3"/>
      <c r="V466" s="3"/>
      <c r="W466" s="3"/>
      <c r="X466" s="3"/>
      <c r="Y466" s="3"/>
      <c r="Z466" s="3"/>
    </row>
    <row r="467" spans="1:26" ht="22.5" customHeight="1" x14ac:dyDescent="0.85">
      <c r="A467" s="166"/>
      <c r="B467" s="167"/>
      <c r="C467" s="167"/>
      <c r="D467" s="147"/>
      <c r="E467" s="147"/>
      <c r="F467" s="147"/>
      <c r="G467" s="147"/>
      <c r="H467" s="147"/>
      <c r="I467" s="147"/>
      <c r="J467" s="147"/>
      <c r="K467" s="3"/>
      <c r="L467" s="3"/>
      <c r="M467" s="3"/>
      <c r="N467" s="3"/>
      <c r="O467" s="3"/>
      <c r="P467" s="3"/>
      <c r="Q467" s="3"/>
      <c r="R467" s="3"/>
      <c r="S467" s="3"/>
      <c r="T467" s="3"/>
      <c r="U467" s="3"/>
      <c r="V467" s="3"/>
      <c r="W467" s="3"/>
      <c r="X467" s="3"/>
      <c r="Y467" s="3"/>
      <c r="Z467" s="3"/>
    </row>
    <row r="468" spans="1:26" ht="22.5" customHeight="1" x14ac:dyDescent="0.85">
      <c r="A468" s="166"/>
      <c r="B468" s="167"/>
      <c r="C468" s="167"/>
      <c r="D468" s="147"/>
      <c r="E468" s="147"/>
      <c r="F468" s="147"/>
      <c r="G468" s="147"/>
      <c r="H468" s="147"/>
      <c r="I468" s="147"/>
      <c r="J468" s="147"/>
      <c r="K468" s="3"/>
      <c r="L468" s="3"/>
      <c r="M468" s="3"/>
      <c r="N468" s="3"/>
      <c r="O468" s="3"/>
      <c r="P468" s="3"/>
      <c r="Q468" s="3"/>
      <c r="R468" s="3"/>
      <c r="S468" s="3"/>
      <c r="T468" s="3"/>
      <c r="U468" s="3"/>
      <c r="V468" s="3"/>
      <c r="W468" s="3"/>
      <c r="X468" s="3"/>
      <c r="Y468" s="3"/>
      <c r="Z468" s="3"/>
    </row>
    <row r="469" spans="1:26" ht="22.5" customHeight="1" x14ac:dyDescent="0.85">
      <c r="A469" s="166"/>
      <c r="B469" s="167"/>
      <c r="C469" s="167"/>
      <c r="D469" s="147"/>
      <c r="E469" s="147"/>
      <c r="F469" s="147"/>
      <c r="G469" s="147"/>
      <c r="H469" s="147"/>
      <c r="I469" s="147"/>
      <c r="J469" s="147"/>
      <c r="K469" s="3"/>
      <c r="L469" s="3"/>
      <c r="M469" s="3"/>
      <c r="N469" s="3"/>
      <c r="O469" s="3"/>
      <c r="P469" s="3"/>
      <c r="Q469" s="3"/>
      <c r="R469" s="3"/>
      <c r="S469" s="3"/>
      <c r="T469" s="3"/>
      <c r="U469" s="3"/>
      <c r="V469" s="3"/>
      <c r="W469" s="3"/>
      <c r="X469" s="3"/>
      <c r="Y469" s="3"/>
      <c r="Z469" s="3"/>
    </row>
    <row r="470" spans="1:26" ht="22.5" customHeight="1" x14ac:dyDescent="0.85">
      <c r="A470" s="166"/>
      <c r="B470" s="167"/>
      <c r="C470" s="167"/>
      <c r="D470" s="147"/>
      <c r="E470" s="147"/>
      <c r="F470" s="147"/>
      <c r="G470" s="147"/>
      <c r="H470" s="147"/>
      <c r="I470" s="147"/>
      <c r="J470" s="147"/>
      <c r="K470" s="3"/>
      <c r="L470" s="3"/>
      <c r="M470" s="3"/>
      <c r="N470" s="3"/>
      <c r="O470" s="3"/>
      <c r="P470" s="3"/>
      <c r="Q470" s="3"/>
      <c r="R470" s="3"/>
      <c r="S470" s="3"/>
      <c r="T470" s="3"/>
      <c r="U470" s="3"/>
      <c r="V470" s="3"/>
      <c r="W470" s="3"/>
      <c r="X470" s="3"/>
      <c r="Y470" s="3"/>
      <c r="Z470" s="3"/>
    </row>
    <row r="471" spans="1:26" ht="22.5" customHeight="1" x14ac:dyDescent="0.85">
      <c r="A471" s="166"/>
      <c r="B471" s="167"/>
      <c r="C471" s="167"/>
      <c r="D471" s="147"/>
      <c r="E471" s="147"/>
      <c r="F471" s="147"/>
      <c r="G471" s="147"/>
      <c r="H471" s="147"/>
      <c r="I471" s="147"/>
      <c r="J471" s="147"/>
      <c r="K471" s="3"/>
      <c r="L471" s="3"/>
      <c r="M471" s="3"/>
      <c r="N471" s="3"/>
      <c r="O471" s="3"/>
      <c r="P471" s="3"/>
      <c r="Q471" s="3"/>
      <c r="R471" s="3"/>
      <c r="S471" s="3"/>
      <c r="T471" s="3"/>
      <c r="U471" s="3"/>
      <c r="V471" s="3"/>
      <c r="W471" s="3"/>
      <c r="X471" s="3"/>
      <c r="Y471" s="3"/>
      <c r="Z471" s="3"/>
    </row>
    <row r="472" spans="1:26" ht="22.5" customHeight="1" x14ac:dyDescent="0.85">
      <c r="A472" s="166"/>
      <c r="B472" s="167"/>
      <c r="C472" s="167"/>
      <c r="D472" s="147"/>
      <c r="E472" s="147"/>
      <c r="F472" s="147"/>
      <c r="G472" s="147"/>
      <c r="H472" s="147"/>
      <c r="I472" s="147"/>
      <c r="J472" s="147"/>
      <c r="K472" s="3"/>
      <c r="L472" s="3"/>
      <c r="M472" s="3"/>
      <c r="N472" s="3"/>
      <c r="O472" s="3"/>
      <c r="P472" s="3"/>
      <c r="Q472" s="3"/>
      <c r="R472" s="3"/>
      <c r="S472" s="3"/>
      <c r="T472" s="3"/>
      <c r="U472" s="3"/>
      <c r="V472" s="3"/>
      <c r="W472" s="3"/>
      <c r="X472" s="3"/>
      <c r="Y472" s="3"/>
      <c r="Z472" s="3"/>
    </row>
    <row r="473" spans="1:26" ht="22.5" customHeight="1" x14ac:dyDescent="0.85">
      <c r="A473" s="166"/>
      <c r="B473" s="167"/>
      <c r="C473" s="167"/>
      <c r="D473" s="147"/>
      <c r="E473" s="147"/>
      <c r="F473" s="147"/>
      <c r="G473" s="147"/>
      <c r="H473" s="147"/>
      <c r="I473" s="147"/>
      <c r="J473" s="147"/>
      <c r="K473" s="3"/>
      <c r="L473" s="3"/>
      <c r="M473" s="3"/>
      <c r="N473" s="3"/>
      <c r="O473" s="3"/>
      <c r="P473" s="3"/>
      <c r="Q473" s="3"/>
      <c r="R473" s="3"/>
      <c r="S473" s="3"/>
      <c r="T473" s="3"/>
      <c r="U473" s="3"/>
      <c r="V473" s="3"/>
      <c r="W473" s="3"/>
      <c r="X473" s="3"/>
      <c r="Y473" s="3"/>
      <c r="Z473" s="3"/>
    </row>
    <row r="474" spans="1:26" ht="22.5" customHeight="1" x14ac:dyDescent="0.85">
      <c r="A474" s="166"/>
      <c r="B474" s="167"/>
      <c r="C474" s="167"/>
      <c r="D474" s="147"/>
      <c r="E474" s="147"/>
      <c r="F474" s="147"/>
      <c r="G474" s="147"/>
      <c r="H474" s="147"/>
      <c r="I474" s="147"/>
      <c r="J474" s="147"/>
      <c r="K474" s="3"/>
      <c r="L474" s="3"/>
      <c r="M474" s="3"/>
      <c r="N474" s="3"/>
      <c r="O474" s="3"/>
      <c r="P474" s="3"/>
      <c r="Q474" s="3"/>
      <c r="R474" s="3"/>
      <c r="S474" s="3"/>
      <c r="T474" s="3"/>
      <c r="U474" s="3"/>
      <c r="V474" s="3"/>
      <c r="W474" s="3"/>
      <c r="X474" s="3"/>
      <c r="Y474" s="3"/>
      <c r="Z474" s="3"/>
    </row>
    <row r="475" spans="1:26" ht="22.5" customHeight="1" x14ac:dyDescent="0.85">
      <c r="A475" s="166"/>
      <c r="B475" s="167"/>
      <c r="C475" s="167"/>
      <c r="D475" s="147"/>
      <c r="E475" s="147"/>
      <c r="F475" s="147"/>
      <c r="G475" s="147"/>
      <c r="H475" s="147"/>
      <c r="I475" s="147"/>
      <c r="J475" s="147"/>
      <c r="K475" s="3"/>
      <c r="L475" s="3"/>
      <c r="M475" s="3"/>
      <c r="N475" s="3"/>
      <c r="O475" s="3"/>
      <c r="P475" s="3"/>
      <c r="Q475" s="3"/>
      <c r="R475" s="3"/>
      <c r="S475" s="3"/>
      <c r="T475" s="3"/>
      <c r="U475" s="3"/>
      <c r="V475" s="3"/>
      <c r="W475" s="3"/>
      <c r="X475" s="3"/>
      <c r="Y475" s="3"/>
      <c r="Z475" s="3"/>
    </row>
    <row r="476" spans="1:26" ht="22.5" customHeight="1" x14ac:dyDescent="0.85">
      <c r="A476" s="166"/>
      <c r="B476" s="167"/>
      <c r="C476" s="167"/>
      <c r="D476" s="147"/>
      <c r="E476" s="147"/>
      <c r="F476" s="147"/>
      <c r="G476" s="147"/>
      <c r="H476" s="147"/>
      <c r="I476" s="147"/>
      <c r="J476" s="147"/>
      <c r="K476" s="3"/>
      <c r="L476" s="3"/>
      <c r="M476" s="3"/>
      <c r="N476" s="3"/>
      <c r="O476" s="3"/>
      <c r="P476" s="3"/>
      <c r="Q476" s="3"/>
      <c r="R476" s="3"/>
      <c r="S476" s="3"/>
      <c r="T476" s="3"/>
      <c r="U476" s="3"/>
      <c r="V476" s="3"/>
      <c r="W476" s="3"/>
      <c r="X476" s="3"/>
      <c r="Y476" s="3"/>
      <c r="Z476" s="3"/>
    </row>
    <row r="477" spans="1:26" ht="22.5" customHeight="1" x14ac:dyDescent="0.85">
      <c r="A477" s="166"/>
      <c r="B477" s="167"/>
      <c r="C477" s="167"/>
      <c r="D477" s="147"/>
      <c r="E477" s="147"/>
      <c r="F477" s="147"/>
      <c r="G477" s="147"/>
      <c r="H477" s="147"/>
      <c r="I477" s="147"/>
      <c r="J477" s="147"/>
      <c r="K477" s="3"/>
      <c r="L477" s="3"/>
      <c r="M477" s="3"/>
      <c r="N477" s="3"/>
      <c r="O477" s="3"/>
      <c r="P477" s="3"/>
      <c r="Q477" s="3"/>
      <c r="R477" s="3"/>
      <c r="S477" s="3"/>
      <c r="T477" s="3"/>
      <c r="U477" s="3"/>
      <c r="V477" s="3"/>
      <c r="W477" s="3"/>
      <c r="X477" s="3"/>
      <c r="Y477" s="3"/>
      <c r="Z477" s="3"/>
    </row>
    <row r="478" spans="1:26" ht="22.5" customHeight="1" x14ac:dyDescent="0.85">
      <c r="A478" s="166"/>
      <c r="B478" s="167"/>
      <c r="C478" s="167"/>
      <c r="D478" s="147"/>
      <c r="E478" s="147"/>
      <c r="F478" s="147"/>
      <c r="G478" s="147"/>
      <c r="H478" s="147"/>
      <c r="I478" s="147"/>
      <c r="J478" s="147"/>
      <c r="K478" s="3"/>
      <c r="L478" s="3"/>
      <c r="M478" s="3"/>
      <c r="N478" s="3"/>
      <c r="O478" s="3"/>
      <c r="P478" s="3"/>
      <c r="Q478" s="3"/>
      <c r="R478" s="3"/>
      <c r="S478" s="3"/>
      <c r="T478" s="3"/>
      <c r="U478" s="3"/>
      <c r="V478" s="3"/>
      <c r="W478" s="3"/>
      <c r="X478" s="3"/>
      <c r="Y478" s="3"/>
      <c r="Z478" s="3"/>
    </row>
    <row r="479" spans="1:26" ht="22.5" customHeight="1" x14ac:dyDescent="0.85">
      <c r="A479" s="166"/>
      <c r="B479" s="167"/>
      <c r="C479" s="167"/>
      <c r="D479" s="147"/>
      <c r="E479" s="147"/>
      <c r="F479" s="147"/>
      <c r="G479" s="147"/>
      <c r="H479" s="147"/>
      <c r="I479" s="147"/>
      <c r="J479" s="147"/>
      <c r="K479" s="3"/>
      <c r="L479" s="3"/>
      <c r="M479" s="3"/>
      <c r="N479" s="3"/>
      <c r="O479" s="3"/>
      <c r="P479" s="3"/>
      <c r="Q479" s="3"/>
      <c r="R479" s="3"/>
      <c r="S479" s="3"/>
      <c r="T479" s="3"/>
      <c r="U479" s="3"/>
      <c r="V479" s="3"/>
      <c r="W479" s="3"/>
      <c r="X479" s="3"/>
      <c r="Y479" s="3"/>
      <c r="Z479" s="3"/>
    </row>
    <row r="480" spans="1:26" ht="22.5" customHeight="1" x14ac:dyDescent="0.85">
      <c r="A480" s="166"/>
      <c r="B480" s="167"/>
      <c r="C480" s="167"/>
      <c r="D480" s="147"/>
      <c r="E480" s="147"/>
      <c r="F480" s="147"/>
      <c r="G480" s="147"/>
      <c r="H480" s="147"/>
      <c r="I480" s="147"/>
      <c r="J480" s="147"/>
      <c r="K480" s="3"/>
      <c r="L480" s="3"/>
      <c r="M480" s="3"/>
      <c r="N480" s="3"/>
      <c r="O480" s="3"/>
      <c r="P480" s="3"/>
      <c r="Q480" s="3"/>
      <c r="R480" s="3"/>
      <c r="S480" s="3"/>
      <c r="T480" s="3"/>
      <c r="U480" s="3"/>
      <c r="V480" s="3"/>
      <c r="W480" s="3"/>
      <c r="X480" s="3"/>
      <c r="Y480" s="3"/>
      <c r="Z480" s="3"/>
    </row>
    <row r="481" spans="1:26" ht="22.5" customHeight="1" x14ac:dyDescent="0.85">
      <c r="A481" s="166"/>
      <c r="B481" s="167"/>
      <c r="C481" s="167"/>
      <c r="D481" s="147"/>
      <c r="E481" s="147"/>
      <c r="F481" s="147"/>
      <c r="G481" s="147"/>
      <c r="H481" s="147"/>
      <c r="I481" s="147"/>
      <c r="J481" s="147"/>
      <c r="K481" s="3"/>
      <c r="L481" s="3"/>
      <c r="M481" s="3"/>
      <c r="N481" s="3"/>
      <c r="O481" s="3"/>
      <c r="P481" s="3"/>
      <c r="Q481" s="3"/>
      <c r="R481" s="3"/>
      <c r="S481" s="3"/>
      <c r="T481" s="3"/>
      <c r="U481" s="3"/>
      <c r="V481" s="3"/>
      <c r="W481" s="3"/>
      <c r="X481" s="3"/>
      <c r="Y481" s="3"/>
      <c r="Z481" s="3"/>
    </row>
    <row r="482" spans="1:26" ht="22.5" customHeight="1" x14ac:dyDescent="0.85">
      <c r="A482" s="166"/>
      <c r="B482" s="167"/>
      <c r="C482" s="167"/>
      <c r="D482" s="147"/>
      <c r="E482" s="147"/>
      <c r="F482" s="147"/>
      <c r="G482" s="147"/>
      <c r="H482" s="147"/>
      <c r="I482" s="147"/>
      <c r="J482" s="147"/>
      <c r="K482" s="3"/>
      <c r="L482" s="3"/>
      <c r="M482" s="3"/>
      <c r="N482" s="3"/>
      <c r="O482" s="3"/>
      <c r="P482" s="3"/>
      <c r="Q482" s="3"/>
      <c r="R482" s="3"/>
      <c r="S482" s="3"/>
      <c r="T482" s="3"/>
      <c r="U482" s="3"/>
      <c r="V482" s="3"/>
      <c r="W482" s="3"/>
      <c r="X482" s="3"/>
      <c r="Y482" s="3"/>
      <c r="Z482" s="3"/>
    </row>
    <row r="483" spans="1:26" ht="22.5" customHeight="1" x14ac:dyDescent="0.85">
      <c r="A483" s="166"/>
      <c r="B483" s="167"/>
      <c r="C483" s="167"/>
      <c r="D483" s="147"/>
      <c r="E483" s="147"/>
      <c r="F483" s="147"/>
      <c r="G483" s="147"/>
      <c r="H483" s="147"/>
      <c r="I483" s="147"/>
      <c r="J483" s="147"/>
      <c r="K483" s="3"/>
      <c r="L483" s="3"/>
      <c r="M483" s="3"/>
      <c r="N483" s="3"/>
      <c r="O483" s="3"/>
      <c r="P483" s="3"/>
      <c r="Q483" s="3"/>
      <c r="R483" s="3"/>
      <c r="S483" s="3"/>
      <c r="T483" s="3"/>
      <c r="U483" s="3"/>
      <c r="V483" s="3"/>
      <c r="W483" s="3"/>
      <c r="X483" s="3"/>
      <c r="Y483" s="3"/>
      <c r="Z483" s="3"/>
    </row>
    <row r="484" spans="1:26" ht="22.5" customHeight="1" x14ac:dyDescent="0.85">
      <c r="A484" s="166"/>
      <c r="B484" s="167"/>
      <c r="C484" s="167"/>
      <c r="D484" s="147"/>
      <c r="E484" s="147"/>
      <c r="F484" s="147"/>
      <c r="G484" s="147"/>
      <c r="H484" s="147"/>
      <c r="I484" s="147"/>
      <c r="J484" s="147"/>
      <c r="K484" s="3"/>
      <c r="L484" s="3"/>
      <c r="M484" s="3"/>
      <c r="N484" s="3"/>
      <c r="O484" s="3"/>
      <c r="P484" s="3"/>
      <c r="Q484" s="3"/>
      <c r="R484" s="3"/>
      <c r="S484" s="3"/>
      <c r="T484" s="3"/>
      <c r="U484" s="3"/>
      <c r="V484" s="3"/>
      <c r="W484" s="3"/>
      <c r="X484" s="3"/>
      <c r="Y484" s="3"/>
      <c r="Z484" s="3"/>
    </row>
    <row r="485" spans="1:26" ht="22.5" customHeight="1" x14ac:dyDescent="0.85">
      <c r="A485" s="166"/>
      <c r="B485" s="167"/>
      <c r="C485" s="167"/>
      <c r="D485" s="147"/>
      <c r="E485" s="147"/>
      <c r="F485" s="147"/>
      <c r="G485" s="147"/>
      <c r="H485" s="147"/>
      <c r="I485" s="147"/>
      <c r="J485" s="147"/>
      <c r="K485" s="3"/>
      <c r="L485" s="3"/>
      <c r="M485" s="3"/>
      <c r="N485" s="3"/>
      <c r="O485" s="3"/>
      <c r="P485" s="3"/>
      <c r="Q485" s="3"/>
      <c r="R485" s="3"/>
      <c r="S485" s="3"/>
      <c r="T485" s="3"/>
      <c r="U485" s="3"/>
      <c r="V485" s="3"/>
      <c r="W485" s="3"/>
      <c r="X485" s="3"/>
      <c r="Y485" s="3"/>
      <c r="Z485" s="3"/>
    </row>
    <row r="486" spans="1:26" ht="22.5" customHeight="1" x14ac:dyDescent="0.85">
      <c r="A486" s="166"/>
      <c r="B486" s="167"/>
      <c r="C486" s="167"/>
      <c r="D486" s="147"/>
      <c r="E486" s="147"/>
      <c r="F486" s="147"/>
      <c r="G486" s="147"/>
      <c r="H486" s="147"/>
      <c r="I486" s="147"/>
      <c r="J486" s="147"/>
      <c r="K486" s="3"/>
      <c r="L486" s="3"/>
      <c r="M486" s="3"/>
      <c r="N486" s="3"/>
      <c r="O486" s="3"/>
      <c r="P486" s="3"/>
      <c r="Q486" s="3"/>
      <c r="R486" s="3"/>
      <c r="S486" s="3"/>
      <c r="T486" s="3"/>
      <c r="U486" s="3"/>
      <c r="V486" s="3"/>
      <c r="W486" s="3"/>
      <c r="X486" s="3"/>
      <c r="Y486" s="3"/>
      <c r="Z486" s="3"/>
    </row>
    <row r="487" spans="1:26" ht="22.5" customHeight="1" x14ac:dyDescent="0.85">
      <c r="A487" s="166"/>
      <c r="B487" s="167"/>
      <c r="C487" s="167"/>
      <c r="D487" s="147"/>
      <c r="E487" s="147"/>
      <c r="F487" s="147"/>
      <c r="G487" s="147"/>
      <c r="H487" s="147"/>
      <c r="I487" s="147"/>
      <c r="J487" s="147"/>
      <c r="K487" s="3"/>
      <c r="L487" s="3"/>
      <c r="M487" s="3"/>
      <c r="N487" s="3"/>
      <c r="O487" s="3"/>
      <c r="P487" s="3"/>
      <c r="Q487" s="3"/>
      <c r="R487" s="3"/>
      <c r="S487" s="3"/>
      <c r="T487" s="3"/>
      <c r="U487" s="3"/>
      <c r="V487" s="3"/>
      <c r="W487" s="3"/>
      <c r="X487" s="3"/>
      <c r="Y487" s="3"/>
      <c r="Z487" s="3"/>
    </row>
    <row r="488" spans="1:26" ht="22.5" customHeight="1" x14ac:dyDescent="0.85">
      <c r="A488" s="166"/>
      <c r="B488" s="167"/>
      <c r="C488" s="167"/>
      <c r="D488" s="147"/>
      <c r="E488" s="147"/>
      <c r="F488" s="147"/>
      <c r="G488" s="147"/>
      <c r="H488" s="147"/>
      <c r="I488" s="147"/>
      <c r="J488" s="147"/>
      <c r="K488" s="3"/>
      <c r="L488" s="3"/>
      <c r="M488" s="3"/>
      <c r="N488" s="3"/>
      <c r="O488" s="3"/>
      <c r="P488" s="3"/>
      <c r="Q488" s="3"/>
      <c r="R488" s="3"/>
      <c r="S488" s="3"/>
      <c r="T488" s="3"/>
      <c r="U488" s="3"/>
      <c r="V488" s="3"/>
      <c r="W488" s="3"/>
      <c r="X488" s="3"/>
      <c r="Y488" s="3"/>
      <c r="Z488" s="3"/>
    </row>
    <row r="489" spans="1:26" ht="22.5" customHeight="1" x14ac:dyDescent="0.85">
      <c r="A489" s="166"/>
      <c r="B489" s="167"/>
      <c r="C489" s="167"/>
      <c r="D489" s="147"/>
      <c r="E489" s="147"/>
      <c r="F489" s="147"/>
      <c r="G489" s="147"/>
      <c r="H489" s="147"/>
      <c r="I489" s="147"/>
      <c r="J489" s="147"/>
      <c r="K489" s="3"/>
      <c r="L489" s="3"/>
      <c r="M489" s="3"/>
      <c r="N489" s="3"/>
      <c r="O489" s="3"/>
      <c r="P489" s="3"/>
      <c r="Q489" s="3"/>
      <c r="R489" s="3"/>
      <c r="S489" s="3"/>
      <c r="T489" s="3"/>
      <c r="U489" s="3"/>
      <c r="V489" s="3"/>
      <c r="W489" s="3"/>
      <c r="X489" s="3"/>
      <c r="Y489" s="3"/>
      <c r="Z489" s="3"/>
    </row>
    <row r="490" spans="1:26" ht="22.5" customHeight="1" x14ac:dyDescent="0.85">
      <c r="A490" s="166"/>
      <c r="B490" s="167"/>
      <c r="C490" s="167"/>
      <c r="D490" s="147"/>
      <c r="E490" s="147"/>
      <c r="F490" s="147"/>
      <c r="G490" s="147"/>
      <c r="H490" s="147"/>
      <c r="I490" s="147"/>
      <c r="J490" s="147"/>
      <c r="K490" s="3"/>
      <c r="L490" s="3"/>
      <c r="M490" s="3"/>
      <c r="N490" s="3"/>
      <c r="O490" s="3"/>
      <c r="P490" s="3"/>
      <c r="Q490" s="3"/>
      <c r="R490" s="3"/>
      <c r="S490" s="3"/>
      <c r="T490" s="3"/>
      <c r="U490" s="3"/>
      <c r="V490" s="3"/>
      <c r="W490" s="3"/>
      <c r="X490" s="3"/>
      <c r="Y490" s="3"/>
      <c r="Z490" s="3"/>
    </row>
    <row r="491" spans="1:26" ht="22.5" customHeight="1" x14ac:dyDescent="0.85">
      <c r="A491" s="166"/>
      <c r="B491" s="167"/>
      <c r="C491" s="167"/>
      <c r="D491" s="147"/>
      <c r="E491" s="147"/>
      <c r="F491" s="147"/>
      <c r="G491" s="147"/>
      <c r="H491" s="147"/>
      <c r="I491" s="147"/>
      <c r="J491" s="147"/>
      <c r="K491" s="3"/>
      <c r="L491" s="3"/>
      <c r="M491" s="3"/>
      <c r="N491" s="3"/>
      <c r="O491" s="3"/>
      <c r="P491" s="3"/>
      <c r="Q491" s="3"/>
      <c r="R491" s="3"/>
      <c r="S491" s="3"/>
      <c r="T491" s="3"/>
      <c r="U491" s="3"/>
      <c r="V491" s="3"/>
      <c r="W491" s="3"/>
      <c r="X491" s="3"/>
      <c r="Y491" s="3"/>
      <c r="Z491" s="3"/>
    </row>
    <row r="492" spans="1:26" ht="22.5" customHeight="1" x14ac:dyDescent="0.85">
      <c r="A492" s="166"/>
      <c r="B492" s="167"/>
      <c r="C492" s="167"/>
      <c r="D492" s="147"/>
      <c r="E492" s="147"/>
      <c r="F492" s="147"/>
      <c r="G492" s="147"/>
      <c r="H492" s="147"/>
      <c r="I492" s="147"/>
      <c r="J492" s="147"/>
      <c r="K492" s="3"/>
      <c r="L492" s="3"/>
      <c r="M492" s="3"/>
      <c r="N492" s="3"/>
      <c r="O492" s="3"/>
      <c r="P492" s="3"/>
      <c r="Q492" s="3"/>
      <c r="R492" s="3"/>
      <c r="S492" s="3"/>
      <c r="T492" s="3"/>
      <c r="U492" s="3"/>
      <c r="V492" s="3"/>
      <c r="W492" s="3"/>
      <c r="X492" s="3"/>
      <c r="Y492" s="3"/>
      <c r="Z492" s="3"/>
    </row>
    <row r="493" spans="1:26" ht="22.5" customHeight="1" x14ac:dyDescent="0.85">
      <c r="A493" s="166"/>
      <c r="B493" s="167"/>
      <c r="C493" s="167"/>
      <c r="D493" s="147"/>
      <c r="E493" s="147"/>
      <c r="F493" s="147"/>
      <c r="G493" s="147"/>
      <c r="H493" s="147"/>
      <c r="I493" s="147"/>
      <c r="J493" s="147"/>
      <c r="K493" s="3"/>
      <c r="L493" s="3"/>
      <c r="M493" s="3"/>
      <c r="N493" s="3"/>
      <c r="O493" s="3"/>
      <c r="P493" s="3"/>
      <c r="Q493" s="3"/>
      <c r="R493" s="3"/>
      <c r="S493" s="3"/>
      <c r="T493" s="3"/>
      <c r="U493" s="3"/>
      <c r="V493" s="3"/>
      <c r="W493" s="3"/>
      <c r="X493" s="3"/>
      <c r="Y493" s="3"/>
      <c r="Z493" s="3"/>
    </row>
    <row r="494" spans="1:26" ht="22.5" customHeight="1" x14ac:dyDescent="0.85">
      <c r="A494" s="166"/>
      <c r="B494" s="167"/>
      <c r="C494" s="167"/>
      <c r="D494" s="147"/>
      <c r="E494" s="147"/>
      <c r="F494" s="147"/>
      <c r="G494" s="147"/>
      <c r="H494" s="147"/>
      <c r="I494" s="147"/>
      <c r="J494" s="147"/>
      <c r="K494" s="3"/>
      <c r="L494" s="3"/>
      <c r="M494" s="3"/>
      <c r="N494" s="3"/>
      <c r="O494" s="3"/>
      <c r="P494" s="3"/>
      <c r="Q494" s="3"/>
      <c r="R494" s="3"/>
      <c r="S494" s="3"/>
      <c r="T494" s="3"/>
      <c r="U494" s="3"/>
      <c r="V494" s="3"/>
      <c r="W494" s="3"/>
      <c r="X494" s="3"/>
      <c r="Y494" s="3"/>
      <c r="Z494" s="3"/>
    </row>
    <row r="495" spans="1:26" ht="22.5" customHeight="1" x14ac:dyDescent="0.85">
      <c r="A495" s="166"/>
      <c r="B495" s="167"/>
      <c r="C495" s="167"/>
      <c r="D495" s="147"/>
      <c r="E495" s="147"/>
      <c r="F495" s="147"/>
      <c r="G495" s="147"/>
      <c r="H495" s="147"/>
      <c r="I495" s="147"/>
      <c r="J495" s="147"/>
      <c r="K495" s="3"/>
      <c r="L495" s="3"/>
      <c r="M495" s="3"/>
      <c r="N495" s="3"/>
      <c r="O495" s="3"/>
      <c r="P495" s="3"/>
      <c r="Q495" s="3"/>
      <c r="R495" s="3"/>
      <c r="S495" s="3"/>
      <c r="T495" s="3"/>
      <c r="U495" s="3"/>
      <c r="V495" s="3"/>
      <c r="W495" s="3"/>
      <c r="X495" s="3"/>
      <c r="Y495" s="3"/>
      <c r="Z495" s="3"/>
    </row>
    <row r="496" spans="1:26" ht="22.5" customHeight="1" x14ac:dyDescent="0.85">
      <c r="A496" s="166"/>
      <c r="B496" s="167"/>
      <c r="C496" s="167"/>
      <c r="D496" s="147"/>
      <c r="E496" s="147"/>
      <c r="F496" s="147"/>
      <c r="G496" s="147"/>
      <c r="H496" s="147"/>
      <c r="I496" s="147"/>
      <c r="J496" s="147"/>
      <c r="K496" s="3"/>
      <c r="L496" s="3"/>
      <c r="M496" s="3"/>
      <c r="N496" s="3"/>
      <c r="O496" s="3"/>
      <c r="P496" s="3"/>
      <c r="Q496" s="3"/>
      <c r="R496" s="3"/>
      <c r="S496" s="3"/>
      <c r="T496" s="3"/>
      <c r="U496" s="3"/>
      <c r="V496" s="3"/>
      <c r="W496" s="3"/>
      <c r="X496" s="3"/>
      <c r="Y496" s="3"/>
      <c r="Z496" s="3"/>
    </row>
    <row r="497" spans="1:26" ht="22.5" customHeight="1" x14ac:dyDescent="0.85">
      <c r="A497" s="166"/>
      <c r="B497" s="167"/>
      <c r="C497" s="167"/>
      <c r="D497" s="147"/>
      <c r="E497" s="147"/>
      <c r="F497" s="147"/>
      <c r="G497" s="147"/>
      <c r="H497" s="147"/>
      <c r="I497" s="147"/>
      <c r="J497" s="147"/>
      <c r="K497" s="3"/>
      <c r="L497" s="3"/>
      <c r="M497" s="3"/>
      <c r="N497" s="3"/>
      <c r="O497" s="3"/>
      <c r="P497" s="3"/>
      <c r="Q497" s="3"/>
      <c r="R497" s="3"/>
      <c r="S497" s="3"/>
      <c r="T497" s="3"/>
      <c r="U497" s="3"/>
      <c r="V497" s="3"/>
      <c r="W497" s="3"/>
      <c r="X497" s="3"/>
      <c r="Y497" s="3"/>
      <c r="Z497" s="3"/>
    </row>
    <row r="498" spans="1:26" ht="22.5" customHeight="1" x14ac:dyDescent="0.85">
      <c r="A498" s="166"/>
      <c r="B498" s="167"/>
      <c r="C498" s="167"/>
      <c r="D498" s="147"/>
      <c r="E498" s="147"/>
      <c r="F498" s="147"/>
      <c r="G498" s="147"/>
      <c r="H498" s="147"/>
      <c r="I498" s="147"/>
      <c r="J498" s="147"/>
      <c r="K498" s="3"/>
      <c r="L498" s="3"/>
      <c r="M498" s="3"/>
      <c r="N498" s="3"/>
      <c r="O498" s="3"/>
      <c r="P498" s="3"/>
      <c r="Q498" s="3"/>
      <c r="R498" s="3"/>
      <c r="S498" s="3"/>
      <c r="T498" s="3"/>
      <c r="U498" s="3"/>
      <c r="V498" s="3"/>
      <c r="W498" s="3"/>
      <c r="X498" s="3"/>
      <c r="Y498" s="3"/>
      <c r="Z498" s="3"/>
    </row>
    <row r="499" spans="1:26" ht="22.5" customHeight="1" x14ac:dyDescent="0.85">
      <c r="A499" s="166"/>
      <c r="B499" s="167"/>
      <c r="C499" s="167"/>
      <c r="D499" s="147"/>
      <c r="E499" s="147"/>
      <c r="F499" s="147"/>
      <c r="G499" s="147"/>
      <c r="H499" s="147"/>
      <c r="I499" s="147"/>
      <c r="J499" s="147"/>
      <c r="K499" s="3"/>
      <c r="L499" s="3"/>
      <c r="M499" s="3"/>
      <c r="N499" s="3"/>
      <c r="O499" s="3"/>
      <c r="P499" s="3"/>
      <c r="Q499" s="3"/>
      <c r="R499" s="3"/>
      <c r="S499" s="3"/>
      <c r="T499" s="3"/>
      <c r="U499" s="3"/>
      <c r="V499" s="3"/>
      <c r="W499" s="3"/>
      <c r="X499" s="3"/>
      <c r="Y499" s="3"/>
      <c r="Z499" s="3"/>
    </row>
    <row r="500" spans="1:26" ht="22.5" customHeight="1" x14ac:dyDescent="0.85">
      <c r="A500" s="166"/>
      <c r="B500" s="167"/>
      <c r="C500" s="167"/>
      <c r="D500" s="147"/>
      <c r="E500" s="147"/>
      <c r="F500" s="147"/>
      <c r="G500" s="147"/>
      <c r="H500" s="147"/>
      <c r="I500" s="147"/>
      <c r="J500" s="147"/>
      <c r="K500" s="3"/>
      <c r="L500" s="3"/>
      <c r="M500" s="3"/>
      <c r="N500" s="3"/>
      <c r="O500" s="3"/>
      <c r="P500" s="3"/>
      <c r="Q500" s="3"/>
      <c r="R500" s="3"/>
      <c r="S500" s="3"/>
      <c r="T500" s="3"/>
      <c r="U500" s="3"/>
      <c r="V500" s="3"/>
      <c r="W500" s="3"/>
      <c r="X500" s="3"/>
      <c r="Y500" s="3"/>
      <c r="Z500" s="3"/>
    </row>
    <row r="501" spans="1:26" ht="22.5" customHeight="1" x14ac:dyDescent="0.85">
      <c r="A501" s="166"/>
      <c r="B501" s="167"/>
      <c r="C501" s="167"/>
      <c r="D501" s="147"/>
      <c r="E501" s="147"/>
      <c r="F501" s="147"/>
      <c r="G501" s="147"/>
      <c r="H501" s="147"/>
      <c r="I501" s="147"/>
      <c r="J501" s="147"/>
      <c r="K501" s="3"/>
      <c r="L501" s="3"/>
      <c r="M501" s="3"/>
      <c r="N501" s="3"/>
      <c r="O501" s="3"/>
      <c r="P501" s="3"/>
      <c r="Q501" s="3"/>
      <c r="R501" s="3"/>
      <c r="S501" s="3"/>
      <c r="T501" s="3"/>
      <c r="U501" s="3"/>
      <c r="V501" s="3"/>
      <c r="W501" s="3"/>
      <c r="X501" s="3"/>
      <c r="Y501" s="3"/>
      <c r="Z501" s="3"/>
    </row>
    <row r="502" spans="1:26" ht="22.5" customHeight="1" x14ac:dyDescent="0.85">
      <c r="A502" s="166"/>
      <c r="B502" s="167"/>
      <c r="C502" s="167"/>
      <c r="D502" s="147"/>
      <c r="E502" s="147"/>
      <c r="F502" s="147"/>
      <c r="G502" s="147"/>
      <c r="H502" s="147"/>
      <c r="I502" s="147"/>
      <c r="J502" s="147"/>
      <c r="K502" s="3"/>
      <c r="L502" s="3"/>
      <c r="M502" s="3"/>
      <c r="N502" s="3"/>
      <c r="O502" s="3"/>
      <c r="P502" s="3"/>
      <c r="Q502" s="3"/>
      <c r="R502" s="3"/>
      <c r="S502" s="3"/>
      <c r="T502" s="3"/>
      <c r="U502" s="3"/>
      <c r="V502" s="3"/>
      <c r="W502" s="3"/>
      <c r="X502" s="3"/>
      <c r="Y502" s="3"/>
      <c r="Z502" s="3"/>
    </row>
    <row r="503" spans="1:26" ht="22.5" customHeight="1" x14ac:dyDescent="0.85">
      <c r="A503" s="166"/>
      <c r="B503" s="167"/>
      <c r="C503" s="167"/>
      <c r="D503" s="147"/>
      <c r="E503" s="147"/>
      <c r="F503" s="147"/>
      <c r="G503" s="147"/>
      <c r="H503" s="147"/>
      <c r="I503" s="147"/>
      <c r="J503" s="147"/>
      <c r="K503" s="3"/>
      <c r="L503" s="3"/>
      <c r="M503" s="3"/>
      <c r="N503" s="3"/>
      <c r="O503" s="3"/>
      <c r="P503" s="3"/>
      <c r="Q503" s="3"/>
      <c r="R503" s="3"/>
      <c r="S503" s="3"/>
      <c r="T503" s="3"/>
      <c r="U503" s="3"/>
      <c r="V503" s="3"/>
      <c r="W503" s="3"/>
      <c r="X503" s="3"/>
      <c r="Y503" s="3"/>
      <c r="Z503" s="3"/>
    </row>
    <row r="504" spans="1:26" ht="22.5" customHeight="1" x14ac:dyDescent="0.85">
      <c r="A504" s="166"/>
      <c r="B504" s="167"/>
      <c r="C504" s="167"/>
      <c r="D504" s="147"/>
      <c r="E504" s="147"/>
      <c r="F504" s="147"/>
      <c r="G504" s="147"/>
      <c r="H504" s="147"/>
      <c r="I504" s="147"/>
      <c r="J504" s="147"/>
      <c r="K504" s="3"/>
      <c r="L504" s="3"/>
      <c r="M504" s="3"/>
      <c r="N504" s="3"/>
      <c r="O504" s="3"/>
      <c r="P504" s="3"/>
      <c r="Q504" s="3"/>
      <c r="R504" s="3"/>
      <c r="S504" s="3"/>
      <c r="T504" s="3"/>
      <c r="U504" s="3"/>
      <c r="V504" s="3"/>
      <c r="W504" s="3"/>
      <c r="X504" s="3"/>
      <c r="Y504" s="3"/>
      <c r="Z504" s="3"/>
    </row>
    <row r="505" spans="1:26" ht="22.5" customHeight="1" x14ac:dyDescent="0.85">
      <c r="A505" s="166"/>
      <c r="B505" s="167"/>
      <c r="C505" s="167"/>
      <c r="D505" s="147"/>
      <c r="E505" s="147"/>
      <c r="F505" s="147"/>
      <c r="G505" s="147"/>
      <c r="H505" s="147"/>
      <c r="I505" s="147"/>
      <c r="J505" s="147"/>
      <c r="K505" s="3"/>
      <c r="L505" s="3"/>
      <c r="M505" s="3"/>
      <c r="N505" s="3"/>
      <c r="O505" s="3"/>
      <c r="P505" s="3"/>
      <c r="Q505" s="3"/>
      <c r="R505" s="3"/>
      <c r="S505" s="3"/>
      <c r="T505" s="3"/>
      <c r="U505" s="3"/>
      <c r="V505" s="3"/>
      <c r="W505" s="3"/>
      <c r="X505" s="3"/>
      <c r="Y505" s="3"/>
      <c r="Z505" s="3"/>
    </row>
    <row r="506" spans="1:26" ht="22.5" customHeight="1" x14ac:dyDescent="0.85">
      <c r="A506" s="166"/>
      <c r="B506" s="167"/>
      <c r="C506" s="167"/>
      <c r="D506" s="147"/>
      <c r="E506" s="147"/>
      <c r="F506" s="147"/>
      <c r="G506" s="147"/>
      <c r="H506" s="147"/>
      <c r="I506" s="147"/>
      <c r="J506" s="147"/>
      <c r="K506" s="3"/>
      <c r="L506" s="3"/>
      <c r="M506" s="3"/>
      <c r="N506" s="3"/>
      <c r="O506" s="3"/>
      <c r="P506" s="3"/>
      <c r="Q506" s="3"/>
      <c r="R506" s="3"/>
      <c r="S506" s="3"/>
      <c r="T506" s="3"/>
      <c r="U506" s="3"/>
      <c r="V506" s="3"/>
      <c r="W506" s="3"/>
      <c r="X506" s="3"/>
      <c r="Y506" s="3"/>
      <c r="Z506" s="3"/>
    </row>
    <row r="507" spans="1:26" ht="22.5" customHeight="1" x14ac:dyDescent="0.85">
      <c r="A507" s="166"/>
      <c r="B507" s="167"/>
      <c r="C507" s="167"/>
      <c r="D507" s="147"/>
      <c r="E507" s="147"/>
      <c r="F507" s="147"/>
      <c r="G507" s="147"/>
      <c r="H507" s="147"/>
      <c r="I507" s="147"/>
      <c r="J507" s="147"/>
      <c r="K507" s="3"/>
      <c r="L507" s="3"/>
      <c r="M507" s="3"/>
      <c r="N507" s="3"/>
      <c r="O507" s="3"/>
      <c r="P507" s="3"/>
      <c r="Q507" s="3"/>
      <c r="R507" s="3"/>
      <c r="S507" s="3"/>
      <c r="T507" s="3"/>
      <c r="U507" s="3"/>
      <c r="V507" s="3"/>
      <c r="W507" s="3"/>
      <c r="X507" s="3"/>
      <c r="Y507" s="3"/>
      <c r="Z507" s="3"/>
    </row>
    <row r="508" spans="1:26" ht="22.5" customHeight="1" x14ac:dyDescent="0.85">
      <c r="A508" s="166"/>
      <c r="B508" s="167"/>
      <c r="C508" s="167"/>
      <c r="D508" s="147"/>
      <c r="E508" s="147"/>
      <c r="F508" s="147"/>
      <c r="G508" s="147"/>
      <c r="H508" s="147"/>
      <c r="I508" s="147"/>
      <c r="J508" s="147"/>
      <c r="K508" s="3"/>
      <c r="L508" s="3"/>
      <c r="M508" s="3"/>
      <c r="N508" s="3"/>
      <c r="O508" s="3"/>
      <c r="P508" s="3"/>
      <c r="Q508" s="3"/>
      <c r="R508" s="3"/>
      <c r="S508" s="3"/>
      <c r="T508" s="3"/>
      <c r="U508" s="3"/>
      <c r="V508" s="3"/>
      <c r="W508" s="3"/>
      <c r="X508" s="3"/>
      <c r="Y508" s="3"/>
      <c r="Z508" s="3"/>
    </row>
    <row r="509" spans="1:26" ht="22.5" customHeight="1" x14ac:dyDescent="0.85">
      <c r="A509" s="166"/>
      <c r="B509" s="167"/>
      <c r="C509" s="167"/>
      <c r="D509" s="147"/>
      <c r="E509" s="147"/>
      <c r="F509" s="147"/>
      <c r="G509" s="147"/>
      <c r="H509" s="147"/>
      <c r="I509" s="147"/>
      <c r="J509" s="147"/>
      <c r="K509" s="3"/>
      <c r="L509" s="3"/>
      <c r="M509" s="3"/>
      <c r="N509" s="3"/>
      <c r="O509" s="3"/>
      <c r="P509" s="3"/>
      <c r="Q509" s="3"/>
      <c r="R509" s="3"/>
      <c r="S509" s="3"/>
      <c r="T509" s="3"/>
      <c r="U509" s="3"/>
      <c r="V509" s="3"/>
      <c r="W509" s="3"/>
      <c r="X509" s="3"/>
      <c r="Y509" s="3"/>
      <c r="Z509" s="3"/>
    </row>
    <row r="510" spans="1:26" ht="22.5" customHeight="1" x14ac:dyDescent="0.85">
      <c r="A510" s="166"/>
      <c r="B510" s="167"/>
      <c r="C510" s="167"/>
      <c r="D510" s="147"/>
      <c r="E510" s="147"/>
      <c r="F510" s="147"/>
      <c r="G510" s="147"/>
      <c r="H510" s="147"/>
      <c r="I510" s="147"/>
      <c r="J510" s="147"/>
      <c r="K510" s="3"/>
      <c r="L510" s="3"/>
      <c r="M510" s="3"/>
      <c r="N510" s="3"/>
      <c r="O510" s="3"/>
      <c r="P510" s="3"/>
      <c r="Q510" s="3"/>
      <c r="R510" s="3"/>
      <c r="S510" s="3"/>
      <c r="T510" s="3"/>
      <c r="U510" s="3"/>
      <c r="V510" s="3"/>
      <c r="W510" s="3"/>
      <c r="X510" s="3"/>
      <c r="Y510" s="3"/>
      <c r="Z510" s="3"/>
    </row>
    <row r="511" spans="1:26" ht="22.5" customHeight="1" x14ac:dyDescent="0.85">
      <c r="A511" s="166"/>
      <c r="B511" s="167"/>
      <c r="C511" s="167"/>
      <c r="D511" s="147"/>
      <c r="E511" s="147"/>
      <c r="F511" s="147"/>
      <c r="G511" s="147"/>
      <c r="H511" s="147"/>
      <c r="I511" s="147"/>
      <c r="J511" s="147"/>
      <c r="K511" s="3"/>
      <c r="L511" s="3"/>
      <c r="M511" s="3"/>
      <c r="N511" s="3"/>
      <c r="O511" s="3"/>
      <c r="P511" s="3"/>
      <c r="Q511" s="3"/>
      <c r="R511" s="3"/>
      <c r="S511" s="3"/>
      <c r="T511" s="3"/>
      <c r="U511" s="3"/>
      <c r="V511" s="3"/>
      <c r="W511" s="3"/>
      <c r="X511" s="3"/>
      <c r="Y511" s="3"/>
      <c r="Z511" s="3"/>
    </row>
    <row r="512" spans="1:26" ht="22.5" customHeight="1" x14ac:dyDescent="0.85">
      <c r="A512" s="166"/>
      <c r="B512" s="167"/>
      <c r="C512" s="167"/>
      <c r="D512" s="147"/>
      <c r="E512" s="147"/>
      <c r="F512" s="147"/>
      <c r="G512" s="147"/>
      <c r="H512" s="147"/>
      <c r="I512" s="147"/>
      <c r="J512" s="147"/>
      <c r="K512" s="3"/>
      <c r="L512" s="3"/>
      <c r="M512" s="3"/>
      <c r="N512" s="3"/>
      <c r="O512" s="3"/>
      <c r="P512" s="3"/>
      <c r="Q512" s="3"/>
      <c r="R512" s="3"/>
      <c r="S512" s="3"/>
      <c r="T512" s="3"/>
      <c r="U512" s="3"/>
      <c r="V512" s="3"/>
      <c r="W512" s="3"/>
      <c r="X512" s="3"/>
      <c r="Y512" s="3"/>
      <c r="Z512" s="3"/>
    </row>
    <row r="513" spans="1:26" ht="22.5" customHeight="1" x14ac:dyDescent="0.85">
      <c r="A513" s="166"/>
      <c r="B513" s="167"/>
      <c r="C513" s="167"/>
      <c r="D513" s="147"/>
      <c r="E513" s="147"/>
      <c r="F513" s="147"/>
      <c r="G513" s="147"/>
      <c r="H513" s="147"/>
      <c r="I513" s="147"/>
      <c r="J513" s="147"/>
      <c r="K513" s="3"/>
      <c r="L513" s="3"/>
      <c r="M513" s="3"/>
      <c r="N513" s="3"/>
      <c r="O513" s="3"/>
      <c r="P513" s="3"/>
      <c r="Q513" s="3"/>
      <c r="R513" s="3"/>
      <c r="S513" s="3"/>
      <c r="T513" s="3"/>
      <c r="U513" s="3"/>
      <c r="V513" s="3"/>
      <c r="W513" s="3"/>
      <c r="X513" s="3"/>
      <c r="Y513" s="3"/>
      <c r="Z513" s="3"/>
    </row>
    <row r="514" spans="1:26" ht="22.5" customHeight="1" x14ac:dyDescent="0.85">
      <c r="A514" s="166"/>
      <c r="B514" s="167"/>
      <c r="C514" s="167"/>
      <c r="D514" s="147"/>
      <c r="E514" s="147"/>
      <c r="F514" s="147"/>
      <c r="G514" s="147"/>
      <c r="H514" s="147"/>
      <c r="I514" s="147"/>
      <c r="J514" s="147"/>
      <c r="K514" s="3"/>
      <c r="L514" s="3"/>
      <c r="M514" s="3"/>
      <c r="N514" s="3"/>
      <c r="O514" s="3"/>
      <c r="P514" s="3"/>
      <c r="Q514" s="3"/>
      <c r="R514" s="3"/>
      <c r="S514" s="3"/>
      <c r="T514" s="3"/>
      <c r="U514" s="3"/>
      <c r="V514" s="3"/>
      <c r="W514" s="3"/>
      <c r="X514" s="3"/>
      <c r="Y514" s="3"/>
      <c r="Z514" s="3"/>
    </row>
    <row r="515" spans="1:26" ht="22.5" customHeight="1" x14ac:dyDescent="0.85">
      <c r="A515" s="166"/>
      <c r="B515" s="167"/>
      <c r="C515" s="167"/>
      <c r="D515" s="147"/>
      <c r="E515" s="147"/>
      <c r="F515" s="147"/>
      <c r="G515" s="147"/>
      <c r="H515" s="147"/>
      <c r="I515" s="147"/>
      <c r="J515" s="147"/>
      <c r="K515" s="3"/>
      <c r="L515" s="3"/>
      <c r="M515" s="3"/>
      <c r="N515" s="3"/>
      <c r="O515" s="3"/>
      <c r="P515" s="3"/>
      <c r="Q515" s="3"/>
      <c r="R515" s="3"/>
      <c r="S515" s="3"/>
      <c r="T515" s="3"/>
      <c r="U515" s="3"/>
      <c r="V515" s="3"/>
      <c r="W515" s="3"/>
      <c r="X515" s="3"/>
      <c r="Y515" s="3"/>
      <c r="Z515" s="3"/>
    </row>
    <row r="516" spans="1:26" ht="22.5" customHeight="1" x14ac:dyDescent="0.85">
      <c r="A516" s="166"/>
      <c r="B516" s="167"/>
      <c r="C516" s="167"/>
      <c r="D516" s="147"/>
      <c r="E516" s="147"/>
      <c r="F516" s="147"/>
      <c r="G516" s="147"/>
      <c r="H516" s="147"/>
      <c r="I516" s="147"/>
      <c r="J516" s="147"/>
      <c r="K516" s="3"/>
      <c r="L516" s="3"/>
      <c r="M516" s="3"/>
      <c r="N516" s="3"/>
      <c r="O516" s="3"/>
      <c r="P516" s="3"/>
      <c r="Q516" s="3"/>
      <c r="R516" s="3"/>
      <c r="S516" s="3"/>
      <c r="T516" s="3"/>
      <c r="U516" s="3"/>
      <c r="V516" s="3"/>
      <c r="W516" s="3"/>
      <c r="X516" s="3"/>
      <c r="Y516" s="3"/>
      <c r="Z516" s="3"/>
    </row>
    <row r="517" spans="1:26" ht="22.5" customHeight="1" x14ac:dyDescent="0.85">
      <c r="A517" s="166"/>
      <c r="B517" s="167"/>
      <c r="C517" s="167"/>
      <c r="D517" s="147"/>
      <c r="E517" s="147"/>
      <c r="F517" s="147"/>
      <c r="G517" s="147"/>
      <c r="H517" s="147"/>
      <c r="I517" s="147"/>
      <c r="J517" s="147"/>
      <c r="K517" s="3"/>
      <c r="L517" s="3"/>
      <c r="M517" s="3"/>
      <c r="N517" s="3"/>
      <c r="O517" s="3"/>
      <c r="P517" s="3"/>
      <c r="Q517" s="3"/>
      <c r="R517" s="3"/>
      <c r="S517" s="3"/>
      <c r="T517" s="3"/>
      <c r="U517" s="3"/>
      <c r="V517" s="3"/>
      <c r="W517" s="3"/>
      <c r="X517" s="3"/>
      <c r="Y517" s="3"/>
      <c r="Z517" s="3"/>
    </row>
    <row r="518" spans="1:26" ht="22.5" customHeight="1" x14ac:dyDescent="0.85">
      <c r="A518" s="166"/>
      <c r="B518" s="167"/>
      <c r="C518" s="167"/>
      <c r="D518" s="147"/>
      <c r="E518" s="147"/>
      <c r="F518" s="147"/>
      <c r="G518" s="147"/>
      <c r="H518" s="147"/>
      <c r="I518" s="147"/>
      <c r="J518" s="147"/>
      <c r="K518" s="3"/>
      <c r="L518" s="3"/>
      <c r="M518" s="3"/>
      <c r="N518" s="3"/>
      <c r="O518" s="3"/>
      <c r="P518" s="3"/>
      <c r="Q518" s="3"/>
      <c r="R518" s="3"/>
      <c r="S518" s="3"/>
      <c r="T518" s="3"/>
      <c r="U518" s="3"/>
      <c r="V518" s="3"/>
      <c r="W518" s="3"/>
      <c r="X518" s="3"/>
      <c r="Y518" s="3"/>
      <c r="Z518" s="3"/>
    </row>
    <row r="519" spans="1:26" ht="22.5" customHeight="1" x14ac:dyDescent="0.85">
      <c r="A519" s="166"/>
      <c r="B519" s="167"/>
      <c r="C519" s="167"/>
      <c r="D519" s="147"/>
      <c r="E519" s="147"/>
      <c r="F519" s="147"/>
      <c r="G519" s="147"/>
      <c r="H519" s="147"/>
      <c r="I519" s="147"/>
      <c r="J519" s="147"/>
      <c r="K519" s="3"/>
      <c r="L519" s="3"/>
      <c r="M519" s="3"/>
      <c r="N519" s="3"/>
      <c r="O519" s="3"/>
      <c r="P519" s="3"/>
      <c r="Q519" s="3"/>
      <c r="R519" s="3"/>
      <c r="S519" s="3"/>
      <c r="T519" s="3"/>
      <c r="U519" s="3"/>
      <c r="V519" s="3"/>
      <c r="W519" s="3"/>
      <c r="X519" s="3"/>
      <c r="Y519" s="3"/>
      <c r="Z519" s="3"/>
    </row>
    <row r="520" spans="1:26" ht="22.5" customHeight="1" x14ac:dyDescent="0.85">
      <c r="A520" s="166"/>
      <c r="B520" s="167"/>
      <c r="C520" s="167"/>
      <c r="D520" s="147"/>
      <c r="E520" s="147"/>
      <c r="F520" s="147"/>
      <c r="G520" s="147"/>
      <c r="H520" s="147"/>
      <c r="I520" s="147"/>
      <c r="J520" s="147"/>
      <c r="K520" s="3"/>
      <c r="L520" s="3"/>
      <c r="M520" s="3"/>
      <c r="N520" s="3"/>
      <c r="O520" s="3"/>
      <c r="P520" s="3"/>
      <c r="Q520" s="3"/>
      <c r="R520" s="3"/>
      <c r="S520" s="3"/>
      <c r="T520" s="3"/>
      <c r="U520" s="3"/>
      <c r="V520" s="3"/>
      <c r="W520" s="3"/>
      <c r="X520" s="3"/>
      <c r="Y520" s="3"/>
      <c r="Z520" s="3"/>
    </row>
    <row r="521" spans="1:26" ht="22.5" customHeight="1" x14ac:dyDescent="0.85">
      <c r="A521" s="166"/>
      <c r="B521" s="167"/>
      <c r="C521" s="167"/>
      <c r="D521" s="147"/>
      <c r="E521" s="147"/>
      <c r="F521" s="147"/>
      <c r="G521" s="147"/>
      <c r="H521" s="147"/>
      <c r="I521" s="147"/>
      <c r="J521" s="147"/>
      <c r="K521" s="3"/>
      <c r="L521" s="3"/>
      <c r="M521" s="3"/>
      <c r="N521" s="3"/>
      <c r="O521" s="3"/>
      <c r="P521" s="3"/>
      <c r="Q521" s="3"/>
      <c r="R521" s="3"/>
      <c r="S521" s="3"/>
      <c r="T521" s="3"/>
      <c r="U521" s="3"/>
      <c r="V521" s="3"/>
      <c r="W521" s="3"/>
      <c r="X521" s="3"/>
      <c r="Y521" s="3"/>
      <c r="Z521" s="3"/>
    </row>
    <row r="522" spans="1:26" ht="22.5" customHeight="1" x14ac:dyDescent="0.85">
      <c r="A522" s="166"/>
      <c r="B522" s="167"/>
      <c r="C522" s="167"/>
      <c r="D522" s="147"/>
      <c r="E522" s="147"/>
      <c r="F522" s="147"/>
      <c r="G522" s="147"/>
      <c r="H522" s="147"/>
      <c r="I522" s="147"/>
      <c r="J522" s="147"/>
      <c r="K522" s="3"/>
      <c r="L522" s="3"/>
      <c r="M522" s="3"/>
      <c r="N522" s="3"/>
      <c r="O522" s="3"/>
      <c r="P522" s="3"/>
      <c r="Q522" s="3"/>
      <c r="R522" s="3"/>
      <c r="S522" s="3"/>
      <c r="T522" s="3"/>
      <c r="U522" s="3"/>
      <c r="V522" s="3"/>
      <c r="W522" s="3"/>
      <c r="X522" s="3"/>
      <c r="Y522" s="3"/>
      <c r="Z522" s="3"/>
    </row>
    <row r="523" spans="1:26" ht="22.5" customHeight="1" x14ac:dyDescent="0.85">
      <c r="A523" s="166"/>
      <c r="B523" s="167"/>
      <c r="C523" s="167"/>
      <c r="D523" s="147"/>
      <c r="E523" s="147"/>
      <c r="F523" s="147"/>
      <c r="G523" s="147"/>
      <c r="H523" s="147"/>
      <c r="I523" s="147"/>
      <c r="J523" s="147"/>
      <c r="K523" s="3"/>
      <c r="L523" s="3"/>
      <c r="M523" s="3"/>
      <c r="N523" s="3"/>
      <c r="O523" s="3"/>
      <c r="P523" s="3"/>
      <c r="Q523" s="3"/>
      <c r="R523" s="3"/>
      <c r="S523" s="3"/>
      <c r="T523" s="3"/>
      <c r="U523" s="3"/>
      <c r="V523" s="3"/>
      <c r="W523" s="3"/>
      <c r="X523" s="3"/>
      <c r="Y523" s="3"/>
      <c r="Z523" s="3"/>
    </row>
    <row r="524" spans="1:26" ht="22.5" customHeight="1" x14ac:dyDescent="0.85">
      <c r="A524" s="166"/>
      <c r="B524" s="167"/>
      <c r="C524" s="167"/>
      <c r="D524" s="147"/>
      <c r="E524" s="147"/>
      <c r="F524" s="147"/>
      <c r="G524" s="147"/>
      <c r="H524" s="147"/>
      <c r="I524" s="147"/>
      <c r="J524" s="147"/>
      <c r="K524" s="3"/>
      <c r="L524" s="3"/>
      <c r="M524" s="3"/>
      <c r="N524" s="3"/>
      <c r="O524" s="3"/>
      <c r="P524" s="3"/>
      <c r="Q524" s="3"/>
      <c r="R524" s="3"/>
      <c r="S524" s="3"/>
      <c r="T524" s="3"/>
      <c r="U524" s="3"/>
      <c r="V524" s="3"/>
      <c r="W524" s="3"/>
      <c r="X524" s="3"/>
      <c r="Y524" s="3"/>
      <c r="Z524" s="3"/>
    </row>
    <row r="525" spans="1:26" ht="22.5" customHeight="1" x14ac:dyDescent="0.85">
      <c r="A525" s="166"/>
      <c r="B525" s="167"/>
      <c r="C525" s="167"/>
      <c r="D525" s="147"/>
      <c r="E525" s="147"/>
      <c r="F525" s="147"/>
      <c r="G525" s="147"/>
      <c r="H525" s="147"/>
      <c r="I525" s="147"/>
      <c r="J525" s="147"/>
      <c r="K525" s="3"/>
      <c r="L525" s="3"/>
      <c r="M525" s="3"/>
      <c r="N525" s="3"/>
      <c r="O525" s="3"/>
      <c r="P525" s="3"/>
      <c r="Q525" s="3"/>
      <c r="R525" s="3"/>
      <c r="S525" s="3"/>
      <c r="T525" s="3"/>
      <c r="U525" s="3"/>
      <c r="V525" s="3"/>
      <c r="W525" s="3"/>
      <c r="X525" s="3"/>
      <c r="Y525" s="3"/>
      <c r="Z525" s="3"/>
    </row>
    <row r="526" spans="1:26" ht="22.5" customHeight="1" x14ac:dyDescent="0.85">
      <c r="A526" s="166"/>
      <c r="B526" s="167"/>
      <c r="C526" s="167"/>
      <c r="D526" s="147"/>
      <c r="E526" s="147"/>
      <c r="F526" s="147"/>
      <c r="G526" s="147"/>
      <c r="H526" s="147"/>
      <c r="I526" s="147"/>
      <c r="J526" s="147"/>
      <c r="K526" s="3"/>
      <c r="L526" s="3"/>
      <c r="M526" s="3"/>
      <c r="N526" s="3"/>
      <c r="O526" s="3"/>
      <c r="P526" s="3"/>
      <c r="Q526" s="3"/>
      <c r="R526" s="3"/>
      <c r="S526" s="3"/>
      <c r="T526" s="3"/>
      <c r="U526" s="3"/>
      <c r="V526" s="3"/>
      <c r="W526" s="3"/>
      <c r="X526" s="3"/>
      <c r="Y526" s="3"/>
      <c r="Z526" s="3"/>
    </row>
    <row r="527" spans="1:26" ht="22.5" customHeight="1" x14ac:dyDescent="0.85">
      <c r="A527" s="166"/>
      <c r="B527" s="167"/>
      <c r="C527" s="167"/>
      <c r="D527" s="147"/>
      <c r="E527" s="147"/>
      <c r="F527" s="147"/>
      <c r="G527" s="147"/>
      <c r="H527" s="147"/>
      <c r="I527" s="147"/>
      <c r="J527" s="147"/>
      <c r="K527" s="3"/>
      <c r="L527" s="3"/>
      <c r="M527" s="3"/>
      <c r="N527" s="3"/>
      <c r="O527" s="3"/>
      <c r="P527" s="3"/>
      <c r="Q527" s="3"/>
      <c r="R527" s="3"/>
      <c r="S527" s="3"/>
      <c r="T527" s="3"/>
      <c r="U527" s="3"/>
      <c r="V527" s="3"/>
      <c r="W527" s="3"/>
      <c r="X527" s="3"/>
      <c r="Y527" s="3"/>
      <c r="Z527" s="3"/>
    </row>
    <row r="528" spans="1:26" ht="22.5" customHeight="1" x14ac:dyDescent="0.85">
      <c r="A528" s="166"/>
      <c r="B528" s="167"/>
      <c r="C528" s="167"/>
      <c r="D528" s="147"/>
      <c r="E528" s="147"/>
      <c r="F528" s="147"/>
      <c r="G528" s="147"/>
      <c r="H528" s="147"/>
      <c r="I528" s="147"/>
      <c r="J528" s="147"/>
      <c r="K528" s="3"/>
      <c r="L528" s="3"/>
      <c r="M528" s="3"/>
      <c r="N528" s="3"/>
      <c r="O528" s="3"/>
      <c r="P528" s="3"/>
      <c r="Q528" s="3"/>
      <c r="R528" s="3"/>
      <c r="S528" s="3"/>
      <c r="T528" s="3"/>
      <c r="U528" s="3"/>
      <c r="V528" s="3"/>
      <c r="W528" s="3"/>
      <c r="X528" s="3"/>
      <c r="Y528" s="3"/>
      <c r="Z528" s="3"/>
    </row>
    <row r="529" spans="1:26" ht="22.5" customHeight="1" x14ac:dyDescent="0.85">
      <c r="A529" s="166"/>
      <c r="B529" s="167"/>
      <c r="C529" s="167"/>
      <c r="D529" s="147"/>
      <c r="E529" s="147"/>
      <c r="F529" s="147"/>
      <c r="G529" s="147"/>
      <c r="H529" s="147"/>
      <c r="I529" s="147"/>
      <c r="J529" s="147"/>
      <c r="K529" s="3"/>
      <c r="L529" s="3"/>
      <c r="M529" s="3"/>
      <c r="N529" s="3"/>
      <c r="O529" s="3"/>
      <c r="P529" s="3"/>
      <c r="Q529" s="3"/>
      <c r="R529" s="3"/>
      <c r="S529" s="3"/>
      <c r="T529" s="3"/>
      <c r="U529" s="3"/>
      <c r="V529" s="3"/>
      <c r="W529" s="3"/>
      <c r="X529" s="3"/>
      <c r="Y529" s="3"/>
      <c r="Z529" s="3"/>
    </row>
    <row r="530" spans="1:26" ht="22.5" customHeight="1" x14ac:dyDescent="0.85">
      <c r="A530" s="166"/>
      <c r="B530" s="167"/>
      <c r="C530" s="167"/>
      <c r="D530" s="147"/>
      <c r="E530" s="147"/>
      <c r="F530" s="147"/>
      <c r="G530" s="147"/>
      <c r="H530" s="147"/>
      <c r="I530" s="147"/>
      <c r="J530" s="147"/>
      <c r="K530" s="3"/>
      <c r="L530" s="3"/>
      <c r="M530" s="3"/>
      <c r="N530" s="3"/>
      <c r="O530" s="3"/>
      <c r="P530" s="3"/>
      <c r="Q530" s="3"/>
      <c r="R530" s="3"/>
      <c r="S530" s="3"/>
      <c r="T530" s="3"/>
      <c r="U530" s="3"/>
      <c r="V530" s="3"/>
      <c r="W530" s="3"/>
      <c r="X530" s="3"/>
      <c r="Y530" s="3"/>
      <c r="Z530" s="3"/>
    </row>
    <row r="531" spans="1:26" ht="22.5" customHeight="1" x14ac:dyDescent="0.85">
      <c r="A531" s="166"/>
      <c r="B531" s="167"/>
      <c r="C531" s="167"/>
      <c r="D531" s="147"/>
      <c r="E531" s="147"/>
      <c r="F531" s="147"/>
      <c r="G531" s="147"/>
      <c r="H531" s="147"/>
      <c r="I531" s="147"/>
      <c r="J531" s="147"/>
      <c r="K531" s="3"/>
      <c r="L531" s="3"/>
      <c r="M531" s="3"/>
      <c r="N531" s="3"/>
      <c r="O531" s="3"/>
      <c r="P531" s="3"/>
      <c r="Q531" s="3"/>
      <c r="R531" s="3"/>
      <c r="S531" s="3"/>
      <c r="T531" s="3"/>
      <c r="U531" s="3"/>
      <c r="V531" s="3"/>
      <c r="W531" s="3"/>
      <c r="X531" s="3"/>
      <c r="Y531" s="3"/>
      <c r="Z531" s="3"/>
    </row>
    <row r="532" spans="1:26" ht="22.5" customHeight="1" x14ac:dyDescent="0.85">
      <c r="A532" s="166"/>
      <c r="B532" s="167"/>
      <c r="C532" s="167"/>
      <c r="D532" s="147"/>
      <c r="E532" s="147"/>
      <c r="F532" s="147"/>
      <c r="G532" s="147"/>
      <c r="H532" s="147"/>
      <c r="I532" s="147"/>
      <c r="J532" s="147"/>
      <c r="K532" s="3"/>
      <c r="L532" s="3"/>
      <c r="M532" s="3"/>
      <c r="N532" s="3"/>
      <c r="O532" s="3"/>
      <c r="P532" s="3"/>
      <c r="Q532" s="3"/>
      <c r="R532" s="3"/>
      <c r="S532" s="3"/>
      <c r="T532" s="3"/>
      <c r="U532" s="3"/>
      <c r="V532" s="3"/>
      <c r="W532" s="3"/>
      <c r="X532" s="3"/>
      <c r="Y532" s="3"/>
      <c r="Z532" s="3"/>
    </row>
    <row r="533" spans="1:26" ht="22.5" customHeight="1" x14ac:dyDescent="0.85">
      <c r="A533" s="166"/>
      <c r="B533" s="167"/>
      <c r="C533" s="167"/>
      <c r="D533" s="147"/>
      <c r="E533" s="147"/>
      <c r="F533" s="147"/>
      <c r="G533" s="147"/>
      <c r="H533" s="147"/>
      <c r="I533" s="147"/>
      <c r="J533" s="147"/>
      <c r="K533" s="3"/>
      <c r="L533" s="3"/>
      <c r="M533" s="3"/>
      <c r="N533" s="3"/>
      <c r="O533" s="3"/>
      <c r="P533" s="3"/>
      <c r="Q533" s="3"/>
      <c r="R533" s="3"/>
      <c r="S533" s="3"/>
      <c r="T533" s="3"/>
      <c r="U533" s="3"/>
      <c r="V533" s="3"/>
      <c r="W533" s="3"/>
      <c r="X533" s="3"/>
      <c r="Y533" s="3"/>
      <c r="Z533" s="3"/>
    </row>
    <row r="534" spans="1:26" ht="22.5" customHeight="1" x14ac:dyDescent="0.85">
      <c r="A534" s="166"/>
      <c r="B534" s="167"/>
      <c r="C534" s="167"/>
      <c r="D534" s="147"/>
      <c r="E534" s="147"/>
      <c r="F534" s="147"/>
      <c r="G534" s="147"/>
      <c r="H534" s="147"/>
      <c r="I534" s="147"/>
      <c r="J534" s="147"/>
      <c r="K534" s="3"/>
      <c r="L534" s="3"/>
      <c r="M534" s="3"/>
      <c r="N534" s="3"/>
      <c r="O534" s="3"/>
      <c r="P534" s="3"/>
      <c r="Q534" s="3"/>
      <c r="R534" s="3"/>
      <c r="S534" s="3"/>
      <c r="T534" s="3"/>
      <c r="U534" s="3"/>
      <c r="V534" s="3"/>
      <c r="W534" s="3"/>
      <c r="X534" s="3"/>
      <c r="Y534" s="3"/>
      <c r="Z534" s="3"/>
    </row>
    <row r="535" spans="1:26" ht="22.5" customHeight="1" x14ac:dyDescent="0.85">
      <c r="A535" s="166"/>
      <c r="B535" s="167"/>
      <c r="C535" s="167"/>
      <c r="D535" s="147"/>
      <c r="E535" s="147"/>
      <c r="F535" s="147"/>
      <c r="G535" s="147"/>
      <c r="H535" s="147"/>
      <c r="I535" s="147"/>
      <c r="J535" s="147"/>
      <c r="K535" s="3"/>
      <c r="L535" s="3"/>
      <c r="M535" s="3"/>
      <c r="N535" s="3"/>
      <c r="O535" s="3"/>
      <c r="P535" s="3"/>
      <c r="Q535" s="3"/>
      <c r="R535" s="3"/>
      <c r="S535" s="3"/>
      <c r="T535" s="3"/>
      <c r="U535" s="3"/>
      <c r="V535" s="3"/>
      <c r="W535" s="3"/>
      <c r="X535" s="3"/>
      <c r="Y535" s="3"/>
      <c r="Z535" s="3"/>
    </row>
    <row r="536" spans="1:26" ht="22.5" customHeight="1" x14ac:dyDescent="0.85">
      <c r="A536" s="166"/>
      <c r="B536" s="167"/>
      <c r="C536" s="167"/>
      <c r="D536" s="147"/>
      <c r="E536" s="147"/>
      <c r="F536" s="147"/>
      <c r="G536" s="147"/>
      <c r="H536" s="147"/>
      <c r="I536" s="147"/>
      <c r="J536" s="147"/>
      <c r="K536" s="3"/>
      <c r="L536" s="3"/>
      <c r="M536" s="3"/>
      <c r="N536" s="3"/>
      <c r="O536" s="3"/>
      <c r="P536" s="3"/>
      <c r="Q536" s="3"/>
      <c r="R536" s="3"/>
      <c r="S536" s="3"/>
      <c r="T536" s="3"/>
      <c r="U536" s="3"/>
      <c r="V536" s="3"/>
      <c r="W536" s="3"/>
      <c r="X536" s="3"/>
      <c r="Y536" s="3"/>
      <c r="Z536" s="3"/>
    </row>
    <row r="537" spans="1:26" ht="22.5" customHeight="1" x14ac:dyDescent="0.85">
      <c r="A537" s="166"/>
      <c r="B537" s="167"/>
      <c r="C537" s="167"/>
      <c r="D537" s="147"/>
      <c r="E537" s="147"/>
      <c r="F537" s="147"/>
      <c r="G537" s="147"/>
      <c r="H537" s="147"/>
      <c r="I537" s="147"/>
      <c r="J537" s="147"/>
      <c r="K537" s="3"/>
      <c r="L537" s="3"/>
      <c r="M537" s="3"/>
      <c r="N537" s="3"/>
      <c r="O537" s="3"/>
      <c r="P537" s="3"/>
      <c r="Q537" s="3"/>
      <c r="R537" s="3"/>
      <c r="S537" s="3"/>
      <c r="T537" s="3"/>
      <c r="U537" s="3"/>
      <c r="V537" s="3"/>
      <c r="W537" s="3"/>
      <c r="X537" s="3"/>
      <c r="Y537" s="3"/>
      <c r="Z537" s="3"/>
    </row>
    <row r="538" spans="1:26" ht="22.5" customHeight="1" x14ac:dyDescent="0.85">
      <c r="A538" s="166"/>
      <c r="B538" s="167"/>
      <c r="C538" s="167"/>
      <c r="D538" s="147"/>
      <c r="E538" s="147"/>
      <c r="F538" s="147"/>
      <c r="G538" s="147"/>
      <c r="H538" s="147"/>
      <c r="I538" s="147"/>
      <c r="J538" s="147"/>
      <c r="K538" s="3"/>
      <c r="L538" s="3"/>
      <c r="M538" s="3"/>
      <c r="N538" s="3"/>
      <c r="O538" s="3"/>
      <c r="P538" s="3"/>
      <c r="Q538" s="3"/>
      <c r="R538" s="3"/>
      <c r="S538" s="3"/>
      <c r="T538" s="3"/>
      <c r="U538" s="3"/>
      <c r="V538" s="3"/>
      <c r="W538" s="3"/>
      <c r="X538" s="3"/>
      <c r="Y538" s="3"/>
      <c r="Z538" s="3"/>
    </row>
    <row r="539" spans="1:26" ht="22.5" customHeight="1" x14ac:dyDescent="0.85">
      <c r="A539" s="166"/>
      <c r="B539" s="167"/>
      <c r="C539" s="167"/>
      <c r="D539" s="147"/>
      <c r="E539" s="147"/>
      <c r="F539" s="147"/>
      <c r="G539" s="147"/>
      <c r="H539" s="147"/>
      <c r="I539" s="147"/>
      <c r="J539" s="147"/>
      <c r="K539" s="3"/>
      <c r="L539" s="3"/>
      <c r="M539" s="3"/>
      <c r="N539" s="3"/>
      <c r="O539" s="3"/>
      <c r="P539" s="3"/>
      <c r="Q539" s="3"/>
      <c r="R539" s="3"/>
      <c r="S539" s="3"/>
      <c r="T539" s="3"/>
      <c r="U539" s="3"/>
      <c r="V539" s="3"/>
      <c r="W539" s="3"/>
      <c r="X539" s="3"/>
      <c r="Y539" s="3"/>
      <c r="Z539" s="3"/>
    </row>
    <row r="540" spans="1:26" ht="22.5" customHeight="1" x14ac:dyDescent="0.85">
      <c r="A540" s="166"/>
      <c r="B540" s="167"/>
      <c r="C540" s="167"/>
      <c r="D540" s="147"/>
      <c r="E540" s="147"/>
      <c r="F540" s="147"/>
      <c r="G540" s="147"/>
      <c r="H540" s="147"/>
      <c r="I540" s="147"/>
      <c r="J540" s="147"/>
      <c r="K540" s="3"/>
      <c r="L540" s="3"/>
      <c r="M540" s="3"/>
      <c r="N540" s="3"/>
      <c r="O540" s="3"/>
      <c r="P540" s="3"/>
      <c r="Q540" s="3"/>
      <c r="R540" s="3"/>
      <c r="S540" s="3"/>
      <c r="T540" s="3"/>
      <c r="U540" s="3"/>
      <c r="V540" s="3"/>
      <c r="W540" s="3"/>
      <c r="X540" s="3"/>
      <c r="Y540" s="3"/>
      <c r="Z540" s="3"/>
    </row>
    <row r="541" spans="1:26" ht="22.5" customHeight="1" x14ac:dyDescent="0.85">
      <c r="A541" s="166"/>
      <c r="B541" s="167"/>
      <c r="C541" s="167"/>
      <c r="D541" s="147"/>
      <c r="E541" s="147"/>
      <c r="F541" s="147"/>
      <c r="G541" s="147"/>
      <c r="H541" s="147"/>
      <c r="I541" s="147"/>
      <c r="J541" s="147"/>
      <c r="K541" s="3"/>
      <c r="L541" s="3"/>
      <c r="M541" s="3"/>
      <c r="N541" s="3"/>
      <c r="O541" s="3"/>
      <c r="P541" s="3"/>
      <c r="Q541" s="3"/>
      <c r="R541" s="3"/>
      <c r="S541" s="3"/>
      <c r="T541" s="3"/>
      <c r="U541" s="3"/>
      <c r="V541" s="3"/>
      <c r="W541" s="3"/>
      <c r="X541" s="3"/>
      <c r="Y541" s="3"/>
      <c r="Z541" s="3"/>
    </row>
    <row r="542" spans="1:26" ht="22.5" customHeight="1" x14ac:dyDescent="0.85">
      <c r="A542" s="166"/>
      <c r="B542" s="167"/>
      <c r="C542" s="167"/>
      <c r="D542" s="147"/>
      <c r="E542" s="147"/>
      <c r="F542" s="147"/>
      <c r="G542" s="147"/>
      <c r="H542" s="147"/>
      <c r="I542" s="147"/>
      <c r="J542" s="147"/>
      <c r="K542" s="3"/>
      <c r="L542" s="3"/>
      <c r="M542" s="3"/>
      <c r="N542" s="3"/>
      <c r="O542" s="3"/>
      <c r="P542" s="3"/>
      <c r="Q542" s="3"/>
      <c r="R542" s="3"/>
      <c r="S542" s="3"/>
      <c r="T542" s="3"/>
      <c r="U542" s="3"/>
      <c r="V542" s="3"/>
      <c r="W542" s="3"/>
      <c r="X542" s="3"/>
      <c r="Y542" s="3"/>
      <c r="Z542" s="3"/>
    </row>
    <row r="543" spans="1:26" ht="22.5" customHeight="1" x14ac:dyDescent="0.85">
      <c r="A543" s="166"/>
      <c r="B543" s="167"/>
      <c r="C543" s="167"/>
      <c r="D543" s="147"/>
      <c r="E543" s="147"/>
      <c r="F543" s="147"/>
      <c r="G543" s="147"/>
      <c r="H543" s="147"/>
      <c r="I543" s="147"/>
      <c r="J543" s="147"/>
      <c r="K543" s="3"/>
      <c r="L543" s="3"/>
      <c r="M543" s="3"/>
      <c r="N543" s="3"/>
      <c r="O543" s="3"/>
      <c r="P543" s="3"/>
      <c r="Q543" s="3"/>
      <c r="R543" s="3"/>
      <c r="S543" s="3"/>
      <c r="T543" s="3"/>
      <c r="U543" s="3"/>
      <c r="V543" s="3"/>
      <c r="W543" s="3"/>
      <c r="X543" s="3"/>
      <c r="Y543" s="3"/>
      <c r="Z543" s="3"/>
    </row>
    <row r="544" spans="1:26" ht="22.5" customHeight="1" x14ac:dyDescent="0.85">
      <c r="A544" s="166"/>
      <c r="B544" s="167"/>
      <c r="C544" s="167"/>
      <c r="D544" s="147"/>
      <c r="E544" s="147"/>
      <c r="F544" s="147"/>
      <c r="G544" s="147"/>
      <c r="H544" s="147"/>
      <c r="I544" s="147"/>
      <c r="J544" s="147"/>
      <c r="K544" s="3"/>
      <c r="L544" s="3"/>
      <c r="M544" s="3"/>
      <c r="N544" s="3"/>
      <c r="O544" s="3"/>
      <c r="P544" s="3"/>
      <c r="Q544" s="3"/>
      <c r="R544" s="3"/>
      <c r="S544" s="3"/>
      <c r="T544" s="3"/>
      <c r="U544" s="3"/>
      <c r="V544" s="3"/>
      <c r="W544" s="3"/>
      <c r="X544" s="3"/>
      <c r="Y544" s="3"/>
      <c r="Z544" s="3"/>
    </row>
    <row r="545" spans="1:26" ht="22.5" customHeight="1" x14ac:dyDescent="0.85">
      <c r="A545" s="166"/>
      <c r="B545" s="167"/>
      <c r="C545" s="167"/>
      <c r="D545" s="147"/>
      <c r="E545" s="147"/>
      <c r="F545" s="147"/>
      <c r="G545" s="147"/>
      <c r="H545" s="147"/>
      <c r="I545" s="147"/>
      <c r="J545" s="147"/>
      <c r="K545" s="3"/>
      <c r="L545" s="3"/>
      <c r="M545" s="3"/>
      <c r="N545" s="3"/>
      <c r="O545" s="3"/>
      <c r="P545" s="3"/>
      <c r="Q545" s="3"/>
      <c r="R545" s="3"/>
      <c r="S545" s="3"/>
      <c r="T545" s="3"/>
      <c r="U545" s="3"/>
      <c r="V545" s="3"/>
      <c r="W545" s="3"/>
      <c r="X545" s="3"/>
      <c r="Y545" s="3"/>
      <c r="Z545" s="3"/>
    </row>
    <row r="546" spans="1:26" ht="22.5" customHeight="1" x14ac:dyDescent="0.85">
      <c r="A546" s="166"/>
      <c r="B546" s="167"/>
      <c r="C546" s="167"/>
      <c r="D546" s="147"/>
      <c r="E546" s="147"/>
      <c r="F546" s="147"/>
      <c r="G546" s="147"/>
      <c r="H546" s="147"/>
      <c r="I546" s="147"/>
      <c r="J546" s="147"/>
      <c r="K546" s="3"/>
      <c r="L546" s="3"/>
      <c r="M546" s="3"/>
      <c r="N546" s="3"/>
      <c r="O546" s="3"/>
      <c r="P546" s="3"/>
      <c r="Q546" s="3"/>
      <c r="R546" s="3"/>
      <c r="S546" s="3"/>
      <c r="T546" s="3"/>
      <c r="U546" s="3"/>
      <c r="V546" s="3"/>
      <c r="W546" s="3"/>
      <c r="X546" s="3"/>
      <c r="Y546" s="3"/>
      <c r="Z546" s="3"/>
    </row>
    <row r="547" spans="1:26" ht="22.5" customHeight="1" x14ac:dyDescent="0.85">
      <c r="A547" s="166"/>
      <c r="B547" s="167"/>
      <c r="C547" s="167"/>
      <c r="D547" s="147"/>
      <c r="E547" s="147"/>
      <c r="F547" s="147"/>
      <c r="G547" s="147"/>
      <c r="H547" s="147"/>
      <c r="I547" s="147"/>
      <c r="J547" s="147"/>
      <c r="K547" s="3"/>
      <c r="L547" s="3"/>
      <c r="M547" s="3"/>
      <c r="N547" s="3"/>
      <c r="O547" s="3"/>
      <c r="P547" s="3"/>
      <c r="Q547" s="3"/>
      <c r="R547" s="3"/>
      <c r="S547" s="3"/>
      <c r="T547" s="3"/>
      <c r="U547" s="3"/>
      <c r="V547" s="3"/>
      <c r="W547" s="3"/>
      <c r="X547" s="3"/>
      <c r="Y547" s="3"/>
      <c r="Z547" s="3"/>
    </row>
    <row r="548" spans="1:26" ht="22.5" customHeight="1" x14ac:dyDescent="0.85">
      <c r="A548" s="166"/>
      <c r="B548" s="167"/>
      <c r="C548" s="167"/>
      <c r="D548" s="147"/>
      <c r="E548" s="147"/>
      <c r="F548" s="147"/>
      <c r="G548" s="147"/>
      <c r="H548" s="147"/>
      <c r="I548" s="147"/>
      <c r="J548" s="147"/>
      <c r="K548" s="3"/>
      <c r="L548" s="3"/>
      <c r="M548" s="3"/>
      <c r="N548" s="3"/>
      <c r="O548" s="3"/>
      <c r="P548" s="3"/>
      <c r="Q548" s="3"/>
      <c r="R548" s="3"/>
      <c r="S548" s="3"/>
      <c r="T548" s="3"/>
      <c r="U548" s="3"/>
      <c r="V548" s="3"/>
      <c r="W548" s="3"/>
      <c r="X548" s="3"/>
      <c r="Y548" s="3"/>
      <c r="Z548" s="3"/>
    </row>
    <row r="549" spans="1:26" ht="22.5" customHeight="1" x14ac:dyDescent="0.85">
      <c r="A549" s="166"/>
      <c r="B549" s="167"/>
      <c r="C549" s="167"/>
      <c r="D549" s="147"/>
      <c r="E549" s="147"/>
      <c r="F549" s="147"/>
      <c r="G549" s="147"/>
      <c r="H549" s="147"/>
      <c r="I549" s="147"/>
      <c r="J549" s="147"/>
      <c r="K549" s="3"/>
      <c r="L549" s="3"/>
      <c r="M549" s="3"/>
      <c r="N549" s="3"/>
      <c r="O549" s="3"/>
      <c r="P549" s="3"/>
      <c r="Q549" s="3"/>
      <c r="R549" s="3"/>
      <c r="S549" s="3"/>
      <c r="T549" s="3"/>
      <c r="U549" s="3"/>
      <c r="V549" s="3"/>
      <c r="W549" s="3"/>
      <c r="X549" s="3"/>
      <c r="Y549" s="3"/>
      <c r="Z549" s="3"/>
    </row>
    <row r="550" spans="1:26" ht="22.5" customHeight="1" x14ac:dyDescent="0.85">
      <c r="A550" s="166"/>
      <c r="B550" s="167"/>
      <c r="C550" s="167"/>
      <c r="D550" s="147"/>
      <c r="E550" s="147"/>
      <c r="F550" s="147"/>
      <c r="G550" s="147"/>
      <c r="H550" s="147"/>
      <c r="I550" s="147"/>
      <c r="J550" s="147"/>
      <c r="K550" s="3"/>
      <c r="L550" s="3"/>
      <c r="M550" s="3"/>
      <c r="N550" s="3"/>
      <c r="O550" s="3"/>
      <c r="P550" s="3"/>
      <c r="Q550" s="3"/>
      <c r="R550" s="3"/>
      <c r="S550" s="3"/>
      <c r="T550" s="3"/>
      <c r="U550" s="3"/>
      <c r="V550" s="3"/>
      <c r="W550" s="3"/>
      <c r="X550" s="3"/>
      <c r="Y550" s="3"/>
      <c r="Z550" s="3"/>
    </row>
    <row r="551" spans="1:26" ht="22.5" customHeight="1" x14ac:dyDescent="0.85">
      <c r="A551" s="166"/>
      <c r="B551" s="167"/>
      <c r="C551" s="167"/>
      <c r="D551" s="147"/>
      <c r="E551" s="147"/>
      <c r="F551" s="147"/>
      <c r="G551" s="147"/>
      <c r="H551" s="147"/>
      <c r="I551" s="147"/>
      <c r="J551" s="147"/>
      <c r="K551" s="3"/>
      <c r="L551" s="3"/>
      <c r="M551" s="3"/>
      <c r="N551" s="3"/>
      <c r="O551" s="3"/>
      <c r="P551" s="3"/>
      <c r="Q551" s="3"/>
      <c r="R551" s="3"/>
      <c r="S551" s="3"/>
      <c r="T551" s="3"/>
      <c r="U551" s="3"/>
      <c r="V551" s="3"/>
      <c r="W551" s="3"/>
      <c r="X551" s="3"/>
      <c r="Y551" s="3"/>
      <c r="Z551" s="3"/>
    </row>
    <row r="552" spans="1:26" ht="22.5" customHeight="1" x14ac:dyDescent="0.85">
      <c r="A552" s="166"/>
      <c r="B552" s="167"/>
      <c r="C552" s="167"/>
      <c r="D552" s="147"/>
      <c r="E552" s="147"/>
      <c r="F552" s="147"/>
      <c r="G552" s="147"/>
      <c r="H552" s="147"/>
      <c r="I552" s="147"/>
      <c r="J552" s="147"/>
      <c r="K552" s="3"/>
      <c r="L552" s="3"/>
      <c r="M552" s="3"/>
      <c r="N552" s="3"/>
      <c r="O552" s="3"/>
      <c r="P552" s="3"/>
      <c r="Q552" s="3"/>
      <c r="R552" s="3"/>
      <c r="S552" s="3"/>
      <c r="T552" s="3"/>
      <c r="U552" s="3"/>
      <c r="V552" s="3"/>
      <c r="W552" s="3"/>
      <c r="X552" s="3"/>
      <c r="Y552" s="3"/>
      <c r="Z552" s="3"/>
    </row>
    <row r="553" spans="1:26" ht="22.5" customHeight="1" x14ac:dyDescent="0.85">
      <c r="A553" s="166"/>
      <c r="B553" s="167"/>
      <c r="C553" s="167"/>
      <c r="D553" s="147"/>
      <c r="E553" s="147"/>
      <c r="F553" s="147"/>
      <c r="G553" s="147"/>
      <c r="H553" s="147"/>
      <c r="I553" s="147"/>
      <c r="J553" s="147"/>
      <c r="K553" s="3"/>
      <c r="L553" s="3"/>
      <c r="M553" s="3"/>
      <c r="N553" s="3"/>
      <c r="O553" s="3"/>
      <c r="P553" s="3"/>
      <c r="Q553" s="3"/>
      <c r="R553" s="3"/>
      <c r="S553" s="3"/>
      <c r="T553" s="3"/>
      <c r="U553" s="3"/>
      <c r="V553" s="3"/>
      <c r="W553" s="3"/>
      <c r="X553" s="3"/>
      <c r="Y553" s="3"/>
      <c r="Z553" s="3"/>
    </row>
    <row r="554" spans="1:26" ht="22.5" customHeight="1" x14ac:dyDescent="0.85">
      <c r="A554" s="166"/>
      <c r="B554" s="167"/>
      <c r="C554" s="167"/>
      <c r="D554" s="147"/>
      <c r="E554" s="147"/>
      <c r="F554" s="147"/>
      <c r="G554" s="147"/>
      <c r="H554" s="147"/>
      <c r="I554" s="147"/>
      <c r="J554" s="147"/>
      <c r="K554" s="3"/>
      <c r="L554" s="3"/>
      <c r="M554" s="3"/>
      <c r="N554" s="3"/>
      <c r="O554" s="3"/>
      <c r="P554" s="3"/>
      <c r="Q554" s="3"/>
      <c r="R554" s="3"/>
      <c r="S554" s="3"/>
      <c r="T554" s="3"/>
      <c r="U554" s="3"/>
      <c r="V554" s="3"/>
      <c r="W554" s="3"/>
      <c r="X554" s="3"/>
      <c r="Y554" s="3"/>
      <c r="Z554" s="3"/>
    </row>
    <row r="555" spans="1:26" ht="22.5" customHeight="1" x14ac:dyDescent="0.85">
      <c r="A555" s="166"/>
      <c r="B555" s="167"/>
      <c r="C555" s="167"/>
      <c r="D555" s="147"/>
      <c r="E555" s="147"/>
      <c r="F555" s="147"/>
      <c r="G555" s="147"/>
      <c r="H555" s="147"/>
      <c r="I555" s="147"/>
      <c r="J555" s="147"/>
      <c r="K555" s="3"/>
      <c r="L555" s="3"/>
      <c r="M555" s="3"/>
      <c r="N555" s="3"/>
      <c r="O555" s="3"/>
      <c r="P555" s="3"/>
      <c r="Q555" s="3"/>
      <c r="R555" s="3"/>
      <c r="S555" s="3"/>
      <c r="T555" s="3"/>
      <c r="U555" s="3"/>
      <c r="V555" s="3"/>
      <c r="W555" s="3"/>
      <c r="X555" s="3"/>
      <c r="Y555" s="3"/>
      <c r="Z555" s="3"/>
    </row>
    <row r="556" spans="1:26" ht="22.5" customHeight="1" x14ac:dyDescent="0.85">
      <c r="A556" s="166"/>
      <c r="B556" s="167"/>
      <c r="C556" s="167"/>
      <c r="D556" s="147"/>
      <c r="E556" s="147"/>
      <c r="F556" s="147"/>
      <c r="G556" s="147"/>
      <c r="H556" s="147"/>
      <c r="I556" s="147"/>
      <c r="J556" s="147"/>
      <c r="K556" s="3"/>
      <c r="L556" s="3"/>
      <c r="M556" s="3"/>
      <c r="N556" s="3"/>
      <c r="O556" s="3"/>
      <c r="P556" s="3"/>
      <c r="Q556" s="3"/>
      <c r="R556" s="3"/>
      <c r="S556" s="3"/>
      <c r="T556" s="3"/>
      <c r="U556" s="3"/>
      <c r="V556" s="3"/>
      <c r="W556" s="3"/>
      <c r="X556" s="3"/>
      <c r="Y556" s="3"/>
      <c r="Z556" s="3"/>
    </row>
    <row r="557" spans="1:26" ht="22.5" customHeight="1" x14ac:dyDescent="0.85">
      <c r="A557" s="166"/>
      <c r="B557" s="167"/>
      <c r="C557" s="167"/>
      <c r="D557" s="147"/>
      <c r="E557" s="147"/>
      <c r="F557" s="147"/>
      <c r="G557" s="147"/>
      <c r="H557" s="147"/>
      <c r="I557" s="147"/>
      <c r="J557" s="147"/>
      <c r="K557" s="3"/>
      <c r="L557" s="3"/>
      <c r="M557" s="3"/>
      <c r="N557" s="3"/>
      <c r="O557" s="3"/>
      <c r="P557" s="3"/>
      <c r="Q557" s="3"/>
      <c r="R557" s="3"/>
      <c r="S557" s="3"/>
      <c r="T557" s="3"/>
      <c r="U557" s="3"/>
      <c r="V557" s="3"/>
      <c r="W557" s="3"/>
      <c r="X557" s="3"/>
      <c r="Y557" s="3"/>
      <c r="Z557" s="3"/>
    </row>
    <row r="558" spans="1:26" ht="22.5" customHeight="1" x14ac:dyDescent="0.85">
      <c r="A558" s="166"/>
      <c r="B558" s="167"/>
      <c r="C558" s="167"/>
      <c r="D558" s="147"/>
      <c r="E558" s="147"/>
      <c r="F558" s="147"/>
      <c r="G558" s="147"/>
      <c r="H558" s="147"/>
      <c r="I558" s="147"/>
      <c r="J558" s="147"/>
      <c r="K558" s="3"/>
      <c r="L558" s="3"/>
      <c r="M558" s="3"/>
      <c r="N558" s="3"/>
      <c r="O558" s="3"/>
      <c r="P558" s="3"/>
      <c r="Q558" s="3"/>
      <c r="R558" s="3"/>
      <c r="S558" s="3"/>
      <c r="T558" s="3"/>
      <c r="U558" s="3"/>
      <c r="V558" s="3"/>
      <c r="W558" s="3"/>
      <c r="X558" s="3"/>
      <c r="Y558" s="3"/>
      <c r="Z558" s="3"/>
    </row>
    <row r="559" spans="1:26" ht="22.5" customHeight="1" x14ac:dyDescent="0.85">
      <c r="A559" s="166"/>
      <c r="B559" s="167"/>
      <c r="C559" s="167"/>
      <c r="D559" s="147"/>
      <c r="E559" s="147"/>
      <c r="F559" s="147"/>
      <c r="G559" s="147"/>
      <c r="H559" s="147"/>
      <c r="I559" s="147"/>
      <c r="J559" s="147"/>
      <c r="K559" s="3"/>
      <c r="L559" s="3"/>
      <c r="M559" s="3"/>
      <c r="N559" s="3"/>
      <c r="O559" s="3"/>
      <c r="P559" s="3"/>
      <c r="Q559" s="3"/>
      <c r="R559" s="3"/>
      <c r="S559" s="3"/>
      <c r="T559" s="3"/>
      <c r="U559" s="3"/>
      <c r="V559" s="3"/>
      <c r="W559" s="3"/>
      <c r="X559" s="3"/>
      <c r="Y559" s="3"/>
      <c r="Z559" s="3"/>
    </row>
    <row r="560" spans="1:26" ht="22.5" customHeight="1" x14ac:dyDescent="0.85">
      <c r="A560" s="166"/>
      <c r="B560" s="167"/>
      <c r="C560" s="167"/>
      <c r="D560" s="147"/>
      <c r="E560" s="147"/>
      <c r="F560" s="147"/>
      <c r="G560" s="147"/>
      <c r="H560" s="147"/>
      <c r="I560" s="147"/>
      <c r="J560" s="147"/>
      <c r="K560" s="3"/>
      <c r="L560" s="3"/>
      <c r="M560" s="3"/>
      <c r="N560" s="3"/>
      <c r="O560" s="3"/>
      <c r="P560" s="3"/>
      <c r="Q560" s="3"/>
      <c r="R560" s="3"/>
      <c r="S560" s="3"/>
      <c r="T560" s="3"/>
      <c r="U560" s="3"/>
      <c r="V560" s="3"/>
      <c r="W560" s="3"/>
      <c r="X560" s="3"/>
      <c r="Y560" s="3"/>
      <c r="Z560" s="3"/>
    </row>
    <row r="561" spans="1:26" ht="22.5" customHeight="1" x14ac:dyDescent="0.85">
      <c r="A561" s="166"/>
      <c r="B561" s="167"/>
      <c r="C561" s="167"/>
      <c r="D561" s="147"/>
      <c r="E561" s="147"/>
      <c r="F561" s="147"/>
      <c r="G561" s="147"/>
      <c r="H561" s="147"/>
      <c r="I561" s="147"/>
      <c r="J561" s="147"/>
      <c r="K561" s="3"/>
      <c r="L561" s="3"/>
      <c r="M561" s="3"/>
      <c r="N561" s="3"/>
      <c r="O561" s="3"/>
      <c r="P561" s="3"/>
      <c r="Q561" s="3"/>
      <c r="R561" s="3"/>
      <c r="S561" s="3"/>
      <c r="T561" s="3"/>
      <c r="U561" s="3"/>
      <c r="V561" s="3"/>
      <c r="W561" s="3"/>
      <c r="X561" s="3"/>
      <c r="Y561" s="3"/>
      <c r="Z561" s="3"/>
    </row>
    <row r="562" spans="1:26" ht="22.5" customHeight="1" x14ac:dyDescent="0.85">
      <c r="A562" s="166"/>
      <c r="B562" s="167"/>
      <c r="C562" s="167"/>
      <c r="D562" s="147"/>
      <c r="E562" s="147"/>
      <c r="F562" s="147"/>
      <c r="G562" s="147"/>
      <c r="H562" s="147"/>
      <c r="I562" s="147"/>
      <c r="J562" s="147"/>
      <c r="K562" s="3"/>
      <c r="L562" s="3"/>
      <c r="M562" s="3"/>
      <c r="N562" s="3"/>
      <c r="O562" s="3"/>
      <c r="P562" s="3"/>
      <c r="Q562" s="3"/>
      <c r="R562" s="3"/>
      <c r="S562" s="3"/>
      <c r="T562" s="3"/>
      <c r="U562" s="3"/>
      <c r="V562" s="3"/>
      <c r="W562" s="3"/>
      <c r="X562" s="3"/>
      <c r="Y562" s="3"/>
      <c r="Z562" s="3"/>
    </row>
    <row r="563" spans="1:26" ht="22.5" customHeight="1" x14ac:dyDescent="0.85">
      <c r="A563" s="166"/>
      <c r="B563" s="167"/>
      <c r="C563" s="167"/>
      <c r="D563" s="147"/>
      <c r="E563" s="147"/>
      <c r="F563" s="147"/>
      <c r="G563" s="147"/>
      <c r="H563" s="147"/>
      <c r="I563" s="147"/>
      <c r="J563" s="147"/>
      <c r="K563" s="3"/>
      <c r="L563" s="3"/>
      <c r="M563" s="3"/>
      <c r="N563" s="3"/>
      <c r="O563" s="3"/>
      <c r="P563" s="3"/>
      <c r="Q563" s="3"/>
      <c r="R563" s="3"/>
      <c r="S563" s="3"/>
      <c r="T563" s="3"/>
      <c r="U563" s="3"/>
      <c r="V563" s="3"/>
      <c r="W563" s="3"/>
      <c r="X563" s="3"/>
      <c r="Y563" s="3"/>
      <c r="Z563" s="3"/>
    </row>
    <row r="564" spans="1:26" ht="22.5" customHeight="1" x14ac:dyDescent="0.85">
      <c r="A564" s="166"/>
      <c r="B564" s="167"/>
      <c r="C564" s="167"/>
      <c r="D564" s="147"/>
      <c r="E564" s="147"/>
      <c r="F564" s="147"/>
      <c r="G564" s="147"/>
      <c r="H564" s="147"/>
      <c r="I564" s="147"/>
      <c r="J564" s="147"/>
      <c r="K564" s="3"/>
      <c r="L564" s="3"/>
      <c r="M564" s="3"/>
      <c r="N564" s="3"/>
      <c r="O564" s="3"/>
      <c r="P564" s="3"/>
      <c r="Q564" s="3"/>
      <c r="R564" s="3"/>
      <c r="S564" s="3"/>
      <c r="T564" s="3"/>
      <c r="U564" s="3"/>
      <c r="V564" s="3"/>
      <c r="W564" s="3"/>
      <c r="X564" s="3"/>
      <c r="Y564" s="3"/>
      <c r="Z564" s="3"/>
    </row>
    <row r="565" spans="1:26" ht="22.5" customHeight="1" x14ac:dyDescent="0.85">
      <c r="A565" s="166"/>
      <c r="B565" s="167"/>
      <c r="C565" s="167"/>
      <c r="D565" s="147"/>
      <c r="E565" s="147"/>
      <c r="F565" s="147"/>
      <c r="G565" s="147"/>
      <c r="H565" s="147"/>
      <c r="I565" s="147"/>
      <c r="J565" s="147"/>
      <c r="K565" s="3"/>
      <c r="L565" s="3"/>
      <c r="M565" s="3"/>
      <c r="N565" s="3"/>
      <c r="O565" s="3"/>
      <c r="P565" s="3"/>
      <c r="Q565" s="3"/>
      <c r="R565" s="3"/>
      <c r="S565" s="3"/>
      <c r="T565" s="3"/>
      <c r="U565" s="3"/>
      <c r="V565" s="3"/>
      <c r="W565" s="3"/>
      <c r="X565" s="3"/>
      <c r="Y565" s="3"/>
      <c r="Z565" s="3"/>
    </row>
    <row r="566" spans="1:26" ht="22.5" customHeight="1" x14ac:dyDescent="0.85">
      <c r="A566" s="166"/>
      <c r="B566" s="167"/>
      <c r="C566" s="167"/>
      <c r="D566" s="147"/>
      <c r="E566" s="147"/>
      <c r="F566" s="147"/>
      <c r="G566" s="147"/>
      <c r="H566" s="147"/>
      <c r="I566" s="147"/>
      <c r="J566" s="147"/>
      <c r="K566" s="3"/>
      <c r="L566" s="3"/>
      <c r="M566" s="3"/>
      <c r="N566" s="3"/>
      <c r="O566" s="3"/>
      <c r="P566" s="3"/>
      <c r="Q566" s="3"/>
      <c r="R566" s="3"/>
      <c r="S566" s="3"/>
      <c r="T566" s="3"/>
      <c r="U566" s="3"/>
      <c r="V566" s="3"/>
      <c r="W566" s="3"/>
      <c r="X566" s="3"/>
      <c r="Y566" s="3"/>
      <c r="Z566" s="3"/>
    </row>
    <row r="567" spans="1:26" ht="22.5" customHeight="1" x14ac:dyDescent="0.85">
      <c r="A567" s="166"/>
      <c r="B567" s="167"/>
      <c r="C567" s="167"/>
      <c r="D567" s="147"/>
      <c r="E567" s="147"/>
      <c r="F567" s="147"/>
      <c r="G567" s="147"/>
      <c r="H567" s="147"/>
      <c r="I567" s="147"/>
      <c r="J567" s="147"/>
      <c r="K567" s="3"/>
      <c r="L567" s="3"/>
      <c r="M567" s="3"/>
      <c r="N567" s="3"/>
      <c r="O567" s="3"/>
      <c r="P567" s="3"/>
      <c r="Q567" s="3"/>
      <c r="R567" s="3"/>
      <c r="S567" s="3"/>
      <c r="T567" s="3"/>
      <c r="U567" s="3"/>
      <c r="V567" s="3"/>
      <c r="W567" s="3"/>
      <c r="X567" s="3"/>
      <c r="Y567" s="3"/>
      <c r="Z567" s="3"/>
    </row>
    <row r="568" spans="1:26" ht="22.5" customHeight="1" x14ac:dyDescent="0.85">
      <c r="A568" s="166"/>
      <c r="B568" s="167"/>
      <c r="C568" s="167"/>
      <c r="D568" s="147"/>
      <c r="E568" s="147"/>
      <c r="F568" s="147"/>
      <c r="G568" s="147"/>
      <c r="H568" s="147"/>
      <c r="I568" s="147"/>
      <c r="J568" s="147"/>
      <c r="K568" s="3"/>
      <c r="L568" s="3"/>
      <c r="M568" s="3"/>
      <c r="N568" s="3"/>
      <c r="O568" s="3"/>
      <c r="P568" s="3"/>
      <c r="Q568" s="3"/>
      <c r="R568" s="3"/>
      <c r="S568" s="3"/>
      <c r="T568" s="3"/>
      <c r="U568" s="3"/>
      <c r="V568" s="3"/>
      <c r="W568" s="3"/>
      <c r="X568" s="3"/>
      <c r="Y568" s="3"/>
      <c r="Z568" s="3"/>
    </row>
    <row r="569" spans="1:26" ht="22.5" customHeight="1" x14ac:dyDescent="0.85">
      <c r="A569" s="166"/>
      <c r="B569" s="167"/>
      <c r="C569" s="167"/>
      <c r="D569" s="147"/>
      <c r="E569" s="147"/>
      <c r="F569" s="147"/>
      <c r="G569" s="147"/>
      <c r="H569" s="147"/>
      <c r="I569" s="147"/>
      <c r="J569" s="147"/>
      <c r="K569" s="3"/>
      <c r="L569" s="3"/>
      <c r="M569" s="3"/>
      <c r="N569" s="3"/>
      <c r="O569" s="3"/>
      <c r="P569" s="3"/>
      <c r="Q569" s="3"/>
      <c r="R569" s="3"/>
      <c r="S569" s="3"/>
      <c r="T569" s="3"/>
      <c r="U569" s="3"/>
      <c r="V569" s="3"/>
      <c r="W569" s="3"/>
      <c r="X569" s="3"/>
      <c r="Y569" s="3"/>
      <c r="Z569" s="3"/>
    </row>
    <row r="570" spans="1:26" ht="22.5" customHeight="1" x14ac:dyDescent="0.85">
      <c r="A570" s="166"/>
      <c r="B570" s="167"/>
      <c r="C570" s="167"/>
      <c r="D570" s="147"/>
      <c r="E570" s="147"/>
      <c r="F570" s="147"/>
      <c r="G570" s="147"/>
      <c r="H570" s="147"/>
      <c r="I570" s="147"/>
      <c r="J570" s="147"/>
      <c r="K570" s="3"/>
      <c r="L570" s="3"/>
      <c r="M570" s="3"/>
      <c r="N570" s="3"/>
      <c r="O570" s="3"/>
      <c r="P570" s="3"/>
      <c r="Q570" s="3"/>
      <c r="R570" s="3"/>
      <c r="S570" s="3"/>
      <c r="T570" s="3"/>
      <c r="U570" s="3"/>
      <c r="V570" s="3"/>
      <c r="W570" s="3"/>
      <c r="X570" s="3"/>
      <c r="Y570" s="3"/>
      <c r="Z570" s="3"/>
    </row>
    <row r="571" spans="1:26" ht="22.5" customHeight="1" x14ac:dyDescent="0.85">
      <c r="A571" s="166"/>
      <c r="B571" s="167"/>
      <c r="C571" s="167"/>
      <c r="D571" s="147"/>
      <c r="E571" s="147"/>
      <c r="F571" s="147"/>
      <c r="G571" s="147"/>
      <c r="H571" s="147"/>
      <c r="I571" s="147"/>
      <c r="J571" s="147"/>
      <c r="K571" s="3"/>
      <c r="L571" s="3"/>
      <c r="M571" s="3"/>
      <c r="N571" s="3"/>
      <c r="O571" s="3"/>
      <c r="P571" s="3"/>
      <c r="Q571" s="3"/>
      <c r="R571" s="3"/>
      <c r="S571" s="3"/>
      <c r="T571" s="3"/>
      <c r="U571" s="3"/>
      <c r="V571" s="3"/>
      <c r="W571" s="3"/>
      <c r="X571" s="3"/>
      <c r="Y571" s="3"/>
      <c r="Z571" s="3"/>
    </row>
    <row r="572" spans="1:26" ht="22.5" customHeight="1" x14ac:dyDescent="0.85">
      <c r="A572" s="166"/>
      <c r="B572" s="167"/>
      <c r="C572" s="167"/>
      <c r="D572" s="147"/>
      <c r="E572" s="147"/>
      <c r="F572" s="147"/>
      <c r="G572" s="147"/>
      <c r="H572" s="147"/>
      <c r="I572" s="147"/>
      <c r="J572" s="147"/>
      <c r="K572" s="3"/>
      <c r="L572" s="3"/>
      <c r="M572" s="3"/>
      <c r="N572" s="3"/>
      <c r="O572" s="3"/>
      <c r="P572" s="3"/>
      <c r="Q572" s="3"/>
      <c r="R572" s="3"/>
      <c r="S572" s="3"/>
      <c r="T572" s="3"/>
      <c r="U572" s="3"/>
      <c r="V572" s="3"/>
      <c r="W572" s="3"/>
      <c r="X572" s="3"/>
      <c r="Y572" s="3"/>
      <c r="Z572" s="3"/>
    </row>
    <row r="573" spans="1:26" ht="22.5" customHeight="1" x14ac:dyDescent="0.85">
      <c r="A573" s="166"/>
      <c r="B573" s="167"/>
      <c r="C573" s="167"/>
      <c r="D573" s="147"/>
      <c r="E573" s="147"/>
      <c r="F573" s="147"/>
      <c r="G573" s="147"/>
      <c r="H573" s="147"/>
      <c r="I573" s="147"/>
      <c r="J573" s="147"/>
      <c r="K573" s="3"/>
      <c r="L573" s="3"/>
      <c r="M573" s="3"/>
      <c r="N573" s="3"/>
      <c r="O573" s="3"/>
      <c r="P573" s="3"/>
      <c r="Q573" s="3"/>
      <c r="R573" s="3"/>
      <c r="S573" s="3"/>
      <c r="T573" s="3"/>
      <c r="U573" s="3"/>
      <c r="V573" s="3"/>
      <c r="W573" s="3"/>
      <c r="X573" s="3"/>
      <c r="Y573" s="3"/>
      <c r="Z573" s="3"/>
    </row>
    <row r="574" spans="1:26" ht="22.5" customHeight="1" x14ac:dyDescent="0.85">
      <c r="A574" s="166"/>
      <c r="B574" s="167"/>
      <c r="C574" s="167"/>
      <c r="D574" s="147"/>
      <c r="E574" s="147"/>
      <c r="F574" s="147"/>
      <c r="G574" s="147"/>
      <c r="H574" s="147"/>
      <c r="I574" s="147"/>
      <c r="J574" s="147"/>
      <c r="K574" s="3"/>
      <c r="L574" s="3"/>
      <c r="M574" s="3"/>
      <c r="N574" s="3"/>
      <c r="O574" s="3"/>
      <c r="P574" s="3"/>
      <c r="Q574" s="3"/>
      <c r="R574" s="3"/>
      <c r="S574" s="3"/>
      <c r="T574" s="3"/>
      <c r="U574" s="3"/>
      <c r="V574" s="3"/>
      <c r="W574" s="3"/>
      <c r="X574" s="3"/>
      <c r="Y574" s="3"/>
      <c r="Z574" s="3"/>
    </row>
    <row r="575" spans="1:26" ht="22.5" customHeight="1" x14ac:dyDescent="0.85">
      <c r="A575" s="166"/>
      <c r="B575" s="167"/>
      <c r="C575" s="167"/>
      <c r="D575" s="147"/>
      <c r="E575" s="147"/>
      <c r="F575" s="147"/>
      <c r="G575" s="147"/>
      <c r="H575" s="147"/>
      <c r="I575" s="147"/>
      <c r="J575" s="147"/>
      <c r="K575" s="3"/>
      <c r="L575" s="3"/>
      <c r="M575" s="3"/>
      <c r="N575" s="3"/>
      <c r="O575" s="3"/>
      <c r="P575" s="3"/>
      <c r="Q575" s="3"/>
      <c r="R575" s="3"/>
      <c r="S575" s="3"/>
      <c r="T575" s="3"/>
      <c r="U575" s="3"/>
      <c r="V575" s="3"/>
      <c r="W575" s="3"/>
      <c r="X575" s="3"/>
      <c r="Y575" s="3"/>
      <c r="Z575" s="3"/>
    </row>
    <row r="576" spans="1:26" ht="22.5" customHeight="1" x14ac:dyDescent="0.85">
      <c r="A576" s="166"/>
      <c r="B576" s="167"/>
      <c r="C576" s="167"/>
      <c r="D576" s="147"/>
      <c r="E576" s="147"/>
      <c r="F576" s="147"/>
      <c r="G576" s="147"/>
      <c r="H576" s="147"/>
      <c r="I576" s="147"/>
      <c r="J576" s="147"/>
      <c r="K576" s="3"/>
      <c r="L576" s="3"/>
      <c r="M576" s="3"/>
      <c r="N576" s="3"/>
      <c r="O576" s="3"/>
      <c r="P576" s="3"/>
      <c r="Q576" s="3"/>
      <c r="R576" s="3"/>
      <c r="S576" s="3"/>
      <c r="T576" s="3"/>
      <c r="U576" s="3"/>
      <c r="V576" s="3"/>
      <c r="W576" s="3"/>
      <c r="X576" s="3"/>
      <c r="Y576" s="3"/>
      <c r="Z576" s="3"/>
    </row>
    <row r="577" spans="1:26" ht="22.5" customHeight="1" x14ac:dyDescent="0.85">
      <c r="A577" s="166"/>
      <c r="B577" s="167"/>
      <c r="C577" s="167"/>
      <c r="D577" s="147"/>
      <c r="E577" s="147"/>
      <c r="F577" s="147"/>
      <c r="G577" s="147"/>
      <c r="H577" s="147"/>
      <c r="I577" s="147"/>
      <c r="J577" s="147"/>
      <c r="K577" s="3"/>
      <c r="L577" s="3"/>
      <c r="M577" s="3"/>
      <c r="N577" s="3"/>
      <c r="O577" s="3"/>
      <c r="P577" s="3"/>
      <c r="Q577" s="3"/>
      <c r="R577" s="3"/>
      <c r="S577" s="3"/>
      <c r="T577" s="3"/>
      <c r="U577" s="3"/>
      <c r="V577" s="3"/>
      <c r="W577" s="3"/>
      <c r="X577" s="3"/>
      <c r="Y577" s="3"/>
      <c r="Z577" s="3"/>
    </row>
    <row r="578" spans="1:26" ht="22.5" customHeight="1" x14ac:dyDescent="0.85">
      <c r="A578" s="166"/>
      <c r="B578" s="167"/>
      <c r="C578" s="167"/>
      <c r="D578" s="147"/>
      <c r="E578" s="147"/>
      <c r="F578" s="147"/>
      <c r="G578" s="147"/>
      <c r="H578" s="147"/>
      <c r="I578" s="147"/>
      <c r="J578" s="147"/>
      <c r="K578" s="3"/>
      <c r="L578" s="3"/>
      <c r="M578" s="3"/>
      <c r="N578" s="3"/>
      <c r="O578" s="3"/>
      <c r="P578" s="3"/>
      <c r="Q578" s="3"/>
      <c r="R578" s="3"/>
      <c r="S578" s="3"/>
      <c r="T578" s="3"/>
      <c r="U578" s="3"/>
      <c r="V578" s="3"/>
      <c r="W578" s="3"/>
      <c r="X578" s="3"/>
      <c r="Y578" s="3"/>
      <c r="Z578" s="3"/>
    </row>
    <row r="579" spans="1:26" ht="22.5" customHeight="1" x14ac:dyDescent="0.85">
      <c r="A579" s="166"/>
      <c r="B579" s="167"/>
      <c r="C579" s="167"/>
      <c r="D579" s="147"/>
      <c r="E579" s="147"/>
      <c r="F579" s="147"/>
      <c r="G579" s="147"/>
      <c r="H579" s="147"/>
      <c r="I579" s="147"/>
      <c r="J579" s="147"/>
      <c r="K579" s="3"/>
      <c r="L579" s="3"/>
      <c r="M579" s="3"/>
      <c r="N579" s="3"/>
      <c r="O579" s="3"/>
      <c r="P579" s="3"/>
      <c r="Q579" s="3"/>
      <c r="R579" s="3"/>
      <c r="S579" s="3"/>
      <c r="T579" s="3"/>
      <c r="U579" s="3"/>
      <c r="V579" s="3"/>
      <c r="W579" s="3"/>
      <c r="X579" s="3"/>
      <c r="Y579" s="3"/>
      <c r="Z579" s="3"/>
    </row>
    <row r="580" spans="1:26" ht="22.5" customHeight="1" x14ac:dyDescent="0.85">
      <c r="A580" s="166"/>
      <c r="B580" s="167"/>
      <c r="C580" s="167"/>
      <c r="D580" s="147"/>
      <c r="E580" s="147"/>
      <c r="F580" s="147"/>
      <c r="G580" s="147"/>
      <c r="H580" s="147"/>
      <c r="I580" s="147"/>
      <c r="J580" s="147"/>
      <c r="K580" s="3"/>
      <c r="L580" s="3"/>
      <c r="M580" s="3"/>
      <c r="N580" s="3"/>
      <c r="O580" s="3"/>
      <c r="P580" s="3"/>
      <c r="Q580" s="3"/>
      <c r="R580" s="3"/>
      <c r="S580" s="3"/>
      <c r="T580" s="3"/>
      <c r="U580" s="3"/>
      <c r="V580" s="3"/>
      <c r="W580" s="3"/>
      <c r="X580" s="3"/>
      <c r="Y580" s="3"/>
      <c r="Z580" s="3"/>
    </row>
    <row r="581" spans="1:26" ht="22.5" customHeight="1" x14ac:dyDescent="0.85">
      <c r="A581" s="166"/>
      <c r="B581" s="167"/>
      <c r="C581" s="167"/>
      <c r="D581" s="147"/>
      <c r="E581" s="147"/>
      <c r="F581" s="147"/>
      <c r="G581" s="147"/>
      <c r="H581" s="147"/>
      <c r="I581" s="147"/>
      <c r="J581" s="147"/>
      <c r="K581" s="3"/>
      <c r="L581" s="3"/>
      <c r="M581" s="3"/>
      <c r="N581" s="3"/>
      <c r="O581" s="3"/>
      <c r="P581" s="3"/>
      <c r="Q581" s="3"/>
      <c r="R581" s="3"/>
      <c r="S581" s="3"/>
      <c r="T581" s="3"/>
      <c r="U581" s="3"/>
      <c r="V581" s="3"/>
      <c r="W581" s="3"/>
      <c r="X581" s="3"/>
      <c r="Y581" s="3"/>
      <c r="Z581" s="3"/>
    </row>
    <row r="582" spans="1:26" ht="22.5" customHeight="1" x14ac:dyDescent="0.85">
      <c r="A582" s="166"/>
      <c r="B582" s="167"/>
      <c r="C582" s="167"/>
      <c r="D582" s="147"/>
      <c r="E582" s="147"/>
      <c r="F582" s="147"/>
      <c r="G582" s="147"/>
      <c r="H582" s="147"/>
      <c r="I582" s="147"/>
      <c r="J582" s="147"/>
      <c r="K582" s="3"/>
      <c r="L582" s="3"/>
      <c r="M582" s="3"/>
      <c r="N582" s="3"/>
      <c r="O582" s="3"/>
      <c r="P582" s="3"/>
      <c r="Q582" s="3"/>
      <c r="R582" s="3"/>
      <c r="S582" s="3"/>
      <c r="T582" s="3"/>
      <c r="U582" s="3"/>
      <c r="V582" s="3"/>
      <c r="W582" s="3"/>
      <c r="X582" s="3"/>
      <c r="Y582" s="3"/>
      <c r="Z582" s="3"/>
    </row>
    <row r="583" spans="1:26" ht="22.5" customHeight="1" x14ac:dyDescent="0.85">
      <c r="A583" s="166"/>
      <c r="B583" s="167"/>
      <c r="C583" s="167"/>
      <c r="D583" s="147"/>
      <c r="E583" s="147"/>
      <c r="F583" s="147"/>
      <c r="G583" s="147"/>
      <c r="H583" s="147"/>
      <c r="I583" s="147"/>
      <c r="J583" s="147"/>
      <c r="K583" s="3"/>
      <c r="L583" s="3"/>
      <c r="M583" s="3"/>
      <c r="N583" s="3"/>
      <c r="O583" s="3"/>
      <c r="P583" s="3"/>
      <c r="Q583" s="3"/>
      <c r="R583" s="3"/>
      <c r="S583" s="3"/>
      <c r="T583" s="3"/>
      <c r="U583" s="3"/>
      <c r="V583" s="3"/>
      <c r="W583" s="3"/>
      <c r="X583" s="3"/>
      <c r="Y583" s="3"/>
      <c r="Z583" s="3"/>
    </row>
    <row r="584" spans="1:26" ht="22.5" customHeight="1" x14ac:dyDescent="0.85">
      <c r="A584" s="166"/>
      <c r="B584" s="167"/>
      <c r="C584" s="167"/>
      <c r="D584" s="147"/>
      <c r="E584" s="147"/>
      <c r="F584" s="147"/>
      <c r="G584" s="147"/>
      <c r="H584" s="147"/>
      <c r="I584" s="147"/>
      <c r="J584" s="147"/>
      <c r="K584" s="3"/>
      <c r="L584" s="3"/>
      <c r="M584" s="3"/>
      <c r="N584" s="3"/>
      <c r="O584" s="3"/>
      <c r="P584" s="3"/>
      <c r="Q584" s="3"/>
      <c r="R584" s="3"/>
      <c r="S584" s="3"/>
      <c r="T584" s="3"/>
      <c r="U584" s="3"/>
      <c r="V584" s="3"/>
      <c r="W584" s="3"/>
      <c r="X584" s="3"/>
      <c r="Y584" s="3"/>
      <c r="Z584" s="3"/>
    </row>
    <row r="585" spans="1:26" ht="22.5" customHeight="1" x14ac:dyDescent="0.85">
      <c r="A585" s="166"/>
      <c r="B585" s="167"/>
      <c r="C585" s="167"/>
      <c r="D585" s="147"/>
      <c r="E585" s="147"/>
      <c r="F585" s="147"/>
      <c r="G585" s="147"/>
      <c r="H585" s="147"/>
      <c r="I585" s="147"/>
      <c r="J585" s="147"/>
      <c r="K585" s="3"/>
      <c r="L585" s="3"/>
      <c r="M585" s="3"/>
      <c r="N585" s="3"/>
      <c r="O585" s="3"/>
      <c r="P585" s="3"/>
      <c r="Q585" s="3"/>
      <c r="R585" s="3"/>
      <c r="S585" s="3"/>
      <c r="T585" s="3"/>
      <c r="U585" s="3"/>
      <c r="V585" s="3"/>
      <c r="W585" s="3"/>
      <c r="X585" s="3"/>
      <c r="Y585" s="3"/>
      <c r="Z585" s="3"/>
    </row>
    <row r="586" spans="1:26" ht="22.5" customHeight="1" x14ac:dyDescent="0.85">
      <c r="A586" s="166"/>
      <c r="B586" s="167"/>
      <c r="C586" s="167"/>
      <c r="D586" s="147"/>
      <c r="E586" s="147"/>
      <c r="F586" s="147"/>
      <c r="G586" s="147"/>
      <c r="H586" s="147"/>
      <c r="I586" s="147"/>
      <c r="J586" s="147"/>
      <c r="K586" s="3"/>
      <c r="L586" s="3"/>
      <c r="M586" s="3"/>
      <c r="N586" s="3"/>
      <c r="O586" s="3"/>
      <c r="P586" s="3"/>
      <c r="Q586" s="3"/>
      <c r="R586" s="3"/>
      <c r="S586" s="3"/>
      <c r="T586" s="3"/>
      <c r="U586" s="3"/>
      <c r="V586" s="3"/>
      <c r="W586" s="3"/>
      <c r="X586" s="3"/>
      <c r="Y586" s="3"/>
      <c r="Z586" s="3"/>
    </row>
    <row r="587" spans="1:26" ht="22.5" customHeight="1" x14ac:dyDescent="0.85">
      <c r="A587" s="166"/>
      <c r="B587" s="167"/>
      <c r="C587" s="167"/>
      <c r="D587" s="147"/>
      <c r="E587" s="147"/>
      <c r="F587" s="147"/>
      <c r="G587" s="147"/>
      <c r="H587" s="147"/>
      <c r="I587" s="147"/>
      <c r="J587" s="147"/>
      <c r="K587" s="3"/>
      <c r="L587" s="3"/>
      <c r="M587" s="3"/>
      <c r="N587" s="3"/>
      <c r="O587" s="3"/>
      <c r="P587" s="3"/>
      <c r="Q587" s="3"/>
      <c r="R587" s="3"/>
      <c r="S587" s="3"/>
      <c r="T587" s="3"/>
      <c r="U587" s="3"/>
      <c r="V587" s="3"/>
      <c r="W587" s="3"/>
      <c r="X587" s="3"/>
      <c r="Y587" s="3"/>
      <c r="Z587" s="3"/>
    </row>
    <row r="588" spans="1:26" ht="22.5" customHeight="1" x14ac:dyDescent="0.85">
      <c r="A588" s="166"/>
      <c r="B588" s="167"/>
      <c r="C588" s="167"/>
      <c r="D588" s="147"/>
      <c r="E588" s="147"/>
      <c r="F588" s="147"/>
      <c r="G588" s="147"/>
      <c r="H588" s="147"/>
      <c r="I588" s="147"/>
      <c r="J588" s="147"/>
      <c r="K588" s="3"/>
      <c r="L588" s="3"/>
      <c r="M588" s="3"/>
      <c r="N588" s="3"/>
      <c r="O588" s="3"/>
      <c r="P588" s="3"/>
      <c r="Q588" s="3"/>
      <c r="R588" s="3"/>
      <c r="S588" s="3"/>
      <c r="T588" s="3"/>
      <c r="U588" s="3"/>
      <c r="V588" s="3"/>
      <c r="W588" s="3"/>
      <c r="X588" s="3"/>
      <c r="Y588" s="3"/>
      <c r="Z588" s="3"/>
    </row>
    <row r="589" spans="1:26" ht="22.5" customHeight="1" x14ac:dyDescent="0.85">
      <c r="A589" s="166"/>
      <c r="B589" s="167"/>
      <c r="C589" s="167"/>
      <c r="D589" s="147"/>
      <c r="E589" s="147"/>
      <c r="F589" s="147"/>
      <c r="G589" s="147"/>
      <c r="H589" s="147"/>
      <c r="I589" s="147"/>
      <c r="J589" s="147"/>
      <c r="K589" s="3"/>
      <c r="L589" s="3"/>
      <c r="M589" s="3"/>
      <c r="N589" s="3"/>
      <c r="O589" s="3"/>
      <c r="P589" s="3"/>
      <c r="Q589" s="3"/>
      <c r="R589" s="3"/>
      <c r="S589" s="3"/>
      <c r="T589" s="3"/>
      <c r="U589" s="3"/>
      <c r="V589" s="3"/>
      <c r="W589" s="3"/>
      <c r="X589" s="3"/>
      <c r="Y589" s="3"/>
      <c r="Z589" s="3"/>
    </row>
    <row r="590" spans="1:26" ht="22.5" customHeight="1" x14ac:dyDescent="0.85">
      <c r="A590" s="166"/>
      <c r="B590" s="167"/>
      <c r="C590" s="167"/>
      <c r="D590" s="147"/>
      <c r="E590" s="147"/>
      <c r="F590" s="147"/>
      <c r="G590" s="147"/>
      <c r="H590" s="147"/>
      <c r="I590" s="147"/>
      <c r="J590" s="147"/>
      <c r="K590" s="3"/>
      <c r="L590" s="3"/>
      <c r="M590" s="3"/>
      <c r="N590" s="3"/>
      <c r="O590" s="3"/>
      <c r="P590" s="3"/>
      <c r="Q590" s="3"/>
      <c r="R590" s="3"/>
      <c r="S590" s="3"/>
      <c r="T590" s="3"/>
      <c r="U590" s="3"/>
      <c r="V590" s="3"/>
      <c r="W590" s="3"/>
      <c r="X590" s="3"/>
      <c r="Y590" s="3"/>
      <c r="Z590" s="3"/>
    </row>
    <row r="591" spans="1:26" ht="22.5" customHeight="1" x14ac:dyDescent="0.85">
      <c r="A591" s="166"/>
      <c r="B591" s="167"/>
      <c r="C591" s="167"/>
      <c r="D591" s="147"/>
      <c r="E591" s="147"/>
      <c r="F591" s="147"/>
      <c r="G591" s="147"/>
      <c r="H591" s="147"/>
      <c r="I591" s="147"/>
      <c r="J591" s="147"/>
      <c r="K591" s="3"/>
      <c r="L591" s="3"/>
      <c r="M591" s="3"/>
      <c r="N591" s="3"/>
      <c r="O591" s="3"/>
      <c r="P591" s="3"/>
      <c r="Q591" s="3"/>
      <c r="R591" s="3"/>
      <c r="S591" s="3"/>
      <c r="T591" s="3"/>
      <c r="U591" s="3"/>
      <c r="V591" s="3"/>
      <c r="W591" s="3"/>
      <c r="X591" s="3"/>
      <c r="Y591" s="3"/>
      <c r="Z591" s="3"/>
    </row>
    <row r="592" spans="1:26" ht="22.5" customHeight="1" x14ac:dyDescent="0.85">
      <c r="A592" s="166"/>
      <c r="B592" s="167"/>
      <c r="C592" s="167"/>
      <c r="D592" s="147"/>
      <c r="E592" s="147"/>
      <c r="F592" s="147"/>
      <c r="G592" s="147"/>
      <c r="H592" s="147"/>
      <c r="I592" s="147"/>
      <c r="J592" s="147"/>
      <c r="K592" s="3"/>
      <c r="L592" s="3"/>
      <c r="M592" s="3"/>
      <c r="N592" s="3"/>
      <c r="O592" s="3"/>
      <c r="P592" s="3"/>
      <c r="Q592" s="3"/>
      <c r="R592" s="3"/>
      <c r="S592" s="3"/>
      <c r="T592" s="3"/>
      <c r="U592" s="3"/>
      <c r="V592" s="3"/>
      <c r="W592" s="3"/>
      <c r="X592" s="3"/>
      <c r="Y592" s="3"/>
      <c r="Z592" s="3"/>
    </row>
    <row r="593" spans="1:26" ht="22.5" customHeight="1" x14ac:dyDescent="0.85">
      <c r="A593" s="166"/>
      <c r="B593" s="167"/>
      <c r="C593" s="167"/>
      <c r="D593" s="147"/>
      <c r="E593" s="147"/>
      <c r="F593" s="147"/>
      <c r="G593" s="147"/>
      <c r="H593" s="147"/>
      <c r="I593" s="147"/>
      <c r="J593" s="147"/>
      <c r="K593" s="3"/>
      <c r="L593" s="3"/>
      <c r="M593" s="3"/>
      <c r="N593" s="3"/>
      <c r="O593" s="3"/>
      <c r="P593" s="3"/>
      <c r="Q593" s="3"/>
      <c r="R593" s="3"/>
      <c r="S593" s="3"/>
      <c r="T593" s="3"/>
      <c r="U593" s="3"/>
      <c r="V593" s="3"/>
      <c r="W593" s="3"/>
      <c r="X593" s="3"/>
      <c r="Y593" s="3"/>
      <c r="Z593" s="3"/>
    </row>
    <row r="594" spans="1:26" ht="22.5" customHeight="1" x14ac:dyDescent="0.85">
      <c r="A594" s="166"/>
      <c r="B594" s="167"/>
      <c r="C594" s="167"/>
      <c r="D594" s="147"/>
      <c r="E594" s="147"/>
      <c r="F594" s="147"/>
      <c r="G594" s="147"/>
      <c r="H594" s="147"/>
      <c r="I594" s="147"/>
      <c r="J594" s="147"/>
      <c r="K594" s="3"/>
      <c r="L594" s="3"/>
      <c r="M594" s="3"/>
      <c r="N594" s="3"/>
      <c r="O594" s="3"/>
      <c r="P594" s="3"/>
      <c r="Q594" s="3"/>
      <c r="R594" s="3"/>
      <c r="S594" s="3"/>
      <c r="T594" s="3"/>
      <c r="U594" s="3"/>
      <c r="V594" s="3"/>
      <c r="W594" s="3"/>
      <c r="X594" s="3"/>
      <c r="Y594" s="3"/>
      <c r="Z594" s="3"/>
    </row>
    <row r="595" spans="1:26" ht="22.5" customHeight="1" x14ac:dyDescent="0.85">
      <c r="A595" s="166"/>
      <c r="B595" s="167"/>
      <c r="C595" s="167"/>
      <c r="D595" s="147"/>
      <c r="E595" s="147"/>
      <c r="F595" s="147"/>
      <c r="G595" s="147"/>
      <c r="H595" s="147"/>
      <c r="I595" s="147"/>
      <c r="J595" s="147"/>
      <c r="K595" s="3"/>
      <c r="L595" s="3"/>
      <c r="M595" s="3"/>
      <c r="N595" s="3"/>
      <c r="O595" s="3"/>
      <c r="P595" s="3"/>
      <c r="Q595" s="3"/>
      <c r="R595" s="3"/>
      <c r="S595" s="3"/>
      <c r="T595" s="3"/>
      <c r="U595" s="3"/>
      <c r="V595" s="3"/>
      <c r="W595" s="3"/>
      <c r="X595" s="3"/>
      <c r="Y595" s="3"/>
      <c r="Z595" s="3"/>
    </row>
    <row r="596" spans="1:26" ht="22.5" customHeight="1" x14ac:dyDescent="0.85">
      <c r="A596" s="166"/>
      <c r="B596" s="167"/>
      <c r="C596" s="167"/>
      <c r="D596" s="147"/>
      <c r="E596" s="147"/>
      <c r="F596" s="147"/>
      <c r="G596" s="147"/>
      <c r="H596" s="147"/>
      <c r="I596" s="147"/>
      <c r="J596" s="147"/>
      <c r="K596" s="3"/>
      <c r="L596" s="3"/>
      <c r="M596" s="3"/>
      <c r="N596" s="3"/>
      <c r="O596" s="3"/>
      <c r="P596" s="3"/>
      <c r="Q596" s="3"/>
      <c r="R596" s="3"/>
      <c r="S596" s="3"/>
      <c r="T596" s="3"/>
      <c r="U596" s="3"/>
      <c r="V596" s="3"/>
      <c r="W596" s="3"/>
      <c r="X596" s="3"/>
      <c r="Y596" s="3"/>
      <c r="Z596" s="3"/>
    </row>
    <row r="597" spans="1:26" ht="22.5" customHeight="1" x14ac:dyDescent="0.85">
      <c r="A597" s="166"/>
      <c r="B597" s="167"/>
      <c r="C597" s="167"/>
      <c r="D597" s="147"/>
      <c r="E597" s="147"/>
      <c r="F597" s="147"/>
      <c r="G597" s="147"/>
      <c r="H597" s="147"/>
      <c r="I597" s="147"/>
      <c r="J597" s="147"/>
      <c r="K597" s="3"/>
      <c r="L597" s="3"/>
      <c r="M597" s="3"/>
      <c r="N597" s="3"/>
      <c r="O597" s="3"/>
      <c r="P597" s="3"/>
      <c r="Q597" s="3"/>
      <c r="R597" s="3"/>
      <c r="S597" s="3"/>
      <c r="T597" s="3"/>
      <c r="U597" s="3"/>
      <c r="V597" s="3"/>
      <c r="W597" s="3"/>
      <c r="X597" s="3"/>
      <c r="Y597" s="3"/>
      <c r="Z597" s="3"/>
    </row>
    <row r="598" spans="1:26" ht="22.5" customHeight="1" x14ac:dyDescent="0.85">
      <c r="A598" s="166"/>
      <c r="B598" s="167"/>
      <c r="C598" s="167"/>
      <c r="D598" s="147"/>
      <c r="E598" s="147"/>
      <c r="F598" s="147"/>
      <c r="G598" s="147"/>
      <c r="H598" s="147"/>
      <c r="I598" s="147"/>
      <c r="J598" s="147"/>
      <c r="K598" s="3"/>
      <c r="L598" s="3"/>
      <c r="M598" s="3"/>
      <c r="N598" s="3"/>
      <c r="O598" s="3"/>
      <c r="P598" s="3"/>
      <c r="Q598" s="3"/>
      <c r="R598" s="3"/>
      <c r="S598" s="3"/>
      <c r="T598" s="3"/>
      <c r="U598" s="3"/>
      <c r="V598" s="3"/>
      <c r="W598" s="3"/>
      <c r="X598" s="3"/>
      <c r="Y598" s="3"/>
      <c r="Z598" s="3"/>
    </row>
    <row r="599" spans="1:26" ht="22.5" customHeight="1" x14ac:dyDescent="0.85">
      <c r="A599" s="166"/>
      <c r="B599" s="167"/>
      <c r="C599" s="167"/>
      <c r="D599" s="147"/>
      <c r="E599" s="147"/>
      <c r="F599" s="147"/>
      <c r="G599" s="147"/>
      <c r="H599" s="147"/>
      <c r="I599" s="147"/>
      <c r="J599" s="147"/>
      <c r="K599" s="3"/>
      <c r="L599" s="3"/>
      <c r="M599" s="3"/>
      <c r="N599" s="3"/>
      <c r="O599" s="3"/>
      <c r="P599" s="3"/>
      <c r="Q599" s="3"/>
      <c r="R599" s="3"/>
      <c r="S599" s="3"/>
      <c r="T599" s="3"/>
      <c r="U599" s="3"/>
      <c r="V599" s="3"/>
      <c r="W599" s="3"/>
      <c r="X599" s="3"/>
      <c r="Y599" s="3"/>
      <c r="Z599" s="3"/>
    </row>
    <row r="600" spans="1:26" ht="22.5" customHeight="1" x14ac:dyDescent="0.85">
      <c r="A600" s="166"/>
      <c r="B600" s="167"/>
      <c r="C600" s="167"/>
      <c r="D600" s="147"/>
      <c r="E600" s="147"/>
      <c r="F600" s="147"/>
      <c r="G600" s="147"/>
      <c r="H600" s="147"/>
      <c r="I600" s="147"/>
      <c r="J600" s="147"/>
      <c r="K600" s="3"/>
      <c r="L600" s="3"/>
      <c r="M600" s="3"/>
      <c r="N600" s="3"/>
      <c r="O600" s="3"/>
      <c r="P600" s="3"/>
      <c r="Q600" s="3"/>
      <c r="R600" s="3"/>
      <c r="S600" s="3"/>
      <c r="T600" s="3"/>
      <c r="U600" s="3"/>
      <c r="V600" s="3"/>
      <c r="W600" s="3"/>
      <c r="X600" s="3"/>
      <c r="Y600" s="3"/>
      <c r="Z600" s="3"/>
    </row>
    <row r="601" spans="1:26" ht="22.5" customHeight="1" x14ac:dyDescent="0.85">
      <c r="A601" s="166"/>
      <c r="B601" s="167"/>
      <c r="C601" s="167"/>
      <c r="D601" s="147"/>
      <c r="E601" s="147"/>
      <c r="F601" s="147"/>
      <c r="G601" s="147"/>
      <c r="H601" s="147"/>
      <c r="I601" s="147"/>
      <c r="J601" s="147"/>
      <c r="K601" s="3"/>
      <c r="L601" s="3"/>
      <c r="M601" s="3"/>
      <c r="N601" s="3"/>
      <c r="O601" s="3"/>
      <c r="P601" s="3"/>
      <c r="Q601" s="3"/>
      <c r="R601" s="3"/>
      <c r="S601" s="3"/>
      <c r="T601" s="3"/>
      <c r="U601" s="3"/>
      <c r="V601" s="3"/>
      <c r="W601" s="3"/>
      <c r="X601" s="3"/>
      <c r="Y601" s="3"/>
      <c r="Z601" s="3"/>
    </row>
    <row r="602" spans="1:26" ht="22.5" customHeight="1" x14ac:dyDescent="0.85">
      <c r="A602" s="166"/>
      <c r="B602" s="167"/>
      <c r="C602" s="167"/>
      <c r="D602" s="147"/>
      <c r="E602" s="147"/>
      <c r="F602" s="147"/>
      <c r="G602" s="147"/>
      <c r="H602" s="147"/>
      <c r="I602" s="147"/>
      <c r="J602" s="147"/>
      <c r="K602" s="3"/>
      <c r="L602" s="3"/>
      <c r="M602" s="3"/>
      <c r="N602" s="3"/>
      <c r="O602" s="3"/>
      <c r="P602" s="3"/>
      <c r="Q602" s="3"/>
      <c r="R602" s="3"/>
      <c r="S602" s="3"/>
      <c r="T602" s="3"/>
      <c r="U602" s="3"/>
      <c r="V602" s="3"/>
      <c r="W602" s="3"/>
      <c r="X602" s="3"/>
      <c r="Y602" s="3"/>
      <c r="Z602" s="3"/>
    </row>
    <row r="603" spans="1:26" ht="22.5" customHeight="1" x14ac:dyDescent="0.85">
      <c r="A603" s="166"/>
      <c r="B603" s="167"/>
      <c r="C603" s="167"/>
      <c r="D603" s="147"/>
      <c r="E603" s="147"/>
      <c r="F603" s="147"/>
      <c r="G603" s="147"/>
      <c r="H603" s="147"/>
      <c r="I603" s="147"/>
      <c r="J603" s="147"/>
      <c r="K603" s="3"/>
      <c r="L603" s="3"/>
      <c r="M603" s="3"/>
      <c r="N603" s="3"/>
      <c r="O603" s="3"/>
      <c r="P603" s="3"/>
      <c r="Q603" s="3"/>
      <c r="R603" s="3"/>
      <c r="S603" s="3"/>
      <c r="T603" s="3"/>
      <c r="U603" s="3"/>
      <c r="V603" s="3"/>
      <c r="W603" s="3"/>
      <c r="X603" s="3"/>
      <c r="Y603" s="3"/>
      <c r="Z603" s="3"/>
    </row>
    <row r="604" spans="1:26" ht="22.5" customHeight="1" x14ac:dyDescent="0.85">
      <c r="A604" s="166"/>
      <c r="B604" s="167"/>
      <c r="C604" s="167"/>
      <c r="D604" s="147"/>
      <c r="E604" s="147"/>
      <c r="F604" s="147"/>
      <c r="G604" s="147"/>
      <c r="H604" s="147"/>
      <c r="I604" s="147"/>
      <c r="J604" s="147"/>
      <c r="K604" s="3"/>
      <c r="L604" s="3"/>
      <c r="M604" s="3"/>
      <c r="N604" s="3"/>
      <c r="O604" s="3"/>
      <c r="P604" s="3"/>
      <c r="Q604" s="3"/>
      <c r="R604" s="3"/>
      <c r="S604" s="3"/>
      <c r="T604" s="3"/>
      <c r="U604" s="3"/>
      <c r="V604" s="3"/>
      <c r="W604" s="3"/>
      <c r="X604" s="3"/>
      <c r="Y604" s="3"/>
      <c r="Z604" s="3"/>
    </row>
    <row r="605" spans="1:26" ht="22.5" customHeight="1" x14ac:dyDescent="0.85">
      <c r="A605" s="166"/>
      <c r="B605" s="167"/>
      <c r="C605" s="167"/>
      <c r="D605" s="147"/>
      <c r="E605" s="147"/>
      <c r="F605" s="147"/>
      <c r="G605" s="147"/>
      <c r="H605" s="147"/>
      <c r="I605" s="147"/>
      <c r="J605" s="147"/>
      <c r="K605" s="3"/>
      <c r="L605" s="3"/>
      <c r="M605" s="3"/>
      <c r="N605" s="3"/>
      <c r="O605" s="3"/>
      <c r="P605" s="3"/>
      <c r="Q605" s="3"/>
      <c r="R605" s="3"/>
      <c r="S605" s="3"/>
      <c r="T605" s="3"/>
      <c r="U605" s="3"/>
      <c r="V605" s="3"/>
      <c r="W605" s="3"/>
      <c r="X605" s="3"/>
      <c r="Y605" s="3"/>
      <c r="Z605" s="3"/>
    </row>
    <row r="606" spans="1:26" ht="22.5" customHeight="1" x14ac:dyDescent="0.85">
      <c r="A606" s="166"/>
      <c r="B606" s="167"/>
      <c r="C606" s="167"/>
      <c r="D606" s="147"/>
      <c r="E606" s="147"/>
      <c r="F606" s="147"/>
      <c r="G606" s="147"/>
      <c r="H606" s="147"/>
      <c r="I606" s="147"/>
      <c r="J606" s="147"/>
      <c r="K606" s="3"/>
      <c r="L606" s="3"/>
      <c r="M606" s="3"/>
      <c r="N606" s="3"/>
      <c r="O606" s="3"/>
      <c r="P606" s="3"/>
      <c r="Q606" s="3"/>
      <c r="R606" s="3"/>
      <c r="S606" s="3"/>
      <c r="T606" s="3"/>
      <c r="U606" s="3"/>
      <c r="V606" s="3"/>
      <c r="W606" s="3"/>
      <c r="X606" s="3"/>
      <c r="Y606" s="3"/>
      <c r="Z606" s="3"/>
    </row>
    <row r="607" spans="1:26" ht="22.5" customHeight="1" x14ac:dyDescent="0.85">
      <c r="A607" s="166"/>
      <c r="B607" s="167"/>
      <c r="C607" s="167"/>
      <c r="D607" s="147"/>
      <c r="E607" s="147"/>
      <c r="F607" s="147"/>
      <c r="G607" s="147"/>
      <c r="H607" s="147"/>
      <c r="I607" s="147"/>
      <c r="J607" s="147"/>
      <c r="K607" s="3"/>
      <c r="L607" s="3"/>
      <c r="M607" s="3"/>
      <c r="N607" s="3"/>
      <c r="O607" s="3"/>
      <c r="P607" s="3"/>
      <c r="Q607" s="3"/>
      <c r="R607" s="3"/>
      <c r="S607" s="3"/>
      <c r="T607" s="3"/>
      <c r="U607" s="3"/>
      <c r="V607" s="3"/>
      <c r="W607" s="3"/>
      <c r="X607" s="3"/>
      <c r="Y607" s="3"/>
      <c r="Z607" s="3"/>
    </row>
    <row r="608" spans="1:26" ht="22.5" customHeight="1" x14ac:dyDescent="0.85">
      <c r="A608" s="166"/>
      <c r="B608" s="167"/>
      <c r="C608" s="167"/>
      <c r="D608" s="147"/>
      <c r="E608" s="147"/>
      <c r="F608" s="147"/>
      <c r="G608" s="147"/>
      <c r="H608" s="147"/>
      <c r="I608" s="147"/>
      <c r="J608" s="147"/>
      <c r="K608" s="3"/>
      <c r="L608" s="3"/>
      <c r="M608" s="3"/>
      <c r="N608" s="3"/>
      <c r="O608" s="3"/>
      <c r="P608" s="3"/>
      <c r="Q608" s="3"/>
      <c r="R608" s="3"/>
      <c r="S608" s="3"/>
      <c r="T608" s="3"/>
      <c r="U608" s="3"/>
      <c r="V608" s="3"/>
      <c r="W608" s="3"/>
      <c r="X608" s="3"/>
      <c r="Y608" s="3"/>
      <c r="Z608" s="3"/>
    </row>
    <row r="609" spans="1:26" ht="22.5" customHeight="1" x14ac:dyDescent="0.85">
      <c r="A609" s="166"/>
      <c r="B609" s="167"/>
      <c r="C609" s="167"/>
      <c r="D609" s="147"/>
      <c r="E609" s="147"/>
      <c r="F609" s="147"/>
      <c r="G609" s="147"/>
      <c r="H609" s="147"/>
      <c r="I609" s="147"/>
      <c r="J609" s="147"/>
      <c r="K609" s="3"/>
      <c r="L609" s="3"/>
      <c r="M609" s="3"/>
      <c r="N609" s="3"/>
      <c r="O609" s="3"/>
      <c r="P609" s="3"/>
      <c r="Q609" s="3"/>
      <c r="R609" s="3"/>
      <c r="S609" s="3"/>
      <c r="T609" s="3"/>
      <c r="U609" s="3"/>
      <c r="V609" s="3"/>
      <c r="W609" s="3"/>
      <c r="X609" s="3"/>
      <c r="Y609" s="3"/>
      <c r="Z609" s="3"/>
    </row>
    <row r="610" spans="1:26" ht="22.5" customHeight="1" x14ac:dyDescent="0.85">
      <c r="A610" s="166"/>
      <c r="B610" s="167"/>
      <c r="C610" s="167"/>
      <c r="D610" s="147"/>
      <c r="E610" s="147"/>
      <c r="F610" s="147"/>
      <c r="G610" s="147"/>
      <c r="H610" s="147"/>
      <c r="I610" s="147"/>
      <c r="J610" s="147"/>
      <c r="K610" s="3"/>
      <c r="L610" s="3"/>
      <c r="M610" s="3"/>
      <c r="N610" s="3"/>
      <c r="O610" s="3"/>
      <c r="P610" s="3"/>
      <c r="Q610" s="3"/>
      <c r="R610" s="3"/>
      <c r="S610" s="3"/>
      <c r="T610" s="3"/>
      <c r="U610" s="3"/>
      <c r="V610" s="3"/>
      <c r="W610" s="3"/>
      <c r="X610" s="3"/>
      <c r="Y610" s="3"/>
      <c r="Z610" s="3"/>
    </row>
    <row r="611" spans="1:26" ht="22.5" customHeight="1" x14ac:dyDescent="0.85">
      <c r="A611" s="166"/>
      <c r="B611" s="167"/>
      <c r="C611" s="167"/>
      <c r="D611" s="147"/>
      <c r="E611" s="147"/>
      <c r="F611" s="147"/>
      <c r="G611" s="147"/>
      <c r="H611" s="147"/>
      <c r="I611" s="147"/>
      <c r="J611" s="147"/>
      <c r="K611" s="3"/>
      <c r="L611" s="3"/>
      <c r="M611" s="3"/>
      <c r="N611" s="3"/>
      <c r="O611" s="3"/>
      <c r="P611" s="3"/>
      <c r="Q611" s="3"/>
      <c r="R611" s="3"/>
      <c r="S611" s="3"/>
      <c r="T611" s="3"/>
      <c r="U611" s="3"/>
      <c r="V611" s="3"/>
      <c r="W611" s="3"/>
      <c r="X611" s="3"/>
      <c r="Y611" s="3"/>
      <c r="Z611" s="3"/>
    </row>
    <row r="612" spans="1:26" ht="22.5" customHeight="1" x14ac:dyDescent="0.85">
      <c r="A612" s="166"/>
      <c r="B612" s="167"/>
      <c r="C612" s="167"/>
      <c r="D612" s="147"/>
      <c r="E612" s="147"/>
      <c r="F612" s="147"/>
      <c r="G612" s="147"/>
      <c r="H612" s="147"/>
      <c r="I612" s="147"/>
      <c r="J612" s="147"/>
      <c r="K612" s="3"/>
      <c r="L612" s="3"/>
      <c r="M612" s="3"/>
      <c r="N612" s="3"/>
      <c r="O612" s="3"/>
      <c r="P612" s="3"/>
      <c r="Q612" s="3"/>
      <c r="R612" s="3"/>
      <c r="S612" s="3"/>
      <c r="T612" s="3"/>
      <c r="U612" s="3"/>
      <c r="V612" s="3"/>
      <c r="W612" s="3"/>
      <c r="X612" s="3"/>
      <c r="Y612" s="3"/>
      <c r="Z612" s="3"/>
    </row>
    <row r="613" spans="1:26" ht="22.5" customHeight="1" x14ac:dyDescent="0.85">
      <c r="A613" s="166"/>
      <c r="B613" s="167"/>
      <c r="C613" s="167"/>
      <c r="D613" s="147"/>
      <c r="E613" s="147"/>
      <c r="F613" s="147"/>
      <c r="G613" s="147"/>
      <c r="H613" s="147"/>
      <c r="I613" s="147"/>
      <c r="J613" s="147"/>
      <c r="K613" s="3"/>
      <c r="L613" s="3"/>
      <c r="M613" s="3"/>
      <c r="N613" s="3"/>
      <c r="O613" s="3"/>
      <c r="P613" s="3"/>
      <c r="Q613" s="3"/>
      <c r="R613" s="3"/>
      <c r="S613" s="3"/>
      <c r="T613" s="3"/>
      <c r="U613" s="3"/>
      <c r="V613" s="3"/>
      <c r="W613" s="3"/>
      <c r="X613" s="3"/>
      <c r="Y613" s="3"/>
      <c r="Z613" s="3"/>
    </row>
    <row r="614" spans="1:26" ht="22.5" customHeight="1" x14ac:dyDescent="0.85">
      <c r="A614" s="166"/>
      <c r="B614" s="167"/>
      <c r="C614" s="167"/>
      <c r="D614" s="147"/>
      <c r="E614" s="147"/>
      <c r="F614" s="147"/>
      <c r="G614" s="147"/>
      <c r="H614" s="147"/>
      <c r="I614" s="147"/>
      <c r="J614" s="147"/>
      <c r="K614" s="3"/>
      <c r="L614" s="3"/>
      <c r="M614" s="3"/>
      <c r="N614" s="3"/>
      <c r="O614" s="3"/>
      <c r="P614" s="3"/>
      <c r="Q614" s="3"/>
      <c r="R614" s="3"/>
      <c r="S614" s="3"/>
      <c r="T614" s="3"/>
      <c r="U614" s="3"/>
      <c r="V614" s="3"/>
      <c r="W614" s="3"/>
      <c r="X614" s="3"/>
      <c r="Y614" s="3"/>
      <c r="Z614" s="3"/>
    </row>
    <row r="615" spans="1:26" ht="22.5" customHeight="1" x14ac:dyDescent="0.85">
      <c r="A615" s="166"/>
      <c r="B615" s="167"/>
      <c r="C615" s="167"/>
      <c r="D615" s="147"/>
      <c r="E615" s="147"/>
      <c r="F615" s="147"/>
      <c r="G615" s="147"/>
      <c r="H615" s="147"/>
      <c r="I615" s="147"/>
      <c r="J615" s="147"/>
      <c r="K615" s="3"/>
      <c r="L615" s="3"/>
      <c r="M615" s="3"/>
      <c r="N615" s="3"/>
      <c r="O615" s="3"/>
      <c r="P615" s="3"/>
      <c r="Q615" s="3"/>
      <c r="R615" s="3"/>
      <c r="S615" s="3"/>
      <c r="T615" s="3"/>
      <c r="U615" s="3"/>
      <c r="V615" s="3"/>
      <c r="W615" s="3"/>
      <c r="X615" s="3"/>
      <c r="Y615" s="3"/>
      <c r="Z615" s="3"/>
    </row>
    <row r="616" spans="1:26" ht="22.5" customHeight="1" x14ac:dyDescent="0.85">
      <c r="A616" s="166"/>
      <c r="B616" s="167"/>
      <c r="C616" s="167"/>
      <c r="D616" s="147"/>
      <c r="E616" s="147"/>
      <c r="F616" s="147"/>
      <c r="G616" s="147"/>
      <c r="H616" s="147"/>
      <c r="I616" s="147"/>
      <c r="J616" s="147"/>
      <c r="K616" s="3"/>
      <c r="L616" s="3"/>
      <c r="M616" s="3"/>
      <c r="N616" s="3"/>
      <c r="O616" s="3"/>
      <c r="P616" s="3"/>
      <c r="Q616" s="3"/>
      <c r="R616" s="3"/>
      <c r="S616" s="3"/>
      <c r="T616" s="3"/>
      <c r="U616" s="3"/>
      <c r="V616" s="3"/>
      <c r="W616" s="3"/>
      <c r="X616" s="3"/>
      <c r="Y616" s="3"/>
      <c r="Z616" s="3"/>
    </row>
    <row r="617" spans="1:26" ht="22.5" customHeight="1" x14ac:dyDescent="0.85">
      <c r="A617" s="166"/>
      <c r="B617" s="167"/>
      <c r="C617" s="167"/>
      <c r="D617" s="147"/>
      <c r="E617" s="147"/>
      <c r="F617" s="147"/>
      <c r="G617" s="147"/>
      <c r="H617" s="147"/>
      <c r="I617" s="147"/>
      <c r="J617" s="147"/>
      <c r="K617" s="3"/>
      <c r="L617" s="3"/>
      <c r="M617" s="3"/>
      <c r="N617" s="3"/>
      <c r="O617" s="3"/>
      <c r="P617" s="3"/>
      <c r="Q617" s="3"/>
      <c r="R617" s="3"/>
      <c r="S617" s="3"/>
      <c r="T617" s="3"/>
      <c r="U617" s="3"/>
      <c r="V617" s="3"/>
      <c r="W617" s="3"/>
      <c r="X617" s="3"/>
      <c r="Y617" s="3"/>
      <c r="Z617" s="3"/>
    </row>
    <row r="618" spans="1:26" ht="22.5" customHeight="1" x14ac:dyDescent="0.85">
      <c r="A618" s="166"/>
      <c r="B618" s="167"/>
      <c r="C618" s="167"/>
      <c r="D618" s="147"/>
      <c r="E618" s="147"/>
      <c r="F618" s="147"/>
      <c r="G618" s="147"/>
      <c r="H618" s="147"/>
      <c r="I618" s="147"/>
      <c r="J618" s="147"/>
      <c r="K618" s="3"/>
      <c r="L618" s="3"/>
      <c r="M618" s="3"/>
      <c r="N618" s="3"/>
      <c r="O618" s="3"/>
      <c r="P618" s="3"/>
      <c r="Q618" s="3"/>
      <c r="R618" s="3"/>
      <c r="S618" s="3"/>
      <c r="T618" s="3"/>
      <c r="U618" s="3"/>
      <c r="V618" s="3"/>
      <c r="W618" s="3"/>
      <c r="X618" s="3"/>
      <c r="Y618" s="3"/>
      <c r="Z618" s="3"/>
    </row>
    <row r="619" spans="1:26" ht="22.5" customHeight="1" x14ac:dyDescent="0.85">
      <c r="A619" s="166"/>
      <c r="B619" s="167"/>
      <c r="C619" s="167"/>
      <c r="D619" s="147"/>
      <c r="E619" s="147"/>
      <c r="F619" s="147"/>
      <c r="G619" s="147"/>
      <c r="H619" s="147"/>
      <c r="I619" s="147"/>
      <c r="J619" s="147"/>
      <c r="K619" s="3"/>
      <c r="L619" s="3"/>
      <c r="M619" s="3"/>
      <c r="N619" s="3"/>
      <c r="O619" s="3"/>
      <c r="P619" s="3"/>
      <c r="Q619" s="3"/>
      <c r="R619" s="3"/>
      <c r="S619" s="3"/>
      <c r="T619" s="3"/>
      <c r="U619" s="3"/>
      <c r="V619" s="3"/>
      <c r="W619" s="3"/>
      <c r="X619" s="3"/>
      <c r="Y619" s="3"/>
      <c r="Z619" s="3"/>
    </row>
    <row r="620" spans="1:26" ht="22.5" customHeight="1" x14ac:dyDescent="0.85">
      <c r="A620" s="166"/>
      <c r="B620" s="167"/>
      <c r="C620" s="167"/>
      <c r="D620" s="147"/>
      <c r="E620" s="147"/>
      <c r="F620" s="147"/>
      <c r="G620" s="147"/>
      <c r="H620" s="147"/>
      <c r="I620" s="147"/>
      <c r="J620" s="147"/>
      <c r="K620" s="3"/>
      <c r="L620" s="3"/>
      <c r="M620" s="3"/>
      <c r="N620" s="3"/>
      <c r="O620" s="3"/>
      <c r="P620" s="3"/>
      <c r="Q620" s="3"/>
      <c r="R620" s="3"/>
      <c r="S620" s="3"/>
      <c r="T620" s="3"/>
      <c r="U620" s="3"/>
      <c r="V620" s="3"/>
      <c r="W620" s="3"/>
      <c r="X620" s="3"/>
      <c r="Y620" s="3"/>
      <c r="Z620" s="3"/>
    </row>
    <row r="621" spans="1:26" ht="22.5" customHeight="1" x14ac:dyDescent="0.85">
      <c r="A621" s="166"/>
      <c r="B621" s="167"/>
      <c r="C621" s="167"/>
      <c r="D621" s="147"/>
      <c r="E621" s="147"/>
      <c r="F621" s="147"/>
      <c r="G621" s="147"/>
      <c r="H621" s="147"/>
      <c r="I621" s="147"/>
      <c r="J621" s="147"/>
      <c r="K621" s="3"/>
      <c r="L621" s="3"/>
      <c r="M621" s="3"/>
      <c r="N621" s="3"/>
      <c r="O621" s="3"/>
      <c r="P621" s="3"/>
      <c r="Q621" s="3"/>
      <c r="R621" s="3"/>
      <c r="S621" s="3"/>
      <c r="T621" s="3"/>
      <c r="U621" s="3"/>
      <c r="V621" s="3"/>
      <c r="W621" s="3"/>
      <c r="X621" s="3"/>
      <c r="Y621" s="3"/>
      <c r="Z621" s="3"/>
    </row>
    <row r="622" spans="1:26" ht="22.5" customHeight="1" x14ac:dyDescent="0.85">
      <c r="A622" s="166"/>
      <c r="B622" s="167"/>
      <c r="C622" s="167"/>
      <c r="D622" s="147"/>
      <c r="E622" s="147"/>
      <c r="F622" s="147"/>
      <c r="G622" s="147"/>
      <c r="H622" s="147"/>
      <c r="I622" s="147"/>
      <c r="J622" s="147"/>
      <c r="K622" s="3"/>
      <c r="L622" s="3"/>
      <c r="M622" s="3"/>
      <c r="N622" s="3"/>
      <c r="O622" s="3"/>
      <c r="P622" s="3"/>
      <c r="Q622" s="3"/>
      <c r="R622" s="3"/>
      <c r="S622" s="3"/>
      <c r="T622" s="3"/>
      <c r="U622" s="3"/>
      <c r="V622" s="3"/>
      <c r="W622" s="3"/>
      <c r="X622" s="3"/>
      <c r="Y622" s="3"/>
      <c r="Z622" s="3"/>
    </row>
    <row r="623" spans="1:26" ht="22.5" customHeight="1" x14ac:dyDescent="0.85">
      <c r="A623" s="166"/>
      <c r="B623" s="167"/>
      <c r="C623" s="167"/>
      <c r="D623" s="147"/>
      <c r="E623" s="147"/>
      <c r="F623" s="147"/>
      <c r="G623" s="147"/>
      <c r="H623" s="147"/>
      <c r="I623" s="147"/>
      <c r="J623" s="147"/>
      <c r="K623" s="3"/>
      <c r="L623" s="3"/>
      <c r="M623" s="3"/>
      <c r="N623" s="3"/>
      <c r="O623" s="3"/>
      <c r="P623" s="3"/>
      <c r="Q623" s="3"/>
      <c r="R623" s="3"/>
      <c r="S623" s="3"/>
      <c r="T623" s="3"/>
      <c r="U623" s="3"/>
      <c r="V623" s="3"/>
      <c r="W623" s="3"/>
      <c r="X623" s="3"/>
      <c r="Y623" s="3"/>
      <c r="Z623" s="3"/>
    </row>
    <row r="624" spans="1:26" ht="22.5" customHeight="1" x14ac:dyDescent="0.85">
      <c r="A624" s="166"/>
      <c r="B624" s="167"/>
      <c r="C624" s="167"/>
      <c r="D624" s="147"/>
      <c r="E624" s="147"/>
      <c r="F624" s="147"/>
      <c r="G624" s="147"/>
      <c r="H624" s="147"/>
      <c r="I624" s="147"/>
      <c r="J624" s="147"/>
      <c r="K624" s="3"/>
      <c r="L624" s="3"/>
      <c r="M624" s="3"/>
      <c r="N624" s="3"/>
      <c r="O624" s="3"/>
      <c r="P624" s="3"/>
      <c r="Q624" s="3"/>
      <c r="R624" s="3"/>
      <c r="S624" s="3"/>
      <c r="T624" s="3"/>
      <c r="U624" s="3"/>
      <c r="V624" s="3"/>
      <c r="W624" s="3"/>
      <c r="X624" s="3"/>
      <c r="Y624" s="3"/>
      <c r="Z624" s="3"/>
    </row>
    <row r="625" spans="1:26" ht="22.5" customHeight="1" x14ac:dyDescent="0.85">
      <c r="A625" s="166"/>
      <c r="B625" s="167"/>
      <c r="C625" s="167"/>
      <c r="D625" s="147"/>
      <c r="E625" s="147"/>
      <c r="F625" s="147"/>
      <c r="G625" s="147"/>
      <c r="H625" s="147"/>
      <c r="I625" s="147"/>
      <c r="J625" s="147"/>
      <c r="K625" s="3"/>
      <c r="L625" s="3"/>
      <c r="M625" s="3"/>
      <c r="N625" s="3"/>
      <c r="O625" s="3"/>
      <c r="P625" s="3"/>
      <c r="Q625" s="3"/>
      <c r="R625" s="3"/>
      <c r="S625" s="3"/>
      <c r="T625" s="3"/>
      <c r="U625" s="3"/>
      <c r="V625" s="3"/>
      <c r="W625" s="3"/>
      <c r="X625" s="3"/>
      <c r="Y625" s="3"/>
      <c r="Z625" s="3"/>
    </row>
    <row r="626" spans="1:26" ht="22.5" customHeight="1" x14ac:dyDescent="0.85">
      <c r="A626" s="166"/>
      <c r="B626" s="167"/>
      <c r="C626" s="167"/>
      <c r="D626" s="147"/>
      <c r="E626" s="147"/>
      <c r="F626" s="147"/>
      <c r="G626" s="147"/>
      <c r="H626" s="147"/>
      <c r="I626" s="147"/>
      <c r="J626" s="147"/>
      <c r="K626" s="3"/>
      <c r="L626" s="3"/>
      <c r="M626" s="3"/>
      <c r="N626" s="3"/>
      <c r="O626" s="3"/>
      <c r="P626" s="3"/>
      <c r="Q626" s="3"/>
      <c r="R626" s="3"/>
      <c r="S626" s="3"/>
      <c r="T626" s="3"/>
      <c r="U626" s="3"/>
      <c r="V626" s="3"/>
      <c r="W626" s="3"/>
      <c r="X626" s="3"/>
      <c r="Y626" s="3"/>
      <c r="Z626" s="3"/>
    </row>
    <row r="627" spans="1:26" ht="22.5" customHeight="1" x14ac:dyDescent="0.85">
      <c r="A627" s="166"/>
      <c r="B627" s="167"/>
      <c r="C627" s="167"/>
      <c r="D627" s="147"/>
      <c r="E627" s="147"/>
      <c r="F627" s="147"/>
      <c r="G627" s="147"/>
      <c r="H627" s="147"/>
      <c r="I627" s="147"/>
      <c r="J627" s="147"/>
      <c r="K627" s="3"/>
      <c r="L627" s="3"/>
      <c r="M627" s="3"/>
      <c r="N627" s="3"/>
      <c r="O627" s="3"/>
      <c r="P627" s="3"/>
      <c r="Q627" s="3"/>
      <c r="R627" s="3"/>
      <c r="S627" s="3"/>
      <c r="T627" s="3"/>
      <c r="U627" s="3"/>
      <c r="V627" s="3"/>
      <c r="W627" s="3"/>
      <c r="X627" s="3"/>
      <c r="Y627" s="3"/>
      <c r="Z627" s="3"/>
    </row>
    <row r="628" spans="1:26" ht="22.5" customHeight="1" x14ac:dyDescent="0.85">
      <c r="A628" s="166"/>
      <c r="B628" s="167"/>
      <c r="C628" s="167"/>
      <c r="D628" s="147"/>
      <c r="E628" s="147"/>
      <c r="F628" s="147"/>
      <c r="G628" s="147"/>
      <c r="H628" s="147"/>
      <c r="I628" s="147"/>
      <c r="J628" s="147"/>
      <c r="K628" s="3"/>
      <c r="L628" s="3"/>
      <c r="M628" s="3"/>
      <c r="N628" s="3"/>
      <c r="O628" s="3"/>
      <c r="P628" s="3"/>
      <c r="Q628" s="3"/>
      <c r="R628" s="3"/>
      <c r="S628" s="3"/>
      <c r="T628" s="3"/>
      <c r="U628" s="3"/>
      <c r="V628" s="3"/>
      <c r="W628" s="3"/>
      <c r="X628" s="3"/>
      <c r="Y628" s="3"/>
      <c r="Z628" s="3"/>
    </row>
    <row r="629" spans="1:26" ht="22.5" customHeight="1" x14ac:dyDescent="0.85">
      <c r="A629" s="166"/>
      <c r="B629" s="167"/>
      <c r="C629" s="167"/>
      <c r="D629" s="147"/>
      <c r="E629" s="147"/>
      <c r="F629" s="147"/>
      <c r="G629" s="147"/>
      <c r="H629" s="147"/>
      <c r="I629" s="147"/>
      <c r="J629" s="147"/>
      <c r="K629" s="3"/>
      <c r="L629" s="3"/>
      <c r="M629" s="3"/>
      <c r="N629" s="3"/>
      <c r="O629" s="3"/>
      <c r="P629" s="3"/>
      <c r="Q629" s="3"/>
      <c r="R629" s="3"/>
      <c r="S629" s="3"/>
      <c r="T629" s="3"/>
      <c r="U629" s="3"/>
      <c r="V629" s="3"/>
      <c r="W629" s="3"/>
      <c r="X629" s="3"/>
      <c r="Y629" s="3"/>
      <c r="Z629" s="3"/>
    </row>
    <row r="630" spans="1:26" ht="22.5" customHeight="1" x14ac:dyDescent="0.85">
      <c r="A630" s="166"/>
      <c r="B630" s="167"/>
      <c r="C630" s="167"/>
      <c r="D630" s="147"/>
      <c r="E630" s="147"/>
      <c r="F630" s="147"/>
      <c r="G630" s="147"/>
      <c r="H630" s="147"/>
      <c r="I630" s="147"/>
      <c r="J630" s="147"/>
      <c r="K630" s="3"/>
      <c r="L630" s="3"/>
      <c r="M630" s="3"/>
      <c r="N630" s="3"/>
      <c r="O630" s="3"/>
      <c r="P630" s="3"/>
      <c r="Q630" s="3"/>
      <c r="R630" s="3"/>
      <c r="S630" s="3"/>
      <c r="T630" s="3"/>
      <c r="U630" s="3"/>
      <c r="V630" s="3"/>
      <c r="W630" s="3"/>
      <c r="X630" s="3"/>
      <c r="Y630" s="3"/>
      <c r="Z630" s="3"/>
    </row>
    <row r="631" spans="1:26" ht="22.5" customHeight="1" x14ac:dyDescent="0.85">
      <c r="A631" s="166"/>
      <c r="B631" s="167"/>
      <c r="C631" s="167"/>
      <c r="D631" s="147"/>
      <c r="E631" s="147"/>
      <c r="F631" s="147"/>
      <c r="G631" s="147"/>
      <c r="H631" s="147"/>
      <c r="I631" s="147"/>
      <c r="J631" s="147"/>
      <c r="K631" s="3"/>
      <c r="L631" s="3"/>
      <c r="M631" s="3"/>
      <c r="N631" s="3"/>
      <c r="O631" s="3"/>
      <c r="P631" s="3"/>
      <c r="Q631" s="3"/>
      <c r="R631" s="3"/>
      <c r="S631" s="3"/>
      <c r="T631" s="3"/>
      <c r="U631" s="3"/>
      <c r="V631" s="3"/>
      <c r="W631" s="3"/>
      <c r="X631" s="3"/>
      <c r="Y631" s="3"/>
      <c r="Z631" s="3"/>
    </row>
    <row r="632" spans="1:26" ht="22.5" customHeight="1" x14ac:dyDescent="0.85">
      <c r="A632" s="166"/>
      <c r="B632" s="167"/>
      <c r="C632" s="167"/>
      <c r="D632" s="147"/>
      <c r="E632" s="147"/>
      <c r="F632" s="147"/>
      <c r="G632" s="147"/>
      <c r="H632" s="147"/>
      <c r="I632" s="147"/>
      <c r="J632" s="147"/>
      <c r="K632" s="3"/>
      <c r="L632" s="3"/>
      <c r="M632" s="3"/>
      <c r="N632" s="3"/>
      <c r="O632" s="3"/>
      <c r="P632" s="3"/>
      <c r="Q632" s="3"/>
      <c r="R632" s="3"/>
      <c r="S632" s="3"/>
      <c r="T632" s="3"/>
      <c r="U632" s="3"/>
      <c r="V632" s="3"/>
      <c r="W632" s="3"/>
      <c r="X632" s="3"/>
      <c r="Y632" s="3"/>
      <c r="Z632" s="3"/>
    </row>
    <row r="633" spans="1:26" ht="22.5" customHeight="1" x14ac:dyDescent="0.85">
      <c r="A633" s="166"/>
      <c r="B633" s="167"/>
      <c r="C633" s="167"/>
      <c r="D633" s="147"/>
      <c r="E633" s="147"/>
      <c r="F633" s="147"/>
      <c r="G633" s="147"/>
      <c r="H633" s="147"/>
      <c r="I633" s="147"/>
      <c r="J633" s="147"/>
      <c r="K633" s="3"/>
      <c r="L633" s="3"/>
      <c r="M633" s="3"/>
      <c r="N633" s="3"/>
      <c r="O633" s="3"/>
      <c r="P633" s="3"/>
      <c r="Q633" s="3"/>
      <c r="R633" s="3"/>
      <c r="S633" s="3"/>
      <c r="T633" s="3"/>
      <c r="U633" s="3"/>
      <c r="V633" s="3"/>
      <c r="W633" s="3"/>
      <c r="X633" s="3"/>
      <c r="Y633" s="3"/>
      <c r="Z633" s="3"/>
    </row>
    <row r="634" spans="1:26" ht="22.5" customHeight="1" x14ac:dyDescent="0.85">
      <c r="A634" s="166"/>
      <c r="B634" s="167"/>
      <c r="C634" s="167"/>
      <c r="D634" s="147"/>
      <c r="E634" s="147"/>
      <c r="F634" s="147"/>
      <c r="G634" s="147"/>
      <c r="H634" s="147"/>
      <c r="I634" s="147"/>
      <c r="J634" s="147"/>
      <c r="K634" s="3"/>
      <c r="L634" s="3"/>
      <c r="M634" s="3"/>
      <c r="N634" s="3"/>
      <c r="O634" s="3"/>
      <c r="P634" s="3"/>
      <c r="Q634" s="3"/>
      <c r="R634" s="3"/>
      <c r="S634" s="3"/>
      <c r="T634" s="3"/>
      <c r="U634" s="3"/>
      <c r="V634" s="3"/>
      <c r="W634" s="3"/>
      <c r="X634" s="3"/>
      <c r="Y634" s="3"/>
      <c r="Z634" s="3"/>
    </row>
    <row r="635" spans="1:26" ht="22.5" customHeight="1" x14ac:dyDescent="0.85">
      <c r="A635" s="166"/>
      <c r="B635" s="167"/>
      <c r="C635" s="167"/>
      <c r="D635" s="147"/>
      <c r="E635" s="147"/>
      <c r="F635" s="147"/>
      <c r="G635" s="147"/>
      <c r="H635" s="147"/>
      <c r="I635" s="147"/>
      <c r="J635" s="147"/>
      <c r="K635" s="3"/>
      <c r="L635" s="3"/>
      <c r="M635" s="3"/>
      <c r="N635" s="3"/>
      <c r="O635" s="3"/>
      <c r="P635" s="3"/>
      <c r="Q635" s="3"/>
      <c r="R635" s="3"/>
      <c r="S635" s="3"/>
      <c r="T635" s="3"/>
      <c r="U635" s="3"/>
      <c r="V635" s="3"/>
      <c r="W635" s="3"/>
      <c r="X635" s="3"/>
      <c r="Y635" s="3"/>
      <c r="Z635" s="3"/>
    </row>
    <row r="636" spans="1:26" ht="22.5" customHeight="1" x14ac:dyDescent="0.85">
      <c r="A636" s="166"/>
      <c r="B636" s="167"/>
      <c r="C636" s="167"/>
      <c r="D636" s="147"/>
      <c r="E636" s="147"/>
      <c r="F636" s="147"/>
      <c r="G636" s="147"/>
      <c r="H636" s="147"/>
      <c r="I636" s="147"/>
      <c r="J636" s="147"/>
      <c r="K636" s="3"/>
      <c r="L636" s="3"/>
      <c r="M636" s="3"/>
      <c r="N636" s="3"/>
      <c r="O636" s="3"/>
      <c r="P636" s="3"/>
      <c r="Q636" s="3"/>
      <c r="R636" s="3"/>
      <c r="S636" s="3"/>
      <c r="T636" s="3"/>
      <c r="U636" s="3"/>
      <c r="V636" s="3"/>
      <c r="W636" s="3"/>
      <c r="X636" s="3"/>
      <c r="Y636" s="3"/>
      <c r="Z636" s="3"/>
    </row>
    <row r="637" spans="1:26" ht="22.5" customHeight="1" x14ac:dyDescent="0.85">
      <c r="A637" s="166"/>
      <c r="B637" s="167"/>
      <c r="C637" s="167"/>
      <c r="D637" s="147"/>
      <c r="E637" s="147"/>
      <c r="F637" s="147"/>
      <c r="G637" s="147"/>
      <c r="H637" s="147"/>
      <c r="I637" s="147"/>
      <c r="J637" s="147"/>
      <c r="K637" s="3"/>
      <c r="L637" s="3"/>
      <c r="M637" s="3"/>
      <c r="N637" s="3"/>
      <c r="O637" s="3"/>
      <c r="P637" s="3"/>
      <c r="Q637" s="3"/>
      <c r="R637" s="3"/>
      <c r="S637" s="3"/>
      <c r="T637" s="3"/>
      <c r="U637" s="3"/>
      <c r="V637" s="3"/>
      <c r="W637" s="3"/>
      <c r="X637" s="3"/>
      <c r="Y637" s="3"/>
      <c r="Z637" s="3"/>
    </row>
    <row r="638" spans="1:26" ht="22.5" customHeight="1" x14ac:dyDescent="0.85">
      <c r="A638" s="166"/>
      <c r="B638" s="167"/>
      <c r="C638" s="167"/>
      <c r="D638" s="147"/>
      <c r="E638" s="147"/>
      <c r="F638" s="147"/>
      <c r="G638" s="147"/>
      <c r="H638" s="147"/>
      <c r="I638" s="147"/>
      <c r="J638" s="147"/>
      <c r="K638" s="3"/>
      <c r="L638" s="3"/>
      <c r="M638" s="3"/>
      <c r="N638" s="3"/>
      <c r="O638" s="3"/>
      <c r="P638" s="3"/>
      <c r="Q638" s="3"/>
      <c r="R638" s="3"/>
      <c r="S638" s="3"/>
      <c r="T638" s="3"/>
      <c r="U638" s="3"/>
      <c r="V638" s="3"/>
      <c r="W638" s="3"/>
      <c r="X638" s="3"/>
      <c r="Y638" s="3"/>
      <c r="Z638" s="3"/>
    </row>
    <row r="639" spans="1:26" ht="22.5" customHeight="1" x14ac:dyDescent="0.85">
      <c r="A639" s="166"/>
      <c r="B639" s="167"/>
      <c r="C639" s="167"/>
      <c r="D639" s="147"/>
      <c r="E639" s="147"/>
      <c r="F639" s="147"/>
      <c r="G639" s="147"/>
      <c r="H639" s="147"/>
      <c r="I639" s="147"/>
      <c r="J639" s="147"/>
      <c r="K639" s="3"/>
      <c r="L639" s="3"/>
      <c r="M639" s="3"/>
      <c r="N639" s="3"/>
      <c r="O639" s="3"/>
      <c r="P639" s="3"/>
      <c r="Q639" s="3"/>
      <c r="R639" s="3"/>
      <c r="S639" s="3"/>
      <c r="T639" s="3"/>
      <c r="U639" s="3"/>
      <c r="V639" s="3"/>
      <c r="W639" s="3"/>
      <c r="X639" s="3"/>
      <c r="Y639" s="3"/>
      <c r="Z639" s="3"/>
    </row>
    <row r="640" spans="1:26" ht="22.5" customHeight="1" x14ac:dyDescent="0.85">
      <c r="A640" s="166"/>
      <c r="B640" s="167"/>
      <c r="C640" s="167"/>
      <c r="D640" s="147"/>
      <c r="E640" s="147"/>
      <c r="F640" s="147"/>
      <c r="G640" s="147"/>
      <c r="H640" s="147"/>
      <c r="I640" s="147"/>
      <c r="J640" s="147"/>
      <c r="K640" s="3"/>
      <c r="L640" s="3"/>
      <c r="M640" s="3"/>
      <c r="N640" s="3"/>
      <c r="O640" s="3"/>
      <c r="P640" s="3"/>
      <c r="Q640" s="3"/>
      <c r="R640" s="3"/>
      <c r="S640" s="3"/>
      <c r="T640" s="3"/>
      <c r="U640" s="3"/>
      <c r="V640" s="3"/>
      <c r="W640" s="3"/>
      <c r="X640" s="3"/>
      <c r="Y640" s="3"/>
      <c r="Z640" s="3"/>
    </row>
    <row r="641" spans="1:26" ht="22.5" customHeight="1" x14ac:dyDescent="0.85">
      <c r="A641" s="166"/>
      <c r="B641" s="167"/>
      <c r="C641" s="167"/>
      <c r="D641" s="147"/>
      <c r="E641" s="147"/>
      <c r="F641" s="147"/>
      <c r="G641" s="147"/>
      <c r="H641" s="147"/>
      <c r="I641" s="147"/>
      <c r="J641" s="147"/>
      <c r="K641" s="3"/>
      <c r="L641" s="3"/>
      <c r="M641" s="3"/>
      <c r="N641" s="3"/>
      <c r="O641" s="3"/>
      <c r="P641" s="3"/>
      <c r="Q641" s="3"/>
      <c r="R641" s="3"/>
      <c r="S641" s="3"/>
      <c r="T641" s="3"/>
      <c r="U641" s="3"/>
      <c r="V641" s="3"/>
      <c r="W641" s="3"/>
      <c r="X641" s="3"/>
      <c r="Y641" s="3"/>
      <c r="Z641" s="3"/>
    </row>
    <row r="642" spans="1:26" ht="22.5" customHeight="1" x14ac:dyDescent="0.85">
      <c r="A642" s="166"/>
      <c r="B642" s="167"/>
      <c r="C642" s="167"/>
      <c r="D642" s="147"/>
      <c r="E642" s="147"/>
      <c r="F642" s="147"/>
      <c r="G642" s="147"/>
      <c r="H642" s="147"/>
      <c r="I642" s="147"/>
      <c r="J642" s="147"/>
      <c r="K642" s="3"/>
      <c r="L642" s="3"/>
      <c r="M642" s="3"/>
      <c r="N642" s="3"/>
      <c r="O642" s="3"/>
      <c r="P642" s="3"/>
      <c r="Q642" s="3"/>
      <c r="R642" s="3"/>
      <c r="S642" s="3"/>
      <c r="T642" s="3"/>
      <c r="U642" s="3"/>
      <c r="V642" s="3"/>
      <c r="W642" s="3"/>
      <c r="X642" s="3"/>
      <c r="Y642" s="3"/>
      <c r="Z642" s="3"/>
    </row>
    <row r="643" spans="1:26" ht="22.5" customHeight="1" x14ac:dyDescent="0.85">
      <c r="A643" s="166"/>
      <c r="B643" s="167"/>
      <c r="C643" s="167"/>
      <c r="D643" s="147"/>
      <c r="E643" s="147"/>
      <c r="F643" s="147"/>
      <c r="G643" s="147"/>
      <c r="H643" s="147"/>
      <c r="I643" s="147"/>
      <c r="J643" s="147"/>
      <c r="K643" s="3"/>
      <c r="L643" s="3"/>
      <c r="M643" s="3"/>
      <c r="N643" s="3"/>
      <c r="O643" s="3"/>
      <c r="P643" s="3"/>
      <c r="Q643" s="3"/>
      <c r="R643" s="3"/>
      <c r="S643" s="3"/>
      <c r="T643" s="3"/>
      <c r="U643" s="3"/>
      <c r="V643" s="3"/>
      <c r="W643" s="3"/>
      <c r="X643" s="3"/>
      <c r="Y643" s="3"/>
      <c r="Z643" s="3"/>
    </row>
    <row r="644" spans="1:26" ht="22.5" customHeight="1" x14ac:dyDescent="0.85">
      <c r="A644" s="166"/>
      <c r="B644" s="167"/>
      <c r="C644" s="167"/>
      <c r="D644" s="147"/>
      <c r="E644" s="147"/>
      <c r="F644" s="147"/>
      <c r="G644" s="147"/>
      <c r="H644" s="147"/>
      <c r="I644" s="147"/>
      <c r="J644" s="147"/>
      <c r="K644" s="3"/>
      <c r="L644" s="3"/>
      <c r="M644" s="3"/>
      <c r="N644" s="3"/>
      <c r="O644" s="3"/>
      <c r="P644" s="3"/>
      <c r="Q644" s="3"/>
      <c r="R644" s="3"/>
      <c r="S644" s="3"/>
      <c r="T644" s="3"/>
      <c r="U644" s="3"/>
      <c r="V644" s="3"/>
      <c r="W644" s="3"/>
      <c r="X644" s="3"/>
      <c r="Y644" s="3"/>
      <c r="Z644" s="3"/>
    </row>
    <row r="645" spans="1:26" ht="22.5" customHeight="1" x14ac:dyDescent="0.85">
      <c r="A645" s="166"/>
      <c r="B645" s="167"/>
      <c r="C645" s="167"/>
      <c r="D645" s="147"/>
      <c r="E645" s="147"/>
      <c r="F645" s="147"/>
      <c r="G645" s="147"/>
      <c r="H645" s="147"/>
      <c r="I645" s="147"/>
      <c r="J645" s="147"/>
      <c r="K645" s="3"/>
      <c r="L645" s="3"/>
      <c r="M645" s="3"/>
      <c r="N645" s="3"/>
      <c r="O645" s="3"/>
      <c r="P645" s="3"/>
      <c r="Q645" s="3"/>
      <c r="R645" s="3"/>
      <c r="S645" s="3"/>
      <c r="T645" s="3"/>
      <c r="U645" s="3"/>
      <c r="V645" s="3"/>
      <c r="W645" s="3"/>
      <c r="X645" s="3"/>
      <c r="Y645" s="3"/>
      <c r="Z645" s="3"/>
    </row>
    <row r="646" spans="1:26" ht="22.5" customHeight="1" x14ac:dyDescent="0.85">
      <c r="A646" s="166"/>
      <c r="B646" s="167"/>
      <c r="C646" s="167"/>
      <c r="D646" s="147"/>
      <c r="E646" s="147"/>
      <c r="F646" s="147"/>
      <c r="G646" s="147"/>
      <c r="H646" s="147"/>
      <c r="I646" s="147"/>
      <c r="J646" s="147"/>
      <c r="K646" s="3"/>
      <c r="L646" s="3"/>
      <c r="M646" s="3"/>
      <c r="N646" s="3"/>
      <c r="O646" s="3"/>
      <c r="P646" s="3"/>
      <c r="Q646" s="3"/>
      <c r="R646" s="3"/>
      <c r="S646" s="3"/>
      <c r="T646" s="3"/>
      <c r="U646" s="3"/>
      <c r="V646" s="3"/>
      <c r="W646" s="3"/>
      <c r="X646" s="3"/>
      <c r="Y646" s="3"/>
      <c r="Z646" s="3"/>
    </row>
    <row r="647" spans="1:26" ht="22.5" customHeight="1" x14ac:dyDescent="0.85">
      <c r="A647" s="166"/>
      <c r="B647" s="167"/>
      <c r="C647" s="167"/>
      <c r="D647" s="147"/>
      <c r="E647" s="147"/>
      <c r="F647" s="147"/>
      <c r="G647" s="147"/>
      <c r="H647" s="147"/>
      <c r="I647" s="147"/>
      <c r="J647" s="147"/>
      <c r="K647" s="3"/>
      <c r="L647" s="3"/>
      <c r="M647" s="3"/>
      <c r="N647" s="3"/>
      <c r="O647" s="3"/>
      <c r="P647" s="3"/>
      <c r="Q647" s="3"/>
      <c r="R647" s="3"/>
      <c r="S647" s="3"/>
      <c r="T647" s="3"/>
      <c r="U647" s="3"/>
      <c r="V647" s="3"/>
      <c r="W647" s="3"/>
      <c r="X647" s="3"/>
      <c r="Y647" s="3"/>
      <c r="Z647" s="3"/>
    </row>
    <row r="648" spans="1:26" ht="22.5" customHeight="1" x14ac:dyDescent="0.85">
      <c r="A648" s="166"/>
      <c r="B648" s="167"/>
      <c r="C648" s="167"/>
      <c r="D648" s="147"/>
      <c r="E648" s="147"/>
      <c r="F648" s="147"/>
      <c r="G648" s="147"/>
      <c r="H648" s="147"/>
      <c r="I648" s="147"/>
      <c r="J648" s="147"/>
      <c r="K648" s="3"/>
      <c r="L648" s="3"/>
      <c r="M648" s="3"/>
      <c r="N648" s="3"/>
      <c r="O648" s="3"/>
      <c r="P648" s="3"/>
      <c r="Q648" s="3"/>
      <c r="R648" s="3"/>
      <c r="S648" s="3"/>
      <c r="T648" s="3"/>
      <c r="U648" s="3"/>
      <c r="V648" s="3"/>
      <c r="W648" s="3"/>
      <c r="X648" s="3"/>
      <c r="Y648" s="3"/>
      <c r="Z648" s="3"/>
    </row>
    <row r="649" spans="1:26" ht="22.5" customHeight="1" x14ac:dyDescent="0.85">
      <c r="A649" s="166"/>
      <c r="B649" s="167"/>
      <c r="C649" s="167"/>
      <c r="D649" s="147"/>
      <c r="E649" s="147"/>
      <c r="F649" s="147"/>
      <c r="G649" s="147"/>
      <c r="H649" s="147"/>
      <c r="I649" s="147"/>
      <c r="J649" s="147"/>
      <c r="K649" s="3"/>
      <c r="L649" s="3"/>
      <c r="M649" s="3"/>
      <c r="N649" s="3"/>
      <c r="O649" s="3"/>
      <c r="P649" s="3"/>
      <c r="Q649" s="3"/>
      <c r="R649" s="3"/>
      <c r="S649" s="3"/>
      <c r="T649" s="3"/>
      <c r="U649" s="3"/>
      <c r="V649" s="3"/>
      <c r="W649" s="3"/>
      <c r="X649" s="3"/>
      <c r="Y649" s="3"/>
      <c r="Z649" s="3"/>
    </row>
    <row r="650" spans="1:26" ht="22.5" customHeight="1" x14ac:dyDescent="0.85">
      <c r="A650" s="166"/>
      <c r="B650" s="167"/>
      <c r="C650" s="167"/>
      <c r="D650" s="147"/>
      <c r="E650" s="147"/>
      <c r="F650" s="147"/>
      <c r="G650" s="147"/>
      <c r="H650" s="147"/>
      <c r="I650" s="147"/>
      <c r="J650" s="147"/>
      <c r="K650" s="3"/>
      <c r="L650" s="3"/>
      <c r="M650" s="3"/>
      <c r="N650" s="3"/>
      <c r="O650" s="3"/>
      <c r="P650" s="3"/>
      <c r="Q650" s="3"/>
      <c r="R650" s="3"/>
      <c r="S650" s="3"/>
      <c r="T650" s="3"/>
      <c r="U650" s="3"/>
      <c r="V650" s="3"/>
      <c r="W650" s="3"/>
      <c r="X650" s="3"/>
      <c r="Y650" s="3"/>
      <c r="Z650" s="3"/>
    </row>
    <row r="651" spans="1:26" ht="22.5" customHeight="1" x14ac:dyDescent="0.85">
      <c r="A651" s="166"/>
      <c r="B651" s="167"/>
      <c r="C651" s="167"/>
      <c r="D651" s="147"/>
      <c r="E651" s="147"/>
      <c r="F651" s="147"/>
      <c r="G651" s="147"/>
      <c r="H651" s="147"/>
      <c r="I651" s="147"/>
      <c r="J651" s="147"/>
      <c r="K651" s="3"/>
      <c r="L651" s="3"/>
      <c r="M651" s="3"/>
      <c r="N651" s="3"/>
      <c r="O651" s="3"/>
      <c r="P651" s="3"/>
      <c r="Q651" s="3"/>
      <c r="R651" s="3"/>
      <c r="S651" s="3"/>
      <c r="T651" s="3"/>
      <c r="U651" s="3"/>
      <c r="V651" s="3"/>
      <c r="W651" s="3"/>
      <c r="X651" s="3"/>
      <c r="Y651" s="3"/>
      <c r="Z651" s="3"/>
    </row>
    <row r="652" spans="1:26" ht="22.5" customHeight="1" x14ac:dyDescent="0.85">
      <c r="A652" s="166"/>
      <c r="B652" s="167"/>
      <c r="C652" s="167"/>
      <c r="D652" s="147"/>
      <c r="E652" s="147"/>
      <c r="F652" s="147"/>
      <c r="G652" s="147"/>
      <c r="H652" s="147"/>
      <c r="I652" s="147"/>
      <c r="J652" s="147"/>
      <c r="K652" s="3"/>
      <c r="L652" s="3"/>
      <c r="M652" s="3"/>
      <c r="N652" s="3"/>
      <c r="O652" s="3"/>
      <c r="P652" s="3"/>
      <c r="Q652" s="3"/>
      <c r="R652" s="3"/>
      <c r="S652" s="3"/>
      <c r="T652" s="3"/>
      <c r="U652" s="3"/>
      <c r="V652" s="3"/>
      <c r="W652" s="3"/>
      <c r="X652" s="3"/>
      <c r="Y652" s="3"/>
      <c r="Z652" s="3"/>
    </row>
    <row r="653" spans="1:26" ht="22.5" customHeight="1" x14ac:dyDescent="0.85">
      <c r="A653" s="166"/>
      <c r="B653" s="167"/>
      <c r="C653" s="167"/>
      <c r="D653" s="147"/>
      <c r="E653" s="147"/>
      <c r="F653" s="147"/>
      <c r="G653" s="147"/>
      <c r="H653" s="147"/>
      <c r="I653" s="147"/>
      <c r="J653" s="147"/>
      <c r="K653" s="3"/>
      <c r="L653" s="3"/>
      <c r="M653" s="3"/>
      <c r="N653" s="3"/>
      <c r="O653" s="3"/>
      <c r="P653" s="3"/>
      <c r="Q653" s="3"/>
      <c r="R653" s="3"/>
      <c r="S653" s="3"/>
      <c r="T653" s="3"/>
      <c r="U653" s="3"/>
      <c r="V653" s="3"/>
      <c r="W653" s="3"/>
      <c r="X653" s="3"/>
      <c r="Y653" s="3"/>
      <c r="Z653" s="3"/>
    </row>
    <row r="654" spans="1:26" ht="22.5" customHeight="1" x14ac:dyDescent="0.85">
      <c r="A654" s="166"/>
      <c r="B654" s="167"/>
      <c r="C654" s="167"/>
      <c r="D654" s="147"/>
      <c r="E654" s="147"/>
      <c r="F654" s="147"/>
      <c r="G654" s="147"/>
      <c r="H654" s="147"/>
      <c r="I654" s="147"/>
      <c r="J654" s="147"/>
      <c r="K654" s="3"/>
      <c r="L654" s="3"/>
      <c r="M654" s="3"/>
      <c r="N654" s="3"/>
      <c r="O654" s="3"/>
      <c r="P654" s="3"/>
      <c r="Q654" s="3"/>
      <c r="R654" s="3"/>
      <c r="S654" s="3"/>
      <c r="T654" s="3"/>
      <c r="U654" s="3"/>
      <c r="V654" s="3"/>
      <c r="W654" s="3"/>
      <c r="X654" s="3"/>
      <c r="Y654" s="3"/>
      <c r="Z654" s="3"/>
    </row>
    <row r="655" spans="1:26" ht="22.5" customHeight="1" x14ac:dyDescent="0.85">
      <c r="A655" s="166"/>
      <c r="B655" s="167"/>
      <c r="C655" s="167"/>
      <c r="D655" s="147"/>
      <c r="E655" s="147"/>
      <c r="F655" s="147"/>
      <c r="G655" s="147"/>
      <c r="H655" s="147"/>
      <c r="I655" s="147"/>
      <c r="J655" s="147"/>
      <c r="K655" s="3"/>
      <c r="L655" s="3"/>
      <c r="M655" s="3"/>
      <c r="N655" s="3"/>
      <c r="O655" s="3"/>
      <c r="P655" s="3"/>
      <c r="Q655" s="3"/>
      <c r="R655" s="3"/>
      <c r="S655" s="3"/>
      <c r="T655" s="3"/>
      <c r="U655" s="3"/>
      <c r="V655" s="3"/>
      <c r="W655" s="3"/>
      <c r="X655" s="3"/>
      <c r="Y655" s="3"/>
      <c r="Z655" s="3"/>
    </row>
    <row r="656" spans="1:26" ht="22.5" customHeight="1" x14ac:dyDescent="0.85">
      <c r="A656" s="166"/>
      <c r="B656" s="167"/>
      <c r="C656" s="167"/>
      <c r="D656" s="147"/>
      <c r="E656" s="147"/>
      <c r="F656" s="147"/>
      <c r="G656" s="147"/>
      <c r="H656" s="147"/>
      <c r="I656" s="147"/>
      <c r="J656" s="147"/>
      <c r="K656" s="3"/>
      <c r="L656" s="3"/>
      <c r="M656" s="3"/>
      <c r="N656" s="3"/>
      <c r="O656" s="3"/>
      <c r="P656" s="3"/>
      <c r="Q656" s="3"/>
      <c r="R656" s="3"/>
      <c r="S656" s="3"/>
      <c r="T656" s="3"/>
      <c r="U656" s="3"/>
      <c r="V656" s="3"/>
      <c r="W656" s="3"/>
      <c r="X656" s="3"/>
      <c r="Y656" s="3"/>
      <c r="Z656" s="3"/>
    </row>
    <row r="657" spans="1:26" ht="22.5" customHeight="1" x14ac:dyDescent="0.85">
      <c r="A657" s="166"/>
      <c r="B657" s="167"/>
      <c r="C657" s="167"/>
      <c r="D657" s="147"/>
      <c r="E657" s="147"/>
      <c r="F657" s="147"/>
      <c r="G657" s="147"/>
      <c r="H657" s="147"/>
      <c r="I657" s="147"/>
      <c r="J657" s="147"/>
      <c r="K657" s="3"/>
      <c r="L657" s="3"/>
      <c r="M657" s="3"/>
      <c r="N657" s="3"/>
      <c r="O657" s="3"/>
      <c r="P657" s="3"/>
      <c r="Q657" s="3"/>
      <c r="R657" s="3"/>
      <c r="S657" s="3"/>
      <c r="T657" s="3"/>
      <c r="U657" s="3"/>
      <c r="V657" s="3"/>
      <c r="W657" s="3"/>
      <c r="X657" s="3"/>
      <c r="Y657" s="3"/>
      <c r="Z657" s="3"/>
    </row>
    <row r="658" spans="1:26" ht="22.5" customHeight="1" x14ac:dyDescent="0.85">
      <c r="A658" s="166"/>
      <c r="B658" s="167"/>
      <c r="C658" s="167"/>
      <c r="D658" s="147"/>
      <c r="E658" s="147"/>
      <c r="F658" s="147"/>
      <c r="G658" s="147"/>
      <c r="H658" s="147"/>
      <c r="I658" s="147"/>
      <c r="J658" s="147"/>
      <c r="K658" s="3"/>
      <c r="L658" s="3"/>
      <c r="M658" s="3"/>
      <c r="N658" s="3"/>
      <c r="O658" s="3"/>
      <c r="P658" s="3"/>
      <c r="Q658" s="3"/>
      <c r="R658" s="3"/>
      <c r="S658" s="3"/>
      <c r="T658" s="3"/>
      <c r="U658" s="3"/>
      <c r="V658" s="3"/>
      <c r="W658" s="3"/>
      <c r="X658" s="3"/>
      <c r="Y658" s="3"/>
      <c r="Z658" s="3"/>
    </row>
    <row r="659" spans="1:26" ht="22.5" customHeight="1" x14ac:dyDescent="0.85">
      <c r="A659" s="166"/>
      <c r="B659" s="167"/>
      <c r="C659" s="167"/>
      <c r="D659" s="147"/>
      <c r="E659" s="147"/>
      <c r="F659" s="147"/>
      <c r="G659" s="147"/>
      <c r="H659" s="147"/>
      <c r="I659" s="147"/>
      <c r="J659" s="147"/>
      <c r="K659" s="3"/>
      <c r="L659" s="3"/>
      <c r="M659" s="3"/>
      <c r="N659" s="3"/>
      <c r="O659" s="3"/>
      <c r="P659" s="3"/>
      <c r="Q659" s="3"/>
      <c r="R659" s="3"/>
      <c r="S659" s="3"/>
      <c r="T659" s="3"/>
      <c r="U659" s="3"/>
      <c r="V659" s="3"/>
      <c r="W659" s="3"/>
      <c r="X659" s="3"/>
      <c r="Y659" s="3"/>
      <c r="Z659" s="3"/>
    </row>
    <row r="660" spans="1:26" ht="22.5" customHeight="1" x14ac:dyDescent="0.85">
      <c r="A660" s="166"/>
      <c r="B660" s="167"/>
      <c r="C660" s="167"/>
      <c r="D660" s="147"/>
      <c r="E660" s="147"/>
      <c r="F660" s="147"/>
      <c r="G660" s="147"/>
      <c r="H660" s="147"/>
      <c r="I660" s="147"/>
      <c r="J660" s="147"/>
      <c r="K660" s="3"/>
      <c r="L660" s="3"/>
      <c r="M660" s="3"/>
      <c r="N660" s="3"/>
      <c r="O660" s="3"/>
      <c r="P660" s="3"/>
      <c r="Q660" s="3"/>
      <c r="R660" s="3"/>
      <c r="S660" s="3"/>
      <c r="T660" s="3"/>
      <c r="U660" s="3"/>
      <c r="V660" s="3"/>
      <c r="W660" s="3"/>
      <c r="X660" s="3"/>
      <c r="Y660" s="3"/>
      <c r="Z660" s="3"/>
    </row>
    <row r="661" spans="1:26" ht="22.5" customHeight="1" x14ac:dyDescent="0.85">
      <c r="A661" s="166"/>
      <c r="B661" s="167"/>
      <c r="C661" s="167"/>
      <c r="D661" s="147"/>
      <c r="E661" s="147"/>
      <c r="F661" s="147"/>
      <c r="G661" s="147"/>
      <c r="H661" s="147"/>
      <c r="I661" s="147"/>
      <c r="J661" s="147"/>
      <c r="K661" s="3"/>
      <c r="L661" s="3"/>
      <c r="M661" s="3"/>
      <c r="N661" s="3"/>
      <c r="O661" s="3"/>
      <c r="P661" s="3"/>
      <c r="Q661" s="3"/>
      <c r="R661" s="3"/>
      <c r="S661" s="3"/>
      <c r="T661" s="3"/>
      <c r="U661" s="3"/>
      <c r="V661" s="3"/>
      <c r="W661" s="3"/>
      <c r="X661" s="3"/>
      <c r="Y661" s="3"/>
      <c r="Z661" s="3"/>
    </row>
    <row r="662" spans="1:26" ht="22.5" customHeight="1" x14ac:dyDescent="0.85">
      <c r="A662" s="166"/>
      <c r="B662" s="167"/>
      <c r="C662" s="167"/>
      <c r="D662" s="147"/>
      <c r="E662" s="147"/>
      <c r="F662" s="147"/>
      <c r="G662" s="147"/>
      <c r="H662" s="147"/>
      <c r="I662" s="147"/>
      <c r="J662" s="147"/>
      <c r="K662" s="3"/>
      <c r="L662" s="3"/>
      <c r="M662" s="3"/>
      <c r="N662" s="3"/>
      <c r="O662" s="3"/>
      <c r="P662" s="3"/>
      <c r="Q662" s="3"/>
      <c r="R662" s="3"/>
      <c r="S662" s="3"/>
      <c r="T662" s="3"/>
      <c r="U662" s="3"/>
      <c r="V662" s="3"/>
      <c r="W662" s="3"/>
      <c r="X662" s="3"/>
      <c r="Y662" s="3"/>
      <c r="Z662" s="3"/>
    </row>
    <row r="663" spans="1:26" ht="22.5" customHeight="1" x14ac:dyDescent="0.85">
      <c r="A663" s="166"/>
      <c r="B663" s="167"/>
      <c r="C663" s="167"/>
      <c r="D663" s="147"/>
      <c r="E663" s="147"/>
      <c r="F663" s="147"/>
      <c r="G663" s="147"/>
      <c r="H663" s="147"/>
      <c r="I663" s="147"/>
      <c r="J663" s="147"/>
      <c r="K663" s="3"/>
      <c r="L663" s="3"/>
      <c r="M663" s="3"/>
      <c r="N663" s="3"/>
      <c r="O663" s="3"/>
      <c r="P663" s="3"/>
      <c r="Q663" s="3"/>
      <c r="R663" s="3"/>
      <c r="S663" s="3"/>
      <c r="T663" s="3"/>
      <c r="U663" s="3"/>
      <c r="V663" s="3"/>
      <c r="W663" s="3"/>
      <c r="X663" s="3"/>
      <c r="Y663" s="3"/>
      <c r="Z663" s="3"/>
    </row>
    <row r="664" spans="1:26" ht="22.5" customHeight="1" x14ac:dyDescent="0.85">
      <c r="A664" s="166"/>
      <c r="B664" s="167"/>
      <c r="C664" s="167"/>
      <c r="D664" s="147"/>
      <c r="E664" s="147"/>
      <c r="F664" s="147"/>
      <c r="G664" s="147"/>
      <c r="H664" s="147"/>
      <c r="I664" s="147"/>
      <c r="J664" s="147"/>
      <c r="K664" s="3"/>
      <c r="L664" s="3"/>
      <c r="M664" s="3"/>
      <c r="N664" s="3"/>
      <c r="O664" s="3"/>
      <c r="P664" s="3"/>
      <c r="Q664" s="3"/>
      <c r="R664" s="3"/>
      <c r="S664" s="3"/>
      <c r="T664" s="3"/>
      <c r="U664" s="3"/>
      <c r="V664" s="3"/>
      <c r="W664" s="3"/>
      <c r="X664" s="3"/>
      <c r="Y664" s="3"/>
      <c r="Z664" s="3"/>
    </row>
    <row r="665" spans="1:26" ht="22.5" customHeight="1" x14ac:dyDescent="0.85">
      <c r="A665" s="166"/>
      <c r="B665" s="167"/>
      <c r="C665" s="167"/>
      <c r="D665" s="147"/>
      <c r="E665" s="147"/>
      <c r="F665" s="147"/>
      <c r="G665" s="147"/>
      <c r="H665" s="147"/>
      <c r="I665" s="147"/>
      <c r="J665" s="147"/>
      <c r="K665" s="3"/>
      <c r="L665" s="3"/>
      <c r="M665" s="3"/>
      <c r="N665" s="3"/>
      <c r="O665" s="3"/>
      <c r="P665" s="3"/>
      <c r="Q665" s="3"/>
      <c r="R665" s="3"/>
      <c r="S665" s="3"/>
      <c r="T665" s="3"/>
      <c r="U665" s="3"/>
      <c r="V665" s="3"/>
      <c r="W665" s="3"/>
      <c r="X665" s="3"/>
      <c r="Y665" s="3"/>
      <c r="Z665" s="3"/>
    </row>
    <row r="666" spans="1:26" ht="22.5" customHeight="1" x14ac:dyDescent="0.85">
      <c r="A666" s="166"/>
      <c r="B666" s="167"/>
      <c r="C666" s="167"/>
      <c r="D666" s="147"/>
      <c r="E666" s="147"/>
      <c r="F666" s="147"/>
      <c r="G666" s="147"/>
      <c r="H666" s="147"/>
      <c r="I666" s="147"/>
      <c r="J666" s="147"/>
      <c r="K666" s="3"/>
      <c r="L666" s="3"/>
      <c r="M666" s="3"/>
      <c r="N666" s="3"/>
      <c r="O666" s="3"/>
      <c r="P666" s="3"/>
      <c r="Q666" s="3"/>
      <c r="R666" s="3"/>
      <c r="S666" s="3"/>
      <c r="T666" s="3"/>
      <c r="U666" s="3"/>
      <c r="V666" s="3"/>
      <c r="W666" s="3"/>
      <c r="X666" s="3"/>
      <c r="Y666" s="3"/>
      <c r="Z666" s="3"/>
    </row>
    <row r="667" spans="1:26" ht="22.5" customHeight="1" x14ac:dyDescent="0.85">
      <c r="A667" s="166"/>
      <c r="B667" s="167"/>
      <c r="C667" s="167"/>
      <c r="D667" s="147"/>
      <c r="E667" s="147"/>
      <c r="F667" s="147"/>
      <c r="G667" s="147"/>
      <c r="H667" s="147"/>
      <c r="I667" s="147"/>
      <c r="J667" s="147"/>
      <c r="K667" s="3"/>
      <c r="L667" s="3"/>
      <c r="M667" s="3"/>
      <c r="N667" s="3"/>
      <c r="O667" s="3"/>
      <c r="P667" s="3"/>
      <c r="Q667" s="3"/>
      <c r="R667" s="3"/>
      <c r="S667" s="3"/>
      <c r="T667" s="3"/>
      <c r="U667" s="3"/>
      <c r="V667" s="3"/>
      <c r="W667" s="3"/>
      <c r="X667" s="3"/>
      <c r="Y667" s="3"/>
      <c r="Z667" s="3"/>
    </row>
    <row r="668" spans="1:26" ht="22.5" customHeight="1" x14ac:dyDescent="0.85">
      <c r="A668" s="166"/>
      <c r="B668" s="167"/>
      <c r="C668" s="167"/>
      <c r="D668" s="147"/>
      <c r="E668" s="147"/>
      <c r="F668" s="147"/>
      <c r="G668" s="147"/>
      <c r="H668" s="147"/>
      <c r="I668" s="147"/>
      <c r="J668" s="147"/>
      <c r="K668" s="3"/>
      <c r="L668" s="3"/>
      <c r="M668" s="3"/>
      <c r="N668" s="3"/>
      <c r="O668" s="3"/>
      <c r="P668" s="3"/>
      <c r="Q668" s="3"/>
      <c r="R668" s="3"/>
      <c r="S668" s="3"/>
      <c r="T668" s="3"/>
      <c r="U668" s="3"/>
      <c r="V668" s="3"/>
      <c r="W668" s="3"/>
      <c r="X668" s="3"/>
      <c r="Y668" s="3"/>
      <c r="Z668" s="3"/>
    </row>
    <row r="669" spans="1:26" ht="22.5" customHeight="1" x14ac:dyDescent="0.85">
      <c r="A669" s="166"/>
      <c r="B669" s="167"/>
      <c r="C669" s="167"/>
      <c r="D669" s="147"/>
      <c r="E669" s="147"/>
      <c r="F669" s="147"/>
      <c r="G669" s="147"/>
      <c r="H669" s="147"/>
      <c r="I669" s="147"/>
      <c r="J669" s="147"/>
      <c r="K669" s="3"/>
      <c r="L669" s="3"/>
      <c r="M669" s="3"/>
      <c r="N669" s="3"/>
      <c r="O669" s="3"/>
      <c r="P669" s="3"/>
      <c r="Q669" s="3"/>
      <c r="R669" s="3"/>
      <c r="S669" s="3"/>
      <c r="T669" s="3"/>
      <c r="U669" s="3"/>
      <c r="V669" s="3"/>
      <c r="W669" s="3"/>
      <c r="X669" s="3"/>
      <c r="Y669" s="3"/>
      <c r="Z669" s="3"/>
    </row>
    <row r="670" spans="1:26" ht="22.5" customHeight="1" x14ac:dyDescent="0.85">
      <c r="A670" s="166"/>
      <c r="B670" s="167"/>
      <c r="C670" s="167"/>
      <c r="D670" s="147"/>
      <c r="E670" s="147"/>
      <c r="F670" s="147"/>
      <c r="G670" s="147"/>
      <c r="H670" s="147"/>
      <c r="I670" s="147"/>
      <c r="J670" s="147"/>
      <c r="K670" s="3"/>
      <c r="L670" s="3"/>
      <c r="M670" s="3"/>
      <c r="N670" s="3"/>
      <c r="O670" s="3"/>
      <c r="P670" s="3"/>
      <c r="Q670" s="3"/>
      <c r="R670" s="3"/>
      <c r="S670" s="3"/>
      <c r="T670" s="3"/>
      <c r="U670" s="3"/>
      <c r="V670" s="3"/>
      <c r="W670" s="3"/>
      <c r="X670" s="3"/>
      <c r="Y670" s="3"/>
      <c r="Z670" s="3"/>
    </row>
    <row r="671" spans="1:26" ht="22.5" customHeight="1" x14ac:dyDescent="0.85">
      <c r="A671" s="166"/>
      <c r="B671" s="167"/>
      <c r="C671" s="167"/>
      <c r="D671" s="147"/>
      <c r="E671" s="147"/>
      <c r="F671" s="147"/>
      <c r="G671" s="147"/>
      <c r="H671" s="147"/>
      <c r="I671" s="147"/>
      <c r="J671" s="147"/>
      <c r="K671" s="3"/>
      <c r="L671" s="3"/>
      <c r="M671" s="3"/>
      <c r="N671" s="3"/>
      <c r="O671" s="3"/>
      <c r="P671" s="3"/>
      <c r="Q671" s="3"/>
      <c r="R671" s="3"/>
      <c r="S671" s="3"/>
      <c r="T671" s="3"/>
      <c r="U671" s="3"/>
      <c r="V671" s="3"/>
      <c r="W671" s="3"/>
      <c r="X671" s="3"/>
      <c r="Y671" s="3"/>
      <c r="Z671" s="3"/>
    </row>
    <row r="672" spans="1:26" ht="22.5" customHeight="1" x14ac:dyDescent="0.85">
      <c r="A672" s="166"/>
      <c r="B672" s="167"/>
      <c r="C672" s="167"/>
      <c r="D672" s="147"/>
      <c r="E672" s="147"/>
      <c r="F672" s="147"/>
      <c r="G672" s="147"/>
      <c r="H672" s="147"/>
      <c r="I672" s="147"/>
      <c r="J672" s="147"/>
      <c r="K672" s="3"/>
      <c r="L672" s="3"/>
      <c r="M672" s="3"/>
      <c r="N672" s="3"/>
      <c r="O672" s="3"/>
      <c r="P672" s="3"/>
      <c r="Q672" s="3"/>
      <c r="R672" s="3"/>
      <c r="S672" s="3"/>
      <c r="T672" s="3"/>
      <c r="U672" s="3"/>
      <c r="V672" s="3"/>
      <c r="W672" s="3"/>
      <c r="X672" s="3"/>
      <c r="Y672" s="3"/>
      <c r="Z672" s="3"/>
    </row>
    <row r="673" spans="1:26" ht="22.5" customHeight="1" x14ac:dyDescent="0.85">
      <c r="A673" s="166"/>
      <c r="B673" s="167"/>
      <c r="C673" s="167"/>
      <c r="D673" s="147"/>
      <c r="E673" s="147"/>
      <c r="F673" s="147"/>
      <c r="G673" s="147"/>
      <c r="H673" s="147"/>
      <c r="I673" s="147"/>
      <c r="J673" s="147"/>
      <c r="K673" s="3"/>
      <c r="L673" s="3"/>
      <c r="M673" s="3"/>
      <c r="N673" s="3"/>
      <c r="O673" s="3"/>
      <c r="P673" s="3"/>
      <c r="Q673" s="3"/>
      <c r="R673" s="3"/>
      <c r="S673" s="3"/>
      <c r="T673" s="3"/>
      <c r="U673" s="3"/>
      <c r="V673" s="3"/>
      <c r="W673" s="3"/>
      <c r="X673" s="3"/>
      <c r="Y673" s="3"/>
      <c r="Z673" s="3"/>
    </row>
    <row r="674" spans="1:26" ht="22.5" customHeight="1" x14ac:dyDescent="0.85">
      <c r="A674" s="166"/>
      <c r="B674" s="167"/>
      <c r="C674" s="167"/>
      <c r="D674" s="147"/>
      <c r="E674" s="147"/>
      <c r="F674" s="147"/>
      <c r="G674" s="147"/>
      <c r="H674" s="147"/>
      <c r="I674" s="147"/>
      <c r="J674" s="147"/>
      <c r="K674" s="3"/>
      <c r="L674" s="3"/>
      <c r="M674" s="3"/>
      <c r="N674" s="3"/>
      <c r="O674" s="3"/>
      <c r="P674" s="3"/>
      <c r="Q674" s="3"/>
      <c r="R674" s="3"/>
      <c r="S674" s="3"/>
      <c r="T674" s="3"/>
      <c r="U674" s="3"/>
      <c r="V674" s="3"/>
      <c r="W674" s="3"/>
      <c r="X674" s="3"/>
      <c r="Y674" s="3"/>
      <c r="Z674" s="3"/>
    </row>
    <row r="675" spans="1:26" ht="22.5" customHeight="1" x14ac:dyDescent="0.85">
      <c r="A675" s="166"/>
      <c r="B675" s="167"/>
      <c r="C675" s="167"/>
      <c r="D675" s="147"/>
      <c r="E675" s="147"/>
      <c r="F675" s="147"/>
      <c r="G675" s="147"/>
      <c r="H675" s="147"/>
      <c r="I675" s="147"/>
      <c r="J675" s="147"/>
      <c r="K675" s="3"/>
      <c r="L675" s="3"/>
      <c r="M675" s="3"/>
      <c r="N675" s="3"/>
      <c r="O675" s="3"/>
      <c r="P675" s="3"/>
      <c r="Q675" s="3"/>
      <c r="R675" s="3"/>
      <c r="S675" s="3"/>
      <c r="T675" s="3"/>
      <c r="U675" s="3"/>
      <c r="V675" s="3"/>
      <c r="W675" s="3"/>
      <c r="X675" s="3"/>
      <c r="Y675" s="3"/>
      <c r="Z675" s="3"/>
    </row>
    <row r="676" spans="1:26" ht="22.5" customHeight="1" x14ac:dyDescent="0.85">
      <c r="A676" s="166"/>
      <c r="B676" s="167"/>
      <c r="C676" s="167"/>
      <c r="D676" s="147"/>
      <c r="E676" s="147"/>
      <c r="F676" s="147"/>
      <c r="G676" s="147"/>
      <c r="H676" s="147"/>
      <c r="I676" s="147"/>
      <c r="J676" s="147"/>
      <c r="K676" s="3"/>
      <c r="L676" s="3"/>
      <c r="M676" s="3"/>
      <c r="N676" s="3"/>
      <c r="O676" s="3"/>
      <c r="P676" s="3"/>
      <c r="Q676" s="3"/>
      <c r="R676" s="3"/>
      <c r="S676" s="3"/>
      <c r="T676" s="3"/>
      <c r="U676" s="3"/>
      <c r="V676" s="3"/>
      <c r="W676" s="3"/>
      <c r="X676" s="3"/>
      <c r="Y676" s="3"/>
      <c r="Z676" s="3"/>
    </row>
    <row r="677" spans="1:26" ht="22.5" customHeight="1" x14ac:dyDescent="0.85">
      <c r="A677" s="166"/>
      <c r="B677" s="167"/>
      <c r="C677" s="167"/>
      <c r="D677" s="147"/>
      <c r="E677" s="147"/>
      <c r="F677" s="147"/>
      <c r="G677" s="147"/>
      <c r="H677" s="147"/>
      <c r="I677" s="147"/>
      <c r="J677" s="147"/>
      <c r="K677" s="3"/>
      <c r="L677" s="3"/>
      <c r="M677" s="3"/>
      <c r="N677" s="3"/>
      <c r="O677" s="3"/>
      <c r="P677" s="3"/>
      <c r="Q677" s="3"/>
      <c r="R677" s="3"/>
      <c r="S677" s="3"/>
      <c r="T677" s="3"/>
      <c r="U677" s="3"/>
      <c r="V677" s="3"/>
      <c r="W677" s="3"/>
      <c r="X677" s="3"/>
      <c r="Y677" s="3"/>
      <c r="Z677" s="3"/>
    </row>
    <row r="678" spans="1:26" ht="22.5" customHeight="1" x14ac:dyDescent="0.85">
      <c r="A678" s="166"/>
      <c r="B678" s="167"/>
      <c r="C678" s="167"/>
      <c r="D678" s="147"/>
      <c r="E678" s="147"/>
      <c r="F678" s="147"/>
      <c r="G678" s="147"/>
      <c r="H678" s="147"/>
      <c r="I678" s="147"/>
      <c r="J678" s="147"/>
      <c r="K678" s="3"/>
      <c r="L678" s="3"/>
      <c r="M678" s="3"/>
      <c r="N678" s="3"/>
      <c r="O678" s="3"/>
      <c r="P678" s="3"/>
      <c r="Q678" s="3"/>
      <c r="R678" s="3"/>
      <c r="S678" s="3"/>
      <c r="T678" s="3"/>
      <c r="U678" s="3"/>
      <c r="V678" s="3"/>
      <c r="W678" s="3"/>
      <c r="X678" s="3"/>
      <c r="Y678" s="3"/>
      <c r="Z678" s="3"/>
    </row>
    <row r="679" spans="1:26" ht="22.5" customHeight="1" x14ac:dyDescent="0.85">
      <c r="A679" s="166"/>
      <c r="B679" s="167"/>
      <c r="C679" s="167"/>
      <c r="D679" s="147"/>
      <c r="E679" s="147"/>
      <c r="F679" s="147"/>
      <c r="G679" s="147"/>
      <c r="H679" s="147"/>
      <c r="I679" s="147"/>
      <c r="J679" s="147"/>
      <c r="K679" s="3"/>
      <c r="L679" s="3"/>
      <c r="M679" s="3"/>
      <c r="N679" s="3"/>
      <c r="O679" s="3"/>
      <c r="P679" s="3"/>
      <c r="Q679" s="3"/>
      <c r="R679" s="3"/>
      <c r="S679" s="3"/>
      <c r="T679" s="3"/>
      <c r="U679" s="3"/>
      <c r="V679" s="3"/>
      <c r="W679" s="3"/>
      <c r="X679" s="3"/>
      <c r="Y679" s="3"/>
      <c r="Z679" s="3"/>
    </row>
    <row r="680" spans="1:26" ht="22.5" customHeight="1" x14ac:dyDescent="0.85">
      <c r="A680" s="166"/>
      <c r="B680" s="167"/>
      <c r="C680" s="167"/>
      <c r="D680" s="147"/>
      <c r="E680" s="147"/>
      <c r="F680" s="147"/>
      <c r="G680" s="147"/>
      <c r="H680" s="147"/>
      <c r="I680" s="147"/>
      <c r="J680" s="147"/>
      <c r="K680" s="3"/>
      <c r="L680" s="3"/>
      <c r="M680" s="3"/>
      <c r="N680" s="3"/>
      <c r="O680" s="3"/>
      <c r="P680" s="3"/>
      <c r="Q680" s="3"/>
      <c r="R680" s="3"/>
      <c r="S680" s="3"/>
      <c r="T680" s="3"/>
      <c r="U680" s="3"/>
      <c r="V680" s="3"/>
      <c r="W680" s="3"/>
      <c r="X680" s="3"/>
      <c r="Y680" s="3"/>
      <c r="Z680" s="3"/>
    </row>
    <row r="681" spans="1:26" ht="22.5" customHeight="1" x14ac:dyDescent="0.85">
      <c r="A681" s="166"/>
      <c r="B681" s="167"/>
      <c r="C681" s="167"/>
      <c r="D681" s="147"/>
      <c r="E681" s="147"/>
      <c r="F681" s="147"/>
      <c r="G681" s="147"/>
      <c r="H681" s="147"/>
      <c r="I681" s="147"/>
      <c r="J681" s="147"/>
      <c r="K681" s="3"/>
      <c r="L681" s="3"/>
      <c r="M681" s="3"/>
      <c r="N681" s="3"/>
      <c r="O681" s="3"/>
      <c r="P681" s="3"/>
      <c r="Q681" s="3"/>
      <c r="R681" s="3"/>
      <c r="S681" s="3"/>
      <c r="T681" s="3"/>
      <c r="U681" s="3"/>
      <c r="V681" s="3"/>
      <c r="W681" s="3"/>
      <c r="X681" s="3"/>
      <c r="Y681" s="3"/>
      <c r="Z681" s="3"/>
    </row>
    <row r="682" spans="1:26" ht="22.5" customHeight="1" x14ac:dyDescent="0.85">
      <c r="A682" s="166"/>
      <c r="B682" s="167"/>
      <c r="C682" s="167"/>
      <c r="D682" s="147"/>
      <c r="E682" s="147"/>
      <c r="F682" s="147"/>
      <c r="G682" s="147"/>
      <c r="H682" s="147"/>
      <c r="I682" s="147"/>
      <c r="J682" s="147"/>
      <c r="K682" s="3"/>
      <c r="L682" s="3"/>
      <c r="M682" s="3"/>
      <c r="N682" s="3"/>
      <c r="O682" s="3"/>
      <c r="P682" s="3"/>
      <c r="Q682" s="3"/>
      <c r="R682" s="3"/>
      <c r="S682" s="3"/>
      <c r="T682" s="3"/>
      <c r="U682" s="3"/>
      <c r="V682" s="3"/>
      <c r="W682" s="3"/>
      <c r="X682" s="3"/>
      <c r="Y682" s="3"/>
      <c r="Z682" s="3"/>
    </row>
    <row r="683" spans="1:26" ht="22.5" customHeight="1" x14ac:dyDescent="0.85">
      <c r="A683" s="166"/>
      <c r="B683" s="167"/>
      <c r="C683" s="167"/>
      <c r="D683" s="147"/>
      <c r="E683" s="147"/>
      <c r="F683" s="147"/>
      <c r="G683" s="147"/>
      <c r="H683" s="147"/>
      <c r="I683" s="147"/>
      <c r="J683" s="147"/>
      <c r="K683" s="3"/>
      <c r="L683" s="3"/>
      <c r="M683" s="3"/>
      <c r="N683" s="3"/>
      <c r="O683" s="3"/>
      <c r="P683" s="3"/>
      <c r="Q683" s="3"/>
      <c r="R683" s="3"/>
      <c r="S683" s="3"/>
      <c r="T683" s="3"/>
      <c r="U683" s="3"/>
      <c r="V683" s="3"/>
      <c r="W683" s="3"/>
      <c r="X683" s="3"/>
      <c r="Y683" s="3"/>
      <c r="Z683" s="3"/>
    </row>
    <row r="684" spans="1:26" ht="22.5" customHeight="1" x14ac:dyDescent="0.85">
      <c r="A684" s="166"/>
      <c r="B684" s="167"/>
      <c r="C684" s="167"/>
      <c r="D684" s="147"/>
      <c r="E684" s="147"/>
      <c r="F684" s="147"/>
      <c r="G684" s="147"/>
      <c r="H684" s="147"/>
      <c r="I684" s="147"/>
      <c r="J684" s="147"/>
      <c r="K684" s="3"/>
      <c r="L684" s="3"/>
      <c r="M684" s="3"/>
      <c r="N684" s="3"/>
      <c r="O684" s="3"/>
      <c r="P684" s="3"/>
      <c r="Q684" s="3"/>
      <c r="R684" s="3"/>
      <c r="S684" s="3"/>
      <c r="T684" s="3"/>
      <c r="U684" s="3"/>
      <c r="V684" s="3"/>
      <c r="W684" s="3"/>
      <c r="X684" s="3"/>
      <c r="Y684" s="3"/>
      <c r="Z684" s="3"/>
    </row>
    <row r="685" spans="1:26" ht="22.5" customHeight="1" x14ac:dyDescent="0.85">
      <c r="A685" s="166"/>
      <c r="B685" s="167"/>
      <c r="C685" s="167"/>
      <c r="D685" s="147"/>
      <c r="E685" s="147"/>
      <c r="F685" s="147"/>
      <c r="G685" s="147"/>
      <c r="H685" s="147"/>
      <c r="I685" s="147"/>
      <c r="J685" s="147"/>
      <c r="K685" s="3"/>
      <c r="L685" s="3"/>
      <c r="M685" s="3"/>
      <c r="N685" s="3"/>
      <c r="O685" s="3"/>
      <c r="P685" s="3"/>
      <c r="Q685" s="3"/>
      <c r="R685" s="3"/>
      <c r="S685" s="3"/>
      <c r="T685" s="3"/>
      <c r="U685" s="3"/>
      <c r="V685" s="3"/>
      <c r="W685" s="3"/>
      <c r="X685" s="3"/>
      <c r="Y685" s="3"/>
      <c r="Z685" s="3"/>
    </row>
    <row r="686" spans="1:26" ht="22.5" customHeight="1" x14ac:dyDescent="0.85">
      <c r="A686" s="166"/>
      <c r="B686" s="167"/>
      <c r="C686" s="167"/>
      <c r="D686" s="147"/>
      <c r="E686" s="147"/>
      <c r="F686" s="147"/>
      <c r="G686" s="147"/>
      <c r="H686" s="147"/>
      <c r="I686" s="147"/>
      <c r="J686" s="147"/>
      <c r="K686" s="3"/>
      <c r="L686" s="3"/>
      <c r="M686" s="3"/>
      <c r="N686" s="3"/>
      <c r="O686" s="3"/>
      <c r="P686" s="3"/>
      <c r="Q686" s="3"/>
      <c r="R686" s="3"/>
      <c r="S686" s="3"/>
      <c r="T686" s="3"/>
      <c r="U686" s="3"/>
      <c r="V686" s="3"/>
      <c r="W686" s="3"/>
      <c r="X686" s="3"/>
      <c r="Y686" s="3"/>
      <c r="Z686" s="3"/>
    </row>
    <row r="687" spans="1:26" ht="22.5" customHeight="1" x14ac:dyDescent="0.85">
      <c r="A687" s="166"/>
      <c r="B687" s="167"/>
      <c r="C687" s="167"/>
      <c r="D687" s="147"/>
      <c r="E687" s="147"/>
      <c r="F687" s="147"/>
      <c r="G687" s="147"/>
      <c r="H687" s="147"/>
      <c r="I687" s="147"/>
      <c r="J687" s="147"/>
      <c r="K687" s="3"/>
      <c r="L687" s="3"/>
      <c r="M687" s="3"/>
      <c r="N687" s="3"/>
      <c r="O687" s="3"/>
      <c r="P687" s="3"/>
      <c r="Q687" s="3"/>
      <c r="R687" s="3"/>
      <c r="S687" s="3"/>
      <c r="T687" s="3"/>
      <c r="U687" s="3"/>
      <c r="V687" s="3"/>
      <c r="W687" s="3"/>
      <c r="X687" s="3"/>
      <c r="Y687" s="3"/>
      <c r="Z687" s="3"/>
    </row>
    <row r="688" spans="1:26" ht="22.5" customHeight="1" x14ac:dyDescent="0.85">
      <c r="A688" s="166"/>
      <c r="B688" s="167"/>
      <c r="C688" s="167"/>
      <c r="D688" s="147"/>
      <c r="E688" s="147"/>
      <c r="F688" s="147"/>
      <c r="G688" s="147"/>
      <c r="H688" s="147"/>
      <c r="I688" s="147"/>
      <c r="J688" s="147"/>
      <c r="K688" s="3"/>
      <c r="L688" s="3"/>
      <c r="M688" s="3"/>
      <c r="N688" s="3"/>
      <c r="O688" s="3"/>
      <c r="P688" s="3"/>
      <c r="Q688" s="3"/>
      <c r="R688" s="3"/>
      <c r="S688" s="3"/>
      <c r="T688" s="3"/>
      <c r="U688" s="3"/>
      <c r="V688" s="3"/>
      <c r="W688" s="3"/>
      <c r="X688" s="3"/>
      <c r="Y688" s="3"/>
      <c r="Z688" s="3"/>
    </row>
    <row r="689" spans="1:26" ht="22.5" customHeight="1" x14ac:dyDescent="0.85">
      <c r="A689" s="166"/>
      <c r="B689" s="167"/>
      <c r="C689" s="167"/>
      <c r="D689" s="147"/>
      <c r="E689" s="147"/>
      <c r="F689" s="147"/>
      <c r="G689" s="147"/>
      <c r="H689" s="147"/>
      <c r="I689" s="147"/>
      <c r="J689" s="147"/>
      <c r="K689" s="3"/>
      <c r="L689" s="3"/>
      <c r="M689" s="3"/>
      <c r="N689" s="3"/>
      <c r="O689" s="3"/>
      <c r="P689" s="3"/>
      <c r="Q689" s="3"/>
      <c r="R689" s="3"/>
      <c r="S689" s="3"/>
      <c r="T689" s="3"/>
      <c r="U689" s="3"/>
      <c r="V689" s="3"/>
      <c r="W689" s="3"/>
      <c r="X689" s="3"/>
      <c r="Y689" s="3"/>
      <c r="Z689" s="3"/>
    </row>
    <row r="690" spans="1:26" ht="22.5" customHeight="1" x14ac:dyDescent="0.85">
      <c r="A690" s="166"/>
      <c r="B690" s="167"/>
      <c r="C690" s="167"/>
      <c r="D690" s="147"/>
      <c r="E690" s="147"/>
      <c r="F690" s="147"/>
      <c r="G690" s="147"/>
      <c r="H690" s="147"/>
      <c r="I690" s="147"/>
      <c r="J690" s="147"/>
      <c r="K690" s="3"/>
      <c r="L690" s="3"/>
      <c r="M690" s="3"/>
      <c r="N690" s="3"/>
      <c r="O690" s="3"/>
      <c r="P690" s="3"/>
      <c r="Q690" s="3"/>
      <c r="R690" s="3"/>
      <c r="S690" s="3"/>
      <c r="T690" s="3"/>
      <c r="U690" s="3"/>
      <c r="V690" s="3"/>
      <c r="W690" s="3"/>
      <c r="X690" s="3"/>
      <c r="Y690" s="3"/>
      <c r="Z690" s="3"/>
    </row>
    <row r="691" spans="1:26" ht="22.5" customHeight="1" x14ac:dyDescent="0.85">
      <c r="A691" s="166"/>
      <c r="B691" s="167"/>
      <c r="C691" s="167"/>
      <c r="D691" s="147"/>
      <c r="E691" s="147"/>
      <c r="F691" s="147"/>
      <c r="G691" s="147"/>
      <c r="H691" s="147"/>
      <c r="I691" s="147"/>
      <c r="J691" s="147"/>
      <c r="K691" s="3"/>
      <c r="L691" s="3"/>
      <c r="M691" s="3"/>
      <c r="N691" s="3"/>
      <c r="O691" s="3"/>
      <c r="P691" s="3"/>
      <c r="Q691" s="3"/>
      <c r="R691" s="3"/>
      <c r="S691" s="3"/>
      <c r="T691" s="3"/>
      <c r="U691" s="3"/>
      <c r="V691" s="3"/>
      <c r="W691" s="3"/>
      <c r="X691" s="3"/>
      <c r="Y691" s="3"/>
      <c r="Z691" s="3"/>
    </row>
    <row r="692" spans="1:26" ht="22.5" customHeight="1" x14ac:dyDescent="0.85">
      <c r="A692" s="166"/>
      <c r="B692" s="167"/>
      <c r="C692" s="167"/>
      <c r="D692" s="147"/>
      <c r="E692" s="147"/>
      <c r="F692" s="147"/>
      <c r="G692" s="147"/>
      <c r="H692" s="147"/>
      <c r="I692" s="147"/>
      <c r="J692" s="147"/>
      <c r="K692" s="3"/>
      <c r="L692" s="3"/>
      <c r="M692" s="3"/>
      <c r="N692" s="3"/>
      <c r="O692" s="3"/>
      <c r="P692" s="3"/>
      <c r="Q692" s="3"/>
      <c r="R692" s="3"/>
      <c r="S692" s="3"/>
      <c r="T692" s="3"/>
      <c r="U692" s="3"/>
      <c r="V692" s="3"/>
      <c r="W692" s="3"/>
      <c r="X692" s="3"/>
      <c r="Y692" s="3"/>
      <c r="Z692" s="3"/>
    </row>
    <row r="693" spans="1:26" ht="22.5" customHeight="1" x14ac:dyDescent="0.85">
      <c r="A693" s="166"/>
      <c r="B693" s="167"/>
      <c r="C693" s="167"/>
      <c r="D693" s="147"/>
      <c r="E693" s="147"/>
      <c r="F693" s="147"/>
      <c r="G693" s="147"/>
      <c r="H693" s="147"/>
      <c r="I693" s="147"/>
      <c r="J693" s="147"/>
      <c r="K693" s="3"/>
      <c r="L693" s="3"/>
      <c r="M693" s="3"/>
      <c r="N693" s="3"/>
      <c r="O693" s="3"/>
      <c r="P693" s="3"/>
      <c r="Q693" s="3"/>
      <c r="R693" s="3"/>
      <c r="S693" s="3"/>
      <c r="T693" s="3"/>
      <c r="U693" s="3"/>
      <c r="V693" s="3"/>
      <c r="W693" s="3"/>
      <c r="X693" s="3"/>
      <c r="Y693" s="3"/>
      <c r="Z693" s="3"/>
    </row>
    <row r="694" spans="1:26" ht="22.5" customHeight="1" x14ac:dyDescent="0.85">
      <c r="A694" s="166"/>
      <c r="B694" s="167"/>
      <c r="C694" s="167"/>
      <c r="D694" s="147"/>
      <c r="E694" s="147"/>
      <c r="F694" s="147"/>
      <c r="G694" s="147"/>
      <c r="H694" s="147"/>
      <c r="I694" s="147"/>
      <c r="J694" s="147"/>
      <c r="K694" s="3"/>
      <c r="L694" s="3"/>
      <c r="M694" s="3"/>
      <c r="N694" s="3"/>
      <c r="O694" s="3"/>
      <c r="P694" s="3"/>
      <c r="Q694" s="3"/>
      <c r="R694" s="3"/>
      <c r="S694" s="3"/>
      <c r="T694" s="3"/>
      <c r="U694" s="3"/>
      <c r="V694" s="3"/>
      <c r="W694" s="3"/>
      <c r="X694" s="3"/>
      <c r="Y694" s="3"/>
      <c r="Z694" s="3"/>
    </row>
    <row r="695" spans="1:26" ht="22.5" customHeight="1" x14ac:dyDescent="0.85">
      <c r="A695" s="166"/>
      <c r="B695" s="167"/>
      <c r="C695" s="167"/>
      <c r="D695" s="147"/>
      <c r="E695" s="147"/>
      <c r="F695" s="147"/>
      <c r="G695" s="147"/>
      <c r="H695" s="147"/>
      <c r="I695" s="147"/>
      <c r="J695" s="147"/>
      <c r="K695" s="3"/>
      <c r="L695" s="3"/>
      <c r="M695" s="3"/>
      <c r="N695" s="3"/>
      <c r="O695" s="3"/>
      <c r="P695" s="3"/>
      <c r="Q695" s="3"/>
      <c r="R695" s="3"/>
      <c r="S695" s="3"/>
      <c r="T695" s="3"/>
      <c r="U695" s="3"/>
      <c r="V695" s="3"/>
      <c r="W695" s="3"/>
      <c r="X695" s="3"/>
      <c r="Y695" s="3"/>
      <c r="Z695" s="3"/>
    </row>
    <row r="696" spans="1:26" ht="22.5" customHeight="1" x14ac:dyDescent="0.85">
      <c r="A696" s="166"/>
      <c r="B696" s="167"/>
      <c r="C696" s="167"/>
      <c r="D696" s="147"/>
      <c r="E696" s="147"/>
      <c r="F696" s="147"/>
      <c r="G696" s="147"/>
      <c r="H696" s="147"/>
      <c r="I696" s="147"/>
      <c r="J696" s="147"/>
      <c r="K696" s="3"/>
      <c r="L696" s="3"/>
      <c r="M696" s="3"/>
      <c r="N696" s="3"/>
      <c r="O696" s="3"/>
      <c r="P696" s="3"/>
      <c r="Q696" s="3"/>
      <c r="R696" s="3"/>
      <c r="S696" s="3"/>
      <c r="T696" s="3"/>
      <c r="U696" s="3"/>
      <c r="V696" s="3"/>
      <c r="W696" s="3"/>
      <c r="X696" s="3"/>
      <c r="Y696" s="3"/>
      <c r="Z696" s="3"/>
    </row>
    <row r="697" spans="1:26" ht="22.5" customHeight="1" x14ac:dyDescent="0.85">
      <c r="A697" s="166"/>
      <c r="B697" s="167"/>
      <c r="C697" s="167"/>
      <c r="D697" s="147"/>
      <c r="E697" s="147"/>
      <c r="F697" s="147"/>
      <c r="G697" s="147"/>
      <c r="H697" s="147"/>
      <c r="I697" s="147"/>
      <c r="J697" s="147"/>
      <c r="K697" s="3"/>
      <c r="L697" s="3"/>
      <c r="M697" s="3"/>
      <c r="N697" s="3"/>
      <c r="O697" s="3"/>
      <c r="P697" s="3"/>
      <c r="Q697" s="3"/>
      <c r="R697" s="3"/>
      <c r="S697" s="3"/>
      <c r="T697" s="3"/>
      <c r="U697" s="3"/>
      <c r="V697" s="3"/>
      <c r="W697" s="3"/>
      <c r="X697" s="3"/>
      <c r="Y697" s="3"/>
      <c r="Z697" s="3"/>
    </row>
    <row r="698" spans="1:26" ht="22.5" customHeight="1" x14ac:dyDescent="0.85">
      <c r="A698" s="166"/>
      <c r="B698" s="167"/>
      <c r="C698" s="167"/>
      <c r="D698" s="147"/>
      <c r="E698" s="147"/>
      <c r="F698" s="147"/>
      <c r="G698" s="147"/>
      <c r="H698" s="147"/>
      <c r="I698" s="147"/>
      <c r="J698" s="147"/>
      <c r="K698" s="3"/>
      <c r="L698" s="3"/>
      <c r="M698" s="3"/>
      <c r="N698" s="3"/>
      <c r="O698" s="3"/>
      <c r="P698" s="3"/>
      <c r="Q698" s="3"/>
      <c r="R698" s="3"/>
      <c r="S698" s="3"/>
      <c r="T698" s="3"/>
      <c r="U698" s="3"/>
      <c r="V698" s="3"/>
      <c r="W698" s="3"/>
      <c r="X698" s="3"/>
      <c r="Y698" s="3"/>
      <c r="Z698" s="3"/>
    </row>
    <row r="699" spans="1:26" ht="22.5" customHeight="1" x14ac:dyDescent="0.85">
      <c r="A699" s="166"/>
      <c r="B699" s="167"/>
      <c r="C699" s="167"/>
      <c r="D699" s="147"/>
      <c r="E699" s="147"/>
      <c r="F699" s="147"/>
      <c r="G699" s="147"/>
      <c r="H699" s="147"/>
      <c r="I699" s="147"/>
      <c r="J699" s="147"/>
      <c r="K699" s="3"/>
      <c r="L699" s="3"/>
      <c r="M699" s="3"/>
      <c r="N699" s="3"/>
      <c r="O699" s="3"/>
      <c r="P699" s="3"/>
      <c r="Q699" s="3"/>
      <c r="R699" s="3"/>
      <c r="S699" s="3"/>
      <c r="T699" s="3"/>
      <c r="U699" s="3"/>
      <c r="V699" s="3"/>
      <c r="W699" s="3"/>
      <c r="X699" s="3"/>
      <c r="Y699" s="3"/>
      <c r="Z699" s="3"/>
    </row>
    <row r="700" spans="1:26" ht="22.5" customHeight="1" x14ac:dyDescent="0.85">
      <c r="A700" s="166"/>
      <c r="B700" s="167"/>
      <c r="C700" s="167"/>
      <c r="D700" s="147"/>
      <c r="E700" s="147"/>
      <c r="F700" s="147"/>
      <c r="G700" s="147"/>
      <c r="H700" s="147"/>
      <c r="I700" s="147"/>
      <c r="J700" s="147"/>
      <c r="K700" s="3"/>
      <c r="L700" s="3"/>
      <c r="M700" s="3"/>
      <c r="N700" s="3"/>
      <c r="O700" s="3"/>
      <c r="P700" s="3"/>
      <c r="Q700" s="3"/>
      <c r="R700" s="3"/>
      <c r="S700" s="3"/>
      <c r="T700" s="3"/>
      <c r="U700" s="3"/>
      <c r="V700" s="3"/>
      <c r="W700" s="3"/>
      <c r="X700" s="3"/>
      <c r="Y700" s="3"/>
      <c r="Z700" s="3"/>
    </row>
    <row r="701" spans="1:26" ht="22.5" customHeight="1" x14ac:dyDescent="0.85">
      <c r="A701" s="166"/>
      <c r="B701" s="167"/>
      <c r="C701" s="167"/>
      <c r="D701" s="147"/>
      <c r="E701" s="147"/>
      <c r="F701" s="147"/>
      <c r="G701" s="147"/>
      <c r="H701" s="147"/>
      <c r="I701" s="147"/>
      <c r="J701" s="147"/>
      <c r="K701" s="3"/>
      <c r="L701" s="3"/>
      <c r="M701" s="3"/>
      <c r="N701" s="3"/>
      <c r="O701" s="3"/>
      <c r="P701" s="3"/>
      <c r="Q701" s="3"/>
      <c r="R701" s="3"/>
      <c r="S701" s="3"/>
      <c r="T701" s="3"/>
      <c r="U701" s="3"/>
      <c r="V701" s="3"/>
      <c r="W701" s="3"/>
      <c r="X701" s="3"/>
      <c r="Y701" s="3"/>
      <c r="Z701" s="3"/>
    </row>
    <row r="702" spans="1:26" ht="22.5" customHeight="1" x14ac:dyDescent="0.85">
      <c r="A702" s="166"/>
      <c r="B702" s="167"/>
      <c r="C702" s="167"/>
      <c r="D702" s="147"/>
      <c r="E702" s="147"/>
      <c r="F702" s="147"/>
      <c r="G702" s="147"/>
      <c r="H702" s="147"/>
      <c r="I702" s="147"/>
      <c r="J702" s="147"/>
      <c r="K702" s="3"/>
      <c r="L702" s="3"/>
      <c r="M702" s="3"/>
      <c r="N702" s="3"/>
      <c r="O702" s="3"/>
      <c r="P702" s="3"/>
      <c r="Q702" s="3"/>
      <c r="R702" s="3"/>
      <c r="S702" s="3"/>
      <c r="T702" s="3"/>
      <c r="U702" s="3"/>
      <c r="V702" s="3"/>
      <c r="W702" s="3"/>
      <c r="X702" s="3"/>
      <c r="Y702" s="3"/>
      <c r="Z702" s="3"/>
    </row>
    <row r="703" spans="1:26" ht="22.5" customHeight="1" x14ac:dyDescent="0.85">
      <c r="A703" s="166"/>
      <c r="B703" s="167"/>
      <c r="C703" s="167"/>
      <c r="D703" s="147"/>
      <c r="E703" s="147"/>
      <c r="F703" s="147"/>
      <c r="G703" s="147"/>
      <c r="H703" s="147"/>
      <c r="I703" s="147"/>
      <c r="J703" s="147"/>
      <c r="K703" s="3"/>
      <c r="L703" s="3"/>
      <c r="M703" s="3"/>
      <c r="N703" s="3"/>
      <c r="O703" s="3"/>
      <c r="P703" s="3"/>
      <c r="Q703" s="3"/>
      <c r="R703" s="3"/>
      <c r="S703" s="3"/>
      <c r="T703" s="3"/>
      <c r="U703" s="3"/>
      <c r="V703" s="3"/>
      <c r="W703" s="3"/>
      <c r="X703" s="3"/>
      <c r="Y703" s="3"/>
      <c r="Z703" s="3"/>
    </row>
    <row r="704" spans="1:26" ht="22.5" customHeight="1" x14ac:dyDescent="0.85">
      <c r="A704" s="166"/>
      <c r="B704" s="167"/>
      <c r="C704" s="167"/>
      <c r="D704" s="147"/>
      <c r="E704" s="147"/>
      <c r="F704" s="147"/>
      <c r="G704" s="147"/>
      <c r="H704" s="147"/>
      <c r="I704" s="147"/>
      <c r="J704" s="147"/>
      <c r="K704" s="3"/>
      <c r="L704" s="3"/>
      <c r="M704" s="3"/>
      <c r="N704" s="3"/>
      <c r="O704" s="3"/>
      <c r="P704" s="3"/>
      <c r="Q704" s="3"/>
      <c r="R704" s="3"/>
      <c r="S704" s="3"/>
      <c r="T704" s="3"/>
      <c r="U704" s="3"/>
      <c r="V704" s="3"/>
      <c r="W704" s="3"/>
      <c r="X704" s="3"/>
      <c r="Y704" s="3"/>
      <c r="Z704" s="3"/>
    </row>
    <row r="705" spans="1:26" ht="22.5" customHeight="1" x14ac:dyDescent="0.85">
      <c r="A705" s="166"/>
      <c r="B705" s="167"/>
      <c r="C705" s="167"/>
      <c r="D705" s="147"/>
      <c r="E705" s="147"/>
      <c r="F705" s="147"/>
      <c r="G705" s="147"/>
      <c r="H705" s="147"/>
      <c r="I705" s="147"/>
      <c r="J705" s="147"/>
      <c r="K705" s="3"/>
      <c r="L705" s="3"/>
      <c r="M705" s="3"/>
      <c r="N705" s="3"/>
      <c r="O705" s="3"/>
      <c r="P705" s="3"/>
      <c r="Q705" s="3"/>
      <c r="R705" s="3"/>
      <c r="S705" s="3"/>
      <c r="T705" s="3"/>
      <c r="U705" s="3"/>
      <c r="V705" s="3"/>
      <c r="W705" s="3"/>
      <c r="X705" s="3"/>
      <c r="Y705" s="3"/>
      <c r="Z705" s="3"/>
    </row>
    <row r="706" spans="1:26" ht="22.5" customHeight="1" x14ac:dyDescent="0.85">
      <c r="A706" s="166"/>
      <c r="B706" s="167"/>
      <c r="C706" s="167"/>
      <c r="D706" s="147"/>
      <c r="E706" s="147"/>
      <c r="F706" s="147"/>
      <c r="G706" s="147"/>
      <c r="H706" s="147"/>
      <c r="I706" s="147"/>
      <c r="J706" s="147"/>
      <c r="K706" s="3"/>
      <c r="L706" s="3"/>
      <c r="M706" s="3"/>
      <c r="N706" s="3"/>
      <c r="O706" s="3"/>
      <c r="P706" s="3"/>
      <c r="Q706" s="3"/>
      <c r="R706" s="3"/>
      <c r="S706" s="3"/>
      <c r="T706" s="3"/>
      <c r="U706" s="3"/>
      <c r="V706" s="3"/>
      <c r="W706" s="3"/>
      <c r="X706" s="3"/>
      <c r="Y706" s="3"/>
      <c r="Z706" s="3"/>
    </row>
    <row r="707" spans="1:26" ht="22.5" customHeight="1" x14ac:dyDescent="0.85">
      <c r="A707" s="166"/>
      <c r="B707" s="167"/>
      <c r="C707" s="167"/>
      <c r="D707" s="147"/>
      <c r="E707" s="147"/>
      <c r="F707" s="147"/>
      <c r="G707" s="147"/>
      <c r="H707" s="147"/>
      <c r="I707" s="147"/>
      <c r="J707" s="147"/>
      <c r="K707" s="3"/>
      <c r="L707" s="3"/>
      <c r="M707" s="3"/>
      <c r="N707" s="3"/>
      <c r="O707" s="3"/>
      <c r="P707" s="3"/>
      <c r="Q707" s="3"/>
      <c r="R707" s="3"/>
      <c r="S707" s="3"/>
      <c r="T707" s="3"/>
      <c r="U707" s="3"/>
      <c r="V707" s="3"/>
      <c r="W707" s="3"/>
      <c r="X707" s="3"/>
      <c r="Y707" s="3"/>
      <c r="Z707" s="3"/>
    </row>
    <row r="708" spans="1:26" ht="22.5" customHeight="1" x14ac:dyDescent="0.85">
      <c r="A708" s="166"/>
      <c r="B708" s="167"/>
      <c r="C708" s="167"/>
      <c r="D708" s="147"/>
      <c r="E708" s="147"/>
      <c r="F708" s="147"/>
      <c r="G708" s="147"/>
      <c r="H708" s="147"/>
      <c r="I708" s="147"/>
      <c r="J708" s="147"/>
      <c r="K708" s="3"/>
      <c r="L708" s="3"/>
      <c r="M708" s="3"/>
      <c r="N708" s="3"/>
      <c r="O708" s="3"/>
      <c r="P708" s="3"/>
      <c r="Q708" s="3"/>
      <c r="R708" s="3"/>
      <c r="S708" s="3"/>
      <c r="T708" s="3"/>
      <c r="U708" s="3"/>
      <c r="V708" s="3"/>
      <c r="W708" s="3"/>
      <c r="X708" s="3"/>
      <c r="Y708" s="3"/>
      <c r="Z708" s="3"/>
    </row>
    <row r="709" spans="1:26" ht="22.5" customHeight="1" x14ac:dyDescent="0.85">
      <c r="A709" s="166"/>
      <c r="B709" s="167"/>
      <c r="C709" s="167"/>
      <c r="D709" s="147"/>
      <c r="E709" s="147"/>
      <c r="F709" s="147"/>
      <c r="G709" s="147"/>
      <c r="H709" s="147"/>
      <c r="I709" s="147"/>
      <c r="J709" s="147"/>
      <c r="K709" s="3"/>
      <c r="L709" s="3"/>
      <c r="M709" s="3"/>
      <c r="N709" s="3"/>
      <c r="O709" s="3"/>
      <c r="P709" s="3"/>
      <c r="Q709" s="3"/>
      <c r="R709" s="3"/>
      <c r="S709" s="3"/>
      <c r="T709" s="3"/>
      <c r="U709" s="3"/>
      <c r="V709" s="3"/>
      <c r="W709" s="3"/>
      <c r="X709" s="3"/>
      <c r="Y709" s="3"/>
      <c r="Z709" s="3"/>
    </row>
    <row r="710" spans="1:26" ht="22.5" customHeight="1" x14ac:dyDescent="0.85">
      <c r="A710" s="166"/>
      <c r="B710" s="167"/>
      <c r="C710" s="167"/>
      <c r="D710" s="147"/>
      <c r="E710" s="147"/>
      <c r="F710" s="147"/>
      <c r="G710" s="147"/>
      <c r="H710" s="147"/>
      <c r="I710" s="147"/>
      <c r="J710" s="147"/>
      <c r="K710" s="3"/>
      <c r="L710" s="3"/>
      <c r="M710" s="3"/>
      <c r="N710" s="3"/>
      <c r="O710" s="3"/>
      <c r="P710" s="3"/>
      <c r="Q710" s="3"/>
      <c r="R710" s="3"/>
      <c r="S710" s="3"/>
      <c r="T710" s="3"/>
      <c r="U710" s="3"/>
      <c r="V710" s="3"/>
      <c r="W710" s="3"/>
      <c r="X710" s="3"/>
      <c r="Y710" s="3"/>
      <c r="Z710" s="3"/>
    </row>
    <row r="711" spans="1:26" ht="22.5" customHeight="1" x14ac:dyDescent="0.85">
      <c r="A711" s="166"/>
      <c r="B711" s="167"/>
      <c r="C711" s="167"/>
      <c r="D711" s="147"/>
      <c r="E711" s="147"/>
      <c r="F711" s="147"/>
      <c r="G711" s="147"/>
      <c r="H711" s="147"/>
      <c r="I711" s="147"/>
      <c r="J711" s="147"/>
      <c r="K711" s="3"/>
      <c r="L711" s="3"/>
      <c r="M711" s="3"/>
      <c r="N711" s="3"/>
      <c r="O711" s="3"/>
      <c r="P711" s="3"/>
      <c r="Q711" s="3"/>
      <c r="R711" s="3"/>
      <c r="S711" s="3"/>
      <c r="T711" s="3"/>
      <c r="U711" s="3"/>
      <c r="V711" s="3"/>
      <c r="W711" s="3"/>
      <c r="X711" s="3"/>
      <c r="Y711" s="3"/>
      <c r="Z711" s="3"/>
    </row>
    <row r="712" spans="1:26" ht="22.5" customHeight="1" x14ac:dyDescent="0.85">
      <c r="A712" s="166"/>
      <c r="B712" s="167"/>
      <c r="C712" s="167"/>
      <c r="D712" s="147"/>
      <c r="E712" s="147"/>
      <c r="F712" s="147"/>
      <c r="G712" s="147"/>
      <c r="H712" s="147"/>
      <c r="I712" s="147"/>
      <c r="J712" s="147"/>
      <c r="K712" s="3"/>
      <c r="L712" s="3"/>
      <c r="M712" s="3"/>
      <c r="N712" s="3"/>
      <c r="O712" s="3"/>
      <c r="P712" s="3"/>
      <c r="Q712" s="3"/>
      <c r="R712" s="3"/>
      <c r="S712" s="3"/>
      <c r="T712" s="3"/>
      <c r="U712" s="3"/>
      <c r="V712" s="3"/>
      <c r="W712" s="3"/>
      <c r="X712" s="3"/>
      <c r="Y712" s="3"/>
      <c r="Z712" s="3"/>
    </row>
    <row r="713" spans="1:26" ht="22.5" customHeight="1" x14ac:dyDescent="0.85">
      <c r="A713" s="166"/>
      <c r="B713" s="167"/>
      <c r="C713" s="167"/>
      <c r="D713" s="147"/>
      <c r="E713" s="147"/>
      <c r="F713" s="147"/>
      <c r="G713" s="147"/>
      <c r="H713" s="147"/>
      <c r="I713" s="147"/>
      <c r="J713" s="147"/>
      <c r="K713" s="3"/>
      <c r="L713" s="3"/>
      <c r="M713" s="3"/>
      <c r="N713" s="3"/>
      <c r="O713" s="3"/>
      <c r="P713" s="3"/>
      <c r="Q713" s="3"/>
      <c r="R713" s="3"/>
      <c r="S713" s="3"/>
      <c r="T713" s="3"/>
      <c r="U713" s="3"/>
      <c r="V713" s="3"/>
      <c r="W713" s="3"/>
      <c r="X713" s="3"/>
      <c r="Y713" s="3"/>
      <c r="Z713" s="3"/>
    </row>
    <row r="714" spans="1:26" ht="22.5" customHeight="1" x14ac:dyDescent="0.85">
      <c r="A714" s="166"/>
      <c r="B714" s="167"/>
      <c r="C714" s="167"/>
      <c r="D714" s="147"/>
      <c r="E714" s="147"/>
      <c r="F714" s="147"/>
      <c r="G714" s="147"/>
      <c r="H714" s="147"/>
      <c r="I714" s="147"/>
      <c r="J714" s="147"/>
      <c r="K714" s="3"/>
      <c r="L714" s="3"/>
      <c r="M714" s="3"/>
      <c r="N714" s="3"/>
      <c r="O714" s="3"/>
      <c r="P714" s="3"/>
      <c r="Q714" s="3"/>
      <c r="R714" s="3"/>
      <c r="S714" s="3"/>
      <c r="T714" s="3"/>
      <c r="U714" s="3"/>
      <c r="V714" s="3"/>
      <c r="W714" s="3"/>
      <c r="X714" s="3"/>
      <c r="Y714" s="3"/>
      <c r="Z714" s="3"/>
    </row>
    <row r="715" spans="1:26" ht="22.5" customHeight="1" x14ac:dyDescent="0.85">
      <c r="A715" s="166"/>
      <c r="B715" s="167"/>
      <c r="C715" s="167"/>
      <c r="D715" s="147"/>
      <c r="E715" s="147"/>
      <c r="F715" s="147"/>
      <c r="G715" s="147"/>
      <c r="H715" s="147"/>
      <c r="I715" s="147"/>
      <c r="J715" s="147"/>
      <c r="K715" s="3"/>
      <c r="L715" s="3"/>
      <c r="M715" s="3"/>
      <c r="N715" s="3"/>
      <c r="O715" s="3"/>
      <c r="P715" s="3"/>
      <c r="Q715" s="3"/>
      <c r="R715" s="3"/>
      <c r="S715" s="3"/>
      <c r="T715" s="3"/>
      <c r="U715" s="3"/>
      <c r="V715" s="3"/>
      <c r="W715" s="3"/>
      <c r="X715" s="3"/>
      <c r="Y715" s="3"/>
      <c r="Z715" s="3"/>
    </row>
    <row r="716" spans="1:26" ht="22.5" customHeight="1" x14ac:dyDescent="0.85">
      <c r="A716" s="166"/>
      <c r="B716" s="167"/>
      <c r="C716" s="167"/>
      <c r="D716" s="147"/>
      <c r="E716" s="147"/>
      <c r="F716" s="147"/>
      <c r="G716" s="147"/>
      <c r="H716" s="147"/>
      <c r="I716" s="147"/>
      <c r="J716" s="147"/>
      <c r="K716" s="3"/>
      <c r="L716" s="3"/>
      <c r="M716" s="3"/>
      <c r="N716" s="3"/>
      <c r="O716" s="3"/>
      <c r="P716" s="3"/>
      <c r="Q716" s="3"/>
      <c r="R716" s="3"/>
      <c r="S716" s="3"/>
      <c r="T716" s="3"/>
      <c r="U716" s="3"/>
      <c r="V716" s="3"/>
      <c r="W716" s="3"/>
      <c r="X716" s="3"/>
      <c r="Y716" s="3"/>
      <c r="Z716" s="3"/>
    </row>
    <row r="717" spans="1:26" ht="22.5" customHeight="1" x14ac:dyDescent="0.85">
      <c r="A717" s="166"/>
      <c r="B717" s="167"/>
      <c r="C717" s="167"/>
      <c r="D717" s="147"/>
      <c r="E717" s="147"/>
      <c r="F717" s="147"/>
      <c r="G717" s="147"/>
      <c r="H717" s="147"/>
      <c r="I717" s="147"/>
      <c r="J717" s="147"/>
      <c r="K717" s="3"/>
      <c r="L717" s="3"/>
      <c r="M717" s="3"/>
      <c r="N717" s="3"/>
      <c r="O717" s="3"/>
      <c r="P717" s="3"/>
      <c r="Q717" s="3"/>
      <c r="R717" s="3"/>
      <c r="S717" s="3"/>
      <c r="T717" s="3"/>
      <c r="U717" s="3"/>
      <c r="V717" s="3"/>
      <c r="W717" s="3"/>
      <c r="X717" s="3"/>
      <c r="Y717" s="3"/>
      <c r="Z717" s="3"/>
    </row>
    <row r="718" spans="1:26" ht="22.5" customHeight="1" x14ac:dyDescent="0.85">
      <c r="A718" s="166"/>
      <c r="B718" s="167"/>
      <c r="C718" s="167"/>
      <c r="D718" s="147"/>
      <c r="E718" s="147"/>
      <c r="F718" s="147"/>
      <c r="G718" s="147"/>
      <c r="H718" s="147"/>
      <c r="I718" s="147"/>
      <c r="J718" s="147"/>
      <c r="K718" s="3"/>
      <c r="L718" s="3"/>
      <c r="M718" s="3"/>
      <c r="N718" s="3"/>
      <c r="O718" s="3"/>
      <c r="P718" s="3"/>
      <c r="Q718" s="3"/>
      <c r="R718" s="3"/>
      <c r="S718" s="3"/>
      <c r="T718" s="3"/>
      <c r="U718" s="3"/>
      <c r="V718" s="3"/>
      <c r="W718" s="3"/>
      <c r="X718" s="3"/>
      <c r="Y718" s="3"/>
      <c r="Z718" s="3"/>
    </row>
    <row r="719" spans="1:26" ht="22.5" customHeight="1" x14ac:dyDescent="0.85">
      <c r="A719" s="166"/>
      <c r="B719" s="167"/>
      <c r="C719" s="167"/>
      <c r="D719" s="147"/>
      <c r="E719" s="147"/>
      <c r="F719" s="147"/>
      <c r="G719" s="147"/>
      <c r="H719" s="147"/>
      <c r="I719" s="147"/>
      <c r="J719" s="147"/>
      <c r="K719" s="3"/>
      <c r="L719" s="3"/>
      <c r="M719" s="3"/>
      <c r="N719" s="3"/>
      <c r="O719" s="3"/>
      <c r="P719" s="3"/>
      <c r="Q719" s="3"/>
      <c r="R719" s="3"/>
      <c r="S719" s="3"/>
      <c r="T719" s="3"/>
      <c r="U719" s="3"/>
      <c r="V719" s="3"/>
      <c r="W719" s="3"/>
      <c r="X719" s="3"/>
      <c r="Y719" s="3"/>
      <c r="Z719" s="3"/>
    </row>
    <row r="720" spans="1:26" ht="22.5" customHeight="1" x14ac:dyDescent="0.85">
      <c r="A720" s="166"/>
      <c r="B720" s="167"/>
      <c r="C720" s="167"/>
      <c r="D720" s="147"/>
      <c r="E720" s="147"/>
      <c r="F720" s="147"/>
      <c r="G720" s="147"/>
      <c r="H720" s="147"/>
      <c r="I720" s="147"/>
      <c r="J720" s="147"/>
      <c r="K720" s="3"/>
      <c r="L720" s="3"/>
      <c r="M720" s="3"/>
      <c r="N720" s="3"/>
      <c r="O720" s="3"/>
      <c r="P720" s="3"/>
      <c r="Q720" s="3"/>
      <c r="R720" s="3"/>
      <c r="S720" s="3"/>
      <c r="T720" s="3"/>
      <c r="U720" s="3"/>
      <c r="V720" s="3"/>
      <c r="W720" s="3"/>
      <c r="X720" s="3"/>
      <c r="Y720" s="3"/>
      <c r="Z720" s="3"/>
    </row>
    <row r="721" spans="1:26" ht="22.5" customHeight="1" x14ac:dyDescent="0.85">
      <c r="A721" s="166"/>
      <c r="B721" s="167"/>
      <c r="C721" s="167"/>
      <c r="D721" s="147"/>
      <c r="E721" s="147"/>
      <c r="F721" s="147"/>
      <c r="G721" s="147"/>
      <c r="H721" s="147"/>
      <c r="I721" s="147"/>
      <c r="J721" s="147"/>
      <c r="K721" s="3"/>
      <c r="L721" s="3"/>
      <c r="M721" s="3"/>
      <c r="N721" s="3"/>
      <c r="O721" s="3"/>
      <c r="P721" s="3"/>
      <c r="Q721" s="3"/>
      <c r="R721" s="3"/>
      <c r="S721" s="3"/>
      <c r="T721" s="3"/>
      <c r="U721" s="3"/>
      <c r="V721" s="3"/>
      <c r="W721" s="3"/>
      <c r="X721" s="3"/>
      <c r="Y721" s="3"/>
      <c r="Z721" s="3"/>
    </row>
    <row r="722" spans="1:26" ht="22.5" customHeight="1" x14ac:dyDescent="0.85">
      <c r="A722" s="166"/>
      <c r="B722" s="167"/>
      <c r="C722" s="167"/>
      <c r="D722" s="147"/>
      <c r="E722" s="147"/>
      <c r="F722" s="147"/>
      <c r="G722" s="147"/>
      <c r="H722" s="147"/>
      <c r="I722" s="147"/>
      <c r="J722" s="147"/>
      <c r="K722" s="3"/>
      <c r="L722" s="3"/>
      <c r="M722" s="3"/>
      <c r="N722" s="3"/>
      <c r="O722" s="3"/>
      <c r="P722" s="3"/>
      <c r="Q722" s="3"/>
      <c r="R722" s="3"/>
      <c r="S722" s="3"/>
      <c r="T722" s="3"/>
      <c r="U722" s="3"/>
      <c r="V722" s="3"/>
      <c r="W722" s="3"/>
      <c r="X722" s="3"/>
      <c r="Y722" s="3"/>
      <c r="Z722" s="3"/>
    </row>
    <row r="723" spans="1:26" ht="22.5" customHeight="1" x14ac:dyDescent="0.85">
      <c r="A723" s="166"/>
      <c r="B723" s="167"/>
      <c r="C723" s="167"/>
      <c r="D723" s="147"/>
      <c r="E723" s="147"/>
      <c r="F723" s="147"/>
      <c r="G723" s="147"/>
      <c r="H723" s="147"/>
      <c r="I723" s="147"/>
      <c r="J723" s="147"/>
      <c r="K723" s="3"/>
      <c r="L723" s="3"/>
      <c r="M723" s="3"/>
      <c r="N723" s="3"/>
      <c r="O723" s="3"/>
      <c r="P723" s="3"/>
      <c r="Q723" s="3"/>
      <c r="R723" s="3"/>
      <c r="S723" s="3"/>
      <c r="T723" s="3"/>
      <c r="U723" s="3"/>
      <c r="V723" s="3"/>
      <c r="W723" s="3"/>
      <c r="X723" s="3"/>
      <c r="Y723" s="3"/>
      <c r="Z723" s="3"/>
    </row>
    <row r="724" spans="1:26" ht="22.5" customHeight="1" x14ac:dyDescent="0.85">
      <c r="A724" s="166"/>
      <c r="B724" s="167"/>
      <c r="C724" s="167"/>
      <c r="D724" s="147"/>
      <c r="E724" s="147"/>
      <c r="F724" s="147"/>
      <c r="G724" s="147"/>
      <c r="H724" s="147"/>
      <c r="I724" s="147"/>
      <c r="J724" s="147"/>
      <c r="K724" s="3"/>
      <c r="L724" s="3"/>
      <c r="M724" s="3"/>
      <c r="N724" s="3"/>
      <c r="O724" s="3"/>
      <c r="P724" s="3"/>
      <c r="Q724" s="3"/>
      <c r="R724" s="3"/>
      <c r="S724" s="3"/>
      <c r="T724" s="3"/>
      <c r="U724" s="3"/>
      <c r="V724" s="3"/>
      <c r="W724" s="3"/>
      <c r="X724" s="3"/>
      <c r="Y724" s="3"/>
      <c r="Z724" s="3"/>
    </row>
    <row r="725" spans="1:26" ht="22.5" customHeight="1" x14ac:dyDescent="0.85">
      <c r="A725" s="166"/>
      <c r="B725" s="167"/>
      <c r="C725" s="167"/>
      <c r="D725" s="147"/>
      <c r="E725" s="147"/>
      <c r="F725" s="147"/>
      <c r="G725" s="147"/>
      <c r="H725" s="147"/>
      <c r="I725" s="147"/>
      <c r="J725" s="147"/>
      <c r="K725" s="3"/>
      <c r="L725" s="3"/>
      <c r="M725" s="3"/>
      <c r="N725" s="3"/>
      <c r="O725" s="3"/>
      <c r="P725" s="3"/>
      <c r="Q725" s="3"/>
      <c r="R725" s="3"/>
      <c r="S725" s="3"/>
      <c r="T725" s="3"/>
      <c r="U725" s="3"/>
      <c r="V725" s="3"/>
      <c r="W725" s="3"/>
      <c r="X725" s="3"/>
      <c r="Y725" s="3"/>
      <c r="Z725" s="3"/>
    </row>
    <row r="726" spans="1:26" ht="22.5" customHeight="1" x14ac:dyDescent="0.85">
      <c r="A726" s="166"/>
      <c r="B726" s="167"/>
      <c r="C726" s="167"/>
      <c r="D726" s="147"/>
      <c r="E726" s="147"/>
      <c r="F726" s="147"/>
      <c r="G726" s="147"/>
      <c r="H726" s="147"/>
      <c r="I726" s="147"/>
      <c r="J726" s="147"/>
      <c r="K726" s="3"/>
      <c r="L726" s="3"/>
      <c r="M726" s="3"/>
      <c r="N726" s="3"/>
      <c r="O726" s="3"/>
      <c r="P726" s="3"/>
      <c r="Q726" s="3"/>
      <c r="R726" s="3"/>
      <c r="S726" s="3"/>
      <c r="T726" s="3"/>
      <c r="U726" s="3"/>
      <c r="V726" s="3"/>
      <c r="W726" s="3"/>
      <c r="X726" s="3"/>
      <c r="Y726" s="3"/>
      <c r="Z726" s="3"/>
    </row>
    <row r="727" spans="1:26" ht="22.5" customHeight="1" x14ac:dyDescent="0.85">
      <c r="A727" s="166"/>
      <c r="B727" s="167"/>
      <c r="C727" s="167"/>
      <c r="D727" s="147"/>
      <c r="E727" s="147"/>
      <c r="F727" s="147"/>
      <c r="G727" s="147"/>
      <c r="H727" s="147"/>
      <c r="I727" s="147"/>
      <c r="J727" s="147"/>
      <c r="K727" s="3"/>
      <c r="L727" s="3"/>
      <c r="M727" s="3"/>
      <c r="N727" s="3"/>
      <c r="O727" s="3"/>
      <c r="P727" s="3"/>
      <c r="Q727" s="3"/>
      <c r="R727" s="3"/>
      <c r="S727" s="3"/>
      <c r="T727" s="3"/>
      <c r="U727" s="3"/>
      <c r="V727" s="3"/>
      <c r="W727" s="3"/>
      <c r="X727" s="3"/>
      <c r="Y727" s="3"/>
      <c r="Z727" s="3"/>
    </row>
    <row r="728" spans="1:26" ht="22.5" customHeight="1" x14ac:dyDescent="0.85">
      <c r="A728" s="166"/>
      <c r="B728" s="167"/>
      <c r="C728" s="167"/>
      <c r="D728" s="147"/>
      <c r="E728" s="147"/>
      <c r="F728" s="147"/>
      <c r="G728" s="147"/>
      <c r="H728" s="147"/>
      <c r="I728" s="147"/>
      <c r="J728" s="147"/>
      <c r="K728" s="3"/>
      <c r="L728" s="3"/>
      <c r="M728" s="3"/>
      <c r="N728" s="3"/>
      <c r="O728" s="3"/>
      <c r="P728" s="3"/>
      <c r="Q728" s="3"/>
      <c r="R728" s="3"/>
      <c r="S728" s="3"/>
      <c r="T728" s="3"/>
      <c r="U728" s="3"/>
      <c r="V728" s="3"/>
      <c r="W728" s="3"/>
      <c r="X728" s="3"/>
      <c r="Y728" s="3"/>
      <c r="Z728" s="3"/>
    </row>
    <row r="729" spans="1:26" ht="22.5" customHeight="1" x14ac:dyDescent="0.85">
      <c r="A729" s="166"/>
      <c r="B729" s="167"/>
      <c r="C729" s="167"/>
      <c r="D729" s="147"/>
      <c r="E729" s="147"/>
      <c r="F729" s="147"/>
      <c r="G729" s="147"/>
      <c r="H729" s="147"/>
      <c r="I729" s="147"/>
      <c r="J729" s="147"/>
      <c r="K729" s="3"/>
      <c r="L729" s="3"/>
      <c r="M729" s="3"/>
      <c r="N729" s="3"/>
      <c r="O729" s="3"/>
      <c r="P729" s="3"/>
      <c r="Q729" s="3"/>
      <c r="R729" s="3"/>
      <c r="S729" s="3"/>
      <c r="T729" s="3"/>
      <c r="U729" s="3"/>
      <c r="V729" s="3"/>
      <c r="W729" s="3"/>
      <c r="X729" s="3"/>
      <c r="Y729" s="3"/>
      <c r="Z729" s="3"/>
    </row>
    <row r="730" spans="1:26" ht="22.5" customHeight="1" x14ac:dyDescent="0.85">
      <c r="A730" s="166"/>
      <c r="B730" s="167"/>
      <c r="C730" s="167"/>
      <c r="D730" s="147"/>
      <c r="E730" s="147"/>
      <c r="F730" s="147"/>
      <c r="G730" s="147"/>
      <c r="H730" s="147"/>
      <c r="I730" s="147"/>
      <c r="J730" s="147"/>
      <c r="K730" s="3"/>
      <c r="L730" s="3"/>
      <c r="M730" s="3"/>
      <c r="N730" s="3"/>
      <c r="O730" s="3"/>
      <c r="P730" s="3"/>
      <c r="Q730" s="3"/>
      <c r="R730" s="3"/>
      <c r="S730" s="3"/>
      <c r="T730" s="3"/>
      <c r="U730" s="3"/>
      <c r="V730" s="3"/>
      <c r="W730" s="3"/>
      <c r="X730" s="3"/>
      <c r="Y730" s="3"/>
      <c r="Z730" s="3"/>
    </row>
    <row r="731" spans="1:26" ht="22.5" customHeight="1" x14ac:dyDescent="0.85">
      <c r="A731" s="166"/>
      <c r="B731" s="167"/>
      <c r="C731" s="167"/>
      <c r="D731" s="147"/>
      <c r="E731" s="147"/>
      <c r="F731" s="147"/>
      <c r="G731" s="147"/>
      <c r="H731" s="147"/>
      <c r="I731" s="147"/>
      <c r="J731" s="147"/>
      <c r="K731" s="3"/>
      <c r="L731" s="3"/>
      <c r="M731" s="3"/>
      <c r="N731" s="3"/>
      <c r="O731" s="3"/>
      <c r="P731" s="3"/>
      <c r="Q731" s="3"/>
      <c r="R731" s="3"/>
      <c r="S731" s="3"/>
      <c r="T731" s="3"/>
      <c r="U731" s="3"/>
      <c r="V731" s="3"/>
      <c r="W731" s="3"/>
      <c r="X731" s="3"/>
      <c r="Y731" s="3"/>
      <c r="Z731" s="3"/>
    </row>
    <row r="732" spans="1:26" ht="22.5" customHeight="1" x14ac:dyDescent="0.85">
      <c r="A732" s="166"/>
      <c r="B732" s="167"/>
      <c r="C732" s="167"/>
      <c r="D732" s="147"/>
      <c r="E732" s="147"/>
      <c r="F732" s="147"/>
      <c r="G732" s="147"/>
      <c r="H732" s="147"/>
      <c r="I732" s="147"/>
      <c r="J732" s="147"/>
      <c r="K732" s="3"/>
      <c r="L732" s="3"/>
      <c r="M732" s="3"/>
      <c r="N732" s="3"/>
      <c r="O732" s="3"/>
      <c r="P732" s="3"/>
      <c r="Q732" s="3"/>
      <c r="R732" s="3"/>
      <c r="S732" s="3"/>
      <c r="T732" s="3"/>
      <c r="U732" s="3"/>
      <c r="V732" s="3"/>
      <c r="W732" s="3"/>
      <c r="X732" s="3"/>
      <c r="Y732" s="3"/>
      <c r="Z732" s="3"/>
    </row>
    <row r="733" spans="1:26" ht="22.5" customHeight="1" x14ac:dyDescent="0.85">
      <c r="A733" s="166"/>
      <c r="B733" s="167"/>
      <c r="C733" s="167"/>
      <c r="D733" s="147"/>
      <c r="E733" s="147"/>
      <c r="F733" s="147"/>
      <c r="G733" s="147"/>
      <c r="H733" s="147"/>
      <c r="I733" s="147"/>
      <c r="J733" s="147"/>
      <c r="K733" s="3"/>
      <c r="L733" s="3"/>
      <c r="M733" s="3"/>
      <c r="N733" s="3"/>
      <c r="O733" s="3"/>
      <c r="P733" s="3"/>
      <c r="Q733" s="3"/>
      <c r="R733" s="3"/>
      <c r="S733" s="3"/>
      <c r="T733" s="3"/>
      <c r="U733" s="3"/>
      <c r="V733" s="3"/>
      <c r="W733" s="3"/>
      <c r="X733" s="3"/>
      <c r="Y733" s="3"/>
      <c r="Z733" s="3"/>
    </row>
    <row r="734" spans="1:26" ht="22.5" customHeight="1" x14ac:dyDescent="0.85">
      <c r="A734" s="166"/>
      <c r="B734" s="167"/>
      <c r="C734" s="167"/>
      <c r="D734" s="147"/>
      <c r="E734" s="147"/>
      <c r="F734" s="147"/>
      <c r="G734" s="147"/>
      <c r="H734" s="147"/>
      <c r="I734" s="147"/>
      <c r="J734" s="147"/>
      <c r="K734" s="3"/>
      <c r="L734" s="3"/>
      <c r="M734" s="3"/>
      <c r="N734" s="3"/>
      <c r="O734" s="3"/>
      <c r="P734" s="3"/>
      <c r="Q734" s="3"/>
      <c r="R734" s="3"/>
      <c r="S734" s="3"/>
      <c r="T734" s="3"/>
      <c r="U734" s="3"/>
      <c r="V734" s="3"/>
      <c r="W734" s="3"/>
      <c r="X734" s="3"/>
      <c r="Y734" s="3"/>
      <c r="Z734" s="3"/>
    </row>
    <row r="735" spans="1:26" ht="22.5" customHeight="1" x14ac:dyDescent="0.85">
      <c r="A735" s="166"/>
      <c r="B735" s="167"/>
      <c r="C735" s="167"/>
      <c r="D735" s="147"/>
      <c r="E735" s="147"/>
      <c r="F735" s="147"/>
      <c r="G735" s="147"/>
      <c r="H735" s="147"/>
      <c r="I735" s="147"/>
      <c r="J735" s="147"/>
      <c r="K735" s="3"/>
      <c r="L735" s="3"/>
      <c r="M735" s="3"/>
      <c r="N735" s="3"/>
      <c r="O735" s="3"/>
      <c r="P735" s="3"/>
      <c r="Q735" s="3"/>
      <c r="R735" s="3"/>
      <c r="S735" s="3"/>
      <c r="T735" s="3"/>
      <c r="U735" s="3"/>
      <c r="V735" s="3"/>
      <c r="W735" s="3"/>
      <c r="X735" s="3"/>
      <c r="Y735" s="3"/>
      <c r="Z735" s="3"/>
    </row>
    <row r="736" spans="1:26" ht="22.5" customHeight="1" x14ac:dyDescent="0.85">
      <c r="A736" s="166"/>
      <c r="B736" s="167"/>
      <c r="C736" s="167"/>
      <c r="D736" s="147"/>
      <c r="E736" s="147"/>
      <c r="F736" s="147"/>
      <c r="G736" s="147"/>
      <c r="H736" s="147"/>
      <c r="I736" s="147"/>
      <c r="J736" s="147"/>
      <c r="K736" s="3"/>
      <c r="L736" s="3"/>
      <c r="M736" s="3"/>
      <c r="N736" s="3"/>
      <c r="O736" s="3"/>
      <c r="P736" s="3"/>
      <c r="Q736" s="3"/>
      <c r="R736" s="3"/>
      <c r="S736" s="3"/>
      <c r="T736" s="3"/>
      <c r="U736" s="3"/>
      <c r="V736" s="3"/>
      <c r="W736" s="3"/>
      <c r="X736" s="3"/>
      <c r="Y736" s="3"/>
      <c r="Z736" s="3"/>
    </row>
    <row r="737" spans="1:26" ht="22.5" customHeight="1" x14ac:dyDescent="0.85">
      <c r="A737" s="166"/>
      <c r="B737" s="167"/>
      <c r="C737" s="167"/>
      <c r="D737" s="147"/>
      <c r="E737" s="147"/>
      <c r="F737" s="147"/>
      <c r="G737" s="147"/>
      <c r="H737" s="147"/>
      <c r="I737" s="147"/>
      <c r="J737" s="147"/>
      <c r="K737" s="3"/>
      <c r="L737" s="3"/>
      <c r="M737" s="3"/>
      <c r="N737" s="3"/>
      <c r="O737" s="3"/>
      <c r="P737" s="3"/>
      <c r="Q737" s="3"/>
      <c r="R737" s="3"/>
      <c r="S737" s="3"/>
      <c r="T737" s="3"/>
      <c r="U737" s="3"/>
      <c r="V737" s="3"/>
      <c r="W737" s="3"/>
      <c r="X737" s="3"/>
      <c r="Y737" s="3"/>
      <c r="Z737" s="3"/>
    </row>
    <row r="738" spans="1:26" ht="22.5" customHeight="1" x14ac:dyDescent="0.85">
      <c r="A738" s="166"/>
      <c r="B738" s="167"/>
      <c r="C738" s="167"/>
      <c r="D738" s="147"/>
      <c r="E738" s="147"/>
      <c r="F738" s="147"/>
      <c r="G738" s="147"/>
      <c r="H738" s="147"/>
      <c r="I738" s="147"/>
      <c r="J738" s="147"/>
      <c r="K738" s="3"/>
      <c r="L738" s="3"/>
      <c r="M738" s="3"/>
      <c r="N738" s="3"/>
      <c r="O738" s="3"/>
      <c r="P738" s="3"/>
      <c r="Q738" s="3"/>
      <c r="R738" s="3"/>
      <c r="S738" s="3"/>
      <c r="T738" s="3"/>
      <c r="U738" s="3"/>
      <c r="V738" s="3"/>
      <c r="W738" s="3"/>
      <c r="X738" s="3"/>
      <c r="Y738" s="3"/>
      <c r="Z738" s="3"/>
    </row>
    <row r="739" spans="1:26" ht="22.5" customHeight="1" x14ac:dyDescent="0.85">
      <c r="A739" s="166"/>
      <c r="B739" s="167"/>
      <c r="C739" s="167"/>
      <c r="D739" s="147"/>
      <c r="E739" s="147"/>
      <c r="F739" s="147"/>
      <c r="G739" s="147"/>
      <c r="H739" s="147"/>
      <c r="I739" s="147"/>
      <c r="J739" s="147"/>
      <c r="K739" s="3"/>
      <c r="L739" s="3"/>
      <c r="M739" s="3"/>
      <c r="N739" s="3"/>
      <c r="O739" s="3"/>
      <c r="P739" s="3"/>
      <c r="Q739" s="3"/>
      <c r="R739" s="3"/>
      <c r="S739" s="3"/>
      <c r="T739" s="3"/>
      <c r="U739" s="3"/>
      <c r="V739" s="3"/>
      <c r="W739" s="3"/>
      <c r="X739" s="3"/>
      <c r="Y739" s="3"/>
      <c r="Z739" s="3"/>
    </row>
    <row r="740" spans="1:26" ht="22.5" customHeight="1" x14ac:dyDescent="0.85">
      <c r="A740" s="166"/>
      <c r="B740" s="167"/>
      <c r="C740" s="167"/>
      <c r="D740" s="147"/>
      <c r="E740" s="147"/>
      <c r="F740" s="147"/>
      <c r="G740" s="147"/>
      <c r="H740" s="147"/>
      <c r="I740" s="147"/>
      <c r="J740" s="147"/>
      <c r="K740" s="3"/>
      <c r="L740" s="3"/>
      <c r="M740" s="3"/>
      <c r="N740" s="3"/>
      <c r="O740" s="3"/>
      <c r="P740" s="3"/>
      <c r="Q740" s="3"/>
      <c r="R740" s="3"/>
      <c r="S740" s="3"/>
      <c r="T740" s="3"/>
      <c r="U740" s="3"/>
      <c r="V740" s="3"/>
      <c r="W740" s="3"/>
      <c r="X740" s="3"/>
      <c r="Y740" s="3"/>
      <c r="Z740" s="3"/>
    </row>
    <row r="741" spans="1:26" ht="22.5" customHeight="1" x14ac:dyDescent="0.85">
      <c r="A741" s="166"/>
      <c r="B741" s="167"/>
      <c r="C741" s="167"/>
      <c r="D741" s="147"/>
      <c r="E741" s="147"/>
      <c r="F741" s="147"/>
      <c r="G741" s="147"/>
      <c r="H741" s="147"/>
      <c r="I741" s="147"/>
      <c r="J741" s="147"/>
      <c r="K741" s="3"/>
      <c r="L741" s="3"/>
      <c r="M741" s="3"/>
      <c r="N741" s="3"/>
      <c r="O741" s="3"/>
      <c r="P741" s="3"/>
      <c r="Q741" s="3"/>
      <c r="R741" s="3"/>
      <c r="S741" s="3"/>
      <c r="T741" s="3"/>
      <c r="U741" s="3"/>
      <c r="V741" s="3"/>
      <c r="W741" s="3"/>
      <c r="X741" s="3"/>
      <c r="Y741" s="3"/>
      <c r="Z741" s="3"/>
    </row>
    <row r="742" spans="1:26" ht="22.5" customHeight="1" x14ac:dyDescent="0.85">
      <c r="A742" s="166"/>
      <c r="B742" s="167"/>
      <c r="C742" s="167"/>
      <c r="D742" s="147"/>
      <c r="E742" s="147"/>
      <c r="F742" s="147"/>
      <c r="G742" s="147"/>
      <c r="H742" s="147"/>
      <c r="I742" s="147"/>
      <c r="J742" s="147"/>
      <c r="K742" s="3"/>
      <c r="L742" s="3"/>
      <c r="M742" s="3"/>
      <c r="N742" s="3"/>
      <c r="O742" s="3"/>
      <c r="P742" s="3"/>
      <c r="Q742" s="3"/>
      <c r="R742" s="3"/>
      <c r="S742" s="3"/>
      <c r="T742" s="3"/>
      <c r="U742" s="3"/>
      <c r="V742" s="3"/>
      <c r="W742" s="3"/>
      <c r="X742" s="3"/>
      <c r="Y742" s="3"/>
      <c r="Z742" s="3"/>
    </row>
    <row r="743" spans="1:26" ht="22.5" customHeight="1" x14ac:dyDescent="0.85">
      <c r="A743" s="166"/>
      <c r="B743" s="167"/>
      <c r="C743" s="167"/>
      <c r="D743" s="147"/>
      <c r="E743" s="147"/>
      <c r="F743" s="147"/>
      <c r="G743" s="147"/>
      <c r="H743" s="147"/>
      <c r="I743" s="147"/>
      <c r="J743" s="147"/>
      <c r="K743" s="3"/>
      <c r="L743" s="3"/>
      <c r="M743" s="3"/>
      <c r="N743" s="3"/>
      <c r="O743" s="3"/>
      <c r="P743" s="3"/>
      <c r="Q743" s="3"/>
      <c r="R743" s="3"/>
      <c r="S743" s="3"/>
      <c r="T743" s="3"/>
      <c r="U743" s="3"/>
      <c r="V743" s="3"/>
      <c r="W743" s="3"/>
      <c r="X743" s="3"/>
      <c r="Y743" s="3"/>
      <c r="Z743" s="3"/>
    </row>
    <row r="744" spans="1:26" ht="22.5" customHeight="1" x14ac:dyDescent="0.85">
      <c r="A744" s="166"/>
      <c r="B744" s="167"/>
      <c r="C744" s="167"/>
      <c r="D744" s="147"/>
      <c r="E744" s="147"/>
      <c r="F744" s="147"/>
      <c r="G744" s="147"/>
      <c r="H744" s="147"/>
      <c r="I744" s="147"/>
      <c r="J744" s="147"/>
      <c r="K744" s="3"/>
      <c r="L744" s="3"/>
      <c r="M744" s="3"/>
      <c r="N744" s="3"/>
      <c r="O744" s="3"/>
      <c r="P744" s="3"/>
      <c r="Q744" s="3"/>
      <c r="R744" s="3"/>
      <c r="S744" s="3"/>
      <c r="T744" s="3"/>
      <c r="U744" s="3"/>
      <c r="V744" s="3"/>
      <c r="W744" s="3"/>
      <c r="X744" s="3"/>
      <c r="Y744" s="3"/>
      <c r="Z744" s="3"/>
    </row>
    <row r="745" spans="1:26" ht="22.5" customHeight="1" x14ac:dyDescent="0.85">
      <c r="A745" s="166"/>
      <c r="B745" s="167"/>
      <c r="C745" s="167"/>
      <c r="D745" s="147"/>
      <c r="E745" s="147"/>
      <c r="F745" s="147"/>
      <c r="G745" s="147"/>
      <c r="H745" s="147"/>
      <c r="I745" s="147"/>
      <c r="J745" s="147"/>
      <c r="K745" s="3"/>
      <c r="L745" s="3"/>
      <c r="M745" s="3"/>
      <c r="N745" s="3"/>
      <c r="O745" s="3"/>
      <c r="P745" s="3"/>
      <c r="Q745" s="3"/>
      <c r="R745" s="3"/>
      <c r="S745" s="3"/>
      <c r="T745" s="3"/>
      <c r="U745" s="3"/>
      <c r="V745" s="3"/>
      <c r="W745" s="3"/>
      <c r="X745" s="3"/>
      <c r="Y745" s="3"/>
      <c r="Z745" s="3"/>
    </row>
    <row r="746" spans="1:26" ht="22.5" customHeight="1" x14ac:dyDescent="0.85">
      <c r="A746" s="166"/>
      <c r="B746" s="167"/>
      <c r="C746" s="167"/>
      <c r="D746" s="147"/>
      <c r="E746" s="147"/>
      <c r="F746" s="147"/>
      <c r="G746" s="147"/>
      <c r="H746" s="147"/>
      <c r="I746" s="147"/>
      <c r="J746" s="147"/>
      <c r="K746" s="3"/>
      <c r="L746" s="3"/>
      <c r="M746" s="3"/>
      <c r="N746" s="3"/>
      <c r="O746" s="3"/>
      <c r="P746" s="3"/>
      <c r="Q746" s="3"/>
      <c r="R746" s="3"/>
      <c r="S746" s="3"/>
      <c r="T746" s="3"/>
      <c r="U746" s="3"/>
      <c r="V746" s="3"/>
      <c r="W746" s="3"/>
      <c r="X746" s="3"/>
      <c r="Y746" s="3"/>
      <c r="Z746" s="3"/>
    </row>
    <row r="747" spans="1:26" ht="22.5" customHeight="1" x14ac:dyDescent="0.85">
      <c r="A747" s="166"/>
      <c r="B747" s="167"/>
      <c r="C747" s="167"/>
      <c r="D747" s="147"/>
      <c r="E747" s="147"/>
      <c r="F747" s="147"/>
      <c r="G747" s="147"/>
      <c r="H747" s="147"/>
      <c r="I747" s="147"/>
      <c r="J747" s="147"/>
      <c r="K747" s="3"/>
      <c r="L747" s="3"/>
      <c r="M747" s="3"/>
      <c r="N747" s="3"/>
      <c r="O747" s="3"/>
      <c r="P747" s="3"/>
      <c r="Q747" s="3"/>
      <c r="R747" s="3"/>
      <c r="S747" s="3"/>
      <c r="T747" s="3"/>
      <c r="U747" s="3"/>
      <c r="V747" s="3"/>
      <c r="W747" s="3"/>
      <c r="X747" s="3"/>
      <c r="Y747" s="3"/>
      <c r="Z747" s="3"/>
    </row>
    <row r="748" spans="1:26" ht="22.5" customHeight="1" x14ac:dyDescent="0.85">
      <c r="A748" s="166"/>
      <c r="B748" s="167"/>
      <c r="C748" s="167"/>
      <c r="D748" s="147"/>
      <c r="E748" s="147"/>
      <c r="F748" s="147"/>
      <c r="G748" s="147"/>
      <c r="H748" s="147"/>
      <c r="I748" s="147"/>
      <c r="J748" s="147"/>
      <c r="K748" s="3"/>
      <c r="L748" s="3"/>
      <c r="M748" s="3"/>
      <c r="N748" s="3"/>
      <c r="O748" s="3"/>
      <c r="P748" s="3"/>
      <c r="Q748" s="3"/>
      <c r="R748" s="3"/>
      <c r="S748" s="3"/>
      <c r="T748" s="3"/>
      <c r="U748" s="3"/>
      <c r="V748" s="3"/>
      <c r="W748" s="3"/>
      <c r="X748" s="3"/>
      <c r="Y748" s="3"/>
      <c r="Z748" s="3"/>
    </row>
    <row r="749" spans="1:26" ht="22.5" customHeight="1" x14ac:dyDescent="0.85">
      <c r="A749" s="166"/>
      <c r="B749" s="167"/>
      <c r="C749" s="167"/>
      <c r="D749" s="147"/>
      <c r="E749" s="147"/>
      <c r="F749" s="147"/>
      <c r="G749" s="147"/>
      <c r="H749" s="147"/>
      <c r="I749" s="147"/>
      <c r="J749" s="147"/>
      <c r="K749" s="3"/>
      <c r="L749" s="3"/>
      <c r="M749" s="3"/>
      <c r="N749" s="3"/>
      <c r="O749" s="3"/>
      <c r="P749" s="3"/>
      <c r="Q749" s="3"/>
      <c r="R749" s="3"/>
      <c r="S749" s="3"/>
      <c r="T749" s="3"/>
      <c r="U749" s="3"/>
      <c r="V749" s="3"/>
      <c r="W749" s="3"/>
      <c r="X749" s="3"/>
      <c r="Y749" s="3"/>
      <c r="Z749" s="3"/>
    </row>
    <row r="750" spans="1:26" ht="22.5" customHeight="1" x14ac:dyDescent="0.85">
      <c r="A750" s="166"/>
      <c r="B750" s="167"/>
      <c r="C750" s="167"/>
      <c r="D750" s="147"/>
      <c r="E750" s="147"/>
      <c r="F750" s="147"/>
      <c r="G750" s="147"/>
      <c r="H750" s="147"/>
      <c r="I750" s="147"/>
      <c r="J750" s="147"/>
      <c r="K750" s="3"/>
      <c r="L750" s="3"/>
      <c r="M750" s="3"/>
      <c r="N750" s="3"/>
      <c r="O750" s="3"/>
      <c r="P750" s="3"/>
      <c r="Q750" s="3"/>
      <c r="R750" s="3"/>
      <c r="S750" s="3"/>
      <c r="T750" s="3"/>
      <c r="U750" s="3"/>
      <c r="V750" s="3"/>
      <c r="W750" s="3"/>
      <c r="X750" s="3"/>
      <c r="Y750" s="3"/>
      <c r="Z750" s="3"/>
    </row>
    <row r="751" spans="1:26" ht="22.5" customHeight="1" x14ac:dyDescent="0.85">
      <c r="A751" s="166"/>
      <c r="B751" s="167"/>
      <c r="C751" s="167"/>
      <c r="D751" s="147"/>
      <c r="E751" s="147"/>
      <c r="F751" s="147"/>
      <c r="G751" s="147"/>
      <c r="H751" s="147"/>
      <c r="I751" s="147"/>
      <c r="J751" s="147"/>
      <c r="K751" s="3"/>
      <c r="L751" s="3"/>
      <c r="M751" s="3"/>
      <c r="N751" s="3"/>
      <c r="O751" s="3"/>
      <c r="P751" s="3"/>
      <c r="Q751" s="3"/>
      <c r="R751" s="3"/>
      <c r="S751" s="3"/>
      <c r="T751" s="3"/>
      <c r="U751" s="3"/>
      <c r="V751" s="3"/>
      <c r="W751" s="3"/>
      <c r="X751" s="3"/>
      <c r="Y751" s="3"/>
      <c r="Z751" s="3"/>
    </row>
    <row r="752" spans="1:26" ht="22.5" customHeight="1" x14ac:dyDescent="0.85">
      <c r="A752" s="166"/>
      <c r="B752" s="167"/>
      <c r="C752" s="167"/>
      <c r="D752" s="147"/>
      <c r="E752" s="147"/>
      <c r="F752" s="147"/>
      <c r="G752" s="147"/>
      <c r="H752" s="147"/>
      <c r="I752" s="147"/>
      <c r="J752" s="147"/>
      <c r="K752" s="3"/>
      <c r="L752" s="3"/>
      <c r="M752" s="3"/>
      <c r="N752" s="3"/>
      <c r="O752" s="3"/>
      <c r="P752" s="3"/>
      <c r="Q752" s="3"/>
      <c r="R752" s="3"/>
      <c r="S752" s="3"/>
      <c r="T752" s="3"/>
      <c r="U752" s="3"/>
      <c r="V752" s="3"/>
      <c r="W752" s="3"/>
      <c r="X752" s="3"/>
      <c r="Y752" s="3"/>
      <c r="Z752" s="3"/>
    </row>
    <row r="753" spans="1:26" ht="22.5" customHeight="1" x14ac:dyDescent="0.85">
      <c r="A753" s="166"/>
      <c r="B753" s="167"/>
      <c r="C753" s="167"/>
      <c r="D753" s="147"/>
      <c r="E753" s="147"/>
      <c r="F753" s="147"/>
      <c r="G753" s="147"/>
      <c r="H753" s="147"/>
      <c r="I753" s="147"/>
      <c r="J753" s="147"/>
      <c r="K753" s="3"/>
      <c r="L753" s="3"/>
      <c r="M753" s="3"/>
      <c r="N753" s="3"/>
      <c r="O753" s="3"/>
      <c r="P753" s="3"/>
      <c r="Q753" s="3"/>
      <c r="R753" s="3"/>
      <c r="S753" s="3"/>
      <c r="T753" s="3"/>
      <c r="U753" s="3"/>
      <c r="V753" s="3"/>
      <c r="W753" s="3"/>
      <c r="X753" s="3"/>
      <c r="Y753" s="3"/>
      <c r="Z753" s="3"/>
    </row>
    <row r="754" spans="1:26" ht="22.5" customHeight="1" x14ac:dyDescent="0.85">
      <c r="A754" s="166"/>
      <c r="B754" s="167"/>
      <c r="C754" s="167"/>
      <c r="D754" s="147"/>
      <c r="E754" s="147"/>
      <c r="F754" s="147"/>
      <c r="G754" s="147"/>
      <c r="H754" s="147"/>
      <c r="I754" s="147"/>
      <c r="J754" s="147"/>
      <c r="K754" s="3"/>
      <c r="L754" s="3"/>
      <c r="M754" s="3"/>
      <c r="N754" s="3"/>
      <c r="O754" s="3"/>
      <c r="P754" s="3"/>
      <c r="Q754" s="3"/>
      <c r="R754" s="3"/>
      <c r="S754" s="3"/>
      <c r="T754" s="3"/>
      <c r="U754" s="3"/>
      <c r="V754" s="3"/>
      <c r="W754" s="3"/>
      <c r="X754" s="3"/>
      <c r="Y754" s="3"/>
      <c r="Z754" s="3"/>
    </row>
    <row r="755" spans="1:26" ht="22.5" customHeight="1" x14ac:dyDescent="0.85">
      <c r="A755" s="166"/>
      <c r="B755" s="167"/>
      <c r="C755" s="167"/>
      <c r="D755" s="147"/>
      <c r="E755" s="147"/>
      <c r="F755" s="147"/>
      <c r="G755" s="147"/>
      <c r="H755" s="147"/>
      <c r="I755" s="147"/>
      <c r="J755" s="147"/>
      <c r="K755" s="3"/>
      <c r="L755" s="3"/>
      <c r="M755" s="3"/>
      <c r="N755" s="3"/>
      <c r="O755" s="3"/>
      <c r="P755" s="3"/>
      <c r="Q755" s="3"/>
      <c r="R755" s="3"/>
      <c r="S755" s="3"/>
      <c r="T755" s="3"/>
      <c r="U755" s="3"/>
      <c r="V755" s="3"/>
      <c r="W755" s="3"/>
      <c r="X755" s="3"/>
      <c r="Y755" s="3"/>
      <c r="Z755" s="3"/>
    </row>
    <row r="756" spans="1:26" ht="22.5" customHeight="1" x14ac:dyDescent="0.85">
      <c r="A756" s="166"/>
      <c r="B756" s="167"/>
      <c r="C756" s="167"/>
      <c r="D756" s="147"/>
      <c r="E756" s="147"/>
      <c r="F756" s="147"/>
      <c r="G756" s="147"/>
      <c r="H756" s="147"/>
      <c r="I756" s="147"/>
      <c r="J756" s="147"/>
      <c r="K756" s="3"/>
      <c r="L756" s="3"/>
      <c r="M756" s="3"/>
      <c r="N756" s="3"/>
      <c r="O756" s="3"/>
      <c r="P756" s="3"/>
      <c r="Q756" s="3"/>
      <c r="R756" s="3"/>
      <c r="S756" s="3"/>
      <c r="T756" s="3"/>
      <c r="U756" s="3"/>
      <c r="V756" s="3"/>
      <c r="W756" s="3"/>
      <c r="X756" s="3"/>
      <c r="Y756" s="3"/>
      <c r="Z756" s="3"/>
    </row>
    <row r="757" spans="1:26" ht="22.5" customHeight="1" x14ac:dyDescent="0.85">
      <c r="A757" s="166"/>
      <c r="B757" s="167"/>
      <c r="C757" s="167"/>
      <c r="D757" s="147"/>
      <c r="E757" s="147"/>
      <c r="F757" s="147"/>
      <c r="G757" s="147"/>
      <c r="H757" s="147"/>
      <c r="I757" s="147"/>
      <c r="J757" s="147"/>
      <c r="K757" s="3"/>
      <c r="L757" s="3"/>
      <c r="M757" s="3"/>
      <c r="N757" s="3"/>
      <c r="O757" s="3"/>
      <c r="P757" s="3"/>
      <c r="Q757" s="3"/>
      <c r="R757" s="3"/>
      <c r="S757" s="3"/>
      <c r="T757" s="3"/>
      <c r="U757" s="3"/>
      <c r="V757" s="3"/>
      <c r="W757" s="3"/>
      <c r="X757" s="3"/>
      <c r="Y757" s="3"/>
      <c r="Z757" s="3"/>
    </row>
    <row r="758" spans="1:26" ht="22.5" customHeight="1" x14ac:dyDescent="0.85">
      <c r="A758" s="166"/>
      <c r="B758" s="167"/>
      <c r="C758" s="167"/>
      <c r="D758" s="147"/>
      <c r="E758" s="147"/>
      <c r="F758" s="147"/>
      <c r="G758" s="147"/>
      <c r="H758" s="147"/>
      <c r="I758" s="147"/>
      <c r="J758" s="147"/>
      <c r="K758" s="3"/>
      <c r="L758" s="3"/>
      <c r="M758" s="3"/>
      <c r="N758" s="3"/>
      <c r="O758" s="3"/>
      <c r="P758" s="3"/>
      <c r="Q758" s="3"/>
      <c r="R758" s="3"/>
      <c r="S758" s="3"/>
      <c r="T758" s="3"/>
      <c r="U758" s="3"/>
      <c r="V758" s="3"/>
      <c r="W758" s="3"/>
      <c r="X758" s="3"/>
      <c r="Y758" s="3"/>
      <c r="Z758" s="3"/>
    </row>
    <row r="759" spans="1:26" ht="22.5" customHeight="1" x14ac:dyDescent="0.85">
      <c r="A759" s="166"/>
      <c r="B759" s="167"/>
      <c r="C759" s="167"/>
      <c r="D759" s="147"/>
      <c r="E759" s="147"/>
      <c r="F759" s="147"/>
      <c r="G759" s="147"/>
      <c r="H759" s="147"/>
      <c r="I759" s="147"/>
      <c r="J759" s="147"/>
      <c r="K759" s="3"/>
      <c r="L759" s="3"/>
      <c r="M759" s="3"/>
      <c r="N759" s="3"/>
      <c r="O759" s="3"/>
      <c r="P759" s="3"/>
      <c r="Q759" s="3"/>
      <c r="R759" s="3"/>
      <c r="S759" s="3"/>
      <c r="T759" s="3"/>
      <c r="U759" s="3"/>
      <c r="V759" s="3"/>
      <c r="W759" s="3"/>
      <c r="X759" s="3"/>
      <c r="Y759" s="3"/>
      <c r="Z759" s="3"/>
    </row>
    <row r="760" spans="1:26" ht="22.5" customHeight="1" x14ac:dyDescent="0.85">
      <c r="A760" s="166"/>
      <c r="B760" s="167"/>
      <c r="C760" s="167"/>
      <c r="D760" s="147"/>
      <c r="E760" s="147"/>
      <c r="F760" s="147"/>
      <c r="G760" s="147"/>
      <c r="H760" s="147"/>
      <c r="I760" s="147"/>
      <c r="J760" s="147"/>
      <c r="K760" s="3"/>
      <c r="L760" s="3"/>
      <c r="M760" s="3"/>
      <c r="N760" s="3"/>
      <c r="O760" s="3"/>
      <c r="P760" s="3"/>
      <c r="Q760" s="3"/>
      <c r="R760" s="3"/>
      <c r="S760" s="3"/>
      <c r="T760" s="3"/>
      <c r="U760" s="3"/>
      <c r="V760" s="3"/>
      <c r="W760" s="3"/>
      <c r="X760" s="3"/>
      <c r="Y760" s="3"/>
      <c r="Z760" s="3"/>
    </row>
    <row r="761" spans="1:26" ht="22.5" customHeight="1" x14ac:dyDescent="0.85">
      <c r="A761" s="166"/>
      <c r="B761" s="167"/>
      <c r="C761" s="167"/>
      <c r="D761" s="147"/>
      <c r="E761" s="147"/>
      <c r="F761" s="147"/>
      <c r="G761" s="147"/>
      <c r="H761" s="147"/>
      <c r="I761" s="147"/>
      <c r="J761" s="147"/>
      <c r="K761" s="3"/>
      <c r="L761" s="3"/>
      <c r="M761" s="3"/>
      <c r="N761" s="3"/>
      <c r="O761" s="3"/>
      <c r="P761" s="3"/>
      <c r="Q761" s="3"/>
      <c r="R761" s="3"/>
      <c r="S761" s="3"/>
      <c r="T761" s="3"/>
      <c r="U761" s="3"/>
      <c r="V761" s="3"/>
      <c r="W761" s="3"/>
      <c r="X761" s="3"/>
      <c r="Y761" s="3"/>
      <c r="Z761" s="3"/>
    </row>
    <row r="762" spans="1:26" ht="22.5" customHeight="1" x14ac:dyDescent="0.85">
      <c r="A762" s="166"/>
      <c r="B762" s="167"/>
      <c r="C762" s="167"/>
      <c r="D762" s="147"/>
      <c r="E762" s="147"/>
      <c r="F762" s="147"/>
      <c r="G762" s="147"/>
      <c r="H762" s="147"/>
      <c r="I762" s="147"/>
      <c r="J762" s="147"/>
      <c r="K762" s="3"/>
      <c r="L762" s="3"/>
      <c r="M762" s="3"/>
      <c r="N762" s="3"/>
      <c r="O762" s="3"/>
      <c r="P762" s="3"/>
      <c r="Q762" s="3"/>
      <c r="R762" s="3"/>
      <c r="S762" s="3"/>
      <c r="T762" s="3"/>
      <c r="U762" s="3"/>
      <c r="V762" s="3"/>
      <c r="W762" s="3"/>
      <c r="X762" s="3"/>
      <c r="Y762" s="3"/>
      <c r="Z762" s="3"/>
    </row>
    <row r="763" spans="1:26" ht="22.5" customHeight="1" x14ac:dyDescent="0.85">
      <c r="A763" s="166"/>
      <c r="B763" s="167"/>
      <c r="C763" s="167"/>
      <c r="D763" s="147"/>
      <c r="E763" s="147"/>
      <c r="F763" s="147"/>
      <c r="G763" s="147"/>
      <c r="H763" s="147"/>
      <c r="I763" s="147"/>
      <c r="J763" s="147"/>
      <c r="K763" s="3"/>
      <c r="L763" s="3"/>
      <c r="M763" s="3"/>
      <c r="N763" s="3"/>
      <c r="O763" s="3"/>
      <c r="P763" s="3"/>
      <c r="Q763" s="3"/>
      <c r="R763" s="3"/>
      <c r="S763" s="3"/>
      <c r="T763" s="3"/>
      <c r="U763" s="3"/>
      <c r="V763" s="3"/>
      <c r="W763" s="3"/>
      <c r="X763" s="3"/>
      <c r="Y763" s="3"/>
      <c r="Z763" s="3"/>
    </row>
    <row r="764" spans="1:26" ht="22.5" customHeight="1" x14ac:dyDescent="0.85">
      <c r="A764" s="166"/>
      <c r="B764" s="167"/>
      <c r="C764" s="167"/>
      <c r="D764" s="147"/>
      <c r="E764" s="147"/>
      <c r="F764" s="147"/>
      <c r="G764" s="147"/>
      <c r="H764" s="147"/>
      <c r="I764" s="147"/>
      <c r="J764" s="147"/>
      <c r="K764" s="3"/>
      <c r="L764" s="3"/>
      <c r="M764" s="3"/>
      <c r="N764" s="3"/>
      <c r="O764" s="3"/>
      <c r="P764" s="3"/>
      <c r="Q764" s="3"/>
      <c r="R764" s="3"/>
      <c r="S764" s="3"/>
      <c r="T764" s="3"/>
      <c r="U764" s="3"/>
      <c r="V764" s="3"/>
      <c r="W764" s="3"/>
      <c r="X764" s="3"/>
      <c r="Y764" s="3"/>
      <c r="Z764" s="3"/>
    </row>
    <row r="765" spans="1:26" ht="22.5" customHeight="1" x14ac:dyDescent="0.85">
      <c r="A765" s="166"/>
      <c r="B765" s="167"/>
      <c r="C765" s="167"/>
      <c r="D765" s="147"/>
      <c r="E765" s="147"/>
      <c r="F765" s="147"/>
      <c r="G765" s="147"/>
      <c r="H765" s="147"/>
      <c r="I765" s="147"/>
      <c r="J765" s="147"/>
      <c r="K765" s="3"/>
      <c r="L765" s="3"/>
      <c r="M765" s="3"/>
      <c r="N765" s="3"/>
      <c r="O765" s="3"/>
      <c r="P765" s="3"/>
      <c r="Q765" s="3"/>
      <c r="R765" s="3"/>
      <c r="S765" s="3"/>
      <c r="T765" s="3"/>
      <c r="U765" s="3"/>
      <c r="V765" s="3"/>
      <c r="W765" s="3"/>
      <c r="X765" s="3"/>
      <c r="Y765" s="3"/>
      <c r="Z765" s="3"/>
    </row>
    <row r="766" spans="1:26" ht="22.5" customHeight="1" x14ac:dyDescent="0.85">
      <c r="A766" s="166"/>
      <c r="B766" s="167"/>
      <c r="C766" s="167"/>
      <c r="D766" s="147"/>
      <c r="E766" s="147"/>
      <c r="F766" s="147"/>
      <c r="G766" s="147"/>
      <c r="H766" s="147"/>
      <c r="I766" s="147"/>
      <c r="J766" s="147"/>
      <c r="K766" s="3"/>
      <c r="L766" s="3"/>
      <c r="M766" s="3"/>
      <c r="N766" s="3"/>
      <c r="O766" s="3"/>
      <c r="P766" s="3"/>
      <c r="Q766" s="3"/>
      <c r="R766" s="3"/>
      <c r="S766" s="3"/>
      <c r="T766" s="3"/>
      <c r="U766" s="3"/>
      <c r="V766" s="3"/>
      <c r="W766" s="3"/>
      <c r="X766" s="3"/>
      <c r="Y766" s="3"/>
      <c r="Z766" s="3"/>
    </row>
    <row r="767" spans="1:26" ht="22.5" customHeight="1" x14ac:dyDescent="0.85">
      <c r="A767" s="166"/>
      <c r="B767" s="167"/>
      <c r="C767" s="167"/>
      <c r="D767" s="147"/>
      <c r="E767" s="147"/>
      <c r="F767" s="147"/>
      <c r="G767" s="147"/>
      <c r="H767" s="147"/>
      <c r="I767" s="147"/>
      <c r="J767" s="147"/>
      <c r="K767" s="3"/>
      <c r="L767" s="3"/>
      <c r="M767" s="3"/>
      <c r="N767" s="3"/>
      <c r="O767" s="3"/>
      <c r="P767" s="3"/>
      <c r="Q767" s="3"/>
      <c r="R767" s="3"/>
      <c r="S767" s="3"/>
      <c r="T767" s="3"/>
      <c r="U767" s="3"/>
      <c r="V767" s="3"/>
      <c r="W767" s="3"/>
      <c r="X767" s="3"/>
      <c r="Y767" s="3"/>
      <c r="Z767" s="3"/>
    </row>
    <row r="768" spans="1:26" ht="22.5" customHeight="1" x14ac:dyDescent="0.85">
      <c r="A768" s="166"/>
      <c r="B768" s="167"/>
      <c r="C768" s="167"/>
      <c r="D768" s="147"/>
      <c r="E768" s="147"/>
      <c r="F768" s="147"/>
      <c r="G768" s="147"/>
      <c r="H768" s="147"/>
      <c r="I768" s="147"/>
      <c r="J768" s="147"/>
      <c r="K768" s="3"/>
      <c r="L768" s="3"/>
      <c r="M768" s="3"/>
      <c r="N768" s="3"/>
      <c r="O768" s="3"/>
      <c r="P768" s="3"/>
      <c r="Q768" s="3"/>
      <c r="R768" s="3"/>
      <c r="S768" s="3"/>
      <c r="T768" s="3"/>
      <c r="U768" s="3"/>
      <c r="V768" s="3"/>
      <c r="W768" s="3"/>
      <c r="X768" s="3"/>
      <c r="Y768" s="3"/>
      <c r="Z768" s="3"/>
    </row>
    <row r="769" spans="1:26" ht="22.5" customHeight="1" x14ac:dyDescent="0.85">
      <c r="A769" s="166"/>
      <c r="B769" s="167"/>
      <c r="C769" s="167"/>
      <c r="D769" s="147"/>
      <c r="E769" s="147"/>
      <c r="F769" s="147"/>
      <c r="G769" s="147"/>
      <c r="H769" s="147"/>
      <c r="I769" s="147"/>
      <c r="J769" s="147"/>
      <c r="K769" s="3"/>
      <c r="L769" s="3"/>
      <c r="M769" s="3"/>
      <c r="N769" s="3"/>
      <c r="O769" s="3"/>
      <c r="P769" s="3"/>
      <c r="Q769" s="3"/>
      <c r="R769" s="3"/>
      <c r="S769" s="3"/>
      <c r="T769" s="3"/>
      <c r="U769" s="3"/>
      <c r="V769" s="3"/>
      <c r="W769" s="3"/>
      <c r="X769" s="3"/>
      <c r="Y769" s="3"/>
      <c r="Z769" s="3"/>
    </row>
    <row r="770" spans="1:26" ht="22.5" customHeight="1" x14ac:dyDescent="0.85">
      <c r="A770" s="166"/>
      <c r="B770" s="167"/>
      <c r="C770" s="167"/>
      <c r="D770" s="147"/>
      <c r="E770" s="147"/>
      <c r="F770" s="147"/>
      <c r="G770" s="147"/>
      <c r="H770" s="147"/>
      <c r="I770" s="147"/>
      <c r="J770" s="147"/>
      <c r="K770" s="3"/>
      <c r="L770" s="3"/>
      <c r="M770" s="3"/>
      <c r="N770" s="3"/>
      <c r="O770" s="3"/>
      <c r="P770" s="3"/>
      <c r="Q770" s="3"/>
      <c r="R770" s="3"/>
      <c r="S770" s="3"/>
      <c r="T770" s="3"/>
      <c r="U770" s="3"/>
      <c r="V770" s="3"/>
      <c r="W770" s="3"/>
      <c r="X770" s="3"/>
      <c r="Y770" s="3"/>
      <c r="Z770" s="3"/>
    </row>
    <row r="771" spans="1:26" ht="22.5" customHeight="1" x14ac:dyDescent="0.85">
      <c r="A771" s="166"/>
      <c r="B771" s="167"/>
      <c r="C771" s="167"/>
      <c r="D771" s="147"/>
      <c r="E771" s="147"/>
      <c r="F771" s="147"/>
      <c r="G771" s="147"/>
      <c r="H771" s="147"/>
      <c r="I771" s="147"/>
      <c r="J771" s="147"/>
      <c r="K771" s="3"/>
      <c r="L771" s="3"/>
      <c r="M771" s="3"/>
      <c r="N771" s="3"/>
      <c r="O771" s="3"/>
      <c r="P771" s="3"/>
      <c r="Q771" s="3"/>
      <c r="R771" s="3"/>
      <c r="S771" s="3"/>
      <c r="T771" s="3"/>
      <c r="U771" s="3"/>
      <c r="V771" s="3"/>
      <c r="W771" s="3"/>
      <c r="X771" s="3"/>
      <c r="Y771" s="3"/>
      <c r="Z771" s="3"/>
    </row>
    <row r="772" spans="1:26" ht="22.5" customHeight="1" x14ac:dyDescent="0.85">
      <c r="A772" s="166"/>
      <c r="B772" s="167"/>
      <c r="C772" s="167"/>
      <c r="D772" s="147"/>
      <c r="E772" s="147"/>
      <c r="F772" s="147"/>
      <c r="G772" s="147"/>
      <c r="H772" s="147"/>
      <c r="I772" s="147"/>
      <c r="J772" s="147"/>
      <c r="K772" s="3"/>
      <c r="L772" s="3"/>
      <c r="M772" s="3"/>
      <c r="N772" s="3"/>
      <c r="O772" s="3"/>
      <c r="P772" s="3"/>
      <c r="Q772" s="3"/>
      <c r="R772" s="3"/>
      <c r="S772" s="3"/>
      <c r="T772" s="3"/>
      <c r="U772" s="3"/>
      <c r="V772" s="3"/>
      <c r="W772" s="3"/>
      <c r="X772" s="3"/>
      <c r="Y772" s="3"/>
      <c r="Z772" s="3"/>
    </row>
    <row r="773" spans="1:26" ht="22.5" customHeight="1" x14ac:dyDescent="0.85">
      <c r="A773" s="166"/>
      <c r="B773" s="167"/>
      <c r="C773" s="167"/>
      <c r="D773" s="147"/>
      <c r="E773" s="147"/>
      <c r="F773" s="147"/>
      <c r="G773" s="147"/>
      <c r="H773" s="147"/>
      <c r="I773" s="147"/>
      <c r="J773" s="147"/>
      <c r="K773" s="3"/>
      <c r="L773" s="3"/>
      <c r="M773" s="3"/>
      <c r="N773" s="3"/>
      <c r="O773" s="3"/>
      <c r="P773" s="3"/>
      <c r="Q773" s="3"/>
      <c r="R773" s="3"/>
      <c r="S773" s="3"/>
      <c r="T773" s="3"/>
      <c r="U773" s="3"/>
      <c r="V773" s="3"/>
      <c r="W773" s="3"/>
      <c r="X773" s="3"/>
      <c r="Y773" s="3"/>
      <c r="Z773" s="3"/>
    </row>
    <row r="774" spans="1:26" ht="22.5" customHeight="1" x14ac:dyDescent="0.85">
      <c r="A774" s="166"/>
      <c r="B774" s="167"/>
      <c r="C774" s="167"/>
      <c r="D774" s="147"/>
      <c r="E774" s="147"/>
      <c r="F774" s="147"/>
      <c r="G774" s="147"/>
      <c r="H774" s="147"/>
      <c r="I774" s="147"/>
      <c r="J774" s="147"/>
      <c r="K774" s="3"/>
      <c r="L774" s="3"/>
      <c r="M774" s="3"/>
      <c r="N774" s="3"/>
      <c r="O774" s="3"/>
      <c r="P774" s="3"/>
      <c r="Q774" s="3"/>
      <c r="R774" s="3"/>
      <c r="S774" s="3"/>
      <c r="T774" s="3"/>
      <c r="U774" s="3"/>
      <c r="V774" s="3"/>
      <c r="W774" s="3"/>
      <c r="X774" s="3"/>
      <c r="Y774" s="3"/>
      <c r="Z774" s="3"/>
    </row>
    <row r="775" spans="1:26" ht="22.5" customHeight="1" x14ac:dyDescent="0.85">
      <c r="A775" s="166"/>
      <c r="B775" s="167"/>
      <c r="C775" s="167"/>
      <c r="D775" s="147"/>
      <c r="E775" s="147"/>
      <c r="F775" s="147"/>
      <c r="G775" s="147"/>
      <c r="H775" s="147"/>
      <c r="I775" s="147"/>
      <c r="J775" s="147"/>
      <c r="K775" s="3"/>
      <c r="L775" s="3"/>
      <c r="M775" s="3"/>
      <c r="N775" s="3"/>
      <c r="O775" s="3"/>
      <c r="P775" s="3"/>
      <c r="Q775" s="3"/>
      <c r="R775" s="3"/>
      <c r="S775" s="3"/>
      <c r="T775" s="3"/>
      <c r="U775" s="3"/>
      <c r="V775" s="3"/>
      <c r="W775" s="3"/>
      <c r="X775" s="3"/>
      <c r="Y775" s="3"/>
      <c r="Z775" s="3"/>
    </row>
    <row r="776" spans="1:26" ht="22.5" customHeight="1" x14ac:dyDescent="0.85">
      <c r="A776" s="166"/>
      <c r="B776" s="167"/>
      <c r="C776" s="167"/>
      <c r="D776" s="147"/>
      <c r="E776" s="147"/>
      <c r="F776" s="147"/>
      <c r="G776" s="147"/>
      <c r="H776" s="147"/>
      <c r="I776" s="147"/>
      <c r="J776" s="147"/>
      <c r="K776" s="3"/>
      <c r="L776" s="3"/>
      <c r="M776" s="3"/>
      <c r="N776" s="3"/>
      <c r="O776" s="3"/>
      <c r="P776" s="3"/>
      <c r="Q776" s="3"/>
      <c r="R776" s="3"/>
      <c r="S776" s="3"/>
      <c r="T776" s="3"/>
      <c r="U776" s="3"/>
      <c r="V776" s="3"/>
      <c r="W776" s="3"/>
      <c r="X776" s="3"/>
      <c r="Y776" s="3"/>
      <c r="Z776" s="3"/>
    </row>
    <row r="777" spans="1:26" ht="22.5" customHeight="1" x14ac:dyDescent="0.85">
      <c r="A777" s="166"/>
      <c r="B777" s="167"/>
      <c r="C777" s="167"/>
      <c r="D777" s="147"/>
      <c r="E777" s="147"/>
      <c r="F777" s="147"/>
      <c r="G777" s="147"/>
      <c r="H777" s="147"/>
      <c r="I777" s="147"/>
      <c r="J777" s="147"/>
      <c r="K777" s="3"/>
      <c r="L777" s="3"/>
      <c r="M777" s="3"/>
      <c r="N777" s="3"/>
      <c r="O777" s="3"/>
      <c r="P777" s="3"/>
      <c r="Q777" s="3"/>
      <c r="R777" s="3"/>
      <c r="S777" s="3"/>
      <c r="T777" s="3"/>
      <c r="U777" s="3"/>
      <c r="V777" s="3"/>
      <c r="W777" s="3"/>
      <c r="X777" s="3"/>
      <c r="Y777" s="3"/>
      <c r="Z777" s="3"/>
    </row>
    <row r="778" spans="1:26" ht="22.5" customHeight="1" x14ac:dyDescent="0.85">
      <c r="A778" s="166"/>
      <c r="B778" s="167"/>
      <c r="C778" s="167"/>
      <c r="D778" s="147"/>
      <c r="E778" s="147"/>
      <c r="F778" s="147"/>
      <c r="G778" s="147"/>
      <c r="H778" s="147"/>
      <c r="I778" s="147"/>
      <c r="J778" s="147"/>
      <c r="K778" s="3"/>
      <c r="L778" s="3"/>
      <c r="M778" s="3"/>
      <c r="N778" s="3"/>
      <c r="O778" s="3"/>
      <c r="P778" s="3"/>
      <c r="Q778" s="3"/>
      <c r="R778" s="3"/>
      <c r="S778" s="3"/>
      <c r="T778" s="3"/>
      <c r="U778" s="3"/>
      <c r="V778" s="3"/>
      <c r="W778" s="3"/>
      <c r="X778" s="3"/>
      <c r="Y778" s="3"/>
      <c r="Z778" s="3"/>
    </row>
    <row r="779" spans="1:26" ht="22.5" customHeight="1" x14ac:dyDescent="0.85">
      <c r="A779" s="166"/>
      <c r="B779" s="167"/>
      <c r="C779" s="167"/>
      <c r="D779" s="147"/>
      <c r="E779" s="147"/>
      <c r="F779" s="147"/>
      <c r="G779" s="147"/>
      <c r="H779" s="147"/>
      <c r="I779" s="147"/>
      <c r="J779" s="147"/>
      <c r="K779" s="3"/>
      <c r="L779" s="3"/>
      <c r="M779" s="3"/>
      <c r="N779" s="3"/>
      <c r="O779" s="3"/>
      <c r="P779" s="3"/>
      <c r="Q779" s="3"/>
      <c r="R779" s="3"/>
      <c r="S779" s="3"/>
      <c r="T779" s="3"/>
      <c r="U779" s="3"/>
      <c r="V779" s="3"/>
      <c r="W779" s="3"/>
      <c r="X779" s="3"/>
      <c r="Y779" s="3"/>
      <c r="Z779" s="3"/>
    </row>
    <row r="780" spans="1:26" ht="22.5" customHeight="1" x14ac:dyDescent="0.85">
      <c r="A780" s="166"/>
      <c r="B780" s="167"/>
      <c r="C780" s="167"/>
      <c r="D780" s="147"/>
      <c r="E780" s="147"/>
      <c r="F780" s="147"/>
      <c r="G780" s="147"/>
      <c r="H780" s="147"/>
      <c r="I780" s="147"/>
      <c r="J780" s="147"/>
      <c r="K780" s="3"/>
      <c r="L780" s="3"/>
      <c r="M780" s="3"/>
      <c r="N780" s="3"/>
      <c r="O780" s="3"/>
      <c r="P780" s="3"/>
      <c r="Q780" s="3"/>
      <c r="R780" s="3"/>
      <c r="S780" s="3"/>
      <c r="T780" s="3"/>
      <c r="U780" s="3"/>
      <c r="V780" s="3"/>
      <c r="W780" s="3"/>
      <c r="X780" s="3"/>
      <c r="Y780" s="3"/>
      <c r="Z780" s="3"/>
    </row>
    <row r="781" spans="1:26" ht="22.5" customHeight="1" x14ac:dyDescent="0.85">
      <c r="A781" s="166"/>
      <c r="B781" s="167"/>
      <c r="C781" s="167"/>
      <c r="D781" s="147"/>
      <c r="E781" s="147"/>
      <c r="F781" s="147"/>
      <c r="G781" s="147"/>
      <c r="H781" s="147"/>
      <c r="I781" s="147"/>
      <c r="J781" s="147"/>
      <c r="K781" s="3"/>
      <c r="L781" s="3"/>
      <c r="M781" s="3"/>
      <c r="N781" s="3"/>
      <c r="O781" s="3"/>
      <c r="P781" s="3"/>
      <c r="Q781" s="3"/>
      <c r="R781" s="3"/>
      <c r="S781" s="3"/>
      <c r="T781" s="3"/>
      <c r="U781" s="3"/>
      <c r="V781" s="3"/>
      <c r="W781" s="3"/>
      <c r="X781" s="3"/>
      <c r="Y781" s="3"/>
      <c r="Z781" s="3"/>
    </row>
    <row r="782" spans="1:26" ht="22.5" customHeight="1" x14ac:dyDescent="0.85">
      <c r="A782" s="166"/>
      <c r="B782" s="167"/>
      <c r="C782" s="167"/>
      <c r="D782" s="147"/>
      <c r="E782" s="147"/>
      <c r="F782" s="147"/>
      <c r="G782" s="147"/>
      <c r="H782" s="147"/>
      <c r="I782" s="147"/>
      <c r="J782" s="147"/>
      <c r="K782" s="3"/>
      <c r="L782" s="3"/>
      <c r="M782" s="3"/>
      <c r="N782" s="3"/>
      <c r="O782" s="3"/>
      <c r="P782" s="3"/>
      <c r="Q782" s="3"/>
      <c r="R782" s="3"/>
      <c r="S782" s="3"/>
      <c r="T782" s="3"/>
      <c r="U782" s="3"/>
      <c r="V782" s="3"/>
      <c r="W782" s="3"/>
      <c r="X782" s="3"/>
      <c r="Y782" s="3"/>
      <c r="Z782" s="3"/>
    </row>
    <row r="783" spans="1:26" ht="22.5" customHeight="1" x14ac:dyDescent="0.85">
      <c r="A783" s="166"/>
      <c r="B783" s="167"/>
      <c r="C783" s="167"/>
      <c r="D783" s="147"/>
      <c r="E783" s="147"/>
      <c r="F783" s="147"/>
      <c r="G783" s="147"/>
      <c r="H783" s="147"/>
      <c r="I783" s="147"/>
      <c r="J783" s="147"/>
      <c r="K783" s="3"/>
      <c r="L783" s="3"/>
      <c r="M783" s="3"/>
      <c r="N783" s="3"/>
      <c r="O783" s="3"/>
      <c r="P783" s="3"/>
      <c r="Q783" s="3"/>
      <c r="R783" s="3"/>
      <c r="S783" s="3"/>
      <c r="T783" s="3"/>
      <c r="U783" s="3"/>
      <c r="V783" s="3"/>
      <c r="W783" s="3"/>
      <c r="X783" s="3"/>
      <c r="Y783" s="3"/>
      <c r="Z783" s="3"/>
    </row>
    <row r="784" spans="1:26" ht="22.5" customHeight="1" x14ac:dyDescent="0.85">
      <c r="A784" s="166"/>
      <c r="B784" s="167"/>
      <c r="C784" s="167"/>
      <c r="D784" s="147"/>
      <c r="E784" s="147"/>
      <c r="F784" s="147"/>
      <c r="G784" s="147"/>
      <c r="H784" s="147"/>
      <c r="I784" s="147"/>
      <c r="J784" s="147"/>
      <c r="K784" s="3"/>
      <c r="L784" s="3"/>
      <c r="M784" s="3"/>
      <c r="N784" s="3"/>
      <c r="O784" s="3"/>
      <c r="P784" s="3"/>
      <c r="Q784" s="3"/>
      <c r="R784" s="3"/>
      <c r="S784" s="3"/>
      <c r="T784" s="3"/>
      <c r="U784" s="3"/>
      <c r="V784" s="3"/>
      <c r="W784" s="3"/>
      <c r="X784" s="3"/>
      <c r="Y784" s="3"/>
      <c r="Z784" s="3"/>
    </row>
    <row r="785" spans="1:26" ht="22.5" customHeight="1" x14ac:dyDescent="0.85">
      <c r="A785" s="166"/>
      <c r="B785" s="167"/>
      <c r="C785" s="167"/>
      <c r="D785" s="147"/>
      <c r="E785" s="147"/>
      <c r="F785" s="147"/>
      <c r="G785" s="147"/>
      <c r="H785" s="147"/>
      <c r="I785" s="147"/>
      <c r="J785" s="147"/>
      <c r="K785" s="3"/>
      <c r="L785" s="3"/>
      <c r="M785" s="3"/>
      <c r="N785" s="3"/>
      <c r="O785" s="3"/>
      <c r="P785" s="3"/>
      <c r="Q785" s="3"/>
      <c r="R785" s="3"/>
      <c r="S785" s="3"/>
      <c r="T785" s="3"/>
      <c r="U785" s="3"/>
      <c r="V785" s="3"/>
      <c r="W785" s="3"/>
      <c r="X785" s="3"/>
      <c r="Y785" s="3"/>
      <c r="Z785" s="3"/>
    </row>
    <row r="786" spans="1:26" ht="22.5" customHeight="1" x14ac:dyDescent="0.85">
      <c r="A786" s="166"/>
      <c r="B786" s="167"/>
      <c r="C786" s="167"/>
      <c r="D786" s="147"/>
      <c r="E786" s="147"/>
      <c r="F786" s="147"/>
      <c r="G786" s="147"/>
      <c r="H786" s="147"/>
      <c r="I786" s="147"/>
      <c r="J786" s="147"/>
      <c r="K786" s="3"/>
      <c r="L786" s="3"/>
      <c r="M786" s="3"/>
      <c r="N786" s="3"/>
      <c r="O786" s="3"/>
      <c r="P786" s="3"/>
      <c r="Q786" s="3"/>
      <c r="R786" s="3"/>
      <c r="S786" s="3"/>
      <c r="T786" s="3"/>
      <c r="U786" s="3"/>
      <c r="V786" s="3"/>
      <c r="W786" s="3"/>
      <c r="X786" s="3"/>
      <c r="Y786" s="3"/>
      <c r="Z786" s="3"/>
    </row>
    <row r="787" spans="1:26" ht="22.5" customHeight="1" x14ac:dyDescent="0.85">
      <c r="A787" s="166"/>
      <c r="B787" s="167"/>
      <c r="C787" s="167"/>
      <c r="D787" s="147"/>
      <c r="E787" s="147"/>
      <c r="F787" s="147"/>
      <c r="G787" s="147"/>
      <c r="H787" s="147"/>
      <c r="I787" s="147"/>
      <c r="J787" s="147"/>
      <c r="K787" s="3"/>
      <c r="L787" s="3"/>
      <c r="M787" s="3"/>
      <c r="N787" s="3"/>
      <c r="O787" s="3"/>
      <c r="P787" s="3"/>
      <c r="Q787" s="3"/>
      <c r="R787" s="3"/>
      <c r="S787" s="3"/>
      <c r="T787" s="3"/>
      <c r="U787" s="3"/>
      <c r="V787" s="3"/>
      <c r="W787" s="3"/>
      <c r="X787" s="3"/>
      <c r="Y787" s="3"/>
      <c r="Z787" s="3"/>
    </row>
    <row r="788" spans="1:26" ht="22.5" customHeight="1" x14ac:dyDescent="0.85">
      <c r="A788" s="166"/>
      <c r="B788" s="167"/>
      <c r="C788" s="167"/>
      <c r="D788" s="147"/>
      <c r="E788" s="147"/>
      <c r="F788" s="147"/>
      <c r="G788" s="147"/>
      <c r="H788" s="147"/>
      <c r="I788" s="147"/>
      <c r="J788" s="147"/>
      <c r="K788" s="3"/>
      <c r="L788" s="3"/>
      <c r="M788" s="3"/>
      <c r="N788" s="3"/>
      <c r="O788" s="3"/>
      <c r="P788" s="3"/>
      <c r="Q788" s="3"/>
      <c r="R788" s="3"/>
      <c r="S788" s="3"/>
      <c r="T788" s="3"/>
      <c r="U788" s="3"/>
      <c r="V788" s="3"/>
      <c r="W788" s="3"/>
      <c r="X788" s="3"/>
      <c r="Y788" s="3"/>
      <c r="Z788" s="3"/>
    </row>
    <row r="789" spans="1:26" ht="22.5" customHeight="1" x14ac:dyDescent="0.85">
      <c r="A789" s="166"/>
      <c r="B789" s="167"/>
      <c r="C789" s="167"/>
      <c r="D789" s="147"/>
      <c r="E789" s="147"/>
      <c r="F789" s="147"/>
      <c r="G789" s="147"/>
      <c r="H789" s="147"/>
      <c r="I789" s="147"/>
      <c r="J789" s="147"/>
      <c r="K789" s="3"/>
      <c r="L789" s="3"/>
      <c r="M789" s="3"/>
      <c r="N789" s="3"/>
      <c r="O789" s="3"/>
      <c r="P789" s="3"/>
      <c r="Q789" s="3"/>
      <c r="R789" s="3"/>
      <c r="S789" s="3"/>
      <c r="T789" s="3"/>
      <c r="U789" s="3"/>
      <c r="V789" s="3"/>
      <c r="W789" s="3"/>
      <c r="X789" s="3"/>
      <c r="Y789" s="3"/>
      <c r="Z789" s="3"/>
    </row>
    <row r="790" spans="1:26" ht="22.5" customHeight="1" x14ac:dyDescent="0.85">
      <c r="A790" s="166"/>
      <c r="B790" s="167"/>
      <c r="C790" s="167"/>
      <c r="D790" s="147"/>
      <c r="E790" s="147"/>
      <c r="F790" s="147"/>
      <c r="G790" s="147"/>
      <c r="H790" s="147"/>
      <c r="I790" s="147"/>
      <c r="J790" s="147"/>
      <c r="K790" s="3"/>
      <c r="L790" s="3"/>
      <c r="M790" s="3"/>
      <c r="N790" s="3"/>
      <c r="O790" s="3"/>
      <c r="P790" s="3"/>
      <c r="Q790" s="3"/>
      <c r="R790" s="3"/>
      <c r="S790" s="3"/>
      <c r="T790" s="3"/>
      <c r="U790" s="3"/>
      <c r="V790" s="3"/>
      <c r="W790" s="3"/>
      <c r="X790" s="3"/>
      <c r="Y790" s="3"/>
      <c r="Z790" s="3"/>
    </row>
    <row r="791" spans="1:26" ht="22.5" customHeight="1" x14ac:dyDescent="0.85">
      <c r="A791" s="166"/>
      <c r="B791" s="167"/>
      <c r="C791" s="167"/>
      <c r="D791" s="147"/>
      <c r="E791" s="147"/>
      <c r="F791" s="147"/>
      <c r="G791" s="147"/>
      <c r="H791" s="147"/>
      <c r="I791" s="147"/>
      <c r="J791" s="147"/>
      <c r="K791" s="3"/>
      <c r="L791" s="3"/>
      <c r="M791" s="3"/>
      <c r="N791" s="3"/>
      <c r="O791" s="3"/>
      <c r="P791" s="3"/>
      <c r="Q791" s="3"/>
      <c r="R791" s="3"/>
      <c r="S791" s="3"/>
      <c r="T791" s="3"/>
      <c r="U791" s="3"/>
      <c r="V791" s="3"/>
      <c r="W791" s="3"/>
      <c r="X791" s="3"/>
      <c r="Y791" s="3"/>
      <c r="Z791" s="3"/>
    </row>
    <row r="792" spans="1:26" ht="22.5" customHeight="1" x14ac:dyDescent="0.85">
      <c r="A792" s="166"/>
      <c r="B792" s="167"/>
      <c r="C792" s="167"/>
      <c r="D792" s="147"/>
      <c r="E792" s="147"/>
      <c r="F792" s="147"/>
      <c r="G792" s="147"/>
      <c r="H792" s="147"/>
      <c r="I792" s="147"/>
      <c r="J792" s="147"/>
      <c r="K792" s="3"/>
      <c r="L792" s="3"/>
      <c r="M792" s="3"/>
      <c r="N792" s="3"/>
      <c r="O792" s="3"/>
      <c r="P792" s="3"/>
      <c r="Q792" s="3"/>
      <c r="R792" s="3"/>
      <c r="S792" s="3"/>
      <c r="T792" s="3"/>
      <c r="U792" s="3"/>
      <c r="V792" s="3"/>
      <c r="W792" s="3"/>
      <c r="X792" s="3"/>
      <c r="Y792" s="3"/>
      <c r="Z792" s="3"/>
    </row>
    <row r="793" spans="1:26" ht="22.5" customHeight="1" x14ac:dyDescent="0.85">
      <c r="A793" s="166"/>
      <c r="B793" s="167"/>
      <c r="C793" s="167"/>
      <c r="D793" s="147"/>
      <c r="E793" s="147"/>
      <c r="F793" s="147"/>
      <c r="G793" s="147"/>
      <c r="H793" s="147"/>
      <c r="I793" s="147"/>
      <c r="J793" s="147"/>
      <c r="K793" s="3"/>
      <c r="L793" s="3"/>
      <c r="M793" s="3"/>
      <c r="N793" s="3"/>
      <c r="O793" s="3"/>
      <c r="P793" s="3"/>
      <c r="Q793" s="3"/>
      <c r="R793" s="3"/>
      <c r="S793" s="3"/>
      <c r="T793" s="3"/>
      <c r="U793" s="3"/>
      <c r="V793" s="3"/>
      <c r="W793" s="3"/>
      <c r="X793" s="3"/>
      <c r="Y793" s="3"/>
      <c r="Z793" s="3"/>
    </row>
    <row r="794" spans="1:26" ht="22.5" customHeight="1" x14ac:dyDescent="0.85">
      <c r="A794" s="166"/>
      <c r="B794" s="167"/>
      <c r="C794" s="167"/>
      <c r="D794" s="147"/>
      <c r="E794" s="147"/>
      <c r="F794" s="147"/>
      <c r="G794" s="147"/>
      <c r="H794" s="147"/>
      <c r="I794" s="147"/>
      <c r="J794" s="147"/>
      <c r="K794" s="3"/>
      <c r="L794" s="3"/>
      <c r="M794" s="3"/>
      <c r="N794" s="3"/>
      <c r="O794" s="3"/>
      <c r="P794" s="3"/>
      <c r="Q794" s="3"/>
      <c r="R794" s="3"/>
      <c r="S794" s="3"/>
      <c r="T794" s="3"/>
      <c r="U794" s="3"/>
      <c r="V794" s="3"/>
      <c r="W794" s="3"/>
      <c r="X794" s="3"/>
      <c r="Y794" s="3"/>
      <c r="Z794" s="3"/>
    </row>
    <row r="795" spans="1:26" ht="22.5" customHeight="1" x14ac:dyDescent="0.85">
      <c r="A795" s="166"/>
      <c r="B795" s="167"/>
      <c r="C795" s="167"/>
      <c r="D795" s="147"/>
      <c r="E795" s="147"/>
      <c r="F795" s="147"/>
      <c r="G795" s="147"/>
      <c r="H795" s="147"/>
      <c r="I795" s="147"/>
      <c r="J795" s="147"/>
      <c r="K795" s="3"/>
      <c r="L795" s="3"/>
      <c r="M795" s="3"/>
      <c r="N795" s="3"/>
      <c r="O795" s="3"/>
      <c r="P795" s="3"/>
      <c r="Q795" s="3"/>
      <c r="R795" s="3"/>
      <c r="S795" s="3"/>
      <c r="T795" s="3"/>
      <c r="U795" s="3"/>
      <c r="V795" s="3"/>
      <c r="W795" s="3"/>
      <c r="X795" s="3"/>
      <c r="Y795" s="3"/>
      <c r="Z795" s="3"/>
    </row>
    <row r="796" spans="1:26" ht="22.5" customHeight="1" x14ac:dyDescent="0.85">
      <c r="A796" s="166"/>
      <c r="B796" s="167"/>
      <c r="C796" s="167"/>
      <c r="D796" s="147"/>
      <c r="E796" s="147"/>
      <c r="F796" s="147"/>
      <c r="G796" s="147"/>
      <c r="H796" s="147"/>
      <c r="I796" s="147"/>
      <c r="J796" s="147"/>
      <c r="K796" s="3"/>
      <c r="L796" s="3"/>
      <c r="M796" s="3"/>
      <c r="N796" s="3"/>
      <c r="O796" s="3"/>
      <c r="P796" s="3"/>
      <c r="Q796" s="3"/>
      <c r="R796" s="3"/>
      <c r="S796" s="3"/>
      <c r="T796" s="3"/>
      <c r="U796" s="3"/>
      <c r="V796" s="3"/>
      <c r="W796" s="3"/>
      <c r="X796" s="3"/>
      <c r="Y796" s="3"/>
      <c r="Z796" s="3"/>
    </row>
    <row r="797" spans="1:26" ht="22.5" customHeight="1" x14ac:dyDescent="0.85">
      <c r="A797" s="166"/>
      <c r="B797" s="167"/>
      <c r="C797" s="167"/>
      <c r="D797" s="147"/>
      <c r="E797" s="147"/>
      <c r="F797" s="147"/>
      <c r="G797" s="147"/>
      <c r="H797" s="147"/>
      <c r="I797" s="147"/>
      <c r="J797" s="147"/>
      <c r="K797" s="3"/>
      <c r="L797" s="3"/>
      <c r="M797" s="3"/>
      <c r="N797" s="3"/>
      <c r="O797" s="3"/>
      <c r="P797" s="3"/>
      <c r="Q797" s="3"/>
      <c r="R797" s="3"/>
      <c r="S797" s="3"/>
      <c r="T797" s="3"/>
      <c r="U797" s="3"/>
      <c r="V797" s="3"/>
      <c r="W797" s="3"/>
      <c r="X797" s="3"/>
      <c r="Y797" s="3"/>
      <c r="Z797" s="3"/>
    </row>
    <row r="798" spans="1:26" ht="22.5" customHeight="1" x14ac:dyDescent="0.85">
      <c r="A798" s="166"/>
      <c r="B798" s="167"/>
      <c r="C798" s="167"/>
      <c r="D798" s="147"/>
      <c r="E798" s="147"/>
      <c r="F798" s="147"/>
      <c r="G798" s="147"/>
      <c r="H798" s="147"/>
      <c r="I798" s="147"/>
      <c r="J798" s="147"/>
      <c r="K798" s="3"/>
      <c r="L798" s="3"/>
      <c r="M798" s="3"/>
      <c r="N798" s="3"/>
      <c r="O798" s="3"/>
      <c r="P798" s="3"/>
      <c r="Q798" s="3"/>
      <c r="R798" s="3"/>
      <c r="S798" s="3"/>
      <c r="T798" s="3"/>
      <c r="U798" s="3"/>
      <c r="V798" s="3"/>
      <c r="W798" s="3"/>
      <c r="X798" s="3"/>
      <c r="Y798" s="3"/>
      <c r="Z798" s="3"/>
    </row>
    <row r="799" spans="1:26" ht="22.5" customHeight="1" x14ac:dyDescent="0.85">
      <c r="A799" s="166"/>
      <c r="B799" s="167"/>
      <c r="C799" s="167"/>
      <c r="D799" s="147"/>
      <c r="E799" s="147"/>
      <c r="F799" s="147"/>
      <c r="G799" s="147"/>
      <c r="H799" s="147"/>
      <c r="I799" s="147"/>
      <c r="J799" s="147"/>
      <c r="K799" s="3"/>
      <c r="L799" s="3"/>
      <c r="M799" s="3"/>
      <c r="N799" s="3"/>
      <c r="O799" s="3"/>
      <c r="P799" s="3"/>
      <c r="Q799" s="3"/>
      <c r="R799" s="3"/>
      <c r="S799" s="3"/>
      <c r="T799" s="3"/>
      <c r="U799" s="3"/>
      <c r="V799" s="3"/>
      <c r="W799" s="3"/>
      <c r="X799" s="3"/>
      <c r="Y799" s="3"/>
      <c r="Z799" s="3"/>
    </row>
    <row r="800" spans="1:26" ht="22.5" customHeight="1" x14ac:dyDescent="0.85">
      <c r="A800" s="166"/>
      <c r="B800" s="167"/>
      <c r="C800" s="167"/>
      <c r="D800" s="147"/>
      <c r="E800" s="147"/>
      <c r="F800" s="147"/>
      <c r="G800" s="147"/>
      <c r="H800" s="147"/>
      <c r="I800" s="147"/>
      <c r="J800" s="147"/>
      <c r="K800" s="3"/>
      <c r="L800" s="3"/>
      <c r="M800" s="3"/>
      <c r="N800" s="3"/>
      <c r="O800" s="3"/>
      <c r="P800" s="3"/>
      <c r="Q800" s="3"/>
      <c r="R800" s="3"/>
      <c r="S800" s="3"/>
      <c r="T800" s="3"/>
      <c r="U800" s="3"/>
      <c r="V800" s="3"/>
      <c r="W800" s="3"/>
      <c r="X800" s="3"/>
      <c r="Y800" s="3"/>
      <c r="Z800" s="3"/>
    </row>
    <row r="801" spans="1:26" ht="22.5" customHeight="1" x14ac:dyDescent="0.85">
      <c r="A801" s="166"/>
      <c r="B801" s="167"/>
      <c r="C801" s="167"/>
      <c r="D801" s="147"/>
      <c r="E801" s="147"/>
      <c r="F801" s="147"/>
      <c r="G801" s="147"/>
      <c r="H801" s="147"/>
      <c r="I801" s="147"/>
      <c r="J801" s="147"/>
      <c r="K801" s="3"/>
      <c r="L801" s="3"/>
      <c r="M801" s="3"/>
      <c r="N801" s="3"/>
      <c r="O801" s="3"/>
      <c r="P801" s="3"/>
      <c r="Q801" s="3"/>
      <c r="R801" s="3"/>
      <c r="S801" s="3"/>
      <c r="T801" s="3"/>
      <c r="U801" s="3"/>
      <c r="V801" s="3"/>
      <c r="W801" s="3"/>
      <c r="X801" s="3"/>
      <c r="Y801" s="3"/>
      <c r="Z801" s="3"/>
    </row>
    <row r="802" spans="1:26" ht="22.5" customHeight="1" x14ac:dyDescent="0.85">
      <c r="A802" s="166"/>
      <c r="B802" s="167"/>
      <c r="C802" s="167"/>
      <c r="D802" s="147"/>
      <c r="E802" s="147"/>
      <c r="F802" s="147"/>
      <c r="G802" s="147"/>
      <c r="H802" s="147"/>
      <c r="I802" s="147"/>
      <c r="J802" s="147"/>
      <c r="K802" s="3"/>
      <c r="L802" s="3"/>
      <c r="M802" s="3"/>
      <c r="N802" s="3"/>
      <c r="O802" s="3"/>
      <c r="P802" s="3"/>
      <c r="Q802" s="3"/>
      <c r="R802" s="3"/>
      <c r="S802" s="3"/>
      <c r="T802" s="3"/>
      <c r="U802" s="3"/>
      <c r="V802" s="3"/>
      <c r="W802" s="3"/>
      <c r="X802" s="3"/>
      <c r="Y802" s="3"/>
      <c r="Z802" s="3"/>
    </row>
    <row r="803" spans="1:26" ht="22.5" customHeight="1" x14ac:dyDescent="0.85">
      <c r="A803" s="166"/>
      <c r="B803" s="167"/>
      <c r="C803" s="167"/>
      <c r="D803" s="147"/>
      <c r="E803" s="147"/>
      <c r="F803" s="147"/>
      <c r="G803" s="147"/>
      <c r="H803" s="147"/>
      <c r="I803" s="147"/>
      <c r="J803" s="147"/>
      <c r="K803" s="3"/>
      <c r="L803" s="3"/>
      <c r="M803" s="3"/>
      <c r="N803" s="3"/>
      <c r="O803" s="3"/>
      <c r="P803" s="3"/>
      <c r="Q803" s="3"/>
      <c r="R803" s="3"/>
      <c r="S803" s="3"/>
      <c r="T803" s="3"/>
      <c r="U803" s="3"/>
      <c r="V803" s="3"/>
      <c r="W803" s="3"/>
      <c r="X803" s="3"/>
      <c r="Y803" s="3"/>
      <c r="Z803" s="3"/>
    </row>
    <row r="804" spans="1:26" ht="22.5" customHeight="1" x14ac:dyDescent="0.85">
      <c r="A804" s="166"/>
      <c r="B804" s="167"/>
      <c r="C804" s="167"/>
      <c r="D804" s="147"/>
      <c r="E804" s="147"/>
      <c r="F804" s="147"/>
      <c r="G804" s="147"/>
      <c r="H804" s="147"/>
      <c r="I804" s="147"/>
      <c r="J804" s="147"/>
      <c r="K804" s="3"/>
      <c r="L804" s="3"/>
      <c r="M804" s="3"/>
      <c r="N804" s="3"/>
      <c r="O804" s="3"/>
      <c r="P804" s="3"/>
      <c r="Q804" s="3"/>
      <c r="R804" s="3"/>
      <c r="S804" s="3"/>
      <c r="T804" s="3"/>
      <c r="U804" s="3"/>
      <c r="V804" s="3"/>
      <c r="W804" s="3"/>
      <c r="X804" s="3"/>
      <c r="Y804" s="3"/>
      <c r="Z804" s="3"/>
    </row>
    <row r="805" spans="1:26" ht="22.5" customHeight="1" x14ac:dyDescent="0.85">
      <c r="A805" s="166"/>
      <c r="B805" s="167"/>
      <c r="C805" s="167"/>
      <c r="D805" s="147"/>
      <c r="E805" s="147"/>
      <c r="F805" s="147"/>
      <c r="G805" s="147"/>
      <c r="H805" s="147"/>
      <c r="I805" s="147"/>
      <c r="J805" s="147"/>
      <c r="K805" s="3"/>
      <c r="L805" s="3"/>
      <c r="M805" s="3"/>
      <c r="N805" s="3"/>
      <c r="O805" s="3"/>
      <c r="P805" s="3"/>
      <c r="Q805" s="3"/>
      <c r="R805" s="3"/>
      <c r="S805" s="3"/>
      <c r="T805" s="3"/>
      <c r="U805" s="3"/>
      <c r="V805" s="3"/>
      <c r="W805" s="3"/>
      <c r="X805" s="3"/>
      <c r="Y805" s="3"/>
      <c r="Z805" s="3"/>
    </row>
    <row r="806" spans="1:26" ht="22.5" customHeight="1" x14ac:dyDescent="0.85">
      <c r="A806" s="166"/>
      <c r="B806" s="167"/>
      <c r="C806" s="167"/>
      <c r="D806" s="147"/>
      <c r="E806" s="147"/>
      <c r="F806" s="147"/>
      <c r="G806" s="147"/>
      <c r="H806" s="147"/>
      <c r="I806" s="147"/>
      <c r="J806" s="147"/>
      <c r="K806" s="3"/>
      <c r="L806" s="3"/>
      <c r="M806" s="3"/>
      <c r="N806" s="3"/>
      <c r="O806" s="3"/>
      <c r="P806" s="3"/>
      <c r="Q806" s="3"/>
      <c r="R806" s="3"/>
      <c r="S806" s="3"/>
      <c r="T806" s="3"/>
      <c r="U806" s="3"/>
      <c r="V806" s="3"/>
      <c r="W806" s="3"/>
      <c r="X806" s="3"/>
      <c r="Y806" s="3"/>
      <c r="Z806" s="3"/>
    </row>
    <row r="807" spans="1:26" ht="22.5" customHeight="1" x14ac:dyDescent="0.85">
      <c r="A807" s="166"/>
      <c r="B807" s="167"/>
      <c r="C807" s="167"/>
      <c r="D807" s="147"/>
      <c r="E807" s="147"/>
      <c r="F807" s="147"/>
      <c r="G807" s="147"/>
      <c r="H807" s="147"/>
      <c r="I807" s="147"/>
      <c r="J807" s="147"/>
      <c r="K807" s="3"/>
      <c r="L807" s="3"/>
      <c r="M807" s="3"/>
      <c r="N807" s="3"/>
      <c r="O807" s="3"/>
      <c r="P807" s="3"/>
      <c r="Q807" s="3"/>
      <c r="R807" s="3"/>
      <c r="S807" s="3"/>
      <c r="T807" s="3"/>
      <c r="U807" s="3"/>
      <c r="V807" s="3"/>
      <c r="W807" s="3"/>
      <c r="X807" s="3"/>
      <c r="Y807" s="3"/>
      <c r="Z807" s="3"/>
    </row>
    <row r="808" spans="1:26" ht="22.5" customHeight="1" x14ac:dyDescent="0.85">
      <c r="A808" s="166"/>
      <c r="B808" s="167"/>
      <c r="C808" s="167"/>
      <c r="D808" s="147"/>
      <c r="E808" s="147"/>
      <c r="F808" s="147"/>
      <c r="G808" s="147"/>
      <c r="H808" s="147"/>
      <c r="I808" s="147"/>
      <c r="J808" s="147"/>
      <c r="K808" s="3"/>
      <c r="L808" s="3"/>
      <c r="M808" s="3"/>
      <c r="N808" s="3"/>
      <c r="O808" s="3"/>
      <c r="P808" s="3"/>
      <c r="Q808" s="3"/>
      <c r="R808" s="3"/>
      <c r="S808" s="3"/>
      <c r="T808" s="3"/>
      <c r="U808" s="3"/>
      <c r="V808" s="3"/>
      <c r="W808" s="3"/>
      <c r="X808" s="3"/>
      <c r="Y808" s="3"/>
      <c r="Z808" s="3"/>
    </row>
    <row r="809" spans="1:26" ht="22.5" customHeight="1" x14ac:dyDescent="0.85">
      <c r="A809" s="166"/>
      <c r="B809" s="167"/>
      <c r="C809" s="167"/>
      <c r="D809" s="147"/>
      <c r="E809" s="147"/>
      <c r="F809" s="147"/>
      <c r="G809" s="147"/>
      <c r="H809" s="147"/>
      <c r="I809" s="147"/>
      <c r="J809" s="147"/>
      <c r="K809" s="3"/>
      <c r="L809" s="3"/>
      <c r="M809" s="3"/>
      <c r="N809" s="3"/>
      <c r="O809" s="3"/>
      <c r="P809" s="3"/>
      <c r="Q809" s="3"/>
      <c r="R809" s="3"/>
      <c r="S809" s="3"/>
      <c r="T809" s="3"/>
      <c r="U809" s="3"/>
      <c r="V809" s="3"/>
      <c r="W809" s="3"/>
      <c r="X809" s="3"/>
      <c r="Y809" s="3"/>
      <c r="Z809" s="3"/>
    </row>
    <row r="810" spans="1:26" ht="22.5" customHeight="1" x14ac:dyDescent="0.85">
      <c r="A810" s="166"/>
      <c r="B810" s="167"/>
      <c r="C810" s="167"/>
      <c r="D810" s="147"/>
      <c r="E810" s="147"/>
      <c r="F810" s="147"/>
      <c r="G810" s="147"/>
      <c r="H810" s="147"/>
      <c r="I810" s="147"/>
      <c r="J810" s="147"/>
      <c r="K810" s="3"/>
      <c r="L810" s="3"/>
      <c r="M810" s="3"/>
      <c r="N810" s="3"/>
      <c r="O810" s="3"/>
      <c r="P810" s="3"/>
      <c r="Q810" s="3"/>
      <c r="R810" s="3"/>
      <c r="S810" s="3"/>
      <c r="T810" s="3"/>
      <c r="U810" s="3"/>
      <c r="V810" s="3"/>
      <c r="W810" s="3"/>
      <c r="X810" s="3"/>
      <c r="Y810" s="3"/>
      <c r="Z810" s="3"/>
    </row>
    <row r="811" spans="1:26" ht="22.5" customHeight="1" x14ac:dyDescent="0.85">
      <c r="A811" s="166"/>
      <c r="B811" s="167"/>
      <c r="C811" s="167"/>
      <c r="D811" s="147"/>
      <c r="E811" s="147"/>
      <c r="F811" s="147"/>
      <c r="G811" s="147"/>
      <c r="H811" s="147"/>
      <c r="I811" s="147"/>
      <c r="J811" s="147"/>
      <c r="K811" s="3"/>
      <c r="L811" s="3"/>
      <c r="M811" s="3"/>
      <c r="N811" s="3"/>
      <c r="O811" s="3"/>
      <c r="P811" s="3"/>
      <c r="Q811" s="3"/>
      <c r="R811" s="3"/>
      <c r="S811" s="3"/>
      <c r="T811" s="3"/>
      <c r="U811" s="3"/>
      <c r="V811" s="3"/>
      <c r="W811" s="3"/>
      <c r="X811" s="3"/>
      <c r="Y811" s="3"/>
      <c r="Z811" s="3"/>
    </row>
    <row r="812" spans="1:26" ht="22.5" customHeight="1" x14ac:dyDescent="0.85">
      <c r="A812" s="166"/>
      <c r="B812" s="167"/>
      <c r="C812" s="167"/>
      <c r="D812" s="147"/>
      <c r="E812" s="147"/>
      <c r="F812" s="147"/>
      <c r="G812" s="147"/>
      <c r="H812" s="147"/>
      <c r="I812" s="147"/>
      <c r="J812" s="147"/>
      <c r="K812" s="3"/>
      <c r="L812" s="3"/>
      <c r="M812" s="3"/>
      <c r="N812" s="3"/>
      <c r="O812" s="3"/>
      <c r="P812" s="3"/>
      <c r="Q812" s="3"/>
      <c r="R812" s="3"/>
      <c r="S812" s="3"/>
      <c r="T812" s="3"/>
      <c r="U812" s="3"/>
      <c r="V812" s="3"/>
      <c r="W812" s="3"/>
      <c r="X812" s="3"/>
      <c r="Y812" s="3"/>
      <c r="Z812" s="3"/>
    </row>
    <row r="813" spans="1:26" ht="22.5" customHeight="1" x14ac:dyDescent="0.85">
      <c r="A813" s="166"/>
      <c r="B813" s="167"/>
      <c r="C813" s="167"/>
      <c r="D813" s="147"/>
      <c r="E813" s="147"/>
      <c r="F813" s="147"/>
      <c r="G813" s="147"/>
      <c r="H813" s="147"/>
      <c r="I813" s="147"/>
      <c r="J813" s="147"/>
      <c r="K813" s="3"/>
      <c r="L813" s="3"/>
      <c r="M813" s="3"/>
      <c r="N813" s="3"/>
      <c r="O813" s="3"/>
      <c r="P813" s="3"/>
      <c r="Q813" s="3"/>
      <c r="R813" s="3"/>
      <c r="S813" s="3"/>
      <c r="T813" s="3"/>
      <c r="U813" s="3"/>
      <c r="V813" s="3"/>
      <c r="W813" s="3"/>
      <c r="X813" s="3"/>
      <c r="Y813" s="3"/>
      <c r="Z813" s="3"/>
    </row>
    <row r="814" spans="1:26" ht="22.5" customHeight="1" x14ac:dyDescent="0.85">
      <c r="A814" s="166"/>
      <c r="B814" s="167"/>
      <c r="C814" s="167"/>
      <c r="D814" s="147"/>
      <c r="E814" s="147"/>
      <c r="F814" s="147"/>
      <c r="G814" s="147"/>
      <c r="H814" s="147"/>
      <c r="I814" s="147"/>
      <c r="J814" s="147"/>
      <c r="K814" s="3"/>
      <c r="L814" s="3"/>
      <c r="M814" s="3"/>
      <c r="N814" s="3"/>
      <c r="O814" s="3"/>
      <c r="P814" s="3"/>
      <c r="Q814" s="3"/>
      <c r="R814" s="3"/>
      <c r="S814" s="3"/>
      <c r="T814" s="3"/>
      <c r="U814" s="3"/>
      <c r="V814" s="3"/>
      <c r="W814" s="3"/>
      <c r="X814" s="3"/>
      <c r="Y814" s="3"/>
      <c r="Z814" s="3"/>
    </row>
    <row r="815" spans="1:26" ht="22.5" customHeight="1" x14ac:dyDescent="0.85">
      <c r="A815" s="166"/>
      <c r="B815" s="167"/>
      <c r="C815" s="167"/>
      <c r="D815" s="147"/>
      <c r="E815" s="147"/>
      <c r="F815" s="147"/>
      <c r="G815" s="147"/>
      <c r="H815" s="147"/>
      <c r="I815" s="147"/>
      <c r="J815" s="147"/>
      <c r="K815" s="3"/>
      <c r="L815" s="3"/>
      <c r="M815" s="3"/>
      <c r="N815" s="3"/>
      <c r="O815" s="3"/>
      <c r="P815" s="3"/>
      <c r="Q815" s="3"/>
      <c r="R815" s="3"/>
      <c r="S815" s="3"/>
      <c r="T815" s="3"/>
      <c r="U815" s="3"/>
      <c r="V815" s="3"/>
      <c r="W815" s="3"/>
      <c r="X815" s="3"/>
      <c r="Y815" s="3"/>
      <c r="Z815" s="3"/>
    </row>
    <row r="816" spans="1:26" ht="22.5" customHeight="1" x14ac:dyDescent="0.85">
      <c r="A816" s="166"/>
      <c r="B816" s="167"/>
      <c r="C816" s="167"/>
      <c r="D816" s="147"/>
      <c r="E816" s="147"/>
      <c r="F816" s="147"/>
      <c r="G816" s="147"/>
      <c r="H816" s="147"/>
      <c r="I816" s="147"/>
      <c r="J816" s="147"/>
      <c r="K816" s="3"/>
      <c r="L816" s="3"/>
      <c r="M816" s="3"/>
      <c r="N816" s="3"/>
      <c r="O816" s="3"/>
      <c r="P816" s="3"/>
      <c r="Q816" s="3"/>
      <c r="R816" s="3"/>
      <c r="S816" s="3"/>
      <c r="T816" s="3"/>
      <c r="U816" s="3"/>
      <c r="V816" s="3"/>
      <c r="W816" s="3"/>
      <c r="X816" s="3"/>
      <c r="Y816" s="3"/>
      <c r="Z816" s="3"/>
    </row>
    <row r="817" spans="1:26" ht="22.5" customHeight="1" x14ac:dyDescent="0.85">
      <c r="A817" s="166"/>
      <c r="B817" s="167"/>
      <c r="C817" s="167"/>
      <c r="D817" s="147"/>
      <c r="E817" s="147"/>
      <c r="F817" s="147"/>
      <c r="G817" s="147"/>
      <c r="H817" s="147"/>
      <c r="I817" s="147"/>
      <c r="J817" s="147"/>
      <c r="K817" s="3"/>
      <c r="L817" s="3"/>
      <c r="M817" s="3"/>
      <c r="N817" s="3"/>
      <c r="O817" s="3"/>
      <c r="P817" s="3"/>
      <c r="Q817" s="3"/>
      <c r="R817" s="3"/>
      <c r="S817" s="3"/>
      <c r="T817" s="3"/>
      <c r="U817" s="3"/>
      <c r="V817" s="3"/>
      <c r="W817" s="3"/>
      <c r="X817" s="3"/>
      <c r="Y817" s="3"/>
      <c r="Z817" s="3"/>
    </row>
    <row r="818" spans="1:26" ht="22.5" customHeight="1" x14ac:dyDescent="0.85">
      <c r="A818" s="166"/>
      <c r="B818" s="167"/>
      <c r="C818" s="167"/>
      <c r="D818" s="147"/>
      <c r="E818" s="147"/>
      <c r="F818" s="147"/>
      <c r="G818" s="147"/>
      <c r="H818" s="147"/>
      <c r="I818" s="147"/>
      <c r="J818" s="147"/>
      <c r="K818" s="3"/>
      <c r="L818" s="3"/>
      <c r="M818" s="3"/>
      <c r="N818" s="3"/>
      <c r="O818" s="3"/>
      <c r="P818" s="3"/>
      <c r="Q818" s="3"/>
      <c r="R818" s="3"/>
      <c r="S818" s="3"/>
      <c r="T818" s="3"/>
      <c r="U818" s="3"/>
      <c r="V818" s="3"/>
      <c r="W818" s="3"/>
      <c r="X818" s="3"/>
      <c r="Y818" s="3"/>
      <c r="Z818" s="3"/>
    </row>
    <row r="819" spans="1:26" ht="22.5" customHeight="1" x14ac:dyDescent="0.85">
      <c r="A819" s="166"/>
      <c r="B819" s="167"/>
      <c r="C819" s="167"/>
      <c r="D819" s="147"/>
      <c r="E819" s="147"/>
      <c r="F819" s="147"/>
      <c r="G819" s="147"/>
      <c r="H819" s="147"/>
      <c r="I819" s="147"/>
      <c r="J819" s="147"/>
      <c r="K819" s="3"/>
      <c r="L819" s="3"/>
      <c r="M819" s="3"/>
      <c r="N819" s="3"/>
      <c r="O819" s="3"/>
      <c r="P819" s="3"/>
      <c r="Q819" s="3"/>
      <c r="R819" s="3"/>
      <c r="S819" s="3"/>
      <c r="T819" s="3"/>
      <c r="U819" s="3"/>
      <c r="V819" s="3"/>
      <c r="W819" s="3"/>
      <c r="X819" s="3"/>
      <c r="Y819" s="3"/>
      <c r="Z819" s="3"/>
    </row>
    <row r="820" spans="1:26" ht="22.5" customHeight="1" x14ac:dyDescent="0.85">
      <c r="A820" s="166"/>
      <c r="B820" s="167"/>
      <c r="C820" s="167"/>
      <c r="D820" s="147"/>
      <c r="E820" s="147"/>
      <c r="F820" s="147"/>
      <c r="G820" s="147"/>
      <c r="H820" s="147"/>
      <c r="I820" s="147"/>
      <c r="J820" s="147"/>
      <c r="K820" s="3"/>
      <c r="L820" s="3"/>
      <c r="M820" s="3"/>
      <c r="N820" s="3"/>
      <c r="O820" s="3"/>
      <c r="P820" s="3"/>
      <c r="Q820" s="3"/>
      <c r="R820" s="3"/>
      <c r="S820" s="3"/>
      <c r="T820" s="3"/>
      <c r="U820" s="3"/>
      <c r="V820" s="3"/>
      <c r="W820" s="3"/>
      <c r="X820" s="3"/>
      <c r="Y820" s="3"/>
      <c r="Z820" s="3"/>
    </row>
    <row r="821" spans="1:26" ht="22.5" customHeight="1" x14ac:dyDescent="0.85">
      <c r="A821" s="166"/>
      <c r="B821" s="167"/>
      <c r="C821" s="167"/>
      <c r="D821" s="147"/>
      <c r="E821" s="147"/>
      <c r="F821" s="147"/>
      <c r="G821" s="147"/>
      <c r="H821" s="147"/>
      <c r="I821" s="147"/>
      <c r="J821" s="147"/>
      <c r="K821" s="3"/>
      <c r="L821" s="3"/>
      <c r="M821" s="3"/>
      <c r="N821" s="3"/>
      <c r="O821" s="3"/>
      <c r="P821" s="3"/>
      <c r="Q821" s="3"/>
      <c r="R821" s="3"/>
      <c r="S821" s="3"/>
      <c r="T821" s="3"/>
      <c r="U821" s="3"/>
      <c r="V821" s="3"/>
      <c r="W821" s="3"/>
      <c r="X821" s="3"/>
      <c r="Y821" s="3"/>
      <c r="Z821" s="3"/>
    </row>
    <row r="822" spans="1:26" ht="22.5" customHeight="1" x14ac:dyDescent="0.85">
      <c r="A822" s="166"/>
      <c r="B822" s="167"/>
      <c r="C822" s="167"/>
      <c r="D822" s="147"/>
      <c r="E822" s="147"/>
      <c r="F822" s="147"/>
      <c r="G822" s="147"/>
      <c r="H822" s="147"/>
      <c r="I822" s="147"/>
      <c r="J822" s="147"/>
      <c r="K822" s="3"/>
      <c r="L822" s="3"/>
      <c r="M822" s="3"/>
      <c r="N822" s="3"/>
      <c r="O822" s="3"/>
      <c r="P822" s="3"/>
      <c r="Q822" s="3"/>
      <c r="R822" s="3"/>
      <c r="S822" s="3"/>
      <c r="T822" s="3"/>
      <c r="U822" s="3"/>
      <c r="V822" s="3"/>
      <c r="W822" s="3"/>
      <c r="X822" s="3"/>
      <c r="Y822" s="3"/>
      <c r="Z822" s="3"/>
    </row>
    <row r="823" spans="1:26" ht="22.5" customHeight="1" x14ac:dyDescent="0.85">
      <c r="A823" s="166"/>
      <c r="B823" s="167"/>
      <c r="C823" s="167"/>
      <c r="D823" s="147"/>
      <c r="E823" s="147"/>
      <c r="F823" s="147"/>
      <c r="G823" s="147"/>
      <c r="H823" s="147"/>
      <c r="I823" s="147"/>
      <c r="J823" s="147"/>
      <c r="K823" s="3"/>
      <c r="L823" s="3"/>
      <c r="M823" s="3"/>
      <c r="N823" s="3"/>
      <c r="O823" s="3"/>
      <c r="P823" s="3"/>
      <c r="Q823" s="3"/>
      <c r="R823" s="3"/>
      <c r="S823" s="3"/>
      <c r="T823" s="3"/>
      <c r="U823" s="3"/>
      <c r="V823" s="3"/>
      <c r="W823" s="3"/>
      <c r="X823" s="3"/>
      <c r="Y823" s="3"/>
      <c r="Z823" s="3"/>
    </row>
    <row r="824" spans="1:26" ht="22.5" customHeight="1" x14ac:dyDescent="0.85">
      <c r="A824" s="166"/>
      <c r="B824" s="167"/>
      <c r="C824" s="167"/>
      <c r="D824" s="147"/>
      <c r="E824" s="147"/>
      <c r="F824" s="147"/>
      <c r="G824" s="147"/>
      <c r="H824" s="147"/>
      <c r="I824" s="147"/>
      <c r="J824" s="147"/>
      <c r="K824" s="3"/>
      <c r="L824" s="3"/>
      <c r="M824" s="3"/>
      <c r="N824" s="3"/>
      <c r="O824" s="3"/>
      <c r="P824" s="3"/>
      <c r="Q824" s="3"/>
      <c r="R824" s="3"/>
      <c r="S824" s="3"/>
      <c r="T824" s="3"/>
      <c r="U824" s="3"/>
      <c r="V824" s="3"/>
      <c r="W824" s="3"/>
      <c r="X824" s="3"/>
      <c r="Y824" s="3"/>
      <c r="Z824" s="3"/>
    </row>
    <row r="825" spans="1:26" ht="22.5" customHeight="1" x14ac:dyDescent="0.85">
      <c r="A825" s="166"/>
      <c r="B825" s="167"/>
      <c r="C825" s="167"/>
      <c r="D825" s="147"/>
      <c r="E825" s="147"/>
      <c r="F825" s="147"/>
      <c r="G825" s="147"/>
      <c r="H825" s="147"/>
      <c r="I825" s="147"/>
      <c r="J825" s="147"/>
      <c r="K825" s="3"/>
      <c r="L825" s="3"/>
      <c r="M825" s="3"/>
      <c r="N825" s="3"/>
      <c r="O825" s="3"/>
      <c r="P825" s="3"/>
      <c r="Q825" s="3"/>
      <c r="R825" s="3"/>
      <c r="S825" s="3"/>
      <c r="T825" s="3"/>
      <c r="U825" s="3"/>
      <c r="V825" s="3"/>
      <c r="W825" s="3"/>
      <c r="X825" s="3"/>
      <c r="Y825" s="3"/>
      <c r="Z825" s="3"/>
    </row>
    <row r="826" spans="1:26" ht="22.5" customHeight="1" x14ac:dyDescent="0.85">
      <c r="A826" s="166"/>
      <c r="B826" s="167"/>
      <c r="C826" s="167"/>
      <c r="D826" s="147"/>
      <c r="E826" s="147"/>
      <c r="F826" s="147"/>
      <c r="G826" s="147"/>
      <c r="H826" s="147"/>
      <c r="I826" s="147"/>
      <c r="J826" s="147"/>
      <c r="K826" s="3"/>
      <c r="L826" s="3"/>
      <c r="M826" s="3"/>
      <c r="N826" s="3"/>
      <c r="O826" s="3"/>
      <c r="P826" s="3"/>
      <c r="Q826" s="3"/>
      <c r="R826" s="3"/>
      <c r="S826" s="3"/>
      <c r="T826" s="3"/>
      <c r="U826" s="3"/>
      <c r="V826" s="3"/>
      <c r="W826" s="3"/>
      <c r="X826" s="3"/>
      <c r="Y826" s="3"/>
      <c r="Z826" s="3"/>
    </row>
    <row r="827" spans="1:26" ht="22.5" customHeight="1" x14ac:dyDescent="0.85">
      <c r="A827" s="166"/>
      <c r="B827" s="167"/>
      <c r="C827" s="167"/>
      <c r="D827" s="147"/>
      <c r="E827" s="147"/>
      <c r="F827" s="147"/>
      <c r="G827" s="147"/>
      <c r="H827" s="147"/>
      <c r="I827" s="147"/>
      <c r="J827" s="147"/>
      <c r="K827" s="3"/>
      <c r="L827" s="3"/>
      <c r="M827" s="3"/>
      <c r="N827" s="3"/>
      <c r="O827" s="3"/>
      <c r="P827" s="3"/>
      <c r="Q827" s="3"/>
      <c r="R827" s="3"/>
      <c r="S827" s="3"/>
      <c r="T827" s="3"/>
      <c r="U827" s="3"/>
      <c r="V827" s="3"/>
      <c r="W827" s="3"/>
      <c r="X827" s="3"/>
      <c r="Y827" s="3"/>
      <c r="Z827" s="3"/>
    </row>
    <row r="828" spans="1:26" ht="22.5" customHeight="1" x14ac:dyDescent="0.85">
      <c r="A828" s="166"/>
      <c r="B828" s="167"/>
      <c r="C828" s="167"/>
      <c r="D828" s="147"/>
      <c r="E828" s="147"/>
      <c r="F828" s="147"/>
      <c r="G828" s="147"/>
      <c r="H828" s="147"/>
      <c r="I828" s="147"/>
      <c r="J828" s="147"/>
      <c r="K828" s="3"/>
      <c r="L828" s="3"/>
      <c r="M828" s="3"/>
      <c r="N828" s="3"/>
      <c r="O828" s="3"/>
      <c r="P828" s="3"/>
      <c r="Q828" s="3"/>
      <c r="R828" s="3"/>
      <c r="S828" s="3"/>
      <c r="T828" s="3"/>
      <c r="U828" s="3"/>
      <c r="V828" s="3"/>
      <c r="W828" s="3"/>
      <c r="X828" s="3"/>
      <c r="Y828" s="3"/>
      <c r="Z828" s="3"/>
    </row>
    <row r="829" spans="1:26" ht="22.5" customHeight="1" x14ac:dyDescent="0.85">
      <c r="A829" s="166"/>
      <c r="B829" s="167"/>
      <c r="C829" s="167"/>
      <c r="D829" s="147"/>
      <c r="E829" s="147"/>
      <c r="F829" s="147"/>
      <c r="G829" s="147"/>
      <c r="H829" s="147"/>
      <c r="I829" s="147"/>
      <c r="J829" s="147"/>
      <c r="K829" s="3"/>
      <c r="L829" s="3"/>
      <c r="M829" s="3"/>
      <c r="N829" s="3"/>
      <c r="O829" s="3"/>
      <c r="P829" s="3"/>
      <c r="Q829" s="3"/>
      <c r="R829" s="3"/>
      <c r="S829" s="3"/>
      <c r="T829" s="3"/>
      <c r="U829" s="3"/>
      <c r="V829" s="3"/>
      <c r="W829" s="3"/>
      <c r="X829" s="3"/>
      <c r="Y829" s="3"/>
      <c r="Z829" s="3"/>
    </row>
    <row r="830" spans="1:26" ht="22.5" customHeight="1" x14ac:dyDescent="0.85">
      <c r="A830" s="166"/>
      <c r="B830" s="167"/>
      <c r="C830" s="167"/>
      <c r="D830" s="147"/>
      <c r="E830" s="147"/>
      <c r="F830" s="147"/>
      <c r="G830" s="147"/>
      <c r="H830" s="147"/>
      <c r="I830" s="147"/>
      <c r="J830" s="147"/>
      <c r="K830" s="3"/>
      <c r="L830" s="3"/>
      <c r="M830" s="3"/>
      <c r="N830" s="3"/>
      <c r="O830" s="3"/>
      <c r="P830" s="3"/>
      <c r="Q830" s="3"/>
      <c r="R830" s="3"/>
      <c r="S830" s="3"/>
      <c r="T830" s="3"/>
      <c r="U830" s="3"/>
      <c r="V830" s="3"/>
      <c r="W830" s="3"/>
      <c r="X830" s="3"/>
      <c r="Y830" s="3"/>
      <c r="Z830" s="3"/>
    </row>
    <row r="831" spans="1:26" ht="22.5" customHeight="1" x14ac:dyDescent="0.85">
      <c r="A831" s="166"/>
      <c r="B831" s="167"/>
      <c r="C831" s="167"/>
      <c r="D831" s="147"/>
      <c r="E831" s="147"/>
      <c r="F831" s="147"/>
      <c r="G831" s="147"/>
      <c r="H831" s="147"/>
      <c r="I831" s="147"/>
      <c r="J831" s="147"/>
      <c r="K831" s="3"/>
      <c r="L831" s="3"/>
      <c r="M831" s="3"/>
      <c r="N831" s="3"/>
      <c r="O831" s="3"/>
      <c r="P831" s="3"/>
      <c r="Q831" s="3"/>
      <c r="R831" s="3"/>
      <c r="S831" s="3"/>
      <c r="T831" s="3"/>
      <c r="U831" s="3"/>
      <c r="V831" s="3"/>
      <c r="W831" s="3"/>
      <c r="X831" s="3"/>
      <c r="Y831" s="3"/>
      <c r="Z831" s="3"/>
    </row>
    <row r="832" spans="1:26" ht="22.5" customHeight="1" x14ac:dyDescent="0.85">
      <c r="A832" s="166"/>
      <c r="B832" s="167"/>
      <c r="C832" s="167"/>
      <c r="D832" s="147"/>
      <c r="E832" s="147"/>
      <c r="F832" s="147"/>
      <c r="G832" s="147"/>
      <c r="H832" s="147"/>
      <c r="I832" s="147"/>
      <c r="J832" s="147"/>
      <c r="K832" s="3"/>
      <c r="L832" s="3"/>
      <c r="M832" s="3"/>
      <c r="N832" s="3"/>
      <c r="O832" s="3"/>
      <c r="P832" s="3"/>
      <c r="Q832" s="3"/>
      <c r="R832" s="3"/>
      <c r="S832" s="3"/>
      <c r="T832" s="3"/>
      <c r="U832" s="3"/>
      <c r="V832" s="3"/>
      <c r="W832" s="3"/>
      <c r="X832" s="3"/>
      <c r="Y832" s="3"/>
      <c r="Z832" s="3"/>
    </row>
    <row r="833" spans="1:26" ht="22.5" customHeight="1" x14ac:dyDescent="0.85">
      <c r="A833" s="166"/>
      <c r="B833" s="167"/>
      <c r="C833" s="167"/>
      <c r="D833" s="147"/>
      <c r="E833" s="147"/>
      <c r="F833" s="147"/>
      <c r="G833" s="147"/>
      <c r="H833" s="147"/>
      <c r="I833" s="147"/>
      <c r="J833" s="147"/>
      <c r="K833" s="3"/>
      <c r="L833" s="3"/>
      <c r="M833" s="3"/>
      <c r="N833" s="3"/>
      <c r="O833" s="3"/>
      <c r="P833" s="3"/>
      <c r="Q833" s="3"/>
      <c r="R833" s="3"/>
      <c r="S833" s="3"/>
      <c r="T833" s="3"/>
      <c r="U833" s="3"/>
      <c r="V833" s="3"/>
      <c r="W833" s="3"/>
      <c r="X833" s="3"/>
      <c r="Y833" s="3"/>
      <c r="Z833" s="3"/>
    </row>
    <row r="834" spans="1:26" ht="22.5" customHeight="1" x14ac:dyDescent="0.85">
      <c r="A834" s="166"/>
      <c r="B834" s="167"/>
      <c r="C834" s="167"/>
      <c r="D834" s="147"/>
      <c r="E834" s="147"/>
      <c r="F834" s="147"/>
      <c r="G834" s="147"/>
      <c r="H834" s="147"/>
      <c r="I834" s="147"/>
      <c r="J834" s="147"/>
      <c r="K834" s="3"/>
      <c r="L834" s="3"/>
      <c r="M834" s="3"/>
      <c r="N834" s="3"/>
      <c r="O834" s="3"/>
      <c r="P834" s="3"/>
      <c r="Q834" s="3"/>
      <c r="R834" s="3"/>
      <c r="S834" s="3"/>
      <c r="T834" s="3"/>
      <c r="U834" s="3"/>
      <c r="V834" s="3"/>
      <c r="W834" s="3"/>
      <c r="X834" s="3"/>
      <c r="Y834" s="3"/>
      <c r="Z834" s="3"/>
    </row>
    <row r="835" spans="1:26" ht="22.5" customHeight="1" x14ac:dyDescent="0.85">
      <c r="A835" s="166"/>
      <c r="B835" s="167"/>
      <c r="C835" s="167"/>
      <c r="D835" s="147"/>
      <c r="E835" s="147"/>
      <c r="F835" s="147"/>
      <c r="G835" s="147"/>
      <c r="H835" s="147"/>
      <c r="I835" s="147"/>
      <c r="J835" s="147"/>
      <c r="K835" s="3"/>
      <c r="L835" s="3"/>
      <c r="M835" s="3"/>
      <c r="N835" s="3"/>
      <c r="O835" s="3"/>
      <c r="P835" s="3"/>
      <c r="Q835" s="3"/>
      <c r="R835" s="3"/>
      <c r="S835" s="3"/>
      <c r="T835" s="3"/>
      <c r="U835" s="3"/>
      <c r="V835" s="3"/>
      <c r="W835" s="3"/>
      <c r="X835" s="3"/>
      <c r="Y835" s="3"/>
      <c r="Z835" s="3"/>
    </row>
    <row r="836" spans="1:26" ht="22.5" customHeight="1" x14ac:dyDescent="0.85">
      <c r="A836" s="166"/>
      <c r="B836" s="167"/>
      <c r="C836" s="167"/>
      <c r="D836" s="147"/>
      <c r="E836" s="147"/>
      <c r="F836" s="147"/>
      <c r="G836" s="147"/>
      <c r="H836" s="147"/>
      <c r="I836" s="147"/>
      <c r="J836" s="147"/>
      <c r="K836" s="3"/>
      <c r="L836" s="3"/>
      <c r="M836" s="3"/>
      <c r="N836" s="3"/>
      <c r="O836" s="3"/>
      <c r="P836" s="3"/>
      <c r="Q836" s="3"/>
      <c r="R836" s="3"/>
      <c r="S836" s="3"/>
      <c r="T836" s="3"/>
      <c r="U836" s="3"/>
      <c r="V836" s="3"/>
      <c r="W836" s="3"/>
      <c r="X836" s="3"/>
      <c r="Y836" s="3"/>
      <c r="Z836" s="3"/>
    </row>
    <row r="837" spans="1:26" ht="22.5" customHeight="1" x14ac:dyDescent="0.85">
      <c r="A837" s="166"/>
      <c r="B837" s="167"/>
      <c r="C837" s="167"/>
      <c r="D837" s="147"/>
      <c r="E837" s="147"/>
      <c r="F837" s="147"/>
      <c r="G837" s="147"/>
      <c r="H837" s="147"/>
      <c r="I837" s="147"/>
      <c r="J837" s="147"/>
      <c r="K837" s="3"/>
      <c r="L837" s="3"/>
      <c r="M837" s="3"/>
      <c r="N837" s="3"/>
      <c r="O837" s="3"/>
      <c r="P837" s="3"/>
      <c r="Q837" s="3"/>
      <c r="R837" s="3"/>
      <c r="S837" s="3"/>
      <c r="T837" s="3"/>
      <c r="U837" s="3"/>
      <c r="V837" s="3"/>
      <c r="W837" s="3"/>
      <c r="X837" s="3"/>
      <c r="Y837" s="3"/>
      <c r="Z837" s="3"/>
    </row>
    <row r="838" spans="1:26" ht="22.5" customHeight="1" x14ac:dyDescent="0.85">
      <c r="A838" s="166"/>
      <c r="B838" s="167"/>
      <c r="C838" s="167"/>
      <c r="D838" s="147"/>
      <c r="E838" s="147"/>
      <c r="F838" s="147"/>
      <c r="G838" s="147"/>
      <c r="H838" s="147"/>
      <c r="I838" s="147"/>
      <c r="J838" s="147"/>
      <c r="K838" s="3"/>
      <c r="L838" s="3"/>
      <c r="M838" s="3"/>
      <c r="N838" s="3"/>
      <c r="O838" s="3"/>
      <c r="P838" s="3"/>
      <c r="Q838" s="3"/>
      <c r="R838" s="3"/>
      <c r="S838" s="3"/>
      <c r="T838" s="3"/>
      <c r="U838" s="3"/>
      <c r="V838" s="3"/>
      <c r="W838" s="3"/>
      <c r="X838" s="3"/>
      <c r="Y838" s="3"/>
      <c r="Z838" s="3"/>
    </row>
    <row r="839" spans="1:26" ht="22.5" customHeight="1" x14ac:dyDescent="0.85">
      <c r="A839" s="166"/>
      <c r="B839" s="167"/>
      <c r="C839" s="167"/>
      <c r="D839" s="147"/>
      <c r="E839" s="147"/>
      <c r="F839" s="147"/>
      <c r="G839" s="147"/>
      <c r="H839" s="147"/>
      <c r="I839" s="147"/>
      <c r="J839" s="147"/>
      <c r="K839" s="3"/>
      <c r="L839" s="3"/>
      <c r="M839" s="3"/>
      <c r="N839" s="3"/>
      <c r="O839" s="3"/>
      <c r="P839" s="3"/>
      <c r="Q839" s="3"/>
      <c r="R839" s="3"/>
      <c r="S839" s="3"/>
      <c r="T839" s="3"/>
      <c r="U839" s="3"/>
      <c r="V839" s="3"/>
      <c r="W839" s="3"/>
      <c r="X839" s="3"/>
      <c r="Y839" s="3"/>
      <c r="Z839" s="3"/>
    </row>
    <row r="840" spans="1:26" ht="22.5" customHeight="1" x14ac:dyDescent="0.85">
      <c r="A840" s="166"/>
      <c r="B840" s="167"/>
      <c r="C840" s="167"/>
      <c r="D840" s="147"/>
      <c r="E840" s="147"/>
      <c r="F840" s="147"/>
      <c r="G840" s="147"/>
      <c r="H840" s="147"/>
      <c r="I840" s="147"/>
      <c r="J840" s="147"/>
      <c r="K840" s="3"/>
      <c r="L840" s="3"/>
      <c r="M840" s="3"/>
      <c r="N840" s="3"/>
      <c r="O840" s="3"/>
      <c r="P840" s="3"/>
      <c r="Q840" s="3"/>
      <c r="R840" s="3"/>
      <c r="S840" s="3"/>
      <c r="T840" s="3"/>
      <c r="U840" s="3"/>
      <c r="V840" s="3"/>
      <c r="W840" s="3"/>
      <c r="X840" s="3"/>
      <c r="Y840" s="3"/>
      <c r="Z840" s="3"/>
    </row>
    <row r="841" spans="1:26" ht="22.5" customHeight="1" x14ac:dyDescent="0.85">
      <c r="A841" s="166"/>
      <c r="B841" s="167"/>
      <c r="C841" s="167"/>
      <c r="D841" s="147"/>
      <c r="E841" s="147"/>
      <c r="F841" s="147"/>
      <c r="G841" s="147"/>
      <c r="H841" s="147"/>
      <c r="I841" s="147"/>
      <c r="J841" s="147"/>
      <c r="K841" s="3"/>
      <c r="L841" s="3"/>
      <c r="M841" s="3"/>
      <c r="N841" s="3"/>
      <c r="O841" s="3"/>
      <c r="P841" s="3"/>
      <c r="Q841" s="3"/>
      <c r="R841" s="3"/>
      <c r="S841" s="3"/>
      <c r="T841" s="3"/>
      <c r="U841" s="3"/>
      <c r="V841" s="3"/>
      <c r="W841" s="3"/>
      <c r="X841" s="3"/>
      <c r="Y841" s="3"/>
      <c r="Z841" s="3"/>
    </row>
    <row r="842" spans="1:26" ht="22.5" customHeight="1" x14ac:dyDescent="0.85">
      <c r="A842" s="166"/>
      <c r="B842" s="167"/>
      <c r="C842" s="167"/>
      <c r="D842" s="147"/>
      <c r="E842" s="147"/>
      <c r="F842" s="147"/>
      <c r="G842" s="147"/>
      <c r="H842" s="147"/>
      <c r="I842" s="147"/>
      <c r="J842" s="147"/>
      <c r="K842" s="3"/>
      <c r="L842" s="3"/>
      <c r="M842" s="3"/>
      <c r="N842" s="3"/>
      <c r="O842" s="3"/>
      <c r="P842" s="3"/>
      <c r="Q842" s="3"/>
      <c r="R842" s="3"/>
      <c r="S842" s="3"/>
      <c r="T842" s="3"/>
      <c r="U842" s="3"/>
      <c r="V842" s="3"/>
      <c r="W842" s="3"/>
      <c r="X842" s="3"/>
      <c r="Y842" s="3"/>
      <c r="Z842" s="3"/>
    </row>
    <row r="843" spans="1:26" ht="22.5" customHeight="1" x14ac:dyDescent="0.85">
      <c r="A843" s="166"/>
      <c r="B843" s="167"/>
      <c r="C843" s="167"/>
      <c r="D843" s="147"/>
      <c r="E843" s="147"/>
      <c r="F843" s="147"/>
      <c r="G843" s="147"/>
      <c r="H843" s="147"/>
      <c r="I843" s="147"/>
      <c r="J843" s="147"/>
      <c r="K843" s="3"/>
      <c r="L843" s="3"/>
      <c r="M843" s="3"/>
      <c r="N843" s="3"/>
      <c r="O843" s="3"/>
      <c r="P843" s="3"/>
      <c r="Q843" s="3"/>
      <c r="R843" s="3"/>
      <c r="S843" s="3"/>
      <c r="T843" s="3"/>
      <c r="U843" s="3"/>
      <c r="V843" s="3"/>
      <c r="W843" s="3"/>
      <c r="X843" s="3"/>
      <c r="Y843" s="3"/>
      <c r="Z843" s="3"/>
    </row>
    <row r="844" spans="1:26" ht="22.5" customHeight="1" x14ac:dyDescent="0.85">
      <c r="A844" s="166"/>
      <c r="B844" s="167"/>
      <c r="C844" s="167"/>
      <c r="D844" s="147"/>
      <c r="E844" s="147"/>
      <c r="F844" s="147"/>
      <c r="G844" s="147"/>
      <c r="H844" s="147"/>
      <c r="I844" s="147"/>
      <c r="J844" s="147"/>
      <c r="K844" s="3"/>
      <c r="L844" s="3"/>
      <c r="M844" s="3"/>
      <c r="N844" s="3"/>
      <c r="O844" s="3"/>
      <c r="P844" s="3"/>
      <c r="Q844" s="3"/>
      <c r="R844" s="3"/>
      <c r="S844" s="3"/>
      <c r="T844" s="3"/>
      <c r="U844" s="3"/>
      <c r="V844" s="3"/>
      <c r="W844" s="3"/>
      <c r="X844" s="3"/>
      <c r="Y844" s="3"/>
      <c r="Z844" s="3"/>
    </row>
    <row r="845" spans="1:26" ht="22.5" customHeight="1" x14ac:dyDescent="0.85">
      <c r="A845" s="166"/>
      <c r="B845" s="167"/>
      <c r="C845" s="167"/>
      <c r="D845" s="147"/>
      <c r="E845" s="147"/>
      <c r="F845" s="147"/>
      <c r="G845" s="147"/>
      <c r="H845" s="147"/>
      <c r="I845" s="147"/>
      <c r="J845" s="147"/>
      <c r="K845" s="3"/>
      <c r="L845" s="3"/>
      <c r="M845" s="3"/>
      <c r="N845" s="3"/>
      <c r="O845" s="3"/>
      <c r="P845" s="3"/>
      <c r="Q845" s="3"/>
      <c r="R845" s="3"/>
      <c r="S845" s="3"/>
      <c r="T845" s="3"/>
      <c r="U845" s="3"/>
      <c r="V845" s="3"/>
      <c r="W845" s="3"/>
      <c r="X845" s="3"/>
      <c r="Y845" s="3"/>
      <c r="Z845" s="3"/>
    </row>
    <row r="846" spans="1:26" ht="22.5" customHeight="1" x14ac:dyDescent="0.85">
      <c r="A846" s="166"/>
      <c r="B846" s="167"/>
      <c r="C846" s="167"/>
      <c r="D846" s="147"/>
      <c r="E846" s="147"/>
      <c r="F846" s="147"/>
      <c r="G846" s="147"/>
      <c r="H846" s="147"/>
      <c r="I846" s="147"/>
      <c r="J846" s="147"/>
      <c r="K846" s="3"/>
      <c r="L846" s="3"/>
      <c r="M846" s="3"/>
      <c r="N846" s="3"/>
      <c r="O846" s="3"/>
      <c r="P846" s="3"/>
      <c r="Q846" s="3"/>
      <c r="R846" s="3"/>
      <c r="S846" s="3"/>
      <c r="T846" s="3"/>
      <c r="U846" s="3"/>
      <c r="V846" s="3"/>
      <c r="W846" s="3"/>
      <c r="X846" s="3"/>
      <c r="Y846" s="3"/>
      <c r="Z846" s="3"/>
    </row>
    <row r="847" spans="1:26" ht="22.5" customHeight="1" x14ac:dyDescent="0.85">
      <c r="A847" s="166"/>
      <c r="B847" s="167"/>
      <c r="C847" s="167"/>
      <c r="D847" s="147"/>
      <c r="E847" s="147"/>
      <c r="F847" s="147"/>
      <c r="G847" s="147"/>
      <c r="H847" s="147"/>
      <c r="I847" s="147"/>
      <c r="J847" s="147"/>
      <c r="K847" s="3"/>
      <c r="L847" s="3"/>
      <c r="M847" s="3"/>
      <c r="N847" s="3"/>
      <c r="O847" s="3"/>
      <c r="P847" s="3"/>
      <c r="Q847" s="3"/>
      <c r="R847" s="3"/>
      <c r="S847" s="3"/>
      <c r="T847" s="3"/>
      <c r="U847" s="3"/>
      <c r="V847" s="3"/>
      <c r="W847" s="3"/>
      <c r="X847" s="3"/>
      <c r="Y847" s="3"/>
      <c r="Z847" s="3"/>
    </row>
    <row r="848" spans="1:26" ht="22.5" customHeight="1" x14ac:dyDescent="0.85">
      <c r="A848" s="166"/>
      <c r="B848" s="167"/>
      <c r="C848" s="167"/>
      <c r="D848" s="147"/>
      <c r="E848" s="147"/>
      <c r="F848" s="147"/>
      <c r="G848" s="147"/>
      <c r="H848" s="147"/>
      <c r="I848" s="147"/>
      <c r="J848" s="147"/>
      <c r="K848" s="3"/>
      <c r="L848" s="3"/>
      <c r="M848" s="3"/>
      <c r="N848" s="3"/>
      <c r="O848" s="3"/>
      <c r="P848" s="3"/>
      <c r="Q848" s="3"/>
      <c r="R848" s="3"/>
      <c r="S848" s="3"/>
      <c r="T848" s="3"/>
      <c r="U848" s="3"/>
      <c r="V848" s="3"/>
      <c r="W848" s="3"/>
      <c r="X848" s="3"/>
      <c r="Y848" s="3"/>
      <c r="Z848" s="3"/>
    </row>
    <row r="849" spans="1:26" ht="22.5" customHeight="1" x14ac:dyDescent="0.85">
      <c r="A849" s="166"/>
      <c r="B849" s="167"/>
      <c r="C849" s="167"/>
      <c r="D849" s="147"/>
      <c r="E849" s="147"/>
      <c r="F849" s="147"/>
      <c r="G849" s="147"/>
      <c r="H849" s="147"/>
      <c r="I849" s="147"/>
      <c r="J849" s="147"/>
      <c r="K849" s="3"/>
      <c r="L849" s="3"/>
      <c r="M849" s="3"/>
      <c r="N849" s="3"/>
      <c r="O849" s="3"/>
      <c r="P849" s="3"/>
      <c r="Q849" s="3"/>
      <c r="R849" s="3"/>
      <c r="S849" s="3"/>
      <c r="T849" s="3"/>
      <c r="U849" s="3"/>
      <c r="V849" s="3"/>
      <c r="W849" s="3"/>
      <c r="X849" s="3"/>
      <c r="Y849" s="3"/>
      <c r="Z849" s="3"/>
    </row>
    <row r="850" spans="1:26" ht="22.5" customHeight="1" x14ac:dyDescent="0.85">
      <c r="A850" s="166"/>
      <c r="B850" s="167"/>
      <c r="C850" s="167"/>
      <c r="D850" s="147"/>
      <c r="E850" s="147"/>
      <c r="F850" s="147"/>
      <c r="G850" s="147"/>
      <c r="H850" s="147"/>
      <c r="I850" s="147"/>
      <c r="J850" s="147"/>
      <c r="K850" s="3"/>
      <c r="L850" s="3"/>
      <c r="M850" s="3"/>
      <c r="N850" s="3"/>
      <c r="O850" s="3"/>
      <c r="P850" s="3"/>
      <c r="Q850" s="3"/>
      <c r="R850" s="3"/>
      <c r="S850" s="3"/>
      <c r="T850" s="3"/>
      <c r="U850" s="3"/>
      <c r="V850" s="3"/>
      <c r="W850" s="3"/>
      <c r="X850" s="3"/>
      <c r="Y850" s="3"/>
      <c r="Z850" s="3"/>
    </row>
    <row r="851" spans="1:26" ht="22.5" customHeight="1" x14ac:dyDescent="0.85">
      <c r="A851" s="166"/>
      <c r="B851" s="167"/>
      <c r="C851" s="167"/>
      <c r="D851" s="147"/>
      <c r="E851" s="147"/>
      <c r="F851" s="147"/>
      <c r="G851" s="147"/>
      <c r="H851" s="147"/>
      <c r="I851" s="147"/>
      <c r="J851" s="147"/>
      <c r="K851" s="3"/>
      <c r="L851" s="3"/>
      <c r="M851" s="3"/>
      <c r="N851" s="3"/>
      <c r="O851" s="3"/>
      <c r="P851" s="3"/>
      <c r="Q851" s="3"/>
      <c r="R851" s="3"/>
      <c r="S851" s="3"/>
      <c r="T851" s="3"/>
      <c r="U851" s="3"/>
      <c r="V851" s="3"/>
      <c r="W851" s="3"/>
      <c r="X851" s="3"/>
      <c r="Y851" s="3"/>
      <c r="Z851" s="3"/>
    </row>
    <row r="852" spans="1:26" ht="22.5" customHeight="1" x14ac:dyDescent="0.85">
      <c r="A852" s="166"/>
      <c r="B852" s="167"/>
      <c r="C852" s="167"/>
      <c r="D852" s="147"/>
      <c r="E852" s="147"/>
      <c r="F852" s="147"/>
      <c r="G852" s="147"/>
      <c r="H852" s="147"/>
      <c r="I852" s="147"/>
      <c r="J852" s="147"/>
      <c r="K852" s="3"/>
      <c r="L852" s="3"/>
      <c r="M852" s="3"/>
      <c r="N852" s="3"/>
      <c r="O852" s="3"/>
      <c r="P852" s="3"/>
      <c r="Q852" s="3"/>
      <c r="R852" s="3"/>
      <c r="S852" s="3"/>
      <c r="T852" s="3"/>
      <c r="U852" s="3"/>
      <c r="V852" s="3"/>
      <c r="W852" s="3"/>
      <c r="X852" s="3"/>
      <c r="Y852" s="3"/>
      <c r="Z852" s="3"/>
    </row>
    <row r="853" spans="1:26" ht="22.5" customHeight="1" x14ac:dyDescent="0.85">
      <c r="A853" s="166"/>
      <c r="B853" s="167"/>
      <c r="C853" s="167"/>
      <c r="D853" s="147"/>
      <c r="E853" s="147"/>
      <c r="F853" s="147"/>
      <c r="G853" s="147"/>
      <c r="H853" s="147"/>
      <c r="I853" s="147"/>
      <c r="J853" s="147"/>
      <c r="K853" s="3"/>
      <c r="L853" s="3"/>
      <c r="M853" s="3"/>
      <c r="N853" s="3"/>
      <c r="O853" s="3"/>
      <c r="P853" s="3"/>
      <c r="Q853" s="3"/>
      <c r="R853" s="3"/>
      <c r="S853" s="3"/>
      <c r="T853" s="3"/>
      <c r="U853" s="3"/>
      <c r="V853" s="3"/>
      <c r="W853" s="3"/>
      <c r="X853" s="3"/>
      <c r="Y853" s="3"/>
      <c r="Z853" s="3"/>
    </row>
    <row r="854" spans="1:26" ht="22.5" customHeight="1" x14ac:dyDescent="0.85">
      <c r="A854" s="166"/>
      <c r="B854" s="167"/>
      <c r="C854" s="167"/>
      <c r="D854" s="147"/>
      <c r="E854" s="147"/>
      <c r="F854" s="147"/>
      <c r="G854" s="147"/>
      <c r="H854" s="147"/>
      <c r="I854" s="147"/>
      <c r="J854" s="147"/>
      <c r="K854" s="3"/>
      <c r="L854" s="3"/>
      <c r="M854" s="3"/>
      <c r="N854" s="3"/>
      <c r="O854" s="3"/>
      <c r="P854" s="3"/>
      <c r="Q854" s="3"/>
      <c r="R854" s="3"/>
      <c r="S854" s="3"/>
      <c r="T854" s="3"/>
      <c r="U854" s="3"/>
      <c r="V854" s="3"/>
      <c r="W854" s="3"/>
      <c r="X854" s="3"/>
      <c r="Y854" s="3"/>
      <c r="Z854" s="3"/>
    </row>
    <row r="855" spans="1:26" ht="22.5" customHeight="1" x14ac:dyDescent="0.85">
      <c r="A855" s="166"/>
      <c r="B855" s="167"/>
      <c r="C855" s="167"/>
      <c r="D855" s="147"/>
      <c r="E855" s="147"/>
      <c r="F855" s="147"/>
      <c r="G855" s="147"/>
      <c r="H855" s="147"/>
      <c r="I855" s="147"/>
      <c r="J855" s="147"/>
      <c r="K855" s="3"/>
      <c r="L855" s="3"/>
      <c r="M855" s="3"/>
      <c r="N855" s="3"/>
      <c r="O855" s="3"/>
      <c r="P855" s="3"/>
      <c r="Q855" s="3"/>
      <c r="R855" s="3"/>
      <c r="S855" s="3"/>
      <c r="T855" s="3"/>
      <c r="U855" s="3"/>
      <c r="V855" s="3"/>
      <c r="W855" s="3"/>
      <c r="X855" s="3"/>
      <c r="Y855" s="3"/>
      <c r="Z855" s="3"/>
    </row>
    <row r="856" spans="1:26" ht="22.5" customHeight="1" x14ac:dyDescent="0.85">
      <c r="A856" s="166"/>
      <c r="B856" s="167"/>
      <c r="C856" s="167"/>
      <c r="D856" s="147"/>
      <c r="E856" s="147"/>
      <c r="F856" s="147"/>
      <c r="G856" s="147"/>
      <c r="H856" s="147"/>
      <c r="I856" s="147"/>
      <c r="J856" s="147"/>
      <c r="K856" s="3"/>
      <c r="L856" s="3"/>
      <c r="M856" s="3"/>
      <c r="N856" s="3"/>
      <c r="O856" s="3"/>
      <c r="P856" s="3"/>
      <c r="Q856" s="3"/>
      <c r="R856" s="3"/>
      <c r="S856" s="3"/>
      <c r="T856" s="3"/>
      <c r="U856" s="3"/>
      <c r="V856" s="3"/>
      <c r="W856" s="3"/>
      <c r="X856" s="3"/>
      <c r="Y856" s="3"/>
      <c r="Z856" s="3"/>
    </row>
    <row r="857" spans="1:26" ht="22.5" customHeight="1" x14ac:dyDescent="0.85">
      <c r="A857" s="166"/>
      <c r="B857" s="167"/>
      <c r="C857" s="167"/>
      <c r="D857" s="147"/>
      <c r="E857" s="147"/>
      <c r="F857" s="147"/>
      <c r="G857" s="147"/>
      <c r="H857" s="147"/>
      <c r="I857" s="147"/>
      <c r="J857" s="147"/>
      <c r="K857" s="3"/>
      <c r="L857" s="3"/>
      <c r="M857" s="3"/>
      <c r="N857" s="3"/>
      <c r="O857" s="3"/>
      <c r="P857" s="3"/>
      <c r="Q857" s="3"/>
      <c r="R857" s="3"/>
      <c r="S857" s="3"/>
      <c r="T857" s="3"/>
      <c r="U857" s="3"/>
      <c r="V857" s="3"/>
      <c r="W857" s="3"/>
      <c r="X857" s="3"/>
      <c r="Y857" s="3"/>
      <c r="Z857" s="3"/>
    </row>
    <row r="858" spans="1:26" ht="22.5" customHeight="1" x14ac:dyDescent="0.85">
      <c r="A858" s="166"/>
      <c r="B858" s="167"/>
      <c r="C858" s="167"/>
      <c r="D858" s="147"/>
      <c r="E858" s="147"/>
      <c r="F858" s="147"/>
      <c r="G858" s="147"/>
      <c r="H858" s="147"/>
      <c r="I858" s="147"/>
      <c r="J858" s="147"/>
      <c r="K858" s="3"/>
      <c r="L858" s="3"/>
      <c r="M858" s="3"/>
      <c r="N858" s="3"/>
      <c r="O858" s="3"/>
      <c r="P858" s="3"/>
      <c r="Q858" s="3"/>
      <c r="R858" s="3"/>
      <c r="S858" s="3"/>
      <c r="T858" s="3"/>
      <c r="U858" s="3"/>
      <c r="V858" s="3"/>
      <c r="W858" s="3"/>
      <c r="X858" s="3"/>
      <c r="Y858" s="3"/>
      <c r="Z858" s="3"/>
    </row>
    <row r="859" spans="1:26" ht="22.5" customHeight="1" x14ac:dyDescent="0.85">
      <c r="A859" s="166"/>
      <c r="B859" s="167"/>
      <c r="C859" s="167"/>
      <c r="D859" s="147"/>
      <c r="E859" s="147"/>
      <c r="F859" s="147"/>
      <c r="G859" s="147"/>
      <c r="H859" s="147"/>
      <c r="I859" s="147"/>
      <c r="J859" s="147"/>
      <c r="K859" s="3"/>
      <c r="L859" s="3"/>
      <c r="M859" s="3"/>
      <c r="N859" s="3"/>
      <c r="O859" s="3"/>
      <c r="P859" s="3"/>
      <c r="Q859" s="3"/>
      <c r="R859" s="3"/>
      <c r="S859" s="3"/>
      <c r="T859" s="3"/>
      <c r="U859" s="3"/>
      <c r="V859" s="3"/>
      <c r="W859" s="3"/>
      <c r="X859" s="3"/>
      <c r="Y859" s="3"/>
      <c r="Z859" s="3"/>
    </row>
    <row r="860" spans="1:26" ht="22.5" customHeight="1" x14ac:dyDescent="0.85">
      <c r="A860" s="166"/>
      <c r="B860" s="167"/>
      <c r="C860" s="167"/>
      <c r="D860" s="147"/>
      <c r="E860" s="147"/>
      <c r="F860" s="147"/>
      <c r="G860" s="147"/>
      <c r="H860" s="147"/>
      <c r="I860" s="147"/>
      <c r="J860" s="147"/>
      <c r="K860" s="3"/>
      <c r="L860" s="3"/>
      <c r="M860" s="3"/>
      <c r="N860" s="3"/>
      <c r="O860" s="3"/>
      <c r="P860" s="3"/>
      <c r="Q860" s="3"/>
      <c r="R860" s="3"/>
      <c r="S860" s="3"/>
      <c r="T860" s="3"/>
      <c r="U860" s="3"/>
      <c r="V860" s="3"/>
      <c r="W860" s="3"/>
      <c r="X860" s="3"/>
      <c r="Y860" s="3"/>
      <c r="Z860" s="3"/>
    </row>
    <row r="861" spans="1:26" ht="22.5" customHeight="1" x14ac:dyDescent="0.85">
      <c r="A861" s="166"/>
      <c r="B861" s="167"/>
      <c r="C861" s="167"/>
      <c r="D861" s="147"/>
      <c r="E861" s="147"/>
      <c r="F861" s="147"/>
      <c r="G861" s="147"/>
      <c r="H861" s="147"/>
      <c r="I861" s="147"/>
      <c r="J861" s="147"/>
      <c r="K861" s="3"/>
      <c r="L861" s="3"/>
      <c r="M861" s="3"/>
      <c r="N861" s="3"/>
      <c r="O861" s="3"/>
      <c r="P861" s="3"/>
      <c r="Q861" s="3"/>
      <c r="R861" s="3"/>
      <c r="S861" s="3"/>
      <c r="T861" s="3"/>
      <c r="U861" s="3"/>
      <c r="V861" s="3"/>
      <c r="W861" s="3"/>
      <c r="X861" s="3"/>
      <c r="Y861" s="3"/>
      <c r="Z861" s="3"/>
    </row>
    <row r="862" spans="1:26" ht="22.5" customHeight="1" x14ac:dyDescent="0.85">
      <c r="A862" s="166"/>
      <c r="B862" s="167"/>
      <c r="C862" s="167"/>
      <c r="D862" s="147"/>
      <c r="E862" s="147"/>
      <c r="F862" s="147"/>
      <c r="G862" s="147"/>
      <c r="H862" s="147"/>
      <c r="I862" s="147"/>
      <c r="J862" s="147"/>
      <c r="K862" s="3"/>
      <c r="L862" s="3"/>
      <c r="M862" s="3"/>
      <c r="N862" s="3"/>
      <c r="O862" s="3"/>
      <c r="P862" s="3"/>
      <c r="Q862" s="3"/>
      <c r="R862" s="3"/>
      <c r="S862" s="3"/>
      <c r="T862" s="3"/>
      <c r="U862" s="3"/>
      <c r="V862" s="3"/>
      <c r="W862" s="3"/>
      <c r="X862" s="3"/>
      <c r="Y862" s="3"/>
      <c r="Z862" s="3"/>
    </row>
    <row r="863" spans="1:26" ht="22.5" customHeight="1" x14ac:dyDescent="0.85">
      <c r="A863" s="166"/>
      <c r="B863" s="167"/>
      <c r="C863" s="167"/>
      <c r="D863" s="147"/>
      <c r="E863" s="147"/>
      <c r="F863" s="147"/>
      <c r="G863" s="147"/>
      <c r="H863" s="147"/>
      <c r="I863" s="147"/>
      <c r="J863" s="147"/>
      <c r="K863" s="3"/>
      <c r="L863" s="3"/>
      <c r="M863" s="3"/>
      <c r="N863" s="3"/>
      <c r="O863" s="3"/>
      <c r="P863" s="3"/>
      <c r="Q863" s="3"/>
      <c r="R863" s="3"/>
      <c r="S863" s="3"/>
      <c r="T863" s="3"/>
      <c r="U863" s="3"/>
      <c r="V863" s="3"/>
      <c r="W863" s="3"/>
      <c r="X863" s="3"/>
      <c r="Y863" s="3"/>
      <c r="Z863" s="3"/>
    </row>
    <row r="864" spans="1:26" ht="22.5" customHeight="1" x14ac:dyDescent="0.85">
      <c r="A864" s="166"/>
      <c r="B864" s="167"/>
      <c r="C864" s="167"/>
      <c r="D864" s="147"/>
      <c r="E864" s="147"/>
      <c r="F864" s="147"/>
      <c r="G864" s="147"/>
      <c r="H864" s="147"/>
      <c r="I864" s="147"/>
      <c r="J864" s="147"/>
      <c r="K864" s="3"/>
      <c r="L864" s="3"/>
      <c r="M864" s="3"/>
      <c r="N864" s="3"/>
      <c r="O864" s="3"/>
      <c r="P864" s="3"/>
      <c r="Q864" s="3"/>
      <c r="R864" s="3"/>
      <c r="S864" s="3"/>
      <c r="T864" s="3"/>
      <c r="U864" s="3"/>
      <c r="V864" s="3"/>
      <c r="W864" s="3"/>
      <c r="X864" s="3"/>
      <c r="Y864" s="3"/>
      <c r="Z864" s="3"/>
    </row>
    <row r="865" spans="1:26" ht="22.5" customHeight="1" x14ac:dyDescent="0.85">
      <c r="A865" s="166"/>
      <c r="B865" s="167"/>
      <c r="C865" s="167"/>
      <c r="D865" s="147"/>
      <c r="E865" s="147"/>
      <c r="F865" s="147"/>
      <c r="G865" s="147"/>
      <c r="H865" s="147"/>
      <c r="I865" s="147"/>
      <c r="J865" s="147"/>
      <c r="K865" s="3"/>
      <c r="L865" s="3"/>
      <c r="M865" s="3"/>
      <c r="N865" s="3"/>
      <c r="O865" s="3"/>
      <c r="P865" s="3"/>
      <c r="Q865" s="3"/>
      <c r="R865" s="3"/>
      <c r="S865" s="3"/>
      <c r="T865" s="3"/>
      <c r="U865" s="3"/>
      <c r="V865" s="3"/>
      <c r="W865" s="3"/>
      <c r="X865" s="3"/>
      <c r="Y865" s="3"/>
      <c r="Z865" s="3"/>
    </row>
    <row r="866" spans="1:26" ht="22.5" customHeight="1" x14ac:dyDescent="0.85">
      <c r="A866" s="166"/>
      <c r="B866" s="167"/>
      <c r="C866" s="167"/>
      <c r="D866" s="147"/>
      <c r="E866" s="147"/>
      <c r="F866" s="147"/>
      <c r="G866" s="147"/>
      <c r="H866" s="147"/>
      <c r="I866" s="147"/>
      <c r="J866" s="147"/>
      <c r="K866" s="3"/>
      <c r="L866" s="3"/>
      <c r="M866" s="3"/>
      <c r="N866" s="3"/>
      <c r="O866" s="3"/>
      <c r="P866" s="3"/>
      <c r="Q866" s="3"/>
      <c r="R866" s="3"/>
      <c r="S866" s="3"/>
      <c r="T866" s="3"/>
      <c r="U866" s="3"/>
      <c r="V866" s="3"/>
      <c r="W866" s="3"/>
      <c r="X866" s="3"/>
      <c r="Y866" s="3"/>
      <c r="Z866" s="3"/>
    </row>
    <row r="867" spans="1:26" ht="22.5" customHeight="1" x14ac:dyDescent="0.85">
      <c r="A867" s="166"/>
      <c r="B867" s="167"/>
      <c r="C867" s="167"/>
      <c r="D867" s="147"/>
      <c r="E867" s="147"/>
      <c r="F867" s="147"/>
      <c r="G867" s="147"/>
      <c r="H867" s="147"/>
      <c r="I867" s="147"/>
      <c r="J867" s="147"/>
      <c r="K867" s="3"/>
      <c r="L867" s="3"/>
      <c r="M867" s="3"/>
      <c r="N867" s="3"/>
      <c r="O867" s="3"/>
      <c r="P867" s="3"/>
      <c r="Q867" s="3"/>
      <c r="R867" s="3"/>
      <c r="S867" s="3"/>
      <c r="T867" s="3"/>
      <c r="U867" s="3"/>
      <c r="V867" s="3"/>
      <c r="W867" s="3"/>
      <c r="X867" s="3"/>
      <c r="Y867" s="3"/>
      <c r="Z867" s="3"/>
    </row>
    <row r="868" spans="1:26" ht="22.5" customHeight="1" x14ac:dyDescent="0.85">
      <c r="A868" s="166"/>
      <c r="B868" s="167"/>
      <c r="C868" s="167"/>
      <c r="D868" s="147"/>
      <c r="E868" s="147"/>
      <c r="F868" s="147"/>
      <c r="G868" s="147"/>
      <c r="H868" s="147"/>
      <c r="I868" s="147"/>
      <c r="J868" s="147"/>
      <c r="K868" s="3"/>
      <c r="L868" s="3"/>
      <c r="M868" s="3"/>
      <c r="N868" s="3"/>
      <c r="O868" s="3"/>
      <c r="P868" s="3"/>
      <c r="Q868" s="3"/>
      <c r="R868" s="3"/>
      <c r="S868" s="3"/>
      <c r="T868" s="3"/>
      <c r="U868" s="3"/>
      <c r="V868" s="3"/>
      <c r="W868" s="3"/>
      <c r="X868" s="3"/>
      <c r="Y868" s="3"/>
      <c r="Z868" s="3"/>
    </row>
    <row r="869" spans="1:26" ht="22.5" customHeight="1" x14ac:dyDescent="0.85">
      <c r="A869" s="166"/>
      <c r="B869" s="167"/>
      <c r="C869" s="167"/>
      <c r="D869" s="147"/>
      <c r="E869" s="147"/>
      <c r="F869" s="147"/>
      <c r="G869" s="147"/>
      <c r="H869" s="147"/>
      <c r="I869" s="147"/>
      <c r="J869" s="147"/>
      <c r="K869" s="3"/>
      <c r="L869" s="3"/>
      <c r="M869" s="3"/>
      <c r="N869" s="3"/>
      <c r="O869" s="3"/>
      <c r="P869" s="3"/>
      <c r="Q869" s="3"/>
      <c r="R869" s="3"/>
      <c r="S869" s="3"/>
      <c r="T869" s="3"/>
      <c r="U869" s="3"/>
      <c r="V869" s="3"/>
      <c r="W869" s="3"/>
      <c r="X869" s="3"/>
      <c r="Y869" s="3"/>
      <c r="Z869" s="3"/>
    </row>
    <row r="870" spans="1:26" ht="22.5" customHeight="1" x14ac:dyDescent="0.85">
      <c r="A870" s="166"/>
      <c r="B870" s="167"/>
      <c r="C870" s="167"/>
      <c r="D870" s="147"/>
      <c r="E870" s="147"/>
      <c r="F870" s="147"/>
      <c r="G870" s="147"/>
      <c r="H870" s="147"/>
      <c r="I870" s="147"/>
      <c r="J870" s="147"/>
      <c r="K870" s="3"/>
      <c r="L870" s="3"/>
      <c r="M870" s="3"/>
      <c r="N870" s="3"/>
      <c r="O870" s="3"/>
      <c r="P870" s="3"/>
      <c r="Q870" s="3"/>
      <c r="R870" s="3"/>
      <c r="S870" s="3"/>
      <c r="T870" s="3"/>
      <c r="U870" s="3"/>
      <c r="V870" s="3"/>
      <c r="W870" s="3"/>
      <c r="X870" s="3"/>
      <c r="Y870" s="3"/>
      <c r="Z870" s="3"/>
    </row>
    <row r="871" spans="1:26" ht="22.5" customHeight="1" x14ac:dyDescent="0.85">
      <c r="A871" s="166"/>
      <c r="B871" s="167"/>
      <c r="C871" s="167"/>
      <c r="D871" s="147"/>
      <c r="E871" s="147"/>
      <c r="F871" s="147"/>
      <c r="G871" s="147"/>
      <c r="H871" s="147"/>
      <c r="I871" s="147"/>
      <c r="J871" s="147"/>
      <c r="K871" s="3"/>
      <c r="L871" s="3"/>
      <c r="M871" s="3"/>
      <c r="N871" s="3"/>
      <c r="O871" s="3"/>
      <c r="P871" s="3"/>
      <c r="Q871" s="3"/>
      <c r="R871" s="3"/>
      <c r="S871" s="3"/>
      <c r="T871" s="3"/>
      <c r="U871" s="3"/>
      <c r="V871" s="3"/>
      <c r="W871" s="3"/>
      <c r="X871" s="3"/>
      <c r="Y871" s="3"/>
      <c r="Z871" s="3"/>
    </row>
    <row r="872" spans="1:26" ht="22.5" customHeight="1" x14ac:dyDescent="0.85">
      <c r="A872" s="166"/>
      <c r="B872" s="167"/>
      <c r="C872" s="167"/>
      <c r="D872" s="147"/>
      <c r="E872" s="147"/>
      <c r="F872" s="147"/>
      <c r="G872" s="147"/>
      <c r="H872" s="147"/>
      <c r="I872" s="147"/>
      <c r="J872" s="147"/>
      <c r="K872" s="3"/>
      <c r="L872" s="3"/>
      <c r="M872" s="3"/>
      <c r="N872" s="3"/>
      <c r="O872" s="3"/>
      <c r="P872" s="3"/>
      <c r="Q872" s="3"/>
      <c r="R872" s="3"/>
      <c r="S872" s="3"/>
      <c r="T872" s="3"/>
      <c r="U872" s="3"/>
      <c r="V872" s="3"/>
      <c r="W872" s="3"/>
      <c r="X872" s="3"/>
      <c r="Y872" s="3"/>
      <c r="Z872" s="3"/>
    </row>
    <row r="873" spans="1:26" ht="22.5" customHeight="1" x14ac:dyDescent="0.85">
      <c r="A873" s="166"/>
      <c r="B873" s="167"/>
      <c r="C873" s="167"/>
      <c r="D873" s="147"/>
      <c r="E873" s="147"/>
      <c r="F873" s="147"/>
      <c r="G873" s="147"/>
      <c r="H873" s="147"/>
      <c r="I873" s="147"/>
      <c r="J873" s="147"/>
      <c r="K873" s="3"/>
      <c r="L873" s="3"/>
      <c r="M873" s="3"/>
      <c r="N873" s="3"/>
      <c r="O873" s="3"/>
      <c r="P873" s="3"/>
      <c r="Q873" s="3"/>
      <c r="R873" s="3"/>
      <c r="S873" s="3"/>
      <c r="T873" s="3"/>
      <c r="U873" s="3"/>
      <c r="V873" s="3"/>
      <c r="W873" s="3"/>
      <c r="X873" s="3"/>
      <c r="Y873" s="3"/>
      <c r="Z873" s="3"/>
    </row>
    <row r="874" spans="1:26" ht="22.5" customHeight="1" x14ac:dyDescent="0.85">
      <c r="A874" s="166"/>
      <c r="B874" s="167"/>
      <c r="C874" s="167"/>
      <c r="D874" s="147"/>
      <c r="E874" s="147"/>
      <c r="F874" s="147"/>
      <c r="G874" s="147"/>
      <c r="H874" s="147"/>
      <c r="I874" s="147"/>
      <c r="J874" s="147"/>
      <c r="K874" s="3"/>
      <c r="L874" s="3"/>
      <c r="M874" s="3"/>
      <c r="N874" s="3"/>
      <c r="O874" s="3"/>
      <c r="P874" s="3"/>
      <c r="Q874" s="3"/>
      <c r="R874" s="3"/>
      <c r="S874" s="3"/>
      <c r="T874" s="3"/>
      <c r="U874" s="3"/>
      <c r="V874" s="3"/>
      <c r="W874" s="3"/>
      <c r="X874" s="3"/>
      <c r="Y874" s="3"/>
      <c r="Z874" s="3"/>
    </row>
    <row r="875" spans="1:26" ht="22.5" customHeight="1" x14ac:dyDescent="0.85">
      <c r="A875" s="166"/>
      <c r="B875" s="167"/>
      <c r="C875" s="167"/>
      <c r="D875" s="147"/>
      <c r="E875" s="147"/>
      <c r="F875" s="147"/>
      <c r="G875" s="147"/>
      <c r="H875" s="147"/>
      <c r="I875" s="147"/>
      <c r="J875" s="147"/>
      <c r="K875" s="3"/>
      <c r="L875" s="3"/>
      <c r="M875" s="3"/>
      <c r="N875" s="3"/>
      <c r="O875" s="3"/>
      <c r="P875" s="3"/>
      <c r="Q875" s="3"/>
      <c r="R875" s="3"/>
      <c r="S875" s="3"/>
      <c r="T875" s="3"/>
      <c r="U875" s="3"/>
      <c r="V875" s="3"/>
      <c r="W875" s="3"/>
      <c r="X875" s="3"/>
      <c r="Y875" s="3"/>
      <c r="Z875" s="3"/>
    </row>
    <row r="876" spans="1:26" ht="22.5" customHeight="1" x14ac:dyDescent="0.85">
      <c r="A876" s="166"/>
      <c r="B876" s="167"/>
      <c r="C876" s="167"/>
      <c r="D876" s="147"/>
      <c r="E876" s="147"/>
      <c r="F876" s="147"/>
      <c r="G876" s="147"/>
      <c r="H876" s="147"/>
      <c r="I876" s="147"/>
      <c r="J876" s="147"/>
      <c r="K876" s="3"/>
      <c r="L876" s="3"/>
      <c r="M876" s="3"/>
      <c r="N876" s="3"/>
      <c r="O876" s="3"/>
      <c r="P876" s="3"/>
      <c r="Q876" s="3"/>
      <c r="R876" s="3"/>
      <c r="S876" s="3"/>
      <c r="T876" s="3"/>
      <c r="U876" s="3"/>
      <c r="V876" s="3"/>
      <c r="W876" s="3"/>
      <c r="X876" s="3"/>
      <c r="Y876" s="3"/>
      <c r="Z876" s="3"/>
    </row>
    <row r="877" spans="1:26" ht="22.5" customHeight="1" x14ac:dyDescent="0.85">
      <c r="A877" s="166"/>
      <c r="B877" s="167"/>
      <c r="C877" s="167"/>
      <c r="D877" s="147"/>
      <c r="E877" s="147"/>
      <c r="F877" s="147"/>
      <c r="G877" s="147"/>
      <c r="H877" s="147"/>
      <c r="I877" s="147"/>
      <c r="J877" s="147"/>
      <c r="K877" s="3"/>
      <c r="L877" s="3"/>
      <c r="M877" s="3"/>
      <c r="N877" s="3"/>
      <c r="O877" s="3"/>
      <c r="P877" s="3"/>
      <c r="Q877" s="3"/>
      <c r="R877" s="3"/>
      <c r="S877" s="3"/>
      <c r="T877" s="3"/>
      <c r="U877" s="3"/>
      <c r="V877" s="3"/>
      <c r="W877" s="3"/>
      <c r="X877" s="3"/>
      <c r="Y877" s="3"/>
      <c r="Z877" s="3"/>
    </row>
    <row r="878" spans="1:26" ht="22.5" customHeight="1" x14ac:dyDescent="0.85">
      <c r="A878" s="166"/>
      <c r="B878" s="167"/>
      <c r="C878" s="167"/>
      <c r="D878" s="147"/>
      <c r="E878" s="147"/>
      <c r="F878" s="147"/>
      <c r="G878" s="147"/>
      <c r="H878" s="147"/>
      <c r="I878" s="147"/>
      <c r="J878" s="147"/>
      <c r="K878" s="3"/>
      <c r="L878" s="3"/>
      <c r="M878" s="3"/>
      <c r="N878" s="3"/>
      <c r="O878" s="3"/>
      <c r="P878" s="3"/>
      <c r="Q878" s="3"/>
      <c r="R878" s="3"/>
      <c r="S878" s="3"/>
      <c r="T878" s="3"/>
      <c r="U878" s="3"/>
      <c r="V878" s="3"/>
      <c r="W878" s="3"/>
      <c r="X878" s="3"/>
      <c r="Y878" s="3"/>
      <c r="Z878" s="3"/>
    </row>
    <row r="879" spans="1:26" ht="22.5" customHeight="1" x14ac:dyDescent="0.85">
      <c r="A879" s="166"/>
      <c r="B879" s="167"/>
      <c r="C879" s="167"/>
      <c r="D879" s="147"/>
      <c r="E879" s="147"/>
      <c r="F879" s="147"/>
      <c r="G879" s="147"/>
      <c r="H879" s="147"/>
      <c r="I879" s="147"/>
      <c r="J879" s="147"/>
      <c r="K879" s="3"/>
      <c r="L879" s="3"/>
      <c r="M879" s="3"/>
      <c r="N879" s="3"/>
      <c r="O879" s="3"/>
      <c r="P879" s="3"/>
      <c r="Q879" s="3"/>
      <c r="R879" s="3"/>
      <c r="S879" s="3"/>
      <c r="T879" s="3"/>
      <c r="U879" s="3"/>
      <c r="V879" s="3"/>
      <c r="W879" s="3"/>
      <c r="X879" s="3"/>
      <c r="Y879" s="3"/>
      <c r="Z879" s="3"/>
    </row>
    <row r="880" spans="1:26" ht="22.5" customHeight="1" x14ac:dyDescent="0.85">
      <c r="A880" s="166"/>
      <c r="B880" s="167"/>
      <c r="C880" s="167"/>
      <c r="D880" s="147"/>
      <c r="E880" s="147"/>
      <c r="F880" s="147"/>
      <c r="G880" s="147"/>
      <c r="H880" s="147"/>
      <c r="I880" s="147"/>
      <c r="J880" s="147"/>
      <c r="K880" s="3"/>
      <c r="L880" s="3"/>
      <c r="M880" s="3"/>
      <c r="N880" s="3"/>
      <c r="O880" s="3"/>
      <c r="P880" s="3"/>
      <c r="Q880" s="3"/>
      <c r="R880" s="3"/>
      <c r="S880" s="3"/>
      <c r="T880" s="3"/>
      <c r="U880" s="3"/>
      <c r="V880" s="3"/>
      <c r="W880" s="3"/>
      <c r="X880" s="3"/>
      <c r="Y880" s="3"/>
      <c r="Z880" s="3"/>
    </row>
    <row r="881" spans="1:26" ht="22.5" customHeight="1" x14ac:dyDescent="0.85">
      <c r="A881" s="166"/>
      <c r="B881" s="167"/>
      <c r="C881" s="167"/>
      <c r="D881" s="147"/>
      <c r="E881" s="147"/>
      <c r="F881" s="147"/>
      <c r="G881" s="147"/>
      <c r="H881" s="147"/>
      <c r="I881" s="147"/>
      <c r="J881" s="147"/>
      <c r="K881" s="3"/>
      <c r="L881" s="3"/>
      <c r="M881" s="3"/>
      <c r="N881" s="3"/>
      <c r="O881" s="3"/>
      <c r="P881" s="3"/>
      <c r="Q881" s="3"/>
      <c r="R881" s="3"/>
      <c r="S881" s="3"/>
      <c r="T881" s="3"/>
      <c r="U881" s="3"/>
      <c r="V881" s="3"/>
      <c r="W881" s="3"/>
      <c r="X881" s="3"/>
      <c r="Y881" s="3"/>
      <c r="Z881" s="3"/>
    </row>
    <row r="882" spans="1:26" ht="22.5" customHeight="1" x14ac:dyDescent="0.85">
      <c r="A882" s="166"/>
      <c r="B882" s="167"/>
      <c r="C882" s="167"/>
      <c r="D882" s="147"/>
      <c r="E882" s="147"/>
      <c r="F882" s="147"/>
      <c r="G882" s="147"/>
      <c r="H882" s="147"/>
      <c r="I882" s="147"/>
      <c r="J882" s="147"/>
      <c r="K882" s="3"/>
      <c r="L882" s="3"/>
      <c r="M882" s="3"/>
      <c r="N882" s="3"/>
      <c r="O882" s="3"/>
      <c r="P882" s="3"/>
      <c r="Q882" s="3"/>
      <c r="R882" s="3"/>
      <c r="S882" s="3"/>
      <c r="T882" s="3"/>
      <c r="U882" s="3"/>
      <c r="V882" s="3"/>
      <c r="W882" s="3"/>
      <c r="X882" s="3"/>
      <c r="Y882" s="3"/>
      <c r="Z882" s="3"/>
    </row>
    <row r="883" spans="1:26" ht="22.5" customHeight="1" x14ac:dyDescent="0.85">
      <c r="A883" s="166"/>
      <c r="B883" s="167"/>
      <c r="C883" s="167"/>
      <c r="D883" s="147"/>
      <c r="E883" s="147"/>
      <c r="F883" s="147"/>
      <c r="G883" s="147"/>
      <c r="H883" s="147"/>
      <c r="I883" s="147"/>
      <c r="J883" s="147"/>
      <c r="K883" s="3"/>
      <c r="L883" s="3"/>
      <c r="M883" s="3"/>
      <c r="N883" s="3"/>
      <c r="O883" s="3"/>
      <c r="P883" s="3"/>
      <c r="Q883" s="3"/>
      <c r="R883" s="3"/>
      <c r="S883" s="3"/>
      <c r="T883" s="3"/>
      <c r="U883" s="3"/>
      <c r="V883" s="3"/>
      <c r="W883" s="3"/>
      <c r="X883" s="3"/>
      <c r="Y883" s="3"/>
      <c r="Z883" s="3"/>
    </row>
    <row r="884" spans="1:26" ht="22.5" customHeight="1" x14ac:dyDescent="0.85">
      <c r="A884" s="166"/>
      <c r="B884" s="167"/>
      <c r="C884" s="167"/>
      <c r="D884" s="147"/>
      <c r="E884" s="147"/>
      <c r="F884" s="147"/>
      <c r="G884" s="147"/>
      <c r="H884" s="147"/>
      <c r="I884" s="147"/>
      <c r="J884" s="147"/>
      <c r="K884" s="3"/>
      <c r="L884" s="3"/>
      <c r="M884" s="3"/>
      <c r="N884" s="3"/>
      <c r="O884" s="3"/>
      <c r="P884" s="3"/>
      <c r="Q884" s="3"/>
      <c r="R884" s="3"/>
      <c r="S884" s="3"/>
      <c r="T884" s="3"/>
      <c r="U884" s="3"/>
      <c r="V884" s="3"/>
      <c r="W884" s="3"/>
      <c r="X884" s="3"/>
      <c r="Y884" s="3"/>
      <c r="Z884" s="3"/>
    </row>
    <row r="885" spans="1:26" ht="22.5" customHeight="1" x14ac:dyDescent="0.85">
      <c r="A885" s="166"/>
      <c r="B885" s="167"/>
      <c r="C885" s="167"/>
      <c r="D885" s="147"/>
      <c r="E885" s="147"/>
      <c r="F885" s="147"/>
      <c r="G885" s="147"/>
      <c r="H885" s="147"/>
      <c r="I885" s="147"/>
      <c r="J885" s="147"/>
      <c r="K885" s="3"/>
      <c r="L885" s="3"/>
      <c r="M885" s="3"/>
      <c r="N885" s="3"/>
      <c r="O885" s="3"/>
      <c r="P885" s="3"/>
      <c r="Q885" s="3"/>
      <c r="R885" s="3"/>
      <c r="S885" s="3"/>
      <c r="T885" s="3"/>
      <c r="U885" s="3"/>
      <c r="V885" s="3"/>
      <c r="W885" s="3"/>
      <c r="X885" s="3"/>
      <c r="Y885" s="3"/>
      <c r="Z885" s="3"/>
    </row>
    <row r="886" spans="1:26" ht="22.5" customHeight="1" x14ac:dyDescent="0.85">
      <c r="A886" s="166"/>
      <c r="B886" s="167"/>
      <c r="C886" s="167"/>
      <c r="D886" s="147"/>
      <c r="E886" s="147"/>
      <c r="F886" s="147"/>
      <c r="G886" s="147"/>
      <c r="H886" s="147"/>
      <c r="I886" s="147"/>
      <c r="J886" s="147"/>
      <c r="K886" s="3"/>
      <c r="L886" s="3"/>
      <c r="M886" s="3"/>
      <c r="N886" s="3"/>
      <c r="O886" s="3"/>
      <c r="P886" s="3"/>
      <c r="Q886" s="3"/>
      <c r="R886" s="3"/>
      <c r="S886" s="3"/>
      <c r="T886" s="3"/>
      <c r="U886" s="3"/>
      <c r="V886" s="3"/>
      <c r="W886" s="3"/>
      <c r="X886" s="3"/>
      <c r="Y886" s="3"/>
      <c r="Z886" s="3"/>
    </row>
    <row r="887" spans="1:26" ht="22.5" customHeight="1" x14ac:dyDescent="0.85">
      <c r="A887" s="166"/>
      <c r="B887" s="167"/>
      <c r="C887" s="167"/>
      <c r="D887" s="147"/>
      <c r="E887" s="147"/>
      <c r="F887" s="147"/>
      <c r="G887" s="147"/>
      <c r="H887" s="147"/>
      <c r="I887" s="147"/>
      <c r="J887" s="147"/>
      <c r="K887" s="3"/>
      <c r="L887" s="3"/>
      <c r="M887" s="3"/>
      <c r="N887" s="3"/>
      <c r="O887" s="3"/>
      <c r="P887" s="3"/>
      <c r="Q887" s="3"/>
      <c r="R887" s="3"/>
      <c r="S887" s="3"/>
      <c r="T887" s="3"/>
      <c r="U887" s="3"/>
      <c r="V887" s="3"/>
      <c r="W887" s="3"/>
      <c r="X887" s="3"/>
      <c r="Y887" s="3"/>
      <c r="Z887" s="3"/>
    </row>
    <row r="888" spans="1:26" ht="22.5" customHeight="1" x14ac:dyDescent="0.85">
      <c r="A888" s="166"/>
      <c r="B888" s="167"/>
      <c r="C888" s="167"/>
      <c r="D888" s="147"/>
      <c r="E888" s="147"/>
      <c r="F888" s="147"/>
      <c r="G888" s="147"/>
      <c r="H888" s="147"/>
      <c r="I888" s="147"/>
      <c r="J888" s="147"/>
      <c r="K888" s="3"/>
      <c r="L888" s="3"/>
      <c r="M888" s="3"/>
      <c r="N888" s="3"/>
      <c r="O888" s="3"/>
      <c r="P888" s="3"/>
      <c r="Q888" s="3"/>
      <c r="R888" s="3"/>
      <c r="S888" s="3"/>
      <c r="T888" s="3"/>
      <c r="U888" s="3"/>
      <c r="V888" s="3"/>
      <c r="W888" s="3"/>
      <c r="X888" s="3"/>
      <c r="Y888" s="3"/>
      <c r="Z888" s="3"/>
    </row>
    <row r="889" spans="1:26" ht="22.5" customHeight="1" x14ac:dyDescent="0.85">
      <c r="A889" s="166"/>
      <c r="B889" s="167"/>
      <c r="C889" s="167"/>
      <c r="D889" s="147"/>
      <c r="E889" s="147"/>
      <c r="F889" s="147"/>
      <c r="G889" s="147"/>
      <c r="H889" s="147"/>
      <c r="I889" s="147"/>
      <c r="J889" s="147"/>
      <c r="K889" s="3"/>
      <c r="L889" s="3"/>
      <c r="M889" s="3"/>
      <c r="N889" s="3"/>
      <c r="O889" s="3"/>
      <c r="P889" s="3"/>
      <c r="Q889" s="3"/>
      <c r="R889" s="3"/>
      <c r="S889" s="3"/>
      <c r="T889" s="3"/>
      <c r="U889" s="3"/>
      <c r="V889" s="3"/>
      <c r="W889" s="3"/>
      <c r="X889" s="3"/>
      <c r="Y889" s="3"/>
      <c r="Z889" s="3"/>
    </row>
    <row r="890" spans="1:26" ht="22.5" customHeight="1" x14ac:dyDescent="0.85">
      <c r="A890" s="166"/>
      <c r="B890" s="167"/>
      <c r="C890" s="167"/>
      <c r="D890" s="147"/>
      <c r="E890" s="147"/>
      <c r="F890" s="147"/>
      <c r="G890" s="147"/>
      <c r="H890" s="147"/>
      <c r="I890" s="147"/>
      <c r="J890" s="147"/>
      <c r="K890" s="3"/>
      <c r="L890" s="3"/>
      <c r="M890" s="3"/>
      <c r="N890" s="3"/>
      <c r="O890" s="3"/>
      <c r="P890" s="3"/>
      <c r="Q890" s="3"/>
      <c r="R890" s="3"/>
      <c r="S890" s="3"/>
      <c r="T890" s="3"/>
      <c r="U890" s="3"/>
      <c r="V890" s="3"/>
      <c r="W890" s="3"/>
      <c r="X890" s="3"/>
      <c r="Y890" s="3"/>
      <c r="Z890" s="3"/>
    </row>
    <row r="891" spans="1:26" ht="22.5" customHeight="1" x14ac:dyDescent="0.85">
      <c r="A891" s="166"/>
      <c r="B891" s="167"/>
      <c r="C891" s="167"/>
      <c r="D891" s="147"/>
      <c r="E891" s="147"/>
      <c r="F891" s="147"/>
      <c r="G891" s="147"/>
      <c r="H891" s="147"/>
      <c r="I891" s="147"/>
      <c r="J891" s="147"/>
      <c r="K891" s="3"/>
      <c r="L891" s="3"/>
      <c r="M891" s="3"/>
      <c r="N891" s="3"/>
      <c r="O891" s="3"/>
      <c r="P891" s="3"/>
      <c r="Q891" s="3"/>
      <c r="R891" s="3"/>
      <c r="S891" s="3"/>
      <c r="T891" s="3"/>
      <c r="U891" s="3"/>
      <c r="V891" s="3"/>
      <c r="W891" s="3"/>
      <c r="X891" s="3"/>
      <c r="Y891" s="3"/>
      <c r="Z891" s="3"/>
    </row>
    <row r="892" spans="1:26" ht="22.5" customHeight="1" x14ac:dyDescent="0.85">
      <c r="A892" s="166"/>
      <c r="B892" s="167"/>
      <c r="C892" s="167"/>
      <c r="D892" s="147"/>
      <c r="E892" s="147"/>
      <c r="F892" s="147"/>
      <c r="G892" s="147"/>
      <c r="H892" s="147"/>
      <c r="I892" s="147"/>
      <c r="J892" s="147"/>
      <c r="K892" s="3"/>
      <c r="L892" s="3"/>
      <c r="M892" s="3"/>
      <c r="N892" s="3"/>
      <c r="O892" s="3"/>
      <c r="P892" s="3"/>
      <c r="Q892" s="3"/>
      <c r="R892" s="3"/>
      <c r="S892" s="3"/>
      <c r="T892" s="3"/>
      <c r="U892" s="3"/>
      <c r="V892" s="3"/>
      <c r="W892" s="3"/>
      <c r="X892" s="3"/>
      <c r="Y892" s="3"/>
      <c r="Z892" s="3"/>
    </row>
    <row r="893" spans="1:26" ht="22.5" customHeight="1" x14ac:dyDescent="0.85">
      <c r="A893" s="166"/>
      <c r="B893" s="167"/>
      <c r="C893" s="167"/>
      <c r="D893" s="147"/>
      <c r="E893" s="147"/>
      <c r="F893" s="147"/>
      <c r="G893" s="147"/>
      <c r="H893" s="147"/>
      <c r="I893" s="147"/>
      <c r="J893" s="147"/>
      <c r="K893" s="3"/>
      <c r="L893" s="3"/>
      <c r="M893" s="3"/>
      <c r="N893" s="3"/>
      <c r="O893" s="3"/>
      <c r="P893" s="3"/>
      <c r="Q893" s="3"/>
      <c r="R893" s="3"/>
      <c r="S893" s="3"/>
      <c r="T893" s="3"/>
      <c r="U893" s="3"/>
      <c r="V893" s="3"/>
      <c r="W893" s="3"/>
      <c r="X893" s="3"/>
      <c r="Y893" s="3"/>
      <c r="Z893" s="3"/>
    </row>
    <row r="894" spans="1:26" ht="22.5" customHeight="1" x14ac:dyDescent="0.85">
      <c r="A894" s="166"/>
      <c r="B894" s="167"/>
      <c r="C894" s="167"/>
      <c r="D894" s="147"/>
      <c r="E894" s="147"/>
      <c r="F894" s="147"/>
      <c r="G894" s="147"/>
      <c r="H894" s="147"/>
      <c r="I894" s="147"/>
      <c r="J894" s="147"/>
      <c r="K894" s="3"/>
      <c r="L894" s="3"/>
      <c r="M894" s="3"/>
      <c r="N894" s="3"/>
      <c r="O894" s="3"/>
      <c r="P894" s="3"/>
      <c r="Q894" s="3"/>
      <c r="R894" s="3"/>
      <c r="S894" s="3"/>
      <c r="T894" s="3"/>
      <c r="U894" s="3"/>
      <c r="V894" s="3"/>
      <c r="W894" s="3"/>
      <c r="X894" s="3"/>
      <c r="Y894" s="3"/>
      <c r="Z894" s="3"/>
    </row>
    <row r="895" spans="1:26" ht="22.5" customHeight="1" x14ac:dyDescent="0.85">
      <c r="A895" s="166"/>
      <c r="B895" s="167"/>
      <c r="C895" s="167"/>
      <c r="D895" s="147"/>
      <c r="E895" s="147"/>
      <c r="F895" s="147"/>
      <c r="G895" s="147"/>
      <c r="H895" s="147"/>
      <c r="I895" s="147"/>
      <c r="J895" s="147"/>
      <c r="K895" s="3"/>
      <c r="L895" s="3"/>
      <c r="M895" s="3"/>
      <c r="N895" s="3"/>
      <c r="O895" s="3"/>
      <c r="P895" s="3"/>
      <c r="Q895" s="3"/>
      <c r="R895" s="3"/>
      <c r="S895" s="3"/>
      <c r="T895" s="3"/>
      <c r="U895" s="3"/>
      <c r="V895" s="3"/>
      <c r="W895" s="3"/>
      <c r="X895" s="3"/>
      <c r="Y895" s="3"/>
      <c r="Z895" s="3"/>
    </row>
    <row r="896" spans="1:26" ht="22.5" customHeight="1" x14ac:dyDescent="0.85">
      <c r="A896" s="166"/>
      <c r="B896" s="167"/>
      <c r="C896" s="167"/>
      <c r="D896" s="147"/>
      <c r="E896" s="147"/>
      <c r="F896" s="147"/>
      <c r="G896" s="147"/>
      <c r="H896" s="147"/>
      <c r="I896" s="147"/>
      <c r="J896" s="147"/>
      <c r="K896" s="3"/>
      <c r="L896" s="3"/>
      <c r="M896" s="3"/>
      <c r="N896" s="3"/>
      <c r="O896" s="3"/>
      <c r="P896" s="3"/>
      <c r="Q896" s="3"/>
      <c r="R896" s="3"/>
      <c r="S896" s="3"/>
      <c r="T896" s="3"/>
      <c r="U896" s="3"/>
      <c r="V896" s="3"/>
      <c r="W896" s="3"/>
      <c r="X896" s="3"/>
      <c r="Y896" s="3"/>
      <c r="Z896" s="3"/>
    </row>
    <row r="897" spans="1:26" ht="22.5" customHeight="1" x14ac:dyDescent="0.85">
      <c r="A897" s="166"/>
      <c r="B897" s="167"/>
      <c r="C897" s="167"/>
      <c r="D897" s="147"/>
      <c r="E897" s="147"/>
      <c r="F897" s="147"/>
      <c r="G897" s="147"/>
      <c r="H897" s="147"/>
      <c r="I897" s="147"/>
      <c r="J897" s="147"/>
      <c r="K897" s="3"/>
      <c r="L897" s="3"/>
      <c r="M897" s="3"/>
      <c r="N897" s="3"/>
      <c r="O897" s="3"/>
      <c r="P897" s="3"/>
      <c r="Q897" s="3"/>
      <c r="R897" s="3"/>
      <c r="S897" s="3"/>
      <c r="T897" s="3"/>
      <c r="U897" s="3"/>
      <c r="V897" s="3"/>
      <c r="W897" s="3"/>
      <c r="X897" s="3"/>
      <c r="Y897" s="3"/>
      <c r="Z897" s="3"/>
    </row>
    <row r="898" spans="1:26" ht="22.5" customHeight="1" x14ac:dyDescent="0.85">
      <c r="A898" s="166"/>
      <c r="B898" s="167"/>
      <c r="C898" s="167"/>
      <c r="D898" s="147"/>
      <c r="E898" s="147"/>
      <c r="F898" s="147"/>
      <c r="G898" s="147"/>
      <c r="H898" s="147"/>
      <c r="I898" s="147"/>
      <c r="J898" s="147"/>
      <c r="K898" s="3"/>
      <c r="L898" s="3"/>
      <c r="M898" s="3"/>
      <c r="N898" s="3"/>
      <c r="O898" s="3"/>
      <c r="P898" s="3"/>
      <c r="Q898" s="3"/>
      <c r="R898" s="3"/>
      <c r="S898" s="3"/>
      <c r="T898" s="3"/>
      <c r="U898" s="3"/>
      <c r="V898" s="3"/>
      <c r="W898" s="3"/>
      <c r="X898" s="3"/>
      <c r="Y898" s="3"/>
      <c r="Z898" s="3"/>
    </row>
    <row r="899" spans="1:26" ht="22.5" customHeight="1" x14ac:dyDescent="0.85">
      <c r="A899" s="166"/>
      <c r="B899" s="167"/>
      <c r="C899" s="167"/>
      <c r="D899" s="147"/>
      <c r="E899" s="147"/>
      <c r="F899" s="147"/>
      <c r="G899" s="147"/>
      <c r="H899" s="147"/>
      <c r="I899" s="147"/>
      <c r="J899" s="147"/>
      <c r="K899" s="3"/>
      <c r="L899" s="3"/>
      <c r="M899" s="3"/>
      <c r="N899" s="3"/>
      <c r="O899" s="3"/>
      <c r="P899" s="3"/>
      <c r="Q899" s="3"/>
      <c r="R899" s="3"/>
      <c r="S899" s="3"/>
      <c r="T899" s="3"/>
      <c r="U899" s="3"/>
      <c r="V899" s="3"/>
      <c r="W899" s="3"/>
      <c r="X899" s="3"/>
      <c r="Y899" s="3"/>
      <c r="Z899" s="3"/>
    </row>
    <row r="900" spans="1:26" ht="22.5" customHeight="1" x14ac:dyDescent="0.85">
      <c r="A900" s="166"/>
      <c r="B900" s="167"/>
      <c r="C900" s="167"/>
      <c r="D900" s="147"/>
      <c r="E900" s="147"/>
      <c r="F900" s="147"/>
      <c r="G900" s="147"/>
      <c r="H900" s="147"/>
      <c r="I900" s="147"/>
      <c r="J900" s="147"/>
      <c r="K900" s="3"/>
      <c r="L900" s="3"/>
      <c r="M900" s="3"/>
      <c r="N900" s="3"/>
      <c r="O900" s="3"/>
      <c r="P900" s="3"/>
      <c r="Q900" s="3"/>
      <c r="R900" s="3"/>
      <c r="S900" s="3"/>
      <c r="T900" s="3"/>
      <c r="U900" s="3"/>
      <c r="V900" s="3"/>
      <c r="W900" s="3"/>
      <c r="X900" s="3"/>
      <c r="Y900" s="3"/>
      <c r="Z900" s="3"/>
    </row>
    <row r="901" spans="1:26" ht="22.5" customHeight="1" x14ac:dyDescent="0.85">
      <c r="A901" s="166"/>
      <c r="B901" s="167"/>
      <c r="C901" s="167"/>
      <c r="D901" s="147"/>
      <c r="E901" s="147"/>
      <c r="F901" s="147"/>
      <c r="G901" s="147"/>
      <c r="H901" s="147"/>
      <c r="I901" s="147"/>
      <c r="J901" s="147"/>
      <c r="K901" s="3"/>
      <c r="L901" s="3"/>
      <c r="M901" s="3"/>
      <c r="N901" s="3"/>
      <c r="O901" s="3"/>
      <c r="P901" s="3"/>
      <c r="Q901" s="3"/>
      <c r="R901" s="3"/>
      <c r="S901" s="3"/>
      <c r="T901" s="3"/>
      <c r="U901" s="3"/>
      <c r="V901" s="3"/>
      <c r="W901" s="3"/>
      <c r="X901" s="3"/>
      <c r="Y901" s="3"/>
      <c r="Z901" s="3"/>
    </row>
    <row r="902" spans="1:26" ht="22.5" customHeight="1" x14ac:dyDescent="0.85">
      <c r="A902" s="166"/>
      <c r="B902" s="167"/>
      <c r="C902" s="167"/>
      <c r="D902" s="147"/>
      <c r="E902" s="147"/>
      <c r="F902" s="147"/>
      <c r="G902" s="147"/>
      <c r="H902" s="147"/>
      <c r="I902" s="147"/>
      <c r="J902" s="147"/>
      <c r="K902" s="3"/>
      <c r="L902" s="3"/>
      <c r="M902" s="3"/>
      <c r="N902" s="3"/>
      <c r="O902" s="3"/>
      <c r="P902" s="3"/>
      <c r="Q902" s="3"/>
      <c r="R902" s="3"/>
      <c r="S902" s="3"/>
      <c r="T902" s="3"/>
      <c r="U902" s="3"/>
      <c r="V902" s="3"/>
      <c r="W902" s="3"/>
      <c r="X902" s="3"/>
      <c r="Y902" s="3"/>
      <c r="Z902" s="3"/>
    </row>
    <row r="903" spans="1:26" ht="22.5" customHeight="1" x14ac:dyDescent="0.85">
      <c r="A903" s="166"/>
      <c r="B903" s="167"/>
      <c r="C903" s="167"/>
      <c r="D903" s="147"/>
      <c r="E903" s="147"/>
      <c r="F903" s="147"/>
      <c r="G903" s="147"/>
      <c r="H903" s="147"/>
      <c r="I903" s="147"/>
      <c r="J903" s="147"/>
      <c r="K903" s="3"/>
      <c r="L903" s="3"/>
      <c r="M903" s="3"/>
      <c r="N903" s="3"/>
      <c r="O903" s="3"/>
      <c r="P903" s="3"/>
      <c r="Q903" s="3"/>
      <c r="R903" s="3"/>
      <c r="S903" s="3"/>
      <c r="T903" s="3"/>
      <c r="U903" s="3"/>
      <c r="V903" s="3"/>
      <c r="W903" s="3"/>
      <c r="X903" s="3"/>
      <c r="Y903" s="3"/>
      <c r="Z903" s="3"/>
    </row>
    <row r="904" spans="1:26" ht="22.5" customHeight="1" x14ac:dyDescent="0.85">
      <c r="A904" s="166"/>
      <c r="B904" s="167"/>
      <c r="C904" s="167"/>
      <c r="D904" s="147"/>
      <c r="E904" s="147"/>
      <c r="F904" s="147"/>
      <c r="G904" s="147"/>
      <c r="H904" s="147"/>
      <c r="I904" s="147"/>
      <c r="J904" s="147"/>
      <c r="K904" s="3"/>
      <c r="L904" s="3"/>
      <c r="M904" s="3"/>
      <c r="N904" s="3"/>
      <c r="O904" s="3"/>
      <c r="P904" s="3"/>
      <c r="Q904" s="3"/>
      <c r="R904" s="3"/>
      <c r="S904" s="3"/>
      <c r="T904" s="3"/>
      <c r="U904" s="3"/>
      <c r="V904" s="3"/>
      <c r="W904" s="3"/>
      <c r="X904" s="3"/>
      <c r="Y904" s="3"/>
      <c r="Z904" s="3"/>
    </row>
    <row r="905" spans="1:26" ht="22.5" customHeight="1" x14ac:dyDescent="0.85">
      <c r="A905" s="166"/>
      <c r="B905" s="167"/>
      <c r="C905" s="167"/>
      <c r="D905" s="147"/>
      <c r="E905" s="147"/>
      <c r="F905" s="147"/>
      <c r="G905" s="147"/>
      <c r="H905" s="147"/>
      <c r="I905" s="147"/>
      <c r="J905" s="147"/>
      <c r="K905" s="3"/>
      <c r="L905" s="3"/>
      <c r="M905" s="3"/>
      <c r="N905" s="3"/>
      <c r="O905" s="3"/>
      <c r="P905" s="3"/>
      <c r="Q905" s="3"/>
      <c r="R905" s="3"/>
      <c r="S905" s="3"/>
      <c r="T905" s="3"/>
      <c r="U905" s="3"/>
      <c r="V905" s="3"/>
      <c r="W905" s="3"/>
      <c r="X905" s="3"/>
      <c r="Y905" s="3"/>
      <c r="Z905" s="3"/>
    </row>
    <row r="906" spans="1:26" ht="22.5" customHeight="1" x14ac:dyDescent="0.85">
      <c r="A906" s="166"/>
      <c r="B906" s="167"/>
      <c r="C906" s="167"/>
      <c r="D906" s="147"/>
      <c r="E906" s="147"/>
      <c r="F906" s="147"/>
      <c r="G906" s="147"/>
      <c r="H906" s="147"/>
      <c r="I906" s="147"/>
      <c r="J906" s="147"/>
      <c r="K906" s="3"/>
      <c r="L906" s="3"/>
      <c r="M906" s="3"/>
      <c r="N906" s="3"/>
      <c r="O906" s="3"/>
      <c r="P906" s="3"/>
      <c r="Q906" s="3"/>
      <c r="R906" s="3"/>
      <c r="S906" s="3"/>
      <c r="T906" s="3"/>
      <c r="U906" s="3"/>
      <c r="V906" s="3"/>
      <c r="W906" s="3"/>
      <c r="X906" s="3"/>
      <c r="Y906" s="3"/>
      <c r="Z906" s="3"/>
    </row>
    <row r="907" spans="1:26" ht="22.5" customHeight="1" x14ac:dyDescent="0.85">
      <c r="A907" s="166"/>
      <c r="B907" s="167"/>
      <c r="C907" s="167"/>
      <c r="D907" s="147"/>
      <c r="E907" s="147"/>
      <c r="F907" s="147"/>
      <c r="G907" s="147"/>
      <c r="H907" s="147"/>
      <c r="I907" s="147"/>
      <c r="J907" s="147"/>
      <c r="K907" s="3"/>
      <c r="L907" s="3"/>
      <c r="M907" s="3"/>
      <c r="N907" s="3"/>
      <c r="O907" s="3"/>
      <c r="P907" s="3"/>
      <c r="Q907" s="3"/>
      <c r="R907" s="3"/>
      <c r="S907" s="3"/>
      <c r="T907" s="3"/>
      <c r="U907" s="3"/>
      <c r="V907" s="3"/>
      <c r="W907" s="3"/>
      <c r="X907" s="3"/>
      <c r="Y907" s="3"/>
      <c r="Z907" s="3"/>
    </row>
    <row r="908" spans="1:26" ht="22.5" customHeight="1" x14ac:dyDescent="0.85">
      <c r="A908" s="166"/>
      <c r="B908" s="167"/>
      <c r="C908" s="167"/>
      <c r="D908" s="147"/>
      <c r="E908" s="147"/>
      <c r="F908" s="147"/>
      <c r="G908" s="147"/>
      <c r="H908" s="147"/>
      <c r="I908" s="147"/>
      <c r="J908" s="147"/>
      <c r="K908" s="3"/>
      <c r="L908" s="3"/>
      <c r="M908" s="3"/>
      <c r="N908" s="3"/>
      <c r="O908" s="3"/>
      <c r="P908" s="3"/>
      <c r="Q908" s="3"/>
      <c r="R908" s="3"/>
      <c r="S908" s="3"/>
      <c r="T908" s="3"/>
      <c r="U908" s="3"/>
      <c r="V908" s="3"/>
      <c r="W908" s="3"/>
      <c r="X908" s="3"/>
      <c r="Y908" s="3"/>
      <c r="Z908" s="3"/>
    </row>
    <row r="909" spans="1:26" ht="22.5" customHeight="1" x14ac:dyDescent="0.85">
      <c r="A909" s="166"/>
      <c r="B909" s="167"/>
      <c r="C909" s="167"/>
      <c r="D909" s="147"/>
      <c r="E909" s="147"/>
      <c r="F909" s="147"/>
      <c r="G909" s="147"/>
      <c r="H909" s="147"/>
      <c r="I909" s="147"/>
      <c r="J909" s="147"/>
      <c r="K909" s="3"/>
      <c r="L909" s="3"/>
      <c r="M909" s="3"/>
      <c r="N909" s="3"/>
      <c r="O909" s="3"/>
      <c r="P909" s="3"/>
      <c r="Q909" s="3"/>
      <c r="R909" s="3"/>
      <c r="S909" s="3"/>
      <c r="T909" s="3"/>
      <c r="U909" s="3"/>
      <c r="V909" s="3"/>
      <c r="W909" s="3"/>
      <c r="X909" s="3"/>
      <c r="Y909" s="3"/>
      <c r="Z909" s="3"/>
    </row>
    <row r="910" spans="1:26" ht="22.5" customHeight="1" x14ac:dyDescent="0.85">
      <c r="A910" s="166"/>
      <c r="B910" s="167"/>
      <c r="C910" s="167"/>
      <c r="D910" s="147"/>
      <c r="E910" s="147"/>
      <c r="F910" s="147"/>
      <c r="G910" s="147"/>
      <c r="H910" s="147"/>
      <c r="I910" s="147"/>
      <c r="J910" s="147"/>
      <c r="K910" s="3"/>
      <c r="L910" s="3"/>
      <c r="M910" s="3"/>
      <c r="N910" s="3"/>
      <c r="O910" s="3"/>
      <c r="P910" s="3"/>
      <c r="Q910" s="3"/>
      <c r="R910" s="3"/>
      <c r="S910" s="3"/>
      <c r="T910" s="3"/>
      <c r="U910" s="3"/>
      <c r="V910" s="3"/>
      <c r="W910" s="3"/>
      <c r="X910" s="3"/>
      <c r="Y910" s="3"/>
      <c r="Z910" s="3"/>
    </row>
    <row r="911" spans="1:26" ht="22.5" customHeight="1" x14ac:dyDescent="0.85">
      <c r="A911" s="166"/>
      <c r="B911" s="167"/>
      <c r="C911" s="167"/>
      <c r="D911" s="147"/>
      <c r="E911" s="147"/>
      <c r="F911" s="147"/>
      <c r="G911" s="147"/>
      <c r="H911" s="147"/>
      <c r="I911" s="147"/>
      <c r="J911" s="147"/>
      <c r="K911" s="3"/>
      <c r="L911" s="3"/>
      <c r="M911" s="3"/>
      <c r="N911" s="3"/>
      <c r="O911" s="3"/>
      <c r="P911" s="3"/>
      <c r="Q911" s="3"/>
      <c r="R911" s="3"/>
      <c r="S911" s="3"/>
      <c r="T911" s="3"/>
      <c r="U911" s="3"/>
      <c r="V911" s="3"/>
      <c r="W911" s="3"/>
      <c r="X911" s="3"/>
      <c r="Y911" s="3"/>
      <c r="Z911" s="3"/>
    </row>
    <row r="912" spans="1:26" ht="22.5" customHeight="1" x14ac:dyDescent="0.85">
      <c r="A912" s="166"/>
      <c r="B912" s="167"/>
      <c r="C912" s="167"/>
      <c r="D912" s="147"/>
      <c r="E912" s="147"/>
      <c r="F912" s="147"/>
      <c r="G912" s="147"/>
      <c r="H912" s="147"/>
      <c r="I912" s="147"/>
      <c r="J912" s="147"/>
      <c r="K912" s="3"/>
      <c r="L912" s="3"/>
      <c r="M912" s="3"/>
      <c r="N912" s="3"/>
      <c r="O912" s="3"/>
      <c r="P912" s="3"/>
      <c r="Q912" s="3"/>
      <c r="R912" s="3"/>
      <c r="S912" s="3"/>
      <c r="T912" s="3"/>
      <c r="U912" s="3"/>
      <c r="V912" s="3"/>
      <c r="W912" s="3"/>
      <c r="X912" s="3"/>
      <c r="Y912" s="3"/>
      <c r="Z912" s="3"/>
    </row>
    <row r="913" spans="1:26" ht="22.5" customHeight="1" x14ac:dyDescent="0.85">
      <c r="A913" s="166"/>
      <c r="B913" s="167"/>
      <c r="C913" s="167"/>
      <c r="D913" s="147"/>
      <c r="E913" s="147"/>
      <c r="F913" s="147"/>
      <c r="G913" s="147"/>
      <c r="H913" s="147"/>
      <c r="I913" s="147"/>
      <c r="J913" s="147"/>
      <c r="K913" s="3"/>
      <c r="L913" s="3"/>
      <c r="M913" s="3"/>
      <c r="N913" s="3"/>
      <c r="O913" s="3"/>
      <c r="P913" s="3"/>
      <c r="Q913" s="3"/>
      <c r="R913" s="3"/>
      <c r="S913" s="3"/>
      <c r="T913" s="3"/>
      <c r="U913" s="3"/>
      <c r="V913" s="3"/>
      <c r="W913" s="3"/>
      <c r="X913" s="3"/>
      <c r="Y913" s="3"/>
      <c r="Z913" s="3"/>
    </row>
    <row r="914" spans="1:26" ht="22.5" customHeight="1" x14ac:dyDescent="0.85">
      <c r="A914" s="166"/>
      <c r="B914" s="167"/>
      <c r="C914" s="167"/>
      <c r="D914" s="147"/>
      <c r="E914" s="147"/>
      <c r="F914" s="147"/>
      <c r="G914" s="147"/>
      <c r="H914" s="147"/>
      <c r="I914" s="147"/>
      <c r="J914" s="147"/>
      <c r="K914" s="3"/>
      <c r="L914" s="3"/>
      <c r="M914" s="3"/>
      <c r="N914" s="3"/>
      <c r="O914" s="3"/>
      <c r="P914" s="3"/>
      <c r="Q914" s="3"/>
      <c r="R914" s="3"/>
      <c r="S914" s="3"/>
      <c r="T914" s="3"/>
      <c r="U914" s="3"/>
      <c r="V914" s="3"/>
      <c r="W914" s="3"/>
      <c r="X914" s="3"/>
      <c r="Y914" s="3"/>
      <c r="Z914" s="3"/>
    </row>
    <row r="915" spans="1:26" ht="22.5" customHeight="1" x14ac:dyDescent="0.85">
      <c r="A915" s="166"/>
      <c r="B915" s="167"/>
      <c r="C915" s="167"/>
      <c r="D915" s="147"/>
      <c r="E915" s="147"/>
      <c r="F915" s="147"/>
      <c r="G915" s="147"/>
      <c r="H915" s="147"/>
      <c r="I915" s="147"/>
      <c r="J915" s="147"/>
      <c r="K915" s="3"/>
      <c r="L915" s="3"/>
      <c r="M915" s="3"/>
      <c r="N915" s="3"/>
      <c r="O915" s="3"/>
      <c r="P915" s="3"/>
      <c r="Q915" s="3"/>
      <c r="R915" s="3"/>
      <c r="S915" s="3"/>
      <c r="T915" s="3"/>
      <c r="U915" s="3"/>
      <c r="V915" s="3"/>
      <c r="W915" s="3"/>
      <c r="X915" s="3"/>
      <c r="Y915" s="3"/>
      <c r="Z915" s="3"/>
    </row>
    <row r="916" spans="1:26" ht="22.5" customHeight="1" x14ac:dyDescent="0.85">
      <c r="A916" s="166"/>
      <c r="B916" s="167"/>
      <c r="C916" s="167"/>
      <c r="D916" s="147"/>
      <c r="E916" s="147"/>
      <c r="F916" s="147"/>
      <c r="G916" s="147"/>
      <c r="H916" s="147"/>
      <c r="I916" s="147"/>
      <c r="J916" s="147"/>
      <c r="K916" s="3"/>
      <c r="L916" s="3"/>
      <c r="M916" s="3"/>
      <c r="N916" s="3"/>
      <c r="O916" s="3"/>
      <c r="P916" s="3"/>
      <c r="Q916" s="3"/>
      <c r="R916" s="3"/>
      <c r="S916" s="3"/>
      <c r="T916" s="3"/>
      <c r="U916" s="3"/>
      <c r="V916" s="3"/>
      <c r="W916" s="3"/>
      <c r="X916" s="3"/>
      <c r="Y916" s="3"/>
      <c r="Z916" s="3"/>
    </row>
    <row r="917" spans="1:26" ht="22.5" customHeight="1" x14ac:dyDescent="0.85">
      <c r="A917" s="166"/>
      <c r="B917" s="167"/>
      <c r="C917" s="167"/>
      <c r="D917" s="147"/>
      <c r="E917" s="147"/>
      <c r="F917" s="147"/>
      <c r="G917" s="147"/>
      <c r="H917" s="147"/>
      <c r="I917" s="147"/>
      <c r="J917" s="147"/>
      <c r="K917" s="3"/>
      <c r="L917" s="3"/>
      <c r="M917" s="3"/>
      <c r="N917" s="3"/>
      <c r="O917" s="3"/>
      <c r="P917" s="3"/>
      <c r="Q917" s="3"/>
      <c r="R917" s="3"/>
      <c r="S917" s="3"/>
      <c r="T917" s="3"/>
      <c r="U917" s="3"/>
      <c r="V917" s="3"/>
      <c r="W917" s="3"/>
      <c r="X917" s="3"/>
      <c r="Y917" s="3"/>
      <c r="Z917" s="3"/>
    </row>
    <row r="918" spans="1:26" ht="22.5" customHeight="1" x14ac:dyDescent="0.85">
      <c r="A918" s="166"/>
      <c r="B918" s="167"/>
      <c r="C918" s="167"/>
      <c r="D918" s="147"/>
      <c r="E918" s="147"/>
      <c r="F918" s="147"/>
      <c r="G918" s="147"/>
      <c r="H918" s="147"/>
      <c r="I918" s="147"/>
      <c r="J918" s="147"/>
      <c r="K918" s="3"/>
      <c r="L918" s="3"/>
      <c r="M918" s="3"/>
      <c r="N918" s="3"/>
      <c r="O918" s="3"/>
      <c r="P918" s="3"/>
      <c r="Q918" s="3"/>
      <c r="R918" s="3"/>
      <c r="S918" s="3"/>
      <c r="T918" s="3"/>
      <c r="U918" s="3"/>
      <c r="V918" s="3"/>
      <c r="W918" s="3"/>
      <c r="X918" s="3"/>
      <c r="Y918" s="3"/>
      <c r="Z918" s="3"/>
    </row>
    <row r="919" spans="1:26" ht="22.5" customHeight="1" x14ac:dyDescent="0.85">
      <c r="A919" s="166"/>
      <c r="B919" s="167"/>
      <c r="C919" s="167"/>
      <c r="D919" s="147"/>
      <c r="E919" s="147"/>
      <c r="F919" s="147"/>
      <c r="G919" s="147"/>
      <c r="H919" s="147"/>
      <c r="I919" s="147"/>
      <c r="J919" s="147"/>
      <c r="K919" s="3"/>
      <c r="L919" s="3"/>
      <c r="M919" s="3"/>
      <c r="N919" s="3"/>
      <c r="O919" s="3"/>
      <c r="P919" s="3"/>
      <c r="Q919" s="3"/>
      <c r="R919" s="3"/>
      <c r="S919" s="3"/>
      <c r="T919" s="3"/>
      <c r="U919" s="3"/>
      <c r="V919" s="3"/>
      <c r="W919" s="3"/>
      <c r="X919" s="3"/>
      <c r="Y919" s="3"/>
      <c r="Z919" s="3"/>
    </row>
    <row r="920" spans="1:26" ht="22.5" customHeight="1" x14ac:dyDescent="0.85">
      <c r="A920" s="166"/>
      <c r="B920" s="167"/>
      <c r="C920" s="167"/>
      <c r="D920" s="147"/>
      <c r="E920" s="147"/>
      <c r="F920" s="147"/>
      <c r="G920" s="147"/>
      <c r="H920" s="147"/>
      <c r="I920" s="147"/>
      <c r="J920" s="147"/>
      <c r="K920" s="3"/>
      <c r="L920" s="3"/>
      <c r="M920" s="3"/>
      <c r="N920" s="3"/>
      <c r="O920" s="3"/>
      <c r="P920" s="3"/>
      <c r="Q920" s="3"/>
      <c r="R920" s="3"/>
      <c r="S920" s="3"/>
      <c r="T920" s="3"/>
      <c r="U920" s="3"/>
      <c r="V920" s="3"/>
      <c r="W920" s="3"/>
      <c r="X920" s="3"/>
      <c r="Y920" s="3"/>
      <c r="Z920" s="3"/>
    </row>
    <row r="921" spans="1:26" ht="22.5" customHeight="1" x14ac:dyDescent="0.85">
      <c r="A921" s="166"/>
      <c r="B921" s="167"/>
      <c r="C921" s="167"/>
      <c r="D921" s="147"/>
      <c r="E921" s="147"/>
      <c r="F921" s="147"/>
      <c r="G921" s="147"/>
      <c r="H921" s="147"/>
      <c r="I921" s="147"/>
      <c r="J921" s="147"/>
      <c r="K921" s="3"/>
      <c r="L921" s="3"/>
      <c r="M921" s="3"/>
      <c r="N921" s="3"/>
      <c r="O921" s="3"/>
      <c r="P921" s="3"/>
      <c r="Q921" s="3"/>
      <c r="R921" s="3"/>
      <c r="S921" s="3"/>
      <c r="T921" s="3"/>
      <c r="U921" s="3"/>
      <c r="V921" s="3"/>
      <c r="W921" s="3"/>
      <c r="X921" s="3"/>
      <c r="Y921" s="3"/>
      <c r="Z921" s="3"/>
    </row>
    <row r="922" spans="1:26" ht="22.5" customHeight="1" x14ac:dyDescent="0.85">
      <c r="A922" s="166"/>
      <c r="B922" s="167"/>
      <c r="C922" s="167"/>
      <c r="D922" s="147"/>
      <c r="E922" s="147"/>
      <c r="F922" s="147"/>
      <c r="G922" s="147"/>
      <c r="H922" s="147"/>
      <c r="I922" s="147"/>
      <c r="J922" s="147"/>
      <c r="K922" s="3"/>
      <c r="L922" s="3"/>
      <c r="M922" s="3"/>
      <c r="N922" s="3"/>
      <c r="O922" s="3"/>
      <c r="P922" s="3"/>
      <c r="Q922" s="3"/>
      <c r="R922" s="3"/>
      <c r="S922" s="3"/>
      <c r="T922" s="3"/>
      <c r="U922" s="3"/>
      <c r="V922" s="3"/>
      <c r="W922" s="3"/>
      <c r="X922" s="3"/>
      <c r="Y922" s="3"/>
      <c r="Z922" s="3"/>
    </row>
    <row r="923" spans="1:26" ht="22.5" customHeight="1" x14ac:dyDescent="0.85">
      <c r="A923" s="166"/>
      <c r="B923" s="167"/>
      <c r="C923" s="167"/>
      <c r="D923" s="147"/>
      <c r="E923" s="147"/>
      <c r="F923" s="147"/>
      <c r="G923" s="147"/>
      <c r="H923" s="147"/>
      <c r="I923" s="147"/>
      <c r="J923" s="147"/>
      <c r="K923" s="3"/>
      <c r="L923" s="3"/>
      <c r="M923" s="3"/>
      <c r="N923" s="3"/>
      <c r="O923" s="3"/>
      <c r="P923" s="3"/>
      <c r="Q923" s="3"/>
      <c r="R923" s="3"/>
      <c r="S923" s="3"/>
      <c r="T923" s="3"/>
      <c r="U923" s="3"/>
      <c r="V923" s="3"/>
      <c r="W923" s="3"/>
      <c r="X923" s="3"/>
      <c r="Y923" s="3"/>
      <c r="Z923" s="3"/>
    </row>
    <row r="924" spans="1:26" ht="22.5" customHeight="1" x14ac:dyDescent="0.85">
      <c r="A924" s="166"/>
      <c r="B924" s="167"/>
      <c r="C924" s="167"/>
      <c r="D924" s="147"/>
      <c r="E924" s="147"/>
      <c r="F924" s="147"/>
      <c r="G924" s="147"/>
      <c r="H924" s="147"/>
      <c r="I924" s="147"/>
      <c r="J924" s="147"/>
      <c r="K924" s="3"/>
      <c r="L924" s="3"/>
      <c r="M924" s="3"/>
      <c r="N924" s="3"/>
      <c r="O924" s="3"/>
      <c r="P924" s="3"/>
      <c r="Q924" s="3"/>
      <c r="R924" s="3"/>
      <c r="S924" s="3"/>
      <c r="T924" s="3"/>
      <c r="U924" s="3"/>
      <c r="V924" s="3"/>
      <c r="W924" s="3"/>
      <c r="X924" s="3"/>
      <c r="Y924" s="3"/>
      <c r="Z924" s="3"/>
    </row>
    <row r="925" spans="1:26" ht="22.5" customHeight="1" x14ac:dyDescent="0.85">
      <c r="A925" s="166"/>
      <c r="B925" s="167"/>
      <c r="C925" s="167"/>
      <c r="D925" s="147"/>
      <c r="E925" s="147"/>
      <c r="F925" s="147"/>
      <c r="G925" s="147"/>
      <c r="H925" s="147"/>
      <c r="I925" s="147"/>
      <c r="J925" s="147"/>
      <c r="K925" s="3"/>
      <c r="L925" s="3"/>
      <c r="M925" s="3"/>
      <c r="N925" s="3"/>
      <c r="O925" s="3"/>
      <c r="P925" s="3"/>
      <c r="Q925" s="3"/>
      <c r="R925" s="3"/>
      <c r="S925" s="3"/>
      <c r="T925" s="3"/>
      <c r="U925" s="3"/>
      <c r="V925" s="3"/>
      <c r="W925" s="3"/>
      <c r="X925" s="3"/>
      <c r="Y925" s="3"/>
      <c r="Z925" s="3"/>
    </row>
    <row r="926" spans="1:26" ht="22.5" customHeight="1" x14ac:dyDescent="0.85">
      <c r="A926" s="166"/>
      <c r="B926" s="167"/>
      <c r="C926" s="167"/>
      <c r="D926" s="147"/>
      <c r="E926" s="147"/>
      <c r="F926" s="147"/>
      <c r="G926" s="147"/>
      <c r="H926" s="147"/>
      <c r="I926" s="147"/>
      <c r="J926" s="147"/>
      <c r="K926" s="3"/>
      <c r="L926" s="3"/>
      <c r="M926" s="3"/>
      <c r="N926" s="3"/>
      <c r="O926" s="3"/>
      <c r="P926" s="3"/>
      <c r="Q926" s="3"/>
      <c r="R926" s="3"/>
      <c r="S926" s="3"/>
      <c r="T926" s="3"/>
      <c r="U926" s="3"/>
      <c r="V926" s="3"/>
      <c r="W926" s="3"/>
      <c r="X926" s="3"/>
      <c r="Y926" s="3"/>
      <c r="Z926" s="3"/>
    </row>
    <row r="927" spans="1:26" ht="22.5" customHeight="1" x14ac:dyDescent="0.85">
      <c r="A927" s="166"/>
      <c r="B927" s="167"/>
      <c r="C927" s="167"/>
      <c r="D927" s="147"/>
      <c r="E927" s="147"/>
      <c r="F927" s="147"/>
      <c r="G927" s="147"/>
      <c r="H927" s="147"/>
      <c r="I927" s="147"/>
      <c r="J927" s="147"/>
      <c r="K927" s="3"/>
      <c r="L927" s="3"/>
      <c r="M927" s="3"/>
      <c r="N927" s="3"/>
      <c r="O927" s="3"/>
      <c r="P927" s="3"/>
      <c r="Q927" s="3"/>
      <c r="R927" s="3"/>
      <c r="S927" s="3"/>
      <c r="T927" s="3"/>
      <c r="U927" s="3"/>
      <c r="V927" s="3"/>
      <c r="W927" s="3"/>
      <c r="X927" s="3"/>
      <c r="Y927" s="3"/>
      <c r="Z927" s="3"/>
    </row>
    <row r="928" spans="1:26" ht="22.5" customHeight="1" x14ac:dyDescent="0.85">
      <c r="A928" s="166"/>
      <c r="B928" s="167"/>
      <c r="C928" s="167"/>
      <c r="D928" s="147"/>
      <c r="E928" s="147"/>
      <c r="F928" s="147"/>
      <c r="G928" s="147"/>
      <c r="H928" s="147"/>
      <c r="I928" s="147"/>
      <c r="J928" s="147"/>
      <c r="K928" s="3"/>
      <c r="L928" s="3"/>
      <c r="M928" s="3"/>
      <c r="N928" s="3"/>
      <c r="O928" s="3"/>
      <c r="P928" s="3"/>
      <c r="Q928" s="3"/>
      <c r="R928" s="3"/>
      <c r="S928" s="3"/>
      <c r="T928" s="3"/>
      <c r="U928" s="3"/>
      <c r="V928" s="3"/>
      <c r="W928" s="3"/>
      <c r="X928" s="3"/>
      <c r="Y928" s="3"/>
      <c r="Z928" s="3"/>
    </row>
    <row r="929" spans="1:26" ht="22.5" customHeight="1" x14ac:dyDescent="0.85">
      <c r="A929" s="166"/>
      <c r="B929" s="167"/>
      <c r="C929" s="167"/>
      <c r="D929" s="147"/>
      <c r="E929" s="147"/>
      <c r="F929" s="147"/>
      <c r="G929" s="147"/>
      <c r="H929" s="147"/>
      <c r="I929" s="147"/>
      <c r="J929" s="147"/>
      <c r="K929" s="3"/>
      <c r="L929" s="3"/>
      <c r="M929" s="3"/>
      <c r="N929" s="3"/>
      <c r="O929" s="3"/>
      <c r="P929" s="3"/>
      <c r="Q929" s="3"/>
      <c r="R929" s="3"/>
      <c r="S929" s="3"/>
      <c r="T929" s="3"/>
      <c r="U929" s="3"/>
      <c r="V929" s="3"/>
      <c r="W929" s="3"/>
      <c r="X929" s="3"/>
      <c r="Y929" s="3"/>
      <c r="Z929" s="3"/>
    </row>
    <row r="930" spans="1:26" ht="22.5" customHeight="1" x14ac:dyDescent="0.85">
      <c r="A930" s="166"/>
      <c r="B930" s="167"/>
      <c r="C930" s="167"/>
      <c r="D930" s="147"/>
      <c r="E930" s="147"/>
      <c r="F930" s="147"/>
      <c r="G930" s="147"/>
      <c r="H930" s="147"/>
      <c r="I930" s="147"/>
      <c r="J930" s="147"/>
      <c r="K930" s="3"/>
      <c r="L930" s="3"/>
      <c r="M930" s="3"/>
      <c r="N930" s="3"/>
      <c r="O930" s="3"/>
      <c r="P930" s="3"/>
      <c r="Q930" s="3"/>
      <c r="R930" s="3"/>
      <c r="S930" s="3"/>
      <c r="T930" s="3"/>
      <c r="U930" s="3"/>
      <c r="V930" s="3"/>
      <c r="W930" s="3"/>
      <c r="X930" s="3"/>
      <c r="Y930" s="3"/>
      <c r="Z930" s="3"/>
    </row>
    <row r="931" spans="1:26" ht="22.5" customHeight="1" x14ac:dyDescent="0.85">
      <c r="A931" s="166"/>
      <c r="B931" s="167"/>
      <c r="C931" s="167"/>
      <c r="D931" s="147"/>
      <c r="E931" s="147"/>
      <c r="F931" s="147"/>
      <c r="G931" s="147"/>
      <c r="H931" s="147"/>
      <c r="I931" s="147"/>
      <c r="J931" s="147"/>
      <c r="K931" s="3"/>
      <c r="L931" s="3"/>
      <c r="M931" s="3"/>
      <c r="N931" s="3"/>
      <c r="O931" s="3"/>
      <c r="P931" s="3"/>
      <c r="Q931" s="3"/>
      <c r="R931" s="3"/>
      <c r="S931" s="3"/>
      <c r="T931" s="3"/>
      <c r="U931" s="3"/>
      <c r="V931" s="3"/>
      <c r="W931" s="3"/>
      <c r="X931" s="3"/>
      <c r="Y931" s="3"/>
      <c r="Z931" s="3"/>
    </row>
    <row r="932" spans="1:26" ht="22.5" customHeight="1" x14ac:dyDescent="0.85">
      <c r="A932" s="166"/>
      <c r="B932" s="167"/>
      <c r="C932" s="167"/>
      <c r="D932" s="147"/>
      <c r="E932" s="147"/>
      <c r="F932" s="147"/>
      <c r="G932" s="147"/>
      <c r="H932" s="147"/>
      <c r="I932" s="147"/>
      <c r="J932" s="147"/>
      <c r="K932" s="3"/>
      <c r="L932" s="3"/>
      <c r="M932" s="3"/>
      <c r="N932" s="3"/>
      <c r="O932" s="3"/>
      <c r="P932" s="3"/>
      <c r="Q932" s="3"/>
      <c r="R932" s="3"/>
      <c r="S932" s="3"/>
      <c r="T932" s="3"/>
      <c r="U932" s="3"/>
      <c r="V932" s="3"/>
      <c r="W932" s="3"/>
      <c r="X932" s="3"/>
      <c r="Y932" s="3"/>
      <c r="Z932" s="3"/>
    </row>
    <row r="933" spans="1:26" ht="22.5" customHeight="1" x14ac:dyDescent="0.85">
      <c r="A933" s="166"/>
      <c r="B933" s="167"/>
      <c r="C933" s="167"/>
      <c r="D933" s="147"/>
      <c r="E933" s="147"/>
      <c r="F933" s="147"/>
      <c r="G933" s="147"/>
      <c r="H933" s="147"/>
      <c r="I933" s="147"/>
      <c r="J933" s="147"/>
      <c r="K933" s="3"/>
      <c r="L933" s="3"/>
      <c r="M933" s="3"/>
      <c r="N933" s="3"/>
      <c r="O933" s="3"/>
      <c r="P933" s="3"/>
      <c r="Q933" s="3"/>
      <c r="R933" s="3"/>
      <c r="S933" s="3"/>
      <c r="T933" s="3"/>
      <c r="U933" s="3"/>
      <c r="V933" s="3"/>
      <c r="W933" s="3"/>
      <c r="X933" s="3"/>
      <c r="Y933" s="3"/>
      <c r="Z933" s="3"/>
    </row>
    <row r="934" spans="1:26" ht="22.5" customHeight="1" x14ac:dyDescent="0.85">
      <c r="A934" s="166"/>
      <c r="B934" s="167"/>
      <c r="C934" s="167"/>
      <c r="D934" s="147"/>
      <c r="E934" s="147"/>
      <c r="F934" s="147"/>
      <c r="G934" s="147"/>
      <c r="H934" s="147"/>
      <c r="I934" s="147"/>
      <c r="J934" s="147"/>
      <c r="K934" s="3"/>
      <c r="L934" s="3"/>
      <c r="M934" s="3"/>
      <c r="N934" s="3"/>
      <c r="O934" s="3"/>
      <c r="P934" s="3"/>
      <c r="Q934" s="3"/>
      <c r="R934" s="3"/>
      <c r="S934" s="3"/>
      <c r="T934" s="3"/>
      <c r="U934" s="3"/>
      <c r="V934" s="3"/>
      <c r="W934" s="3"/>
      <c r="X934" s="3"/>
      <c r="Y934" s="3"/>
      <c r="Z934" s="3"/>
    </row>
    <row r="935" spans="1:26" ht="22.5" customHeight="1" x14ac:dyDescent="0.85">
      <c r="A935" s="166"/>
      <c r="B935" s="167"/>
      <c r="C935" s="167"/>
      <c r="D935" s="147"/>
      <c r="E935" s="147"/>
      <c r="F935" s="147"/>
      <c r="G935" s="147"/>
      <c r="H935" s="147"/>
      <c r="I935" s="147"/>
      <c r="J935" s="147"/>
      <c r="K935" s="3"/>
      <c r="L935" s="3"/>
      <c r="M935" s="3"/>
      <c r="N935" s="3"/>
      <c r="O935" s="3"/>
      <c r="P935" s="3"/>
      <c r="Q935" s="3"/>
      <c r="R935" s="3"/>
      <c r="S935" s="3"/>
      <c r="T935" s="3"/>
      <c r="U935" s="3"/>
      <c r="V935" s="3"/>
      <c r="W935" s="3"/>
      <c r="X935" s="3"/>
      <c r="Y935" s="3"/>
      <c r="Z935" s="3"/>
    </row>
    <row r="936" spans="1:26" ht="22.5" customHeight="1" x14ac:dyDescent="0.85">
      <c r="A936" s="166"/>
      <c r="B936" s="167"/>
      <c r="C936" s="167"/>
      <c r="D936" s="147"/>
      <c r="E936" s="147"/>
      <c r="F936" s="147"/>
      <c r="G936" s="147"/>
      <c r="H936" s="147"/>
      <c r="I936" s="147"/>
      <c r="J936" s="147"/>
      <c r="K936" s="3"/>
      <c r="L936" s="3"/>
      <c r="M936" s="3"/>
      <c r="N936" s="3"/>
      <c r="O936" s="3"/>
      <c r="P936" s="3"/>
      <c r="Q936" s="3"/>
      <c r="R936" s="3"/>
      <c r="S936" s="3"/>
      <c r="T936" s="3"/>
      <c r="U936" s="3"/>
      <c r="V936" s="3"/>
      <c r="W936" s="3"/>
      <c r="X936" s="3"/>
      <c r="Y936" s="3"/>
      <c r="Z936" s="3"/>
    </row>
    <row r="937" spans="1:26" ht="22.5" customHeight="1" x14ac:dyDescent="0.85">
      <c r="A937" s="166"/>
      <c r="B937" s="167"/>
      <c r="C937" s="167"/>
      <c r="D937" s="147"/>
      <c r="E937" s="147"/>
      <c r="F937" s="147"/>
      <c r="G937" s="147"/>
      <c r="H937" s="147"/>
      <c r="I937" s="147"/>
      <c r="J937" s="147"/>
      <c r="K937" s="3"/>
      <c r="L937" s="3"/>
      <c r="M937" s="3"/>
      <c r="N937" s="3"/>
      <c r="O937" s="3"/>
      <c r="P937" s="3"/>
      <c r="Q937" s="3"/>
      <c r="R937" s="3"/>
      <c r="S937" s="3"/>
      <c r="T937" s="3"/>
      <c r="U937" s="3"/>
      <c r="V937" s="3"/>
      <c r="W937" s="3"/>
      <c r="X937" s="3"/>
      <c r="Y937" s="3"/>
      <c r="Z937" s="3"/>
    </row>
    <row r="938" spans="1:26" ht="22.5" customHeight="1" x14ac:dyDescent="0.85">
      <c r="A938" s="166"/>
      <c r="B938" s="167"/>
      <c r="C938" s="167"/>
      <c r="D938" s="147"/>
      <c r="E938" s="147"/>
      <c r="F938" s="147"/>
      <c r="G938" s="147"/>
      <c r="H938" s="147"/>
      <c r="I938" s="147"/>
      <c r="J938" s="147"/>
      <c r="K938" s="3"/>
      <c r="L938" s="3"/>
      <c r="M938" s="3"/>
      <c r="N938" s="3"/>
      <c r="O938" s="3"/>
      <c r="P938" s="3"/>
      <c r="Q938" s="3"/>
      <c r="R938" s="3"/>
      <c r="S938" s="3"/>
      <c r="T938" s="3"/>
      <c r="U938" s="3"/>
      <c r="V938" s="3"/>
      <c r="W938" s="3"/>
      <c r="X938" s="3"/>
      <c r="Y938" s="3"/>
      <c r="Z938" s="3"/>
    </row>
    <row r="939" spans="1:26" ht="22.5" customHeight="1" x14ac:dyDescent="0.85">
      <c r="A939" s="166"/>
      <c r="B939" s="167"/>
      <c r="C939" s="167"/>
      <c r="D939" s="147"/>
      <c r="E939" s="147"/>
      <c r="F939" s="147"/>
      <c r="G939" s="147"/>
      <c r="H939" s="147"/>
      <c r="I939" s="147"/>
      <c r="J939" s="147"/>
      <c r="K939" s="3"/>
      <c r="L939" s="3"/>
      <c r="M939" s="3"/>
      <c r="N939" s="3"/>
      <c r="O939" s="3"/>
      <c r="P939" s="3"/>
      <c r="Q939" s="3"/>
      <c r="R939" s="3"/>
      <c r="S939" s="3"/>
      <c r="T939" s="3"/>
      <c r="U939" s="3"/>
      <c r="V939" s="3"/>
      <c r="W939" s="3"/>
      <c r="X939" s="3"/>
      <c r="Y939" s="3"/>
      <c r="Z939" s="3"/>
    </row>
    <row r="940" spans="1:26" ht="22.5" customHeight="1" x14ac:dyDescent="0.85">
      <c r="A940" s="166"/>
      <c r="B940" s="167"/>
      <c r="C940" s="167"/>
      <c r="D940" s="147"/>
      <c r="E940" s="147"/>
      <c r="F940" s="147"/>
      <c r="G940" s="147"/>
      <c r="H940" s="147"/>
      <c r="I940" s="147"/>
      <c r="J940" s="147"/>
      <c r="K940" s="3"/>
      <c r="L940" s="3"/>
      <c r="M940" s="3"/>
      <c r="N940" s="3"/>
      <c r="O940" s="3"/>
      <c r="P940" s="3"/>
      <c r="Q940" s="3"/>
      <c r="R940" s="3"/>
      <c r="S940" s="3"/>
      <c r="T940" s="3"/>
      <c r="U940" s="3"/>
      <c r="V940" s="3"/>
      <c r="W940" s="3"/>
      <c r="X940" s="3"/>
      <c r="Y940" s="3"/>
      <c r="Z940" s="3"/>
    </row>
    <row r="941" spans="1:26" ht="22.5" customHeight="1" x14ac:dyDescent="0.85">
      <c r="A941" s="166"/>
      <c r="B941" s="167"/>
      <c r="C941" s="167"/>
      <c r="D941" s="147"/>
      <c r="E941" s="147"/>
      <c r="F941" s="147"/>
      <c r="G941" s="147"/>
      <c r="H941" s="147"/>
      <c r="I941" s="147"/>
      <c r="J941" s="147"/>
      <c r="K941" s="3"/>
      <c r="L941" s="3"/>
      <c r="M941" s="3"/>
      <c r="N941" s="3"/>
      <c r="O941" s="3"/>
      <c r="P941" s="3"/>
      <c r="Q941" s="3"/>
      <c r="R941" s="3"/>
      <c r="S941" s="3"/>
      <c r="T941" s="3"/>
      <c r="U941" s="3"/>
      <c r="V941" s="3"/>
      <c r="W941" s="3"/>
      <c r="X941" s="3"/>
      <c r="Y941" s="3"/>
      <c r="Z941" s="3"/>
    </row>
    <row r="942" spans="1:26" ht="22.5" customHeight="1" x14ac:dyDescent="0.85">
      <c r="A942" s="166"/>
      <c r="B942" s="167"/>
      <c r="C942" s="167"/>
      <c r="D942" s="147"/>
      <c r="E942" s="147"/>
      <c r="F942" s="147"/>
      <c r="G942" s="147"/>
      <c r="H942" s="147"/>
      <c r="I942" s="147"/>
      <c r="J942" s="147"/>
      <c r="K942" s="3"/>
      <c r="L942" s="3"/>
      <c r="M942" s="3"/>
      <c r="N942" s="3"/>
      <c r="O942" s="3"/>
      <c r="P942" s="3"/>
      <c r="Q942" s="3"/>
      <c r="R942" s="3"/>
      <c r="S942" s="3"/>
      <c r="T942" s="3"/>
      <c r="U942" s="3"/>
      <c r="V942" s="3"/>
      <c r="W942" s="3"/>
      <c r="X942" s="3"/>
      <c r="Y942" s="3"/>
      <c r="Z942" s="3"/>
    </row>
    <row r="943" spans="1:26" ht="22.5" customHeight="1" x14ac:dyDescent="0.85">
      <c r="A943" s="166"/>
      <c r="B943" s="167"/>
      <c r="C943" s="167"/>
      <c r="D943" s="147"/>
      <c r="E943" s="147"/>
      <c r="F943" s="147"/>
      <c r="G943" s="147"/>
      <c r="H943" s="147"/>
      <c r="I943" s="147"/>
      <c r="J943" s="147"/>
      <c r="K943" s="3"/>
      <c r="L943" s="3"/>
      <c r="M943" s="3"/>
      <c r="N943" s="3"/>
      <c r="O943" s="3"/>
      <c r="P943" s="3"/>
      <c r="Q943" s="3"/>
      <c r="R943" s="3"/>
      <c r="S943" s="3"/>
      <c r="T943" s="3"/>
      <c r="U943" s="3"/>
      <c r="V943" s="3"/>
      <c r="W943" s="3"/>
      <c r="X943" s="3"/>
      <c r="Y943" s="3"/>
      <c r="Z943" s="3"/>
    </row>
    <row r="944" spans="1:26" ht="22.5" customHeight="1" x14ac:dyDescent="0.85">
      <c r="A944" s="166"/>
      <c r="B944" s="167"/>
      <c r="C944" s="167"/>
      <c r="D944" s="147"/>
      <c r="E944" s="147"/>
      <c r="F944" s="147"/>
      <c r="G944" s="147"/>
      <c r="H944" s="147"/>
      <c r="I944" s="147"/>
      <c r="J944" s="147"/>
      <c r="K944" s="3"/>
      <c r="L944" s="3"/>
      <c r="M944" s="3"/>
      <c r="N944" s="3"/>
      <c r="O944" s="3"/>
      <c r="P944" s="3"/>
      <c r="Q944" s="3"/>
      <c r="R944" s="3"/>
      <c r="S944" s="3"/>
      <c r="T944" s="3"/>
      <c r="U944" s="3"/>
      <c r="V944" s="3"/>
      <c r="W944" s="3"/>
      <c r="X944" s="3"/>
      <c r="Y944" s="3"/>
      <c r="Z944" s="3"/>
    </row>
    <row r="945" spans="1:26" ht="22.5" customHeight="1" x14ac:dyDescent="0.85">
      <c r="A945" s="166"/>
      <c r="B945" s="167"/>
      <c r="C945" s="167"/>
      <c r="D945" s="147"/>
      <c r="E945" s="147"/>
      <c r="F945" s="147"/>
      <c r="G945" s="147"/>
      <c r="H945" s="147"/>
      <c r="I945" s="147"/>
      <c r="J945" s="147"/>
      <c r="K945" s="3"/>
      <c r="L945" s="3"/>
      <c r="M945" s="3"/>
      <c r="N945" s="3"/>
      <c r="O945" s="3"/>
      <c r="P945" s="3"/>
      <c r="Q945" s="3"/>
      <c r="R945" s="3"/>
      <c r="S945" s="3"/>
      <c r="T945" s="3"/>
      <c r="U945" s="3"/>
      <c r="V945" s="3"/>
      <c r="W945" s="3"/>
      <c r="X945" s="3"/>
      <c r="Y945" s="3"/>
      <c r="Z945" s="3"/>
    </row>
    <row r="946" spans="1:26" ht="22.5" customHeight="1" x14ac:dyDescent="0.85">
      <c r="A946" s="166"/>
      <c r="B946" s="167"/>
      <c r="C946" s="167"/>
      <c r="D946" s="147"/>
      <c r="E946" s="147"/>
      <c r="F946" s="147"/>
      <c r="G946" s="147"/>
      <c r="H946" s="147"/>
      <c r="I946" s="147"/>
      <c r="J946" s="147"/>
      <c r="K946" s="3"/>
      <c r="L946" s="3"/>
      <c r="M946" s="3"/>
      <c r="N946" s="3"/>
      <c r="O946" s="3"/>
      <c r="P946" s="3"/>
      <c r="Q946" s="3"/>
      <c r="R946" s="3"/>
      <c r="S946" s="3"/>
      <c r="T946" s="3"/>
      <c r="U946" s="3"/>
      <c r="V946" s="3"/>
      <c r="W946" s="3"/>
      <c r="X946" s="3"/>
      <c r="Y946" s="3"/>
      <c r="Z946" s="3"/>
    </row>
    <row r="947" spans="1:26" ht="22.5" customHeight="1" x14ac:dyDescent="0.85">
      <c r="A947" s="166"/>
      <c r="B947" s="167"/>
      <c r="C947" s="167"/>
      <c r="D947" s="147"/>
      <c r="E947" s="147"/>
      <c r="F947" s="147"/>
      <c r="G947" s="147"/>
      <c r="H947" s="147"/>
      <c r="I947" s="147"/>
      <c r="J947" s="147"/>
      <c r="K947" s="3"/>
      <c r="L947" s="3"/>
      <c r="M947" s="3"/>
      <c r="N947" s="3"/>
      <c r="O947" s="3"/>
      <c r="P947" s="3"/>
      <c r="Q947" s="3"/>
      <c r="R947" s="3"/>
      <c r="S947" s="3"/>
      <c r="T947" s="3"/>
      <c r="U947" s="3"/>
      <c r="V947" s="3"/>
      <c r="W947" s="3"/>
      <c r="X947" s="3"/>
      <c r="Y947" s="3"/>
      <c r="Z947" s="3"/>
    </row>
    <row r="948" spans="1:26" ht="22.5" customHeight="1" x14ac:dyDescent="0.85">
      <c r="A948" s="166"/>
      <c r="B948" s="167"/>
      <c r="C948" s="167"/>
      <c r="D948" s="147"/>
      <c r="E948" s="147"/>
      <c r="F948" s="147"/>
      <c r="G948" s="147"/>
      <c r="H948" s="147"/>
      <c r="I948" s="147"/>
      <c r="J948" s="147"/>
      <c r="K948" s="3"/>
      <c r="L948" s="3"/>
      <c r="M948" s="3"/>
      <c r="N948" s="3"/>
      <c r="O948" s="3"/>
      <c r="P948" s="3"/>
      <c r="Q948" s="3"/>
      <c r="R948" s="3"/>
      <c r="S948" s="3"/>
      <c r="T948" s="3"/>
      <c r="U948" s="3"/>
      <c r="V948" s="3"/>
      <c r="W948" s="3"/>
      <c r="X948" s="3"/>
      <c r="Y948" s="3"/>
      <c r="Z948" s="3"/>
    </row>
    <row r="949" spans="1:26" ht="22.5" customHeight="1" x14ac:dyDescent="0.85">
      <c r="A949" s="166"/>
      <c r="B949" s="167"/>
      <c r="C949" s="167"/>
      <c r="D949" s="147"/>
      <c r="E949" s="147"/>
      <c r="F949" s="147"/>
      <c r="G949" s="147"/>
      <c r="H949" s="147"/>
      <c r="I949" s="147"/>
      <c r="J949" s="147"/>
      <c r="K949" s="3"/>
      <c r="L949" s="3"/>
      <c r="M949" s="3"/>
      <c r="N949" s="3"/>
      <c r="O949" s="3"/>
      <c r="P949" s="3"/>
      <c r="Q949" s="3"/>
      <c r="R949" s="3"/>
      <c r="S949" s="3"/>
      <c r="T949" s="3"/>
      <c r="U949" s="3"/>
      <c r="V949" s="3"/>
      <c r="W949" s="3"/>
      <c r="X949" s="3"/>
      <c r="Y949" s="3"/>
      <c r="Z949" s="3"/>
    </row>
    <row r="950" spans="1:26" ht="22.5" customHeight="1" x14ac:dyDescent="0.85">
      <c r="A950" s="166"/>
      <c r="B950" s="167"/>
      <c r="C950" s="167"/>
      <c r="D950" s="147"/>
      <c r="E950" s="147"/>
      <c r="F950" s="147"/>
      <c r="G950" s="147"/>
      <c r="H950" s="147"/>
      <c r="I950" s="147"/>
      <c r="J950" s="147"/>
      <c r="K950" s="3"/>
      <c r="L950" s="3"/>
      <c r="M950" s="3"/>
      <c r="N950" s="3"/>
      <c r="O950" s="3"/>
      <c r="P950" s="3"/>
      <c r="Q950" s="3"/>
      <c r="R950" s="3"/>
      <c r="S950" s="3"/>
      <c r="T950" s="3"/>
      <c r="U950" s="3"/>
      <c r="V950" s="3"/>
      <c r="W950" s="3"/>
      <c r="X950" s="3"/>
      <c r="Y950" s="3"/>
      <c r="Z950" s="3"/>
    </row>
    <row r="951" spans="1:26" ht="22.5" customHeight="1" x14ac:dyDescent="0.85">
      <c r="A951" s="166"/>
      <c r="B951" s="167"/>
      <c r="C951" s="167"/>
      <c r="D951" s="147"/>
      <c r="E951" s="147"/>
      <c r="F951" s="147"/>
      <c r="G951" s="147"/>
      <c r="H951" s="147"/>
      <c r="I951" s="147"/>
      <c r="J951" s="147"/>
      <c r="K951" s="3"/>
      <c r="L951" s="3"/>
      <c r="M951" s="3"/>
      <c r="N951" s="3"/>
      <c r="O951" s="3"/>
      <c r="P951" s="3"/>
      <c r="Q951" s="3"/>
      <c r="R951" s="3"/>
      <c r="S951" s="3"/>
      <c r="T951" s="3"/>
      <c r="U951" s="3"/>
      <c r="V951" s="3"/>
      <c r="W951" s="3"/>
      <c r="X951" s="3"/>
      <c r="Y951" s="3"/>
      <c r="Z951" s="3"/>
    </row>
    <row r="952" spans="1:26" ht="22.5" customHeight="1" x14ac:dyDescent="0.85">
      <c r="A952" s="166"/>
      <c r="B952" s="167"/>
      <c r="C952" s="167"/>
      <c r="D952" s="147"/>
      <c r="E952" s="147"/>
      <c r="F952" s="147"/>
      <c r="G952" s="147"/>
      <c r="H952" s="147"/>
      <c r="I952" s="147"/>
      <c r="J952" s="147"/>
      <c r="K952" s="3"/>
      <c r="L952" s="3"/>
      <c r="M952" s="3"/>
      <c r="N952" s="3"/>
      <c r="O952" s="3"/>
      <c r="P952" s="3"/>
      <c r="Q952" s="3"/>
      <c r="R952" s="3"/>
      <c r="S952" s="3"/>
      <c r="T952" s="3"/>
      <c r="U952" s="3"/>
      <c r="V952" s="3"/>
      <c r="W952" s="3"/>
      <c r="X952" s="3"/>
      <c r="Y952" s="3"/>
      <c r="Z952" s="3"/>
    </row>
    <row r="953" spans="1:26" ht="22.5" customHeight="1" x14ac:dyDescent="0.85">
      <c r="A953" s="166"/>
      <c r="B953" s="167"/>
      <c r="C953" s="167"/>
      <c r="D953" s="147"/>
      <c r="E953" s="147"/>
      <c r="F953" s="147"/>
      <c r="G953" s="147"/>
      <c r="H953" s="147"/>
      <c r="I953" s="147"/>
      <c r="J953" s="147"/>
      <c r="K953" s="3"/>
      <c r="L953" s="3"/>
      <c r="M953" s="3"/>
      <c r="N953" s="3"/>
      <c r="O953" s="3"/>
      <c r="P953" s="3"/>
      <c r="Q953" s="3"/>
      <c r="R953" s="3"/>
      <c r="S953" s="3"/>
      <c r="T953" s="3"/>
      <c r="U953" s="3"/>
      <c r="V953" s="3"/>
      <c r="W953" s="3"/>
      <c r="X953" s="3"/>
      <c r="Y953" s="3"/>
      <c r="Z953" s="3"/>
    </row>
    <row r="954" spans="1:26" ht="22.5" customHeight="1" x14ac:dyDescent="0.85">
      <c r="A954" s="166"/>
      <c r="B954" s="167"/>
      <c r="C954" s="167"/>
      <c r="D954" s="147"/>
      <c r="E954" s="147"/>
      <c r="F954" s="147"/>
      <c r="G954" s="147"/>
      <c r="H954" s="147"/>
      <c r="I954" s="147"/>
      <c r="J954" s="147"/>
      <c r="K954" s="3"/>
      <c r="L954" s="3"/>
      <c r="M954" s="3"/>
      <c r="N954" s="3"/>
      <c r="O954" s="3"/>
      <c r="P954" s="3"/>
      <c r="Q954" s="3"/>
      <c r="R954" s="3"/>
      <c r="S954" s="3"/>
      <c r="T954" s="3"/>
      <c r="U954" s="3"/>
      <c r="V954" s="3"/>
      <c r="W954" s="3"/>
      <c r="X954" s="3"/>
      <c r="Y954" s="3"/>
      <c r="Z954" s="3"/>
    </row>
    <row r="955" spans="1:26" ht="22.5" customHeight="1" x14ac:dyDescent="0.85">
      <c r="A955" s="166"/>
      <c r="B955" s="167"/>
      <c r="C955" s="167"/>
      <c r="D955" s="147"/>
      <c r="E955" s="147"/>
      <c r="F955" s="147"/>
      <c r="G955" s="147"/>
      <c r="H955" s="147"/>
      <c r="I955" s="147"/>
      <c r="J955" s="147"/>
      <c r="K955" s="3"/>
      <c r="L955" s="3"/>
      <c r="M955" s="3"/>
      <c r="N955" s="3"/>
      <c r="O955" s="3"/>
      <c r="P955" s="3"/>
      <c r="Q955" s="3"/>
      <c r="R955" s="3"/>
      <c r="S955" s="3"/>
      <c r="T955" s="3"/>
      <c r="U955" s="3"/>
      <c r="V955" s="3"/>
      <c r="W955" s="3"/>
      <c r="X955" s="3"/>
      <c r="Y955" s="3"/>
      <c r="Z955" s="3"/>
    </row>
    <row r="956" spans="1:26" ht="22.5" customHeight="1" x14ac:dyDescent="0.85">
      <c r="A956" s="166"/>
      <c r="B956" s="167"/>
      <c r="C956" s="167"/>
      <c r="D956" s="147"/>
      <c r="E956" s="147"/>
      <c r="F956" s="147"/>
      <c r="G956" s="147"/>
      <c r="H956" s="147"/>
      <c r="I956" s="147"/>
      <c r="J956" s="147"/>
      <c r="K956" s="3"/>
      <c r="L956" s="3"/>
      <c r="M956" s="3"/>
      <c r="N956" s="3"/>
      <c r="O956" s="3"/>
      <c r="P956" s="3"/>
      <c r="Q956" s="3"/>
      <c r="R956" s="3"/>
      <c r="S956" s="3"/>
      <c r="T956" s="3"/>
      <c r="U956" s="3"/>
      <c r="V956" s="3"/>
      <c r="W956" s="3"/>
      <c r="X956" s="3"/>
      <c r="Y956" s="3"/>
      <c r="Z956" s="3"/>
    </row>
    <row r="957" spans="1:26" ht="22.5" customHeight="1" x14ac:dyDescent="0.85">
      <c r="A957" s="166"/>
      <c r="B957" s="167"/>
      <c r="C957" s="167"/>
      <c r="D957" s="147"/>
      <c r="E957" s="147"/>
      <c r="F957" s="147"/>
      <c r="G957" s="147"/>
      <c r="H957" s="147"/>
      <c r="I957" s="147"/>
      <c r="J957" s="147"/>
      <c r="K957" s="3"/>
      <c r="L957" s="3"/>
      <c r="M957" s="3"/>
      <c r="N957" s="3"/>
      <c r="O957" s="3"/>
      <c r="P957" s="3"/>
      <c r="Q957" s="3"/>
      <c r="R957" s="3"/>
      <c r="S957" s="3"/>
      <c r="T957" s="3"/>
      <c r="U957" s="3"/>
      <c r="V957" s="3"/>
      <c r="W957" s="3"/>
      <c r="X957" s="3"/>
      <c r="Y957" s="3"/>
      <c r="Z957" s="3"/>
    </row>
    <row r="958" spans="1:26" ht="22.5" customHeight="1" x14ac:dyDescent="0.85">
      <c r="A958" s="166"/>
      <c r="B958" s="167"/>
      <c r="C958" s="167"/>
      <c r="D958" s="147"/>
      <c r="E958" s="147"/>
      <c r="F958" s="147"/>
      <c r="G958" s="147"/>
      <c r="H958" s="147"/>
      <c r="I958" s="147"/>
      <c r="J958" s="147"/>
      <c r="K958" s="3"/>
      <c r="L958" s="3"/>
      <c r="M958" s="3"/>
      <c r="N958" s="3"/>
      <c r="O958" s="3"/>
      <c r="P958" s="3"/>
      <c r="Q958" s="3"/>
      <c r="R958" s="3"/>
      <c r="S958" s="3"/>
      <c r="T958" s="3"/>
      <c r="U958" s="3"/>
      <c r="V958" s="3"/>
      <c r="W958" s="3"/>
      <c r="X958" s="3"/>
      <c r="Y958" s="3"/>
      <c r="Z958" s="3"/>
    </row>
    <row r="959" spans="1:26" ht="22.5" customHeight="1" x14ac:dyDescent="0.85">
      <c r="A959" s="166"/>
      <c r="B959" s="167"/>
      <c r="C959" s="167"/>
      <c r="D959" s="147"/>
      <c r="E959" s="147"/>
      <c r="F959" s="147"/>
      <c r="G959" s="147"/>
      <c r="H959" s="147"/>
      <c r="I959" s="147"/>
      <c r="J959" s="147"/>
      <c r="K959" s="3"/>
      <c r="L959" s="3"/>
      <c r="M959" s="3"/>
      <c r="N959" s="3"/>
      <c r="O959" s="3"/>
      <c r="P959" s="3"/>
      <c r="Q959" s="3"/>
      <c r="R959" s="3"/>
      <c r="S959" s="3"/>
      <c r="T959" s="3"/>
      <c r="U959" s="3"/>
      <c r="V959" s="3"/>
      <c r="W959" s="3"/>
      <c r="X959" s="3"/>
      <c r="Y959" s="3"/>
      <c r="Z959" s="3"/>
    </row>
    <row r="960" spans="1:26" ht="22.5" customHeight="1" x14ac:dyDescent="0.85">
      <c r="A960" s="166"/>
      <c r="B960" s="167"/>
      <c r="C960" s="167"/>
      <c r="D960" s="147"/>
      <c r="E960" s="147"/>
      <c r="F960" s="147"/>
      <c r="G960" s="147"/>
      <c r="H960" s="147"/>
      <c r="I960" s="147"/>
      <c r="J960" s="147"/>
      <c r="K960" s="3"/>
      <c r="L960" s="3"/>
      <c r="M960" s="3"/>
      <c r="N960" s="3"/>
      <c r="O960" s="3"/>
      <c r="P960" s="3"/>
      <c r="Q960" s="3"/>
      <c r="R960" s="3"/>
      <c r="S960" s="3"/>
      <c r="T960" s="3"/>
      <c r="U960" s="3"/>
      <c r="V960" s="3"/>
      <c r="W960" s="3"/>
      <c r="X960" s="3"/>
      <c r="Y960" s="3"/>
      <c r="Z960" s="3"/>
    </row>
    <row r="961" spans="1:26" ht="22.5" customHeight="1" x14ac:dyDescent="0.85">
      <c r="A961" s="166"/>
      <c r="B961" s="167"/>
      <c r="C961" s="167"/>
      <c r="D961" s="147"/>
      <c r="E961" s="147"/>
      <c r="F961" s="147"/>
      <c r="G961" s="147"/>
      <c r="H961" s="147"/>
      <c r="I961" s="147"/>
      <c r="J961" s="147"/>
      <c r="K961" s="3"/>
      <c r="L961" s="3"/>
      <c r="M961" s="3"/>
      <c r="N961" s="3"/>
      <c r="O961" s="3"/>
      <c r="P961" s="3"/>
      <c r="Q961" s="3"/>
      <c r="R961" s="3"/>
      <c r="S961" s="3"/>
      <c r="T961" s="3"/>
      <c r="U961" s="3"/>
      <c r="V961" s="3"/>
      <c r="W961" s="3"/>
      <c r="X961" s="3"/>
      <c r="Y961" s="3"/>
      <c r="Z961" s="3"/>
    </row>
    <row r="962" spans="1:26" ht="22.5" customHeight="1" x14ac:dyDescent="0.85">
      <c r="A962" s="166"/>
      <c r="B962" s="167"/>
      <c r="C962" s="167"/>
      <c r="D962" s="147"/>
      <c r="E962" s="147"/>
      <c r="F962" s="147"/>
      <c r="G962" s="147"/>
      <c r="H962" s="147"/>
      <c r="I962" s="147"/>
      <c r="J962" s="147"/>
      <c r="K962" s="3"/>
      <c r="L962" s="3"/>
      <c r="M962" s="3"/>
      <c r="N962" s="3"/>
      <c r="O962" s="3"/>
      <c r="P962" s="3"/>
      <c r="Q962" s="3"/>
      <c r="R962" s="3"/>
      <c r="S962" s="3"/>
      <c r="T962" s="3"/>
      <c r="U962" s="3"/>
      <c r="V962" s="3"/>
      <c r="W962" s="3"/>
      <c r="X962" s="3"/>
      <c r="Y962" s="3"/>
      <c r="Z962" s="3"/>
    </row>
    <row r="963" spans="1:26" ht="22.5" customHeight="1" x14ac:dyDescent="0.85">
      <c r="A963" s="166"/>
      <c r="B963" s="167"/>
      <c r="C963" s="167"/>
      <c r="D963" s="147"/>
      <c r="E963" s="147"/>
      <c r="F963" s="147"/>
      <c r="G963" s="147"/>
      <c r="H963" s="147"/>
      <c r="I963" s="147"/>
      <c r="J963" s="147"/>
      <c r="K963" s="3"/>
      <c r="L963" s="3"/>
      <c r="M963" s="3"/>
      <c r="N963" s="3"/>
      <c r="O963" s="3"/>
      <c r="P963" s="3"/>
      <c r="Q963" s="3"/>
      <c r="R963" s="3"/>
      <c r="S963" s="3"/>
      <c r="T963" s="3"/>
      <c r="U963" s="3"/>
      <c r="V963" s="3"/>
      <c r="W963" s="3"/>
      <c r="X963" s="3"/>
      <c r="Y963" s="3"/>
      <c r="Z963" s="3"/>
    </row>
    <row r="964" spans="1:26" ht="22.5" customHeight="1" x14ac:dyDescent="0.85">
      <c r="A964" s="166"/>
      <c r="B964" s="167"/>
      <c r="C964" s="167"/>
      <c r="D964" s="147"/>
      <c r="E964" s="147"/>
      <c r="F964" s="147"/>
      <c r="G964" s="147"/>
      <c r="H964" s="147"/>
      <c r="I964" s="147"/>
      <c r="J964" s="147"/>
      <c r="K964" s="3"/>
      <c r="L964" s="3"/>
      <c r="M964" s="3"/>
      <c r="N964" s="3"/>
      <c r="O964" s="3"/>
      <c r="P964" s="3"/>
      <c r="Q964" s="3"/>
      <c r="R964" s="3"/>
      <c r="S964" s="3"/>
      <c r="T964" s="3"/>
      <c r="U964" s="3"/>
      <c r="V964" s="3"/>
      <c r="W964" s="3"/>
      <c r="X964" s="3"/>
      <c r="Y964" s="3"/>
      <c r="Z964" s="3"/>
    </row>
    <row r="965" spans="1:26" ht="22.5" customHeight="1" x14ac:dyDescent="0.85">
      <c r="A965" s="166"/>
      <c r="B965" s="167"/>
      <c r="C965" s="167"/>
      <c r="D965" s="147"/>
      <c r="E965" s="147"/>
      <c r="F965" s="147"/>
      <c r="G965" s="147"/>
      <c r="H965" s="147"/>
      <c r="I965" s="147"/>
      <c r="J965" s="147"/>
      <c r="K965" s="3"/>
      <c r="L965" s="3"/>
      <c r="M965" s="3"/>
      <c r="N965" s="3"/>
      <c r="O965" s="3"/>
      <c r="P965" s="3"/>
      <c r="Q965" s="3"/>
      <c r="R965" s="3"/>
      <c r="S965" s="3"/>
      <c r="T965" s="3"/>
      <c r="U965" s="3"/>
      <c r="V965" s="3"/>
      <c r="W965" s="3"/>
      <c r="X965" s="3"/>
      <c r="Y965" s="3"/>
      <c r="Z965" s="3"/>
    </row>
    <row r="966" spans="1:26" ht="22.5" customHeight="1" x14ac:dyDescent="0.85">
      <c r="A966" s="166"/>
      <c r="B966" s="167"/>
      <c r="C966" s="167"/>
      <c r="D966" s="147"/>
      <c r="E966" s="147"/>
      <c r="F966" s="147"/>
      <c r="G966" s="147"/>
      <c r="H966" s="147"/>
      <c r="I966" s="147"/>
      <c r="J966" s="147"/>
      <c r="K966" s="3"/>
      <c r="L966" s="3"/>
      <c r="M966" s="3"/>
      <c r="N966" s="3"/>
      <c r="O966" s="3"/>
      <c r="P966" s="3"/>
      <c r="Q966" s="3"/>
      <c r="R966" s="3"/>
      <c r="S966" s="3"/>
      <c r="T966" s="3"/>
      <c r="U966" s="3"/>
      <c r="V966" s="3"/>
      <c r="W966" s="3"/>
      <c r="X966" s="3"/>
      <c r="Y966" s="3"/>
      <c r="Z966" s="3"/>
    </row>
    <row r="967" spans="1:26" ht="22.5" customHeight="1" x14ac:dyDescent="0.85">
      <c r="A967" s="166"/>
      <c r="B967" s="167"/>
      <c r="C967" s="167"/>
      <c r="D967" s="147"/>
      <c r="E967" s="147"/>
      <c r="F967" s="147"/>
      <c r="G967" s="147"/>
      <c r="H967" s="147"/>
      <c r="I967" s="147"/>
      <c r="J967" s="147"/>
      <c r="K967" s="3"/>
      <c r="L967" s="3"/>
      <c r="M967" s="3"/>
      <c r="N967" s="3"/>
      <c r="O967" s="3"/>
      <c r="P967" s="3"/>
      <c r="Q967" s="3"/>
      <c r="R967" s="3"/>
      <c r="S967" s="3"/>
      <c r="T967" s="3"/>
      <c r="U967" s="3"/>
      <c r="V967" s="3"/>
      <c r="W967" s="3"/>
      <c r="X967" s="3"/>
      <c r="Y967" s="3"/>
      <c r="Z967" s="3"/>
    </row>
    <row r="968" spans="1:26" ht="22.5" customHeight="1" x14ac:dyDescent="0.85">
      <c r="A968" s="166"/>
      <c r="B968" s="167"/>
      <c r="C968" s="167"/>
      <c r="D968" s="147"/>
      <c r="E968" s="147"/>
      <c r="F968" s="147"/>
      <c r="G968" s="147"/>
      <c r="H968" s="147"/>
      <c r="I968" s="147"/>
      <c r="J968" s="147"/>
      <c r="K968" s="3"/>
      <c r="L968" s="3"/>
      <c r="M968" s="3"/>
      <c r="N968" s="3"/>
      <c r="O968" s="3"/>
      <c r="P968" s="3"/>
      <c r="Q968" s="3"/>
      <c r="R968" s="3"/>
      <c r="S968" s="3"/>
      <c r="T968" s="3"/>
      <c r="U968" s="3"/>
      <c r="V968" s="3"/>
      <c r="W968" s="3"/>
      <c r="X968" s="3"/>
      <c r="Y968" s="3"/>
      <c r="Z968" s="3"/>
    </row>
    <row r="969" spans="1:26" ht="22.5" customHeight="1" x14ac:dyDescent="0.85">
      <c r="A969" s="166"/>
      <c r="B969" s="167"/>
      <c r="C969" s="167"/>
      <c r="D969" s="147"/>
      <c r="E969" s="147"/>
      <c r="F969" s="147"/>
      <c r="G969" s="147"/>
      <c r="H969" s="147"/>
      <c r="I969" s="147"/>
      <c r="J969" s="147"/>
      <c r="K969" s="3"/>
      <c r="L969" s="3"/>
      <c r="M969" s="3"/>
      <c r="N969" s="3"/>
      <c r="O969" s="3"/>
      <c r="P969" s="3"/>
      <c r="Q969" s="3"/>
      <c r="R969" s="3"/>
      <c r="S969" s="3"/>
      <c r="T969" s="3"/>
      <c r="U969" s="3"/>
      <c r="V969" s="3"/>
      <c r="W969" s="3"/>
      <c r="X969" s="3"/>
      <c r="Y969" s="3"/>
      <c r="Z969" s="3"/>
    </row>
    <row r="970" spans="1:26" ht="22.5" customHeight="1" x14ac:dyDescent="0.85">
      <c r="A970" s="166"/>
      <c r="B970" s="167"/>
      <c r="C970" s="167"/>
      <c r="D970" s="147"/>
      <c r="E970" s="147"/>
      <c r="F970" s="147"/>
      <c r="G970" s="147"/>
      <c r="H970" s="147"/>
      <c r="I970" s="147"/>
      <c r="J970" s="147"/>
      <c r="K970" s="3"/>
      <c r="L970" s="3"/>
      <c r="M970" s="3"/>
      <c r="N970" s="3"/>
      <c r="O970" s="3"/>
      <c r="P970" s="3"/>
      <c r="Q970" s="3"/>
      <c r="R970" s="3"/>
      <c r="S970" s="3"/>
      <c r="T970" s="3"/>
      <c r="U970" s="3"/>
      <c r="V970" s="3"/>
      <c r="W970" s="3"/>
      <c r="X970" s="3"/>
      <c r="Y970" s="3"/>
      <c r="Z970" s="3"/>
    </row>
    <row r="971" spans="1:26" ht="22.5" customHeight="1" x14ac:dyDescent="0.85">
      <c r="A971" s="166"/>
      <c r="B971" s="167"/>
      <c r="C971" s="167"/>
      <c r="D971" s="147"/>
      <c r="E971" s="147"/>
      <c r="F971" s="147"/>
      <c r="G971" s="147"/>
      <c r="H971" s="147"/>
      <c r="I971" s="147"/>
      <c r="J971" s="147"/>
      <c r="K971" s="3"/>
      <c r="L971" s="3"/>
      <c r="M971" s="3"/>
      <c r="N971" s="3"/>
      <c r="O971" s="3"/>
      <c r="P971" s="3"/>
      <c r="Q971" s="3"/>
      <c r="R971" s="3"/>
      <c r="S971" s="3"/>
      <c r="T971" s="3"/>
      <c r="U971" s="3"/>
      <c r="V971" s="3"/>
      <c r="W971" s="3"/>
      <c r="X971" s="3"/>
      <c r="Y971" s="3"/>
      <c r="Z971" s="3"/>
    </row>
    <row r="972" spans="1:26" ht="22.5" customHeight="1" x14ac:dyDescent="0.85">
      <c r="A972" s="166"/>
      <c r="B972" s="167"/>
      <c r="C972" s="167"/>
      <c r="D972" s="147"/>
      <c r="E972" s="147"/>
      <c r="F972" s="147"/>
      <c r="G972" s="147"/>
      <c r="H972" s="147"/>
      <c r="I972" s="147"/>
      <c r="J972" s="147"/>
      <c r="K972" s="3"/>
      <c r="L972" s="3"/>
      <c r="M972" s="3"/>
      <c r="N972" s="3"/>
      <c r="O972" s="3"/>
      <c r="P972" s="3"/>
      <c r="Q972" s="3"/>
      <c r="R972" s="3"/>
      <c r="S972" s="3"/>
      <c r="T972" s="3"/>
      <c r="U972" s="3"/>
      <c r="V972" s="3"/>
      <c r="W972" s="3"/>
      <c r="X972" s="3"/>
      <c r="Y972" s="3"/>
      <c r="Z972" s="3"/>
    </row>
    <row r="973" spans="1:26" ht="22.5" customHeight="1" x14ac:dyDescent="0.85">
      <c r="A973" s="166"/>
      <c r="B973" s="167"/>
      <c r="C973" s="167"/>
      <c r="D973" s="147"/>
      <c r="E973" s="147"/>
      <c r="F973" s="147"/>
      <c r="G973" s="147"/>
      <c r="H973" s="147"/>
      <c r="I973" s="147"/>
      <c r="J973" s="147"/>
      <c r="K973" s="3"/>
      <c r="L973" s="3"/>
      <c r="M973" s="3"/>
      <c r="N973" s="3"/>
      <c r="O973" s="3"/>
      <c r="P973" s="3"/>
      <c r="Q973" s="3"/>
      <c r="R973" s="3"/>
      <c r="S973" s="3"/>
      <c r="T973" s="3"/>
      <c r="U973" s="3"/>
      <c r="V973" s="3"/>
      <c r="W973" s="3"/>
      <c r="X973" s="3"/>
      <c r="Y973" s="3"/>
      <c r="Z973" s="3"/>
    </row>
    <row r="974" spans="1:26" ht="22.5" customHeight="1" x14ac:dyDescent="0.85">
      <c r="A974" s="166"/>
      <c r="B974" s="167"/>
      <c r="C974" s="167"/>
      <c r="D974" s="147"/>
      <c r="E974" s="147"/>
      <c r="F974" s="147"/>
      <c r="G974" s="147"/>
      <c r="H974" s="147"/>
      <c r="I974" s="147"/>
      <c r="J974" s="147"/>
      <c r="K974" s="3"/>
      <c r="L974" s="3"/>
      <c r="M974" s="3"/>
      <c r="N974" s="3"/>
      <c r="O974" s="3"/>
      <c r="P974" s="3"/>
      <c r="Q974" s="3"/>
      <c r="R974" s="3"/>
      <c r="S974" s="3"/>
      <c r="T974" s="3"/>
      <c r="U974" s="3"/>
      <c r="V974" s="3"/>
      <c r="W974" s="3"/>
      <c r="X974" s="3"/>
      <c r="Y974" s="3"/>
      <c r="Z974" s="3"/>
    </row>
    <row r="975" spans="1:26" ht="22.5" customHeight="1" x14ac:dyDescent="0.85">
      <c r="A975" s="166"/>
      <c r="B975" s="167"/>
      <c r="C975" s="167"/>
      <c r="D975" s="147"/>
      <c r="E975" s="147"/>
      <c r="F975" s="147"/>
      <c r="G975" s="147"/>
      <c r="H975" s="147"/>
      <c r="I975" s="147"/>
      <c r="J975" s="147"/>
      <c r="K975" s="3"/>
      <c r="L975" s="3"/>
      <c r="M975" s="3"/>
      <c r="N975" s="3"/>
      <c r="O975" s="3"/>
      <c r="P975" s="3"/>
      <c r="Q975" s="3"/>
      <c r="R975" s="3"/>
      <c r="S975" s="3"/>
      <c r="T975" s="3"/>
      <c r="U975" s="3"/>
      <c r="V975" s="3"/>
      <c r="W975" s="3"/>
      <c r="X975" s="3"/>
      <c r="Y975" s="3"/>
      <c r="Z975" s="3"/>
    </row>
    <row r="976" spans="1:26" ht="22.5" customHeight="1" x14ac:dyDescent="0.85">
      <c r="A976" s="166"/>
      <c r="B976" s="167"/>
      <c r="C976" s="167"/>
      <c r="D976" s="147"/>
      <c r="E976" s="147"/>
      <c r="F976" s="147"/>
      <c r="G976" s="147"/>
      <c r="H976" s="147"/>
      <c r="I976" s="147"/>
      <c r="J976" s="147"/>
      <c r="K976" s="3"/>
      <c r="L976" s="3"/>
      <c r="M976" s="3"/>
      <c r="N976" s="3"/>
      <c r="O976" s="3"/>
      <c r="P976" s="3"/>
      <c r="Q976" s="3"/>
      <c r="R976" s="3"/>
      <c r="S976" s="3"/>
      <c r="T976" s="3"/>
      <c r="U976" s="3"/>
      <c r="V976" s="3"/>
      <c r="W976" s="3"/>
      <c r="X976" s="3"/>
      <c r="Y976" s="3"/>
      <c r="Z976" s="3"/>
    </row>
    <row r="977" spans="1:26" ht="22.5" customHeight="1" x14ac:dyDescent="0.85">
      <c r="A977" s="166"/>
      <c r="B977" s="167"/>
      <c r="C977" s="167"/>
      <c r="D977" s="147"/>
      <c r="E977" s="147"/>
      <c r="F977" s="147"/>
      <c r="G977" s="147"/>
      <c r="H977" s="147"/>
      <c r="I977" s="147"/>
      <c r="J977" s="147"/>
      <c r="K977" s="3"/>
      <c r="L977" s="3"/>
      <c r="M977" s="3"/>
      <c r="N977" s="3"/>
      <c r="O977" s="3"/>
      <c r="P977" s="3"/>
      <c r="Q977" s="3"/>
      <c r="R977" s="3"/>
      <c r="S977" s="3"/>
      <c r="T977" s="3"/>
      <c r="U977" s="3"/>
      <c r="V977" s="3"/>
      <c r="W977" s="3"/>
      <c r="X977" s="3"/>
      <c r="Y977" s="3"/>
      <c r="Z977" s="3"/>
    </row>
    <row r="978" spans="1:26" ht="22.5" customHeight="1" x14ac:dyDescent="0.85">
      <c r="A978" s="166"/>
      <c r="B978" s="167"/>
      <c r="C978" s="167"/>
      <c r="D978" s="147"/>
      <c r="E978" s="147"/>
      <c r="F978" s="147"/>
      <c r="G978" s="147"/>
      <c r="H978" s="147"/>
      <c r="I978" s="147"/>
      <c r="J978" s="147"/>
      <c r="K978" s="3"/>
      <c r="L978" s="3"/>
      <c r="M978" s="3"/>
      <c r="N978" s="3"/>
      <c r="O978" s="3"/>
      <c r="P978" s="3"/>
      <c r="Q978" s="3"/>
      <c r="R978" s="3"/>
      <c r="S978" s="3"/>
      <c r="T978" s="3"/>
      <c r="U978" s="3"/>
      <c r="V978" s="3"/>
      <c r="W978" s="3"/>
      <c r="X978" s="3"/>
      <c r="Y978" s="3"/>
      <c r="Z978" s="3"/>
    </row>
    <row r="979" spans="1:26" ht="22.5" customHeight="1" x14ac:dyDescent="0.85">
      <c r="A979" s="166"/>
      <c r="B979" s="167"/>
      <c r="C979" s="167"/>
      <c r="D979" s="147"/>
      <c r="E979" s="147"/>
      <c r="F979" s="147"/>
      <c r="G979" s="147"/>
      <c r="H979" s="147"/>
      <c r="I979" s="147"/>
      <c r="J979" s="147"/>
      <c r="K979" s="3"/>
      <c r="L979" s="3"/>
      <c r="M979" s="3"/>
      <c r="N979" s="3"/>
      <c r="O979" s="3"/>
      <c r="P979" s="3"/>
      <c r="Q979" s="3"/>
      <c r="R979" s="3"/>
      <c r="S979" s="3"/>
      <c r="T979" s="3"/>
      <c r="U979" s="3"/>
      <c r="V979" s="3"/>
      <c r="W979" s="3"/>
      <c r="X979" s="3"/>
      <c r="Y979" s="3"/>
      <c r="Z979" s="3"/>
    </row>
    <row r="980" spans="1:26" ht="22.5" customHeight="1" x14ac:dyDescent="0.85">
      <c r="A980" s="166"/>
      <c r="B980" s="167"/>
      <c r="C980" s="167"/>
      <c r="D980" s="147"/>
      <c r="E980" s="147"/>
      <c r="F980" s="147"/>
      <c r="G980" s="147"/>
      <c r="H980" s="147"/>
      <c r="I980" s="147"/>
      <c r="J980" s="147"/>
      <c r="K980" s="3"/>
      <c r="L980" s="3"/>
      <c r="M980" s="3"/>
      <c r="N980" s="3"/>
      <c r="O980" s="3"/>
      <c r="P980" s="3"/>
      <c r="Q980" s="3"/>
      <c r="R980" s="3"/>
      <c r="S980" s="3"/>
      <c r="T980" s="3"/>
      <c r="U980" s="3"/>
      <c r="V980" s="3"/>
      <c r="W980" s="3"/>
      <c r="X980" s="3"/>
      <c r="Y980" s="3"/>
      <c r="Z980" s="3"/>
    </row>
    <row r="981" spans="1:26" ht="22.5" customHeight="1" x14ac:dyDescent="0.85">
      <c r="A981" s="166"/>
      <c r="B981" s="167"/>
      <c r="C981" s="167"/>
      <c r="D981" s="147"/>
      <c r="E981" s="147"/>
      <c r="F981" s="147"/>
      <c r="G981" s="147"/>
      <c r="H981" s="147"/>
      <c r="I981" s="147"/>
      <c r="J981" s="147"/>
      <c r="K981" s="3"/>
      <c r="L981" s="3"/>
      <c r="M981" s="3"/>
      <c r="N981" s="3"/>
      <c r="O981" s="3"/>
      <c r="P981" s="3"/>
      <c r="Q981" s="3"/>
      <c r="R981" s="3"/>
      <c r="S981" s="3"/>
      <c r="T981" s="3"/>
      <c r="U981" s="3"/>
      <c r="V981" s="3"/>
      <c r="W981" s="3"/>
      <c r="X981" s="3"/>
      <c r="Y981" s="3"/>
      <c r="Z981" s="3"/>
    </row>
    <row r="982" spans="1:26" ht="22.5" customHeight="1" x14ac:dyDescent="0.85">
      <c r="A982" s="166"/>
      <c r="B982" s="167"/>
      <c r="C982" s="167"/>
      <c r="D982" s="147"/>
      <c r="E982" s="147"/>
      <c r="F982" s="147"/>
      <c r="G982" s="147"/>
      <c r="H982" s="147"/>
      <c r="I982" s="147"/>
      <c r="J982" s="147"/>
      <c r="K982" s="3"/>
      <c r="L982" s="3"/>
      <c r="M982" s="3"/>
      <c r="N982" s="3"/>
      <c r="O982" s="3"/>
      <c r="P982" s="3"/>
      <c r="Q982" s="3"/>
      <c r="R982" s="3"/>
      <c r="S982" s="3"/>
      <c r="T982" s="3"/>
      <c r="U982" s="3"/>
      <c r="V982" s="3"/>
      <c r="W982" s="3"/>
      <c r="X982" s="3"/>
      <c r="Y982" s="3"/>
      <c r="Z982" s="3"/>
    </row>
    <row r="983" spans="1:26" ht="22.5" customHeight="1" x14ac:dyDescent="0.85">
      <c r="A983" s="166"/>
      <c r="B983" s="167"/>
      <c r="C983" s="167"/>
      <c r="D983" s="147"/>
      <c r="E983" s="147"/>
      <c r="F983" s="147"/>
      <c r="G983" s="147"/>
      <c r="H983" s="147"/>
      <c r="I983" s="147"/>
      <c r="J983" s="147"/>
      <c r="K983" s="3"/>
      <c r="L983" s="3"/>
      <c r="M983" s="3"/>
      <c r="N983" s="3"/>
      <c r="O983" s="3"/>
      <c r="P983" s="3"/>
      <c r="Q983" s="3"/>
      <c r="R983" s="3"/>
      <c r="S983" s="3"/>
      <c r="T983" s="3"/>
      <c r="U983" s="3"/>
      <c r="V983" s="3"/>
      <c r="W983" s="3"/>
      <c r="X983" s="3"/>
      <c r="Y983" s="3"/>
      <c r="Z983" s="3"/>
    </row>
    <row r="984" spans="1:26" ht="22.5" customHeight="1" x14ac:dyDescent="0.85">
      <c r="A984" s="166"/>
      <c r="B984" s="167"/>
      <c r="C984" s="167"/>
      <c r="D984" s="147"/>
      <c r="E984" s="147"/>
      <c r="F984" s="147"/>
      <c r="G984" s="147"/>
      <c r="H984" s="147"/>
      <c r="I984" s="147"/>
      <c r="J984" s="147"/>
      <c r="K984" s="3"/>
      <c r="L984" s="3"/>
      <c r="M984" s="3"/>
      <c r="N984" s="3"/>
      <c r="O984" s="3"/>
      <c r="P984" s="3"/>
      <c r="Q984" s="3"/>
      <c r="R984" s="3"/>
      <c r="S984" s="3"/>
      <c r="T984" s="3"/>
      <c r="U984" s="3"/>
      <c r="V984" s="3"/>
      <c r="W984" s="3"/>
      <c r="X984" s="3"/>
      <c r="Y984" s="3"/>
      <c r="Z984" s="3"/>
    </row>
    <row r="985" spans="1:26" ht="22.5" customHeight="1" x14ac:dyDescent="0.85">
      <c r="A985" s="166"/>
      <c r="B985" s="167"/>
      <c r="C985" s="167"/>
      <c r="D985" s="147"/>
      <c r="E985" s="147"/>
      <c r="F985" s="147"/>
      <c r="G985" s="147"/>
      <c r="H985" s="147"/>
      <c r="I985" s="147"/>
      <c r="J985" s="147"/>
      <c r="K985" s="3"/>
      <c r="L985" s="3"/>
      <c r="M985" s="3"/>
      <c r="N985" s="3"/>
      <c r="O985" s="3"/>
      <c r="P985" s="3"/>
      <c r="Q985" s="3"/>
      <c r="R985" s="3"/>
      <c r="S985" s="3"/>
      <c r="T985" s="3"/>
      <c r="U985" s="3"/>
      <c r="V985" s="3"/>
      <c r="W985" s="3"/>
      <c r="X985" s="3"/>
      <c r="Y985" s="3"/>
      <c r="Z985" s="3"/>
    </row>
    <row r="986" spans="1:26" ht="22.5" customHeight="1" x14ac:dyDescent="0.85">
      <c r="A986" s="166"/>
      <c r="B986" s="167"/>
      <c r="C986" s="167"/>
      <c r="D986" s="147"/>
      <c r="E986" s="147"/>
      <c r="F986" s="147"/>
      <c r="G986" s="147"/>
      <c r="H986" s="147"/>
      <c r="I986" s="147"/>
      <c r="J986" s="147"/>
      <c r="K986" s="3"/>
      <c r="L986" s="3"/>
      <c r="M986" s="3"/>
      <c r="N986" s="3"/>
      <c r="O986" s="3"/>
      <c r="P986" s="3"/>
      <c r="Q986" s="3"/>
      <c r="R986" s="3"/>
      <c r="S986" s="3"/>
      <c r="T986" s="3"/>
      <c r="U986" s="3"/>
      <c r="V986" s="3"/>
      <c r="W986" s="3"/>
      <c r="X986" s="3"/>
      <c r="Y986" s="3"/>
      <c r="Z986" s="3"/>
    </row>
    <row r="987" spans="1:26" ht="22.5" customHeight="1" x14ac:dyDescent="0.85">
      <c r="A987" s="166"/>
      <c r="B987" s="167"/>
      <c r="C987" s="167"/>
      <c r="D987" s="147"/>
      <c r="E987" s="147"/>
      <c r="F987" s="147"/>
      <c r="G987" s="147"/>
      <c r="H987" s="147"/>
      <c r="I987" s="147"/>
      <c r="J987" s="147"/>
      <c r="K987" s="3"/>
      <c r="L987" s="3"/>
      <c r="M987" s="3"/>
      <c r="N987" s="3"/>
      <c r="O987" s="3"/>
      <c r="P987" s="3"/>
      <c r="Q987" s="3"/>
      <c r="R987" s="3"/>
      <c r="S987" s="3"/>
      <c r="T987" s="3"/>
      <c r="U987" s="3"/>
      <c r="V987" s="3"/>
      <c r="W987" s="3"/>
      <c r="X987" s="3"/>
      <c r="Y987" s="3"/>
      <c r="Z987" s="3"/>
    </row>
    <row r="988" spans="1:26" ht="22.5" customHeight="1" x14ac:dyDescent="0.85">
      <c r="A988" s="166"/>
      <c r="B988" s="167"/>
      <c r="C988" s="167"/>
      <c r="D988" s="147"/>
      <c r="E988" s="147"/>
      <c r="F988" s="147"/>
      <c r="G988" s="147"/>
      <c r="H988" s="147"/>
      <c r="I988" s="147"/>
      <c r="J988" s="147"/>
      <c r="K988" s="3"/>
      <c r="L988" s="3"/>
      <c r="M988" s="3"/>
      <c r="N988" s="3"/>
      <c r="O988" s="3"/>
      <c r="P988" s="3"/>
      <c r="Q988" s="3"/>
      <c r="R988" s="3"/>
      <c r="S988" s="3"/>
      <c r="T988" s="3"/>
      <c r="U988" s="3"/>
      <c r="V988" s="3"/>
      <c r="W988" s="3"/>
      <c r="X988" s="3"/>
      <c r="Y988" s="3"/>
      <c r="Z988" s="3"/>
    </row>
    <row r="989" spans="1:26" ht="22.5" customHeight="1" x14ac:dyDescent="0.85">
      <c r="A989" s="166"/>
      <c r="B989" s="167"/>
      <c r="C989" s="167"/>
      <c r="D989" s="147"/>
      <c r="E989" s="147"/>
      <c r="F989" s="147"/>
      <c r="G989" s="147"/>
      <c r="H989" s="147"/>
      <c r="I989" s="147"/>
      <c r="J989" s="147"/>
      <c r="K989" s="3"/>
      <c r="L989" s="3"/>
      <c r="M989" s="3"/>
      <c r="N989" s="3"/>
      <c r="O989" s="3"/>
      <c r="P989" s="3"/>
      <c r="Q989" s="3"/>
      <c r="R989" s="3"/>
      <c r="S989" s="3"/>
      <c r="T989" s="3"/>
      <c r="U989" s="3"/>
      <c r="V989" s="3"/>
      <c r="W989" s="3"/>
      <c r="X989" s="3"/>
      <c r="Y989" s="3"/>
      <c r="Z989" s="3"/>
    </row>
    <row r="990" spans="1:26" ht="22.5" customHeight="1" x14ac:dyDescent="0.85">
      <c r="A990" s="166"/>
      <c r="B990" s="167"/>
      <c r="C990" s="167"/>
      <c r="D990" s="147"/>
      <c r="E990" s="147"/>
      <c r="F990" s="147"/>
      <c r="G990" s="147"/>
      <c r="H990" s="147"/>
      <c r="I990" s="147"/>
      <c r="J990" s="147"/>
      <c r="K990" s="3"/>
      <c r="L990" s="3"/>
      <c r="M990" s="3"/>
      <c r="N990" s="3"/>
      <c r="O990" s="3"/>
      <c r="P990" s="3"/>
      <c r="Q990" s="3"/>
      <c r="R990" s="3"/>
      <c r="S990" s="3"/>
      <c r="T990" s="3"/>
      <c r="U990" s="3"/>
      <c r="V990" s="3"/>
      <c r="W990" s="3"/>
      <c r="X990" s="3"/>
      <c r="Y990" s="3"/>
      <c r="Z990" s="3"/>
    </row>
    <row r="991" spans="1:26" ht="22.5" customHeight="1" x14ac:dyDescent="0.85">
      <c r="A991" s="166"/>
      <c r="B991" s="167"/>
      <c r="C991" s="167"/>
      <c r="D991" s="147"/>
      <c r="E991" s="147"/>
      <c r="F991" s="147"/>
      <c r="G991" s="147"/>
      <c r="H991" s="147"/>
      <c r="I991" s="147"/>
      <c r="J991" s="147"/>
      <c r="K991" s="3"/>
      <c r="L991" s="3"/>
      <c r="M991" s="3"/>
      <c r="N991" s="3"/>
      <c r="O991" s="3"/>
      <c r="P991" s="3"/>
      <c r="Q991" s="3"/>
      <c r="R991" s="3"/>
      <c r="S991" s="3"/>
      <c r="T991" s="3"/>
      <c r="U991" s="3"/>
      <c r="V991" s="3"/>
      <c r="W991" s="3"/>
      <c r="X991" s="3"/>
      <c r="Y991" s="3"/>
      <c r="Z991" s="3"/>
    </row>
    <row r="992" spans="1:26" ht="22.5" customHeight="1" x14ac:dyDescent="0.85">
      <c r="A992" s="166"/>
      <c r="B992" s="167"/>
      <c r="C992" s="167"/>
      <c r="D992" s="147"/>
      <c r="E992" s="147"/>
      <c r="F992" s="147"/>
      <c r="G992" s="147"/>
      <c r="H992" s="147"/>
      <c r="I992" s="147"/>
      <c r="J992" s="147"/>
      <c r="K992" s="3"/>
      <c r="L992" s="3"/>
      <c r="M992" s="3"/>
      <c r="N992" s="3"/>
      <c r="O992" s="3"/>
      <c r="P992" s="3"/>
      <c r="Q992" s="3"/>
      <c r="R992" s="3"/>
      <c r="S992" s="3"/>
      <c r="T992" s="3"/>
      <c r="U992" s="3"/>
      <c r="V992" s="3"/>
      <c r="W992" s="3"/>
      <c r="X992" s="3"/>
      <c r="Y992" s="3"/>
      <c r="Z992" s="3"/>
    </row>
    <row r="993" spans="1:26" ht="22.5" customHeight="1" x14ac:dyDescent="0.85">
      <c r="A993" s="166"/>
      <c r="B993" s="167"/>
      <c r="C993" s="167"/>
      <c r="D993" s="147"/>
      <c r="E993" s="147"/>
      <c r="F993" s="147"/>
      <c r="G993" s="147"/>
      <c r="H993" s="147"/>
      <c r="I993" s="147"/>
      <c r="J993" s="147"/>
      <c r="K993" s="3"/>
      <c r="L993" s="3"/>
      <c r="M993" s="3"/>
      <c r="N993" s="3"/>
      <c r="O993" s="3"/>
      <c r="P993" s="3"/>
      <c r="Q993" s="3"/>
      <c r="R993" s="3"/>
      <c r="S993" s="3"/>
      <c r="T993" s="3"/>
      <c r="U993" s="3"/>
      <c r="V993" s="3"/>
      <c r="W993" s="3"/>
      <c r="X993" s="3"/>
      <c r="Y993" s="3"/>
      <c r="Z993" s="3"/>
    </row>
    <row r="994" spans="1:26" ht="22.5" customHeight="1" x14ac:dyDescent="0.85">
      <c r="A994" s="166"/>
      <c r="B994" s="167"/>
      <c r="C994" s="167"/>
      <c r="D994" s="147"/>
      <c r="E994" s="147"/>
      <c r="F994" s="147"/>
      <c r="G994" s="147"/>
      <c r="H994" s="147"/>
      <c r="I994" s="147"/>
      <c r="J994" s="147"/>
      <c r="K994" s="3"/>
      <c r="L994" s="3"/>
      <c r="M994" s="3"/>
      <c r="N994" s="3"/>
      <c r="O994" s="3"/>
      <c r="P994" s="3"/>
      <c r="Q994" s="3"/>
      <c r="R994" s="3"/>
      <c r="S994" s="3"/>
      <c r="T994" s="3"/>
      <c r="U994" s="3"/>
      <c r="V994" s="3"/>
      <c r="W994" s="3"/>
      <c r="X994" s="3"/>
      <c r="Y994" s="3"/>
      <c r="Z994" s="3"/>
    </row>
    <row r="995" spans="1:26" ht="22.5" customHeight="1" x14ac:dyDescent="0.85">
      <c r="A995" s="166"/>
      <c r="B995" s="167"/>
      <c r="C995" s="167"/>
      <c r="D995" s="147"/>
      <c r="E995" s="147"/>
      <c r="F995" s="147"/>
      <c r="G995" s="147"/>
      <c r="H995" s="147"/>
      <c r="I995" s="147"/>
      <c r="J995" s="147"/>
      <c r="K995" s="3"/>
      <c r="L995" s="3"/>
      <c r="M995" s="3"/>
      <c r="N995" s="3"/>
      <c r="O995" s="3"/>
      <c r="P995" s="3"/>
      <c r="Q995" s="3"/>
      <c r="R995" s="3"/>
      <c r="S995" s="3"/>
      <c r="T995" s="3"/>
      <c r="U995" s="3"/>
      <c r="V995" s="3"/>
      <c r="W995" s="3"/>
      <c r="X995" s="3"/>
      <c r="Y995" s="3"/>
      <c r="Z995" s="3"/>
    </row>
    <row r="996" spans="1:26" ht="22.5" customHeight="1" x14ac:dyDescent="0.85">
      <c r="A996" s="166"/>
      <c r="B996" s="167"/>
      <c r="C996" s="167"/>
      <c r="D996" s="147"/>
      <c r="E996" s="147"/>
      <c r="F996" s="147"/>
      <c r="G996" s="147"/>
      <c r="H996" s="147"/>
      <c r="I996" s="147"/>
      <c r="J996" s="147"/>
      <c r="K996" s="3"/>
      <c r="L996" s="3"/>
      <c r="M996" s="3"/>
      <c r="N996" s="3"/>
      <c r="O996" s="3"/>
      <c r="P996" s="3"/>
      <c r="Q996" s="3"/>
      <c r="R996" s="3"/>
      <c r="S996" s="3"/>
      <c r="T996" s="3"/>
      <c r="U996" s="3"/>
      <c r="V996" s="3"/>
      <c r="W996" s="3"/>
      <c r="X996" s="3"/>
      <c r="Y996" s="3"/>
      <c r="Z996" s="3"/>
    </row>
    <row r="997" spans="1:26" ht="22.5" customHeight="1" x14ac:dyDescent="0.85">
      <c r="A997" s="166"/>
      <c r="B997" s="167"/>
      <c r="C997" s="167"/>
      <c r="D997" s="147"/>
      <c r="E997" s="147"/>
      <c r="F997" s="147"/>
      <c r="G997" s="147"/>
      <c r="H997" s="147"/>
      <c r="I997" s="147"/>
      <c r="J997" s="147"/>
      <c r="K997" s="3"/>
      <c r="L997" s="3"/>
      <c r="M997" s="3"/>
      <c r="N997" s="3"/>
      <c r="O997" s="3"/>
      <c r="P997" s="3"/>
      <c r="Q997" s="3"/>
      <c r="R997" s="3"/>
      <c r="S997" s="3"/>
      <c r="T997" s="3"/>
      <c r="U997" s="3"/>
      <c r="V997" s="3"/>
      <c r="W997" s="3"/>
      <c r="X997" s="3"/>
      <c r="Y997" s="3"/>
      <c r="Z997" s="3"/>
    </row>
    <row r="998" spans="1:26" ht="22.5" customHeight="1" x14ac:dyDescent="0.85">
      <c r="A998" s="166"/>
      <c r="B998" s="167"/>
      <c r="C998" s="167"/>
      <c r="D998" s="147"/>
      <c r="E998" s="147"/>
      <c r="F998" s="147"/>
      <c r="G998" s="147"/>
      <c r="H998" s="147"/>
      <c r="I998" s="147"/>
      <c r="J998" s="147"/>
      <c r="K998" s="3"/>
      <c r="L998" s="3"/>
      <c r="M998" s="3"/>
      <c r="N998" s="3"/>
      <c r="O998" s="3"/>
      <c r="P998" s="3"/>
      <c r="Q998" s="3"/>
      <c r="R998" s="3"/>
      <c r="S998" s="3"/>
      <c r="T998" s="3"/>
      <c r="U998" s="3"/>
      <c r="V998" s="3"/>
      <c r="W998" s="3"/>
      <c r="X998" s="3"/>
      <c r="Y998" s="3"/>
      <c r="Z998" s="3"/>
    </row>
    <row r="999" spans="1:26" ht="22.5" customHeight="1" x14ac:dyDescent="0.85">
      <c r="A999" s="166"/>
      <c r="B999" s="167"/>
      <c r="C999" s="167"/>
      <c r="D999" s="147"/>
      <c r="E999" s="147"/>
      <c r="F999" s="147"/>
      <c r="G999" s="147"/>
      <c r="H999" s="147"/>
      <c r="I999" s="147"/>
      <c r="J999" s="147"/>
      <c r="K999" s="3"/>
      <c r="L999" s="3"/>
      <c r="M999" s="3"/>
      <c r="N999" s="3"/>
      <c r="O999" s="3"/>
      <c r="P999" s="3"/>
      <c r="Q999" s="3"/>
      <c r="R999" s="3"/>
      <c r="S999" s="3"/>
      <c r="T999" s="3"/>
      <c r="U999" s="3"/>
      <c r="V999" s="3"/>
      <c r="W999" s="3"/>
      <c r="X999" s="3"/>
      <c r="Y999" s="3"/>
      <c r="Z999" s="3"/>
    </row>
    <row r="1000" spans="1:26" ht="22.5" customHeight="1" x14ac:dyDescent="0.85">
      <c r="A1000" s="166"/>
      <c r="B1000" s="167"/>
      <c r="C1000" s="167"/>
      <c r="D1000" s="147"/>
      <c r="E1000" s="147"/>
      <c r="F1000" s="147"/>
      <c r="G1000" s="147"/>
      <c r="H1000" s="147"/>
      <c r="I1000" s="147"/>
      <c r="J1000" s="147"/>
      <c r="K1000" s="3"/>
      <c r="L1000" s="3"/>
      <c r="M1000" s="3"/>
      <c r="N1000" s="3"/>
      <c r="O1000" s="3"/>
      <c r="P1000" s="3"/>
      <c r="Q1000" s="3"/>
      <c r="R1000" s="3"/>
      <c r="S1000" s="3"/>
      <c r="T1000" s="3"/>
      <c r="U1000" s="3"/>
      <c r="V1000" s="3"/>
      <c r="W1000" s="3"/>
      <c r="X1000" s="3"/>
      <c r="Y1000" s="3"/>
      <c r="Z1000" s="3"/>
    </row>
  </sheetData>
  <mergeCells count="19">
    <mergeCell ref="A1:M1"/>
    <mergeCell ref="A2:M2"/>
    <mergeCell ref="D3:M3"/>
    <mergeCell ref="D4:M4"/>
    <mergeCell ref="D5:M5"/>
    <mergeCell ref="D6:M6"/>
    <mergeCell ref="D7:M7"/>
    <mergeCell ref="A18:C18"/>
    <mergeCell ref="D18:F18"/>
    <mergeCell ref="G18:I18"/>
    <mergeCell ref="J18:L18"/>
    <mergeCell ref="A130:A131"/>
    <mergeCell ref="D8:M8"/>
    <mergeCell ref="D9:M9"/>
    <mergeCell ref="D10:M10"/>
    <mergeCell ref="D11:M11"/>
    <mergeCell ref="D12:M13"/>
    <mergeCell ref="D14:M14"/>
    <mergeCell ref="D15:M15"/>
  </mergeCells>
  <pageMargins left="0.7" right="0.7" top="0.75" bottom="0.75" header="0" footer="0"/>
  <pageSetup orientation="portrait"/>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574B"/>
  </sheetPr>
  <dimension ref="A1:Z1000"/>
  <sheetViews>
    <sheetView workbookViewId="0">
      <selection sqref="A1:M1"/>
    </sheetView>
  </sheetViews>
  <sheetFormatPr defaultColWidth="11.23046875" defaultRowHeight="15" customHeight="1" x14ac:dyDescent="0.85"/>
  <cols>
    <col min="1" max="1" width="42.3828125" customWidth="1"/>
    <col min="2" max="13" width="21.3828125" customWidth="1"/>
    <col min="14" max="26" width="11" customWidth="1"/>
  </cols>
  <sheetData>
    <row r="1" spans="1:26" ht="22.5" customHeight="1" x14ac:dyDescent="0.85">
      <c r="A1" s="847" t="s">
        <v>126</v>
      </c>
      <c r="B1" s="765"/>
      <c r="C1" s="765"/>
      <c r="D1" s="765"/>
      <c r="E1" s="765"/>
      <c r="F1" s="765"/>
      <c r="G1" s="765"/>
      <c r="H1" s="765"/>
      <c r="I1" s="765"/>
      <c r="J1" s="765"/>
      <c r="K1" s="765"/>
      <c r="L1" s="765"/>
      <c r="M1" s="762"/>
      <c r="N1" s="3"/>
      <c r="O1" s="3"/>
      <c r="P1" s="3"/>
      <c r="Q1" s="3"/>
      <c r="R1" s="3"/>
      <c r="S1" s="3"/>
      <c r="T1" s="3"/>
      <c r="U1" s="3"/>
      <c r="V1" s="3"/>
      <c r="W1" s="3"/>
      <c r="X1" s="3"/>
      <c r="Y1" s="3"/>
      <c r="Z1" s="3"/>
    </row>
    <row r="2" spans="1:26" ht="22.5" customHeight="1" x14ac:dyDescent="0.85">
      <c r="A2" s="848" t="s">
        <v>361</v>
      </c>
      <c r="B2" s="765"/>
      <c r="C2" s="765"/>
      <c r="D2" s="765"/>
      <c r="E2" s="765"/>
      <c r="F2" s="765"/>
      <c r="G2" s="765"/>
      <c r="H2" s="765"/>
      <c r="I2" s="765"/>
      <c r="J2" s="765"/>
      <c r="K2" s="765"/>
      <c r="L2" s="765"/>
      <c r="M2" s="762"/>
      <c r="N2" s="3"/>
      <c r="O2" s="3"/>
      <c r="P2" s="3"/>
      <c r="Q2" s="3"/>
      <c r="R2" s="3"/>
      <c r="S2" s="3"/>
      <c r="T2" s="3"/>
      <c r="U2" s="3"/>
      <c r="V2" s="3"/>
      <c r="W2" s="3"/>
      <c r="X2" s="3"/>
      <c r="Y2" s="3"/>
      <c r="Z2" s="3"/>
    </row>
    <row r="3" spans="1:26" ht="22.5" customHeight="1" x14ac:dyDescent="0.85">
      <c r="A3" s="130" t="s">
        <v>361</v>
      </c>
      <c r="B3" s="130" t="s">
        <v>251</v>
      </c>
      <c r="C3" s="130" t="s">
        <v>362</v>
      </c>
      <c r="D3" s="849" t="s">
        <v>138</v>
      </c>
      <c r="E3" s="765"/>
      <c r="F3" s="765"/>
      <c r="G3" s="765"/>
      <c r="H3" s="765"/>
      <c r="I3" s="765"/>
      <c r="J3" s="765"/>
      <c r="K3" s="765"/>
      <c r="L3" s="765"/>
      <c r="M3" s="762"/>
      <c r="N3" s="3"/>
      <c r="O3" s="3"/>
      <c r="P3" s="3"/>
      <c r="Q3" s="3"/>
      <c r="R3" s="3"/>
      <c r="S3" s="3"/>
      <c r="T3" s="3"/>
      <c r="U3" s="3"/>
      <c r="V3" s="3"/>
      <c r="W3" s="3"/>
      <c r="X3" s="3"/>
      <c r="Y3" s="3"/>
      <c r="Z3" s="3"/>
    </row>
    <row r="4" spans="1:26" ht="20.25" customHeight="1" x14ac:dyDescent="0.85">
      <c r="A4" s="131" t="s">
        <v>363</v>
      </c>
      <c r="B4" s="132">
        <v>1161.25</v>
      </c>
      <c r="C4" s="133" t="s">
        <v>364</v>
      </c>
      <c r="D4" s="850" t="s">
        <v>484</v>
      </c>
      <c r="E4" s="765"/>
      <c r="F4" s="765"/>
      <c r="G4" s="765"/>
      <c r="H4" s="765"/>
      <c r="I4" s="765"/>
      <c r="J4" s="765"/>
      <c r="K4" s="765"/>
      <c r="L4" s="765"/>
      <c r="M4" s="762"/>
      <c r="N4" s="15"/>
      <c r="O4" s="15"/>
      <c r="P4" s="15"/>
      <c r="Q4" s="15"/>
      <c r="R4" s="15"/>
      <c r="S4" s="15"/>
      <c r="T4" s="15"/>
      <c r="U4" s="15"/>
      <c r="V4" s="15"/>
      <c r="W4" s="15"/>
      <c r="X4" s="15"/>
      <c r="Y4" s="15"/>
      <c r="Z4" s="15"/>
    </row>
    <row r="5" spans="1:26" ht="20.25" customHeight="1" x14ac:dyDescent="0.85">
      <c r="A5" s="131" t="s">
        <v>366</v>
      </c>
      <c r="B5" s="136">
        <v>672508</v>
      </c>
      <c r="C5" s="133" t="s">
        <v>367</v>
      </c>
      <c r="D5" s="850" t="s">
        <v>368</v>
      </c>
      <c r="E5" s="765"/>
      <c r="F5" s="765"/>
      <c r="G5" s="765"/>
      <c r="H5" s="765"/>
      <c r="I5" s="765"/>
      <c r="J5" s="765"/>
      <c r="K5" s="765"/>
      <c r="L5" s="765"/>
      <c r="M5" s="762"/>
      <c r="N5" s="15"/>
      <c r="O5" s="15"/>
      <c r="P5" s="15"/>
      <c r="Q5" s="15"/>
      <c r="R5" s="15"/>
      <c r="S5" s="15"/>
      <c r="T5" s="15"/>
      <c r="U5" s="15"/>
      <c r="V5" s="15"/>
      <c r="W5" s="15"/>
      <c r="X5" s="15"/>
      <c r="Y5" s="15"/>
      <c r="Z5" s="15"/>
    </row>
    <row r="6" spans="1:26" ht="20.25" customHeight="1" x14ac:dyDescent="0.85">
      <c r="A6" s="131" t="s">
        <v>369</v>
      </c>
      <c r="B6" s="135">
        <f>1000*49970313.79</f>
        <v>49970313790</v>
      </c>
      <c r="C6" s="133" t="s">
        <v>370</v>
      </c>
      <c r="D6" s="850" t="s">
        <v>485</v>
      </c>
      <c r="E6" s="765"/>
      <c r="F6" s="765"/>
      <c r="G6" s="765"/>
      <c r="H6" s="765"/>
      <c r="I6" s="765"/>
      <c r="J6" s="765"/>
      <c r="K6" s="765"/>
      <c r="L6" s="765"/>
      <c r="M6" s="762"/>
      <c r="N6" s="15"/>
      <c r="O6" s="15"/>
      <c r="P6" s="15"/>
      <c r="Q6" s="15"/>
      <c r="R6" s="15"/>
      <c r="S6" s="15"/>
      <c r="T6" s="15"/>
      <c r="U6" s="15"/>
      <c r="V6" s="15"/>
      <c r="W6" s="15"/>
      <c r="X6" s="15"/>
      <c r="Y6" s="15"/>
      <c r="Z6" s="15"/>
    </row>
    <row r="7" spans="1:26" ht="20.25" customHeight="1" x14ac:dyDescent="0.85">
      <c r="A7" s="131" t="s">
        <v>372</v>
      </c>
      <c r="B7" s="136">
        <v>302768</v>
      </c>
      <c r="C7" s="133" t="s">
        <v>373</v>
      </c>
      <c r="D7" s="850" t="s">
        <v>374</v>
      </c>
      <c r="E7" s="765"/>
      <c r="F7" s="765"/>
      <c r="G7" s="765"/>
      <c r="H7" s="765"/>
      <c r="I7" s="765"/>
      <c r="J7" s="765"/>
      <c r="K7" s="765"/>
      <c r="L7" s="765"/>
      <c r="M7" s="762"/>
      <c r="N7" s="15"/>
      <c r="O7" s="15"/>
      <c r="P7" s="15"/>
      <c r="Q7" s="15"/>
      <c r="R7" s="15"/>
      <c r="S7" s="15"/>
      <c r="T7" s="15"/>
      <c r="U7" s="15"/>
      <c r="V7" s="15"/>
      <c r="W7" s="15"/>
      <c r="X7" s="15"/>
      <c r="Y7" s="15"/>
      <c r="Z7" s="15"/>
    </row>
    <row r="8" spans="1:26" ht="20.25" customHeight="1" x14ac:dyDescent="0.85">
      <c r="A8" s="131" t="s">
        <v>375</v>
      </c>
      <c r="B8" s="136">
        <v>286424</v>
      </c>
      <c r="C8" s="133" t="s">
        <v>373</v>
      </c>
      <c r="D8" s="850" t="s">
        <v>376</v>
      </c>
      <c r="E8" s="765"/>
      <c r="F8" s="765"/>
      <c r="G8" s="765"/>
      <c r="H8" s="765"/>
      <c r="I8" s="765"/>
      <c r="J8" s="765"/>
      <c r="K8" s="765"/>
      <c r="L8" s="765"/>
      <c r="M8" s="762"/>
      <c r="N8" s="15"/>
      <c r="O8" s="15"/>
      <c r="P8" s="15"/>
      <c r="Q8" s="15"/>
      <c r="R8" s="15"/>
      <c r="S8" s="15"/>
      <c r="T8" s="15"/>
      <c r="U8" s="15"/>
      <c r="V8" s="15"/>
      <c r="W8" s="15"/>
      <c r="X8" s="15"/>
      <c r="Y8" s="15"/>
      <c r="Z8" s="15"/>
    </row>
    <row r="9" spans="1:26" ht="20.25" customHeight="1" x14ac:dyDescent="0.85">
      <c r="A9" s="131" t="s">
        <v>377</v>
      </c>
      <c r="B9" s="136">
        <v>511874210</v>
      </c>
      <c r="C9" s="133" t="s">
        <v>378</v>
      </c>
      <c r="D9" s="850" t="s">
        <v>486</v>
      </c>
      <c r="E9" s="765"/>
      <c r="F9" s="765"/>
      <c r="G9" s="765"/>
      <c r="H9" s="765"/>
      <c r="I9" s="765"/>
      <c r="J9" s="765"/>
      <c r="K9" s="765"/>
      <c r="L9" s="765"/>
      <c r="M9" s="762"/>
      <c r="N9" s="15"/>
      <c r="O9" s="15"/>
      <c r="P9" s="15"/>
      <c r="Q9" s="15"/>
      <c r="R9" s="15"/>
      <c r="S9" s="15"/>
      <c r="T9" s="15"/>
      <c r="U9" s="15"/>
      <c r="V9" s="15"/>
      <c r="W9" s="15"/>
      <c r="X9" s="15"/>
      <c r="Y9" s="15"/>
      <c r="Z9" s="15"/>
    </row>
    <row r="10" spans="1:26" ht="20.25" customHeight="1" x14ac:dyDescent="0.85">
      <c r="A10" s="131" t="s">
        <v>380</v>
      </c>
      <c r="B10" s="136">
        <f>70440000*'Conversion Factors and GWP'!$A$27</f>
        <v>758209116</v>
      </c>
      <c r="C10" s="133" t="s">
        <v>378</v>
      </c>
      <c r="D10" s="850" t="s">
        <v>381</v>
      </c>
      <c r="E10" s="765"/>
      <c r="F10" s="765"/>
      <c r="G10" s="765"/>
      <c r="H10" s="765"/>
      <c r="I10" s="765"/>
      <c r="J10" s="765"/>
      <c r="K10" s="765"/>
      <c r="L10" s="765"/>
      <c r="M10" s="762"/>
      <c r="N10" s="15"/>
      <c r="O10" s="15"/>
      <c r="P10" s="15"/>
      <c r="Q10" s="15"/>
      <c r="R10" s="15"/>
      <c r="S10" s="15"/>
      <c r="T10" s="15"/>
      <c r="U10" s="15"/>
      <c r="V10" s="15"/>
      <c r="W10" s="15"/>
      <c r="X10" s="15"/>
      <c r="Y10" s="15"/>
      <c r="Z10" s="15"/>
    </row>
    <row r="11" spans="1:26" ht="20.25" customHeight="1" x14ac:dyDescent="0.85">
      <c r="A11" s="131" t="s">
        <v>487</v>
      </c>
      <c r="B11" s="136">
        <v>332665</v>
      </c>
      <c r="C11" s="133" t="s">
        <v>383</v>
      </c>
      <c r="D11" s="850" t="s">
        <v>384</v>
      </c>
      <c r="E11" s="765"/>
      <c r="F11" s="765"/>
      <c r="G11" s="765"/>
      <c r="H11" s="765"/>
      <c r="I11" s="765"/>
      <c r="J11" s="765"/>
      <c r="K11" s="765"/>
      <c r="L11" s="765"/>
      <c r="M11" s="762"/>
      <c r="N11" s="15"/>
      <c r="O11" s="15"/>
      <c r="P11" s="15"/>
      <c r="Q11" s="15"/>
      <c r="R11" s="15"/>
      <c r="S11" s="15"/>
      <c r="T11" s="15"/>
      <c r="U11" s="15"/>
      <c r="V11" s="15"/>
      <c r="W11" s="15"/>
      <c r="X11" s="15"/>
      <c r="Y11" s="15"/>
      <c r="Z11" s="15"/>
    </row>
    <row r="12" spans="1:26" ht="20.25" customHeight="1" x14ac:dyDescent="0.85">
      <c r="A12" s="131" t="s">
        <v>385</v>
      </c>
      <c r="B12" s="136">
        <v>2784</v>
      </c>
      <c r="C12" s="133" t="s">
        <v>386</v>
      </c>
      <c r="D12" s="851" t="s">
        <v>488</v>
      </c>
      <c r="E12" s="828"/>
      <c r="F12" s="828"/>
      <c r="G12" s="828"/>
      <c r="H12" s="828"/>
      <c r="I12" s="828"/>
      <c r="J12" s="828"/>
      <c r="K12" s="828"/>
      <c r="L12" s="828"/>
      <c r="M12" s="825"/>
      <c r="N12" s="15"/>
      <c r="O12" s="15"/>
      <c r="P12" s="15"/>
      <c r="Q12" s="15"/>
      <c r="R12" s="15"/>
      <c r="S12" s="15"/>
      <c r="T12" s="15"/>
      <c r="U12" s="15"/>
      <c r="V12" s="15"/>
      <c r="W12" s="15"/>
      <c r="X12" s="15"/>
      <c r="Y12" s="15"/>
      <c r="Z12" s="15"/>
    </row>
    <row r="13" spans="1:26" ht="22.5" customHeight="1" x14ac:dyDescent="0.85">
      <c r="A13" s="137" t="s">
        <v>388</v>
      </c>
      <c r="B13" s="138">
        <v>2741</v>
      </c>
      <c r="C13" s="139" t="s">
        <v>389</v>
      </c>
      <c r="D13" s="810"/>
      <c r="E13" s="830"/>
      <c r="F13" s="830"/>
      <c r="G13" s="830"/>
      <c r="H13" s="830"/>
      <c r="I13" s="830"/>
      <c r="J13" s="830"/>
      <c r="K13" s="830"/>
      <c r="L13" s="830"/>
      <c r="M13" s="767"/>
      <c r="N13" s="15"/>
      <c r="O13" s="15"/>
      <c r="P13" s="15"/>
      <c r="Q13" s="15"/>
      <c r="R13" s="15"/>
      <c r="S13" s="15"/>
      <c r="T13" s="15"/>
      <c r="U13" s="15"/>
      <c r="V13" s="15"/>
      <c r="W13" s="15"/>
      <c r="X13" s="15"/>
      <c r="Y13" s="15"/>
      <c r="Z13" s="15"/>
    </row>
    <row r="14" spans="1:26" ht="22.5" customHeight="1" x14ac:dyDescent="0.85">
      <c r="A14" s="140" t="s">
        <v>489</v>
      </c>
      <c r="B14" s="141">
        <f>B5/'Albuquerque MSA Data'!B5</f>
        <v>0.73154993190411755</v>
      </c>
      <c r="C14" s="133" t="s">
        <v>391</v>
      </c>
      <c r="D14" s="850"/>
      <c r="E14" s="765"/>
      <c r="F14" s="765"/>
      <c r="G14" s="765"/>
      <c r="H14" s="765"/>
      <c r="I14" s="765"/>
      <c r="J14" s="765"/>
      <c r="K14" s="765"/>
      <c r="L14" s="765"/>
      <c r="M14" s="762"/>
      <c r="N14" s="15"/>
      <c r="O14" s="15"/>
      <c r="P14" s="15"/>
      <c r="Q14" s="15"/>
      <c r="R14" s="15"/>
      <c r="S14" s="15"/>
      <c r="T14" s="15"/>
      <c r="U14" s="15"/>
      <c r="V14" s="15"/>
      <c r="W14" s="15"/>
      <c r="X14" s="15"/>
      <c r="Y14" s="15"/>
      <c r="Z14" s="15"/>
    </row>
    <row r="15" spans="1:26" ht="22.5" customHeight="1" x14ac:dyDescent="0.85">
      <c r="A15" s="142"/>
      <c r="B15" s="76"/>
      <c r="C15" s="76"/>
      <c r="D15" s="143"/>
      <c r="E15" s="143"/>
      <c r="F15" s="143"/>
      <c r="G15" s="143"/>
      <c r="H15" s="143"/>
      <c r="I15" s="143"/>
      <c r="J15" s="143"/>
      <c r="K15" s="15"/>
      <c r="L15" s="15"/>
      <c r="M15" s="15"/>
      <c r="N15" s="15"/>
      <c r="O15" s="15"/>
      <c r="P15" s="15"/>
      <c r="Q15" s="15"/>
      <c r="R15" s="15"/>
      <c r="S15" s="15"/>
      <c r="T15" s="15"/>
      <c r="U15" s="15"/>
      <c r="V15" s="15"/>
      <c r="W15" s="15"/>
      <c r="X15" s="15"/>
      <c r="Y15" s="15"/>
      <c r="Z15" s="15"/>
    </row>
    <row r="16" spans="1:26" ht="22.5" customHeight="1" x14ac:dyDescent="0.85">
      <c r="A16" s="144" t="s">
        <v>393</v>
      </c>
      <c r="B16" s="145"/>
      <c r="C16" s="145"/>
      <c r="D16" s="145"/>
      <c r="E16" s="145"/>
      <c r="F16" s="145"/>
      <c r="G16" s="145"/>
      <c r="H16" s="145"/>
      <c r="I16" s="145"/>
      <c r="J16" s="145"/>
      <c r="K16" s="145"/>
      <c r="L16" s="146"/>
      <c r="M16" s="3"/>
      <c r="N16" s="3"/>
      <c r="O16" s="3"/>
      <c r="P16" s="3"/>
      <c r="Q16" s="3"/>
      <c r="R16" s="3"/>
      <c r="S16" s="3"/>
      <c r="T16" s="3"/>
      <c r="U16" s="3"/>
      <c r="V16" s="3"/>
      <c r="W16" s="3"/>
      <c r="X16" s="3"/>
      <c r="Y16" s="3"/>
      <c r="Z16" s="3"/>
    </row>
    <row r="17" spans="1:26" ht="22.5" customHeight="1" x14ac:dyDescent="0.85">
      <c r="A17" s="227" t="s">
        <v>137</v>
      </c>
      <c r="B17" s="202"/>
      <c r="C17" s="203"/>
      <c r="D17" s="227" t="s">
        <v>124</v>
      </c>
      <c r="E17" s="202"/>
      <c r="F17" s="203"/>
      <c r="G17" s="227" t="s">
        <v>116</v>
      </c>
      <c r="H17" s="202"/>
      <c r="I17" s="203"/>
      <c r="J17" s="227" t="s">
        <v>394</v>
      </c>
      <c r="K17" s="202"/>
      <c r="L17" s="203"/>
      <c r="M17" s="3"/>
      <c r="N17" s="3"/>
      <c r="O17" s="3"/>
      <c r="P17" s="3"/>
      <c r="Q17" s="3"/>
      <c r="R17" s="3"/>
      <c r="S17" s="3"/>
      <c r="T17" s="3"/>
      <c r="U17" s="3"/>
      <c r="V17" s="3"/>
      <c r="W17" s="3"/>
      <c r="X17" s="3"/>
      <c r="Y17" s="3"/>
      <c r="Z17" s="3"/>
    </row>
    <row r="18" spans="1:26" ht="22.5" customHeight="1" x14ac:dyDescent="0.85">
      <c r="A18" s="148" t="s">
        <v>138</v>
      </c>
      <c r="B18" s="148" t="s">
        <v>118</v>
      </c>
      <c r="C18" s="148" t="s">
        <v>395</v>
      </c>
      <c r="D18" s="148" t="s">
        <v>125</v>
      </c>
      <c r="E18" s="148" t="s">
        <v>118</v>
      </c>
      <c r="F18" s="148" t="s">
        <v>395</v>
      </c>
      <c r="G18" s="148" t="s">
        <v>117</v>
      </c>
      <c r="H18" s="148" t="s">
        <v>118</v>
      </c>
      <c r="I18" s="148" t="s">
        <v>395</v>
      </c>
      <c r="J18" s="148" t="s">
        <v>396</v>
      </c>
      <c r="K18" s="148" t="s">
        <v>118</v>
      </c>
      <c r="L18" s="148" t="s">
        <v>397</v>
      </c>
      <c r="M18" s="3"/>
      <c r="N18" s="3"/>
      <c r="O18" s="3"/>
      <c r="P18" s="3"/>
      <c r="Q18" s="3"/>
      <c r="R18" s="3"/>
      <c r="S18" s="3"/>
      <c r="T18" s="3"/>
      <c r="U18" s="3"/>
      <c r="V18" s="3"/>
      <c r="W18" s="3"/>
      <c r="X18" s="3"/>
      <c r="Y18" s="3"/>
      <c r="Z18" s="3"/>
    </row>
    <row r="19" spans="1:26" ht="22.5" customHeight="1" x14ac:dyDescent="0.85">
      <c r="A19" s="149" t="s">
        <v>139</v>
      </c>
      <c r="B19" s="150">
        <f>B64</f>
        <v>1212396.8176889275</v>
      </c>
      <c r="C19" s="151">
        <f t="shared" ref="C19:C43" si="0">B19/$B$45</f>
        <v>0.16379900917884938</v>
      </c>
      <c r="D19" s="149" t="s">
        <v>130</v>
      </c>
      <c r="E19" s="150">
        <f>SUM(B19:B25)</f>
        <v>3377317.7432731218</v>
      </c>
      <c r="F19" s="151">
        <f t="shared" ref="F19:F25" si="1">E19/$E$26</f>
        <v>0.45971024507293157</v>
      </c>
      <c r="G19" s="150" t="s">
        <v>120</v>
      </c>
      <c r="H19" s="150">
        <f>B53+B54+B55+B56+B57+B71+B72+B78+B83+B88+B92+B95+B100+B102+B109+B113+B114+B118+B119+B120</f>
        <v>5839109.7776345816</v>
      </c>
      <c r="I19" s="152">
        <f t="shared" ref="I19:I21" si="2">H19/$H$22</f>
        <v>0.79480190818014695</v>
      </c>
      <c r="J19" s="150">
        <f>B5</f>
        <v>672508</v>
      </c>
      <c r="K19" s="150">
        <f>B47</f>
        <v>7346622.7465461884</v>
      </c>
      <c r="L19" s="133">
        <f>K19/J19</f>
        <v>10.92421613801797</v>
      </c>
      <c r="M19" s="3"/>
      <c r="N19" s="3"/>
      <c r="O19" s="3"/>
      <c r="P19" s="3"/>
      <c r="Q19" s="3"/>
      <c r="R19" s="3"/>
      <c r="S19" s="3"/>
      <c r="T19" s="3"/>
      <c r="U19" s="3"/>
      <c r="V19" s="3"/>
      <c r="W19" s="3"/>
      <c r="X19" s="3"/>
      <c r="Y19" s="3"/>
      <c r="Z19" s="3"/>
    </row>
    <row r="20" spans="1:26" ht="22.5" customHeight="1" x14ac:dyDescent="0.85">
      <c r="A20" s="149" t="s">
        <v>140</v>
      </c>
      <c r="B20" s="150">
        <f>B53+B54</f>
        <v>2048231.4551218757</v>
      </c>
      <c r="C20" s="151">
        <f t="shared" si="0"/>
        <v>0.27672316359048471</v>
      </c>
      <c r="D20" s="149" t="s">
        <v>131</v>
      </c>
      <c r="E20" s="150">
        <f>SUM(B26:B34)</f>
        <v>3152640.1192794964</v>
      </c>
      <c r="F20" s="151">
        <f t="shared" si="1"/>
        <v>0.42912780852421245</v>
      </c>
      <c r="G20" s="150" t="s">
        <v>121</v>
      </c>
      <c r="H20" s="150">
        <f>B61+B62+B63+B79+B84</f>
        <v>1220427.4420006776</v>
      </c>
      <c r="I20" s="152">
        <f t="shared" si="2"/>
        <v>0.16612088085977028</v>
      </c>
      <c r="J20" s="147"/>
      <c r="K20" s="147"/>
      <c r="L20" s="147"/>
      <c r="M20" s="3"/>
      <c r="N20" s="3"/>
      <c r="O20" s="3"/>
      <c r="P20" s="3"/>
      <c r="Q20" s="3"/>
      <c r="R20" s="3"/>
      <c r="S20" s="3"/>
      <c r="T20" s="3"/>
      <c r="U20" s="3"/>
      <c r="V20" s="3"/>
      <c r="W20" s="3"/>
      <c r="X20" s="3"/>
      <c r="Y20" s="3"/>
      <c r="Z20" s="3"/>
    </row>
    <row r="21" spans="1:26" ht="22.5" customHeight="1" x14ac:dyDescent="0.85">
      <c r="A21" s="149" t="s">
        <v>266</v>
      </c>
      <c r="B21" s="150">
        <f t="shared" ref="B21:B23" si="3">B55</f>
        <v>0</v>
      </c>
      <c r="C21" s="151">
        <f t="shared" si="0"/>
        <v>0</v>
      </c>
      <c r="D21" s="149" t="s">
        <v>132</v>
      </c>
      <c r="E21" s="150">
        <f>SUM(B35,B36)</f>
        <v>335996.48172579118</v>
      </c>
      <c r="F21" s="151">
        <f t="shared" si="1"/>
        <v>4.5734821742922711E-2</v>
      </c>
      <c r="G21" s="150" t="s">
        <v>122</v>
      </c>
      <c r="H21" s="150">
        <f>B67+B80+B89+B101+B103+B85</f>
        <v>287085.52691092808</v>
      </c>
      <c r="I21" s="152">
        <f t="shared" si="2"/>
        <v>3.9077210960082771E-2</v>
      </c>
      <c r="J21" s="147"/>
      <c r="K21" s="147"/>
      <c r="L21" s="147"/>
      <c r="M21" s="3"/>
      <c r="N21" s="3"/>
      <c r="O21" s="3"/>
      <c r="P21" s="3"/>
      <c r="Q21" s="3"/>
      <c r="R21" s="3"/>
      <c r="S21" s="3"/>
      <c r="T21" s="3"/>
      <c r="U21" s="3"/>
      <c r="V21" s="3"/>
      <c r="W21" s="3"/>
      <c r="X21" s="3"/>
      <c r="Y21" s="3"/>
      <c r="Z21" s="3"/>
    </row>
    <row r="22" spans="1:26" ht="22.5" customHeight="1" x14ac:dyDescent="0.85">
      <c r="A22" s="149" t="s">
        <v>141</v>
      </c>
      <c r="B22" s="150">
        <f t="shared" si="3"/>
        <v>16929.752792262298</v>
      </c>
      <c r="C22" s="153">
        <f t="shared" si="0"/>
        <v>2.2872682380521798E-3</v>
      </c>
      <c r="D22" s="149" t="s">
        <v>340</v>
      </c>
      <c r="E22" s="150">
        <f>B37</f>
        <v>3842.6024202076096</v>
      </c>
      <c r="F22" s="159">
        <f t="shared" si="1"/>
        <v>5.2304338371180186E-4</v>
      </c>
      <c r="G22" s="154" t="s">
        <v>398</v>
      </c>
      <c r="H22" s="155">
        <f t="shared" ref="H22:I22" si="4">SUM(H16:H21)</f>
        <v>7346622.7465461874</v>
      </c>
      <c r="I22" s="156">
        <f t="shared" si="4"/>
        <v>1</v>
      </c>
      <c r="J22" s="147"/>
      <c r="K22" s="147"/>
      <c r="L22" s="147"/>
      <c r="M22" s="3"/>
      <c r="N22" s="3"/>
      <c r="O22" s="3"/>
      <c r="P22" s="3"/>
      <c r="Q22" s="3"/>
      <c r="R22" s="3"/>
      <c r="S22" s="3"/>
      <c r="T22" s="3"/>
      <c r="U22" s="3"/>
      <c r="V22" s="3"/>
      <c r="W22" s="3"/>
      <c r="X22" s="3"/>
      <c r="Y22" s="3"/>
      <c r="Z22" s="3"/>
    </row>
    <row r="23" spans="1:26" ht="22.5" customHeight="1" x14ac:dyDescent="0.85">
      <c r="A23" s="149" t="s">
        <v>142</v>
      </c>
      <c r="B23" s="150">
        <f t="shared" si="3"/>
        <v>42.862183000000002</v>
      </c>
      <c r="C23" s="157">
        <f t="shared" si="0"/>
        <v>5.7908293755055779E-6</v>
      </c>
      <c r="D23" s="149" t="s">
        <v>133</v>
      </c>
      <c r="E23" s="150">
        <f>SUM(B38,B39)</f>
        <v>511003.5249872345</v>
      </c>
      <c r="F23" s="151">
        <f t="shared" si="1"/>
        <v>6.9556249533497372E-2</v>
      </c>
      <c r="G23" s="147"/>
      <c r="H23" s="147"/>
      <c r="I23" s="147"/>
      <c r="J23" s="147"/>
      <c r="K23" s="147"/>
      <c r="L23" s="147"/>
      <c r="M23" s="3"/>
      <c r="N23" s="3"/>
      <c r="O23" s="3"/>
      <c r="P23" s="3"/>
      <c r="Q23" s="3"/>
      <c r="R23" s="3"/>
      <c r="S23" s="3"/>
      <c r="T23" s="3"/>
      <c r="U23" s="3"/>
      <c r="V23" s="3"/>
      <c r="W23" s="3"/>
      <c r="X23" s="3"/>
      <c r="Y23" s="3"/>
      <c r="Z23" s="3"/>
    </row>
    <row r="24" spans="1:26" ht="22.5" customHeight="1" x14ac:dyDescent="0.85">
      <c r="A24" s="149" t="s">
        <v>143</v>
      </c>
      <c r="B24" s="150">
        <f>B73</f>
        <v>66703.442997963735</v>
      </c>
      <c r="C24" s="153">
        <f t="shared" si="0"/>
        <v>9.0118661748975846E-3</v>
      </c>
      <c r="D24" s="149" t="s">
        <v>399</v>
      </c>
      <c r="E24" s="158">
        <f>SUM(B40:B43)</f>
        <v>20934.274860335296</v>
      </c>
      <c r="F24" s="159">
        <f t="shared" si="1"/>
        <v>2.849509983369837E-3</v>
      </c>
      <c r="G24" s="147"/>
      <c r="H24" s="147"/>
      <c r="I24" s="147"/>
      <c r="J24" s="147"/>
      <c r="K24" s="147"/>
      <c r="L24" s="147"/>
      <c r="M24" s="3"/>
      <c r="N24" s="3"/>
      <c r="O24" s="3"/>
      <c r="P24" s="3"/>
      <c r="Q24" s="3"/>
      <c r="R24" s="3"/>
      <c r="S24" s="3"/>
      <c r="T24" s="3"/>
      <c r="U24" s="3"/>
      <c r="V24" s="3"/>
      <c r="W24" s="3"/>
      <c r="X24" s="3"/>
      <c r="Y24" s="3"/>
      <c r="Z24" s="3"/>
    </row>
    <row r="25" spans="1:26" ht="22.5" customHeight="1" x14ac:dyDescent="0.85">
      <c r="A25" s="149" t="s">
        <v>400</v>
      </c>
      <c r="B25" s="150">
        <f>B68</f>
        <v>33013.412489092647</v>
      </c>
      <c r="C25" s="151">
        <f t="shared" si="0"/>
        <v>4.4602263684871213E-3</v>
      </c>
      <c r="D25" s="149" t="s">
        <v>401</v>
      </c>
      <c r="E25" s="158">
        <f>B44</f>
        <v>-55112</v>
      </c>
      <c r="F25" s="159">
        <f t="shared" si="1"/>
        <v>-7.5016782406459323E-3</v>
      </c>
      <c r="G25" s="147"/>
      <c r="H25" s="147"/>
      <c r="I25" s="147"/>
      <c r="J25" s="147"/>
      <c r="K25" s="147"/>
      <c r="L25" s="147"/>
      <c r="M25" s="3"/>
      <c r="N25" s="3"/>
      <c r="O25" s="3"/>
      <c r="P25" s="3"/>
      <c r="Q25" s="3"/>
      <c r="R25" s="3"/>
      <c r="S25" s="3"/>
      <c r="T25" s="3"/>
      <c r="U25" s="3"/>
      <c r="V25" s="3"/>
      <c r="W25" s="3"/>
      <c r="X25" s="3"/>
      <c r="Y25" s="3"/>
      <c r="Z25" s="3"/>
    </row>
    <row r="26" spans="1:26" ht="22.5" customHeight="1" x14ac:dyDescent="0.85">
      <c r="A26" s="149" t="s">
        <v>145</v>
      </c>
      <c r="B26" s="150">
        <f t="shared" ref="B26:B28" si="5">B78</f>
        <v>2360967.4784859195</v>
      </c>
      <c r="C26" s="151">
        <f t="shared" si="0"/>
        <v>0.31897488350114123</v>
      </c>
      <c r="D26" s="154" t="s">
        <v>398</v>
      </c>
      <c r="E26" s="155">
        <f t="shared" ref="E26:F26" si="6">SUM(E19:E25)</f>
        <v>7346622.7465461884</v>
      </c>
      <c r="F26" s="156">
        <f t="shared" si="6"/>
        <v>0.99999999999999989</v>
      </c>
      <c r="G26" s="147"/>
      <c r="H26" s="147"/>
      <c r="I26" s="147"/>
      <c r="J26" s="147"/>
      <c r="K26" s="147"/>
      <c r="L26" s="147"/>
      <c r="M26" s="3"/>
      <c r="N26" s="3"/>
      <c r="O26" s="3"/>
      <c r="P26" s="3"/>
      <c r="Q26" s="3"/>
      <c r="R26" s="3"/>
      <c r="S26" s="3"/>
      <c r="T26" s="3"/>
      <c r="U26" s="3"/>
      <c r="V26" s="3"/>
      <c r="W26" s="3"/>
      <c r="X26" s="3"/>
      <c r="Y26" s="3"/>
      <c r="Z26" s="3"/>
    </row>
    <row r="27" spans="1:26" ht="22.5" customHeight="1" x14ac:dyDescent="0.85">
      <c r="A27" s="149" t="s">
        <v>146</v>
      </c>
      <c r="B27" s="150">
        <f t="shared" si="5"/>
        <v>8007.7010438152029</v>
      </c>
      <c r="C27" s="159">
        <f t="shared" si="0"/>
        <v>1.0818681455116682E-3</v>
      </c>
      <c r="D27" s="147"/>
      <c r="E27" s="147"/>
      <c r="F27" s="147"/>
      <c r="G27" s="147"/>
      <c r="H27" s="147"/>
      <c r="I27" s="147"/>
      <c r="J27" s="147"/>
      <c r="K27" s="147"/>
      <c r="L27" s="147"/>
      <c r="M27" s="3"/>
      <c r="N27" s="3"/>
      <c r="O27" s="3"/>
      <c r="P27" s="3"/>
      <c r="Q27" s="3"/>
      <c r="R27" s="3"/>
      <c r="S27" s="3"/>
      <c r="T27" s="3"/>
      <c r="U27" s="3"/>
      <c r="V27" s="3"/>
      <c r="W27" s="3"/>
      <c r="X27" s="3"/>
      <c r="Y27" s="3"/>
      <c r="Z27" s="3"/>
    </row>
    <row r="28" spans="1:26" ht="22.5" customHeight="1" x14ac:dyDescent="0.85">
      <c r="A28" s="149" t="s">
        <v>147</v>
      </c>
      <c r="B28" s="150">
        <f t="shared" si="5"/>
        <v>216.00638093327544</v>
      </c>
      <c r="C28" s="157">
        <f t="shared" si="0"/>
        <v>2.9183210197321478E-5</v>
      </c>
      <c r="D28" s="147"/>
      <c r="E28" s="147"/>
      <c r="F28" s="147"/>
      <c r="G28" s="147"/>
      <c r="H28" s="147"/>
      <c r="I28" s="147"/>
      <c r="J28" s="147"/>
      <c r="K28" s="147"/>
      <c r="L28" s="147"/>
      <c r="M28" s="3"/>
      <c r="N28" s="3"/>
      <c r="O28" s="3"/>
      <c r="P28" s="3"/>
      <c r="Q28" s="3"/>
      <c r="R28" s="3"/>
      <c r="S28" s="3"/>
      <c r="T28" s="3"/>
      <c r="U28" s="3"/>
      <c r="V28" s="3"/>
      <c r="W28" s="3"/>
      <c r="X28" s="3"/>
      <c r="Y28" s="3"/>
      <c r="Z28" s="3"/>
    </row>
    <row r="29" spans="1:26" ht="22.5" customHeight="1" x14ac:dyDescent="0.85">
      <c r="A29" s="149" t="s">
        <v>148</v>
      </c>
      <c r="B29" s="150">
        <f>B83</f>
        <v>10973.189929590135</v>
      </c>
      <c r="C29" s="159">
        <f t="shared" si="0"/>
        <v>1.4825159648838356E-3</v>
      </c>
      <c r="D29" s="147"/>
      <c r="E29" s="147"/>
      <c r="F29" s="147"/>
      <c r="G29" s="147"/>
      <c r="H29" s="147"/>
      <c r="I29" s="147"/>
      <c r="J29" s="147"/>
      <c r="K29" s="147"/>
      <c r="L29" s="147"/>
      <c r="M29" s="3"/>
      <c r="N29" s="3"/>
      <c r="O29" s="3"/>
      <c r="P29" s="3"/>
      <c r="Q29" s="3"/>
      <c r="R29" s="3"/>
      <c r="S29" s="3"/>
      <c r="T29" s="3"/>
      <c r="U29" s="3"/>
      <c r="V29" s="3"/>
      <c r="W29" s="3"/>
      <c r="X29" s="3"/>
      <c r="Y29" s="3"/>
      <c r="Z29" s="3"/>
    </row>
    <row r="30" spans="1:26" ht="22.5" customHeight="1" x14ac:dyDescent="0.85">
      <c r="A30" s="149" t="s">
        <v>149</v>
      </c>
      <c r="B30" s="150">
        <f>B84+B85</f>
        <v>23.537611515685484</v>
      </c>
      <c r="C30" s="157">
        <f t="shared" si="0"/>
        <v>3.1800128377565337E-6</v>
      </c>
      <c r="D30" s="147"/>
      <c r="E30" s="147"/>
      <c r="F30" s="147"/>
      <c r="G30" s="147"/>
      <c r="H30" s="147"/>
      <c r="I30" s="147"/>
      <c r="J30" s="147"/>
      <c r="K30" s="147"/>
      <c r="L30" s="147"/>
      <c r="M30" s="3"/>
      <c r="N30" s="3"/>
      <c r="O30" s="3"/>
      <c r="P30" s="3"/>
      <c r="Q30" s="3"/>
      <c r="R30" s="3"/>
      <c r="S30" s="3"/>
      <c r="T30" s="3"/>
      <c r="U30" s="3"/>
      <c r="V30" s="3"/>
      <c r="W30" s="3"/>
      <c r="X30" s="3"/>
      <c r="Y30" s="3"/>
      <c r="Z30" s="3"/>
    </row>
    <row r="31" spans="1:26" ht="22.5" customHeight="1" x14ac:dyDescent="0.85">
      <c r="A31" s="149" t="s">
        <v>150</v>
      </c>
      <c r="B31" s="150">
        <f t="shared" ref="B31:B32" si="7">B88</f>
        <v>28249.864606659077</v>
      </c>
      <c r="C31" s="153">
        <f t="shared" si="0"/>
        <v>3.8166545511295284E-3</v>
      </c>
      <c r="D31" s="147"/>
      <c r="E31" s="147"/>
      <c r="F31" s="147"/>
      <c r="G31" s="147"/>
      <c r="H31" s="147"/>
      <c r="I31" s="147"/>
      <c r="J31" s="147"/>
      <c r="K31" s="147"/>
      <c r="L31" s="147"/>
      <c r="M31" s="3"/>
      <c r="N31" s="3"/>
      <c r="O31" s="3"/>
      <c r="P31" s="3"/>
      <c r="Q31" s="3"/>
      <c r="R31" s="3"/>
      <c r="S31" s="3"/>
      <c r="T31" s="3"/>
      <c r="U31" s="3"/>
      <c r="V31" s="3"/>
      <c r="W31" s="3"/>
      <c r="X31" s="3"/>
      <c r="Y31" s="3"/>
      <c r="Z31" s="3"/>
    </row>
    <row r="32" spans="1:26" ht="22.5" customHeight="1" x14ac:dyDescent="0.85">
      <c r="A32" s="149" t="s">
        <v>151</v>
      </c>
      <c r="B32" s="150">
        <f t="shared" si="7"/>
        <v>253855.49369732151</v>
      </c>
      <c r="C32" s="151">
        <f t="shared" si="0"/>
        <v>3.429675642129381E-2</v>
      </c>
      <c r="D32" s="147"/>
      <c r="E32" s="147"/>
      <c r="F32" s="147"/>
      <c r="G32" s="147"/>
      <c r="H32" s="147"/>
      <c r="I32" s="147"/>
      <c r="J32" s="147"/>
      <c r="K32" s="147"/>
      <c r="L32" s="147"/>
      <c r="M32" s="3"/>
      <c r="N32" s="3"/>
      <c r="O32" s="3"/>
      <c r="P32" s="3"/>
      <c r="Q32" s="3"/>
      <c r="R32" s="3"/>
      <c r="S32" s="3"/>
      <c r="T32" s="3"/>
      <c r="U32" s="3"/>
      <c r="V32" s="3"/>
      <c r="W32" s="3"/>
      <c r="X32" s="3"/>
      <c r="Y32" s="3"/>
      <c r="Z32" s="3"/>
    </row>
    <row r="33" spans="1:26" ht="22.5" customHeight="1" x14ac:dyDescent="0.85">
      <c r="A33" s="149" t="s">
        <v>152</v>
      </c>
      <c r="B33" s="150">
        <f>B92</f>
        <v>489904.86153308279</v>
      </c>
      <c r="C33" s="151">
        <f t="shared" si="0"/>
        <v>6.61878435675749E-2</v>
      </c>
      <c r="D33" s="147"/>
      <c r="E33" s="147"/>
      <c r="F33" s="147"/>
      <c r="G33" s="147"/>
      <c r="H33" s="147"/>
      <c r="I33" s="147"/>
      <c r="J33" s="147"/>
      <c r="K33" s="147"/>
      <c r="L33" s="147"/>
      <c r="M33" s="3"/>
      <c r="N33" s="3"/>
      <c r="O33" s="3"/>
      <c r="P33" s="3"/>
      <c r="Q33" s="3"/>
      <c r="R33" s="3"/>
      <c r="S33" s="3"/>
      <c r="T33" s="3"/>
      <c r="U33" s="3"/>
      <c r="V33" s="3"/>
      <c r="W33" s="3"/>
      <c r="X33" s="3"/>
      <c r="Y33" s="3"/>
      <c r="Z33" s="3"/>
    </row>
    <row r="34" spans="1:26" ht="22.5" customHeight="1" x14ac:dyDescent="0.85">
      <c r="A34" s="149" t="s">
        <v>153</v>
      </c>
      <c r="B34" s="150">
        <f>B95</f>
        <v>441.98599065915096</v>
      </c>
      <c r="C34" s="160">
        <f t="shared" si="0"/>
        <v>5.9713838146576559E-5</v>
      </c>
      <c r="D34" s="147"/>
      <c r="E34" s="147"/>
      <c r="F34" s="147"/>
      <c r="G34" s="147"/>
      <c r="H34" s="147"/>
      <c r="I34" s="147"/>
      <c r="J34" s="147"/>
      <c r="K34" s="147"/>
      <c r="L34" s="147"/>
      <c r="M34" s="3"/>
      <c r="N34" s="3"/>
      <c r="O34" s="3"/>
      <c r="P34" s="3"/>
      <c r="Q34" s="3"/>
      <c r="R34" s="3"/>
      <c r="S34" s="3"/>
      <c r="T34" s="3"/>
      <c r="U34" s="3"/>
      <c r="V34" s="3"/>
      <c r="W34" s="3"/>
      <c r="X34" s="3"/>
      <c r="Y34" s="3"/>
      <c r="Z34" s="3"/>
    </row>
    <row r="35" spans="1:26" ht="22.5" customHeight="1" x14ac:dyDescent="0.85">
      <c r="A35" s="149" t="s">
        <v>154</v>
      </c>
      <c r="B35" s="150">
        <f>B100+B101</f>
        <v>335580.12755129451</v>
      </c>
      <c r="C35" s="151">
        <f t="shared" si="0"/>
        <v>4.5338037506394507E-2</v>
      </c>
      <c r="D35" s="147"/>
      <c r="E35" s="147"/>
      <c r="F35" s="147"/>
      <c r="G35" s="147"/>
      <c r="H35" s="147"/>
      <c r="I35" s="147"/>
      <c r="J35" s="147"/>
      <c r="K35" s="147"/>
      <c r="L35" s="147"/>
      <c r="M35" s="3"/>
      <c r="N35" s="3"/>
      <c r="O35" s="3"/>
      <c r="P35" s="3"/>
      <c r="Q35" s="3"/>
      <c r="R35" s="3"/>
      <c r="S35" s="3"/>
      <c r="T35" s="3"/>
      <c r="U35" s="3"/>
      <c r="V35" s="3"/>
      <c r="W35" s="3"/>
      <c r="X35" s="3"/>
      <c r="Y35" s="3"/>
      <c r="Z35" s="3"/>
    </row>
    <row r="36" spans="1:26" ht="22.5" customHeight="1" x14ac:dyDescent="0.85">
      <c r="A36" s="149" t="s">
        <v>155</v>
      </c>
      <c r="B36" s="150">
        <f>B102+B103</f>
        <v>416.3541744966443</v>
      </c>
      <c r="C36" s="160">
        <f t="shared" si="0"/>
        <v>5.6250891007803853E-5</v>
      </c>
      <c r="D36" s="147"/>
      <c r="E36" s="147"/>
      <c r="F36" s="147"/>
      <c r="G36" s="147"/>
      <c r="H36" s="147"/>
      <c r="I36" s="147"/>
      <c r="J36" s="147"/>
      <c r="K36" s="147"/>
      <c r="L36" s="147"/>
      <c r="M36" s="3"/>
      <c r="N36" s="3"/>
      <c r="O36" s="3"/>
      <c r="P36" s="3"/>
      <c r="Q36" s="3"/>
      <c r="R36" s="3"/>
      <c r="S36" s="3"/>
      <c r="T36" s="3"/>
      <c r="U36" s="3"/>
      <c r="V36" s="3"/>
      <c r="W36" s="3"/>
      <c r="X36" s="3"/>
      <c r="Y36" s="3"/>
      <c r="Z36" s="3"/>
    </row>
    <row r="37" spans="1:26" ht="22.5" customHeight="1" x14ac:dyDescent="0.85">
      <c r="A37" s="149" t="s">
        <v>156</v>
      </c>
      <c r="B37" s="150">
        <f>B109</f>
        <v>3842.6024202076096</v>
      </c>
      <c r="C37" s="159">
        <f t="shared" si="0"/>
        <v>5.1914889573699628E-4</v>
      </c>
      <c r="D37" s="147"/>
      <c r="E37" s="147"/>
      <c r="F37" s="147"/>
      <c r="G37" s="147"/>
      <c r="H37" s="147"/>
      <c r="I37" s="147"/>
      <c r="J37" s="147"/>
      <c r="K37" s="147"/>
      <c r="L37" s="147"/>
      <c r="M37" s="3"/>
      <c r="N37" s="3"/>
      <c r="O37" s="3"/>
      <c r="P37" s="3"/>
      <c r="Q37" s="3"/>
      <c r="R37" s="3"/>
      <c r="S37" s="3"/>
      <c r="T37" s="3"/>
      <c r="U37" s="3"/>
      <c r="V37" s="3"/>
      <c r="W37" s="3"/>
      <c r="X37" s="3"/>
      <c r="Y37" s="3"/>
      <c r="Z37" s="3"/>
    </row>
    <row r="38" spans="1:26" ht="22.5" customHeight="1" x14ac:dyDescent="0.85">
      <c r="A38" s="149" t="s">
        <v>346</v>
      </c>
      <c r="B38" s="150">
        <f t="shared" ref="B38:B39" si="8">B113</f>
        <v>304217.49</v>
      </c>
      <c r="C38" s="151">
        <f t="shared" si="0"/>
        <v>4.1100836549425736E-2</v>
      </c>
      <c r="D38" s="147"/>
      <c r="E38" s="147"/>
      <c r="F38" s="147"/>
      <c r="G38" s="147"/>
      <c r="H38" s="147"/>
      <c r="I38" s="147"/>
      <c r="J38" s="147"/>
      <c r="K38" s="147"/>
      <c r="L38" s="147"/>
      <c r="M38" s="3"/>
      <c r="N38" s="3"/>
      <c r="O38" s="3"/>
      <c r="P38" s="3"/>
      <c r="Q38" s="3"/>
      <c r="R38" s="3"/>
      <c r="S38" s="3"/>
      <c r="T38" s="3"/>
      <c r="U38" s="3"/>
      <c r="V38" s="3"/>
      <c r="W38" s="3"/>
      <c r="X38" s="3"/>
      <c r="Y38" s="3"/>
      <c r="Z38" s="3"/>
    </row>
    <row r="39" spans="1:26" ht="22.5" customHeight="1" x14ac:dyDescent="0.85">
      <c r="A39" s="149" t="s">
        <v>158</v>
      </c>
      <c r="B39" s="150">
        <f t="shared" si="8"/>
        <v>206786.03498723448</v>
      </c>
      <c r="C39" s="153">
        <f t="shared" si="0"/>
        <v>2.79375095255508E-2</v>
      </c>
      <c r="D39" s="147"/>
      <c r="E39" s="147"/>
      <c r="F39" s="147"/>
      <c r="G39" s="147"/>
      <c r="H39" s="147"/>
      <c r="I39" s="147"/>
      <c r="J39" s="147"/>
      <c r="K39" s="147"/>
      <c r="L39" s="147"/>
      <c r="M39" s="3"/>
      <c r="N39" s="3"/>
      <c r="O39" s="3"/>
      <c r="P39" s="3"/>
      <c r="Q39" s="3"/>
      <c r="R39" s="3"/>
      <c r="S39" s="3"/>
      <c r="T39" s="3"/>
      <c r="U39" s="3"/>
      <c r="V39" s="3"/>
      <c r="W39" s="3"/>
      <c r="X39" s="3"/>
      <c r="Y39" s="3"/>
      <c r="Z39" s="3"/>
    </row>
    <row r="40" spans="1:26" ht="22.5" customHeight="1" x14ac:dyDescent="0.85">
      <c r="A40" s="149" t="s">
        <v>402</v>
      </c>
      <c r="B40" s="150">
        <f>'AFOLU Data'!Q67</f>
        <v>12369.151418989688</v>
      </c>
      <c r="C40" s="160">
        <f t="shared" si="0"/>
        <v>1.6711151969828972E-3</v>
      </c>
      <c r="D40" s="147"/>
      <c r="E40" s="147"/>
      <c r="F40" s="147"/>
      <c r="G40" s="147"/>
      <c r="H40" s="147"/>
      <c r="I40" s="147"/>
      <c r="J40" s="147"/>
      <c r="K40" s="3"/>
      <c r="L40" s="3"/>
      <c r="M40" s="3"/>
      <c r="N40" s="3"/>
      <c r="O40" s="3"/>
      <c r="P40" s="3"/>
      <c r="Q40" s="3"/>
      <c r="R40" s="3"/>
      <c r="S40" s="3"/>
      <c r="T40" s="3"/>
      <c r="U40" s="3"/>
      <c r="V40" s="3"/>
      <c r="W40" s="3"/>
      <c r="X40" s="3"/>
      <c r="Y40" s="3"/>
      <c r="Z40" s="3"/>
    </row>
    <row r="41" spans="1:26" ht="22.5" customHeight="1" x14ac:dyDescent="0.85">
      <c r="A41" s="149" t="s">
        <v>403</v>
      </c>
      <c r="B41" s="150">
        <f>'AFOLU Data'!J81</f>
        <v>8282.0633542576325</v>
      </c>
      <c r="C41" s="153">
        <f t="shared" si="0"/>
        <v>1.1189354439001243E-3</v>
      </c>
      <c r="D41" s="147"/>
      <c r="E41" s="147"/>
      <c r="F41" s="147"/>
      <c r="G41" s="147"/>
      <c r="H41" s="147"/>
      <c r="I41" s="147"/>
      <c r="J41" s="147"/>
      <c r="K41" s="3"/>
      <c r="L41" s="3"/>
      <c r="M41" s="3"/>
      <c r="N41" s="3"/>
      <c r="O41" s="3"/>
      <c r="P41" s="3"/>
      <c r="Q41" s="3"/>
      <c r="R41" s="3"/>
      <c r="S41" s="3"/>
      <c r="T41" s="3"/>
      <c r="U41" s="3"/>
      <c r="V41" s="3"/>
      <c r="W41" s="3"/>
      <c r="X41" s="3"/>
      <c r="Y41" s="3"/>
      <c r="Z41" s="3"/>
    </row>
    <row r="42" spans="1:26" ht="22.5" customHeight="1" x14ac:dyDescent="0.85">
      <c r="A42" s="149" t="s">
        <v>404</v>
      </c>
      <c r="B42" s="150">
        <f>'AFOLU Data'!E118</f>
        <v>53.994642255083392</v>
      </c>
      <c r="C42" s="157">
        <f t="shared" si="0"/>
        <v>7.2948631778892744E-6</v>
      </c>
      <c r="D42" s="147"/>
      <c r="E42" s="147"/>
      <c r="F42" s="147"/>
      <c r="G42" s="147"/>
      <c r="H42" s="147"/>
      <c r="I42" s="147"/>
      <c r="J42" s="147"/>
      <c r="K42" s="3"/>
      <c r="L42" s="3"/>
      <c r="M42" s="3"/>
      <c r="N42" s="3"/>
      <c r="O42" s="3"/>
      <c r="P42" s="3"/>
      <c r="Q42" s="3"/>
      <c r="R42" s="3"/>
      <c r="S42" s="3"/>
      <c r="T42" s="3"/>
      <c r="U42" s="3"/>
      <c r="V42" s="3"/>
      <c r="W42" s="3"/>
      <c r="X42" s="3"/>
      <c r="Y42" s="3"/>
      <c r="Z42" s="3"/>
    </row>
    <row r="43" spans="1:26" ht="22.5" customHeight="1" x14ac:dyDescent="0.85">
      <c r="A43" s="149" t="s">
        <v>405</v>
      </c>
      <c r="B43" s="150">
        <f>'AFOLU Data'!I134</f>
        <v>229.06544483289306</v>
      </c>
      <c r="C43" s="160">
        <f t="shared" si="0"/>
        <v>3.094753495993355E-5</v>
      </c>
      <c r="D43" s="147"/>
      <c r="E43" s="147"/>
      <c r="F43" s="147"/>
      <c r="G43" s="147"/>
      <c r="H43" s="147"/>
      <c r="I43" s="147"/>
      <c r="J43" s="147"/>
      <c r="K43" s="3"/>
      <c r="L43" s="3"/>
      <c r="M43" s="3"/>
      <c r="N43" s="3"/>
      <c r="O43" s="3"/>
      <c r="P43" s="3"/>
      <c r="Q43" s="3"/>
      <c r="R43" s="3"/>
      <c r="S43" s="3"/>
      <c r="T43" s="3"/>
      <c r="U43" s="3"/>
      <c r="V43" s="3"/>
      <c r="W43" s="3"/>
      <c r="X43" s="3"/>
      <c r="Y43" s="3"/>
      <c r="Z43" s="3"/>
    </row>
    <row r="44" spans="1:26" ht="22.5" customHeight="1" x14ac:dyDescent="0.85">
      <c r="A44" s="162" t="s">
        <v>406</v>
      </c>
      <c r="B44" s="158">
        <f>B120</f>
        <v>-55112</v>
      </c>
      <c r="C44" s="163" t="s">
        <v>106</v>
      </c>
      <c r="D44" s="147"/>
      <c r="E44" s="147"/>
      <c r="F44" s="147"/>
      <c r="G44" s="147"/>
      <c r="H44" s="147"/>
      <c r="I44" s="147"/>
      <c r="J44" s="147"/>
      <c r="K44" s="3"/>
      <c r="L44" s="3"/>
      <c r="M44" s="3"/>
      <c r="N44" s="3"/>
      <c r="O44" s="3"/>
      <c r="P44" s="3"/>
      <c r="Q44" s="3"/>
      <c r="R44" s="3"/>
      <c r="S44" s="3"/>
      <c r="T44" s="3"/>
      <c r="U44" s="3"/>
      <c r="V44" s="3"/>
      <c r="W44" s="3"/>
      <c r="X44" s="3"/>
      <c r="Y44" s="3"/>
      <c r="Z44" s="3"/>
    </row>
    <row r="45" spans="1:26" ht="22.5" customHeight="1" x14ac:dyDescent="0.85">
      <c r="A45" s="164" t="s">
        <v>101</v>
      </c>
      <c r="B45" s="155">
        <f>SUM(B19:B43)</f>
        <v>7401734.7465461884</v>
      </c>
      <c r="C45" s="156">
        <f>SUM(C19:C38)</f>
        <v>0.96923419743542827</v>
      </c>
      <c r="D45" s="147"/>
      <c r="E45" s="147"/>
      <c r="F45" s="147"/>
      <c r="G45" s="147"/>
      <c r="H45" s="147"/>
      <c r="I45" s="147"/>
      <c r="J45" s="147"/>
      <c r="K45" s="3"/>
      <c r="L45" s="3"/>
      <c r="M45" s="3"/>
      <c r="N45" s="3"/>
      <c r="O45" s="3"/>
      <c r="P45" s="3"/>
      <c r="Q45" s="3"/>
      <c r="R45" s="3"/>
      <c r="S45" s="3"/>
      <c r="T45" s="3"/>
      <c r="U45" s="3"/>
      <c r="V45" s="3"/>
      <c r="W45" s="3"/>
      <c r="X45" s="3"/>
      <c r="Y45" s="3"/>
      <c r="Z45" s="3"/>
    </row>
    <row r="46" spans="1:26" ht="22.5" customHeight="1" x14ac:dyDescent="0.85">
      <c r="A46" s="164" t="s">
        <v>136</v>
      </c>
      <c r="B46" s="165">
        <f>B44</f>
        <v>-55112</v>
      </c>
      <c r="C46" s="156" t="s">
        <v>106</v>
      </c>
      <c r="D46" s="147"/>
      <c r="E46" s="147"/>
      <c r="F46" s="147"/>
      <c r="G46" s="147"/>
      <c r="H46" s="147"/>
      <c r="I46" s="147"/>
      <c r="J46" s="147"/>
      <c r="K46" s="3"/>
      <c r="L46" s="3"/>
      <c r="M46" s="3"/>
      <c r="N46" s="3"/>
      <c r="O46" s="3"/>
      <c r="P46" s="3"/>
      <c r="Q46" s="3"/>
      <c r="R46" s="3"/>
      <c r="S46" s="3"/>
      <c r="T46" s="3"/>
      <c r="U46" s="3"/>
      <c r="V46" s="3"/>
      <c r="W46" s="3"/>
      <c r="X46" s="3"/>
      <c r="Y46" s="3"/>
      <c r="Z46" s="3"/>
    </row>
    <row r="47" spans="1:26" ht="22.5" customHeight="1" x14ac:dyDescent="0.85">
      <c r="A47" s="164" t="s">
        <v>123</v>
      </c>
      <c r="B47" s="155">
        <f>B45+B46</f>
        <v>7346622.7465461884</v>
      </c>
      <c r="C47" s="156" t="s">
        <v>106</v>
      </c>
      <c r="D47" s="147"/>
      <c r="E47" s="147"/>
      <c r="F47" s="147"/>
      <c r="G47" s="147"/>
      <c r="H47" s="147"/>
      <c r="I47" s="147"/>
      <c r="J47" s="147"/>
      <c r="K47" s="3"/>
      <c r="L47" s="3"/>
      <c r="M47" s="3"/>
      <c r="N47" s="3"/>
      <c r="O47" s="3"/>
      <c r="P47" s="3"/>
      <c r="Q47" s="3"/>
      <c r="R47" s="3"/>
      <c r="S47" s="3"/>
      <c r="T47" s="3"/>
      <c r="U47" s="3"/>
      <c r="V47" s="3"/>
      <c r="W47" s="3"/>
      <c r="X47" s="3"/>
      <c r="Y47" s="3"/>
      <c r="Z47" s="3"/>
    </row>
    <row r="48" spans="1:26" ht="22.5" customHeight="1" x14ac:dyDescent="0.85">
      <c r="A48" s="166"/>
      <c r="B48" s="167"/>
      <c r="C48" s="167"/>
      <c r="D48" s="147"/>
      <c r="E48" s="147"/>
      <c r="F48" s="147"/>
      <c r="G48" s="147"/>
      <c r="H48" s="147"/>
      <c r="I48" s="147"/>
      <c r="J48" s="147"/>
      <c r="K48" s="3"/>
      <c r="L48" s="3"/>
      <c r="M48" s="3"/>
      <c r="N48" s="3"/>
      <c r="O48" s="3"/>
      <c r="P48" s="3"/>
      <c r="Q48" s="3"/>
      <c r="R48" s="3"/>
      <c r="S48" s="3"/>
      <c r="T48" s="3"/>
      <c r="U48" s="3"/>
      <c r="V48" s="3"/>
      <c r="W48" s="3"/>
      <c r="X48" s="3"/>
      <c r="Y48" s="3"/>
      <c r="Z48" s="3"/>
    </row>
    <row r="49" spans="1:26" ht="22.5" customHeight="1" x14ac:dyDescent="0.85">
      <c r="A49" s="144" t="s">
        <v>407</v>
      </c>
      <c r="B49" s="145"/>
      <c r="C49" s="145"/>
      <c r="D49" s="145"/>
      <c r="E49" s="145"/>
      <c r="F49" s="146"/>
      <c r="G49" s="147"/>
      <c r="H49" s="147"/>
      <c r="I49" s="147"/>
      <c r="J49" s="147"/>
      <c r="K49" s="147"/>
      <c r="L49" s="147"/>
      <c r="M49" s="3"/>
      <c r="N49" s="3"/>
      <c r="O49" s="3"/>
      <c r="P49" s="3"/>
      <c r="Q49" s="3"/>
      <c r="R49" s="3"/>
      <c r="S49" s="3"/>
      <c r="T49" s="3"/>
      <c r="U49" s="3"/>
      <c r="V49" s="3"/>
      <c r="W49" s="3"/>
      <c r="X49" s="3"/>
      <c r="Y49" s="3"/>
      <c r="Z49" s="3"/>
    </row>
    <row r="50" spans="1:26" ht="22.5" customHeight="1" x14ac:dyDescent="0.85">
      <c r="A50" s="168" t="s">
        <v>184</v>
      </c>
      <c r="B50" s="169"/>
      <c r="C50" s="169"/>
      <c r="D50" s="169"/>
      <c r="E50" s="169"/>
      <c r="F50" s="170"/>
      <c r="G50" s="147"/>
      <c r="H50" s="147"/>
      <c r="I50" s="147"/>
      <c r="J50" s="147"/>
      <c r="K50" s="147"/>
      <c r="L50" s="147"/>
      <c r="M50" s="3"/>
      <c r="N50" s="3"/>
      <c r="O50" s="3"/>
      <c r="P50" s="3"/>
      <c r="Q50" s="3"/>
      <c r="R50" s="3"/>
      <c r="S50" s="3"/>
      <c r="T50" s="3"/>
      <c r="U50" s="3"/>
      <c r="V50" s="3"/>
      <c r="W50" s="3"/>
      <c r="X50" s="3"/>
      <c r="Y50" s="3"/>
      <c r="Z50" s="3"/>
    </row>
    <row r="51" spans="1:26" ht="22.5" customHeight="1" x14ac:dyDescent="0.85">
      <c r="A51" s="171" t="s">
        <v>408</v>
      </c>
      <c r="B51" s="172"/>
      <c r="C51" s="172"/>
      <c r="D51" s="172"/>
      <c r="E51" s="172"/>
      <c r="F51" s="173"/>
      <c r="G51" s="147"/>
      <c r="H51" s="147"/>
      <c r="I51" s="147"/>
      <c r="J51" s="147"/>
      <c r="K51" s="3"/>
      <c r="L51" s="3"/>
      <c r="M51" s="3"/>
      <c r="N51" s="3"/>
      <c r="O51" s="3"/>
      <c r="P51" s="3"/>
      <c r="Q51" s="3"/>
      <c r="R51" s="3"/>
      <c r="S51" s="3"/>
      <c r="T51" s="3"/>
      <c r="U51" s="3"/>
      <c r="V51" s="3"/>
      <c r="W51" s="3"/>
      <c r="X51" s="3"/>
      <c r="Y51" s="3"/>
      <c r="Z51" s="3"/>
    </row>
    <row r="52" spans="1:26" ht="22.5" customHeight="1" x14ac:dyDescent="0.85">
      <c r="A52" s="130" t="s">
        <v>409</v>
      </c>
      <c r="B52" s="130" t="s">
        <v>410</v>
      </c>
      <c r="C52" s="174" t="s">
        <v>362</v>
      </c>
      <c r="D52" s="174" t="s">
        <v>117</v>
      </c>
      <c r="E52" s="174" t="s">
        <v>251</v>
      </c>
      <c r="F52" s="174" t="s">
        <v>362</v>
      </c>
      <c r="G52" s="147"/>
      <c r="H52" s="147"/>
      <c r="I52" s="147"/>
      <c r="J52" s="147"/>
      <c r="K52" s="3"/>
      <c r="L52" s="3"/>
      <c r="M52" s="3"/>
      <c r="N52" s="3"/>
      <c r="O52" s="3"/>
      <c r="P52" s="3"/>
      <c r="Q52" s="3"/>
      <c r="R52" s="3"/>
      <c r="S52" s="3"/>
      <c r="T52" s="3"/>
      <c r="U52" s="3"/>
      <c r="V52" s="3"/>
      <c r="W52" s="3"/>
      <c r="X52" s="3"/>
      <c r="Y52" s="3"/>
      <c r="Z52" s="3"/>
    </row>
    <row r="53" spans="1:26" ht="22.5" customHeight="1" x14ac:dyDescent="0.85">
      <c r="A53" s="175" t="s">
        <v>411</v>
      </c>
      <c r="B53" s="150">
        <f>'Energy Data'!C231</f>
        <v>1274275.6579195422</v>
      </c>
      <c r="C53" s="176" t="s">
        <v>412</v>
      </c>
      <c r="D53" s="177">
        <v>1</v>
      </c>
      <c r="E53" s="178">
        <f>'Energy Data'!C227</f>
        <v>239911070.9730002</v>
      </c>
      <c r="F53" s="176" t="s">
        <v>413</v>
      </c>
      <c r="G53" s="147"/>
      <c r="H53" s="147"/>
      <c r="I53" s="147"/>
      <c r="J53" s="147"/>
      <c r="K53" s="3"/>
      <c r="L53" s="3"/>
      <c r="M53" s="3"/>
      <c r="N53" s="3"/>
      <c r="O53" s="3"/>
      <c r="P53" s="3"/>
      <c r="Q53" s="3"/>
      <c r="R53" s="3"/>
      <c r="S53" s="3"/>
      <c r="T53" s="3"/>
      <c r="U53" s="3"/>
      <c r="V53" s="3"/>
      <c r="W53" s="3"/>
      <c r="X53" s="3"/>
      <c r="Y53" s="3"/>
      <c r="Z53" s="3"/>
    </row>
    <row r="54" spans="1:26" ht="22.5" customHeight="1" x14ac:dyDescent="0.85">
      <c r="A54" s="13" t="s">
        <v>414</v>
      </c>
      <c r="B54" s="150">
        <f>'Energy Data'!C223</f>
        <v>773955.79720233369</v>
      </c>
      <c r="C54" s="176" t="s">
        <v>412</v>
      </c>
      <c r="D54" s="177">
        <v>1</v>
      </c>
      <c r="E54" s="178">
        <f>'Energy Data'!C219</f>
        <v>145714597.18199995</v>
      </c>
      <c r="F54" s="176" t="s">
        <v>413</v>
      </c>
      <c r="G54" s="147"/>
      <c r="H54" s="147"/>
      <c r="I54" s="147"/>
      <c r="J54" s="147"/>
      <c r="K54" s="3"/>
      <c r="L54" s="3"/>
      <c r="M54" s="3"/>
      <c r="N54" s="3"/>
      <c r="O54" s="3"/>
      <c r="P54" s="3"/>
      <c r="Q54" s="3"/>
      <c r="R54" s="3"/>
      <c r="S54" s="3"/>
      <c r="T54" s="3"/>
      <c r="U54" s="3"/>
      <c r="V54" s="3"/>
      <c r="W54" s="3"/>
      <c r="X54" s="3"/>
      <c r="Y54" s="3"/>
      <c r="Z54" s="3"/>
    </row>
    <row r="55" spans="1:26" ht="22.5" customHeight="1" x14ac:dyDescent="0.85">
      <c r="A55" s="13" t="s">
        <v>266</v>
      </c>
      <c r="B55" s="150">
        <f>'Energy Data'!C240</f>
        <v>0</v>
      </c>
      <c r="C55" s="176" t="s">
        <v>412</v>
      </c>
      <c r="D55" s="177">
        <v>1</v>
      </c>
      <c r="E55" s="178">
        <f>'Energy Data'!C236</f>
        <v>0</v>
      </c>
      <c r="F55" s="176" t="s">
        <v>415</v>
      </c>
      <c r="G55" s="147"/>
      <c r="H55" s="147"/>
      <c r="I55" s="147"/>
      <c r="J55" s="147"/>
      <c r="K55" s="3"/>
      <c r="L55" s="3"/>
      <c r="M55" s="3"/>
      <c r="N55" s="3"/>
      <c r="O55" s="3"/>
      <c r="P55" s="3"/>
      <c r="Q55" s="3"/>
      <c r="R55" s="3"/>
      <c r="S55" s="3"/>
      <c r="T55" s="3"/>
      <c r="U55" s="3"/>
      <c r="V55" s="3"/>
      <c r="W55" s="3"/>
      <c r="X55" s="3"/>
      <c r="Y55" s="3"/>
      <c r="Z55" s="3"/>
    </row>
    <row r="56" spans="1:26" ht="22.5" customHeight="1" x14ac:dyDescent="0.85">
      <c r="A56" s="13" t="s">
        <v>141</v>
      </c>
      <c r="B56" s="150">
        <f>'Energy Data'!C248+'Energy Data'!C256</f>
        <v>16929.752792262298</v>
      </c>
      <c r="C56" s="176" t="s">
        <v>412</v>
      </c>
      <c r="D56" s="177">
        <v>1</v>
      </c>
      <c r="E56" s="178">
        <f>'Energy Data'!C244+'Energy Data'!C252</f>
        <v>2999336.1311475411</v>
      </c>
      <c r="F56" s="176" t="s">
        <v>416</v>
      </c>
      <c r="G56" s="147"/>
      <c r="H56" s="147"/>
      <c r="I56" s="147"/>
      <c r="J56" s="147"/>
      <c r="K56" s="3"/>
      <c r="L56" s="3"/>
      <c r="M56" s="3"/>
      <c r="N56" s="3"/>
      <c r="O56" s="3"/>
      <c r="P56" s="3"/>
      <c r="Q56" s="3"/>
      <c r="R56" s="3"/>
      <c r="S56" s="3"/>
      <c r="T56" s="3"/>
      <c r="U56" s="3"/>
      <c r="V56" s="3"/>
      <c r="W56" s="3"/>
      <c r="X56" s="3"/>
      <c r="Y56" s="3"/>
      <c r="Z56" s="3"/>
    </row>
    <row r="57" spans="1:26" ht="22.5" customHeight="1" x14ac:dyDescent="0.85">
      <c r="A57" s="13" t="s">
        <v>142</v>
      </c>
      <c r="B57" s="150">
        <f>'Energy Data'!C265</f>
        <v>42.862183000000002</v>
      </c>
      <c r="C57" s="179" t="s">
        <v>412</v>
      </c>
      <c r="D57" s="180">
        <v>1</v>
      </c>
      <c r="E57" s="178">
        <f>'Energy Data'!C261</f>
        <v>299488.8</v>
      </c>
      <c r="F57" s="179" t="s">
        <v>417</v>
      </c>
      <c r="G57" s="147"/>
      <c r="H57" s="147"/>
      <c r="I57" s="147"/>
      <c r="J57" s="147"/>
      <c r="K57" s="3"/>
      <c r="L57" s="3"/>
      <c r="M57" s="3"/>
      <c r="N57" s="3"/>
      <c r="O57" s="3"/>
      <c r="P57" s="3"/>
      <c r="Q57" s="3"/>
      <c r="R57" s="3"/>
      <c r="S57" s="3"/>
      <c r="T57" s="3"/>
      <c r="U57" s="3"/>
      <c r="V57" s="3"/>
      <c r="W57" s="3"/>
      <c r="X57" s="3"/>
      <c r="Y57" s="3"/>
      <c r="Z57" s="3"/>
    </row>
    <row r="58" spans="1:26" ht="22.5" customHeight="1" x14ac:dyDescent="0.85">
      <c r="A58" s="181" t="s">
        <v>418</v>
      </c>
      <c r="B58" s="182">
        <f>SUM(B53:B57)</f>
        <v>2065204.0700971379</v>
      </c>
      <c r="C58" s="183"/>
      <c r="D58" s="184"/>
      <c r="E58" s="184"/>
      <c r="F58" s="185"/>
      <c r="G58" s="147"/>
      <c r="H58" s="147"/>
      <c r="I58" s="147"/>
      <c r="J58" s="147"/>
      <c r="K58" s="3"/>
      <c r="L58" s="3"/>
      <c r="M58" s="3"/>
      <c r="N58" s="3"/>
      <c r="O58" s="3"/>
      <c r="P58" s="3"/>
      <c r="Q58" s="3"/>
      <c r="R58" s="3"/>
      <c r="S58" s="3"/>
      <c r="T58" s="3"/>
      <c r="U58" s="3"/>
      <c r="V58" s="3"/>
      <c r="W58" s="3"/>
      <c r="X58" s="3"/>
      <c r="Y58" s="3"/>
      <c r="Z58" s="3"/>
    </row>
    <row r="59" spans="1:26" ht="22.5" customHeight="1" x14ac:dyDescent="0.85">
      <c r="A59" s="171" t="s">
        <v>419</v>
      </c>
      <c r="B59" s="172"/>
      <c r="C59" s="172"/>
      <c r="D59" s="172"/>
      <c r="E59" s="172"/>
      <c r="F59" s="173"/>
      <c r="G59" s="147"/>
      <c r="H59" s="147"/>
      <c r="I59" s="147"/>
      <c r="J59" s="147"/>
      <c r="K59" s="3"/>
      <c r="L59" s="3"/>
      <c r="M59" s="3"/>
      <c r="N59" s="3"/>
      <c r="O59" s="3"/>
      <c r="P59" s="3"/>
      <c r="Q59" s="3"/>
      <c r="R59" s="3"/>
      <c r="S59" s="3"/>
      <c r="T59" s="3"/>
      <c r="U59" s="3"/>
      <c r="V59" s="3"/>
      <c r="W59" s="3"/>
      <c r="X59" s="3"/>
      <c r="Y59" s="3"/>
      <c r="Z59" s="3"/>
    </row>
    <row r="60" spans="1:26" ht="22.5" customHeight="1" x14ac:dyDescent="0.85">
      <c r="A60" s="130" t="s">
        <v>409</v>
      </c>
      <c r="B60" s="130" t="s">
        <v>410</v>
      </c>
      <c r="C60" s="174" t="s">
        <v>362</v>
      </c>
      <c r="D60" s="174" t="s">
        <v>117</v>
      </c>
      <c r="E60" s="174" t="s">
        <v>251</v>
      </c>
      <c r="F60" s="174" t="s">
        <v>362</v>
      </c>
      <c r="G60" s="147"/>
      <c r="H60" s="147"/>
      <c r="I60" s="147"/>
      <c r="J60" s="147"/>
      <c r="K60" s="3"/>
      <c r="L60" s="3"/>
      <c r="M60" s="3"/>
      <c r="N60" s="3"/>
      <c r="O60" s="3"/>
      <c r="P60" s="3"/>
      <c r="Q60" s="3"/>
      <c r="R60" s="3"/>
      <c r="S60" s="3"/>
      <c r="T60" s="3"/>
      <c r="U60" s="3"/>
      <c r="V60" s="3"/>
      <c r="W60" s="3"/>
      <c r="X60" s="3"/>
      <c r="Y60" s="3"/>
      <c r="Z60" s="3"/>
    </row>
    <row r="61" spans="1:26" ht="22.5" customHeight="1" x14ac:dyDescent="0.85">
      <c r="A61" s="13" t="s">
        <v>420</v>
      </c>
      <c r="B61" s="150">
        <f>SUM('Energy Data'!C87,'Energy Data'!C170,'Energy Data'!C200)</f>
        <v>644022.16944116703</v>
      </c>
      <c r="C61" s="176" t="s">
        <v>412</v>
      </c>
      <c r="D61" s="177">
        <v>2</v>
      </c>
      <c r="E61" s="150">
        <f>'Energy Data'!C83+'Energy Data'!C166+'Energy Data'!C196</f>
        <v>2461995086.7627001</v>
      </c>
      <c r="F61" s="176" t="s">
        <v>421</v>
      </c>
      <c r="G61" s="147"/>
      <c r="H61" s="147"/>
      <c r="I61" s="147"/>
      <c r="J61" s="147"/>
      <c r="K61" s="3"/>
      <c r="L61" s="3"/>
      <c r="M61" s="3"/>
      <c r="N61" s="3"/>
      <c r="O61" s="3"/>
      <c r="P61" s="3"/>
      <c r="Q61" s="3"/>
      <c r="R61" s="3"/>
      <c r="S61" s="3"/>
      <c r="T61" s="3"/>
      <c r="U61" s="3"/>
      <c r="V61" s="3"/>
      <c r="W61" s="3"/>
      <c r="X61" s="3"/>
      <c r="Y61" s="3"/>
      <c r="Z61" s="3"/>
    </row>
    <row r="62" spans="1:26" ht="22.5" customHeight="1" x14ac:dyDescent="0.85">
      <c r="A62" s="13" t="s">
        <v>422</v>
      </c>
      <c r="B62" s="150">
        <f>SUM('Energy Data'!C78,'Energy Data'!C163,'Energy Data'!C193)</f>
        <v>500970.98086769326</v>
      </c>
      <c r="C62" s="176" t="s">
        <v>412</v>
      </c>
      <c r="D62" s="177">
        <v>2</v>
      </c>
      <c r="E62" s="150">
        <f>'Energy Data'!C74+'Energy Data'!C159+'Energy Data'!C189</f>
        <v>1882714751.4331386</v>
      </c>
      <c r="F62" s="176" t="s">
        <v>421</v>
      </c>
      <c r="G62" s="147"/>
      <c r="H62" s="147"/>
      <c r="I62" s="147"/>
      <c r="J62" s="147"/>
      <c r="K62" s="3"/>
      <c r="L62" s="3"/>
      <c r="M62" s="3"/>
      <c r="N62" s="3"/>
      <c r="O62" s="3"/>
      <c r="P62" s="3"/>
      <c r="Q62" s="3"/>
      <c r="R62" s="3"/>
      <c r="S62" s="3"/>
      <c r="T62" s="3"/>
      <c r="U62" s="3"/>
      <c r="V62" s="3"/>
      <c r="W62" s="3"/>
      <c r="X62" s="3"/>
      <c r="Y62" s="3"/>
      <c r="Z62" s="3"/>
    </row>
    <row r="63" spans="1:26" ht="22.5" customHeight="1" x14ac:dyDescent="0.85">
      <c r="A63" s="13" t="s">
        <v>423</v>
      </c>
      <c r="B63" s="150">
        <f>SUM('Energy Data'!C94,'Energy Data'!C177,'Energy Data'!C207)</f>
        <v>67403.667380067345</v>
      </c>
      <c r="C63" s="179" t="s">
        <v>412</v>
      </c>
      <c r="D63" s="180">
        <v>2</v>
      </c>
      <c r="E63" s="150">
        <f>'Energy Data'!C203+'Energy Data'!C173+'Energy Data'!C90</f>
        <v>207254300.38458121</v>
      </c>
      <c r="F63" s="179" t="s">
        <v>421</v>
      </c>
      <c r="G63" s="147"/>
      <c r="H63" s="147"/>
      <c r="I63" s="147"/>
      <c r="J63" s="147"/>
      <c r="K63" s="3"/>
      <c r="L63" s="3"/>
      <c r="M63" s="3"/>
      <c r="N63" s="3"/>
      <c r="O63" s="3"/>
      <c r="P63" s="3"/>
      <c r="Q63" s="3"/>
      <c r="R63" s="3"/>
      <c r="S63" s="3"/>
      <c r="T63" s="3"/>
      <c r="U63" s="3"/>
      <c r="V63" s="3"/>
      <c r="W63" s="3"/>
      <c r="X63" s="3"/>
      <c r="Y63" s="3"/>
      <c r="Z63" s="3"/>
    </row>
    <row r="64" spans="1:26" ht="22.5" customHeight="1" x14ac:dyDescent="0.85">
      <c r="A64" s="181" t="s">
        <v>424</v>
      </c>
      <c r="B64" s="182">
        <f>SUM(B61:B63)</f>
        <v>1212396.8176889275</v>
      </c>
      <c r="C64" s="183"/>
      <c r="D64" s="184"/>
      <c r="E64" s="184"/>
      <c r="F64" s="185"/>
      <c r="G64" s="147"/>
      <c r="H64" s="147"/>
      <c r="I64" s="147"/>
      <c r="J64" s="147"/>
      <c r="K64" s="3"/>
      <c r="L64" s="3"/>
      <c r="M64" s="3"/>
      <c r="N64" s="3"/>
      <c r="O64" s="3"/>
      <c r="P64" s="3"/>
      <c r="Q64" s="3"/>
      <c r="R64" s="3"/>
      <c r="S64" s="3"/>
      <c r="T64" s="3"/>
      <c r="U64" s="3"/>
      <c r="V64" s="3"/>
      <c r="W64" s="3"/>
      <c r="X64" s="3"/>
      <c r="Y64" s="3"/>
      <c r="Z64" s="3"/>
    </row>
    <row r="65" spans="1:26" ht="22.5" customHeight="1" x14ac:dyDescent="0.85">
      <c r="A65" s="171" t="s">
        <v>425</v>
      </c>
      <c r="B65" s="172"/>
      <c r="C65" s="172"/>
      <c r="D65" s="172"/>
      <c r="E65" s="172"/>
      <c r="F65" s="173"/>
      <c r="G65" s="147"/>
      <c r="H65" s="147"/>
      <c r="I65" s="147"/>
      <c r="J65" s="147"/>
      <c r="K65" s="3"/>
      <c r="L65" s="3"/>
      <c r="M65" s="3"/>
      <c r="N65" s="3"/>
      <c r="O65" s="3"/>
      <c r="P65" s="3"/>
      <c r="Q65" s="3"/>
      <c r="R65" s="3"/>
      <c r="S65" s="3"/>
      <c r="T65" s="3"/>
      <c r="U65" s="3"/>
      <c r="V65" s="3"/>
      <c r="W65" s="3"/>
      <c r="X65" s="3"/>
      <c r="Y65" s="3"/>
      <c r="Z65" s="3"/>
    </row>
    <row r="66" spans="1:26" ht="22.5" customHeight="1" x14ac:dyDescent="0.85">
      <c r="A66" s="130" t="s">
        <v>409</v>
      </c>
      <c r="B66" s="130" t="s">
        <v>410</v>
      </c>
      <c r="C66" s="174" t="s">
        <v>362</v>
      </c>
      <c r="D66" s="174" t="s">
        <v>117</v>
      </c>
      <c r="E66" s="174" t="s">
        <v>251</v>
      </c>
      <c r="F66" s="174" t="s">
        <v>362</v>
      </c>
      <c r="G66" s="147"/>
      <c r="H66" s="147"/>
      <c r="I66" s="147"/>
      <c r="J66" s="147"/>
      <c r="K66" s="3"/>
      <c r="L66" s="3"/>
      <c r="M66" s="3"/>
      <c r="N66" s="3"/>
      <c r="O66" s="3"/>
      <c r="P66" s="3"/>
      <c r="Q66" s="3"/>
      <c r="R66" s="3"/>
      <c r="S66" s="3"/>
      <c r="T66" s="3"/>
      <c r="U66" s="3"/>
      <c r="V66" s="3"/>
      <c r="W66" s="3"/>
      <c r="X66" s="3"/>
      <c r="Y66" s="3"/>
      <c r="Z66" s="3"/>
    </row>
    <row r="67" spans="1:26" ht="22.5" customHeight="1" x14ac:dyDescent="0.85">
      <c r="A67" s="13" t="s">
        <v>426</v>
      </c>
      <c r="B67" s="150">
        <f>'Energy Data'!F5</f>
        <v>33013.412489092647</v>
      </c>
      <c r="C67" s="176" t="s">
        <v>412</v>
      </c>
      <c r="D67" s="177">
        <v>3</v>
      </c>
      <c r="E67" s="150">
        <f>SUM('Energy Data'!C97,'Energy Data'!C150)</f>
        <v>119639693.43344361</v>
      </c>
      <c r="F67" s="176" t="s">
        <v>421</v>
      </c>
      <c r="G67" s="147"/>
      <c r="H67" s="147"/>
      <c r="I67" s="147"/>
      <c r="J67" s="147"/>
      <c r="K67" s="3"/>
      <c r="L67" s="3"/>
      <c r="M67" s="3"/>
      <c r="N67" s="3"/>
      <c r="O67" s="3"/>
      <c r="P67" s="3"/>
      <c r="Q67" s="3"/>
      <c r="R67" s="3"/>
      <c r="S67" s="3"/>
      <c r="T67" s="3"/>
      <c r="U67" s="3"/>
      <c r="V67" s="3"/>
      <c r="W67" s="3"/>
      <c r="X67" s="3"/>
      <c r="Y67" s="3"/>
      <c r="Z67" s="3"/>
    </row>
    <row r="68" spans="1:26" ht="22.5" customHeight="1" x14ac:dyDescent="0.85">
      <c r="A68" s="181" t="s">
        <v>427</v>
      </c>
      <c r="B68" s="182">
        <f>B67</f>
        <v>33013.412489092647</v>
      </c>
      <c r="C68" s="183"/>
      <c r="D68" s="184"/>
      <c r="E68" s="184"/>
      <c r="F68" s="185"/>
      <c r="G68" s="147"/>
      <c r="H68" s="147"/>
      <c r="I68" s="147"/>
      <c r="J68" s="147"/>
      <c r="K68" s="3"/>
      <c r="L68" s="3"/>
      <c r="M68" s="3"/>
      <c r="N68" s="3"/>
      <c r="O68" s="3"/>
      <c r="P68" s="3"/>
      <c r="Q68" s="3"/>
      <c r="R68" s="3"/>
      <c r="S68" s="3"/>
      <c r="T68" s="3"/>
      <c r="U68" s="3"/>
      <c r="V68" s="3"/>
      <c r="W68" s="3"/>
      <c r="X68" s="3"/>
      <c r="Y68" s="3"/>
      <c r="Z68" s="3"/>
    </row>
    <row r="69" spans="1:26" ht="22.5" customHeight="1" x14ac:dyDescent="0.85">
      <c r="A69" s="171" t="s">
        <v>428</v>
      </c>
      <c r="B69" s="172"/>
      <c r="C69" s="172"/>
      <c r="D69" s="172"/>
      <c r="E69" s="172"/>
      <c r="F69" s="173"/>
      <c r="G69" s="147"/>
      <c r="H69" s="147"/>
      <c r="I69" s="147"/>
      <c r="J69" s="147"/>
      <c r="K69" s="3"/>
      <c r="L69" s="3"/>
      <c r="M69" s="3"/>
      <c r="N69" s="3"/>
      <c r="O69" s="3"/>
      <c r="P69" s="3"/>
      <c r="Q69" s="3"/>
      <c r="R69" s="3"/>
      <c r="S69" s="3"/>
      <c r="T69" s="3"/>
      <c r="U69" s="3"/>
      <c r="V69" s="3"/>
      <c r="W69" s="3"/>
      <c r="X69" s="3"/>
      <c r="Y69" s="3"/>
      <c r="Z69" s="3"/>
    </row>
    <row r="70" spans="1:26" ht="22.5" customHeight="1" x14ac:dyDescent="0.85">
      <c r="A70" s="130" t="s">
        <v>409</v>
      </c>
      <c r="B70" s="130" t="s">
        <v>410</v>
      </c>
      <c r="C70" s="174" t="s">
        <v>362</v>
      </c>
      <c r="D70" s="174" t="s">
        <v>117</v>
      </c>
      <c r="E70" s="174" t="s">
        <v>251</v>
      </c>
      <c r="F70" s="174" t="s">
        <v>362</v>
      </c>
      <c r="G70" s="147"/>
      <c r="H70" s="147"/>
      <c r="I70" s="147"/>
      <c r="J70" s="147"/>
      <c r="K70" s="3"/>
      <c r="L70" s="3"/>
      <c r="M70" s="3"/>
      <c r="N70" s="3"/>
      <c r="O70" s="3"/>
      <c r="P70" s="3"/>
      <c r="Q70" s="3"/>
      <c r="R70" s="3"/>
      <c r="S70" s="3"/>
      <c r="T70" s="3"/>
      <c r="U70" s="3"/>
      <c r="V70" s="3"/>
      <c r="W70" s="3"/>
      <c r="X70" s="3"/>
      <c r="Y70" s="3"/>
      <c r="Z70" s="3"/>
    </row>
    <row r="71" spans="1:26" ht="22.5" customHeight="1" x14ac:dyDescent="0.85">
      <c r="A71" s="175" t="s">
        <v>429</v>
      </c>
      <c r="B71" s="150">
        <f>'Fugitive Emissions Data'!C30</f>
        <v>41498.519856815328</v>
      </c>
      <c r="C71" s="176" t="s">
        <v>412</v>
      </c>
      <c r="D71" s="177">
        <v>1</v>
      </c>
      <c r="E71" s="178">
        <f>'Fugitive Emissions Data'!C24</f>
        <v>239911070.9730002</v>
      </c>
      <c r="F71" s="176" t="s">
        <v>413</v>
      </c>
      <c r="G71" s="147"/>
      <c r="H71" s="147"/>
      <c r="I71" s="147"/>
      <c r="J71" s="147"/>
      <c r="K71" s="3"/>
      <c r="L71" s="3"/>
      <c r="M71" s="3"/>
      <c r="N71" s="3"/>
      <c r="O71" s="3"/>
      <c r="P71" s="3"/>
      <c r="Q71" s="3"/>
      <c r="R71" s="3"/>
      <c r="S71" s="3"/>
      <c r="T71" s="3"/>
      <c r="U71" s="3"/>
      <c r="V71" s="3"/>
      <c r="W71" s="3"/>
      <c r="X71" s="3"/>
      <c r="Y71" s="3"/>
      <c r="Z71" s="3"/>
    </row>
    <row r="72" spans="1:26" ht="22.5" customHeight="1" x14ac:dyDescent="0.85">
      <c r="A72" s="175" t="s">
        <v>430</v>
      </c>
      <c r="B72" s="150">
        <f>'Fugitive Emissions Data'!C31</f>
        <v>25204.923141148411</v>
      </c>
      <c r="C72" s="179" t="s">
        <v>412</v>
      </c>
      <c r="D72" s="180">
        <v>1</v>
      </c>
      <c r="E72" s="178">
        <f>'Fugitive Emissions Data'!C25</f>
        <v>145714597.18199995</v>
      </c>
      <c r="F72" s="179" t="s">
        <v>413</v>
      </c>
      <c r="G72" s="147"/>
      <c r="H72" s="147"/>
      <c r="I72" s="147"/>
      <c r="J72" s="147"/>
      <c r="K72" s="3"/>
      <c r="L72" s="3"/>
      <c r="M72" s="3"/>
      <c r="N72" s="3"/>
      <c r="O72" s="3"/>
      <c r="P72" s="3"/>
      <c r="Q72" s="3"/>
      <c r="R72" s="3"/>
      <c r="S72" s="3"/>
      <c r="T72" s="3"/>
      <c r="U72" s="3"/>
      <c r="V72" s="3"/>
      <c r="W72" s="3"/>
      <c r="X72" s="3"/>
      <c r="Y72" s="3"/>
      <c r="Z72" s="3"/>
    </row>
    <row r="73" spans="1:26" ht="22.5" customHeight="1" x14ac:dyDescent="0.85">
      <c r="A73" s="181" t="s">
        <v>431</v>
      </c>
      <c r="B73" s="182">
        <f>SUM(B71:B72)</f>
        <v>66703.442997963735</v>
      </c>
      <c r="C73" s="183"/>
      <c r="D73" s="184"/>
      <c r="E73" s="184"/>
      <c r="F73" s="185"/>
      <c r="G73" s="147"/>
      <c r="H73" s="147"/>
      <c r="I73" s="147"/>
      <c r="J73" s="147"/>
      <c r="K73" s="3"/>
      <c r="L73" s="3"/>
      <c r="M73" s="3"/>
      <c r="N73" s="3"/>
      <c r="O73" s="3"/>
      <c r="P73" s="3"/>
      <c r="Q73" s="3"/>
      <c r="R73" s="3"/>
      <c r="S73" s="3"/>
      <c r="T73" s="3"/>
      <c r="U73" s="3"/>
      <c r="V73" s="3"/>
      <c r="W73" s="3"/>
      <c r="X73" s="3"/>
      <c r="Y73" s="3"/>
      <c r="Z73" s="3"/>
    </row>
    <row r="74" spans="1:26" ht="22.5" customHeight="1" x14ac:dyDescent="0.85">
      <c r="A74" s="186" t="s">
        <v>432</v>
      </c>
      <c r="B74" s="187">
        <f>SUM(B53,B55,B54,B56,B57,B61,B62,B63,B67,B71,B72)</f>
        <v>3377317.7432731218</v>
      </c>
      <c r="C74" s="188"/>
      <c r="D74" s="189"/>
      <c r="E74" s="189"/>
      <c r="F74" s="190"/>
      <c r="G74" s="147"/>
      <c r="H74" s="147"/>
      <c r="I74" s="147"/>
      <c r="J74" s="147"/>
      <c r="K74" s="3"/>
      <c r="L74" s="3"/>
      <c r="M74" s="3"/>
      <c r="N74" s="3"/>
      <c r="O74" s="3"/>
      <c r="P74" s="3"/>
      <c r="Q74" s="3"/>
      <c r="R74" s="3"/>
      <c r="S74" s="3"/>
      <c r="T74" s="3"/>
      <c r="U74" s="3"/>
      <c r="V74" s="3"/>
      <c r="W74" s="3"/>
      <c r="X74" s="3"/>
      <c r="Y74" s="3"/>
      <c r="Z74" s="3"/>
    </row>
    <row r="75" spans="1:26" ht="22.5" customHeight="1" x14ac:dyDescent="0.85">
      <c r="A75" s="191" t="s">
        <v>131</v>
      </c>
      <c r="B75" s="192"/>
      <c r="C75" s="193"/>
      <c r="D75" s="193"/>
      <c r="E75" s="193"/>
      <c r="F75" s="194"/>
      <c r="G75" s="147"/>
      <c r="H75" s="147"/>
      <c r="I75" s="147"/>
      <c r="J75" s="147"/>
      <c r="K75" s="147"/>
      <c r="L75" s="147"/>
      <c r="M75" s="3"/>
      <c r="N75" s="3"/>
      <c r="O75" s="3"/>
      <c r="P75" s="3"/>
      <c r="Q75" s="3"/>
      <c r="R75" s="3"/>
      <c r="S75" s="3"/>
      <c r="T75" s="3"/>
      <c r="U75" s="3"/>
      <c r="V75" s="3"/>
      <c r="W75" s="3"/>
      <c r="X75" s="3"/>
      <c r="Y75" s="3"/>
      <c r="Z75" s="3"/>
    </row>
    <row r="76" spans="1:26" ht="22.5" customHeight="1" x14ac:dyDescent="0.85">
      <c r="A76" s="171" t="s">
        <v>433</v>
      </c>
      <c r="B76" s="172"/>
      <c r="C76" s="172"/>
      <c r="D76" s="172"/>
      <c r="E76" s="172"/>
      <c r="F76" s="173"/>
      <c r="G76" s="147"/>
      <c r="H76" s="147"/>
      <c r="I76" s="147"/>
      <c r="J76" s="147"/>
      <c r="K76" s="3"/>
      <c r="L76" s="3"/>
      <c r="M76" s="3"/>
      <c r="N76" s="3"/>
      <c r="O76" s="3"/>
      <c r="P76" s="3"/>
      <c r="Q76" s="3"/>
      <c r="R76" s="3"/>
      <c r="S76" s="3"/>
      <c r="T76" s="3"/>
      <c r="U76" s="3"/>
      <c r="V76" s="3"/>
      <c r="W76" s="3"/>
      <c r="X76" s="3"/>
      <c r="Y76" s="3"/>
      <c r="Z76" s="3"/>
    </row>
    <row r="77" spans="1:26" ht="22.5" customHeight="1" x14ac:dyDescent="0.85">
      <c r="A77" s="130" t="s">
        <v>409</v>
      </c>
      <c r="B77" s="130" t="s">
        <v>410</v>
      </c>
      <c r="C77" s="174" t="s">
        <v>362</v>
      </c>
      <c r="D77" s="174" t="s">
        <v>117</v>
      </c>
      <c r="E77" s="174" t="s">
        <v>251</v>
      </c>
      <c r="F77" s="174" t="s">
        <v>362</v>
      </c>
      <c r="G77" s="147"/>
      <c r="H77" s="147"/>
      <c r="I77" s="147"/>
      <c r="J77" s="147"/>
      <c r="K77" s="3"/>
      <c r="L77" s="3"/>
      <c r="M77" s="3"/>
      <c r="N77" s="3"/>
      <c r="O77" s="3"/>
      <c r="P77" s="3"/>
      <c r="Q77" s="3"/>
      <c r="R77" s="3"/>
      <c r="S77" s="3"/>
      <c r="T77" s="3"/>
      <c r="U77" s="3"/>
      <c r="V77" s="3"/>
      <c r="W77" s="3"/>
      <c r="X77" s="3"/>
      <c r="Y77" s="3"/>
      <c r="Z77" s="3"/>
    </row>
    <row r="78" spans="1:26" ht="22.5" customHeight="1" x14ac:dyDescent="0.85">
      <c r="A78" s="175" t="s">
        <v>434</v>
      </c>
      <c r="B78" s="150">
        <f>'On-Road Data'!D5</f>
        <v>2360967.4784859195</v>
      </c>
      <c r="C78" s="176" t="s">
        <v>412</v>
      </c>
      <c r="D78" s="176">
        <v>1</v>
      </c>
      <c r="E78" s="178">
        <f>'On-Road Data'!C93</f>
        <v>5246627216.1865778</v>
      </c>
      <c r="F78" s="176" t="s">
        <v>435</v>
      </c>
      <c r="G78" s="147"/>
      <c r="H78" s="147"/>
      <c r="I78" s="147"/>
      <c r="J78" s="147"/>
      <c r="K78" s="3"/>
      <c r="L78" s="3"/>
      <c r="M78" s="3"/>
      <c r="N78" s="3"/>
      <c r="O78" s="3"/>
      <c r="P78" s="3"/>
      <c r="Q78" s="3"/>
      <c r="R78" s="3"/>
      <c r="S78" s="3"/>
      <c r="T78" s="3"/>
      <c r="U78" s="3"/>
      <c r="V78" s="3"/>
      <c r="W78" s="3"/>
      <c r="X78" s="3"/>
      <c r="Y78" s="3"/>
      <c r="Z78" s="3"/>
    </row>
    <row r="79" spans="1:26" ht="22.5" customHeight="1" x14ac:dyDescent="0.85">
      <c r="A79" s="175" t="s">
        <v>436</v>
      </c>
      <c r="B79" s="150">
        <f>'On-Road Data'!E5</f>
        <v>8007.7010438152029</v>
      </c>
      <c r="C79" s="176" t="s">
        <v>412</v>
      </c>
      <c r="D79" s="176">
        <v>2</v>
      </c>
      <c r="E79" s="178">
        <f>'On-Road Data'!E145+'On-Road Data'!F145</f>
        <v>30070663</v>
      </c>
      <c r="F79" s="176" t="s">
        <v>421</v>
      </c>
      <c r="G79" s="147"/>
      <c r="H79" s="147"/>
      <c r="I79" s="147"/>
      <c r="J79" s="147"/>
      <c r="K79" s="3"/>
      <c r="L79" s="3"/>
      <c r="M79" s="3"/>
      <c r="N79" s="3"/>
      <c r="O79" s="3"/>
      <c r="P79" s="3"/>
      <c r="Q79" s="3"/>
      <c r="R79" s="3"/>
      <c r="S79" s="3"/>
      <c r="T79" s="3"/>
      <c r="U79" s="3"/>
      <c r="V79" s="3"/>
      <c r="W79" s="3"/>
      <c r="X79" s="3"/>
      <c r="Y79" s="3"/>
      <c r="Z79" s="3"/>
    </row>
    <row r="80" spans="1:26" ht="22.5" customHeight="1" x14ac:dyDescent="0.85">
      <c r="A80" s="175" t="s">
        <v>437</v>
      </c>
      <c r="B80" s="150">
        <f>'On-Road Data'!F5</f>
        <v>216.00638093327544</v>
      </c>
      <c r="C80" s="176" t="s">
        <v>412</v>
      </c>
      <c r="D80" s="176">
        <v>3</v>
      </c>
      <c r="E80" s="178">
        <f>'On-Road Data'!I145</f>
        <v>811151.04714241996</v>
      </c>
      <c r="F80" s="176" t="s">
        <v>421</v>
      </c>
      <c r="G80" s="147"/>
      <c r="H80" s="147"/>
      <c r="I80" s="147"/>
      <c r="J80" s="147"/>
      <c r="K80" s="3"/>
      <c r="L80" s="3"/>
      <c r="M80" s="3"/>
      <c r="N80" s="3"/>
      <c r="O80" s="3"/>
      <c r="P80" s="3"/>
      <c r="Q80" s="3"/>
      <c r="R80" s="3"/>
      <c r="S80" s="3"/>
      <c r="T80" s="3"/>
      <c r="U80" s="3"/>
      <c r="V80" s="3"/>
      <c r="W80" s="3"/>
      <c r="X80" s="3"/>
      <c r="Y80" s="3"/>
      <c r="Z80" s="3"/>
    </row>
    <row r="81" spans="1:26" ht="22.5" customHeight="1" x14ac:dyDescent="0.85">
      <c r="A81" s="171" t="s">
        <v>292</v>
      </c>
      <c r="B81" s="172"/>
      <c r="C81" s="172"/>
      <c r="D81" s="172"/>
      <c r="E81" s="172"/>
      <c r="F81" s="173"/>
      <c r="G81" s="147"/>
      <c r="H81" s="147"/>
      <c r="I81" s="147"/>
      <c r="J81" s="147"/>
      <c r="K81" s="3"/>
      <c r="L81" s="3"/>
      <c r="M81" s="3"/>
      <c r="N81" s="3"/>
      <c r="O81" s="3"/>
      <c r="P81" s="3"/>
      <c r="Q81" s="3"/>
      <c r="R81" s="3"/>
      <c r="S81" s="3"/>
      <c r="T81" s="3"/>
      <c r="U81" s="3"/>
      <c r="V81" s="3"/>
      <c r="W81" s="3"/>
      <c r="X81" s="3"/>
      <c r="Y81" s="3"/>
      <c r="Z81" s="3"/>
    </row>
    <row r="82" spans="1:26" ht="22.5" customHeight="1" x14ac:dyDescent="0.85">
      <c r="A82" s="130" t="s">
        <v>409</v>
      </c>
      <c r="B82" s="130" t="s">
        <v>410</v>
      </c>
      <c r="C82" s="174" t="s">
        <v>362</v>
      </c>
      <c r="D82" s="174" t="s">
        <v>117</v>
      </c>
      <c r="E82" s="174" t="s">
        <v>251</v>
      </c>
      <c r="F82" s="174" t="s">
        <v>362</v>
      </c>
      <c r="G82" s="147"/>
      <c r="H82" s="147"/>
      <c r="I82" s="147"/>
      <c r="J82" s="147"/>
      <c r="K82" s="3"/>
      <c r="L82" s="3"/>
      <c r="M82" s="3"/>
      <c r="N82" s="3"/>
      <c r="O82" s="3"/>
      <c r="P82" s="3"/>
      <c r="Q82" s="3"/>
      <c r="R82" s="3"/>
      <c r="S82" s="3"/>
      <c r="T82" s="3"/>
      <c r="U82" s="3"/>
      <c r="V82" s="3"/>
      <c r="W82" s="3"/>
      <c r="X82" s="3"/>
      <c r="Y82" s="3"/>
      <c r="Z82" s="3"/>
    </row>
    <row r="83" spans="1:26" ht="22.5" customHeight="1" x14ac:dyDescent="0.85">
      <c r="A83" s="175" t="s">
        <v>438</v>
      </c>
      <c r="B83" s="150">
        <f>'Transit Data'!D5</f>
        <v>10973.189929590135</v>
      </c>
      <c r="C83" s="176" t="s">
        <v>412</v>
      </c>
      <c r="D83" s="176">
        <v>1</v>
      </c>
      <c r="E83" s="150">
        <f>SUM('Transit Data'!B58,'Transit Data'!B63,'Transit Data'!B64,'Transit Data'!B68)</f>
        <v>1362228.9695652174</v>
      </c>
      <c r="F83" s="176" t="s">
        <v>439</v>
      </c>
      <c r="G83" s="147"/>
      <c r="H83" s="147"/>
      <c r="I83" s="147"/>
      <c r="J83" s="147"/>
      <c r="K83" s="3"/>
      <c r="L83" s="3"/>
      <c r="M83" s="3"/>
      <c r="N83" s="3"/>
      <c r="O83" s="3"/>
      <c r="P83" s="3"/>
      <c r="Q83" s="3"/>
      <c r="R83" s="3"/>
      <c r="S83" s="3"/>
      <c r="T83" s="3"/>
      <c r="U83" s="3"/>
      <c r="V83" s="3"/>
      <c r="W83" s="3"/>
      <c r="X83" s="3"/>
      <c r="Y83" s="3"/>
      <c r="Z83" s="3"/>
    </row>
    <row r="84" spans="1:26" ht="22.5" customHeight="1" x14ac:dyDescent="0.85">
      <c r="A84" s="175" t="s">
        <v>440</v>
      </c>
      <c r="B84" s="150">
        <f>'Transit Data'!E5</f>
        <v>22.923267935026768</v>
      </c>
      <c r="C84" s="176" t="s">
        <v>412</v>
      </c>
      <c r="D84" s="176">
        <v>2</v>
      </c>
      <c r="E84" s="150">
        <f>'Transit Data'!B72</f>
        <v>88578.938999999998</v>
      </c>
      <c r="F84" s="176" t="s">
        <v>421</v>
      </c>
      <c r="G84" s="147"/>
      <c r="H84" s="147"/>
      <c r="I84" s="147"/>
      <c r="J84" s="147"/>
      <c r="K84" s="3"/>
      <c r="L84" s="3"/>
      <c r="M84" s="3"/>
      <c r="N84" s="3"/>
      <c r="O84" s="3"/>
      <c r="P84" s="3"/>
      <c r="Q84" s="3"/>
      <c r="R84" s="3"/>
      <c r="S84" s="3"/>
      <c r="T84" s="3"/>
      <c r="U84" s="3"/>
      <c r="V84" s="3"/>
      <c r="W84" s="3"/>
      <c r="X84" s="3"/>
      <c r="Y84" s="3"/>
      <c r="Z84" s="3"/>
    </row>
    <row r="85" spans="1:26" ht="22.5" customHeight="1" x14ac:dyDescent="0.85">
      <c r="A85" s="175" t="s">
        <v>490</v>
      </c>
      <c r="B85" s="195">
        <f>'Transit Data'!F5</f>
        <v>0.6143435806587173</v>
      </c>
      <c r="C85" s="176" t="s">
        <v>412</v>
      </c>
      <c r="D85" s="176">
        <v>3</v>
      </c>
      <c r="E85" s="196">
        <f>'Transit Data'!A78</f>
        <v>2373.9155651999999</v>
      </c>
      <c r="F85" s="176" t="s">
        <v>421</v>
      </c>
      <c r="G85" s="147"/>
      <c r="H85" s="147"/>
      <c r="I85" s="147"/>
      <c r="J85" s="147"/>
      <c r="K85" s="3"/>
      <c r="L85" s="3"/>
      <c r="M85" s="3"/>
      <c r="N85" s="3"/>
      <c r="O85" s="3"/>
      <c r="P85" s="3"/>
      <c r="Q85" s="3"/>
      <c r="R85" s="3"/>
      <c r="S85" s="3"/>
      <c r="T85" s="3"/>
      <c r="U85" s="3"/>
      <c r="V85" s="3"/>
      <c r="W85" s="3"/>
      <c r="X85" s="3"/>
      <c r="Y85" s="3"/>
      <c r="Z85" s="3"/>
    </row>
    <row r="86" spans="1:26" ht="22.5" customHeight="1" x14ac:dyDescent="0.85">
      <c r="A86" s="171" t="s">
        <v>299</v>
      </c>
      <c r="B86" s="172"/>
      <c r="C86" s="172"/>
      <c r="D86" s="172"/>
      <c r="E86" s="172"/>
      <c r="F86" s="173"/>
      <c r="G86" s="147"/>
      <c r="H86" s="147"/>
      <c r="I86" s="147"/>
      <c r="J86" s="147"/>
      <c r="K86" s="3"/>
      <c r="L86" s="3"/>
      <c r="M86" s="3"/>
      <c r="N86" s="3"/>
      <c r="O86" s="3"/>
      <c r="P86" s="3"/>
      <c r="Q86" s="3"/>
      <c r="R86" s="3"/>
      <c r="S86" s="3"/>
      <c r="T86" s="3"/>
      <c r="U86" s="3"/>
      <c r="V86" s="3"/>
      <c r="W86" s="3"/>
      <c r="X86" s="3"/>
      <c r="Y86" s="3"/>
      <c r="Z86" s="3"/>
    </row>
    <row r="87" spans="1:26" ht="22.5" customHeight="1" x14ac:dyDescent="0.85">
      <c r="A87" s="130" t="s">
        <v>409</v>
      </c>
      <c r="B87" s="130" t="s">
        <v>410</v>
      </c>
      <c r="C87" s="174" t="s">
        <v>362</v>
      </c>
      <c r="D87" s="174" t="s">
        <v>117</v>
      </c>
      <c r="E87" s="174" t="s">
        <v>251</v>
      </c>
      <c r="F87" s="174" t="s">
        <v>362</v>
      </c>
      <c r="G87" s="147"/>
      <c r="H87" s="147"/>
      <c r="I87" s="147"/>
      <c r="J87" s="147"/>
      <c r="K87" s="3"/>
      <c r="L87" s="3"/>
      <c r="M87" s="3"/>
      <c r="N87" s="3"/>
      <c r="O87" s="3"/>
      <c r="P87" s="3"/>
      <c r="Q87" s="3"/>
      <c r="R87" s="3"/>
      <c r="S87" s="3"/>
      <c r="T87" s="3"/>
      <c r="U87" s="3"/>
      <c r="V87" s="3"/>
      <c r="W87" s="3"/>
      <c r="X87" s="3"/>
      <c r="Y87" s="3"/>
      <c r="Z87" s="3"/>
    </row>
    <row r="88" spans="1:26" ht="22.5" customHeight="1" x14ac:dyDescent="0.85">
      <c r="A88" s="175" t="s">
        <v>150</v>
      </c>
      <c r="B88" s="150">
        <f>'Aviation Data'!D5</f>
        <v>28249.864606659077</v>
      </c>
      <c r="C88" s="176" t="s">
        <v>412</v>
      </c>
      <c r="D88" s="177">
        <v>1</v>
      </c>
      <c r="E88" s="150">
        <f>'Aviation Data'!G47</f>
        <v>2591271.3047749302</v>
      </c>
      <c r="F88" s="176" t="s">
        <v>442</v>
      </c>
      <c r="G88" s="147"/>
      <c r="H88" s="147"/>
      <c r="I88" s="147"/>
      <c r="J88" s="147"/>
      <c r="K88" s="3"/>
      <c r="L88" s="3"/>
      <c r="M88" s="3"/>
      <c r="N88" s="3"/>
      <c r="O88" s="3"/>
      <c r="P88" s="3"/>
      <c r="Q88" s="3"/>
      <c r="R88" s="3"/>
      <c r="S88" s="3"/>
      <c r="T88" s="3"/>
      <c r="U88" s="3"/>
      <c r="V88" s="3"/>
      <c r="W88" s="3"/>
      <c r="X88" s="3"/>
      <c r="Y88" s="3"/>
      <c r="Z88" s="3"/>
    </row>
    <row r="89" spans="1:26" ht="22.5" customHeight="1" x14ac:dyDescent="0.85">
      <c r="A89" s="175" t="s">
        <v>151</v>
      </c>
      <c r="B89" s="150">
        <f>'Aviation Data'!F5</f>
        <v>253855.49369732151</v>
      </c>
      <c r="C89" s="176" t="s">
        <v>412</v>
      </c>
      <c r="D89" s="177">
        <v>3</v>
      </c>
      <c r="E89" s="150">
        <f>'Aviation Data'!G49</f>
        <v>24505431.695225082</v>
      </c>
      <c r="F89" s="176" t="s">
        <v>443</v>
      </c>
      <c r="G89" s="147"/>
      <c r="H89" s="147"/>
      <c r="I89" s="147"/>
      <c r="J89" s="147"/>
      <c r="K89" s="3"/>
      <c r="L89" s="3"/>
      <c r="M89" s="3"/>
      <c r="N89" s="3"/>
      <c r="O89" s="3"/>
      <c r="P89" s="3"/>
      <c r="Q89" s="3"/>
      <c r="R89" s="3"/>
      <c r="S89" s="3"/>
      <c r="T89" s="3"/>
      <c r="U89" s="3"/>
      <c r="V89" s="3"/>
      <c r="W89" s="3"/>
      <c r="X89" s="3"/>
      <c r="Y89" s="3"/>
      <c r="Z89" s="3"/>
    </row>
    <row r="90" spans="1:26" ht="22.5" customHeight="1" x14ac:dyDescent="0.85">
      <c r="A90" s="171" t="s">
        <v>152</v>
      </c>
      <c r="B90" s="172"/>
      <c r="C90" s="172"/>
      <c r="D90" s="172"/>
      <c r="E90" s="172"/>
      <c r="F90" s="173"/>
      <c r="G90" s="147"/>
      <c r="H90" s="147"/>
      <c r="I90" s="147"/>
      <c r="J90" s="147"/>
      <c r="K90" s="3"/>
      <c r="L90" s="3"/>
      <c r="M90" s="3"/>
      <c r="N90" s="3"/>
      <c r="O90" s="3"/>
      <c r="P90" s="3"/>
      <c r="Q90" s="3"/>
      <c r="R90" s="3"/>
      <c r="S90" s="3"/>
      <c r="T90" s="3"/>
      <c r="U90" s="3"/>
      <c r="V90" s="3"/>
      <c r="W90" s="3"/>
      <c r="X90" s="3"/>
      <c r="Y90" s="3"/>
      <c r="Z90" s="3"/>
    </row>
    <row r="91" spans="1:26" ht="22.5" customHeight="1" x14ac:dyDescent="0.85">
      <c r="A91" s="130" t="s">
        <v>409</v>
      </c>
      <c r="B91" s="130" t="s">
        <v>410</v>
      </c>
      <c r="C91" s="174" t="s">
        <v>362</v>
      </c>
      <c r="D91" s="174" t="s">
        <v>117</v>
      </c>
      <c r="E91" s="174" t="s">
        <v>251</v>
      </c>
      <c r="F91" s="174" t="s">
        <v>362</v>
      </c>
      <c r="G91" s="147"/>
      <c r="H91" s="147"/>
      <c r="I91" s="147"/>
      <c r="J91" s="147"/>
      <c r="K91" s="3"/>
      <c r="L91" s="3"/>
      <c r="M91" s="3"/>
      <c r="N91" s="3"/>
      <c r="O91" s="3"/>
      <c r="P91" s="3"/>
      <c r="Q91" s="3"/>
      <c r="R91" s="3"/>
      <c r="S91" s="3"/>
      <c r="T91" s="3"/>
      <c r="U91" s="3"/>
      <c r="V91" s="3"/>
      <c r="W91" s="3"/>
      <c r="X91" s="3"/>
      <c r="Y91" s="3"/>
      <c r="Z91" s="3"/>
    </row>
    <row r="92" spans="1:26" ht="22.5" customHeight="1" x14ac:dyDescent="0.85">
      <c r="A92" s="175" t="s">
        <v>444</v>
      </c>
      <c r="B92" s="150">
        <f>'Off-Road Data'!B5</f>
        <v>489904.86153308279</v>
      </c>
      <c r="C92" s="176" t="s">
        <v>412</v>
      </c>
      <c r="D92" s="177">
        <v>1</v>
      </c>
      <c r="E92" s="176" t="s">
        <v>106</v>
      </c>
      <c r="F92" s="176" t="s">
        <v>106</v>
      </c>
      <c r="G92" s="147"/>
      <c r="H92" s="147"/>
      <c r="I92" s="147"/>
      <c r="J92" s="147"/>
      <c r="K92" s="3"/>
      <c r="L92" s="3"/>
      <c r="M92" s="3"/>
      <c r="N92" s="3"/>
      <c r="O92" s="3"/>
      <c r="P92" s="3"/>
      <c r="Q92" s="3"/>
      <c r="R92" s="3"/>
      <c r="S92" s="3"/>
      <c r="T92" s="3"/>
      <c r="U92" s="3"/>
      <c r="V92" s="3"/>
      <c r="W92" s="3"/>
      <c r="X92" s="3"/>
      <c r="Y92" s="3"/>
      <c r="Z92" s="3"/>
    </row>
    <row r="93" spans="1:26" ht="22.5" customHeight="1" x14ac:dyDescent="0.85">
      <c r="A93" s="171" t="s">
        <v>153</v>
      </c>
      <c r="B93" s="172"/>
      <c r="C93" s="172"/>
      <c r="D93" s="172"/>
      <c r="E93" s="172"/>
      <c r="F93" s="173"/>
      <c r="G93" s="147"/>
      <c r="H93" s="147"/>
      <c r="I93" s="147"/>
      <c r="J93" s="147"/>
      <c r="K93" s="3"/>
      <c r="L93" s="3"/>
      <c r="M93" s="3"/>
      <c r="N93" s="3"/>
      <c r="O93" s="3"/>
      <c r="P93" s="3"/>
      <c r="Q93" s="3"/>
      <c r="R93" s="3"/>
      <c r="S93" s="3"/>
      <c r="T93" s="3"/>
      <c r="U93" s="3"/>
      <c r="V93" s="3"/>
      <c r="W93" s="3"/>
      <c r="X93" s="3"/>
      <c r="Y93" s="3"/>
      <c r="Z93" s="3"/>
    </row>
    <row r="94" spans="1:26" ht="22.5" customHeight="1" x14ac:dyDescent="0.85">
      <c r="A94" s="130" t="s">
        <v>409</v>
      </c>
      <c r="B94" s="130" t="s">
        <v>410</v>
      </c>
      <c r="C94" s="174" t="s">
        <v>362</v>
      </c>
      <c r="D94" s="174" t="s">
        <v>117</v>
      </c>
      <c r="E94" s="174" t="s">
        <v>251</v>
      </c>
      <c r="F94" s="174" t="s">
        <v>362</v>
      </c>
      <c r="G94" s="147"/>
      <c r="H94" s="147"/>
      <c r="I94" s="147"/>
      <c r="J94" s="147"/>
      <c r="K94" s="3"/>
      <c r="L94" s="3"/>
      <c r="M94" s="3"/>
      <c r="N94" s="3"/>
      <c r="O94" s="3"/>
      <c r="P94" s="3"/>
      <c r="Q94" s="3"/>
      <c r="R94" s="3"/>
      <c r="S94" s="3"/>
      <c r="T94" s="3"/>
      <c r="U94" s="3"/>
      <c r="V94" s="3"/>
      <c r="W94" s="3"/>
      <c r="X94" s="3"/>
      <c r="Y94" s="3"/>
      <c r="Z94" s="3"/>
    </row>
    <row r="95" spans="1:26" ht="22.5" customHeight="1" x14ac:dyDescent="0.85">
      <c r="A95" s="175" t="s">
        <v>445</v>
      </c>
      <c r="B95" s="150">
        <f>'Railways Data'!B5</f>
        <v>441.98599065915096</v>
      </c>
      <c r="C95" s="176" t="s">
        <v>412</v>
      </c>
      <c r="D95" s="176">
        <v>1</v>
      </c>
      <c r="E95" s="176" t="s">
        <v>106</v>
      </c>
      <c r="F95" s="176" t="s">
        <v>106</v>
      </c>
      <c r="G95" s="147"/>
      <c r="H95" s="147"/>
      <c r="I95" s="147"/>
      <c r="J95" s="147"/>
      <c r="K95" s="3"/>
      <c r="L95" s="3"/>
      <c r="M95" s="3"/>
      <c r="N95" s="3"/>
      <c r="O95" s="3"/>
      <c r="P95" s="3"/>
      <c r="Q95" s="3"/>
      <c r="R95" s="3"/>
      <c r="S95" s="3"/>
      <c r="T95" s="3"/>
      <c r="U95" s="3"/>
      <c r="V95" s="3"/>
      <c r="W95" s="3"/>
      <c r="X95" s="3"/>
      <c r="Y95" s="3"/>
      <c r="Z95" s="3"/>
    </row>
    <row r="96" spans="1:26" ht="22.5" customHeight="1" x14ac:dyDescent="0.85">
      <c r="A96" s="197" t="s">
        <v>446</v>
      </c>
      <c r="B96" s="198">
        <f>SUM(B78,B79,B80,B83,B84,B88,B89,B95,B92,B85)</f>
        <v>3152640.1192794964</v>
      </c>
      <c r="C96" s="199"/>
      <c r="D96" s="200"/>
      <c r="E96" s="200"/>
      <c r="F96" s="201"/>
      <c r="G96" s="147"/>
      <c r="H96" s="147"/>
      <c r="I96" s="147"/>
      <c r="J96" s="147"/>
      <c r="K96" s="3"/>
      <c r="L96" s="3"/>
      <c r="M96" s="3"/>
      <c r="N96" s="3"/>
      <c r="O96" s="3"/>
      <c r="P96" s="3"/>
      <c r="Q96" s="3"/>
      <c r="R96" s="3"/>
      <c r="S96" s="3"/>
      <c r="T96" s="3"/>
      <c r="U96" s="3"/>
      <c r="V96" s="3"/>
      <c r="W96" s="3"/>
      <c r="X96" s="3"/>
      <c r="Y96" s="3"/>
      <c r="Z96" s="3"/>
    </row>
    <row r="97" spans="1:26" ht="22.5" customHeight="1" x14ac:dyDescent="0.85">
      <c r="A97" s="168" t="s">
        <v>329</v>
      </c>
      <c r="B97" s="169"/>
      <c r="C97" s="202"/>
      <c r="D97" s="202"/>
      <c r="E97" s="202"/>
      <c r="F97" s="203"/>
      <c r="G97" s="147"/>
      <c r="H97" s="147"/>
      <c r="I97" s="147"/>
      <c r="J97" s="147"/>
      <c r="K97" s="147"/>
      <c r="L97" s="147"/>
      <c r="M97" s="3"/>
      <c r="N97" s="3"/>
      <c r="O97" s="3"/>
      <c r="P97" s="3"/>
      <c r="Q97" s="3"/>
      <c r="R97" s="3"/>
      <c r="S97" s="3"/>
      <c r="T97" s="3"/>
      <c r="U97" s="3"/>
      <c r="V97" s="3"/>
      <c r="W97" s="3"/>
      <c r="X97" s="3"/>
      <c r="Y97" s="3"/>
      <c r="Z97" s="3"/>
    </row>
    <row r="98" spans="1:26" ht="22.5" customHeight="1" x14ac:dyDescent="0.85">
      <c r="A98" s="171" t="s">
        <v>447</v>
      </c>
      <c r="B98" s="172"/>
      <c r="C98" s="172"/>
      <c r="D98" s="172"/>
      <c r="E98" s="172"/>
      <c r="F98" s="173"/>
      <c r="G98" s="147"/>
      <c r="H98" s="147"/>
      <c r="I98" s="147"/>
      <c r="J98" s="147"/>
      <c r="K98" s="3"/>
      <c r="L98" s="3"/>
      <c r="M98" s="3"/>
      <c r="N98" s="3"/>
      <c r="O98" s="3"/>
      <c r="P98" s="3"/>
      <c r="Q98" s="3"/>
      <c r="R98" s="3"/>
      <c r="S98" s="3"/>
      <c r="T98" s="3"/>
      <c r="U98" s="3"/>
      <c r="V98" s="3"/>
      <c r="W98" s="3"/>
      <c r="X98" s="3"/>
      <c r="Y98" s="3"/>
      <c r="Z98" s="3"/>
    </row>
    <row r="99" spans="1:26" ht="22.5" customHeight="1" x14ac:dyDescent="0.85">
      <c r="A99" s="148" t="s">
        <v>409</v>
      </c>
      <c r="B99" s="148" t="s">
        <v>410</v>
      </c>
      <c r="C99" s="204" t="s">
        <v>362</v>
      </c>
      <c r="D99" s="204" t="s">
        <v>117</v>
      </c>
      <c r="E99" s="204" t="s">
        <v>251</v>
      </c>
      <c r="F99" s="204" t="s">
        <v>362</v>
      </c>
      <c r="G99" s="147"/>
      <c r="H99" s="147"/>
      <c r="I99" s="147"/>
      <c r="J99" s="147"/>
      <c r="K99" s="3"/>
      <c r="L99" s="3"/>
      <c r="M99" s="3"/>
      <c r="N99" s="3"/>
      <c r="O99" s="3"/>
      <c r="P99" s="3"/>
      <c r="Q99" s="3"/>
      <c r="R99" s="3"/>
      <c r="S99" s="3"/>
      <c r="T99" s="3"/>
      <c r="U99" s="3"/>
      <c r="V99" s="3"/>
      <c r="W99" s="3"/>
      <c r="X99" s="3"/>
      <c r="Y99" s="3"/>
      <c r="Z99" s="3"/>
    </row>
    <row r="100" spans="1:26" ht="22.5" customHeight="1" x14ac:dyDescent="0.85">
      <c r="A100" s="175" t="s">
        <v>448</v>
      </c>
      <c r="B100" s="150">
        <f>'Waste_Recycling Data'!C80</f>
        <v>335580.12755129451</v>
      </c>
      <c r="C100" s="176" t="s">
        <v>412</v>
      </c>
      <c r="D100" s="176">
        <v>1</v>
      </c>
      <c r="E100" s="150">
        <f>SUM('Waste_Recycling Data'!C91,'Waste_Recycling Data'!C102)</f>
        <v>1360324.4644170001</v>
      </c>
      <c r="F100" s="176" t="s">
        <v>449</v>
      </c>
      <c r="G100" s="147"/>
      <c r="H100" s="147"/>
      <c r="I100" s="147"/>
      <c r="J100" s="147"/>
      <c r="K100" s="3"/>
      <c r="L100" s="3"/>
      <c r="M100" s="3"/>
      <c r="N100" s="3"/>
      <c r="O100" s="3"/>
      <c r="P100" s="3"/>
      <c r="Q100" s="3"/>
      <c r="R100" s="3"/>
      <c r="S100" s="3"/>
      <c r="T100" s="3"/>
      <c r="U100" s="3"/>
      <c r="V100" s="3"/>
      <c r="W100" s="3"/>
      <c r="X100" s="3"/>
      <c r="Y100" s="3"/>
      <c r="Z100" s="3"/>
    </row>
    <row r="101" spans="1:26" ht="22.5" customHeight="1" x14ac:dyDescent="0.85">
      <c r="A101" s="175" t="s">
        <v>450</v>
      </c>
      <c r="B101" s="150">
        <f>'Waste_Recycling Data'!C81</f>
        <v>0</v>
      </c>
      <c r="C101" s="176" t="s">
        <v>412</v>
      </c>
      <c r="D101" s="176">
        <v>3</v>
      </c>
      <c r="E101" s="150">
        <v>0</v>
      </c>
      <c r="F101" s="176" t="s">
        <v>449</v>
      </c>
      <c r="G101" s="147"/>
      <c r="H101" s="147"/>
      <c r="I101" s="147"/>
      <c r="J101" s="147"/>
      <c r="K101" s="3"/>
      <c r="L101" s="3"/>
      <c r="M101" s="3"/>
      <c r="N101" s="3"/>
      <c r="O101" s="3"/>
      <c r="P101" s="3"/>
      <c r="Q101" s="3"/>
      <c r="R101" s="3"/>
      <c r="S101" s="3"/>
      <c r="T101" s="3"/>
      <c r="U101" s="3"/>
      <c r="V101" s="3"/>
      <c r="W101" s="3"/>
      <c r="X101" s="3"/>
      <c r="Y101" s="3"/>
      <c r="Z101" s="3"/>
    </row>
    <row r="102" spans="1:26" ht="22.5" customHeight="1" x14ac:dyDescent="0.85">
      <c r="A102" s="175" t="s">
        <v>451</v>
      </c>
      <c r="B102" s="150">
        <f>'Waste_Recycling Data'!C82</f>
        <v>416.3541744966443</v>
      </c>
      <c r="C102" s="176" t="s">
        <v>412</v>
      </c>
      <c r="D102" s="176">
        <v>1</v>
      </c>
      <c r="E102" s="150">
        <f>SUM('Waste_Recycling Data'!C94,'Waste_Recycling Data'!C104)</f>
        <v>3444</v>
      </c>
      <c r="F102" s="176" t="s">
        <v>449</v>
      </c>
      <c r="G102" s="147"/>
      <c r="H102" s="147"/>
      <c r="I102" s="147"/>
      <c r="J102" s="147"/>
      <c r="K102" s="3"/>
      <c r="L102" s="3"/>
      <c r="M102" s="3"/>
      <c r="N102" s="3"/>
      <c r="O102" s="3"/>
      <c r="P102" s="3"/>
      <c r="Q102" s="3"/>
      <c r="R102" s="3"/>
      <c r="S102" s="3"/>
      <c r="T102" s="3"/>
      <c r="U102" s="3"/>
      <c r="V102" s="3"/>
      <c r="W102" s="3"/>
      <c r="X102" s="3"/>
      <c r="Y102" s="3"/>
      <c r="Z102" s="3"/>
    </row>
    <row r="103" spans="1:26" ht="22.5" customHeight="1" x14ac:dyDescent="0.85">
      <c r="A103" s="175" t="s">
        <v>452</v>
      </c>
      <c r="B103" s="150">
        <f>'Waste_Recycling Data'!C83</f>
        <v>0</v>
      </c>
      <c r="C103" s="179" t="s">
        <v>412</v>
      </c>
      <c r="D103" s="179">
        <v>3</v>
      </c>
      <c r="E103" s="150">
        <v>0</v>
      </c>
      <c r="F103" s="179" t="s">
        <v>449</v>
      </c>
      <c r="G103" s="147"/>
      <c r="H103" s="147"/>
      <c r="I103" s="147"/>
      <c r="J103" s="147"/>
      <c r="K103" s="3"/>
      <c r="L103" s="3"/>
      <c r="M103" s="3"/>
      <c r="N103" s="3"/>
      <c r="O103" s="3"/>
      <c r="P103" s="3"/>
      <c r="Q103" s="3"/>
      <c r="R103" s="3"/>
      <c r="S103" s="3"/>
      <c r="T103" s="3"/>
      <c r="U103" s="3"/>
      <c r="V103" s="3"/>
      <c r="W103" s="3"/>
      <c r="X103" s="3"/>
      <c r="Y103" s="3"/>
      <c r="Z103" s="3"/>
    </row>
    <row r="104" spans="1:26" ht="22.5" customHeight="1" x14ac:dyDescent="0.85">
      <c r="A104" s="181" t="s">
        <v>453</v>
      </c>
      <c r="B104" s="182">
        <f>SUM(B100:B103)</f>
        <v>335996.48172579118</v>
      </c>
      <c r="C104" s="183"/>
      <c r="D104" s="184"/>
      <c r="E104" s="184"/>
      <c r="F104" s="185"/>
      <c r="G104" s="147"/>
      <c r="H104" s="147"/>
      <c r="I104" s="147"/>
      <c r="J104" s="147"/>
      <c r="K104" s="3"/>
      <c r="L104" s="3"/>
      <c r="M104" s="3"/>
      <c r="N104" s="3"/>
      <c r="O104" s="3"/>
      <c r="P104" s="3"/>
      <c r="Q104" s="3"/>
      <c r="R104" s="3"/>
      <c r="S104" s="3"/>
      <c r="T104" s="3"/>
      <c r="U104" s="3"/>
      <c r="V104" s="3"/>
      <c r="W104" s="3"/>
      <c r="X104" s="3"/>
      <c r="Y104" s="3"/>
      <c r="Z104" s="3"/>
    </row>
    <row r="105" spans="1:26" ht="22.5" customHeight="1" x14ac:dyDescent="0.85">
      <c r="A105" s="171" t="s">
        <v>454</v>
      </c>
      <c r="B105" s="172"/>
      <c r="C105" s="172"/>
      <c r="D105" s="172"/>
      <c r="E105" s="172"/>
      <c r="F105" s="173"/>
      <c r="G105" s="147"/>
      <c r="H105" s="147"/>
      <c r="I105" s="147"/>
      <c r="J105" s="147"/>
      <c r="K105" s="3"/>
      <c r="L105" s="3"/>
      <c r="M105" s="3"/>
      <c r="N105" s="3"/>
      <c r="O105" s="3"/>
      <c r="P105" s="3"/>
      <c r="Q105" s="3"/>
      <c r="R105" s="3"/>
      <c r="S105" s="3"/>
      <c r="T105" s="3"/>
      <c r="U105" s="3"/>
      <c r="V105" s="3"/>
      <c r="W105" s="3"/>
      <c r="X105" s="3"/>
      <c r="Y105" s="3"/>
      <c r="Z105" s="3"/>
    </row>
    <row r="106" spans="1:26" ht="22.5" customHeight="1" x14ac:dyDescent="0.85">
      <c r="A106" s="130" t="s">
        <v>409</v>
      </c>
      <c r="B106" s="130" t="s">
        <v>410</v>
      </c>
      <c r="C106" s="174" t="s">
        <v>362</v>
      </c>
      <c r="D106" s="174" t="s">
        <v>117</v>
      </c>
      <c r="E106" s="174" t="s">
        <v>251</v>
      </c>
      <c r="F106" s="174" t="s">
        <v>362</v>
      </c>
      <c r="G106" s="147"/>
      <c r="H106" s="147"/>
      <c r="I106" s="147"/>
      <c r="J106" s="147"/>
      <c r="K106" s="3"/>
      <c r="L106" s="3"/>
      <c r="M106" s="3"/>
      <c r="N106" s="3"/>
      <c r="O106" s="3"/>
      <c r="P106" s="3"/>
      <c r="Q106" s="3"/>
      <c r="R106" s="3"/>
      <c r="S106" s="3"/>
      <c r="T106" s="3"/>
      <c r="U106" s="3"/>
      <c r="V106" s="3"/>
      <c r="W106" s="3"/>
      <c r="X106" s="3"/>
      <c r="Y106" s="3"/>
      <c r="Z106" s="3"/>
    </row>
    <row r="107" spans="1:26" ht="22.5" customHeight="1" x14ac:dyDescent="0.85">
      <c r="A107" s="175" t="s">
        <v>491</v>
      </c>
      <c r="B107" s="150">
        <f>'Wastewater Data'!B5</f>
        <v>2290.8458014876096</v>
      </c>
      <c r="C107" s="176" t="s">
        <v>412</v>
      </c>
      <c r="D107" s="176">
        <v>1</v>
      </c>
      <c r="E107" s="177">
        <v>0</v>
      </c>
      <c r="F107" s="176" t="s">
        <v>32</v>
      </c>
      <c r="G107" s="147"/>
      <c r="H107" s="147"/>
      <c r="I107" s="147"/>
      <c r="J107" s="147"/>
      <c r="K107" s="3"/>
      <c r="L107" s="3"/>
      <c r="M107" s="3"/>
      <c r="N107" s="3"/>
      <c r="O107" s="3"/>
      <c r="P107" s="3"/>
      <c r="Q107" s="3"/>
      <c r="R107" s="3"/>
      <c r="S107" s="3"/>
      <c r="T107" s="3"/>
      <c r="U107" s="3"/>
      <c r="V107" s="3"/>
      <c r="W107" s="3"/>
      <c r="X107" s="3"/>
      <c r="Y107" s="3"/>
      <c r="Z107" s="3"/>
    </row>
    <row r="108" spans="1:26" ht="22.5" customHeight="1" x14ac:dyDescent="0.85">
      <c r="A108" s="175" t="s">
        <v>456</v>
      </c>
      <c r="B108" s="150">
        <f>'Wastewater Data'!C76</f>
        <v>1551.7566187199998</v>
      </c>
      <c r="C108" s="179" t="s">
        <v>412</v>
      </c>
      <c r="D108" s="179">
        <v>1</v>
      </c>
      <c r="E108" s="180">
        <v>0</v>
      </c>
      <c r="F108" s="179" t="s">
        <v>32</v>
      </c>
      <c r="G108" s="147"/>
      <c r="H108" s="147"/>
      <c r="I108" s="147"/>
      <c r="J108" s="147"/>
      <c r="K108" s="3"/>
      <c r="L108" s="3"/>
      <c r="M108" s="3"/>
      <c r="N108" s="3"/>
      <c r="O108" s="3"/>
      <c r="P108" s="3"/>
      <c r="Q108" s="3"/>
      <c r="R108" s="3"/>
      <c r="S108" s="3"/>
      <c r="T108" s="3"/>
      <c r="U108" s="3"/>
      <c r="V108" s="3"/>
      <c r="W108" s="3"/>
      <c r="X108" s="3"/>
      <c r="Y108" s="3"/>
      <c r="Z108" s="3"/>
    </row>
    <row r="109" spans="1:26" ht="22.5" customHeight="1" x14ac:dyDescent="0.85">
      <c r="A109" s="181" t="s">
        <v>457</v>
      </c>
      <c r="B109" s="182">
        <f>SUM(B107:B108)</f>
        <v>3842.6024202076096</v>
      </c>
      <c r="C109" s="183"/>
      <c r="D109" s="184"/>
      <c r="E109" s="184"/>
      <c r="F109" s="185"/>
      <c r="G109" s="147"/>
      <c r="H109" s="147"/>
      <c r="I109" s="147"/>
      <c r="J109" s="147"/>
      <c r="K109" s="3"/>
      <c r="L109" s="3"/>
      <c r="M109" s="3"/>
      <c r="N109" s="3"/>
      <c r="O109" s="3"/>
      <c r="P109" s="3"/>
      <c r="Q109" s="3"/>
      <c r="R109" s="3"/>
      <c r="S109" s="3"/>
      <c r="T109" s="3"/>
      <c r="U109" s="3"/>
      <c r="V109" s="3"/>
      <c r="W109" s="3"/>
      <c r="X109" s="3"/>
      <c r="Y109" s="3"/>
      <c r="Z109" s="3"/>
    </row>
    <row r="110" spans="1:26" ht="22.5" customHeight="1" x14ac:dyDescent="0.85">
      <c r="A110" s="186" t="s">
        <v>453</v>
      </c>
      <c r="B110" s="187">
        <f>SUM(B104+B109)</f>
        <v>339839.08414599882</v>
      </c>
      <c r="C110" s="188"/>
      <c r="D110" s="189"/>
      <c r="E110" s="189"/>
      <c r="F110" s="190"/>
      <c r="G110" s="147"/>
      <c r="H110" s="147"/>
      <c r="I110" s="147"/>
      <c r="J110" s="147"/>
      <c r="K110" s="3"/>
      <c r="L110" s="3"/>
      <c r="M110" s="3"/>
      <c r="N110" s="3"/>
      <c r="O110" s="3"/>
      <c r="P110" s="3"/>
      <c r="Q110" s="3"/>
      <c r="R110" s="3"/>
      <c r="S110" s="3"/>
      <c r="T110" s="3"/>
      <c r="U110" s="3"/>
      <c r="V110" s="3"/>
      <c r="W110" s="3"/>
      <c r="X110" s="3"/>
      <c r="Y110" s="3"/>
      <c r="Z110" s="3"/>
    </row>
    <row r="111" spans="1:26" ht="22.5" customHeight="1" x14ac:dyDescent="0.85">
      <c r="A111" s="205" t="s">
        <v>458</v>
      </c>
      <c r="B111" s="169"/>
      <c r="C111" s="202"/>
      <c r="D111" s="202"/>
      <c r="E111" s="202"/>
      <c r="F111" s="203"/>
      <c r="G111" s="147"/>
      <c r="H111" s="147"/>
      <c r="I111" s="147"/>
      <c r="J111" s="147"/>
      <c r="K111" s="147"/>
      <c r="L111" s="147"/>
      <c r="M111" s="3"/>
      <c r="N111" s="3"/>
      <c r="O111" s="3"/>
      <c r="P111" s="3"/>
      <c r="Q111" s="3"/>
      <c r="R111" s="3"/>
      <c r="S111" s="3"/>
      <c r="T111" s="3"/>
      <c r="U111" s="3"/>
      <c r="V111" s="3"/>
      <c r="W111" s="3"/>
      <c r="X111" s="3"/>
      <c r="Y111" s="3"/>
      <c r="Z111" s="3"/>
    </row>
    <row r="112" spans="1:26" ht="22.5" customHeight="1" x14ac:dyDescent="0.85">
      <c r="A112" s="130" t="s">
        <v>409</v>
      </c>
      <c r="B112" s="130" t="s">
        <v>410</v>
      </c>
      <c r="C112" s="174" t="s">
        <v>362</v>
      </c>
      <c r="D112" s="174" t="s">
        <v>117</v>
      </c>
      <c r="E112" s="174" t="s">
        <v>251</v>
      </c>
      <c r="F112" s="174" t="s">
        <v>362</v>
      </c>
      <c r="G112" s="147"/>
      <c r="H112" s="147"/>
      <c r="I112" s="147"/>
      <c r="J112" s="147"/>
      <c r="K112" s="3"/>
      <c r="L112" s="3"/>
      <c r="M112" s="3"/>
      <c r="N112" s="3"/>
      <c r="O112" s="3"/>
      <c r="P112" s="3"/>
      <c r="Q112" s="3"/>
      <c r="R112" s="3"/>
      <c r="S112" s="3"/>
      <c r="T112" s="3"/>
      <c r="U112" s="3"/>
      <c r="V112" s="3"/>
      <c r="W112" s="3"/>
      <c r="X112" s="3"/>
      <c r="Y112" s="3"/>
      <c r="Z112" s="3"/>
    </row>
    <row r="113" spans="1:26" ht="22.5" customHeight="1" x14ac:dyDescent="0.85">
      <c r="A113" s="175" t="s">
        <v>459</v>
      </c>
      <c r="B113" s="150">
        <f>'Industrial Processes Data'!B5</f>
        <v>304217.49</v>
      </c>
      <c r="C113" s="176" t="s">
        <v>412</v>
      </c>
      <c r="D113" s="176">
        <v>1</v>
      </c>
      <c r="E113" s="178" t="s">
        <v>106</v>
      </c>
      <c r="F113" s="176" t="s">
        <v>106</v>
      </c>
      <c r="G113" s="147"/>
      <c r="H113" s="147"/>
      <c r="I113" s="147"/>
      <c r="J113" s="147"/>
      <c r="K113" s="3"/>
      <c r="L113" s="3"/>
      <c r="M113" s="3"/>
      <c r="N113" s="3"/>
      <c r="O113" s="3"/>
      <c r="P113" s="3"/>
      <c r="Q113" s="3"/>
      <c r="R113" s="3"/>
      <c r="S113" s="3"/>
      <c r="T113" s="3"/>
      <c r="U113" s="3"/>
      <c r="V113" s="3"/>
      <c r="W113" s="3"/>
      <c r="X113" s="3"/>
      <c r="Y113" s="3"/>
      <c r="Z113" s="3"/>
    </row>
    <row r="114" spans="1:26" ht="39" customHeight="1" x14ac:dyDescent="0.85">
      <c r="A114" s="175" t="s">
        <v>460</v>
      </c>
      <c r="B114" s="150">
        <f>'Refrigerants Data'!B5</f>
        <v>206786.03498723448</v>
      </c>
      <c r="C114" s="179" t="s">
        <v>412</v>
      </c>
      <c r="D114" s="179">
        <v>1</v>
      </c>
      <c r="E114" s="206">
        <f>'Refrigerants Data'!B28+'Refrigerants Data'!B38</f>
        <v>1270083326</v>
      </c>
      <c r="F114" s="179" t="s">
        <v>461</v>
      </c>
      <c r="G114" s="147"/>
      <c r="H114" s="147"/>
      <c r="I114" s="147"/>
      <c r="J114" s="147"/>
      <c r="K114" s="3"/>
      <c r="L114" s="3"/>
      <c r="M114" s="3"/>
      <c r="N114" s="3"/>
      <c r="O114" s="3"/>
      <c r="P114" s="3"/>
      <c r="Q114" s="3"/>
      <c r="R114" s="3"/>
      <c r="S114" s="3"/>
      <c r="T114" s="3"/>
      <c r="U114" s="3"/>
      <c r="V114" s="3"/>
      <c r="W114" s="3"/>
      <c r="X114" s="3"/>
      <c r="Y114" s="3"/>
      <c r="Z114" s="3"/>
    </row>
    <row r="115" spans="1:26" ht="22.5" customHeight="1" x14ac:dyDescent="0.85">
      <c r="A115" s="186" t="s">
        <v>462</v>
      </c>
      <c r="B115" s="187">
        <f>B113+B114</f>
        <v>511003.5249872345</v>
      </c>
      <c r="C115" s="188"/>
      <c r="D115" s="189"/>
      <c r="E115" s="189"/>
      <c r="F115" s="190"/>
      <c r="G115" s="147"/>
      <c r="H115" s="147"/>
      <c r="I115" s="147"/>
      <c r="J115" s="147"/>
      <c r="K115" s="3"/>
      <c r="L115" s="3"/>
      <c r="M115" s="3"/>
      <c r="N115" s="3"/>
      <c r="O115" s="3"/>
      <c r="P115" s="3"/>
      <c r="Q115" s="3"/>
      <c r="R115" s="3"/>
      <c r="S115" s="3"/>
      <c r="T115" s="3"/>
      <c r="U115" s="3"/>
      <c r="V115" s="3"/>
      <c r="W115" s="3"/>
      <c r="X115" s="3"/>
      <c r="Y115" s="3"/>
      <c r="Z115" s="3"/>
    </row>
    <row r="116" spans="1:26" ht="22.5" customHeight="1" x14ac:dyDescent="0.85">
      <c r="A116" s="205" t="s">
        <v>463</v>
      </c>
      <c r="B116" s="169"/>
      <c r="C116" s="202"/>
      <c r="D116" s="202"/>
      <c r="E116" s="202"/>
      <c r="F116" s="203"/>
      <c r="G116" s="147"/>
      <c r="H116" s="147"/>
      <c r="I116" s="147"/>
      <c r="J116" s="147"/>
      <c r="K116" s="147"/>
      <c r="L116" s="147"/>
      <c r="M116" s="3"/>
      <c r="N116" s="3"/>
      <c r="O116" s="3"/>
      <c r="P116" s="3"/>
      <c r="Q116" s="3"/>
      <c r="R116" s="3"/>
      <c r="S116" s="3"/>
      <c r="T116" s="3"/>
      <c r="U116" s="3"/>
      <c r="V116" s="3"/>
      <c r="W116" s="3"/>
      <c r="X116" s="3"/>
      <c r="Y116" s="3"/>
      <c r="Z116" s="3"/>
    </row>
    <row r="117" spans="1:26" ht="22.5" customHeight="1" x14ac:dyDescent="0.85">
      <c r="A117" s="130" t="s">
        <v>409</v>
      </c>
      <c r="B117" s="130" t="s">
        <v>410</v>
      </c>
      <c r="C117" s="174" t="s">
        <v>362</v>
      </c>
      <c r="D117" s="174" t="s">
        <v>117</v>
      </c>
      <c r="E117" s="174" t="s">
        <v>251</v>
      </c>
      <c r="F117" s="174" t="s">
        <v>362</v>
      </c>
      <c r="G117" s="147"/>
      <c r="H117" s="147"/>
      <c r="I117" s="147"/>
      <c r="J117" s="147"/>
      <c r="K117" s="3"/>
      <c r="L117" s="3"/>
      <c r="M117" s="3"/>
      <c r="N117" s="3"/>
      <c r="O117" s="3"/>
      <c r="P117" s="3"/>
      <c r="Q117" s="3"/>
      <c r="R117" s="3"/>
      <c r="S117" s="3"/>
      <c r="T117" s="3"/>
      <c r="U117" s="3"/>
      <c r="V117" s="3"/>
      <c r="W117" s="3"/>
      <c r="X117" s="3"/>
      <c r="Y117" s="3"/>
      <c r="Z117" s="3"/>
    </row>
    <row r="118" spans="1:26" ht="22.5" customHeight="1" x14ac:dyDescent="0.85">
      <c r="A118" s="175" t="s">
        <v>464</v>
      </c>
      <c r="B118" s="150">
        <f>SUM('AFOLU Data'!Q67+'AFOLU Data'!J81)</f>
        <v>20651.21477324732</v>
      </c>
      <c r="C118" s="176" t="s">
        <v>412</v>
      </c>
      <c r="D118" s="176">
        <v>1</v>
      </c>
      <c r="E118" s="178">
        <f>SUM('AFOLU Data'!C60:I60)</f>
        <v>14018</v>
      </c>
      <c r="F118" s="176" t="s">
        <v>465</v>
      </c>
      <c r="G118" s="147"/>
      <c r="H118" s="147"/>
      <c r="I118" s="147"/>
      <c r="J118" s="147"/>
      <c r="K118" s="3"/>
      <c r="L118" s="3"/>
      <c r="M118" s="3"/>
      <c r="N118" s="3"/>
      <c r="O118" s="3"/>
      <c r="P118" s="3"/>
      <c r="Q118" s="3"/>
      <c r="R118" s="3"/>
      <c r="S118" s="3"/>
      <c r="T118" s="3"/>
      <c r="U118" s="3"/>
      <c r="V118" s="3"/>
      <c r="W118" s="3"/>
      <c r="X118" s="3"/>
      <c r="Y118" s="3"/>
      <c r="Z118" s="3"/>
    </row>
    <row r="119" spans="1:26" ht="22.5" customHeight="1" x14ac:dyDescent="0.85">
      <c r="A119" s="175" t="s">
        <v>466</v>
      </c>
      <c r="B119" s="150">
        <f>SUM('AFOLU Data'!I134+'AFOLU Data'!E118)</f>
        <v>283.06008708797646</v>
      </c>
      <c r="C119" s="179" t="s">
        <v>412</v>
      </c>
      <c r="D119" s="179">
        <v>1</v>
      </c>
      <c r="E119" s="178">
        <f>'AFOLU Data'!G134</f>
        <v>2395</v>
      </c>
      <c r="F119" s="179" t="s">
        <v>467</v>
      </c>
      <c r="G119" s="147"/>
      <c r="H119" s="147"/>
      <c r="I119" s="147"/>
      <c r="J119" s="147"/>
      <c r="K119" s="3"/>
      <c r="L119" s="3"/>
      <c r="M119" s="3"/>
      <c r="N119" s="3"/>
      <c r="O119" s="3"/>
      <c r="P119" s="3"/>
      <c r="Q119" s="3"/>
      <c r="R119" s="3"/>
      <c r="S119" s="3"/>
      <c r="T119" s="3"/>
      <c r="U119" s="3"/>
      <c r="V119" s="3"/>
      <c r="W119" s="3"/>
      <c r="X119" s="3"/>
      <c r="Y119" s="3"/>
      <c r="Z119" s="3"/>
    </row>
    <row r="120" spans="1:26" ht="22.5" customHeight="1" x14ac:dyDescent="0.85">
      <c r="A120" s="175" t="s">
        <v>468</v>
      </c>
      <c r="B120" s="207">
        <f>Trees!B5</f>
        <v>-55112</v>
      </c>
      <c r="C120" s="179" t="s">
        <v>412</v>
      </c>
      <c r="D120" s="179">
        <v>1</v>
      </c>
      <c r="E120" s="178">
        <f>SUM(Trees!D35:D47)</f>
        <v>63727</v>
      </c>
      <c r="F120" s="179" t="s">
        <v>469</v>
      </c>
      <c r="G120" s="147"/>
      <c r="H120" s="147"/>
      <c r="I120" s="147"/>
      <c r="J120" s="147"/>
      <c r="K120" s="3"/>
      <c r="L120" s="3"/>
      <c r="M120" s="3"/>
      <c r="N120" s="3"/>
      <c r="O120" s="3"/>
      <c r="P120" s="3"/>
      <c r="Q120" s="3"/>
      <c r="R120" s="3"/>
      <c r="S120" s="3"/>
      <c r="T120" s="3"/>
      <c r="U120" s="3"/>
      <c r="V120" s="3"/>
      <c r="W120" s="3"/>
      <c r="X120" s="3"/>
      <c r="Y120" s="3"/>
      <c r="Z120" s="3"/>
    </row>
    <row r="121" spans="1:26" ht="22.5" customHeight="1" x14ac:dyDescent="0.85">
      <c r="A121" s="186" t="s">
        <v>470</v>
      </c>
      <c r="B121" s="208">
        <f>SUM(B118+B119+B120)</f>
        <v>-34177.725139664704</v>
      </c>
      <c r="C121" s="188"/>
      <c r="D121" s="189"/>
      <c r="E121" s="189"/>
      <c r="F121" s="190"/>
      <c r="G121" s="147"/>
      <c r="H121" s="147"/>
      <c r="I121" s="147"/>
      <c r="J121" s="147"/>
      <c r="K121" s="3"/>
      <c r="L121" s="3"/>
      <c r="M121" s="3"/>
      <c r="N121" s="3"/>
      <c r="O121" s="3"/>
      <c r="P121" s="3"/>
      <c r="Q121" s="3"/>
      <c r="R121" s="3"/>
      <c r="S121" s="3"/>
      <c r="T121" s="3"/>
      <c r="U121" s="3"/>
      <c r="V121" s="3"/>
      <c r="W121" s="3"/>
      <c r="X121" s="3"/>
      <c r="Y121" s="3"/>
      <c r="Z121" s="3"/>
    </row>
    <row r="122" spans="1:26" ht="22.5" customHeight="1" x14ac:dyDescent="0.85">
      <c r="A122" s="209" t="s">
        <v>101</v>
      </c>
      <c r="B122" s="210">
        <f>B115+B110+B96+B74+B118+B119</f>
        <v>7401734.7465461856</v>
      </c>
      <c r="C122" s="211"/>
      <c r="D122" s="212"/>
      <c r="E122" s="212"/>
      <c r="F122" s="213"/>
      <c r="G122" s="147"/>
      <c r="H122" s="147"/>
      <c r="I122" s="147"/>
      <c r="J122" s="147"/>
      <c r="K122" s="3"/>
      <c r="L122" s="3"/>
      <c r="M122" s="3"/>
      <c r="N122" s="3"/>
      <c r="O122" s="3"/>
      <c r="P122" s="3"/>
      <c r="Q122" s="3"/>
      <c r="R122" s="3"/>
      <c r="S122" s="3"/>
      <c r="T122" s="3"/>
      <c r="U122" s="3"/>
      <c r="V122" s="3"/>
      <c r="W122" s="3"/>
      <c r="X122" s="3"/>
      <c r="Y122" s="3"/>
      <c r="Z122" s="3"/>
    </row>
    <row r="123" spans="1:26" ht="22.5" customHeight="1" x14ac:dyDescent="0.85">
      <c r="A123" s="209" t="s">
        <v>136</v>
      </c>
      <c r="B123" s="214">
        <f>B120</f>
        <v>-55112</v>
      </c>
      <c r="C123" s="211"/>
      <c r="D123" s="212"/>
      <c r="E123" s="212"/>
      <c r="F123" s="213"/>
      <c r="G123" s="147"/>
      <c r="H123" s="147"/>
      <c r="I123" s="147"/>
      <c r="J123" s="147"/>
      <c r="K123" s="3"/>
      <c r="L123" s="3"/>
      <c r="M123" s="3"/>
      <c r="N123" s="3"/>
      <c r="O123" s="3"/>
      <c r="P123" s="3"/>
      <c r="Q123" s="3"/>
      <c r="R123" s="3"/>
      <c r="S123" s="3"/>
      <c r="T123" s="3"/>
      <c r="U123" s="3"/>
      <c r="V123" s="3"/>
      <c r="W123" s="3"/>
      <c r="X123" s="3"/>
      <c r="Y123" s="3"/>
      <c r="Z123" s="3"/>
    </row>
    <row r="124" spans="1:26" ht="22.5" customHeight="1" x14ac:dyDescent="0.85">
      <c r="A124" s="209" t="s">
        <v>123</v>
      </c>
      <c r="B124" s="210">
        <f>B122+B123</f>
        <v>7346622.7465461856</v>
      </c>
      <c r="C124" s="211"/>
      <c r="D124" s="212"/>
      <c r="E124" s="212"/>
      <c r="F124" s="213"/>
      <c r="G124" s="147"/>
      <c r="H124" s="147"/>
      <c r="I124" s="147"/>
      <c r="J124" s="147"/>
      <c r="K124" s="3"/>
      <c r="L124" s="3"/>
      <c r="M124" s="3"/>
      <c r="N124" s="3"/>
      <c r="O124" s="3"/>
      <c r="P124" s="3"/>
      <c r="Q124" s="3"/>
      <c r="R124" s="3"/>
      <c r="S124" s="3"/>
      <c r="T124" s="3"/>
      <c r="U124" s="3"/>
      <c r="V124" s="3"/>
      <c r="W124" s="3"/>
      <c r="X124" s="3"/>
      <c r="Y124" s="3"/>
      <c r="Z124" s="3"/>
    </row>
    <row r="125" spans="1:26" ht="22.5" customHeight="1" x14ac:dyDescent="0.85">
      <c r="A125" s="166"/>
      <c r="B125" s="167"/>
      <c r="C125" s="167"/>
      <c r="D125" s="147"/>
      <c r="E125" s="147"/>
      <c r="F125" s="147"/>
      <c r="G125" s="147"/>
      <c r="H125" s="147"/>
      <c r="I125" s="147"/>
      <c r="J125" s="147"/>
      <c r="K125" s="3"/>
      <c r="L125" s="3"/>
      <c r="M125" s="3"/>
      <c r="N125" s="3"/>
      <c r="O125" s="3"/>
      <c r="P125" s="3"/>
      <c r="Q125" s="3"/>
      <c r="R125" s="3"/>
      <c r="S125" s="3"/>
      <c r="T125" s="3"/>
      <c r="U125" s="3"/>
      <c r="V125" s="3"/>
      <c r="W125" s="3"/>
      <c r="X125" s="3"/>
      <c r="Y125" s="3"/>
      <c r="Z125" s="3"/>
    </row>
    <row r="126" spans="1:26" ht="22.5" customHeight="1" x14ac:dyDescent="0.85">
      <c r="A126" s="144" t="s">
        <v>471</v>
      </c>
      <c r="B126" s="145"/>
      <c r="C126" s="145"/>
      <c r="D126" s="145"/>
      <c r="E126" s="145"/>
      <c r="F126" s="145"/>
      <c r="G126" s="146"/>
      <c r="H126" s="147"/>
      <c r="I126" s="147"/>
      <c r="J126" s="147"/>
      <c r="K126" s="147"/>
      <c r="L126" s="147"/>
      <c r="M126" s="3"/>
      <c r="N126" s="3"/>
      <c r="O126" s="3"/>
      <c r="P126" s="3"/>
      <c r="Q126" s="3"/>
      <c r="R126" s="3"/>
      <c r="S126" s="3"/>
      <c r="T126" s="3"/>
      <c r="U126" s="3"/>
      <c r="V126" s="3"/>
      <c r="W126" s="3"/>
      <c r="X126" s="3"/>
      <c r="Y126" s="3"/>
      <c r="Z126" s="3"/>
    </row>
    <row r="127" spans="1:26" ht="22.5" customHeight="1" x14ac:dyDescent="0.85">
      <c r="A127" s="215" t="s">
        <v>472</v>
      </c>
      <c r="B127" s="216"/>
      <c r="C127" s="216"/>
      <c r="D127" s="216"/>
      <c r="E127" s="216"/>
      <c r="F127" s="216"/>
      <c r="G127" s="217"/>
      <c r="H127" s="147"/>
      <c r="I127" s="147"/>
      <c r="J127" s="147"/>
      <c r="K127" s="3"/>
      <c r="L127" s="3"/>
      <c r="M127" s="3"/>
      <c r="N127" s="3"/>
      <c r="O127" s="3"/>
      <c r="P127" s="3"/>
      <c r="Q127" s="3"/>
      <c r="R127" s="3"/>
      <c r="S127" s="3"/>
      <c r="T127" s="3"/>
      <c r="U127" s="3"/>
      <c r="V127" s="3"/>
      <c r="W127" s="3"/>
      <c r="X127" s="3"/>
      <c r="Y127" s="3"/>
      <c r="Z127" s="3"/>
    </row>
    <row r="128" spans="1:26" ht="22.5" customHeight="1" x14ac:dyDescent="0.85">
      <c r="A128" s="218" t="s">
        <v>473</v>
      </c>
      <c r="B128" s="148" t="s">
        <v>409</v>
      </c>
      <c r="C128" s="148" t="s">
        <v>410</v>
      </c>
      <c r="D128" s="204" t="s">
        <v>362</v>
      </c>
      <c r="E128" s="204" t="s">
        <v>117</v>
      </c>
      <c r="F128" s="204" t="s">
        <v>251</v>
      </c>
      <c r="G128" s="204" t="s">
        <v>362</v>
      </c>
      <c r="H128" s="147"/>
      <c r="I128" s="147"/>
      <c r="J128" s="147"/>
      <c r="K128" s="3"/>
      <c r="L128" s="3"/>
      <c r="M128" s="3"/>
      <c r="N128" s="3"/>
      <c r="O128" s="3"/>
      <c r="P128" s="3"/>
      <c r="Q128" s="3"/>
      <c r="R128" s="3"/>
      <c r="S128" s="3"/>
      <c r="T128" s="3"/>
      <c r="U128" s="3"/>
      <c r="V128" s="3"/>
      <c r="W128" s="3"/>
      <c r="X128" s="3"/>
      <c r="Y128" s="3"/>
      <c r="Z128" s="3"/>
    </row>
    <row r="129" spans="1:26" ht="22.5" customHeight="1" x14ac:dyDescent="0.85">
      <c r="A129" s="87" t="s">
        <v>474</v>
      </c>
      <c r="B129" s="175" t="s">
        <v>475</v>
      </c>
      <c r="C129" s="219">
        <f>'Renewable Energy Data '!E25</f>
        <v>-27412.9738515358</v>
      </c>
      <c r="D129" s="176" t="s">
        <v>412</v>
      </c>
      <c r="E129" s="176" t="s">
        <v>106</v>
      </c>
      <c r="F129" s="178">
        <f>'Renewable Energy Data '!D25</f>
        <v>105927.83478718037</v>
      </c>
      <c r="G129" s="176" t="s">
        <v>476</v>
      </c>
      <c r="H129" s="147"/>
      <c r="I129" s="147"/>
      <c r="J129" s="147"/>
      <c r="K129" s="3"/>
      <c r="L129" s="3"/>
      <c r="M129" s="3"/>
      <c r="N129" s="3"/>
      <c r="O129" s="3"/>
      <c r="P129" s="3"/>
      <c r="Q129" s="3"/>
      <c r="R129" s="3"/>
      <c r="S129" s="3"/>
      <c r="T129" s="3"/>
      <c r="U129" s="3"/>
      <c r="V129" s="3"/>
      <c r="W129" s="3"/>
      <c r="X129" s="3"/>
      <c r="Y129" s="3"/>
      <c r="Z129" s="3"/>
    </row>
    <row r="130" spans="1:26" ht="22.5" customHeight="1" x14ac:dyDescent="0.85">
      <c r="A130" s="228"/>
      <c r="B130" s="175" t="s">
        <v>477</v>
      </c>
      <c r="C130" s="219">
        <f>'Renewable Energy Data '!E26</f>
        <v>-1916.3597590608279</v>
      </c>
      <c r="D130" s="176" t="s">
        <v>412</v>
      </c>
      <c r="E130" s="176" t="s">
        <v>106</v>
      </c>
      <c r="F130" s="178">
        <f>'Renewable Energy Data '!D26</f>
        <v>7405.1009952436598</v>
      </c>
      <c r="G130" s="176" t="s">
        <v>476</v>
      </c>
      <c r="H130" s="147"/>
      <c r="I130" s="147"/>
      <c r="J130" s="147"/>
      <c r="K130" s="3"/>
      <c r="L130" s="3"/>
      <c r="M130" s="3"/>
      <c r="N130" s="3"/>
      <c r="O130" s="3"/>
      <c r="P130" s="3"/>
      <c r="Q130" s="3"/>
      <c r="R130" s="3"/>
      <c r="S130" s="3"/>
      <c r="T130" s="3"/>
      <c r="U130" s="3"/>
      <c r="V130" s="3"/>
      <c r="W130" s="3"/>
      <c r="X130" s="3"/>
      <c r="Y130" s="3"/>
      <c r="Z130" s="3"/>
    </row>
    <row r="131" spans="1:26" ht="22.5" customHeight="1" x14ac:dyDescent="0.85">
      <c r="A131" s="86" t="s">
        <v>478</v>
      </c>
      <c r="B131" s="175" t="s">
        <v>479</v>
      </c>
      <c r="C131" s="219">
        <v>0</v>
      </c>
      <c r="D131" s="176" t="s">
        <v>412</v>
      </c>
      <c r="E131" s="176" t="s">
        <v>106</v>
      </c>
      <c r="F131" s="178">
        <v>0</v>
      </c>
      <c r="G131" s="176" t="s">
        <v>476</v>
      </c>
      <c r="H131" s="147"/>
      <c r="I131" s="147"/>
      <c r="J131" s="147"/>
      <c r="K131" s="3"/>
      <c r="L131" s="3"/>
      <c r="M131" s="3"/>
      <c r="N131" s="3"/>
      <c r="O131" s="3"/>
      <c r="P131" s="3"/>
      <c r="Q131" s="3"/>
      <c r="R131" s="3"/>
      <c r="S131" s="3"/>
      <c r="T131" s="3"/>
      <c r="U131" s="3"/>
      <c r="V131" s="3"/>
      <c r="W131" s="3"/>
      <c r="X131" s="3"/>
      <c r="Y131" s="3"/>
      <c r="Z131" s="3"/>
    </row>
    <row r="132" spans="1:26" ht="22.5" customHeight="1" x14ac:dyDescent="0.85">
      <c r="A132" s="220" t="s">
        <v>480</v>
      </c>
      <c r="B132" s="221"/>
      <c r="C132" s="222"/>
      <c r="D132" s="223"/>
      <c r="E132" s="223"/>
      <c r="F132" s="224"/>
      <c r="G132" s="225"/>
      <c r="H132" s="147"/>
      <c r="I132" s="147"/>
      <c r="J132" s="147"/>
      <c r="K132" s="3"/>
      <c r="L132" s="3"/>
      <c r="M132" s="3"/>
      <c r="N132" s="3"/>
      <c r="O132" s="3"/>
      <c r="P132" s="3"/>
      <c r="Q132" s="3"/>
      <c r="R132" s="3"/>
      <c r="S132" s="3"/>
      <c r="T132" s="3"/>
      <c r="U132" s="3"/>
      <c r="V132" s="3"/>
      <c r="W132" s="3"/>
      <c r="X132" s="3"/>
      <c r="Y132" s="3"/>
      <c r="Z132" s="3"/>
    </row>
    <row r="133" spans="1:26" ht="22.5" customHeight="1" x14ac:dyDescent="0.85">
      <c r="A133" s="130" t="s">
        <v>409</v>
      </c>
      <c r="B133" s="130" t="s">
        <v>410</v>
      </c>
      <c r="C133" s="174" t="s">
        <v>362</v>
      </c>
      <c r="D133" s="174" t="s">
        <v>117</v>
      </c>
      <c r="E133" s="174" t="s">
        <v>251</v>
      </c>
      <c r="F133" s="174" t="s">
        <v>362</v>
      </c>
      <c r="G133" s="225"/>
      <c r="H133" s="147"/>
      <c r="I133" s="147"/>
      <c r="J133" s="147"/>
      <c r="K133" s="3"/>
      <c r="L133" s="3"/>
      <c r="M133" s="3"/>
      <c r="N133" s="3"/>
      <c r="O133" s="3"/>
      <c r="P133" s="3"/>
      <c r="Q133" s="3"/>
      <c r="R133" s="3"/>
      <c r="S133" s="3"/>
      <c r="T133" s="3"/>
      <c r="U133" s="3"/>
      <c r="V133" s="3"/>
      <c r="W133" s="3"/>
      <c r="X133" s="3"/>
      <c r="Y133" s="3"/>
      <c r="Z133" s="3"/>
    </row>
    <row r="134" spans="1:26" ht="22.5" customHeight="1" x14ac:dyDescent="0.85">
      <c r="A134" s="175" t="s">
        <v>481</v>
      </c>
      <c r="B134" s="178">
        <f>'Waste_Recycling Data'!C86+'Waste_Recycling Data'!C87</f>
        <v>-109484.31168240006</v>
      </c>
      <c r="C134" s="179" t="s">
        <v>412</v>
      </c>
      <c r="D134" s="179" t="s">
        <v>106</v>
      </c>
      <c r="E134" s="98">
        <f>SUM('Waste_Recycling Data'!C97,'Waste_Recycling Data'!C98,'Waste_Recycling Data'!C106,'Waste_Recycling Data'!C107)</f>
        <v>36268.39</v>
      </c>
      <c r="F134" s="179" t="s">
        <v>482</v>
      </c>
      <c r="G134" s="225"/>
      <c r="H134" s="147"/>
      <c r="I134" s="147"/>
      <c r="J134" s="147"/>
      <c r="K134" s="3"/>
      <c r="L134" s="3"/>
      <c r="M134" s="3"/>
      <c r="N134" s="3"/>
      <c r="O134" s="3"/>
      <c r="P134" s="3"/>
      <c r="Q134" s="3"/>
      <c r="R134" s="3"/>
      <c r="S134" s="3"/>
      <c r="T134" s="3"/>
      <c r="U134" s="3"/>
      <c r="V134" s="3"/>
      <c r="W134" s="3"/>
      <c r="X134" s="3"/>
      <c r="Y134" s="3"/>
      <c r="Z134" s="3"/>
    </row>
    <row r="135" spans="1:26" ht="22.5" customHeight="1" x14ac:dyDescent="0.85">
      <c r="A135" s="186" t="s">
        <v>483</v>
      </c>
      <c r="B135" s="226">
        <f>B134+SUM(C129:C131)</f>
        <v>-138813.64529299669</v>
      </c>
      <c r="C135" s="188"/>
      <c r="D135" s="189"/>
      <c r="E135" s="189"/>
      <c r="F135" s="190"/>
      <c r="G135" s="225"/>
      <c r="H135" s="147"/>
      <c r="I135" s="147"/>
      <c r="J135" s="147"/>
      <c r="K135" s="3"/>
      <c r="L135" s="3"/>
      <c r="M135" s="3"/>
      <c r="N135" s="3"/>
      <c r="O135" s="3"/>
      <c r="P135" s="3"/>
      <c r="Q135" s="3"/>
      <c r="R135" s="3"/>
      <c r="S135" s="3"/>
      <c r="T135" s="3"/>
      <c r="U135" s="3"/>
      <c r="V135" s="3"/>
      <c r="W135" s="3"/>
      <c r="X135" s="3"/>
      <c r="Y135" s="3"/>
      <c r="Z135" s="3"/>
    </row>
    <row r="136" spans="1:26" ht="22.5" customHeight="1" x14ac:dyDescent="0.85">
      <c r="A136" s="166"/>
      <c r="B136" s="167"/>
      <c r="C136" s="167"/>
      <c r="D136" s="147"/>
      <c r="E136" s="147"/>
      <c r="F136" s="147"/>
      <c r="G136" s="147"/>
      <c r="H136" s="147"/>
      <c r="I136" s="147"/>
      <c r="J136" s="147"/>
      <c r="K136" s="3"/>
      <c r="L136" s="3"/>
      <c r="M136" s="3"/>
      <c r="N136" s="3"/>
      <c r="O136" s="3"/>
      <c r="P136" s="3"/>
      <c r="Q136" s="3"/>
      <c r="R136" s="3"/>
      <c r="S136" s="3"/>
      <c r="T136" s="3"/>
      <c r="U136" s="3"/>
      <c r="V136" s="3"/>
      <c r="W136" s="3"/>
      <c r="X136" s="3"/>
      <c r="Y136" s="3"/>
      <c r="Z136" s="3"/>
    </row>
    <row r="137" spans="1:26" ht="22.5" customHeight="1" x14ac:dyDescent="0.85">
      <c r="A137" s="166"/>
      <c r="B137" s="167"/>
      <c r="C137" s="167"/>
      <c r="D137" s="147"/>
      <c r="E137" s="147"/>
      <c r="F137" s="147"/>
      <c r="G137" s="147"/>
      <c r="H137" s="147"/>
      <c r="I137" s="147"/>
      <c r="J137" s="147"/>
      <c r="K137" s="3"/>
      <c r="L137" s="3"/>
      <c r="M137" s="3"/>
      <c r="N137" s="3"/>
      <c r="O137" s="3"/>
      <c r="P137" s="3"/>
      <c r="Q137" s="3"/>
      <c r="R137" s="3"/>
      <c r="S137" s="3"/>
      <c r="T137" s="3"/>
      <c r="U137" s="3"/>
      <c r="V137" s="3"/>
      <c r="W137" s="3"/>
      <c r="X137" s="3"/>
      <c r="Y137" s="3"/>
      <c r="Z137" s="3"/>
    </row>
    <row r="138" spans="1:26" ht="22.5" customHeight="1" x14ac:dyDescent="0.85">
      <c r="A138" s="166"/>
      <c r="B138" s="167"/>
      <c r="C138" s="167"/>
      <c r="D138" s="147"/>
      <c r="E138" s="147"/>
      <c r="F138" s="147"/>
      <c r="G138" s="147"/>
      <c r="H138" s="147"/>
      <c r="I138" s="147"/>
      <c r="J138" s="147"/>
      <c r="K138" s="3"/>
      <c r="L138" s="3"/>
      <c r="M138" s="3"/>
      <c r="N138" s="3"/>
      <c r="O138" s="3"/>
      <c r="P138" s="3"/>
      <c r="Q138" s="3"/>
      <c r="R138" s="3"/>
      <c r="S138" s="3"/>
      <c r="T138" s="3"/>
      <c r="U138" s="3"/>
      <c r="V138" s="3"/>
      <c r="W138" s="3"/>
      <c r="X138" s="3"/>
      <c r="Y138" s="3"/>
      <c r="Z138" s="3"/>
    </row>
    <row r="139" spans="1:26" ht="22.5" customHeight="1" x14ac:dyDescent="0.85">
      <c r="A139" s="166"/>
      <c r="B139" s="167"/>
      <c r="C139" s="167"/>
      <c r="D139" s="147"/>
      <c r="E139" s="147"/>
      <c r="F139" s="147"/>
      <c r="G139" s="147"/>
      <c r="H139" s="147"/>
      <c r="I139" s="147"/>
      <c r="J139" s="147"/>
      <c r="K139" s="3"/>
      <c r="L139" s="3"/>
      <c r="M139" s="3"/>
      <c r="N139" s="3"/>
      <c r="O139" s="3"/>
      <c r="P139" s="3"/>
      <c r="Q139" s="3"/>
      <c r="R139" s="3"/>
      <c r="S139" s="3"/>
      <c r="T139" s="3"/>
      <c r="U139" s="3"/>
      <c r="V139" s="3"/>
      <c r="W139" s="3"/>
      <c r="X139" s="3"/>
      <c r="Y139" s="3"/>
      <c r="Z139" s="3"/>
    </row>
    <row r="140" spans="1:26" ht="22.5" customHeight="1" x14ac:dyDescent="0.85">
      <c r="A140" s="166"/>
      <c r="B140" s="167"/>
      <c r="C140" s="167"/>
      <c r="D140" s="147"/>
      <c r="E140" s="147"/>
      <c r="F140" s="147"/>
      <c r="G140" s="147"/>
      <c r="H140" s="147"/>
      <c r="I140" s="147"/>
      <c r="J140" s="147"/>
      <c r="K140" s="3"/>
      <c r="L140" s="3"/>
      <c r="M140" s="3"/>
      <c r="N140" s="3"/>
      <c r="O140" s="3"/>
      <c r="P140" s="3"/>
      <c r="Q140" s="3"/>
      <c r="R140" s="3"/>
      <c r="S140" s="3"/>
      <c r="T140" s="3"/>
      <c r="U140" s="3"/>
      <c r="V140" s="3"/>
      <c r="W140" s="3"/>
      <c r="X140" s="3"/>
      <c r="Y140" s="3"/>
      <c r="Z140" s="3"/>
    </row>
    <row r="141" spans="1:26" ht="22.5" customHeight="1" x14ac:dyDescent="0.85">
      <c r="A141" s="166"/>
      <c r="B141" s="167"/>
      <c r="C141" s="167"/>
      <c r="D141" s="147"/>
      <c r="E141" s="147"/>
      <c r="F141" s="147"/>
      <c r="G141" s="147"/>
      <c r="H141" s="147"/>
      <c r="I141" s="147"/>
      <c r="J141" s="147"/>
      <c r="K141" s="3"/>
      <c r="L141" s="3"/>
      <c r="M141" s="3"/>
      <c r="N141" s="3"/>
      <c r="O141" s="3"/>
      <c r="P141" s="3"/>
      <c r="Q141" s="3"/>
      <c r="R141" s="3"/>
      <c r="S141" s="3"/>
      <c r="T141" s="3"/>
      <c r="U141" s="3"/>
      <c r="V141" s="3"/>
      <c r="W141" s="3"/>
      <c r="X141" s="3"/>
      <c r="Y141" s="3"/>
      <c r="Z141" s="3"/>
    </row>
    <row r="142" spans="1:26" ht="22.5" customHeight="1" x14ac:dyDescent="0.85">
      <c r="A142" s="166"/>
      <c r="B142" s="167"/>
      <c r="C142" s="167"/>
      <c r="D142" s="147"/>
      <c r="E142" s="147"/>
      <c r="F142" s="147"/>
      <c r="G142" s="147"/>
      <c r="H142" s="147"/>
      <c r="I142" s="147"/>
      <c r="J142" s="147"/>
      <c r="K142" s="3"/>
      <c r="L142" s="3"/>
      <c r="M142" s="3"/>
      <c r="N142" s="3"/>
      <c r="O142" s="3"/>
      <c r="P142" s="3"/>
      <c r="Q142" s="3"/>
      <c r="R142" s="3"/>
      <c r="S142" s="3"/>
      <c r="T142" s="3"/>
      <c r="U142" s="3"/>
      <c r="V142" s="3"/>
      <c r="W142" s="3"/>
      <c r="X142" s="3"/>
      <c r="Y142" s="3"/>
      <c r="Z142" s="3"/>
    </row>
    <row r="143" spans="1:26" ht="22.5" customHeight="1" x14ac:dyDescent="0.85">
      <c r="A143" s="166"/>
      <c r="B143" s="167"/>
      <c r="C143" s="167"/>
      <c r="D143" s="147"/>
      <c r="E143" s="147"/>
      <c r="F143" s="147"/>
      <c r="G143" s="147"/>
      <c r="H143" s="147"/>
      <c r="I143" s="147"/>
      <c r="J143" s="147"/>
      <c r="K143" s="3"/>
      <c r="L143" s="3"/>
      <c r="M143" s="3"/>
      <c r="N143" s="3"/>
      <c r="O143" s="3"/>
      <c r="P143" s="3"/>
      <c r="Q143" s="3"/>
      <c r="R143" s="3"/>
      <c r="S143" s="3"/>
      <c r="T143" s="3"/>
      <c r="U143" s="3"/>
      <c r="V143" s="3"/>
      <c r="W143" s="3"/>
      <c r="X143" s="3"/>
      <c r="Y143" s="3"/>
      <c r="Z143" s="3"/>
    </row>
    <row r="144" spans="1:26" ht="22.5" customHeight="1" x14ac:dyDescent="0.85">
      <c r="A144" s="166"/>
      <c r="B144" s="167"/>
      <c r="C144" s="167"/>
      <c r="D144" s="147"/>
      <c r="E144" s="147"/>
      <c r="F144" s="147"/>
      <c r="G144" s="147"/>
      <c r="H144" s="147"/>
      <c r="I144" s="147"/>
      <c r="J144" s="147"/>
      <c r="K144" s="3"/>
      <c r="L144" s="3"/>
      <c r="M144" s="3"/>
      <c r="N144" s="3"/>
      <c r="O144" s="3"/>
      <c r="P144" s="3"/>
      <c r="Q144" s="3"/>
      <c r="R144" s="3"/>
      <c r="S144" s="3"/>
      <c r="T144" s="3"/>
      <c r="U144" s="3"/>
      <c r="V144" s="3"/>
      <c r="W144" s="3"/>
      <c r="X144" s="3"/>
      <c r="Y144" s="3"/>
      <c r="Z144" s="3"/>
    </row>
    <row r="145" spans="1:26" ht="22.5" customHeight="1" x14ac:dyDescent="0.85">
      <c r="A145" s="166"/>
      <c r="B145" s="167"/>
      <c r="C145" s="167"/>
      <c r="D145" s="147"/>
      <c r="E145" s="147"/>
      <c r="F145" s="147"/>
      <c r="G145" s="147"/>
      <c r="H145" s="147"/>
      <c r="I145" s="147"/>
      <c r="J145" s="147"/>
      <c r="K145" s="3"/>
      <c r="L145" s="3"/>
      <c r="M145" s="3"/>
      <c r="N145" s="3"/>
      <c r="O145" s="3"/>
      <c r="P145" s="3"/>
      <c r="Q145" s="3"/>
      <c r="R145" s="3"/>
      <c r="S145" s="3"/>
      <c r="T145" s="3"/>
      <c r="U145" s="3"/>
      <c r="V145" s="3"/>
      <c r="W145" s="3"/>
      <c r="X145" s="3"/>
      <c r="Y145" s="3"/>
      <c r="Z145" s="3"/>
    </row>
    <row r="146" spans="1:26" ht="22.5" customHeight="1" x14ac:dyDescent="0.85">
      <c r="A146" s="166"/>
      <c r="B146" s="167"/>
      <c r="C146" s="167"/>
      <c r="D146" s="147"/>
      <c r="E146" s="147"/>
      <c r="F146" s="147"/>
      <c r="G146" s="147"/>
      <c r="H146" s="147"/>
      <c r="I146" s="147"/>
      <c r="J146" s="147"/>
      <c r="K146" s="3"/>
      <c r="L146" s="3"/>
      <c r="M146" s="3"/>
      <c r="N146" s="3"/>
      <c r="O146" s="3"/>
      <c r="P146" s="3"/>
      <c r="Q146" s="3"/>
      <c r="R146" s="3"/>
      <c r="S146" s="3"/>
      <c r="T146" s="3"/>
      <c r="U146" s="3"/>
      <c r="V146" s="3"/>
      <c r="W146" s="3"/>
      <c r="X146" s="3"/>
      <c r="Y146" s="3"/>
      <c r="Z146" s="3"/>
    </row>
    <row r="147" spans="1:26" ht="22.5" customHeight="1" x14ac:dyDescent="0.85">
      <c r="A147" s="166"/>
      <c r="B147" s="167"/>
      <c r="C147" s="167"/>
      <c r="D147" s="147"/>
      <c r="E147" s="147"/>
      <c r="F147" s="147"/>
      <c r="G147" s="147"/>
      <c r="H147" s="147"/>
      <c r="I147" s="147"/>
      <c r="J147" s="147"/>
      <c r="K147" s="3"/>
      <c r="L147" s="3"/>
      <c r="M147" s="3"/>
      <c r="N147" s="3"/>
      <c r="O147" s="3"/>
      <c r="P147" s="3"/>
      <c r="Q147" s="3"/>
      <c r="R147" s="3"/>
      <c r="S147" s="3"/>
      <c r="T147" s="3"/>
      <c r="U147" s="3"/>
      <c r="V147" s="3"/>
      <c r="W147" s="3"/>
      <c r="X147" s="3"/>
      <c r="Y147" s="3"/>
      <c r="Z147" s="3"/>
    </row>
    <row r="148" spans="1:26" ht="22.5" customHeight="1" x14ac:dyDescent="0.85">
      <c r="A148" s="166"/>
      <c r="B148" s="167"/>
      <c r="C148" s="167"/>
      <c r="D148" s="147"/>
      <c r="E148" s="147"/>
      <c r="F148" s="147"/>
      <c r="G148" s="147"/>
      <c r="H148" s="147"/>
      <c r="I148" s="147"/>
      <c r="J148" s="147"/>
      <c r="K148" s="3"/>
      <c r="L148" s="3"/>
      <c r="M148" s="3"/>
      <c r="N148" s="3"/>
      <c r="O148" s="3"/>
      <c r="P148" s="3"/>
      <c r="Q148" s="3"/>
      <c r="R148" s="3"/>
      <c r="S148" s="3"/>
      <c r="T148" s="3"/>
      <c r="U148" s="3"/>
      <c r="V148" s="3"/>
      <c r="W148" s="3"/>
      <c r="X148" s="3"/>
      <c r="Y148" s="3"/>
      <c r="Z148" s="3"/>
    </row>
    <row r="149" spans="1:26" ht="22.5" customHeight="1" x14ac:dyDescent="0.85">
      <c r="A149" s="166"/>
      <c r="B149" s="167"/>
      <c r="C149" s="167"/>
      <c r="D149" s="147"/>
      <c r="E149" s="147"/>
      <c r="F149" s="147"/>
      <c r="G149" s="147"/>
      <c r="H149" s="147"/>
      <c r="I149" s="147"/>
      <c r="J149" s="147"/>
      <c r="K149" s="3"/>
      <c r="L149" s="3"/>
      <c r="M149" s="3"/>
      <c r="N149" s="3"/>
      <c r="O149" s="3"/>
      <c r="P149" s="3"/>
      <c r="Q149" s="3"/>
      <c r="R149" s="3"/>
      <c r="S149" s="3"/>
      <c r="T149" s="3"/>
      <c r="U149" s="3"/>
      <c r="V149" s="3"/>
      <c r="W149" s="3"/>
      <c r="X149" s="3"/>
      <c r="Y149" s="3"/>
      <c r="Z149" s="3"/>
    </row>
    <row r="150" spans="1:26" ht="22.5" customHeight="1" x14ac:dyDescent="0.85">
      <c r="A150" s="166"/>
      <c r="B150" s="167"/>
      <c r="C150" s="167"/>
      <c r="D150" s="147"/>
      <c r="E150" s="147"/>
      <c r="F150" s="147"/>
      <c r="G150" s="147"/>
      <c r="H150" s="147"/>
      <c r="I150" s="147"/>
      <c r="J150" s="147"/>
      <c r="K150" s="3"/>
      <c r="L150" s="3"/>
      <c r="M150" s="3"/>
      <c r="N150" s="3"/>
      <c r="O150" s="3"/>
      <c r="P150" s="3"/>
      <c r="Q150" s="3"/>
      <c r="R150" s="3"/>
      <c r="S150" s="3"/>
      <c r="T150" s="3"/>
      <c r="U150" s="3"/>
      <c r="V150" s="3"/>
      <c r="W150" s="3"/>
      <c r="X150" s="3"/>
      <c r="Y150" s="3"/>
      <c r="Z150" s="3"/>
    </row>
    <row r="151" spans="1:26" ht="22.5" customHeight="1" x14ac:dyDescent="0.85">
      <c r="A151" s="166"/>
      <c r="B151" s="167"/>
      <c r="C151" s="167"/>
      <c r="D151" s="147"/>
      <c r="E151" s="147"/>
      <c r="F151" s="147"/>
      <c r="G151" s="147"/>
      <c r="H151" s="147"/>
      <c r="I151" s="147"/>
      <c r="J151" s="147"/>
      <c r="K151" s="3"/>
      <c r="L151" s="3"/>
      <c r="M151" s="3"/>
      <c r="N151" s="3"/>
      <c r="O151" s="3"/>
      <c r="P151" s="3"/>
      <c r="Q151" s="3"/>
      <c r="R151" s="3"/>
      <c r="S151" s="3"/>
      <c r="T151" s="3"/>
      <c r="U151" s="3"/>
      <c r="V151" s="3"/>
      <c r="W151" s="3"/>
      <c r="X151" s="3"/>
      <c r="Y151" s="3"/>
      <c r="Z151" s="3"/>
    </row>
    <row r="152" spans="1:26" ht="22.5" customHeight="1" x14ac:dyDescent="0.85">
      <c r="A152" s="166"/>
      <c r="B152" s="167"/>
      <c r="C152" s="167"/>
      <c r="D152" s="147"/>
      <c r="E152" s="147"/>
      <c r="F152" s="147"/>
      <c r="G152" s="147"/>
      <c r="H152" s="147"/>
      <c r="I152" s="147"/>
      <c r="J152" s="147"/>
      <c r="K152" s="3"/>
      <c r="L152" s="3"/>
      <c r="M152" s="3"/>
      <c r="N152" s="3"/>
      <c r="O152" s="3"/>
      <c r="P152" s="3"/>
      <c r="Q152" s="3"/>
      <c r="R152" s="3"/>
      <c r="S152" s="3"/>
      <c r="T152" s="3"/>
      <c r="U152" s="3"/>
      <c r="V152" s="3"/>
      <c r="W152" s="3"/>
      <c r="X152" s="3"/>
      <c r="Y152" s="3"/>
      <c r="Z152" s="3"/>
    </row>
    <row r="153" spans="1:26" ht="22.5" customHeight="1" x14ac:dyDescent="0.85">
      <c r="A153" s="166"/>
      <c r="B153" s="167"/>
      <c r="C153" s="167"/>
      <c r="D153" s="147"/>
      <c r="E153" s="147"/>
      <c r="F153" s="147"/>
      <c r="G153" s="147"/>
      <c r="H153" s="147"/>
      <c r="I153" s="147"/>
      <c r="J153" s="147"/>
      <c r="K153" s="3"/>
      <c r="L153" s="3"/>
      <c r="M153" s="3"/>
      <c r="N153" s="3"/>
      <c r="O153" s="3"/>
      <c r="P153" s="3"/>
      <c r="Q153" s="3"/>
      <c r="R153" s="3"/>
      <c r="S153" s="3"/>
      <c r="T153" s="3"/>
      <c r="U153" s="3"/>
      <c r="V153" s="3"/>
      <c r="W153" s="3"/>
      <c r="X153" s="3"/>
      <c r="Y153" s="3"/>
      <c r="Z153" s="3"/>
    </row>
    <row r="154" spans="1:26" ht="22.5" customHeight="1" x14ac:dyDescent="0.85">
      <c r="A154" s="166"/>
      <c r="B154" s="167"/>
      <c r="C154" s="167"/>
      <c r="D154" s="147"/>
      <c r="E154" s="147"/>
      <c r="F154" s="147"/>
      <c r="G154" s="147"/>
      <c r="H154" s="147"/>
      <c r="I154" s="147"/>
      <c r="J154" s="147"/>
      <c r="K154" s="3"/>
      <c r="L154" s="3"/>
      <c r="M154" s="3"/>
      <c r="N154" s="3"/>
      <c r="O154" s="3"/>
      <c r="P154" s="3"/>
      <c r="Q154" s="3"/>
      <c r="R154" s="3"/>
      <c r="S154" s="3"/>
      <c r="T154" s="3"/>
      <c r="U154" s="3"/>
      <c r="V154" s="3"/>
      <c r="W154" s="3"/>
      <c r="X154" s="3"/>
      <c r="Y154" s="3"/>
      <c r="Z154" s="3"/>
    </row>
    <row r="155" spans="1:26" ht="22.5" customHeight="1" x14ac:dyDescent="0.85">
      <c r="A155" s="166"/>
      <c r="B155" s="167"/>
      <c r="C155" s="167"/>
      <c r="D155" s="147"/>
      <c r="E155" s="147"/>
      <c r="F155" s="147"/>
      <c r="G155" s="147"/>
      <c r="H155" s="147"/>
      <c r="I155" s="147"/>
      <c r="J155" s="147"/>
      <c r="K155" s="3"/>
      <c r="L155" s="3"/>
      <c r="M155" s="3"/>
      <c r="N155" s="3"/>
      <c r="O155" s="3"/>
      <c r="P155" s="3"/>
      <c r="Q155" s="3"/>
      <c r="R155" s="3"/>
      <c r="S155" s="3"/>
      <c r="T155" s="3"/>
      <c r="U155" s="3"/>
      <c r="V155" s="3"/>
      <c r="W155" s="3"/>
      <c r="X155" s="3"/>
      <c r="Y155" s="3"/>
      <c r="Z155" s="3"/>
    </row>
    <row r="156" spans="1:26" ht="22.5" customHeight="1" x14ac:dyDescent="0.85">
      <c r="A156" s="166"/>
      <c r="B156" s="167"/>
      <c r="C156" s="167"/>
      <c r="D156" s="147"/>
      <c r="E156" s="147"/>
      <c r="F156" s="147"/>
      <c r="G156" s="147"/>
      <c r="H156" s="147"/>
      <c r="I156" s="147"/>
      <c r="J156" s="147"/>
      <c r="K156" s="3"/>
      <c r="L156" s="3"/>
      <c r="M156" s="3"/>
      <c r="N156" s="3"/>
      <c r="O156" s="3"/>
      <c r="P156" s="3"/>
      <c r="Q156" s="3"/>
      <c r="R156" s="3"/>
      <c r="S156" s="3"/>
      <c r="T156" s="3"/>
      <c r="U156" s="3"/>
      <c r="V156" s="3"/>
      <c r="W156" s="3"/>
      <c r="X156" s="3"/>
      <c r="Y156" s="3"/>
      <c r="Z156" s="3"/>
    </row>
    <row r="157" spans="1:26" ht="22.5" customHeight="1" x14ac:dyDescent="0.85">
      <c r="A157" s="166"/>
      <c r="B157" s="167"/>
      <c r="C157" s="167"/>
      <c r="D157" s="147"/>
      <c r="E157" s="147"/>
      <c r="F157" s="147"/>
      <c r="G157" s="147"/>
      <c r="H157" s="147"/>
      <c r="I157" s="147"/>
      <c r="J157" s="147"/>
      <c r="K157" s="3"/>
      <c r="L157" s="3"/>
      <c r="M157" s="3"/>
      <c r="N157" s="3"/>
      <c r="O157" s="3"/>
      <c r="P157" s="3"/>
      <c r="Q157" s="3"/>
      <c r="R157" s="3"/>
      <c r="S157" s="3"/>
      <c r="T157" s="3"/>
      <c r="U157" s="3"/>
      <c r="V157" s="3"/>
      <c r="W157" s="3"/>
      <c r="X157" s="3"/>
      <c r="Y157" s="3"/>
      <c r="Z157" s="3"/>
    </row>
    <row r="158" spans="1:26" ht="22.5" customHeight="1" x14ac:dyDescent="0.85">
      <c r="A158" s="166"/>
      <c r="B158" s="167"/>
      <c r="C158" s="167"/>
      <c r="D158" s="147"/>
      <c r="E158" s="147"/>
      <c r="F158" s="147"/>
      <c r="G158" s="147"/>
      <c r="H158" s="147"/>
      <c r="I158" s="147"/>
      <c r="J158" s="147"/>
      <c r="K158" s="3"/>
      <c r="L158" s="3"/>
      <c r="M158" s="3"/>
      <c r="N158" s="3"/>
      <c r="O158" s="3"/>
      <c r="P158" s="3"/>
      <c r="Q158" s="3"/>
      <c r="R158" s="3"/>
      <c r="S158" s="3"/>
      <c r="T158" s="3"/>
      <c r="U158" s="3"/>
      <c r="V158" s="3"/>
      <c r="W158" s="3"/>
      <c r="X158" s="3"/>
      <c r="Y158" s="3"/>
      <c r="Z158" s="3"/>
    </row>
    <row r="159" spans="1:26" ht="22.5" customHeight="1" x14ac:dyDescent="0.85">
      <c r="A159" s="166"/>
      <c r="B159" s="167"/>
      <c r="C159" s="167"/>
      <c r="D159" s="147"/>
      <c r="E159" s="147"/>
      <c r="F159" s="147"/>
      <c r="G159" s="147"/>
      <c r="H159" s="147"/>
      <c r="I159" s="147"/>
      <c r="J159" s="147"/>
      <c r="K159" s="3"/>
      <c r="L159" s="3"/>
      <c r="M159" s="3"/>
      <c r="N159" s="3"/>
      <c r="O159" s="3"/>
      <c r="P159" s="3"/>
      <c r="Q159" s="3"/>
      <c r="R159" s="3"/>
      <c r="S159" s="3"/>
      <c r="T159" s="3"/>
      <c r="U159" s="3"/>
      <c r="V159" s="3"/>
      <c r="W159" s="3"/>
      <c r="X159" s="3"/>
      <c r="Y159" s="3"/>
      <c r="Z159" s="3"/>
    </row>
    <row r="160" spans="1:26" ht="22.5" customHeight="1" x14ac:dyDescent="0.85">
      <c r="A160" s="166"/>
      <c r="B160" s="167"/>
      <c r="C160" s="167"/>
      <c r="D160" s="147"/>
      <c r="E160" s="147"/>
      <c r="F160" s="147"/>
      <c r="G160" s="147"/>
      <c r="H160" s="147"/>
      <c r="I160" s="147"/>
      <c r="J160" s="147"/>
      <c r="K160" s="3"/>
      <c r="L160" s="3"/>
      <c r="M160" s="3"/>
      <c r="N160" s="3"/>
      <c r="O160" s="3"/>
      <c r="P160" s="3"/>
      <c r="Q160" s="3"/>
      <c r="R160" s="3"/>
      <c r="S160" s="3"/>
      <c r="T160" s="3"/>
      <c r="U160" s="3"/>
      <c r="V160" s="3"/>
      <c r="W160" s="3"/>
      <c r="X160" s="3"/>
      <c r="Y160" s="3"/>
      <c r="Z160" s="3"/>
    </row>
    <row r="161" spans="1:26" ht="22.5" customHeight="1" x14ac:dyDescent="0.85">
      <c r="A161" s="166"/>
      <c r="B161" s="167"/>
      <c r="C161" s="167"/>
      <c r="D161" s="147"/>
      <c r="E161" s="147"/>
      <c r="F161" s="147"/>
      <c r="G161" s="147"/>
      <c r="H161" s="147"/>
      <c r="I161" s="147"/>
      <c r="J161" s="147"/>
      <c r="K161" s="3"/>
      <c r="L161" s="3"/>
      <c r="M161" s="3"/>
      <c r="N161" s="3"/>
      <c r="O161" s="3"/>
      <c r="P161" s="3"/>
      <c r="Q161" s="3"/>
      <c r="R161" s="3"/>
      <c r="S161" s="3"/>
      <c r="T161" s="3"/>
      <c r="U161" s="3"/>
      <c r="V161" s="3"/>
      <c r="W161" s="3"/>
      <c r="X161" s="3"/>
      <c r="Y161" s="3"/>
      <c r="Z161" s="3"/>
    </row>
    <row r="162" spans="1:26" ht="22.5" customHeight="1" x14ac:dyDescent="0.85">
      <c r="A162" s="166"/>
      <c r="B162" s="167"/>
      <c r="C162" s="167"/>
      <c r="D162" s="147"/>
      <c r="E162" s="147"/>
      <c r="F162" s="147"/>
      <c r="G162" s="147"/>
      <c r="H162" s="147"/>
      <c r="I162" s="147"/>
      <c r="J162" s="147"/>
      <c r="K162" s="3"/>
      <c r="L162" s="3"/>
      <c r="M162" s="3"/>
      <c r="N162" s="3"/>
      <c r="O162" s="3"/>
      <c r="P162" s="3"/>
      <c r="Q162" s="3"/>
      <c r="R162" s="3"/>
      <c r="S162" s="3"/>
      <c r="T162" s="3"/>
      <c r="U162" s="3"/>
      <c r="V162" s="3"/>
      <c r="W162" s="3"/>
      <c r="X162" s="3"/>
      <c r="Y162" s="3"/>
      <c r="Z162" s="3"/>
    </row>
    <row r="163" spans="1:26" ht="22.5" customHeight="1" x14ac:dyDescent="0.85">
      <c r="A163" s="166"/>
      <c r="B163" s="167"/>
      <c r="C163" s="167"/>
      <c r="D163" s="147"/>
      <c r="E163" s="147"/>
      <c r="F163" s="147"/>
      <c r="G163" s="147"/>
      <c r="H163" s="147"/>
      <c r="I163" s="147"/>
      <c r="J163" s="147"/>
      <c r="K163" s="3"/>
      <c r="L163" s="3"/>
      <c r="M163" s="3"/>
      <c r="N163" s="3"/>
      <c r="O163" s="3"/>
      <c r="P163" s="3"/>
      <c r="Q163" s="3"/>
      <c r="R163" s="3"/>
      <c r="S163" s="3"/>
      <c r="T163" s="3"/>
      <c r="U163" s="3"/>
      <c r="V163" s="3"/>
      <c r="W163" s="3"/>
      <c r="X163" s="3"/>
      <c r="Y163" s="3"/>
      <c r="Z163" s="3"/>
    </row>
    <row r="164" spans="1:26" ht="22.5" customHeight="1" x14ac:dyDescent="0.85">
      <c r="A164" s="166"/>
      <c r="B164" s="167"/>
      <c r="C164" s="167"/>
      <c r="D164" s="147"/>
      <c r="E164" s="147"/>
      <c r="F164" s="147"/>
      <c r="G164" s="147"/>
      <c r="H164" s="147"/>
      <c r="I164" s="147"/>
      <c r="J164" s="147"/>
      <c r="K164" s="3"/>
      <c r="L164" s="3"/>
      <c r="M164" s="3"/>
      <c r="N164" s="3"/>
      <c r="O164" s="3"/>
      <c r="P164" s="3"/>
      <c r="Q164" s="3"/>
      <c r="R164" s="3"/>
      <c r="S164" s="3"/>
      <c r="T164" s="3"/>
      <c r="U164" s="3"/>
      <c r="V164" s="3"/>
      <c r="W164" s="3"/>
      <c r="X164" s="3"/>
      <c r="Y164" s="3"/>
      <c r="Z164" s="3"/>
    </row>
    <row r="165" spans="1:26" ht="22.5" customHeight="1" x14ac:dyDescent="0.85">
      <c r="A165" s="166"/>
      <c r="B165" s="167"/>
      <c r="C165" s="167"/>
      <c r="D165" s="147"/>
      <c r="E165" s="147"/>
      <c r="F165" s="147"/>
      <c r="G165" s="147"/>
      <c r="H165" s="147"/>
      <c r="I165" s="147"/>
      <c r="J165" s="147"/>
      <c r="K165" s="3"/>
      <c r="L165" s="3"/>
      <c r="M165" s="3"/>
      <c r="N165" s="3"/>
      <c r="O165" s="3"/>
      <c r="P165" s="3"/>
      <c r="Q165" s="3"/>
      <c r="R165" s="3"/>
      <c r="S165" s="3"/>
      <c r="T165" s="3"/>
      <c r="U165" s="3"/>
      <c r="V165" s="3"/>
      <c r="W165" s="3"/>
      <c r="X165" s="3"/>
      <c r="Y165" s="3"/>
      <c r="Z165" s="3"/>
    </row>
    <row r="166" spans="1:26" ht="22.5" customHeight="1" x14ac:dyDescent="0.85">
      <c r="A166" s="166"/>
      <c r="B166" s="167"/>
      <c r="C166" s="167"/>
      <c r="D166" s="147"/>
      <c r="E166" s="147"/>
      <c r="F166" s="147"/>
      <c r="G166" s="147"/>
      <c r="H166" s="147"/>
      <c r="I166" s="147"/>
      <c r="J166" s="147"/>
      <c r="K166" s="3"/>
      <c r="L166" s="3"/>
      <c r="M166" s="3"/>
      <c r="N166" s="3"/>
      <c r="O166" s="3"/>
      <c r="P166" s="3"/>
      <c r="Q166" s="3"/>
      <c r="R166" s="3"/>
      <c r="S166" s="3"/>
      <c r="T166" s="3"/>
      <c r="U166" s="3"/>
      <c r="V166" s="3"/>
      <c r="W166" s="3"/>
      <c r="X166" s="3"/>
      <c r="Y166" s="3"/>
      <c r="Z166" s="3"/>
    </row>
    <row r="167" spans="1:26" ht="22.5" customHeight="1" x14ac:dyDescent="0.85">
      <c r="A167" s="166"/>
      <c r="B167" s="167"/>
      <c r="C167" s="167"/>
      <c r="D167" s="147"/>
      <c r="E167" s="147"/>
      <c r="F167" s="147"/>
      <c r="G167" s="147"/>
      <c r="H167" s="147"/>
      <c r="I167" s="147"/>
      <c r="J167" s="147"/>
      <c r="K167" s="3"/>
      <c r="L167" s="3"/>
      <c r="M167" s="3"/>
      <c r="N167" s="3"/>
      <c r="O167" s="3"/>
      <c r="P167" s="3"/>
      <c r="Q167" s="3"/>
      <c r="R167" s="3"/>
      <c r="S167" s="3"/>
      <c r="T167" s="3"/>
      <c r="U167" s="3"/>
      <c r="V167" s="3"/>
      <c r="W167" s="3"/>
      <c r="X167" s="3"/>
      <c r="Y167" s="3"/>
      <c r="Z167" s="3"/>
    </row>
    <row r="168" spans="1:26" ht="22.5" customHeight="1" x14ac:dyDescent="0.85">
      <c r="A168" s="166"/>
      <c r="B168" s="167"/>
      <c r="C168" s="167"/>
      <c r="D168" s="147"/>
      <c r="E168" s="147"/>
      <c r="F168" s="147"/>
      <c r="G168" s="147"/>
      <c r="H168" s="147"/>
      <c r="I168" s="147"/>
      <c r="J168" s="147"/>
      <c r="K168" s="3"/>
      <c r="L168" s="3"/>
      <c r="M168" s="3"/>
      <c r="N168" s="3"/>
      <c r="O168" s="3"/>
      <c r="P168" s="3"/>
      <c r="Q168" s="3"/>
      <c r="R168" s="3"/>
      <c r="S168" s="3"/>
      <c r="T168" s="3"/>
      <c r="U168" s="3"/>
      <c r="V168" s="3"/>
      <c r="W168" s="3"/>
      <c r="X168" s="3"/>
      <c r="Y168" s="3"/>
      <c r="Z168" s="3"/>
    </row>
    <row r="169" spans="1:26" ht="22.5" customHeight="1" x14ac:dyDescent="0.85">
      <c r="A169" s="166"/>
      <c r="B169" s="167"/>
      <c r="C169" s="167"/>
      <c r="D169" s="147"/>
      <c r="E169" s="147"/>
      <c r="F169" s="147"/>
      <c r="G169" s="147"/>
      <c r="H169" s="147"/>
      <c r="I169" s="147"/>
      <c r="J169" s="147"/>
      <c r="K169" s="3"/>
      <c r="L169" s="3"/>
      <c r="M169" s="3"/>
      <c r="N169" s="3"/>
      <c r="O169" s="3"/>
      <c r="P169" s="3"/>
      <c r="Q169" s="3"/>
      <c r="R169" s="3"/>
      <c r="S169" s="3"/>
      <c r="T169" s="3"/>
      <c r="U169" s="3"/>
      <c r="V169" s="3"/>
      <c r="W169" s="3"/>
      <c r="X169" s="3"/>
      <c r="Y169" s="3"/>
      <c r="Z169" s="3"/>
    </row>
    <row r="170" spans="1:26" ht="22.5" customHeight="1" x14ac:dyDescent="0.85">
      <c r="A170" s="166"/>
      <c r="B170" s="167"/>
      <c r="C170" s="167"/>
      <c r="D170" s="147"/>
      <c r="E170" s="147"/>
      <c r="F170" s="147"/>
      <c r="G170" s="147"/>
      <c r="H170" s="147"/>
      <c r="I170" s="147"/>
      <c r="J170" s="147"/>
      <c r="K170" s="3"/>
      <c r="L170" s="3"/>
      <c r="M170" s="3"/>
      <c r="N170" s="3"/>
      <c r="O170" s="3"/>
      <c r="P170" s="3"/>
      <c r="Q170" s="3"/>
      <c r="R170" s="3"/>
      <c r="S170" s="3"/>
      <c r="T170" s="3"/>
      <c r="U170" s="3"/>
      <c r="V170" s="3"/>
      <c r="W170" s="3"/>
      <c r="X170" s="3"/>
      <c r="Y170" s="3"/>
      <c r="Z170" s="3"/>
    </row>
    <row r="171" spans="1:26" ht="22.5" customHeight="1" x14ac:dyDescent="0.85">
      <c r="A171" s="166"/>
      <c r="B171" s="167"/>
      <c r="C171" s="167"/>
      <c r="D171" s="147"/>
      <c r="E171" s="147"/>
      <c r="F171" s="147"/>
      <c r="G171" s="147"/>
      <c r="H171" s="147"/>
      <c r="I171" s="147"/>
      <c r="J171" s="147"/>
      <c r="K171" s="3"/>
      <c r="L171" s="3"/>
      <c r="M171" s="3"/>
      <c r="N171" s="3"/>
      <c r="O171" s="3"/>
      <c r="P171" s="3"/>
      <c r="Q171" s="3"/>
      <c r="R171" s="3"/>
      <c r="S171" s="3"/>
      <c r="T171" s="3"/>
      <c r="U171" s="3"/>
      <c r="V171" s="3"/>
      <c r="W171" s="3"/>
      <c r="X171" s="3"/>
      <c r="Y171" s="3"/>
      <c r="Z171" s="3"/>
    </row>
    <row r="172" spans="1:26" ht="22.5" customHeight="1" x14ac:dyDescent="0.85">
      <c r="A172" s="166"/>
      <c r="B172" s="167"/>
      <c r="C172" s="167"/>
      <c r="D172" s="147"/>
      <c r="E172" s="147"/>
      <c r="F172" s="147"/>
      <c r="G172" s="147"/>
      <c r="H172" s="147"/>
      <c r="I172" s="147"/>
      <c r="J172" s="147"/>
      <c r="K172" s="3"/>
      <c r="L172" s="3"/>
      <c r="M172" s="3"/>
      <c r="N172" s="3"/>
      <c r="O172" s="3"/>
      <c r="P172" s="3"/>
      <c r="Q172" s="3"/>
      <c r="R172" s="3"/>
      <c r="S172" s="3"/>
      <c r="T172" s="3"/>
      <c r="U172" s="3"/>
      <c r="V172" s="3"/>
      <c r="W172" s="3"/>
      <c r="X172" s="3"/>
      <c r="Y172" s="3"/>
      <c r="Z172" s="3"/>
    </row>
    <row r="173" spans="1:26" ht="22.5" customHeight="1" x14ac:dyDescent="0.85">
      <c r="A173" s="166"/>
      <c r="B173" s="167"/>
      <c r="C173" s="167"/>
      <c r="D173" s="147"/>
      <c r="E173" s="147"/>
      <c r="F173" s="147"/>
      <c r="G173" s="147"/>
      <c r="H173" s="147"/>
      <c r="I173" s="147"/>
      <c r="J173" s="147"/>
      <c r="K173" s="3"/>
      <c r="L173" s="3"/>
      <c r="M173" s="3"/>
      <c r="N173" s="3"/>
      <c r="O173" s="3"/>
      <c r="P173" s="3"/>
      <c r="Q173" s="3"/>
      <c r="R173" s="3"/>
      <c r="S173" s="3"/>
      <c r="T173" s="3"/>
      <c r="U173" s="3"/>
      <c r="V173" s="3"/>
      <c r="W173" s="3"/>
      <c r="X173" s="3"/>
      <c r="Y173" s="3"/>
      <c r="Z173" s="3"/>
    </row>
    <row r="174" spans="1:26" ht="22.5" customHeight="1" x14ac:dyDescent="0.85">
      <c r="A174" s="166"/>
      <c r="B174" s="167"/>
      <c r="C174" s="167"/>
      <c r="D174" s="147"/>
      <c r="E174" s="147"/>
      <c r="F174" s="147"/>
      <c r="G174" s="147"/>
      <c r="H174" s="147"/>
      <c r="I174" s="147"/>
      <c r="J174" s="147"/>
      <c r="K174" s="3"/>
      <c r="L174" s="3"/>
      <c r="M174" s="3"/>
      <c r="N174" s="3"/>
      <c r="O174" s="3"/>
      <c r="P174" s="3"/>
      <c r="Q174" s="3"/>
      <c r="R174" s="3"/>
      <c r="S174" s="3"/>
      <c r="T174" s="3"/>
      <c r="U174" s="3"/>
      <c r="V174" s="3"/>
      <c r="W174" s="3"/>
      <c r="X174" s="3"/>
      <c r="Y174" s="3"/>
      <c r="Z174" s="3"/>
    </row>
    <row r="175" spans="1:26" ht="22.5" customHeight="1" x14ac:dyDescent="0.85">
      <c r="A175" s="166"/>
      <c r="B175" s="167"/>
      <c r="C175" s="167"/>
      <c r="D175" s="147"/>
      <c r="E175" s="147"/>
      <c r="F175" s="147"/>
      <c r="G175" s="147"/>
      <c r="H175" s="147"/>
      <c r="I175" s="147"/>
      <c r="J175" s="147"/>
      <c r="K175" s="3"/>
      <c r="L175" s="3"/>
      <c r="M175" s="3"/>
      <c r="N175" s="3"/>
      <c r="O175" s="3"/>
      <c r="P175" s="3"/>
      <c r="Q175" s="3"/>
      <c r="R175" s="3"/>
      <c r="S175" s="3"/>
      <c r="T175" s="3"/>
      <c r="U175" s="3"/>
      <c r="V175" s="3"/>
      <c r="W175" s="3"/>
      <c r="X175" s="3"/>
      <c r="Y175" s="3"/>
      <c r="Z175" s="3"/>
    </row>
    <row r="176" spans="1:26" ht="22.5" customHeight="1" x14ac:dyDescent="0.85">
      <c r="A176" s="166"/>
      <c r="B176" s="167"/>
      <c r="C176" s="167"/>
      <c r="D176" s="147"/>
      <c r="E176" s="147"/>
      <c r="F176" s="147"/>
      <c r="G176" s="147"/>
      <c r="H176" s="147"/>
      <c r="I176" s="147"/>
      <c r="J176" s="147"/>
      <c r="K176" s="3"/>
      <c r="L176" s="3"/>
      <c r="M176" s="3"/>
      <c r="N176" s="3"/>
      <c r="O176" s="3"/>
      <c r="P176" s="3"/>
      <c r="Q176" s="3"/>
      <c r="R176" s="3"/>
      <c r="S176" s="3"/>
      <c r="T176" s="3"/>
      <c r="U176" s="3"/>
      <c r="V176" s="3"/>
      <c r="W176" s="3"/>
      <c r="X176" s="3"/>
      <c r="Y176" s="3"/>
      <c r="Z176" s="3"/>
    </row>
    <row r="177" spans="1:26" ht="22.5" customHeight="1" x14ac:dyDescent="0.85">
      <c r="A177" s="166"/>
      <c r="B177" s="167"/>
      <c r="C177" s="167"/>
      <c r="D177" s="147"/>
      <c r="E177" s="147"/>
      <c r="F177" s="147"/>
      <c r="G177" s="147"/>
      <c r="H177" s="147"/>
      <c r="I177" s="147"/>
      <c r="J177" s="147"/>
      <c r="K177" s="3"/>
      <c r="L177" s="3"/>
      <c r="M177" s="3"/>
      <c r="N177" s="3"/>
      <c r="O177" s="3"/>
      <c r="P177" s="3"/>
      <c r="Q177" s="3"/>
      <c r="R177" s="3"/>
      <c r="S177" s="3"/>
      <c r="T177" s="3"/>
      <c r="U177" s="3"/>
      <c r="V177" s="3"/>
      <c r="W177" s="3"/>
      <c r="X177" s="3"/>
      <c r="Y177" s="3"/>
      <c r="Z177" s="3"/>
    </row>
    <row r="178" spans="1:26" ht="22.5" customHeight="1" x14ac:dyDescent="0.85">
      <c r="A178" s="166"/>
      <c r="B178" s="167"/>
      <c r="C178" s="167"/>
      <c r="D178" s="147"/>
      <c r="E178" s="147"/>
      <c r="F178" s="147"/>
      <c r="G178" s="147"/>
      <c r="H178" s="147"/>
      <c r="I178" s="147"/>
      <c r="J178" s="147"/>
      <c r="K178" s="3"/>
      <c r="L178" s="3"/>
      <c r="M178" s="3"/>
      <c r="N178" s="3"/>
      <c r="O178" s="3"/>
      <c r="P178" s="3"/>
      <c r="Q178" s="3"/>
      <c r="R178" s="3"/>
      <c r="S178" s="3"/>
      <c r="T178" s="3"/>
      <c r="U178" s="3"/>
      <c r="V178" s="3"/>
      <c r="W178" s="3"/>
      <c r="X178" s="3"/>
      <c r="Y178" s="3"/>
      <c r="Z178" s="3"/>
    </row>
    <row r="179" spans="1:26" ht="22.5" customHeight="1" x14ac:dyDescent="0.85">
      <c r="A179" s="166"/>
      <c r="B179" s="167"/>
      <c r="C179" s="167"/>
      <c r="D179" s="147"/>
      <c r="E179" s="147"/>
      <c r="F179" s="147"/>
      <c r="G179" s="147"/>
      <c r="H179" s="147"/>
      <c r="I179" s="147"/>
      <c r="J179" s="147"/>
      <c r="K179" s="3"/>
      <c r="L179" s="3"/>
      <c r="M179" s="3"/>
      <c r="N179" s="3"/>
      <c r="O179" s="3"/>
      <c r="P179" s="3"/>
      <c r="Q179" s="3"/>
      <c r="R179" s="3"/>
      <c r="S179" s="3"/>
      <c r="T179" s="3"/>
      <c r="U179" s="3"/>
      <c r="V179" s="3"/>
      <c r="W179" s="3"/>
      <c r="X179" s="3"/>
      <c r="Y179" s="3"/>
      <c r="Z179" s="3"/>
    </row>
    <row r="180" spans="1:26" ht="22.5" customHeight="1" x14ac:dyDescent="0.85">
      <c r="A180" s="166"/>
      <c r="B180" s="167"/>
      <c r="C180" s="167"/>
      <c r="D180" s="147"/>
      <c r="E180" s="147"/>
      <c r="F180" s="147"/>
      <c r="G180" s="147"/>
      <c r="H180" s="147"/>
      <c r="I180" s="147"/>
      <c r="J180" s="147"/>
      <c r="K180" s="3"/>
      <c r="L180" s="3"/>
      <c r="M180" s="3"/>
      <c r="N180" s="3"/>
      <c r="O180" s="3"/>
      <c r="P180" s="3"/>
      <c r="Q180" s="3"/>
      <c r="R180" s="3"/>
      <c r="S180" s="3"/>
      <c r="T180" s="3"/>
      <c r="U180" s="3"/>
      <c r="V180" s="3"/>
      <c r="W180" s="3"/>
      <c r="X180" s="3"/>
      <c r="Y180" s="3"/>
      <c r="Z180" s="3"/>
    </row>
    <row r="181" spans="1:26" ht="22.5" customHeight="1" x14ac:dyDescent="0.85">
      <c r="A181" s="166"/>
      <c r="B181" s="167"/>
      <c r="C181" s="167"/>
      <c r="D181" s="147"/>
      <c r="E181" s="147"/>
      <c r="F181" s="147"/>
      <c r="G181" s="147"/>
      <c r="H181" s="147"/>
      <c r="I181" s="147"/>
      <c r="J181" s="147"/>
      <c r="K181" s="3"/>
      <c r="L181" s="3"/>
      <c r="M181" s="3"/>
      <c r="N181" s="3"/>
      <c r="O181" s="3"/>
      <c r="P181" s="3"/>
      <c r="Q181" s="3"/>
      <c r="R181" s="3"/>
      <c r="S181" s="3"/>
      <c r="T181" s="3"/>
      <c r="U181" s="3"/>
      <c r="V181" s="3"/>
      <c r="W181" s="3"/>
      <c r="X181" s="3"/>
      <c r="Y181" s="3"/>
      <c r="Z181" s="3"/>
    </row>
    <row r="182" spans="1:26" ht="22.5" customHeight="1" x14ac:dyDescent="0.85">
      <c r="A182" s="166"/>
      <c r="B182" s="167"/>
      <c r="C182" s="167"/>
      <c r="D182" s="147"/>
      <c r="E182" s="147"/>
      <c r="F182" s="147"/>
      <c r="G182" s="147"/>
      <c r="H182" s="147"/>
      <c r="I182" s="147"/>
      <c r="J182" s="147"/>
      <c r="K182" s="3"/>
      <c r="L182" s="3"/>
      <c r="M182" s="3"/>
      <c r="N182" s="3"/>
      <c r="O182" s="3"/>
      <c r="P182" s="3"/>
      <c r="Q182" s="3"/>
      <c r="R182" s="3"/>
      <c r="S182" s="3"/>
      <c r="T182" s="3"/>
      <c r="U182" s="3"/>
      <c r="V182" s="3"/>
      <c r="W182" s="3"/>
      <c r="X182" s="3"/>
      <c r="Y182" s="3"/>
      <c r="Z182" s="3"/>
    </row>
    <row r="183" spans="1:26" ht="22.5" customHeight="1" x14ac:dyDescent="0.85">
      <c r="A183" s="166"/>
      <c r="B183" s="167"/>
      <c r="C183" s="167"/>
      <c r="D183" s="147"/>
      <c r="E183" s="147"/>
      <c r="F183" s="147"/>
      <c r="G183" s="147"/>
      <c r="H183" s="147"/>
      <c r="I183" s="147"/>
      <c r="J183" s="147"/>
      <c r="K183" s="3"/>
      <c r="L183" s="3"/>
      <c r="M183" s="3"/>
      <c r="N183" s="3"/>
      <c r="O183" s="3"/>
      <c r="P183" s="3"/>
      <c r="Q183" s="3"/>
      <c r="R183" s="3"/>
      <c r="S183" s="3"/>
      <c r="T183" s="3"/>
      <c r="U183" s="3"/>
      <c r="V183" s="3"/>
      <c r="W183" s="3"/>
      <c r="X183" s="3"/>
      <c r="Y183" s="3"/>
      <c r="Z183" s="3"/>
    </row>
    <row r="184" spans="1:26" ht="22.5" customHeight="1" x14ac:dyDescent="0.85">
      <c r="A184" s="166"/>
      <c r="B184" s="167"/>
      <c r="C184" s="167"/>
      <c r="D184" s="147"/>
      <c r="E184" s="147"/>
      <c r="F184" s="147"/>
      <c r="G184" s="147"/>
      <c r="H184" s="147"/>
      <c r="I184" s="147"/>
      <c r="J184" s="147"/>
      <c r="K184" s="3"/>
      <c r="L184" s="3"/>
      <c r="M184" s="3"/>
      <c r="N184" s="3"/>
      <c r="O184" s="3"/>
      <c r="P184" s="3"/>
      <c r="Q184" s="3"/>
      <c r="R184" s="3"/>
      <c r="S184" s="3"/>
      <c r="T184" s="3"/>
      <c r="U184" s="3"/>
      <c r="V184" s="3"/>
      <c r="W184" s="3"/>
      <c r="X184" s="3"/>
      <c r="Y184" s="3"/>
      <c r="Z184" s="3"/>
    </row>
    <row r="185" spans="1:26" ht="22.5" customHeight="1" x14ac:dyDescent="0.85">
      <c r="A185" s="166"/>
      <c r="B185" s="167"/>
      <c r="C185" s="167"/>
      <c r="D185" s="147"/>
      <c r="E185" s="147"/>
      <c r="F185" s="147"/>
      <c r="G185" s="147"/>
      <c r="H185" s="147"/>
      <c r="I185" s="147"/>
      <c r="J185" s="147"/>
      <c r="K185" s="3"/>
      <c r="L185" s="3"/>
      <c r="M185" s="3"/>
      <c r="N185" s="3"/>
      <c r="O185" s="3"/>
      <c r="P185" s="3"/>
      <c r="Q185" s="3"/>
      <c r="R185" s="3"/>
      <c r="S185" s="3"/>
      <c r="T185" s="3"/>
      <c r="U185" s="3"/>
      <c r="V185" s="3"/>
      <c r="W185" s="3"/>
      <c r="X185" s="3"/>
      <c r="Y185" s="3"/>
      <c r="Z185" s="3"/>
    </row>
    <row r="186" spans="1:26" ht="22.5" customHeight="1" x14ac:dyDescent="0.85">
      <c r="A186" s="166"/>
      <c r="B186" s="167"/>
      <c r="C186" s="167"/>
      <c r="D186" s="147"/>
      <c r="E186" s="147"/>
      <c r="F186" s="147"/>
      <c r="G186" s="147"/>
      <c r="H186" s="147"/>
      <c r="I186" s="147"/>
      <c r="J186" s="147"/>
      <c r="K186" s="3"/>
      <c r="L186" s="3"/>
      <c r="M186" s="3"/>
      <c r="N186" s="3"/>
      <c r="O186" s="3"/>
      <c r="P186" s="3"/>
      <c r="Q186" s="3"/>
      <c r="R186" s="3"/>
      <c r="S186" s="3"/>
      <c r="T186" s="3"/>
      <c r="U186" s="3"/>
      <c r="V186" s="3"/>
      <c r="W186" s="3"/>
      <c r="X186" s="3"/>
      <c r="Y186" s="3"/>
      <c r="Z186" s="3"/>
    </row>
    <row r="187" spans="1:26" ht="22.5" customHeight="1" x14ac:dyDescent="0.85">
      <c r="A187" s="166"/>
      <c r="B187" s="167"/>
      <c r="C187" s="167"/>
      <c r="D187" s="147"/>
      <c r="E187" s="147"/>
      <c r="F187" s="147"/>
      <c r="G187" s="147"/>
      <c r="H187" s="147"/>
      <c r="I187" s="147"/>
      <c r="J187" s="147"/>
      <c r="K187" s="3"/>
      <c r="L187" s="3"/>
      <c r="M187" s="3"/>
      <c r="N187" s="3"/>
      <c r="O187" s="3"/>
      <c r="P187" s="3"/>
      <c r="Q187" s="3"/>
      <c r="R187" s="3"/>
      <c r="S187" s="3"/>
      <c r="T187" s="3"/>
      <c r="U187" s="3"/>
      <c r="V187" s="3"/>
      <c r="W187" s="3"/>
      <c r="X187" s="3"/>
      <c r="Y187" s="3"/>
      <c r="Z187" s="3"/>
    </row>
    <row r="188" spans="1:26" ht="22.5" customHeight="1" x14ac:dyDescent="0.85">
      <c r="A188" s="166"/>
      <c r="B188" s="167"/>
      <c r="C188" s="167"/>
      <c r="D188" s="147"/>
      <c r="E188" s="147"/>
      <c r="F188" s="147"/>
      <c r="G188" s="147"/>
      <c r="H188" s="147"/>
      <c r="I188" s="147"/>
      <c r="J188" s="147"/>
      <c r="K188" s="3"/>
      <c r="L188" s="3"/>
      <c r="M188" s="3"/>
      <c r="N188" s="3"/>
      <c r="O188" s="3"/>
      <c r="P188" s="3"/>
      <c r="Q188" s="3"/>
      <c r="R188" s="3"/>
      <c r="S188" s="3"/>
      <c r="T188" s="3"/>
      <c r="U188" s="3"/>
      <c r="V188" s="3"/>
      <c r="W188" s="3"/>
      <c r="X188" s="3"/>
      <c r="Y188" s="3"/>
      <c r="Z188" s="3"/>
    </row>
    <row r="189" spans="1:26" ht="22.5" customHeight="1" x14ac:dyDescent="0.85">
      <c r="A189" s="166"/>
      <c r="B189" s="167"/>
      <c r="C189" s="167"/>
      <c r="D189" s="147"/>
      <c r="E189" s="147"/>
      <c r="F189" s="147"/>
      <c r="G189" s="147"/>
      <c r="H189" s="147"/>
      <c r="I189" s="147"/>
      <c r="J189" s="147"/>
      <c r="K189" s="3"/>
      <c r="L189" s="3"/>
      <c r="M189" s="3"/>
      <c r="N189" s="3"/>
      <c r="O189" s="3"/>
      <c r="P189" s="3"/>
      <c r="Q189" s="3"/>
      <c r="R189" s="3"/>
      <c r="S189" s="3"/>
      <c r="T189" s="3"/>
      <c r="U189" s="3"/>
      <c r="V189" s="3"/>
      <c r="W189" s="3"/>
      <c r="X189" s="3"/>
      <c r="Y189" s="3"/>
      <c r="Z189" s="3"/>
    </row>
    <row r="190" spans="1:26" ht="22.5" customHeight="1" x14ac:dyDescent="0.85">
      <c r="A190" s="166"/>
      <c r="B190" s="167"/>
      <c r="C190" s="167"/>
      <c r="D190" s="147"/>
      <c r="E190" s="147"/>
      <c r="F190" s="147"/>
      <c r="G190" s="147"/>
      <c r="H190" s="147"/>
      <c r="I190" s="147"/>
      <c r="J190" s="147"/>
      <c r="K190" s="3"/>
      <c r="L190" s="3"/>
      <c r="M190" s="3"/>
      <c r="N190" s="3"/>
      <c r="O190" s="3"/>
      <c r="P190" s="3"/>
      <c r="Q190" s="3"/>
      <c r="R190" s="3"/>
      <c r="S190" s="3"/>
      <c r="T190" s="3"/>
      <c r="U190" s="3"/>
      <c r="V190" s="3"/>
      <c r="W190" s="3"/>
      <c r="X190" s="3"/>
      <c r="Y190" s="3"/>
      <c r="Z190" s="3"/>
    </row>
    <row r="191" spans="1:26" ht="22.5" customHeight="1" x14ac:dyDescent="0.85">
      <c r="A191" s="166"/>
      <c r="B191" s="167"/>
      <c r="C191" s="167"/>
      <c r="D191" s="147"/>
      <c r="E191" s="147"/>
      <c r="F191" s="147"/>
      <c r="G191" s="147"/>
      <c r="H191" s="147"/>
      <c r="I191" s="147"/>
      <c r="J191" s="147"/>
      <c r="K191" s="3"/>
      <c r="L191" s="3"/>
      <c r="M191" s="3"/>
      <c r="N191" s="3"/>
      <c r="O191" s="3"/>
      <c r="P191" s="3"/>
      <c r="Q191" s="3"/>
      <c r="R191" s="3"/>
      <c r="S191" s="3"/>
      <c r="T191" s="3"/>
      <c r="U191" s="3"/>
      <c r="V191" s="3"/>
      <c r="W191" s="3"/>
      <c r="X191" s="3"/>
      <c r="Y191" s="3"/>
      <c r="Z191" s="3"/>
    </row>
    <row r="192" spans="1:26" ht="22.5" customHeight="1" x14ac:dyDescent="0.85">
      <c r="A192" s="166"/>
      <c r="B192" s="167"/>
      <c r="C192" s="167"/>
      <c r="D192" s="147"/>
      <c r="E192" s="147"/>
      <c r="F192" s="147"/>
      <c r="G192" s="147"/>
      <c r="H192" s="147"/>
      <c r="I192" s="147"/>
      <c r="J192" s="147"/>
      <c r="K192" s="3"/>
      <c r="L192" s="3"/>
      <c r="M192" s="3"/>
      <c r="N192" s="3"/>
      <c r="O192" s="3"/>
      <c r="P192" s="3"/>
      <c r="Q192" s="3"/>
      <c r="R192" s="3"/>
      <c r="S192" s="3"/>
      <c r="T192" s="3"/>
      <c r="U192" s="3"/>
      <c r="V192" s="3"/>
      <c r="W192" s="3"/>
      <c r="X192" s="3"/>
      <c r="Y192" s="3"/>
      <c r="Z192" s="3"/>
    </row>
    <row r="193" spans="1:26" ht="22.5" customHeight="1" x14ac:dyDescent="0.85">
      <c r="A193" s="166"/>
      <c r="B193" s="167"/>
      <c r="C193" s="167"/>
      <c r="D193" s="147"/>
      <c r="E193" s="147"/>
      <c r="F193" s="147"/>
      <c r="G193" s="147"/>
      <c r="H193" s="147"/>
      <c r="I193" s="147"/>
      <c r="J193" s="147"/>
      <c r="K193" s="3"/>
      <c r="L193" s="3"/>
      <c r="M193" s="3"/>
      <c r="N193" s="3"/>
      <c r="O193" s="3"/>
      <c r="P193" s="3"/>
      <c r="Q193" s="3"/>
      <c r="R193" s="3"/>
      <c r="S193" s="3"/>
      <c r="T193" s="3"/>
      <c r="U193" s="3"/>
      <c r="V193" s="3"/>
      <c r="W193" s="3"/>
      <c r="X193" s="3"/>
      <c r="Y193" s="3"/>
      <c r="Z193" s="3"/>
    </row>
    <row r="194" spans="1:26" ht="22.5" customHeight="1" x14ac:dyDescent="0.85">
      <c r="A194" s="166"/>
      <c r="B194" s="167"/>
      <c r="C194" s="167"/>
      <c r="D194" s="147"/>
      <c r="E194" s="147"/>
      <c r="F194" s="147"/>
      <c r="G194" s="147"/>
      <c r="H194" s="147"/>
      <c r="I194" s="147"/>
      <c r="J194" s="147"/>
      <c r="K194" s="3"/>
      <c r="L194" s="3"/>
      <c r="M194" s="3"/>
      <c r="N194" s="3"/>
      <c r="O194" s="3"/>
      <c r="P194" s="3"/>
      <c r="Q194" s="3"/>
      <c r="R194" s="3"/>
      <c r="S194" s="3"/>
      <c r="T194" s="3"/>
      <c r="U194" s="3"/>
      <c r="V194" s="3"/>
      <c r="W194" s="3"/>
      <c r="X194" s="3"/>
      <c r="Y194" s="3"/>
      <c r="Z194" s="3"/>
    </row>
    <row r="195" spans="1:26" ht="22.5" customHeight="1" x14ac:dyDescent="0.85">
      <c r="A195" s="166"/>
      <c r="B195" s="167"/>
      <c r="C195" s="167"/>
      <c r="D195" s="147"/>
      <c r="E195" s="147"/>
      <c r="F195" s="147"/>
      <c r="G195" s="147"/>
      <c r="H195" s="147"/>
      <c r="I195" s="147"/>
      <c r="J195" s="147"/>
      <c r="K195" s="3"/>
      <c r="L195" s="3"/>
      <c r="M195" s="3"/>
      <c r="N195" s="3"/>
      <c r="O195" s="3"/>
      <c r="P195" s="3"/>
      <c r="Q195" s="3"/>
      <c r="R195" s="3"/>
      <c r="S195" s="3"/>
      <c r="T195" s="3"/>
      <c r="U195" s="3"/>
      <c r="V195" s="3"/>
      <c r="W195" s="3"/>
      <c r="X195" s="3"/>
      <c r="Y195" s="3"/>
      <c r="Z195" s="3"/>
    </row>
    <row r="196" spans="1:26" ht="22.5" customHeight="1" x14ac:dyDescent="0.85">
      <c r="A196" s="166"/>
      <c r="B196" s="167"/>
      <c r="C196" s="167"/>
      <c r="D196" s="147"/>
      <c r="E196" s="147"/>
      <c r="F196" s="147"/>
      <c r="G196" s="147"/>
      <c r="H196" s="147"/>
      <c r="I196" s="147"/>
      <c r="J196" s="147"/>
      <c r="K196" s="3"/>
      <c r="L196" s="3"/>
      <c r="M196" s="3"/>
      <c r="N196" s="3"/>
      <c r="O196" s="3"/>
      <c r="P196" s="3"/>
      <c r="Q196" s="3"/>
      <c r="R196" s="3"/>
      <c r="S196" s="3"/>
      <c r="T196" s="3"/>
      <c r="U196" s="3"/>
      <c r="V196" s="3"/>
      <c r="W196" s="3"/>
      <c r="X196" s="3"/>
      <c r="Y196" s="3"/>
      <c r="Z196" s="3"/>
    </row>
    <row r="197" spans="1:26" ht="22.5" customHeight="1" x14ac:dyDescent="0.85">
      <c r="A197" s="166"/>
      <c r="B197" s="167"/>
      <c r="C197" s="167"/>
      <c r="D197" s="147"/>
      <c r="E197" s="147"/>
      <c r="F197" s="147"/>
      <c r="G197" s="147"/>
      <c r="H197" s="147"/>
      <c r="I197" s="147"/>
      <c r="J197" s="147"/>
      <c r="K197" s="3"/>
      <c r="L197" s="3"/>
      <c r="M197" s="3"/>
      <c r="N197" s="3"/>
      <c r="O197" s="3"/>
      <c r="P197" s="3"/>
      <c r="Q197" s="3"/>
      <c r="R197" s="3"/>
      <c r="S197" s="3"/>
      <c r="T197" s="3"/>
      <c r="U197" s="3"/>
      <c r="V197" s="3"/>
      <c r="W197" s="3"/>
      <c r="X197" s="3"/>
      <c r="Y197" s="3"/>
      <c r="Z197" s="3"/>
    </row>
    <row r="198" spans="1:26" ht="22.5" customHeight="1" x14ac:dyDescent="0.85">
      <c r="A198" s="166"/>
      <c r="B198" s="167"/>
      <c r="C198" s="167"/>
      <c r="D198" s="147"/>
      <c r="E198" s="147"/>
      <c r="F198" s="147"/>
      <c r="G198" s="147"/>
      <c r="H198" s="147"/>
      <c r="I198" s="147"/>
      <c r="J198" s="147"/>
      <c r="K198" s="3"/>
      <c r="L198" s="3"/>
      <c r="M198" s="3"/>
      <c r="N198" s="3"/>
      <c r="O198" s="3"/>
      <c r="P198" s="3"/>
      <c r="Q198" s="3"/>
      <c r="R198" s="3"/>
      <c r="S198" s="3"/>
      <c r="T198" s="3"/>
      <c r="U198" s="3"/>
      <c r="V198" s="3"/>
      <c r="W198" s="3"/>
      <c r="X198" s="3"/>
      <c r="Y198" s="3"/>
      <c r="Z198" s="3"/>
    </row>
    <row r="199" spans="1:26" ht="22.5" customHeight="1" x14ac:dyDescent="0.85">
      <c r="A199" s="166"/>
      <c r="B199" s="167"/>
      <c r="C199" s="167"/>
      <c r="D199" s="147"/>
      <c r="E199" s="147"/>
      <c r="F199" s="147"/>
      <c r="G199" s="147"/>
      <c r="H199" s="147"/>
      <c r="I199" s="147"/>
      <c r="J199" s="147"/>
      <c r="K199" s="3"/>
      <c r="L199" s="3"/>
      <c r="M199" s="3"/>
      <c r="N199" s="3"/>
      <c r="O199" s="3"/>
      <c r="P199" s="3"/>
      <c r="Q199" s="3"/>
      <c r="R199" s="3"/>
      <c r="S199" s="3"/>
      <c r="T199" s="3"/>
      <c r="U199" s="3"/>
      <c r="V199" s="3"/>
      <c r="W199" s="3"/>
      <c r="X199" s="3"/>
      <c r="Y199" s="3"/>
      <c r="Z199" s="3"/>
    </row>
    <row r="200" spans="1:26" ht="22.5" customHeight="1" x14ac:dyDescent="0.85">
      <c r="A200" s="166"/>
      <c r="B200" s="167"/>
      <c r="C200" s="167"/>
      <c r="D200" s="147"/>
      <c r="E200" s="147"/>
      <c r="F200" s="147"/>
      <c r="G200" s="147"/>
      <c r="H200" s="147"/>
      <c r="I200" s="147"/>
      <c r="J200" s="147"/>
      <c r="K200" s="3"/>
      <c r="L200" s="3"/>
      <c r="M200" s="3"/>
      <c r="N200" s="3"/>
      <c r="O200" s="3"/>
      <c r="P200" s="3"/>
      <c r="Q200" s="3"/>
      <c r="R200" s="3"/>
      <c r="S200" s="3"/>
      <c r="T200" s="3"/>
      <c r="U200" s="3"/>
      <c r="V200" s="3"/>
      <c r="W200" s="3"/>
      <c r="X200" s="3"/>
      <c r="Y200" s="3"/>
      <c r="Z200" s="3"/>
    </row>
    <row r="201" spans="1:26" ht="22.5" customHeight="1" x14ac:dyDescent="0.85">
      <c r="A201" s="166"/>
      <c r="B201" s="167"/>
      <c r="C201" s="167"/>
      <c r="D201" s="147"/>
      <c r="E201" s="147"/>
      <c r="F201" s="147"/>
      <c r="G201" s="147"/>
      <c r="H201" s="147"/>
      <c r="I201" s="147"/>
      <c r="J201" s="147"/>
      <c r="K201" s="3"/>
      <c r="L201" s="3"/>
      <c r="M201" s="3"/>
      <c r="N201" s="3"/>
      <c r="O201" s="3"/>
      <c r="P201" s="3"/>
      <c r="Q201" s="3"/>
      <c r="R201" s="3"/>
      <c r="S201" s="3"/>
      <c r="T201" s="3"/>
      <c r="U201" s="3"/>
      <c r="V201" s="3"/>
      <c r="W201" s="3"/>
      <c r="X201" s="3"/>
      <c r="Y201" s="3"/>
      <c r="Z201" s="3"/>
    </row>
    <row r="202" spans="1:26" ht="22.5" customHeight="1" x14ac:dyDescent="0.85">
      <c r="A202" s="166"/>
      <c r="B202" s="167"/>
      <c r="C202" s="167"/>
      <c r="D202" s="147"/>
      <c r="E202" s="147"/>
      <c r="F202" s="147"/>
      <c r="G202" s="147"/>
      <c r="H202" s="147"/>
      <c r="I202" s="147"/>
      <c r="J202" s="147"/>
      <c r="K202" s="3"/>
      <c r="L202" s="3"/>
      <c r="M202" s="3"/>
      <c r="N202" s="3"/>
      <c r="O202" s="3"/>
      <c r="P202" s="3"/>
      <c r="Q202" s="3"/>
      <c r="R202" s="3"/>
      <c r="S202" s="3"/>
      <c r="T202" s="3"/>
      <c r="U202" s="3"/>
      <c r="V202" s="3"/>
      <c r="W202" s="3"/>
      <c r="X202" s="3"/>
      <c r="Y202" s="3"/>
      <c r="Z202" s="3"/>
    </row>
    <row r="203" spans="1:26" ht="22.5" customHeight="1" x14ac:dyDescent="0.85">
      <c r="A203" s="166"/>
      <c r="B203" s="167"/>
      <c r="C203" s="167"/>
      <c r="D203" s="147"/>
      <c r="E203" s="147"/>
      <c r="F203" s="147"/>
      <c r="G203" s="147"/>
      <c r="H203" s="147"/>
      <c r="I203" s="147"/>
      <c r="J203" s="147"/>
      <c r="K203" s="3"/>
      <c r="L203" s="3"/>
      <c r="M203" s="3"/>
      <c r="N203" s="3"/>
      <c r="O203" s="3"/>
      <c r="P203" s="3"/>
      <c r="Q203" s="3"/>
      <c r="R203" s="3"/>
      <c r="S203" s="3"/>
      <c r="T203" s="3"/>
      <c r="U203" s="3"/>
      <c r="V203" s="3"/>
      <c r="W203" s="3"/>
      <c r="X203" s="3"/>
      <c r="Y203" s="3"/>
      <c r="Z203" s="3"/>
    </row>
    <row r="204" spans="1:26" ht="22.5" customHeight="1" x14ac:dyDescent="0.85">
      <c r="A204" s="166"/>
      <c r="B204" s="167"/>
      <c r="C204" s="167"/>
      <c r="D204" s="147"/>
      <c r="E204" s="147"/>
      <c r="F204" s="147"/>
      <c r="G204" s="147"/>
      <c r="H204" s="147"/>
      <c r="I204" s="147"/>
      <c r="J204" s="147"/>
      <c r="K204" s="3"/>
      <c r="L204" s="3"/>
      <c r="M204" s="3"/>
      <c r="N204" s="3"/>
      <c r="O204" s="3"/>
      <c r="P204" s="3"/>
      <c r="Q204" s="3"/>
      <c r="R204" s="3"/>
      <c r="S204" s="3"/>
      <c r="T204" s="3"/>
      <c r="U204" s="3"/>
      <c r="V204" s="3"/>
      <c r="W204" s="3"/>
      <c r="X204" s="3"/>
      <c r="Y204" s="3"/>
      <c r="Z204" s="3"/>
    </row>
    <row r="205" spans="1:26" ht="22.5" customHeight="1" x14ac:dyDescent="0.85">
      <c r="A205" s="166"/>
      <c r="B205" s="167"/>
      <c r="C205" s="167"/>
      <c r="D205" s="147"/>
      <c r="E205" s="147"/>
      <c r="F205" s="147"/>
      <c r="G205" s="147"/>
      <c r="H205" s="147"/>
      <c r="I205" s="147"/>
      <c r="J205" s="147"/>
      <c r="K205" s="3"/>
      <c r="L205" s="3"/>
      <c r="M205" s="3"/>
      <c r="N205" s="3"/>
      <c r="O205" s="3"/>
      <c r="P205" s="3"/>
      <c r="Q205" s="3"/>
      <c r="R205" s="3"/>
      <c r="S205" s="3"/>
      <c r="T205" s="3"/>
      <c r="U205" s="3"/>
      <c r="V205" s="3"/>
      <c r="W205" s="3"/>
      <c r="X205" s="3"/>
      <c r="Y205" s="3"/>
      <c r="Z205" s="3"/>
    </row>
    <row r="206" spans="1:26" ht="22.5" customHeight="1" x14ac:dyDescent="0.85">
      <c r="A206" s="166"/>
      <c r="B206" s="167"/>
      <c r="C206" s="167"/>
      <c r="D206" s="147"/>
      <c r="E206" s="147"/>
      <c r="F206" s="147"/>
      <c r="G206" s="147"/>
      <c r="H206" s="147"/>
      <c r="I206" s="147"/>
      <c r="J206" s="147"/>
      <c r="K206" s="3"/>
      <c r="L206" s="3"/>
      <c r="M206" s="3"/>
      <c r="N206" s="3"/>
      <c r="O206" s="3"/>
      <c r="P206" s="3"/>
      <c r="Q206" s="3"/>
      <c r="R206" s="3"/>
      <c r="S206" s="3"/>
      <c r="T206" s="3"/>
      <c r="U206" s="3"/>
      <c r="V206" s="3"/>
      <c r="W206" s="3"/>
      <c r="X206" s="3"/>
      <c r="Y206" s="3"/>
      <c r="Z206" s="3"/>
    </row>
    <row r="207" spans="1:26" ht="22.5" customHeight="1" x14ac:dyDescent="0.85">
      <c r="A207" s="166"/>
      <c r="B207" s="167"/>
      <c r="C207" s="167"/>
      <c r="D207" s="147"/>
      <c r="E207" s="147"/>
      <c r="F207" s="147"/>
      <c r="G207" s="147"/>
      <c r="H207" s="147"/>
      <c r="I207" s="147"/>
      <c r="J207" s="147"/>
      <c r="K207" s="3"/>
      <c r="L207" s="3"/>
      <c r="M207" s="3"/>
      <c r="N207" s="3"/>
      <c r="O207" s="3"/>
      <c r="P207" s="3"/>
      <c r="Q207" s="3"/>
      <c r="R207" s="3"/>
      <c r="S207" s="3"/>
      <c r="T207" s="3"/>
      <c r="U207" s="3"/>
      <c r="V207" s="3"/>
      <c r="W207" s="3"/>
      <c r="X207" s="3"/>
      <c r="Y207" s="3"/>
      <c r="Z207" s="3"/>
    </row>
    <row r="208" spans="1:26" ht="22.5" customHeight="1" x14ac:dyDescent="0.85">
      <c r="A208" s="166"/>
      <c r="B208" s="167"/>
      <c r="C208" s="167"/>
      <c r="D208" s="147"/>
      <c r="E208" s="147"/>
      <c r="F208" s="147"/>
      <c r="G208" s="147"/>
      <c r="H208" s="147"/>
      <c r="I208" s="147"/>
      <c r="J208" s="147"/>
      <c r="K208" s="3"/>
      <c r="L208" s="3"/>
      <c r="M208" s="3"/>
      <c r="N208" s="3"/>
      <c r="O208" s="3"/>
      <c r="P208" s="3"/>
      <c r="Q208" s="3"/>
      <c r="R208" s="3"/>
      <c r="S208" s="3"/>
      <c r="T208" s="3"/>
      <c r="U208" s="3"/>
      <c r="V208" s="3"/>
      <c r="W208" s="3"/>
      <c r="X208" s="3"/>
      <c r="Y208" s="3"/>
      <c r="Z208" s="3"/>
    </row>
    <row r="209" spans="1:26" ht="22.5" customHeight="1" x14ac:dyDescent="0.85">
      <c r="A209" s="166"/>
      <c r="B209" s="167"/>
      <c r="C209" s="167"/>
      <c r="D209" s="147"/>
      <c r="E209" s="147"/>
      <c r="F209" s="147"/>
      <c r="G209" s="147"/>
      <c r="H209" s="147"/>
      <c r="I209" s="147"/>
      <c r="J209" s="147"/>
      <c r="K209" s="3"/>
      <c r="L209" s="3"/>
      <c r="M209" s="3"/>
      <c r="N209" s="3"/>
      <c r="O209" s="3"/>
      <c r="P209" s="3"/>
      <c r="Q209" s="3"/>
      <c r="R209" s="3"/>
      <c r="S209" s="3"/>
      <c r="T209" s="3"/>
      <c r="U209" s="3"/>
      <c r="V209" s="3"/>
      <c r="W209" s="3"/>
      <c r="X209" s="3"/>
      <c r="Y209" s="3"/>
      <c r="Z209" s="3"/>
    </row>
    <row r="210" spans="1:26" ht="22.5" customHeight="1" x14ac:dyDescent="0.85">
      <c r="A210" s="166"/>
      <c r="B210" s="167"/>
      <c r="C210" s="167"/>
      <c r="D210" s="147"/>
      <c r="E210" s="147"/>
      <c r="F210" s="147"/>
      <c r="G210" s="147"/>
      <c r="H210" s="147"/>
      <c r="I210" s="147"/>
      <c r="J210" s="147"/>
      <c r="K210" s="3"/>
      <c r="L210" s="3"/>
      <c r="M210" s="3"/>
      <c r="N210" s="3"/>
      <c r="O210" s="3"/>
      <c r="P210" s="3"/>
      <c r="Q210" s="3"/>
      <c r="R210" s="3"/>
      <c r="S210" s="3"/>
      <c r="T210" s="3"/>
      <c r="U210" s="3"/>
      <c r="V210" s="3"/>
      <c r="W210" s="3"/>
      <c r="X210" s="3"/>
      <c r="Y210" s="3"/>
      <c r="Z210" s="3"/>
    </row>
    <row r="211" spans="1:26" ht="22.5" customHeight="1" x14ac:dyDescent="0.85">
      <c r="A211" s="166"/>
      <c r="B211" s="167"/>
      <c r="C211" s="167"/>
      <c r="D211" s="147"/>
      <c r="E211" s="147"/>
      <c r="F211" s="147"/>
      <c r="G211" s="147"/>
      <c r="H211" s="147"/>
      <c r="I211" s="147"/>
      <c r="J211" s="147"/>
      <c r="K211" s="3"/>
      <c r="L211" s="3"/>
      <c r="M211" s="3"/>
      <c r="N211" s="3"/>
      <c r="O211" s="3"/>
      <c r="P211" s="3"/>
      <c r="Q211" s="3"/>
      <c r="R211" s="3"/>
      <c r="S211" s="3"/>
      <c r="T211" s="3"/>
      <c r="U211" s="3"/>
      <c r="V211" s="3"/>
      <c r="W211" s="3"/>
      <c r="X211" s="3"/>
      <c r="Y211" s="3"/>
      <c r="Z211" s="3"/>
    </row>
    <row r="212" spans="1:26" ht="22.5" customHeight="1" x14ac:dyDescent="0.85">
      <c r="A212" s="166"/>
      <c r="B212" s="167"/>
      <c r="C212" s="167"/>
      <c r="D212" s="147"/>
      <c r="E212" s="147"/>
      <c r="F212" s="147"/>
      <c r="G212" s="147"/>
      <c r="H212" s="147"/>
      <c r="I212" s="147"/>
      <c r="J212" s="147"/>
      <c r="K212" s="3"/>
      <c r="L212" s="3"/>
      <c r="M212" s="3"/>
      <c r="N212" s="3"/>
      <c r="O212" s="3"/>
      <c r="P212" s="3"/>
      <c r="Q212" s="3"/>
      <c r="R212" s="3"/>
      <c r="S212" s="3"/>
      <c r="T212" s="3"/>
      <c r="U212" s="3"/>
      <c r="V212" s="3"/>
      <c r="W212" s="3"/>
      <c r="X212" s="3"/>
      <c r="Y212" s="3"/>
      <c r="Z212" s="3"/>
    </row>
    <row r="213" spans="1:26" ht="22.5" customHeight="1" x14ac:dyDescent="0.85">
      <c r="A213" s="166"/>
      <c r="B213" s="167"/>
      <c r="C213" s="167"/>
      <c r="D213" s="147"/>
      <c r="E213" s="147"/>
      <c r="F213" s="147"/>
      <c r="G213" s="147"/>
      <c r="H213" s="147"/>
      <c r="I213" s="147"/>
      <c r="J213" s="147"/>
      <c r="K213" s="3"/>
      <c r="L213" s="3"/>
      <c r="M213" s="3"/>
      <c r="N213" s="3"/>
      <c r="O213" s="3"/>
      <c r="P213" s="3"/>
      <c r="Q213" s="3"/>
      <c r="R213" s="3"/>
      <c r="S213" s="3"/>
      <c r="T213" s="3"/>
      <c r="U213" s="3"/>
      <c r="V213" s="3"/>
      <c r="W213" s="3"/>
      <c r="X213" s="3"/>
      <c r="Y213" s="3"/>
      <c r="Z213" s="3"/>
    </row>
    <row r="214" spans="1:26" ht="22.5" customHeight="1" x14ac:dyDescent="0.85">
      <c r="A214" s="166"/>
      <c r="B214" s="167"/>
      <c r="C214" s="167"/>
      <c r="D214" s="147"/>
      <c r="E214" s="147"/>
      <c r="F214" s="147"/>
      <c r="G214" s="147"/>
      <c r="H214" s="147"/>
      <c r="I214" s="147"/>
      <c r="J214" s="147"/>
      <c r="K214" s="3"/>
      <c r="L214" s="3"/>
      <c r="M214" s="3"/>
      <c r="N214" s="3"/>
      <c r="O214" s="3"/>
      <c r="P214" s="3"/>
      <c r="Q214" s="3"/>
      <c r="R214" s="3"/>
      <c r="S214" s="3"/>
      <c r="T214" s="3"/>
      <c r="U214" s="3"/>
      <c r="V214" s="3"/>
      <c r="W214" s="3"/>
      <c r="X214" s="3"/>
      <c r="Y214" s="3"/>
      <c r="Z214" s="3"/>
    </row>
    <row r="215" spans="1:26" ht="22.5" customHeight="1" x14ac:dyDescent="0.85">
      <c r="A215" s="166"/>
      <c r="B215" s="167"/>
      <c r="C215" s="167"/>
      <c r="D215" s="147"/>
      <c r="E215" s="147"/>
      <c r="F215" s="147"/>
      <c r="G215" s="147"/>
      <c r="H215" s="147"/>
      <c r="I215" s="147"/>
      <c r="J215" s="147"/>
      <c r="K215" s="3"/>
      <c r="L215" s="3"/>
      <c r="M215" s="3"/>
      <c r="N215" s="3"/>
      <c r="O215" s="3"/>
      <c r="P215" s="3"/>
      <c r="Q215" s="3"/>
      <c r="R215" s="3"/>
      <c r="S215" s="3"/>
      <c r="T215" s="3"/>
      <c r="U215" s="3"/>
      <c r="V215" s="3"/>
      <c r="W215" s="3"/>
      <c r="X215" s="3"/>
      <c r="Y215" s="3"/>
      <c r="Z215" s="3"/>
    </row>
    <row r="216" spans="1:26" ht="22.5" customHeight="1" x14ac:dyDescent="0.85">
      <c r="A216" s="166"/>
      <c r="B216" s="167"/>
      <c r="C216" s="167"/>
      <c r="D216" s="147"/>
      <c r="E216" s="147"/>
      <c r="F216" s="147"/>
      <c r="G216" s="147"/>
      <c r="H216" s="147"/>
      <c r="I216" s="147"/>
      <c r="J216" s="147"/>
      <c r="K216" s="3"/>
      <c r="L216" s="3"/>
      <c r="M216" s="3"/>
      <c r="N216" s="3"/>
      <c r="O216" s="3"/>
      <c r="P216" s="3"/>
      <c r="Q216" s="3"/>
      <c r="R216" s="3"/>
      <c r="S216" s="3"/>
      <c r="T216" s="3"/>
      <c r="U216" s="3"/>
      <c r="V216" s="3"/>
      <c r="W216" s="3"/>
      <c r="X216" s="3"/>
      <c r="Y216" s="3"/>
      <c r="Z216" s="3"/>
    </row>
    <row r="217" spans="1:26" ht="22.5" customHeight="1" x14ac:dyDescent="0.85">
      <c r="A217" s="166"/>
      <c r="B217" s="167"/>
      <c r="C217" s="167"/>
      <c r="D217" s="147"/>
      <c r="E217" s="147"/>
      <c r="F217" s="147"/>
      <c r="G217" s="147"/>
      <c r="H217" s="147"/>
      <c r="I217" s="147"/>
      <c r="J217" s="147"/>
      <c r="K217" s="3"/>
      <c r="L217" s="3"/>
      <c r="M217" s="3"/>
      <c r="N217" s="3"/>
      <c r="O217" s="3"/>
      <c r="P217" s="3"/>
      <c r="Q217" s="3"/>
      <c r="R217" s="3"/>
      <c r="S217" s="3"/>
      <c r="T217" s="3"/>
      <c r="U217" s="3"/>
      <c r="V217" s="3"/>
      <c r="W217" s="3"/>
      <c r="X217" s="3"/>
      <c r="Y217" s="3"/>
      <c r="Z217" s="3"/>
    </row>
    <row r="218" spans="1:26" ht="22.5" customHeight="1" x14ac:dyDescent="0.85">
      <c r="A218" s="166"/>
      <c r="B218" s="167"/>
      <c r="C218" s="167"/>
      <c r="D218" s="147"/>
      <c r="E218" s="147"/>
      <c r="F218" s="147"/>
      <c r="G218" s="147"/>
      <c r="H218" s="147"/>
      <c r="I218" s="147"/>
      <c r="J218" s="147"/>
      <c r="K218" s="3"/>
      <c r="L218" s="3"/>
      <c r="M218" s="3"/>
      <c r="N218" s="3"/>
      <c r="O218" s="3"/>
      <c r="P218" s="3"/>
      <c r="Q218" s="3"/>
      <c r="R218" s="3"/>
      <c r="S218" s="3"/>
      <c r="T218" s="3"/>
      <c r="U218" s="3"/>
      <c r="V218" s="3"/>
      <c r="W218" s="3"/>
      <c r="X218" s="3"/>
      <c r="Y218" s="3"/>
      <c r="Z218" s="3"/>
    </row>
    <row r="219" spans="1:26" ht="22.5" customHeight="1" x14ac:dyDescent="0.85">
      <c r="A219" s="166"/>
      <c r="B219" s="167"/>
      <c r="C219" s="167"/>
      <c r="D219" s="147"/>
      <c r="E219" s="147"/>
      <c r="F219" s="147"/>
      <c r="G219" s="147"/>
      <c r="H219" s="147"/>
      <c r="I219" s="147"/>
      <c r="J219" s="147"/>
      <c r="K219" s="3"/>
      <c r="L219" s="3"/>
      <c r="M219" s="3"/>
      <c r="N219" s="3"/>
      <c r="O219" s="3"/>
      <c r="P219" s="3"/>
      <c r="Q219" s="3"/>
      <c r="R219" s="3"/>
      <c r="S219" s="3"/>
      <c r="T219" s="3"/>
      <c r="U219" s="3"/>
      <c r="V219" s="3"/>
      <c r="W219" s="3"/>
      <c r="X219" s="3"/>
      <c r="Y219" s="3"/>
      <c r="Z219" s="3"/>
    </row>
    <row r="220" spans="1:26" ht="22.5" customHeight="1" x14ac:dyDescent="0.85">
      <c r="A220" s="166"/>
      <c r="B220" s="167"/>
      <c r="C220" s="167"/>
      <c r="D220" s="147"/>
      <c r="E220" s="147"/>
      <c r="F220" s="147"/>
      <c r="G220" s="147"/>
      <c r="H220" s="147"/>
      <c r="I220" s="147"/>
      <c r="J220" s="147"/>
      <c r="K220" s="3"/>
      <c r="L220" s="3"/>
      <c r="M220" s="3"/>
      <c r="N220" s="3"/>
      <c r="O220" s="3"/>
      <c r="P220" s="3"/>
      <c r="Q220" s="3"/>
      <c r="R220" s="3"/>
      <c r="S220" s="3"/>
      <c r="T220" s="3"/>
      <c r="U220" s="3"/>
      <c r="V220" s="3"/>
      <c r="W220" s="3"/>
      <c r="X220" s="3"/>
      <c r="Y220" s="3"/>
      <c r="Z220" s="3"/>
    </row>
    <row r="221" spans="1:26" ht="22.5" customHeight="1" x14ac:dyDescent="0.85">
      <c r="A221" s="166"/>
      <c r="B221" s="167"/>
      <c r="C221" s="167"/>
      <c r="D221" s="147"/>
      <c r="E221" s="147"/>
      <c r="F221" s="147"/>
      <c r="G221" s="147"/>
      <c r="H221" s="147"/>
      <c r="I221" s="147"/>
      <c r="J221" s="147"/>
      <c r="K221" s="3"/>
      <c r="L221" s="3"/>
      <c r="M221" s="3"/>
      <c r="N221" s="3"/>
      <c r="O221" s="3"/>
      <c r="P221" s="3"/>
      <c r="Q221" s="3"/>
      <c r="R221" s="3"/>
      <c r="S221" s="3"/>
      <c r="T221" s="3"/>
      <c r="U221" s="3"/>
      <c r="V221" s="3"/>
      <c r="W221" s="3"/>
      <c r="X221" s="3"/>
      <c r="Y221" s="3"/>
      <c r="Z221" s="3"/>
    </row>
    <row r="222" spans="1:26" ht="22.5" customHeight="1" x14ac:dyDescent="0.85">
      <c r="A222" s="166"/>
      <c r="B222" s="167"/>
      <c r="C222" s="167"/>
      <c r="D222" s="147"/>
      <c r="E222" s="147"/>
      <c r="F222" s="147"/>
      <c r="G222" s="147"/>
      <c r="H222" s="147"/>
      <c r="I222" s="147"/>
      <c r="J222" s="147"/>
      <c r="K222" s="3"/>
      <c r="L222" s="3"/>
      <c r="M222" s="3"/>
      <c r="N222" s="3"/>
      <c r="O222" s="3"/>
      <c r="P222" s="3"/>
      <c r="Q222" s="3"/>
      <c r="R222" s="3"/>
      <c r="S222" s="3"/>
      <c r="T222" s="3"/>
      <c r="U222" s="3"/>
      <c r="V222" s="3"/>
      <c r="W222" s="3"/>
      <c r="X222" s="3"/>
      <c r="Y222" s="3"/>
      <c r="Z222" s="3"/>
    </row>
    <row r="223" spans="1:26" ht="22.5" customHeight="1" x14ac:dyDescent="0.85">
      <c r="A223" s="166"/>
      <c r="B223" s="167"/>
      <c r="C223" s="167"/>
      <c r="D223" s="147"/>
      <c r="E223" s="147"/>
      <c r="F223" s="147"/>
      <c r="G223" s="147"/>
      <c r="H223" s="147"/>
      <c r="I223" s="147"/>
      <c r="J223" s="147"/>
      <c r="K223" s="3"/>
      <c r="L223" s="3"/>
      <c r="M223" s="3"/>
      <c r="N223" s="3"/>
      <c r="O223" s="3"/>
      <c r="P223" s="3"/>
      <c r="Q223" s="3"/>
      <c r="R223" s="3"/>
      <c r="S223" s="3"/>
      <c r="T223" s="3"/>
      <c r="U223" s="3"/>
      <c r="V223" s="3"/>
      <c r="W223" s="3"/>
      <c r="X223" s="3"/>
      <c r="Y223" s="3"/>
      <c r="Z223" s="3"/>
    </row>
    <row r="224" spans="1:26" ht="22.5" customHeight="1" x14ac:dyDescent="0.85">
      <c r="A224" s="166"/>
      <c r="B224" s="167"/>
      <c r="C224" s="167"/>
      <c r="D224" s="147"/>
      <c r="E224" s="147"/>
      <c r="F224" s="147"/>
      <c r="G224" s="147"/>
      <c r="H224" s="147"/>
      <c r="I224" s="147"/>
      <c r="J224" s="147"/>
      <c r="K224" s="3"/>
      <c r="L224" s="3"/>
      <c r="M224" s="3"/>
      <c r="N224" s="3"/>
      <c r="O224" s="3"/>
      <c r="P224" s="3"/>
      <c r="Q224" s="3"/>
      <c r="R224" s="3"/>
      <c r="S224" s="3"/>
      <c r="T224" s="3"/>
      <c r="U224" s="3"/>
      <c r="V224" s="3"/>
      <c r="W224" s="3"/>
      <c r="X224" s="3"/>
      <c r="Y224" s="3"/>
      <c r="Z224" s="3"/>
    </row>
    <row r="225" spans="1:26" ht="22.5" customHeight="1" x14ac:dyDescent="0.85">
      <c r="A225" s="166"/>
      <c r="B225" s="167"/>
      <c r="C225" s="167"/>
      <c r="D225" s="147"/>
      <c r="E225" s="147"/>
      <c r="F225" s="147"/>
      <c r="G225" s="147"/>
      <c r="H225" s="147"/>
      <c r="I225" s="147"/>
      <c r="J225" s="147"/>
      <c r="K225" s="3"/>
      <c r="L225" s="3"/>
      <c r="M225" s="3"/>
      <c r="N225" s="3"/>
      <c r="O225" s="3"/>
      <c r="P225" s="3"/>
      <c r="Q225" s="3"/>
      <c r="R225" s="3"/>
      <c r="S225" s="3"/>
      <c r="T225" s="3"/>
      <c r="U225" s="3"/>
      <c r="V225" s="3"/>
      <c r="W225" s="3"/>
      <c r="X225" s="3"/>
      <c r="Y225" s="3"/>
      <c r="Z225" s="3"/>
    </row>
    <row r="226" spans="1:26" ht="22.5" customHeight="1" x14ac:dyDescent="0.85">
      <c r="A226" s="166"/>
      <c r="B226" s="167"/>
      <c r="C226" s="167"/>
      <c r="D226" s="147"/>
      <c r="E226" s="147"/>
      <c r="F226" s="147"/>
      <c r="G226" s="147"/>
      <c r="H226" s="147"/>
      <c r="I226" s="147"/>
      <c r="J226" s="147"/>
      <c r="K226" s="3"/>
      <c r="L226" s="3"/>
      <c r="M226" s="3"/>
      <c r="N226" s="3"/>
      <c r="O226" s="3"/>
      <c r="P226" s="3"/>
      <c r="Q226" s="3"/>
      <c r="R226" s="3"/>
      <c r="S226" s="3"/>
      <c r="T226" s="3"/>
      <c r="U226" s="3"/>
      <c r="V226" s="3"/>
      <c r="W226" s="3"/>
      <c r="X226" s="3"/>
      <c r="Y226" s="3"/>
      <c r="Z226" s="3"/>
    </row>
    <row r="227" spans="1:26" ht="22.5" customHeight="1" x14ac:dyDescent="0.85">
      <c r="A227" s="166"/>
      <c r="B227" s="167"/>
      <c r="C227" s="167"/>
      <c r="D227" s="147"/>
      <c r="E227" s="147"/>
      <c r="F227" s="147"/>
      <c r="G227" s="147"/>
      <c r="H227" s="147"/>
      <c r="I227" s="147"/>
      <c r="J227" s="147"/>
      <c r="K227" s="3"/>
      <c r="L227" s="3"/>
      <c r="M227" s="3"/>
      <c r="N227" s="3"/>
      <c r="O227" s="3"/>
      <c r="P227" s="3"/>
      <c r="Q227" s="3"/>
      <c r="R227" s="3"/>
      <c r="S227" s="3"/>
      <c r="T227" s="3"/>
      <c r="U227" s="3"/>
      <c r="V227" s="3"/>
      <c r="W227" s="3"/>
      <c r="X227" s="3"/>
      <c r="Y227" s="3"/>
      <c r="Z227" s="3"/>
    </row>
    <row r="228" spans="1:26" ht="22.5" customHeight="1" x14ac:dyDescent="0.85">
      <c r="A228" s="166"/>
      <c r="B228" s="167"/>
      <c r="C228" s="167"/>
      <c r="D228" s="147"/>
      <c r="E228" s="147"/>
      <c r="F228" s="147"/>
      <c r="G228" s="147"/>
      <c r="H228" s="147"/>
      <c r="I228" s="147"/>
      <c r="J228" s="147"/>
      <c r="K228" s="3"/>
      <c r="L228" s="3"/>
      <c r="M228" s="3"/>
      <c r="N228" s="3"/>
      <c r="O228" s="3"/>
      <c r="P228" s="3"/>
      <c r="Q228" s="3"/>
      <c r="R228" s="3"/>
      <c r="S228" s="3"/>
      <c r="T228" s="3"/>
      <c r="U228" s="3"/>
      <c r="V228" s="3"/>
      <c r="W228" s="3"/>
      <c r="X228" s="3"/>
      <c r="Y228" s="3"/>
      <c r="Z228" s="3"/>
    </row>
    <row r="229" spans="1:26" ht="22.5" customHeight="1" x14ac:dyDescent="0.85">
      <c r="A229" s="166"/>
      <c r="B229" s="167"/>
      <c r="C229" s="167"/>
      <c r="D229" s="147"/>
      <c r="E229" s="147"/>
      <c r="F229" s="147"/>
      <c r="G229" s="147"/>
      <c r="H229" s="147"/>
      <c r="I229" s="147"/>
      <c r="J229" s="147"/>
      <c r="K229" s="3"/>
      <c r="L229" s="3"/>
      <c r="M229" s="3"/>
      <c r="N229" s="3"/>
      <c r="O229" s="3"/>
      <c r="P229" s="3"/>
      <c r="Q229" s="3"/>
      <c r="R229" s="3"/>
      <c r="S229" s="3"/>
      <c r="T229" s="3"/>
      <c r="U229" s="3"/>
      <c r="V229" s="3"/>
      <c r="W229" s="3"/>
      <c r="X229" s="3"/>
      <c r="Y229" s="3"/>
      <c r="Z229" s="3"/>
    </row>
    <row r="230" spans="1:26" ht="22.5" customHeight="1" x14ac:dyDescent="0.85">
      <c r="A230" s="166"/>
      <c r="B230" s="167"/>
      <c r="C230" s="167"/>
      <c r="D230" s="147"/>
      <c r="E230" s="147"/>
      <c r="F230" s="147"/>
      <c r="G230" s="147"/>
      <c r="H230" s="147"/>
      <c r="I230" s="147"/>
      <c r="J230" s="147"/>
      <c r="K230" s="3"/>
      <c r="L230" s="3"/>
      <c r="M230" s="3"/>
      <c r="N230" s="3"/>
      <c r="O230" s="3"/>
      <c r="P230" s="3"/>
      <c r="Q230" s="3"/>
      <c r="R230" s="3"/>
      <c r="S230" s="3"/>
      <c r="T230" s="3"/>
      <c r="U230" s="3"/>
      <c r="V230" s="3"/>
      <c r="W230" s="3"/>
      <c r="X230" s="3"/>
      <c r="Y230" s="3"/>
      <c r="Z230" s="3"/>
    </row>
    <row r="231" spans="1:26" ht="22.5" customHeight="1" x14ac:dyDescent="0.85">
      <c r="A231" s="166"/>
      <c r="B231" s="167"/>
      <c r="C231" s="167"/>
      <c r="D231" s="147"/>
      <c r="E231" s="147"/>
      <c r="F231" s="147"/>
      <c r="G231" s="147"/>
      <c r="H231" s="147"/>
      <c r="I231" s="147"/>
      <c r="J231" s="147"/>
      <c r="K231" s="3"/>
      <c r="L231" s="3"/>
      <c r="M231" s="3"/>
      <c r="N231" s="3"/>
      <c r="O231" s="3"/>
      <c r="P231" s="3"/>
      <c r="Q231" s="3"/>
      <c r="R231" s="3"/>
      <c r="S231" s="3"/>
      <c r="T231" s="3"/>
      <c r="U231" s="3"/>
      <c r="V231" s="3"/>
      <c r="W231" s="3"/>
      <c r="X231" s="3"/>
      <c r="Y231" s="3"/>
      <c r="Z231" s="3"/>
    </row>
    <row r="232" spans="1:26" ht="22.5" customHeight="1" x14ac:dyDescent="0.85">
      <c r="A232" s="166"/>
      <c r="B232" s="167"/>
      <c r="C232" s="167"/>
      <c r="D232" s="147"/>
      <c r="E232" s="147"/>
      <c r="F232" s="147"/>
      <c r="G232" s="147"/>
      <c r="H232" s="147"/>
      <c r="I232" s="147"/>
      <c r="J232" s="147"/>
      <c r="K232" s="3"/>
      <c r="L232" s="3"/>
      <c r="M232" s="3"/>
      <c r="N232" s="3"/>
      <c r="O232" s="3"/>
      <c r="P232" s="3"/>
      <c r="Q232" s="3"/>
      <c r="R232" s="3"/>
      <c r="S232" s="3"/>
      <c r="T232" s="3"/>
      <c r="U232" s="3"/>
      <c r="V232" s="3"/>
      <c r="W232" s="3"/>
      <c r="X232" s="3"/>
      <c r="Y232" s="3"/>
      <c r="Z232" s="3"/>
    </row>
    <row r="233" spans="1:26" ht="22.5" customHeight="1" x14ac:dyDescent="0.85">
      <c r="A233" s="166"/>
      <c r="B233" s="167"/>
      <c r="C233" s="167"/>
      <c r="D233" s="147"/>
      <c r="E233" s="147"/>
      <c r="F233" s="147"/>
      <c r="G233" s="147"/>
      <c r="H233" s="147"/>
      <c r="I233" s="147"/>
      <c r="J233" s="147"/>
      <c r="K233" s="3"/>
      <c r="L233" s="3"/>
      <c r="M233" s="3"/>
      <c r="N233" s="3"/>
      <c r="O233" s="3"/>
      <c r="P233" s="3"/>
      <c r="Q233" s="3"/>
      <c r="R233" s="3"/>
      <c r="S233" s="3"/>
      <c r="T233" s="3"/>
      <c r="U233" s="3"/>
      <c r="V233" s="3"/>
      <c r="W233" s="3"/>
      <c r="X233" s="3"/>
      <c r="Y233" s="3"/>
      <c r="Z233" s="3"/>
    </row>
    <row r="234" spans="1:26" ht="22.5" customHeight="1" x14ac:dyDescent="0.85">
      <c r="A234" s="166"/>
      <c r="B234" s="167"/>
      <c r="C234" s="167"/>
      <c r="D234" s="147"/>
      <c r="E234" s="147"/>
      <c r="F234" s="147"/>
      <c r="G234" s="147"/>
      <c r="H234" s="147"/>
      <c r="I234" s="147"/>
      <c r="J234" s="147"/>
      <c r="K234" s="3"/>
      <c r="L234" s="3"/>
      <c r="M234" s="3"/>
      <c r="N234" s="3"/>
      <c r="O234" s="3"/>
      <c r="P234" s="3"/>
      <c r="Q234" s="3"/>
      <c r="R234" s="3"/>
      <c r="S234" s="3"/>
      <c r="T234" s="3"/>
      <c r="U234" s="3"/>
      <c r="V234" s="3"/>
      <c r="W234" s="3"/>
      <c r="X234" s="3"/>
      <c r="Y234" s="3"/>
      <c r="Z234" s="3"/>
    </row>
    <row r="235" spans="1:26" ht="22.5" customHeight="1" x14ac:dyDescent="0.85">
      <c r="A235" s="166"/>
      <c r="B235" s="167"/>
      <c r="C235" s="167"/>
      <c r="D235" s="147"/>
      <c r="E235" s="147"/>
      <c r="F235" s="147"/>
      <c r="G235" s="147"/>
      <c r="H235" s="147"/>
      <c r="I235" s="147"/>
      <c r="J235" s="147"/>
      <c r="K235" s="3"/>
      <c r="L235" s="3"/>
      <c r="M235" s="3"/>
      <c r="N235" s="3"/>
      <c r="O235" s="3"/>
      <c r="P235" s="3"/>
      <c r="Q235" s="3"/>
      <c r="R235" s="3"/>
      <c r="S235" s="3"/>
      <c r="T235" s="3"/>
      <c r="U235" s="3"/>
      <c r="V235" s="3"/>
      <c r="W235" s="3"/>
      <c r="X235" s="3"/>
      <c r="Y235" s="3"/>
      <c r="Z235" s="3"/>
    </row>
    <row r="236" spans="1:26" ht="22.5" customHeight="1" x14ac:dyDescent="0.85">
      <c r="A236" s="166"/>
      <c r="B236" s="167"/>
      <c r="C236" s="167"/>
      <c r="D236" s="147"/>
      <c r="E236" s="147"/>
      <c r="F236" s="147"/>
      <c r="G236" s="147"/>
      <c r="H236" s="147"/>
      <c r="I236" s="147"/>
      <c r="J236" s="147"/>
      <c r="K236" s="3"/>
      <c r="L236" s="3"/>
      <c r="M236" s="3"/>
      <c r="N236" s="3"/>
      <c r="O236" s="3"/>
      <c r="P236" s="3"/>
      <c r="Q236" s="3"/>
      <c r="R236" s="3"/>
      <c r="S236" s="3"/>
      <c r="T236" s="3"/>
      <c r="U236" s="3"/>
      <c r="V236" s="3"/>
      <c r="W236" s="3"/>
      <c r="X236" s="3"/>
      <c r="Y236" s="3"/>
      <c r="Z236" s="3"/>
    </row>
    <row r="237" spans="1:26" ht="22.5" customHeight="1" x14ac:dyDescent="0.85">
      <c r="A237" s="166"/>
      <c r="B237" s="167"/>
      <c r="C237" s="167"/>
      <c r="D237" s="147"/>
      <c r="E237" s="147"/>
      <c r="F237" s="147"/>
      <c r="G237" s="147"/>
      <c r="H237" s="147"/>
      <c r="I237" s="147"/>
      <c r="J237" s="147"/>
      <c r="K237" s="3"/>
      <c r="L237" s="3"/>
      <c r="M237" s="3"/>
      <c r="N237" s="3"/>
      <c r="O237" s="3"/>
      <c r="P237" s="3"/>
      <c r="Q237" s="3"/>
      <c r="R237" s="3"/>
      <c r="S237" s="3"/>
      <c r="T237" s="3"/>
      <c r="U237" s="3"/>
      <c r="V237" s="3"/>
      <c r="W237" s="3"/>
      <c r="X237" s="3"/>
      <c r="Y237" s="3"/>
      <c r="Z237" s="3"/>
    </row>
    <row r="238" spans="1:26" ht="22.5" customHeight="1" x14ac:dyDescent="0.85">
      <c r="A238" s="166"/>
      <c r="B238" s="167"/>
      <c r="C238" s="167"/>
      <c r="D238" s="147"/>
      <c r="E238" s="147"/>
      <c r="F238" s="147"/>
      <c r="G238" s="147"/>
      <c r="H238" s="147"/>
      <c r="I238" s="147"/>
      <c r="J238" s="147"/>
      <c r="K238" s="3"/>
      <c r="L238" s="3"/>
      <c r="M238" s="3"/>
      <c r="N238" s="3"/>
      <c r="O238" s="3"/>
      <c r="P238" s="3"/>
      <c r="Q238" s="3"/>
      <c r="R238" s="3"/>
      <c r="S238" s="3"/>
      <c r="T238" s="3"/>
      <c r="U238" s="3"/>
      <c r="V238" s="3"/>
      <c r="W238" s="3"/>
      <c r="X238" s="3"/>
      <c r="Y238" s="3"/>
      <c r="Z238" s="3"/>
    </row>
    <row r="239" spans="1:26" ht="22.5" customHeight="1" x14ac:dyDescent="0.85">
      <c r="A239" s="166"/>
      <c r="B239" s="167"/>
      <c r="C239" s="167"/>
      <c r="D239" s="147"/>
      <c r="E239" s="147"/>
      <c r="F239" s="147"/>
      <c r="G239" s="147"/>
      <c r="H239" s="147"/>
      <c r="I239" s="147"/>
      <c r="J239" s="147"/>
      <c r="K239" s="3"/>
      <c r="L239" s="3"/>
      <c r="M239" s="3"/>
      <c r="N239" s="3"/>
      <c r="O239" s="3"/>
      <c r="P239" s="3"/>
      <c r="Q239" s="3"/>
      <c r="R239" s="3"/>
      <c r="S239" s="3"/>
      <c r="T239" s="3"/>
      <c r="U239" s="3"/>
      <c r="V239" s="3"/>
      <c r="W239" s="3"/>
      <c r="X239" s="3"/>
      <c r="Y239" s="3"/>
      <c r="Z239" s="3"/>
    </row>
    <row r="240" spans="1:26" ht="22.5" customHeight="1" x14ac:dyDescent="0.85">
      <c r="A240" s="166"/>
      <c r="B240" s="167"/>
      <c r="C240" s="167"/>
      <c r="D240" s="147"/>
      <c r="E240" s="147"/>
      <c r="F240" s="147"/>
      <c r="G240" s="147"/>
      <c r="H240" s="147"/>
      <c r="I240" s="147"/>
      <c r="J240" s="147"/>
      <c r="K240" s="3"/>
      <c r="L240" s="3"/>
      <c r="M240" s="3"/>
      <c r="N240" s="3"/>
      <c r="O240" s="3"/>
      <c r="P240" s="3"/>
      <c r="Q240" s="3"/>
      <c r="R240" s="3"/>
      <c r="S240" s="3"/>
      <c r="T240" s="3"/>
      <c r="U240" s="3"/>
      <c r="V240" s="3"/>
      <c r="W240" s="3"/>
      <c r="X240" s="3"/>
      <c r="Y240" s="3"/>
      <c r="Z240" s="3"/>
    </row>
    <row r="241" spans="1:26" ht="22.5" customHeight="1" x14ac:dyDescent="0.85">
      <c r="A241" s="166"/>
      <c r="B241" s="167"/>
      <c r="C241" s="167"/>
      <c r="D241" s="147"/>
      <c r="E241" s="147"/>
      <c r="F241" s="147"/>
      <c r="G241" s="147"/>
      <c r="H241" s="147"/>
      <c r="I241" s="147"/>
      <c r="J241" s="147"/>
      <c r="K241" s="3"/>
      <c r="L241" s="3"/>
      <c r="M241" s="3"/>
      <c r="N241" s="3"/>
      <c r="O241" s="3"/>
      <c r="P241" s="3"/>
      <c r="Q241" s="3"/>
      <c r="R241" s="3"/>
      <c r="S241" s="3"/>
      <c r="T241" s="3"/>
      <c r="U241" s="3"/>
      <c r="V241" s="3"/>
      <c r="W241" s="3"/>
      <c r="X241" s="3"/>
      <c r="Y241" s="3"/>
      <c r="Z241" s="3"/>
    </row>
    <row r="242" spans="1:26" ht="22.5" customHeight="1" x14ac:dyDescent="0.85">
      <c r="A242" s="166"/>
      <c r="B242" s="167"/>
      <c r="C242" s="167"/>
      <c r="D242" s="147"/>
      <c r="E242" s="147"/>
      <c r="F242" s="147"/>
      <c r="G242" s="147"/>
      <c r="H242" s="147"/>
      <c r="I242" s="147"/>
      <c r="J242" s="147"/>
      <c r="K242" s="3"/>
      <c r="L242" s="3"/>
      <c r="M242" s="3"/>
      <c r="N242" s="3"/>
      <c r="O242" s="3"/>
      <c r="P242" s="3"/>
      <c r="Q242" s="3"/>
      <c r="R242" s="3"/>
      <c r="S242" s="3"/>
      <c r="T242" s="3"/>
      <c r="U242" s="3"/>
      <c r="V242" s="3"/>
      <c r="W242" s="3"/>
      <c r="X242" s="3"/>
      <c r="Y242" s="3"/>
      <c r="Z242" s="3"/>
    </row>
    <row r="243" spans="1:26" ht="22.5" customHeight="1" x14ac:dyDescent="0.85">
      <c r="A243" s="166"/>
      <c r="B243" s="167"/>
      <c r="C243" s="167"/>
      <c r="D243" s="147"/>
      <c r="E243" s="147"/>
      <c r="F243" s="147"/>
      <c r="G243" s="147"/>
      <c r="H243" s="147"/>
      <c r="I243" s="147"/>
      <c r="J243" s="147"/>
      <c r="K243" s="3"/>
      <c r="L243" s="3"/>
      <c r="M243" s="3"/>
      <c r="N243" s="3"/>
      <c r="O243" s="3"/>
      <c r="P243" s="3"/>
      <c r="Q243" s="3"/>
      <c r="R243" s="3"/>
      <c r="S243" s="3"/>
      <c r="T243" s="3"/>
      <c r="U243" s="3"/>
      <c r="V243" s="3"/>
      <c r="W243" s="3"/>
      <c r="X243" s="3"/>
      <c r="Y243" s="3"/>
      <c r="Z243" s="3"/>
    </row>
    <row r="244" spans="1:26" ht="22.5" customHeight="1" x14ac:dyDescent="0.85">
      <c r="A244" s="166"/>
      <c r="B244" s="167"/>
      <c r="C244" s="167"/>
      <c r="D244" s="147"/>
      <c r="E244" s="147"/>
      <c r="F244" s="147"/>
      <c r="G244" s="147"/>
      <c r="H244" s="147"/>
      <c r="I244" s="147"/>
      <c r="J244" s="147"/>
      <c r="K244" s="3"/>
      <c r="L244" s="3"/>
      <c r="M244" s="3"/>
      <c r="N244" s="3"/>
      <c r="O244" s="3"/>
      <c r="P244" s="3"/>
      <c r="Q244" s="3"/>
      <c r="R244" s="3"/>
      <c r="S244" s="3"/>
      <c r="T244" s="3"/>
      <c r="U244" s="3"/>
      <c r="V244" s="3"/>
      <c r="W244" s="3"/>
      <c r="X244" s="3"/>
      <c r="Y244" s="3"/>
      <c r="Z244" s="3"/>
    </row>
    <row r="245" spans="1:26" ht="22.5" customHeight="1" x14ac:dyDescent="0.85">
      <c r="A245" s="166"/>
      <c r="B245" s="167"/>
      <c r="C245" s="167"/>
      <c r="D245" s="147"/>
      <c r="E245" s="147"/>
      <c r="F245" s="147"/>
      <c r="G245" s="147"/>
      <c r="H245" s="147"/>
      <c r="I245" s="147"/>
      <c r="J245" s="147"/>
      <c r="K245" s="3"/>
      <c r="L245" s="3"/>
      <c r="M245" s="3"/>
      <c r="N245" s="3"/>
      <c r="O245" s="3"/>
      <c r="P245" s="3"/>
      <c r="Q245" s="3"/>
      <c r="R245" s="3"/>
      <c r="S245" s="3"/>
      <c r="T245" s="3"/>
      <c r="U245" s="3"/>
      <c r="V245" s="3"/>
      <c r="W245" s="3"/>
      <c r="X245" s="3"/>
      <c r="Y245" s="3"/>
      <c r="Z245" s="3"/>
    </row>
    <row r="246" spans="1:26" ht="22.5" customHeight="1" x14ac:dyDescent="0.85">
      <c r="A246" s="166"/>
      <c r="B246" s="167"/>
      <c r="C246" s="167"/>
      <c r="D246" s="147"/>
      <c r="E246" s="147"/>
      <c r="F246" s="147"/>
      <c r="G246" s="147"/>
      <c r="H246" s="147"/>
      <c r="I246" s="147"/>
      <c r="J246" s="147"/>
      <c r="K246" s="3"/>
      <c r="L246" s="3"/>
      <c r="M246" s="3"/>
      <c r="N246" s="3"/>
      <c r="O246" s="3"/>
      <c r="P246" s="3"/>
      <c r="Q246" s="3"/>
      <c r="R246" s="3"/>
      <c r="S246" s="3"/>
      <c r="T246" s="3"/>
      <c r="U246" s="3"/>
      <c r="V246" s="3"/>
      <c r="W246" s="3"/>
      <c r="X246" s="3"/>
      <c r="Y246" s="3"/>
      <c r="Z246" s="3"/>
    </row>
    <row r="247" spans="1:26" ht="22.5" customHeight="1" x14ac:dyDescent="0.85">
      <c r="A247" s="166"/>
      <c r="B247" s="167"/>
      <c r="C247" s="167"/>
      <c r="D247" s="147"/>
      <c r="E247" s="147"/>
      <c r="F247" s="147"/>
      <c r="G247" s="147"/>
      <c r="H247" s="147"/>
      <c r="I247" s="147"/>
      <c r="J247" s="147"/>
      <c r="K247" s="3"/>
      <c r="L247" s="3"/>
      <c r="M247" s="3"/>
      <c r="N247" s="3"/>
      <c r="O247" s="3"/>
      <c r="P247" s="3"/>
      <c r="Q247" s="3"/>
      <c r="R247" s="3"/>
      <c r="S247" s="3"/>
      <c r="T247" s="3"/>
      <c r="U247" s="3"/>
      <c r="V247" s="3"/>
      <c r="W247" s="3"/>
      <c r="X247" s="3"/>
      <c r="Y247" s="3"/>
      <c r="Z247" s="3"/>
    </row>
    <row r="248" spans="1:26" ht="22.5" customHeight="1" x14ac:dyDescent="0.85">
      <c r="A248" s="166"/>
      <c r="B248" s="167"/>
      <c r="C248" s="167"/>
      <c r="D248" s="147"/>
      <c r="E248" s="147"/>
      <c r="F248" s="147"/>
      <c r="G248" s="147"/>
      <c r="H248" s="147"/>
      <c r="I248" s="147"/>
      <c r="J248" s="147"/>
      <c r="K248" s="3"/>
      <c r="L248" s="3"/>
      <c r="M248" s="3"/>
      <c r="N248" s="3"/>
      <c r="O248" s="3"/>
      <c r="P248" s="3"/>
      <c r="Q248" s="3"/>
      <c r="R248" s="3"/>
      <c r="S248" s="3"/>
      <c r="T248" s="3"/>
      <c r="U248" s="3"/>
      <c r="V248" s="3"/>
      <c r="W248" s="3"/>
      <c r="X248" s="3"/>
      <c r="Y248" s="3"/>
      <c r="Z248" s="3"/>
    </row>
    <row r="249" spans="1:26" ht="22.5" customHeight="1" x14ac:dyDescent="0.85">
      <c r="A249" s="166"/>
      <c r="B249" s="167"/>
      <c r="C249" s="167"/>
      <c r="D249" s="147"/>
      <c r="E249" s="147"/>
      <c r="F249" s="147"/>
      <c r="G249" s="147"/>
      <c r="H249" s="147"/>
      <c r="I249" s="147"/>
      <c r="J249" s="147"/>
      <c r="K249" s="3"/>
      <c r="L249" s="3"/>
      <c r="M249" s="3"/>
      <c r="N249" s="3"/>
      <c r="O249" s="3"/>
      <c r="P249" s="3"/>
      <c r="Q249" s="3"/>
      <c r="R249" s="3"/>
      <c r="S249" s="3"/>
      <c r="T249" s="3"/>
      <c r="U249" s="3"/>
      <c r="V249" s="3"/>
      <c r="W249" s="3"/>
      <c r="X249" s="3"/>
      <c r="Y249" s="3"/>
      <c r="Z249" s="3"/>
    </row>
    <row r="250" spans="1:26" ht="22.5" customHeight="1" x14ac:dyDescent="0.85">
      <c r="A250" s="166"/>
      <c r="B250" s="167"/>
      <c r="C250" s="167"/>
      <c r="D250" s="147"/>
      <c r="E250" s="147"/>
      <c r="F250" s="147"/>
      <c r="G250" s="147"/>
      <c r="H250" s="147"/>
      <c r="I250" s="147"/>
      <c r="J250" s="147"/>
      <c r="K250" s="3"/>
      <c r="L250" s="3"/>
      <c r="M250" s="3"/>
      <c r="N250" s="3"/>
      <c r="O250" s="3"/>
      <c r="P250" s="3"/>
      <c r="Q250" s="3"/>
      <c r="R250" s="3"/>
      <c r="S250" s="3"/>
      <c r="T250" s="3"/>
      <c r="U250" s="3"/>
      <c r="V250" s="3"/>
      <c r="W250" s="3"/>
      <c r="X250" s="3"/>
      <c r="Y250" s="3"/>
      <c r="Z250" s="3"/>
    </row>
    <row r="251" spans="1:26" ht="22.5" customHeight="1" x14ac:dyDescent="0.85">
      <c r="A251" s="166"/>
      <c r="B251" s="167"/>
      <c r="C251" s="167"/>
      <c r="D251" s="147"/>
      <c r="E251" s="147"/>
      <c r="F251" s="147"/>
      <c r="G251" s="147"/>
      <c r="H251" s="147"/>
      <c r="I251" s="147"/>
      <c r="J251" s="147"/>
      <c r="K251" s="3"/>
      <c r="L251" s="3"/>
      <c r="M251" s="3"/>
      <c r="N251" s="3"/>
      <c r="O251" s="3"/>
      <c r="P251" s="3"/>
      <c r="Q251" s="3"/>
      <c r="R251" s="3"/>
      <c r="S251" s="3"/>
      <c r="T251" s="3"/>
      <c r="U251" s="3"/>
      <c r="V251" s="3"/>
      <c r="W251" s="3"/>
      <c r="X251" s="3"/>
      <c r="Y251" s="3"/>
      <c r="Z251" s="3"/>
    </row>
    <row r="252" spans="1:26" ht="22.5" customHeight="1" x14ac:dyDescent="0.85">
      <c r="A252" s="166"/>
      <c r="B252" s="167"/>
      <c r="C252" s="167"/>
      <c r="D252" s="147"/>
      <c r="E252" s="147"/>
      <c r="F252" s="147"/>
      <c r="G252" s="147"/>
      <c r="H252" s="147"/>
      <c r="I252" s="147"/>
      <c r="J252" s="147"/>
      <c r="K252" s="3"/>
      <c r="L252" s="3"/>
      <c r="M252" s="3"/>
      <c r="N252" s="3"/>
      <c r="O252" s="3"/>
      <c r="P252" s="3"/>
      <c r="Q252" s="3"/>
      <c r="R252" s="3"/>
      <c r="S252" s="3"/>
      <c r="T252" s="3"/>
      <c r="U252" s="3"/>
      <c r="V252" s="3"/>
      <c r="W252" s="3"/>
      <c r="X252" s="3"/>
      <c r="Y252" s="3"/>
      <c r="Z252" s="3"/>
    </row>
    <row r="253" spans="1:26" ht="22.5" customHeight="1" x14ac:dyDescent="0.85">
      <c r="A253" s="166"/>
      <c r="B253" s="167"/>
      <c r="C253" s="167"/>
      <c r="D253" s="147"/>
      <c r="E253" s="147"/>
      <c r="F253" s="147"/>
      <c r="G253" s="147"/>
      <c r="H253" s="147"/>
      <c r="I253" s="147"/>
      <c r="J253" s="147"/>
      <c r="K253" s="3"/>
      <c r="L253" s="3"/>
      <c r="M253" s="3"/>
      <c r="N253" s="3"/>
      <c r="O253" s="3"/>
      <c r="P253" s="3"/>
      <c r="Q253" s="3"/>
      <c r="R253" s="3"/>
      <c r="S253" s="3"/>
      <c r="T253" s="3"/>
      <c r="U253" s="3"/>
      <c r="V253" s="3"/>
      <c r="W253" s="3"/>
      <c r="X253" s="3"/>
      <c r="Y253" s="3"/>
      <c r="Z253" s="3"/>
    </row>
    <row r="254" spans="1:26" ht="22.5" customHeight="1" x14ac:dyDescent="0.85">
      <c r="A254" s="166"/>
      <c r="B254" s="167"/>
      <c r="C254" s="167"/>
      <c r="D254" s="147"/>
      <c r="E254" s="147"/>
      <c r="F254" s="147"/>
      <c r="G254" s="147"/>
      <c r="H254" s="147"/>
      <c r="I254" s="147"/>
      <c r="J254" s="147"/>
      <c r="K254" s="3"/>
      <c r="L254" s="3"/>
      <c r="M254" s="3"/>
      <c r="N254" s="3"/>
      <c r="O254" s="3"/>
      <c r="P254" s="3"/>
      <c r="Q254" s="3"/>
      <c r="R254" s="3"/>
      <c r="S254" s="3"/>
      <c r="T254" s="3"/>
      <c r="U254" s="3"/>
      <c r="V254" s="3"/>
      <c r="W254" s="3"/>
      <c r="X254" s="3"/>
      <c r="Y254" s="3"/>
      <c r="Z254" s="3"/>
    </row>
    <row r="255" spans="1:26" ht="22.5" customHeight="1" x14ac:dyDescent="0.85">
      <c r="A255" s="166"/>
      <c r="B255" s="167"/>
      <c r="C255" s="167"/>
      <c r="D255" s="147"/>
      <c r="E255" s="147"/>
      <c r="F255" s="147"/>
      <c r="G255" s="147"/>
      <c r="H255" s="147"/>
      <c r="I255" s="147"/>
      <c r="J255" s="147"/>
      <c r="K255" s="3"/>
      <c r="L255" s="3"/>
      <c r="M255" s="3"/>
      <c r="N255" s="3"/>
      <c r="O255" s="3"/>
      <c r="P255" s="3"/>
      <c r="Q255" s="3"/>
      <c r="R255" s="3"/>
      <c r="S255" s="3"/>
      <c r="T255" s="3"/>
      <c r="U255" s="3"/>
      <c r="V255" s="3"/>
      <c r="W255" s="3"/>
      <c r="X255" s="3"/>
      <c r="Y255" s="3"/>
      <c r="Z255" s="3"/>
    </row>
    <row r="256" spans="1:26" ht="22.5" customHeight="1" x14ac:dyDescent="0.85">
      <c r="A256" s="166"/>
      <c r="B256" s="167"/>
      <c r="C256" s="167"/>
      <c r="D256" s="147"/>
      <c r="E256" s="147"/>
      <c r="F256" s="147"/>
      <c r="G256" s="147"/>
      <c r="H256" s="147"/>
      <c r="I256" s="147"/>
      <c r="J256" s="147"/>
      <c r="K256" s="3"/>
      <c r="L256" s="3"/>
      <c r="M256" s="3"/>
      <c r="N256" s="3"/>
      <c r="O256" s="3"/>
      <c r="P256" s="3"/>
      <c r="Q256" s="3"/>
      <c r="R256" s="3"/>
      <c r="S256" s="3"/>
      <c r="T256" s="3"/>
      <c r="U256" s="3"/>
      <c r="V256" s="3"/>
      <c r="W256" s="3"/>
      <c r="X256" s="3"/>
      <c r="Y256" s="3"/>
      <c r="Z256" s="3"/>
    </row>
    <row r="257" spans="1:26" ht="22.5" customHeight="1" x14ac:dyDescent="0.85">
      <c r="A257" s="166"/>
      <c r="B257" s="167"/>
      <c r="C257" s="167"/>
      <c r="D257" s="147"/>
      <c r="E257" s="147"/>
      <c r="F257" s="147"/>
      <c r="G257" s="147"/>
      <c r="H257" s="147"/>
      <c r="I257" s="147"/>
      <c r="J257" s="147"/>
      <c r="K257" s="3"/>
      <c r="L257" s="3"/>
      <c r="M257" s="3"/>
      <c r="N257" s="3"/>
      <c r="O257" s="3"/>
      <c r="P257" s="3"/>
      <c r="Q257" s="3"/>
      <c r="R257" s="3"/>
      <c r="S257" s="3"/>
      <c r="T257" s="3"/>
      <c r="U257" s="3"/>
      <c r="V257" s="3"/>
      <c r="W257" s="3"/>
      <c r="X257" s="3"/>
      <c r="Y257" s="3"/>
      <c r="Z257" s="3"/>
    </row>
    <row r="258" spans="1:26" ht="22.5" customHeight="1" x14ac:dyDescent="0.85">
      <c r="A258" s="166"/>
      <c r="B258" s="167"/>
      <c r="C258" s="167"/>
      <c r="D258" s="147"/>
      <c r="E258" s="147"/>
      <c r="F258" s="147"/>
      <c r="G258" s="147"/>
      <c r="H258" s="147"/>
      <c r="I258" s="147"/>
      <c r="J258" s="147"/>
      <c r="K258" s="3"/>
      <c r="L258" s="3"/>
      <c r="M258" s="3"/>
      <c r="N258" s="3"/>
      <c r="O258" s="3"/>
      <c r="P258" s="3"/>
      <c r="Q258" s="3"/>
      <c r="R258" s="3"/>
      <c r="S258" s="3"/>
      <c r="T258" s="3"/>
      <c r="U258" s="3"/>
      <c r="V258" s="3"/>
      <c r="W258" s="3"/>
      <c r="X258" s="3"/>
      <c r="Y258" s="3"/>
      <c r="Z258" s="3"/>
    </row>
    <row r="259" spans="1:26" ht="22.5" customHeight="1" x14ac:dyDescent="0.85">
      <c r="A259" s="166"/>
      <c r="B259" s="167"/>
      <c r="C259" s="167"/>
      <c r="D259" s="147"/>
      <c r="E259" s="147"/>
      <c r="F259" s="147"/>
      <c r="G259" s="147"/>
      <c r="H259" s="147"/>
      <c r="I259" s="147"/>
      <c r="J259" s="147"/>
      <c r="K259" s="3"/>
      <c r="L259" s="3"/>
      <c r="M259" s="3"/>
      <c r="N259" s="3"/>
      <c r="O259" s="3"/>
      <c r="P259" s="3"/>
      <c r="Q259" s="3"/>
      <c r="R259" s="3"/>
      <c r="S259" s="3"/>
      <c r="T259" s="3"/>
      <c r="U259" s="3"/>
      <c r="V259" s="3"/>
      <c r="W259" s="3"/>
      <c r="X259" s="3"/>
      <c r="Y259" s="3"/>
      <c r="Z259" s="3"/>
    </row>
    <row r="260" spans="1:26" ht="22.5" customHeight="1" x14ac:dyDescent="0.85">
      <c r="A260" s="166"/>
      <c r="B260" s="167"/>
      <c r="C260" s="167"/>
      <c r="D260" s="147"/>
      <c r="E260" s="147"/>
      <c r="F260" s="147"/>
      <c r="G260" s="147"/>
      <c r="H260" s="147"/>
      <c r="I260" s="147"/>
      <c r="J260" s="147"/>
      <c r="K260" s="3"/>
      <c r="L260" s="3"/>
      <c r="M260" s="3"/>
      <c r="N260" s="3"/>
      <c r="O260" s="3"/>
      <c r="P260" s="3"/>
      <c r="Q260" s="3"/>
      <c r="R260" s="3"/>
      <c r="S260" s="3"/>
      <c r="T260" s="3"/>
      <c r="U260" s="3"/>
      <c r="V260" s="3"/>
      <c r="W260" s="3"/>
      <c r="X260" s="3"/>
      <c r="Y260" s="3"/>
      <c r="Z260" s="3"/>
    </row>
    <row r="261" spans="1:26" ht="22.5" customHeight="1" x14ac:dyDescent="0.85">
      <c r="A261" s="166"/>
      <c r="B261" s="167"/>
      <c r="C261" s="167"/>
      <c r="D261" s="147"/>
      <c r="E261" s="147"/>
      <c r="F261" s="147"/>
      <c r="G261" s="147"/>
      <c r="H261" s="147"/>
      <c r="I261" s="147"/>
      <c r="J261" s="147"/>
      <c r="K261" s="3"/>
      <c r="L261" s="3"/>
      <c r="M261" s="3"/>
      <c r="N261" s="3"/>
      <c r="O261" s="3"/>
      <c r="P261" s="3"/>
      <c r="Q261" s="3"/>
      <c r="R261" s="3"/>
      <c r="S261" s="3"/>
      <c r="T261" s="3"/>
      <c r="U261" s="3"/>
      <c r="V261" s="3"/>
      <c r="W261" s="3"/>
      <c r="X261" s="3"/>
      <c r="Y261" s="3"/>
      <c r="Z261" s="3"/>
    </row>
    <row r="262" spans="1:26" ht="22.5" customHeight="1" x14ac:dyDescent="0.85">
      <c r="A262" s="166"/>
      <c r="B262" s="167"/>
      <c r="C262" s="167"/>
      <c r="D262" s="147"/>
      <c r="E262" s="147"/>
      <c r="F262" s="147"/>
      <c r="G262" s="147"/>
      <c r="H262" s="147"/>
      <c r="I262" s="147"/>
      <c r="J262" s="147"/>
      <c r="K262" s="3"/>
      <c r="L262" s="3"/>
      <c r="M262" s="3"/>
      <c r="N262" s="3"/>
      <c r="O262" s="3"/>
      <c r="P262" s="3"/>
      <c r="Q262" s="3"/>
      <c r="R262" s="3"/>
      <c r="S262" s="3"/>
      <c r="T262" s="3"/>
      <c r="U262" s="3"/>
      <c r="V262" s="3"/>
      <c r="W262" s="3"/>
      <c r="X262" s="3"/>
      <c r="Y262" s="3"/>
      <c r="Z262" s="3"/>
    </row>
    <row r="263" spans="1:26" ht="22.5" customHeight="1" x14ac:dyDescent="0.85">
      <c r="A263" s="166"/>
      <c r="B263" s="167"/>
      <c r="C263" s="167"/>
      <c r="D263" s="147"/>
      <c r="E263" s="147"/>
      <c r="F263" s="147"/>
      <c r="G263" s="147"/>
      <c r="H263" s="147"/>
      <c r="I263" s="147"/>
      <c r="J263" s="147"/>
      <c r="K263" s="3"/>
      <c r="L263" s="3"/>
      <c r="M263" s="3"/>
      <c r="N263" s="3"/>
      <c r="O263" s="3"/>
      <c r="P263" s="3"/>
      <c r="Q263" s="3"/>
      <c r="R263" s="3"/>
      <c r="S263" s="3"/>
      <c r="T263" s="3"/>
      <c r="U263" s="3"/>
      <c r="V263" s="3"/>
      <c r="W263" s="3"/>
      <c r="X263" s="3"/>
      <c r="Y263" s="3"/>
      <c r="Z263" s="3"/>
    </row>
    <row r="264" spans="1:26" ht="22.5" customHeight="1" x14ac:dyDescent="0.85">
      <c r="A264" s="166"/>
      <c r="B264" s="167"/>
      <c r="C264" s="167"/>
      <c r="D264" s="147"/>
      <c r="E264" s="147"/>
      <c r="F264" s="147"/>
      <c r="G264" s="147"/>
      <c r="H264" s="147"/>
      <c r="I264" s="147"/>
      <c r="J264" s="147"/>
      <c r="K264" s="3"/>
      <c r="L264" s="3"/>
      <c r="M264" s="3"/>
      <c r="N264" s="3"/>
      <c r="O264" s="3"/>
      <c r="P264" s="3"/>
      <c r="Q264" s="3"/>
      <c r="R264" s="3"/>
      <c r="S264" s="3"/>
      <c r="T264" s="3"/>
      <c r="U264" s="3"/>
      <c r="V264" s="3"/>
      <c r="W264" s="3"/>
      <c r="X264" s="3"/>
      <c r="Y264" s="3"/>
      <c r="Z264" s="3"/>
    </row>
    <row r="265" spans="1:26" ht="22.5" customHeight="1" x14ac:dyDescent="0.85">
      <c r="A265" s="166"/>
      <c r="B265" s="167"/>
      <c r="C265" s="167"/>
      <c r="D265" s="147"/>
      <c r="E265" s="147"/>
      <c r="F265" s="147"/>
      <c r="G265" s="147"/>
      <c r="H265" s="147"/>
      <c r="I265" s="147"/>
      <c r="J265" s="147"/>
      <c r="K265" s="3"/>
      <c r="L265" s="3"/>
      <c r="M265" s="3"/>
      <c r="N265" s="3"/>
      <c r="O265" s="3"/>
      <c r="P265" s="3"/>
      <c r="Q265" s="3"/>
      <c r="R265" s="3"/>
      <c r="S265" s="3"/>
      <c r="T265" s="3"/>
      <c r="U265" s="3"/>
      <c r="V265" s="3"/>
      <c r="W265" s="3"/>
      <c r="X265" s="3"/>
      <c r="Y265" s="3"/>
      <c r="Z265" s="3"/>
    </row>
    <row r="266" spans="1:26" ht="22.5" customHeight="1" x14ac:dyDescent="0.85">
      <c r="A266" s="166"/>
      <c r="B266" s="167"/>
      <c r="C266" s="167"/>
      <c r="D266" s="147"/>
      <c r="E266" s="147"/>
      <c r="F266" s="147"/>
      <c r="G266" s="147"/>
      <c r="H266" s="147"/>
      <c r="I266" s="147"/>
      <c r="J266" s="147"/>
      <c r="K266" s="3"/>
      <c r="L266" s="3"/>
      <c r="M266" s="3"/>
      <c r="N266" s="3"/>
      <c r="O266" s="3"/>
      <c r="P266" s="3"/>
      <c r="Q266" s="3"/>
      <c r="R266" s="3"/>
      <c r="S266" s="3"/>
      <c r="T266" s="3"/>
      <c r="U266" s="3"/>
      <c r="V266" s="3"/>
      <c r="W266" s="3"/>
      <c r="X266" s="3"/>
      <c r="Y266" s="3"/>
      <c r="Z266" s="3"/>
    </row>
    <row r="267" spans="1:26" ht="22.5" customHeight="1" x14ac:dyDescent="0.85">
      <c r="A267" s="166"/>
      <c r="B267" s="167"/>
      <c r="C267" s="167"/>
      <c r="D267" s="147"/>
      <c r="E267" s="147"/>
      <c r="F267" s="147"/>
      <c r="G267" s="147"/>
      <c r="H267" s="147"/>
      <c r="I267" s="147"/>
      <c r="J267" s="147"/>
      <c r="K267" s="3"/>
      <c r="L267" s="3"/>
      <c r="M267" s="3"/>
      <c r="N267" s="3"/>
      <c r="O267" s="3"/>
      <c r="P267" s="3"/>
      <c r="Q267" s="3"/>
      <c r="R267" s="3"/>
      <c r="S267" s="3"/>
      <c r="T267" s="3"/>
      <c r="U267" s="3"/>
      <c r="V267" s="3"/>
      <c r="W267" s="3"/>
      <c r="X267" s="3"/>
      <c r="Y267" s="3"/>
      <c r="Z267" s="3"/>
    </row>
    <row r="268" spans="1:26" ht="22.5" customHeight="1" x14ac:dyDescent="0.85">
      <c r="A268" s="166"/>
      <c r="B268" s="167"/>
      <c r="C268" s="167"/>
      <c r="D268" s="147"/>
      <c r="E268" s="147"/>
      <c r="F268" s="147"/>
      <c r="G268" s="147"/>
      <c r="H268" s="147"/>
      <c r="I268" s="147"/>
      <c r="J268" s="147"/>
      <c r="K268" s="3"/>
      <c r="L268" s="3"/>
      <c r="M268" s="3"/>
      <c r="N268" s="3"/>
      <c r="O268" s="3"/>
      <c r="P268" s="3"/>
      <c r="Q268" s="3"/>
      <c r="R268" s="3"/>
      <c r="S268" s="3"/>
      <c r="T268" s="3"/>
      <c r="U268" s="3"/>
      <c r="V268" s="3"/>
      <c r="W268" s="3"/>
      <c r="X268" s="3"/>
      <c r="Y268" s="3"/>
      <c r="Z268" s="3"/>
    </row>
    <row r="269" spans="1:26" ht="22.5" customHeight="1" x14ac:dyDescent="0.85">
      <c r="A269" s="166"/>
      <c r="B269" s="167"/>
      <c r="C269" s="167"/>
      <c r="D269" s="147"/>
      <c r="E269" s="147"/>
      <c r="F269" s="147"/>
      <c r="G269" s="147"/>
      <c r="H269" s="147"/>
      <c r="I269" s="147"/>
      <c r="J269" s="147"/>
      <c r="K269" s="3"/>
      <c r="L269" s="3"/>
      <c r="M269" s="3"/>
      <c r="N269" s="3"/>
      <c r="O269" s="3"/>
      <c r="P269" s="3"/>
      <c r="Q269" s="3"/>
      <c r="R269" s="3"/>
      <c r="S269" s="3"/>
      <c r="T269" s="3"/>
      <c r="U269" s="3"/>
      <c r="V269" s="3"/>
      <c r="W269" s="3"/>
      <c r="X269" s="3"/>
      <c r="Y269" s="3"/>
      <c r="Z269" s="3"/>
    </row>
    <row r="270" spans="1:26" ht="22.5" customHeight="1" x14ac:dyDescent="0.85">
      <c r="A270" s="166"/>
      <c r="B270" s="167"/>
      <c r="C270" s="167"/>
      <c r="D270" s="147"/>
      <c r="E270" s="147"/>
      <c r="F270" s="147"/>
      <c r="G270" s="147"/>
      <c r="H270" s="147"/>
      <c r="I270" s="147"/>
      <c r="J270" s="147"/>
      <c r="K270" s="3"/>
      <c r="L270" s="3"/>
      <c r="M270" s="3"/>
      <c r="N270" s="3"/>
      <c r="O270" s="3"/>
      <c r="P270" s="3"/>
      <c r="Q270" s="3"/>
      <c r="R270" s="3"/>
      <c r="S270" s="3"/>
      <c r="T270" s="3"/>
      <c r="U270" s="3"/>
      <c r="V270" s="3"/>
      <c r="W270" s="3"/>
      <c r="X270" s="3"/>
      <c r="Y270" s="3"/>
      <c r="Z270" s="3"/>
    </row>
    <row r="271" spans="1:26" ht="22.5" customHeight="1" x14ac:dyDescent="0.85">
      <c r="A271" s="166"/>
      <c r="B271" s="167"/>
      <c r="C271" s="167"/>
      <c r="D271" s="147"/>
      <c r="E271" s="147"/>
      <c r="F271" s="147"/>
      <c r="G271" s="147"/>
      <c r="H271" s="147"/>
      <c r="I271" s="147"/>
      <c r="J271" s="147"/>
      <c r="K271" s="3"/>
      <c r="L271" s="3"/>
      <c r="M271" s="3"/>
      <c r="N271" s="3"/>
      <c r="O271" s="3"/>
      <c r="P271" s="3"/>
      <c r="Q271" s="3"/>
      <c r="R271" s="3"/>
      <c r="S271" s="3"/>
      <c r="T271" s="3"/>
      <c r="U271" s="3"/>
      <c r="V271" s="3"/>
      <c r="W271" s="3"/>
      <c r="X271" s="3"/>
      <c r="Y271" s="3"/>
      <c r="Z271" s="3"/>
    </row>
    <row r="272" spans="1:26" ht="22.5" customHeight="1" x14ac:dyDescent="0.85">
      <c r="A272" s="166"/>
      <c r="B272" s="167"/>
      <c r="C272" s="167"/>
      <c r="D272" s="147"/>
      <c r="E272" s="147"/>
      <c r="F272" s="147"/>
      <c r="G272" s="147"/>
      <c r="H272" s="147"/>
      <c r="I272" s="147"/>
      <c r="J272" s="147"/>
      <c r="K272" s="3"/>
      <c r="L272" s="3"/>
      <c r="M272" s="3"/>
      <c r="N272" s="3"/>
      <c r="O272" s="3"/>
      <c r="P272" s="3"/>
      <c r="Q272" s="3"/>
      <c r="R272" s="3"/>
      <c r="S272" s="3"/>
      <c r="T272" s="3"/>
      <c r="U272" s="3"/>
      <c r="V272" s="3"/>
      <c r="W272" s="3"/>
      <c r="X272" s="3"/>
      <c r="Y272" s="3"/>
      <c r="Z272" s="3"/>
    </row>
    <row r="273" spans="1:26" ht="22.5" customHeight="1" x14ac:dyDescent="0.85">
      <c r="A273" s="166"/>
      <c r="B273" s="167"/>
      <c r="C273" s="167"/>
      <c r="D273" s="147"/>
      <c r="E273" s="147"/>
      <c r="F273" s="147"/>
      <c r="G273" s="147"/>
      <c r="H273" s="147"/>
      <c r="I273" s="147"/>
      <c r="J273" s="147"/>
      <c r="K273" s="3"/>
      <c r="L273" s="3"/>
      <c r="M273" s="3"/>
      <c r="N273" s="3"/>
      <c r="O273" s="3"/>
      <c r="P273" s="3"/>
      <c r="Q273" s="3"/>
      <c r="R273" s="3"/>
      <c r="S273" s="3"/>
      <c r="T273" s="3"/>
      <c r="U273" s="3"/>
      <c r="V273" s="3"/>
      <c r="W273" s="3"/>
      <c r="X273" s="3"/>
      <c r="Y273" s="3"/>
      <c r="Z273" s="3"/>
    </row>
    <row r="274" spans="1:26" ht="22.5" customHeight="1" x14ac:dyDescent="0.85">
      <c r="A274" s="166"/>
      <c r="B274" s="167"/>
      <c r="C274" s="167"/>
      <c r="D274" s="147"/>
      <c r="E274" s="147"/>
      <c r="F274" s="147"/>
      <c r="G274" s="147"/>
      <c r="H274" s="147"/>
      <c r="I274" s="147"/>
      <c r="J274" s="147"/>
      <c r="K274" s="3"/>
      <c r="L274" s="3"/>
      <c r="M274" s="3"/>
      <c r="N274" s="3"/>
      <c r="O274" s="3"/>
      <c r="P274" s="3"/>
      <c r="Q274" s="3"/>
      <c r="R274" s="3"/>
      <c r="S274" s="3"/>
      <c r="T274" s="3"/>
      <c r="U274" s="3"/>
      <c r="V274" s="3"/>
      <c r="W274" s="3"/>
      <c r="X274" s="3"/>
      <c r="Y274" s="3"/>
      <c r="Z274" s="3"/>
    </row>
    <row r="275" spans="1:26" ht="22.5" customHeight="1" x14ac:dyDescent="0.85">
      <c r="A275" s="166"/>
      <c r="B275" s="167"/>
      <c r="C275" s="167"/>
      <c r="D275" s="147"/>
      <c r="E275" s="147"/>
      <c r="F275" s="147"/>
      <c r="G275" s="147"/>
      <c r="H275" s="147"/>
      <c r="I275" s="147"/>
      <c r="J275" s="147"/>
      <c r="K275" s="3"/>
      <c r="L275" s="3"/>
      <c r="M275" s="3"/>
      <c r="N275" s="3"/>
      <c r="O275" s="3"/>
      <c r="P275" s="3"/>
      <c r="Q275" s="3"/>
      <c r="R275" s="3"/>
      <c r="S275" s="3"/>
      <c r="T275" s="3"/>
      <c r="U275" s="3"/>
      <c r="V275" s="3"/>
      <c r="W275" s="3"/>
      <c r="X275" s="3"/>
      <c r="Y275" s="3"/>
      <c r="Z275" s="3"/>
    </row>
    <row r="276" spans="1:26" ht="22.5" customHeight="1" x14ac:dyDescent="0.85">
      <c r="A276" s="166"/>
      <c r="B276" s="167"/>
      <c r="C276" s="167"/>
      <c r="D276" s="147"/>
      <c r="E276" s="147"/>
      <c r="F276" s="147"/>
      <c r="G276" s="147"/>
      <c r="H276" s="147"/>
      <c r="I276" s="147"/>
      <c r="J276" s="147"/>
      <c r="K276" s="3"/>
      <c r="L276" s="3"/>
      <c r="M276" s="3"/>
      <c r="N276" s="3"/>
      <c r="O276" s="3"/>
      <c r="P276" s="3"/>
      <c r="Q276" s="3"/>
      <c r="R276" s="3"/>
      <c r="S276" s="3"/>
      <c r="T276" s="3"/>
      <c r="U276" s="3"/>
      <c r="V276" s="3"/>
      <c r="W276" s="3"/>
      <c r="X276" s="3"/>
      <c r="Y276" s="3"/>
      <c r="Z276" s="3"/>
    </row>
    <row r="277" spans="1:26" ht="22.5" customHeight="1" x14ac:dyDescent="0.85">
      <c r="A277" s="166"/>
      <c r="B277" s="167"/>
      <c r="C277" s="167"/>
      <c r="D277" s="147"/>
      <c r="E277" s="147"/>
      <c r="F277" s="147"/>
      <c r="G277" s="147"/>
      <c r="H277" s="147"/>
      <c r="I277" s="147"/>
      <c r="J277" s="147"/>
      <c r="K277" s="3"/>
      <c r="L277" s="3"/>
      <c r="M277" s="3"/>
      <c r="N277" s="3"/>
      <c r="O277" s="3"/>
      <c r="P277" s="3"/>
      <c r="Q277" s="3"/>
      <c r="R277" s="3"/>
      <c r="S277" s="3"/>
      <c r="T277" s="3"/>
      <c r="U277" s="3"/>
      <c r="V277" s="3"/>
      <c r="W277" s="3"/>
      <c r="X277" s="3"/>
      <c r="Y277" s="3"/>
      <c r="Z277" s="3"/>
    </row>
    <row r="278" spans="1:26" ht="22.5" customHeight="1" x14ac:dyDescent="0.85">
      <c r="A278" s="166"/>
      <c r="B278" s="167"/>
      <c r="C278" s="167"/>
      <c r="D278" s="147"/>
      <c r="E278" s="147"/>
      <c r="F278" s="147"/>
      <c r="G278" s="147"/>
      <c r="H278" s="147"/>
      <c r="I278" s="147"/>
      <c r="J278" s="147"/>
      <c r="K278" s="3"/>
      <c r="L278" s="3"/>
      <c r="M278" s="3"/>
      <c r="N278" s="3"/>
      <c r="O278" s="3"/>
      <c r="P278" s="3"/>
      <c r="Q278" s="3"/>
      <c r="R278" s="3"/>
      <c r="S278" s="3"/>
      <c r="T278" s="3"/>
      <c r="U278" s="3"/>
      <c r="V278" s="3"/>
      <c r="W278" s="3"/>
      <c r="X278" s="3"/>
      <c r="Y278" s="3"/>
      <c r="Z278" s="3"/>
    </row>
    <row r="279" spans="1:26" ht="22.5" customHeight="1" x14ac:dyDescent="0.85">
      <c r="A279" s="166"/>
      <c r="B279" s="167"/>
      <c r="C279" s="167"/>
      <c r="D279" s="147"/>
      <c r="E279" s="147"/>
      <c r="F279" s="147"/>
      <c r="G279" s="147"/>
      <c r="H279" s="147"/>
      <c r="I279" s="147"/>
      <c r="J279" s="147"/>
      <c r="K279" s="3"/>
      <c r="L279" s="3"/>
      <c r="M279" s="3"/>
      <c r="N279" s="3"/>
      <c r="O279" s="3"/>
      <c r="P279" s="3"/>
      <c r="Q279" s="3"/>
      <c r="R279" s="3"/>
      <c r="S279" s="3"/>
      <c r="T279" s="3"/>
      <c r="U279" s="3"/>
      <c r="V279" s="3"/>
      <c r="W279" s="3"/>
      <c r="X279" s="3"/>
      <c r="Y279" s="3"/>
      <c r="Z279" s="3"/>
    </row>
    <row r="280" spans="1:26" ht="22.5" customHeight="1" x14ac:dyDescent="0.85">
      <c r="A280" s="166"/>
      <c r="B280" s="167"/>
      <c r="C280" s="167"/>
      <c r="D280" s="147"/>
      <c r="E280" s="147"/>
      <c r="F280" s="147"/>
      <c r="G280" s="147"/>
      <c r="H280" s="147"/>
      <c r="I280" s="147"/>
      <c r="J280" s="147"/>
      <c r="K280" s="3"/>
      <c r="L280" s="3"/>
      <c r="M280" s="3"/>
      <c r="N280" s="3"/>
      <c r="O280" s="3"/>
      <c r="P280" s="3"/>
      <c r="Q280" s="3"/>
      <c r="R280" s="3"/>
      <c r="S280" s="3"/>
      <c r="T280" s="3"/>
      <c r="U280" s="3"/>
      <c r="V280" s="3"/>
      <c r="W280" s="3"/>
      <c r="X280" s="3"/>
      <c r="Y280" s="3"/>
      <c r="Z280" s="3"/>
    </row>
    <row r="281" spans="1:26" ht="22.5" customHeight="1" x14ac:dyDescent="0.85">
      <c r="A281" s="166"/>
      <c r="B281" s="167"/>
      <c r="C281" s="167"/>
      <c r="D281" s="147"/>
      <c r="E281" s="147"/>
      <c r="F281" s="147"/>
      <c r="G281" s="147"/>
      <c r="H281" s="147"/>
      <c r="I281" s="147"/>
      <c r="J281" s="147"/>
      <c r="K281" s="3"/>
      <c r="L281" s="3"/>
      <c r="M281" s="3"/>
      <c r="N281" s="3"/>
      <c r="O281" s="3"/>
      <c r="P281" s="3"/>
      <c r="Q281" s="3"/>
      <c r="R281" s="3"/>
      <c r="S281" s="3"/>
      <c r="T281" s="3"/>
      <c r="U281" s="3"/>
      <c r="V281" s="3"/>
      <c r="W281" s="3"/>
      <c r="X281" s="3"/>
      <c r="Y281" s="3"/>
      <c r="Z281" s="3"/>
    </row>
    <row r="282" spans="1:26" ht="22.5" customHeight="1" x14ac:dyDescent="0.85">
      <c r="A282" s="166"/>
      <c r="B282" s="167"/>
      <c r="C282" s="167"/>
      <c r="D282" s="147"/>
      <c r="E282" s="147"/>
      <c r="F282" s="147"/>
      <c r="G282" s="147"/>
      <c r="H282" s="147"/>
      <c r="I282" s="147"/>
      <c r="J282" s="147"/>
      <c r="K282" s="3"/>
      <c r="L282" s="3"/>
      <c r="M282" s="3"/>
      <c r="N282" s="3"/>
      <c r="O282" s="3"/>
      <c r="P282" s="3"/>
      <c r="Q282" s="3"/>
      <c r="R282" s="3"/>
      <c r="S282" s="3"/>
      <c r="T282" s="3"/>
      <c r="U282" s="3"/>
      <c r="V282" s="3"/>
      <c r="W282" s="3"/>
      <c r="X282" s="3"/>
      <c r="Y282" s="3"/>
      <c r="Z282" s="3"/>
    </row>
    <row r="283" spans="1:26" ht="22.5" customHeight="1" x14ac:dyDescent="0.85">
      <c r="A283" s="166"/>
      <c r="B283" s="167"/>
      <c r="C283" s="167"/>
      <c r="D283" s="147"/>
      <c r="E283" s="147"/>
      <c r="F283" s="147"/>
      <c r="G283" s="147"/>
      <c r="H283" s="147"/>
      <c r="I283" s="147"/>
      <c r="J283" s="147"/>
      <c r="K283" s="3"/>
      <c r="L283" s="3"/>
      <c r="M283" s="3"/>
      <c r="N283" s="3"/>
      <c r="O283" s="3"/>
      <c r="P283" s="3"/>
      <c r="Q283" s="3"/>
      <c r="R283" s="3"/>
      <c r="S283" s="3"/>
      <c r="T283" s="3"/>
      <c r="U283" s="3"/>
      <c r="V283" s="3"/>
      <c r="W283" s="3"/>
      <c r="X283" s="3"/>
      <c r="Y283" s="3"/>
      <c r="Z283" s="3"/>
    </row>
    <row r="284" spans="1:26" ht="22.5" customHeight="1" x14ac:dyDescent="0.85">
      <c r="A284" s="166"/>
      <c r="B284" s="167"/>
      <c r="C284" s="167"/>
      <c r="D284" s="147"/>
      <c r="E284" s="147"/>
      <c r="F284" s="147"/>
      <c r="G284" s="147"/>
      <c r="H284" s="147"/>
      <c r="I284" s="147"/>
      <c r="J284" s="147"/>
      <c r="K284" s="3"/>
      <c r="L284" s="3"/>
      <c r="M284" s="3"/>
      <c r="N284" s="3"/>
      <c r="O284" s="3"/>
      <c r="P284" s="3"/>
      <c r="Q284" s="3"/>
      <c r="R284" s="3"/>
      <c r="S284" s="3"/>
      <c r="T284" s="3"/>
      <c r="U284" s="3"/>
      <c r="V284" s="3"/>
      <c r="W284" s="3"/>
      <c r="X284" s="3"/>
      <c r="Y284" s="3"/>
      <c r="Z284" s="3"/>
    </row>
    <row r="285" spans="1:26" ht="22.5" customHeight="1" x14ac:dyDescent="0.85">
      <c r="A285" s="166"/>
      <c r="B285" s="167"/>
      <c r="C285" s="167"/>
      <c r="D285" s="147"/>
      <c r="E285" s="147"/>
      <c r="F285" s="147"/>
      <c r="G285" s="147"/>
      <c r="H285" s="147"/>
      <c r="I285" s="147"/>
      <c r="J285" s="147"/>
      <c r="K285" s="3"/>
      <c r="L285" s="3"/>
      <c r="M285" s="3"/>
      <c r="N285" s="3"/>
      <c r="O285" s="3"/>
      <c r="P285" s="3"/>
      <c r="Q285" s="3"/>
      <c r="R285" s="3"/>
      <c r="S285" s="3"/>
      <c r="T285" s="3"/>
      <c r="U285" s="3"/>
      <c r="V285" s="3"/>
      <c r="W285" s="3"/>
      <c r="X285" s="3"/>
      <c r="Y285" s="3"/>
      <c r="Z285" s="3"/>
    </row>
    <row r="286" spans="1:26" ht="22.5" customHeight="1" x14ac:dyDescent="0.85">
      <c r="A286" s="166"/>
      <c r="B286" s="167"/>
      <c r="C286" s="167"/>
      <c r="D286" s="147"/>
      <c r="E286" s="147"/>
      <c r="F286" s="147"/>
      <c r="G286" s="147"/>
      <c r="H286" s="147"/>
      <c r="I286" s="147"/>
      <c r="J286" s="147"/>
      <c r="K286" s="3"/>
      <c r="L286" s="3"/>
      <c r="M286" s="3"/>
      <c r="N286" s="3"/>
      <c r="O286" s="3"/>
      <c r="P286" s="3"/>
      <c r="Q286" s="3"/>
      <c r="R286" s="3"/>
      <c r="S286" s="3"/>
      <c r="T286" s="3"/>
      <c r="U286" s="3"/>
      <c r="V286" s="3"/>
      <c r="W286" s="3"/>
      <c r="X286" s="3"/>
      <c r="Y286" s="3"/>
      <c r="Z286" s="3"/>
    </row>
    <row r="287" spans="1:26" ht="22.5" customHeight="1" x14ac:dyDescent="0.85">
      <c r="A287" s="166"/>
      <c r="B287" s="167"/>
      <c r="C287" s="167"/>
      <c r="D287" s="147"/>
      <c r="E287" s="147"/>
      <c r="F287" s="147"/>
      <c r="G287" s="147"/>
      <c r="H287" s="147"/>
      <c r="I287" s="147"/>
      <c r="J287" s="147"/>
      <c r="K287" s="3"/>
      <c r="L287" s="3"/>
      <c r="M287" s="3"/>
      <c r="N287" s="3"/>
      <c r="O287" s="3"/>
      <c r="P287" s="3"/>
      <c r="Q287" s="3"/>
      <c r="R287" s="3"/>
      <c r="S287" s="3"/>
      <c r="T287" s="3"/>
      <c r="U287" s="3"/>
      <c r="V287" s="3"/>
      <c r="W287" s="3"/>
      <c r="X287" s="3"/>
      <c r="Y287" s="3"/>
      <c r="Z287" s="3"/>
    </row>
    <row r="288" spans="1:26" ht="22.5" customHeight="1" x14ac:dyDescent="0.85">
      <c r="A288" s="166"/>
      <c r="B288" s="167"/>
      <c r="C288" s="167"/>
      <c r="D288" s="147"/>
      <c r="E288" s="147"/>
      <c r="F288" s="147"/>
      <c r="G288" s="147"/>
      <c r="H288" s="147"/>
      <c r="I288" s="147"/>
      <c r="J288" s="147"/>
      <c r="K288" s="3"/>
      <c r="L288" s="3"/>
      <c r="M288" s="3"/>
      <c r="N288" s="3"/>
      <c r="O288" s="3"/>
      <c r="P288" s="3"/>
      <c r="Q288" s="3"/>
      <c r="R288" s="3"/>
      <c r="S288" s="3"/>
      <c r="T288" s="3"/>
      <c r="U288" s="3"/>
      <c r="V288" s="3"/>
      <c r="W288" s="3"/>
      <c r="X288" s="3"/>
      <c r="Y288" s="3"/>
      <c r="Z288" s="3"/>
    </row>
    <row r="289" spans="1:26" ht="22.5" customHeight="1" x14ac:dyDescent="0.85">
      <c r="A289" s="166"/>
      <c r="B289" s="167"/>
      <c r="C289" s="167"/>
      <c r="D289" s="147"/>
      <c r="E289" s="147"/>
      <c r="F289" s="147"/>
      <c r="G289" s="147"/>
      <c r="H289" s="147"/>
      <c r="I289" s="147"/>
      <c r="J289" s="147"/>
      <c r="K289" s="3"/>
      <c r="L289" s="3"/>
      <c r="M289" s="3"/>
      <c r="N289" s="3"/>
      <c r="O289" s="3"/>
      <c r="P289" s="3"/>
      <c r="Q289" s="3"/>
      <c r="R289" s="3"/>
      <c r="S289" s="3"/>
      <c r="T289" s="3"/>
      <c r="U289" s="3"/>
      <c r="V289" s="3"/>
      <c r="W289" s="3"/>
      <c r="X289" s="3"/>
      <c r="Y289" s="3"/>
      <c r="Z289" s="3"/>
    </row>
    <row r="290" spans="1:26" ht="22.5" customHeight="1" x14ac:dyDescent="0.85">
      <c r="A290" s="166"/>
      <c r="B290" s="167"/>
      <c r="C290" s="167"/>
      <c r="D290" s="147"/>
      <c r="E290" s="147"/>
      <c r="F290" s="147"/>
      <c r="G290" s="147"/>
      <c r="H290" s="147"/>
      <c r="I290" s="147"/>
      <c r="J290" s="147"/>
      <c r="K290" s="3"/>
      <c r="L290" s="3"/>
      <c r="M290" s="3"/>
      <c r="N290" s="3"/>
      <c r="O290" s="3"/>
      <c r="P290" s="3"/>
      <c r="Q290" s="3"/>
      <c r="R290" s="3"/>
      <c r="S290" s="3"/>
      <c r="T290" s="3"/>
      <c r="U290" s="3"/>
      <c r="V290" s="3"/>
      <c r="W290" s="3"/>
      <c r="X290" s="3"/>
      <c r="Y290" s="3"/>
      <c r="Z290" s="3"/>
    </row>
    <row r="291" spans="1:26" ht="22.5" customHeight="1" x14ac:dyDescent="0.85">
      <c r="A291" s="166"/>
      <c r="B291" s="167"/>
      <c r="C291" s="167"/>
      <c r="D291" s="147"/>
      <c r="E291" s="147"/>
      <c r="F291" s="147"/>
      <c r="G291" s="147"/>
      <c r="H291" s="147"/>
      <c r="I291" s="147"/>
      <c r="J291" s="147"/>
      <c r="K291" s="3"/>
      <c r="L291" s="3"/>
      <c r="M291" s="3"/>
      <c r="N291" s="3"/>
      <c r="O291" s="3"/>
      <c r="P291" s="3"/>
      <c r="Q291" s="3"/>
      <c r="R291" s="3"/>
      <c r="S291" s="3"/>
      <c r="T291" s="3"/>
      <c r="U291" s="3"/>
      <c r="V291" s="3"/>
      <c r="W291" s="3"/>
      <c r="X291" s="3"/>
      <c r="Y291" s="3"/>
      <c r="Z291" s="3"/>
    </row>
    <row r="292" spans="1:26" ht="22.5" customHeight="1" x14ac:dyDescent="0.85">
      <c r="A292" s="166"/>
      <c r="B292" s="167"/>
      <c r="C292" s="167"/>
      <c r="D292" s="147"/>
      <c r="E292" s="147"/>
      <c r="F292" s="147"/>
      <c r="G292" s="147"/>
      <c r="H292" s="147"/>
      <c r="I292" s="147"/>
      <c r="J292" s="147"/>
      <c r="K292" s="3"/>
      <c r="L292" s="3"/>
      <c r="M292" s="3"/>
      <c r="N292" s="3"/>
      <c r="O292" s="3"/>
      <c r="P292" s="3"/>
      <c r="Q292" s="3"/>
      <c r="R292" s="3"/>
      <c r="S292" s="3"/>
      <c r="T292" s="3"/>
      <c r="U292" s="3"/>
      <c r="V292" s="3"/>
      <c r="W292" s="3"/>
      <c r="X292" s="3"/>
      <c r="Y292" s="3"/>
      <c r="Z292" s="3"/>
    </row>
    <row r="293" spans="1:26" ht="22.5" customHeight="1" x14ac:dyDescent="0.85">
      <c r="A293" s="166"/>
      <c r="B293" s="167"/>
      <c r="C293" s="167"/>
      <c r="D293" s="147"/>
      <c r="E293" s="147"/>
      <c r="F293" s="147"/>
      <c r="G293" s="147"/>
      <c r="H293" s="147"/>
      <c r="I293" s="147"/>
      <c r="J293" s="147"/>
      <c r="K293" s="3"/>
      <c r="L293" s="3"/>
      <c r="M293" s="3"/>
      <c r="N293" s="3"/>
      <c r="O293" s="3"/>
      <c r="P293" s="3"/>
      <c r="Q293" s="3"/>
      <c r="R293" s="3"/>
      <c r="S293" s="3"/>
      <c r="T293" s="3"/>
      <c r="U293" s="3"/>
      <c r="V293" s="3"/>
      <c r="W293" s="3"/>
      <c r="X293" s="3"/>
      <c r="Y293" s="3"/>
      <c r="Z293" s="3"/>
    </row>
    <row r="294" spans="1:26" ht="22.5" customHeight="1" x14ac:dyDescent="0.85">
      <c r="A294" s="166"/>
      <c r="B294" s="167"/>
      <c r="C294" s="167"/>
      <c r="D294" s="147"/>
      <c r="E294" s="147"/>
      <c r="F294" s="147"/>
      <c r="G294" s="147"/>
      <c r="H294" s="147"/>
      <c r="I294" s="147"/>
      <c r="J294" s="147"/>
      <c r="K294" s="3"/>
      <c r="L294" s="3"/>
      <c r="M294" s="3"/>
      <c r="N294" s="3"/>
      <c r="O294" s="3"/>
      <c r="P294" s="3"/>
      <c r="Q294" s="3"/>
      <c r="R294" s="3"/>
      <c r="S294" s="3"/>
      <c r="T294" s="3"/>
      <c r="U294" s="3"/>
      <c r="V294" s="3"/>
      <c r="W294" s="3"/>
      <c r="X294" s="3"/>
      <c r="Y294" s="3"/>
      <c r="Z294" s="3"/>
    </row>
    <row r="295" spans="1:26" ht="22.5" customHeight="1" x14ac:dyDescent="0.85">
      <c r="A295" s="166"/>
      <c r="B295" s="167"/>
      <c r="C295" s="167"/>
      <c r="D295" s="147"/>
      <c r="E295" s="147"/>
      <c r="F295" s="147"/>
      <c r="G295" s="147"/>
      <c r="H295" s="147"/>
      <c r="I295" s="147"/>
      <c r="J295" s="147"/>
      <c r="K295" s="3"/>
      <c r="L295" s="3"/>
      <c r="M295" s="3"/>
      <c r="N295" s="3"/>
      <c r="O295" s="3"/>
      <c r="P295" s="3"/>
      <c r="Q295" s="3"/>
      <c r="R295" s="3"/>
      <c r="S295" s="3"/>
      <c r="T295" s="3"/>
      <c r="U295" s="3"/>
      <c r="V295" s="3"/>
      <c r="W295" s="3"/>
      <c r="X295" s="3"/>
      <c r="Y295" s="3"/>
      <c r="Z295" s="3"/>
    </row>
    <row r="296" spans="1:26" ht="22.5" customHeight="1" x14ac:dyDescent="0.85">
      <c r="A296" s="166"/>
      <c r="B296" s="167"/>
      <c r="C296" s="167"/>
      <c r="D296" s="147"/>
      <c r="E296" s="147"/>
      <c r="F296" s="147"/>
      <c r="G296" s="147"/>
      <c r="H296" s="147"/>
      <c r="I296" s="147"/>
      <c r="J296" s="147"/>
      <c r="K296" s="3"/>
      <c r="L296" s="3"/>
      <c r="M296" s="3"/>
      <c r="N296" s="3"/>
      <c r="O296" s="3"/>
      <c r="P296" s="3"/>
      <c r="Q296" s="3"/>
      <c r="R296" s="3"/>
      <c r="S296" s="3"/>
      <c r="T296" s="3"/>
      <c r="U296" s="3"/>
      <c r="V296" s="3"/>
      <c r="W296" s="3"/>
      <c r="X296" s="3"/>
      <c r="Y296" s="3"/>
      <c r="Z296" s="3"/>
    </row>
    <row r="297" spans="1:26" ht="22.5" customHeight="1" x14ac:dyDescent="0.85">
      <c r="A297" s="166"/>
      <c r="B297" s="167"/>
      <c r="C297" s="167"/>
      <c r="D297" s="147"/>
      <c r="E297" s="147"/>
      <c r="F297" s="147"/>
      <c r="G297" s="147"/>
      <c r="H297" s="147"/>
      <c r="I297" s="147"/>
      <c r="J297" s="147"/>
      <c r="K297" s="3"/>
      <c r="L297" s="3"/>
      <c r="M297" s="3"/>
      <c r="N297" s="3"/>
      <c r="O297" s="3"/>
      <c r="P297" s="3"/>
      <c r="Q297" s="3"/>
      <c r="R297" s="3"/>
      <c r="S297" s="3"/>
      <c r="T297" s="3"/>
      <c r="U297" s="3"/>
      <c r="V297" s="3"/>
      <c r="W297" s="3"/>
      <c r="X297" s="3"/>
      <c r="Y297" s="3"/>
      <c r="Z297" s="3"/>
    </row>
    <row r="298" spans="1:26" ht="22.5" customHeight="1" x14ac:dyDescent="0.85">
      <c r="A298" s="166"/>
      <c r="B298" s="167"/>
      <c r="C298" s="167"/>
      <c r="D298" s="147"/>
      <c r="E298" s="147"/>
      <c r="F298" s="147"/>
      <c r="G298" s="147"/>
      <c r="H298" s="147"/>
      <c r="I298" s="147"/>
      <c r="J298" s="147"/>
      <c r="K298" s="3"/>
      <c r="L298" s="3"/>
      <c r="M298" s="3"/>
      <c r="N298" s="3"/>
      <c r="O298" s="3"/>
      <c r="P298" s="3"/>
      <c r="Q298" s="3"/>
      <c r="R298" s="3"/>
      <c r="S298" s="3"/>
      <c r="T298" s="3"/>
      <c r="U298" s="3"/>
      <c r="V298" s="3"/>
      <c r="W298" s="3"/>
      <c r="X298" s="3"/>
      <c r="Y298" s="3"/>
      <c r="Z298" s="3"/>
    </row>
    <row r="299" spans="1:26" ht="22.5" customHeight="1" x14ac:dyDescent="0.85">
      <c r="A299" s="166"/>
      <c r="B299" s="167"/>
      <c r="C299" s="167"/>
      <c r="D299" s="147"/>
      <c r="E299" s="147"/>
      <c r="F299" s="147"/>
      <c r="G299" s="147"/>
      <c r="H299" s="147"/>
      <c r="I299" s="147"/>
      <c r="J299" s="147"/>
      <c r="K299" s="3"/>
      <c r="L299" s="3"/>
      <c r="M299" s="3"/>
      <c r="N299" s="3"/>
      <c r="O299" s="3"/>
      <c r="P299" s="3"/>
      <c r="Q299" s="3"/>
      <c r="R299" s="3"/>
      <c r="S299" s="3"/>
      <c r="T299" s="3"/>
      <c r="U299" s="3"/>
      <c r="V299" s="3"/>
      <c r="W299" s="3"/>
      <c r="X299" s="3"/>
      <c r="Y299" s="3"/>
      <c r="Z299" s="3"/>
    </row>
    <row r="300" spans="1:26" ht="22.5" customHeight="1" x14ac:dyDescent="0.85">
      <c r="A300" s="166"/>
      <c r="B300" s="167"/>
      <c r="C300" s="167"/>
      <c r="D300" s="147"/>
      <c r="E300" s="147"/>
      <c r="F300" s="147"/>
      <c r="G300" s="147"/>
      <c r="H300" s="147"/>
      <c r="I300" s="147"/>
      <c r="J300" s="147"/>
      <c r="K300" s="3"/>
      <c r="L300" s="3"/>
      <c r="M300" s="3"/>
      <c r="N300" s="3"/>
      <c r="O300" s="3"/>
      <c r="P300" s="3"/>
      <c r="Q300" s="3"/>
      <c r="R300" s="3"/>
      <c r="S300" s="3"/>
      <c r="T300" s="3"/>
      <c r="U300" s="3"/>
      <c r="V300" s="3"/>
      <c r="W300" s="3"/>
      <c r="X300" s="3"/>
      <c r="Y300" s="3"/>
      <c r="Z300" s="3"/>
    </row>
    <row r="301" spans="1:26" ht="22.5" customHeight="1" x14ac:dyDescent="0.85">
      <c r="A301" s="166"/>
      <c r="B301" s="167"/>
      <c r="C301" s="167"/>
      <c r="D301" s="147"/>
      <c r="E301" s="147"/>
      <c r="F301" s="147"/>
      <c r="G301" s="147"/>
      <c r="H301" s="147"/>
      <c r="I301" s="147"/>
      <c r="J301" s="147"/>
      <c r="K301" s="3"/>
      <c r="L301" s="3"/>
      <c r="M301" s="3"/>
      <c r="N301" s="3"/>
      <c r="O301" s="3"/>
      <c r="P301" s="3"/>
      <c r="Q301" s="3"/>
      <c r="R301" s="3"/>
      <c r="S301" s="3"/>
      <c r="T301" s="3"/>
      <c r="U301" s="3"/>
      <c r="V301" s="3"/>
      <c r="W301" s="3"/>
      <c r="X301" s="3"/>
      <c r="Y301" s="3"/>
      <c r="Z301" s="3"/>
    </row>
    <row r="302" spans="1:26" ht="22.5" customHeight="1" x14ac:dyDescent="0.85">
      <c r="A302" s="166"/>
      <c r="B302" s="167"/>
      <c r="C302" s="167"/>
      <c r="D302" s="147"/>
      <c r="E302" s="147"/>
      <c r="F302" s="147"/>
      <c r="G302" s="147"/>
      <c r="H302" s="147"/>
      <c r="I302" s="147"/>
      <c r="J302" s="147"/>
      <c r="K302" s="3"/>
      <c r="L302" s="3"/>
      <c r="M302" s="3"/>
      <c r="N302" s="3"/>
      <c r="O302" s="3"/>
      <c r="P302" s="3"/>
      <c r="Q302" s="3"/>
      <c r="R302" s="3"/>
      <c r="S302" s="3"/>
      <c r="T302" s="3"/>
      <c r="U302" s="3"/>
      <c r="V302" s="3"/>
      <c r="W302" s="3"/>
      <c r="X302" s="3"/>
      <c r="Y302" s="3"/>
      <c r="Z302" s="3"/>
    </row>
    <row r="303" spans="1:26" ht="22.5" customHeight="1" x14ac:dyDescent="0.85">
      <c r="A303" s="166"/>
      <c r="B303" s="167"/>
      <c r="C303" s="167"/>
      <c r="D303" s="147"/>
      <c r="E303" s="147"/>
      <c r="F303" s="147"/>
      <c r="G303" s="147"/>
      <c r="H303" s="147"/>
      <c r="I303" s="147"/>
      <c r="J303" s="147"/>
      <c r="K303" s="3"/>
      <c r="L303" s="3"/>
      <c r="M303" s="3"/>
      <c r="N303" s="3"/>
      <c r="O303" s="3"/>
      <c r="P303" s="3"/>
      <c r="Q303" s="3"/>
      <c r="R303" s="3"/>
      <c r="S303" s="3"/>
      <c r="T303" s="3"/>
      <c r="U303" s="3"/>
      <c r="V303" s="3"/>
      <c r="W303" s="3"/>
      <c r="X303" s="3"/>
      <c r="Y303" s="3"/>
      <c r="Z303" s="3"/>
    </row>
    <row r="304" spans="1:26" ht="22.5" customHeight="1" x14ac:dyDescent="0.85">
      <c r="A304" s="166"/>
      <c r="B304" s="167"/>
      <c r="C304" s="167"/>
      <c r="D304" s="147"/>
      <c r="E304" s="147"/>
      <c r="F304" s="147"/>
      <c r="G304" s="147"/>
      <c r="H304" s="147"/>
      <c r="I304" s="147"/>
      <c r="J304" s="147"/>
      <c r="K304" s="3"/>
      <c r="L304" s="3"/>
      <c r="M304" s="3"/>
      <c r="N304" s="3"/>
      <c r="O304" s="3"/>
      <c r="P304" s="3"/>
      <c r="Q304" s="3"/>
      <c r="R304" s="3"/>
      <c r="S304" s="3"/>
      <c r="T304" s="3"/>
      <c r="U304" s="3"/>
      <c r="V304" s="3"/>
      <c r="W304" s="3"/>
      <c r="X304" s="3"/>
      <c r="Y304" s="3"/>
      <c r="Z304" s="3"/>
    </row>
    <row r="305" spans="1:26" ht="22.5" customHeight="1" x14ac:dyDescent="0.85">
      <c r="A305" s="166"/>
      <c r="B305" s="167"/>
      <c r="C305" s="167"/>
      <c r="D305" s="147"/>
      <c r="E305" s="147"/>
      <c r="F305" s="147"/>
      <c r="G305" s="147"/>
      <c r="H305" s="147"/>
      <c r="I305" s="147"/>
      <c r="J305" s="147"/>
      <c r="K305" s="3"/>
      <c r="L305" s="3"/>
      <c r="M305" s="3"/>
      <c r="N305" s="3"/>
      <c r="O305" s="3"/>
      <c r="P305" s="3"/>
      <c r="Q305" s="3"/>
      <c r="R305" s="3"/>
      <c r="S305" s="3"/>
      <c r="T305" s="3"/>
      <c r="U305" s="3"/>
      <c r="V305" s="3"/>
      <c r="W305" s="3"/>
      <c r="X305" s="3"/>
      <c r="Y305" s="3"/>
      <c r="Z305" s="3"/>
    </row>
    <row r="306" spans="1:26" ht="22.5" customHeight="1" x14ac:dyDescent="0.85">
      <c r="A306" s="166"/>
      <c r="B306" s="167"/>
      <c r="C306" s="167"/>
      <c r="D306" s="147"/>
      <c r="E306" s="147"/>
      <c r="F306" s="147"/>
      <c r="G306" s="147"/>
      <c r="H306" s="147"/>
      <c r="I306" s="147"/>
      <c r="J306" s="147"/>
      <c r="K306" s="3"/>
      <c r="L306" s="3"/>
      <c r="M306" s="3"/>
      <c r="N306" s="3"/>
      <c r="O306" s="3"/>
      <c r="P306" s="3"/>
      <c r="Q306" s="3"/>
      <c r="R306" s="3"/>
      <c r="S306" s="3"/>
      <c r="T306" s="3"/>
      <c r="U306" s="3"/>
      <c r="V306" s="3"/>
      <c r="W306" s="3"/>
      <c r="X306" s="3"/>
      <c r="Y306" s="3"/>
      <c r="Z306" s="3"/>
    </row>
    <row r="307" spans="1:26" ht="22.5" customHeight="1" x14ac:dyDescent="0.85">
      <c r="A307" s="166"/>
      <c r="B307" s="167"/>
      <c r="C307" s="167"/>
      <c r="D307" s="147"/>
      <c r="E307" s="147"/>
      <c r="F307" s="147"/>
      <c r="G307" s="147"/>
      <c r="H307" s="147"/>
      <c r="I307" s="147"/>
      <c r="J307" s="147"/>
      <c r="K307" s="3"/>
      <c r="L307" s="3"/>
      <c r="M307" s="3"/>
      <c r="N307" s="3"/>
      <c r="O307" s="3"/>
      <c r="P307" s="3"/>
      <c r="Q307" s="3"/>
      <c r="R307" s="3"/>
      <c r="S307" s="3"/>
      <c r="T307" s="3"/>
      <c r="U307" s="3"/>
      <c r="V307" s="3"/>
      <c r="W307" s="3"/>
      <c r="X307" s="3"/>
      <c r="Y307" s="3"/>
      <c r="Z307" s="3"/>
    </row>
    <row r="308" spans="1:26" ht="22.5" customHeight="1" x14ac:dyDescent="0.85">
      <c r="A308" s="166"/>
      <c r="B308" s="167"/>
      <c r="C308" s="167"/>
      <c r="D308" s="147"/>
      <c r="E308" s="147"/>
      <c r="F308" s="147"/>
      <c r="G308" s="147"/>
      <c r="H308" s="147"/>
      <c r="I308" s="147"/>
      <c r="J308" s="147"/>
      <c r="K308" s="3"/>
      <c r="L308" s="3"/>
      <c r="M308" s="3"/>
      <c r="N308" s="3"/>
      <c r="O308" s="3"/>
      <c r="P308" s="3"/>
      <c r="Q308" s="3"/>
      <c r="R308" s="3"/>
      <c r="S308" s="3"/>
      <c r="T308" s="3"/>
      <c r="U308" s="3"/>
      <c r="V308" s="3"/>
      <c r="W308" s="3"/>
      <c r="X308" s="3"/>
      <c r="Y308" s="3"/>
      <c r="Z308" s="3"/>
    </row>
    <row r="309" spans="1:26" ht="22.5" customHeight="1" x14ac:dyDescent="0.85">
      <c r="A309" s="166"/>
      <c r="B309" s="167"/>
      <c r="C309" s="167"/>
      <c r="D309" s="147"/>
      <c r="E309" s="147"/>
      <c r="F309" s="147"/>
      <c r="G309" s="147"/>
      <c r="H309" s="147"/>
      <c r="I309" s="147"/>
      <c r="J309" s="147"/>
      <c r="K309" s="3"/>
      <c r="L309" s="3"/>
      <c r="M309" s="3"/>
      <c r="N309" s="3"/>
      <c r="O309" s="3"/>
      <c r="P309" s="3"/>
      <c r="Q309" s="3"/>
      <c r="R309" s="3"/>
      <c r="S309" s="3"/>
      <c r="T309" s="3"/>
      <c r="U309" s="3"/>
      <c r="V309" s="3"/>
      <c r="W309" s="3"/>
      <c r="X309" s="3"/>
      <c r="Y309" s="3"/>
      <c r="Z309" s="3"/>
    </row>
    <row r="310" spans="1:26" ht="22.5" customHeight="1" x14ac:dyDescent="0.85">
      <c r="A310" s="166"/>
      <c r="B310" s="167"/>
      <c r="C310" s="167"/>
      <c r="D310" s="147"/>
      <c r="E310" s="147"/>
      <c r="F310" s="147"/>
      <c r="G310" s="147"/>
      <c r="H310" s="147"/>
      <c r="I310" s="147"/>
      <c r="J310" s="147"/>
      <c r="K310" s="3"/>
      <c r="L310" s="3"/>
      <c r="M310" s="3"/>
      <c r="N310" s="3"/>
      <c r="O310" s="3"/>
      <c r="P310" s="3"/>
      <c r="Q310" s="3"/>
      <c r="R310" s="3"/>
      <c r="S310" s="3"/>
      <c r="T310" s="3"/>
      <c r="U310" s="3"/>
      <c r="V310" s="3"/>
      <c r="W310" s="3"/>
      <c r="X310" s="3"/>
      <c r="Y310" s="3"/>
      <c r="Z310" s="3"/>
    </row>
    <row r="311" spans="1:26" ht="22.5" customHeight="1" x14ac:dyDescent="0.85">
      <c r="A311" s="166"/>
      <c r="B311" s="167"/>
      <c r="C311" s="167"/>
      <c r="D311" s="147"/>
      <c r="E311" s="147"/>
      <c r="F311" s="147"/>
      <c r="G311" s="147"/>
      <c r="H311" s="147"/>
      <c r="I311" s="147"/>
      <c r="J311" s="147"/>
      <c r="K311" s="3"/>
      <c r="L311" s="3"/>
      <c r="M311" s="3"/>
      <c r="N311" s="3"/>
      <c r="O311" s="3"/>
      <c r="P311" s="3"/>
      <c r="Q311" s="3"/>
      <c r="R311" s="3"/>
      <c r="S311" s="3"/>
      <c r="T311" s="3"/>
      <c r="U311" s="3"/>
      <c r="V311" s="3"/>
      <c r="W311" s="3"/>
      <c r="X311" s="3"/>
      <c r="Y311" s="3"/>
      <c r="Z311" s="3"/>
    </row>
    <row r="312" spans="1:26" ht="22.5" customHeight="1" x14ac:dyDescent="0.85">
      <c r="A312" s="166"/>
      <c r="B312" s="167"/>
      <c r="C312" s="167"/>
      <c r="D312" s="147"/>
      <c r="E312" s="147"/>
      <c r="F312" s="147"/>
      <c r="G312" s="147"/>
      <c r="H312" s="147"/>
      <c r="I312" s="147"/>
      <c r="J312" s="147"/>
      <c r="K312" s="3"/>
      <c r="L312" s="3"/>
      <c r="M312" s="3"/>
      <c r="N312" s="3"/>
      <c r="O312" s="3"/>
      <c r="P312" s="3"/>
      <c r="Q312" s="3"/>
      <c r="R312" s="3"/>
      <c r="S312" s="3"/>
      <c r="T312" s="3"/>
      <c r="U312" s="3"/>
      <c r="V312" s="3"/>
      <c r="W312" s="3"/>
      <c r="X312" s="3"/>
      <c r="Y312" s="3"/>
      <c r="Z312" s="3"/>
    </row>
    <row r="313" spans="1:26" ht="22.5" customHeight="1" x14ac:dyDescent="0.85">
      <c r="A313" s="166"/>
      <c r="B313" s="167"/>
      <c r="C313" s="167"/>
      <c r="D313" s="147"/>
      <c r="E313" s="147"/>
      <c r="F313" s="147"/>
      <c r="G313" s="147"/>
      <c r="H313" s="147"/>
      <c r="I313" s="147"/>
      <c r="J313" s="147"/>
      <c r="K313" s="3"/>
      <c r="L313" s="3"/>
      <c r="M313" s="3"/>
      <c r="N313" s="3"/>
      <c r="O313" s="3"/>
      <c r="P313" s="3"/>
      <c r="Q313" s="3"/>
      <c r="R313" s="3"/>
      <c r="S313" s="3"/>
      <c r="T313" s="3"/>
      <c r="U313" s="3"/>
      <c r="V313" s="3"/>
      <c r="W313" s="3"/>
      <c r="X313" s="3"/>
      <c r="Y313" s="3"/>
      <c r="Z313" s="3"/>
    </row>
    <row r="314" spans="1:26" ht="22.5" customHeight="1" x14ac:dyDescent="0.85">
      <c r="A314" s="166"/>
      <c r="B314" s="167"/>
      <c r="C314" s="167"/>
      <c r="D314" s="147"/>
      <c r="E314" s="147"/>
      <c r="F314" s="147"/>
      <c r="G314" s="147"/>
      <c r="H314" s="147"/>
      <c r="I314" s="147"/>
      <c r="J314" s="147"/>
      <c r="K314" s="3"/>
      <c r="L314" s="3"/>
      <c r="M314" s="3"/>
      <c r="N314" s="3"/>
      <c r="O314" s="3"/>
      <c r="P314" s="3"/>
      <c r="Q314" s="3"/>
      <c r="R314" s="3"/>
      <c r="S314" s="3"/>
      <c r="T314" s="3"/>
      <c r="U314" s="3"/>
      <c r="V314" s="3"/>
      <c r="W314" s="3"/>
      <c r="X314" s="3"/>
      <c r="Y314" s="3"/>
      <c r="Z314" s="3"/>
    </row>
    <row r="315" spans="1:26" ht="22.5" customHeight="1" x14ac:dyDescent="0.85">
      <c r="A315" s="166"/>
      <c r="B315" s="167"/>
      <c r="C315" s="167"/>
      <c r="D315" s="147"/>
      <c r="E315" s="147"/>
      <c r="F315" s="147"/>
      <c r="G315" s="147"/>
      <c r="H315" s="147"/>
      <c r="I315" s="147"/>
      <c r="J315" s="147"/>
      <c r="K315" s="3"/>
      <c r="L315" s="3"/>
      <c r="M315" s="3"/>
      <c r="N315" s="3"/>
      <c r="O315" s="3"/>
      <c r="P315" s="3"/>
      <c r="Q315" s="3"/>
      <c r="R315" s="3"/>
      <c r="S315" s="3"/>
      <c r="T315" s="3"/>
      <c r="U315" s="3"/>
      <c r="V315" s="3"/>
      <c r="W315" s="3"/>
      <c r="X315" s="3"/>
      <c r="Y315" s="3"/>
      <c r="Z315" s="3"/>
    </row>
    <row r="316" spans="1:26" ht="22.5" customHeight="1" x14ac:dyDescent="0.85">
      <c r="A316" s="166"/>
      <c r="B316" s="167"/>
      <c r="C316" s="167"/>
      <c r="D316" s="147"/>
      <c r="E316" s="147"/>
      <c r="F316" s="147"/>
      <c r="G316" s="147"/>
      <c r="H316" s="147"/>
      <c r="I316" s="147"/>
      <c r="J316" s="147"/>
      <c r="K316" s="3"/>
      <c r="L316" s="3"/>
      <c r="M316" s="3"/>
      <c r="N316" s="3"/>
      <c r="O316" s="3"/>
      <c r="P316" s="3"/>
      <c r="Q316" s="3"/>
      <c r="R316" s="3"/>
      <c r="S316" s="3"/>
      <c r="T316" s="3"/>
      <c r="U316" s="3"/>
      <c r="V316" s="3"/>
      <c r="W316" s="3"/>
      <c r="X316" s="3"/>
      <c r="Y316" s="3"/>
      <c r="Z316" s="3"/>
    </row>
    <row r="317" spans="1:26" ht="22.5" customHeight="1" x14ac:dyDescent="0.85">
      <c r="A317" s="166"/>
      <c r="B317" s="167"/>
      <c r="C317" s="167"/>
      <c r="D317" s="147"/>
      <c r="E317" s="147"/>
      <c r="F317" s="147"/>
      <c r="G317" s="147"/>
      <c r="H317" s="147"/>
      <c r="I317" s="147"/>
      <c r="J317" s="147"/>
      <c r="K317" s="3"/>
      <c r="L317" s="3"/>
      <c r="M317" s="3"/>
      <c r="N317" s="3"/>
      <c r="O317" s="3"/>
      <c r="P317" s="3"/>
      <c r="Q317" s="3"/>
      <c r="R317" s="3"/>
      <c r="S317" s="3"/>
      <c r="T317" s="3"/>
      <c r="U317" s="3"/>
      <c r="V317" s="3"/>
      <c r="W317" s="3"/>
      <c r="X317" s="3"/>
      <c r="Y317" s="3"/>
      <c r="Z317" s="3"/>
    </row>
    <row r="318" spans="1:26" ht="22.5" customHeight="1" x14ac:dyDescent="0.85">
      <c r="A318" s="166"/>
      <c r="B318" s="167"/>
      <c r="C318" s="167"/>
      <c r="D318" s="147"/>
      <c r="E318" s="147"/>
      <c r="F318" s="147"/>
      <c r="G318" s="147"/>
      <c r="H318" s="147"/>
      <c r="I318" s="147"/>
      <c r="J318" s="147"/>
      <c r="K318" s="3"/>
      <c r="L318" s="3"/>
      <c r="M318" s="3"/>
      <c r="N318" s="3"/>
      <c r="O318" s="3"/>
      <c r="P318" s="3"/>
      <c r="Q318" s="3"/>
      <c r="R318" s="3"/>
      <c r="S318" s="3"/>
      <c r="T318" s="3"/>
      <c r="U318" s="3"/>
      <c r="V318" s="3"/>
      <c r="W318" s="3"/>
      <c r="X318" s="3"/>
      <c r="Y318" s="3"/>
      <c r="Z318" s="3"/>
    </row>
    <row r="319" spans="1:26" ht="22.5" customHeight="1" x14ac:dyDescent="0.85">
      <c r="A319" s="166"/>
      <c r="B319" s="167"/>
      <c r="C319" s="167"/>
      <c r="D319" s="147"/>
      <c r="E319" s="147"/>
      <c r="F319" s="147"/>
      <c r="G319" s="147"/>
      <c r="H319" s="147"/>
      <c r="I319" s="147"/>
      <c r="J319" s="147"/>
      <c r="K319" s="3"/>
      <c r="L319" s="3"/>
      <c r="M319" s="3"/>
      <c r="N319" s="3"/>
      <c r="O319" s="3"/>
      <c r="P319" s="3"/>
      <c r="Q319" s="3"/>
      <c r="R319" s="3"/>
      <c r="S319" s="3"/>
      <c r="T319" s="3"/>
      <c r="U319" s="3"/>
      <c r="V319" s="3"/>
      <c r="W319" s="3"/>
      <c r="X319" s="3"/>
      <c r="Y319" s="3"/>
      <c r="Z319" s="3"/>
    </row>
    <row r="320" spans="1:26" ht="22.5" customHeight="1" x14ac:dyDescent="0.85">
      <c r="A320" s="166"/>
      <c r="B320" s="167"/>
      <c r="C320" s="167"/>
      <c r="D320" s="147"/>
      <c r="E320" s="147"/>
      <c r="F320" s="147"/>
      <c r="G320" s="147"/>
      <c r="H320" s="147"/>
      <c r="I320" s="147"/>
      <c r="J320" s="147"/>
      <c r="K320" s="3"/>
      <c r="L320" s="3"/>
      <c r="M320" s="3"/>
      <c r="N320" s="3"/>
      <c r="O320" s="3"/>
      <c r="P320" s="3"/>
      <c r="Q320" s="3"/>
      <c r="R320" s="3"/>
      <c r="S320" s="3"/>
      <c r="T320" s="3"/>
      <c r="U320" s="3"/>
      <c r="V320" s="3"/>
      <c r="W320" s="3"/>
      <c r="X320" s="3"/>
      <c r="Y320" s="3"/>
      <c r="Z320" s="3"/>
    </row>
    <row r="321" spans="1:26" ht="22.5" customHeight="1" x14ac:dyDescent="0.85">
      <c r="A321" s="166"/>
      <c r="B321" s="167"/>
      <c r="C321" s="167"/>
      <c r="D321" s="147"/>
      <c r="E321" s="147"/>
      <c r="F321" s="147"/>
      <c r="G321" s="147"/>
      <c r="H321" s="147"/>
      <c r="I321" s="147"/>
      <c r="J321" s="147"/>
      <c r="K321" s="3"/>
      <c r="L321" s="3"/>
      <c r="M321" s="3"/>
      <c r="N321" s="3"/>
      <c r="O321" s="3"/>
      <c r="P321" s="3"/>
      <c r="Q321" s="3"/>
      <c r="R321" s="3"/>
      <c r="S321" s="3"/>
      <c r="T321" s="3"/>
      <c r="U321" s="3"/>
      <c r="V321" s="3"/>
      <c r="W321" s="3"/>
      <c r="X321" s="3"/>
      <c r="Y321" s="3"/>
      <c r="Z321" s="3"/>
    </row>
    <row r="322" spans="1:26" ht="22.5" customHeight="1" x14ac:dyDescent="0.85">
      <c r="A322" s="166"/>
      <c r="B322" s="167"/>
      <c r="C322" s="167"/>
      <c r="D322" s="147"/>
      <c r="E322" s="147"/>
      <c r="F322" s="147"/>
      <c r="G322" s="147"/>
      <c r="H322" s="147"/>
      <c r="I322" s="147"/>
      <c r="J322" s="147"/>
      <c r="K322" s="3"/>
      <c r="L322" s="3"/>
      <c r="M322" s="3"/>
      <c r="N322" s="3"/>
      <c r="O322" s="3"/>
      <c r="P322" s="3"/>
      <c r="Q322" s="3"/>
      <c r="R322" s="3"/>
      <c r="S322" s="3"/>
      <c r="T322" s="3"/>
      <c r="U322" s="3"/>
      <c r="V322" s="3"/>
      <c r="W322" s="3"/>
      <c r="X322" s="3"/>
      <c r="Y322" s="3"/>
      <c r="Z322" s="3"/>
    </row>
    <row r="323" spans="1:26" ht="22.5" customHeight="1" x14ac:dyDescent="0.85">
      <c r="A323" s="166"/>
      <c r="B323" s="167"/>
      <c r="C323" s="167"/>
      <c r="D323" s="147"/>
      <c r="E323" s="147"/>
      <c r="F323" s="147"/>
      <c r="G323" s="147"/>
      <c r="H323" s="147"/>
      <c r="I323" s="147"/>
      <c r="J323" s="147"/>
      <c r="K323" s="3"/>
      <c r="L323" s="3"/>
      <c r="M323" s="3"/>
      <c r="N323" s="3"/>
      <c r="O323" s="3"/>
      <c r="P323" s="3"/>
      <c r="Q323" s="3"/>
      <c r="R323" s="3"/>
      <c r="S323" s="3"/>
      <c r="T323" s="3"/>
      <c r="U323" s="3"/>
      <c r="V323" s="3"/>
      <c r="W323" s="3"/>
      <c r="X323" s="3"/>
      <c r="Y323" s="3"/>
      <c r="Z323" s="3"/>
    </row>
    <row r="324" spans="1:26" ht="22.5" customHeight="1" x14ac:dyDescent="0.85">
      <c r="A324" s="166"/>
      <c r="B324" s="167"/>
      <c r="C324" s="167"/>
      <c r="D324" s="147"/>
      <c r="E324" s="147"/>
      <c r="F324" s="147"/>
      <c r="G324" s="147"/>
      <c r="H324" s="147"/>
      <c r="I324" s="147"/>
      <c r="J324" s="147"/>
      <c r="K324" s="3"/>
      <c r="L324" s="3"/>
      <c r="M324" s="3"/>
      <c r="N324" s="3"/>
      <c r="O324" s="3"/>
      <c r="P324" s="3"/>
      <c r="Q324" s="3"/>
      <c r="R324" s="3"/>
      <c r="S324" s="3"/>
      <c r="T324" s="3"/>
      <c r="U324" s="3"/>
      <c r="V324" s="3"/>
      <c r="W324" s="3"/>
      <c r="X324" s="3"/>
      <c r="Y324" s="3"/>
      <c r="Z324" s="3"/>
    </row>
    <row r="325" spans="1:26" ht="22.5" customHeight="1" x14ac:dyDescent="0.85">
      <c r="A325" s="166"/>
      <c r="B325" s="167"/>
      <c r="C325" s="167"/>
      <c r="D325" s="147"/>
      <c r="E325" s="147"/>
      <c r="F325" s="147"/>
      <c r="G325" s="147"/>
      <c r="H325" s="147"/>
      <c r="I325" s="147"/>
      <c r="J325" s="147"/>
      <c r="K325" s="3"/>
      <c r="L325" s="3"/>
      <c r="M325" s="3"/>
      <c r="N325" s="3"/>
      <c r="O325" s="3"/>
      <c r="P325" s="3"/>
      <c r="Q325" s="3"/>
      <c r="R325" s="3"/>
      <c r="S325" s="3"/>
      <c r="T325" s="3"/>
      <c r="U325" s="3"/>
      <c r="V325" s="3"/>
      <c r="W325" s="3"/>
      <c r="X325" s="3"/>
      <c r="Y325" s="3"/>
      <c r="Z325" s="3"/>
    </row>
    <row r="326" spans="1:26" ht="22.5" customHeight="1" x14ac:dyDescent="0.85">
      <c r="A326" s="166"/>
      <c r="B326" s="167"/>
      <c r="C326" s="167"/>
      <c r="D326" s="147"/>
      <c r="E326" s="147"/>
      <c r="F326" s="147"/>
      <c r="G326" s="147"/>
      <c r="H326" s="147"/>
      <c r="I326" s="147"/>
      <c r="J326" s="147"/>
      <c r="K326" s="3"/>
      <c r="L326" s="3"/>
      <c r="M326" s="3"/>
      <c r="N326" s="3"/>
      <c r="O326" s="3"/>
      <c r="P326" s="3"/>
      <c r="Q326" s="3"/>
      <c r="R326" s="3"/>
      <c r="S326" s="3"/>
      <c r="T326" s="3"/>
      <c r="U326" s="3"/>
      <c r="V326" s="3"/>
      <c r="W326" s="3"/>
      <c r="X326" s="3"/>
      <c r="Y326" s="3"/>
      <c r="Z326" s="3"/>
    </row>
    <row r="327" spans="1:26" ht="22.5" customHeight="1" x14ac:dyDescent="0.85">
      <c r="A327" s="166"/>
      <c r="B327" s="167"/>
      <c r="C327" s="167"/>
      <c r="D327" s="147"/>
      <c r="E327" s="147"/>
      <c r="F327" s="147"/>
      <c r="G327" s="147"/>
      <c r="H327" s="147"/>
      <c r="I327" s="147"/>
      <c r="J327" s="147"/>
      <c r="K327" s="3"/>
      <c r="L327" s="3"/>
      <c r="M327" s="3"/>
      <c r="N327" s="3"/>
      <c r="O327" s="3"/>
      <c r="P327" s="3"/>
      <c r="Q327" s="3"/>
      <c r="R327" s="3"/>
      <c r="S327" s="3"/>
      <c r="T327" s="3"/>
      <c r="U327" s="3"/>
      <c r="V327" s="3"/>
      <c r="W327" s="3"/>
      <c r="X327" s="3"/>
      <c r="Y327" s="3"/>
      <c r="Z327" s="3"/>
    </row>
    <row r="328" spans="1:26" ht="22.5" customHeight="1" x14ac:dyDescent="0.85">
      <c r="A328" s="166"/>
      <c r="B328" s="167"/>
      <c r="C328" s="167"/>
      <c r="D328" s="147"/>
      <c r="E328" s="147"/>
      <c r="F328" s="147"/>
      <c r="G328" s="147"/>
      <c r="H328" s="147"/>
      <c r="I328" s="147"/>
      <c r="J328" s="147"/>
      <c r="K328" s="3"/>
      <c r="L328" s="3"/>
      <c r="M328" s="3"/>
      <c r="N328" s="3"/>
      <c r="O328" s="3"/>
      <c r="P328" s="3"/>
      <c r="Q328" s="3"/>
      <c r="R328" s="3"/>
      <c r="S328" s="3"/>
      <c r="T328" s="3"/>
      <c r="U328" s="3"/>
      <c r="V328" s="3"/>
      <c r="W328" s="3"/>
      <c r="X328" s="3"/>
      <c r="Y328" s="3"/>
      <c r="Z328" s="3"/>
    </row>
    <row r="329" spans="1:26" ht="22.5" customHeight="1" x14ac:dyDescent="0.85">
      <c r="A329" s="166"/>
      <c r="B329" s="167"/>
      <c r="C329" s="167"/>
      <c r="D329" s="147"/>
      <c r="E329" s="147"/>
      <c r="F329" s="147"/>
      <c r="G329" s="147"/>
      <c r="H329" s="147"/>
      <c r="I329" s="147"/>
      <c r="J329" s="147"/>
      <c r="K329" s="3"/>
      <c r="L329" s="3"/>
      <c r="M329" s="3"/>
      <c r="N329" s="3"/>
      <c r="O329" s="3"/>
      <c r="P329" s="3"/>
      <c r="Q329" s="3"/>
      <c r="R329" s="3"/>
      <c r="S329" s="3"/>
      <c r="T329" s="3"/>
      <c r="U329" s="3"/>
      <c r="V329" s="3"/>
      <c r="W329" s="3"/>
      <c r="X329" s="3"/>
      <c r="Y329" s="3"/>
      <c r="Z329" s="3"/>
    </row>
    <row r="330" spans="1:26" ht="22.5" customHeight="1" x14ac:dyDescent="0.85">
      <c r="A330" s="166"/>
      <c r="B330" s="167"/>
      <c r="C330" s="167"/>
      <c r="D330" s="147"/>
      <c r="E330" s="147"/>
      <c r="F330" s="147"/>
      <c r="G330" s="147"/>
      <c r="H330" s="147"/>
      <c r="I330" s="147"/>
      <c r="J330" s="147"/>
      <c r="K330" s="3"/>
      <c r="L330" s="3"/>
      <c r="M330" s="3"/>
      <c r="N330" s="3"/>
      <c r="O330" s="3"/>
      <c r="P330" s="3"/>
      <c r="Q330" s="3"/>
      <c r="R330" s="3"/>
      <c r="S330" s="3"/>
      <c r="T330" s="3"/>
      <c r="U330" s="3"/>
      <c r="V330" s="3"/>
      <c r="W330" s="3"/>
      <c r="X330" s="3"/>
      <c r="Y330" s="3"/>
      <c r="Z330" s="3"/>
    </row>
    <row r="331" spans="1:26" ht="22.5" customHeight="1" x14ac:dyDescent="0.85">
      <c r="A331" s="166"/>
      <c r="B331" s="167"/>
      <c r="C331" s="167"/>
      <c r="D331" s="147"/>
      <c r="E331" s="147"/>
      <c r="F331" s="147"/>
      <c r="G331" s="147"/>
      <c r="H331" s="147"/>
      <c r="I331" s="147"/>
      <c r="J331" s="147"/>
      <c r="K331" s="3"/>
      <c r="L331" s="3"/>
      <c r="M331" s="3"/>
      <c r="N331" s="3"/>
      <c r="O331" s="3"/>
      <c r="P331" s="3"/>
      <c r="Q331" s="3"/>
      <c r="R331" s="3"/>
      <c r="S331" s="3"/>
      <c r="T331" s="3"/>
      <c r="U331" s="3"/>
      <c r="V331" s="3"/>
      <c r="W331" s="3"/>
      <c r="X331" s="3"/>
      <c r="Y331" s="3"/>
      <c r="Z331" s="3"/>
    </row>
    <row r="332" spans="1:26" ht="22.5" customHeight="1" x14ac:dyDescent="0.85">
      <c r="A332" s="166"/>
      <c r="B332" s="167"/>
      <c r="C332" s="167"/>
      <c r="D332" s="147"/>
      <c r="E332" s="147"/>
      <c r="F332" s="147"/>
      <c r="G332" s="147"/>
      <c r="H332" s="147"/>
      <c r="I332" s="147"/>
      <c r="J332" s="147"/>
      <c r="K332" s="3"/>
      <c r="L332" s="3"/>
      <c r="M332" s="3"/>
      <c r="N332" s="3"/>
      <c r="O332" s="3"/>
      <c r="P332" s="3"/>
      <c r="Q332" s="3"/>
      <c r="R332" s="3"/>
      <c r="S332" s="3"/>
      <c r="T332" s="3"/>
      <c r="U332" s="3"/>
      <c r="V332" s="3"/>
      <c r="W332" s="3"/>
      <c r="X332" s="3"/>
      <c r="Y332" s="3"/>
      <c r="Z332" s="3"/>
    </row>
    <row r="333" spans="1:26" ht="22.5" customHeight="1" x14ac:dyDescent="0.85">
      <c r="A333" s="166"/>
      <c r="B333" s="167"/>
      <c r="C333" s="167"/>
      <c r="D333" s="147"/>
      <c r="E333" s="147"/>
      <c r="F333" s="147"/>
      <c r="G333" s="147"/>
      <c r="H333" s="147"/>
      <c r="I333" s="147"/>
      <c r="J333" s="147"/>
      <c r="K333" s="3"/>
      <c r="L333" s="3"/>
      <c r="M333" s="3"/>
      <c r="N333" s="3"/>
      <c r="O333" s="3"/>
      <c r="P333" s="3"/>
      <c r="Q333" s="3"/>
      <c r="R333" s="3"/>
      <c r="S333" s="3"/>
      <c r="T333" s="3"/>
      <c r="U333" s="3"/>
      <c r="V333" s="3"/>
      <c r="W333" s="3"/>
      <c r="X333" s="3"/>
      <c r="Y333" s="3"/>
      <c r="Z333" s="3"/>
    </row>
    <row r="334" spans="1:26" ht="22.5" customHeight="1" x14ac:dyDescent="0.85">
      <c r="A334" s="166"/>
      <c r="B334" s="167"/>
      <c r="C334" s="167"/>
      <c r="D334" s="147"/>
      <c r="E334" s="147"/>
      <c r="F334" s="147"/>
      <c r="G334" s="147"/>
      <c r="H334" s="147"/>
      <c r="I334" s="147"/>
      <c r="J334" s="147"/>
      <c r="K334" s="3"/>
      <c r="L334" s="3"/>
      <c r="M334" s="3"/>
      <c r="N334" s="3"/>
      <c r="O334" s="3"/>
      <c r="P334" s="3"/>
      <c r="Q334" s="3"/>
      <c r="R334" s="3"/>
      <c r="S334" s="3"/>
      <c r="T334" s="3"/>
      <c r="U334" s="3"/>
      <c r="V334" s="3"/>
      <c r="W334" s="3"/>
      <c r="X334" s="3"/>
      <c r="Y334" s="3"/>
      <c r="Z334" s="3"/>
    </row>
    <row r="335" spans="1:26" ht="22.5" customHeight="1" x14ac:dyDescent="0.85">
      <c r="A335" s="166"/>
      <c r="B335" s="167"/>
      <c r="C335" s="167"/>
      <c r="D335" s="147"/>
      <c r="E335" s="147"/>
      <c r="F335" s="147"/>
      <c r="G335" s="147"/>
      <c r="H335" s="147"/>
      <c r="I335" s="147"/>
      <c r="J335" s="147"/>
      <c r="K335" s="3"/>
      <c r="L335" s="3"/>
      <c r="M335" s="3"/>
      <c r="N335" s="3"/>
      <c r="O335" s="3"/>
      <c r="P335" s="3"/>
      <c r="Q335" s="3"/>
      <c r="R335" s="3"/>
      <c r="S335" s="3"/>
      <c r="T335" s="3"/>
      <c r="U335" s="3"/>
      <c r="V335" s="3"/>
      <c r="W335" s="3"/>
      <c r="X335" s="3"/>
      <c r="Y335" s="3"/>
      <c r="Z335" s="3"/>
    </row>
    <row r="336" spans="1:26" ht="22.5" customHeight="1" x14ac:dyDescent="0.85">
      <c r="A336" s="166"/>
      <c r="B336" s="167"/>
      <c r="C336" s="167"/>
      <c r="D336" s="147"/>
      <c r="E336" s="147"/>
      <c r="F336" s="147"/>
      <c r="G336" s="147"/>
      <c r="H336" s="147"/>
      <c r="I336" s="147"/>
      <c r="J336" s="147"/>
      <c r="K336" s="3"/>
      <c r="L336" s="3"/>
      <c r="M336" s="3"/>
      <c r="N336" s="3"/>
      <c r="O336" s="3"/>
      <c r="P336" s="3"/>
      <c r="Q336" s="3"/>
      <c r="R336" s="3"/>
      <c r="S336" s="3"/>
      <c r="T336" s="3"/>
      <c r="U336" s="3"/>
      <c r="V336" s="3"/>
      <c r="W336" s="3"/>
      <c r="X336" s="3"/>
      <c r="Y336" s="3"/>
      <c r="Z336" s="3"/>
    </row>
    <row r="337" spans="1:26" ht="22.5" customHeight="1" x14ac:dyDescent="0.85">
      <c r="A337" s="166"/>
      <c r="B337" s="167"/>
      <c r="C337" s="167"/>
      <c r="D337" s="147"/>
      <c r="E337" s="147"/>
      <c r="F337" s="147"/>
      <c r="G337" s="147"/>
      <c r="H337" s="147"/>
      <c r="I337" s="147"/>
      <c r="J337" s="147"/>
      <c r="K337" s="3"/>
      <c r="L337" s="3"/>
      <c r="M337" s="3"/>
      <c r="N337" s="3"/>
      <c r="O337" s="3"/>
      <c r="P337" s="3"/>
      <c r="Q337" s="3"/>
      <c r="R337" s="3"/>
      <c r="S337" s="3"/>
      <c r="T337" s="3"/>
      <c r="U337" s="3"/>
      <c r="V337" s="3"/>
      <c r="W337" s="3"/>
      <c r="X337" s="3"/>
      <c r="Y337" s="3"/>
      <c r="Z337" s="3"/>
    </row>
    <row r="338" spans="1:26" ht="22.5" customHeight="1" x14ac:dyDescent="0.85">
      <c r="A338" s="166"/>
      <c r="B338" s="167"/>
      <c r="C338" s="167"/>
      <c r="D338" s="147"/>
      <c r="E338" s="147"/>
      <c r="F338" s="147"/>
      <c r="G338" s="147"/>
      <c r="H338" s="147"/>
      <c r="I338" s="147"/>
      <c r="J338" s="147"/>
      <c r="K338" s="3"/>
      <c r="L338" s="3"/>
      <c r="M338" s="3"/>
      <c r="N338" s="3"/>
      <c r="O338" s="3"/>
      <c r="P338" s="3"/>
      <c r="Q338" s="3"/>
      <c r="R338" s="3"/>
      <c r="S338" s="3"/>
      <c r="T338" s="3"/>
      <c r="U338" s="3"/>
      <c r="V338" s="3"/>
      <c r="W338" s="3"/>
      <c r="X338" s="3"/>
      <c r="Y338" s="3"/>
      <c r="Z338" s="3"/>
    </row>
    <row r="339" spans="1:26" ht="22.5" customHeight="1" x14ac:dyDescent="0.85">
      <c r="A339" s="166"/>
      <c r="B339" s="167"/>
      <c r="C339" s="167"/>
      <c r="D339" s="147"/>
      <c r="E339" s="147"/>
      <c r="F339" s="147"/>
      <c r="G339" s="147"/>
      <c r="H339" s="147"/>
      <c r="I339" s="147"/>
      <c r="J339" s="147"/>
      <c r="K339" s="3"/>
      <c r="L339" s="3"/>
      <c r="M339" s="3"/>
      <c r="N339" s="3"/>
      <c r="O339" s="3"/>
      <c r="P339" s="3"/>
      <c r="Q339" s="3"/>
      <c r="R339" s="3"/>
      <c r="S339" s="3"/>
      <c r="T339" s="3"/>
      <c r="U339" s="3"/>
      <c r="V339" s="3"/>
      <c r="W339" s="3"/>
      <c r="X339" s="3"/>
      <c r="Y339" s="3"/>
      <c r="Z339" s="3"/>
    </row>
    <row r="340" spans="1:26" ht="22.5" customHeight="1" x14ac:dyDescent="0.85">
      <c r="A340" s="166"/>
      <c r="B340" s="167"/>
      <c r="C340" s="167"/>
      <c r="D340" s="147"/>
      <c r="E340" s="147"/>
      <c r="F340" s="147"/>
      <c r="G340" s="147"/>
      <c r="H340" s="147"/>
      <c r="I340" s="147"/>
      <c r="J340" s="147"/>
      <c r="K340" s="3"/>
      <c r="L340" s="3"/>
      <c r="M340" s="3"/>
      <c r="N340" s="3"/>
      <c r="O340" s="3"/>
      <c r="P340" s="3"/>
      <c r="Q340" s="3"/>
      <c r="R340" s="3"/>
      <c r="S340" s="3"/>
      <c r="T340" s="3"/>
      <c r="U340" s="3"/>
      <c r="V340" s="3"/>
      <c r="W340" s="3"/>
      <c r="X340" s="3"/>
      <c r="Y340" s="3"/>
      <c r="Z340" s="3"/>
    </row>
    <row r="341" spans="1:26" ht="22.5" customHeight="1" x14ac:dyDescent="0.85">
      <c r="A341" s="166"/>
      <c r="B341" s="167"/>
      <c r="C341" s="167"/>
      <c r="D341" s="147"/>
      <c r="E341" s="147"/>
      <c r="F341" s="147"/>
      <c r="G341" s="147"/>
      <c r="H341" s="147"/>
      <c r="I341" s="147"/>
      <c r="J341" s="147"/>
      <c r="K341" s="3"/>
      <c r="L341" s="3"/>
      <c r="M341" s="3"/>
      <c r="N341" s="3"/>
      <c r="O341" s="3"/>
      <c r="P341" s="3"/>
      <c r="Q341" s="3"/>
      <c r="R341" s="3"/>
      <c r="S341" s="3"/>
      <c r="T341" s="3"/>
      <c r="U341" s="3"/>
      <c r="V341" s="3"/>
      <c r="W341" s="3"/>
      <c r="X341" s="3"/>
      <c r="Y341" s="3"/>
      <c r="Z341" s="3"/>
    </row>
    <row r="342" spans="1:26" ht="22.5" customHeight="1" x14ac:dyDescent="0.85">
      <c r="A342" s="166"/>
      <c r="B342" s="167"/>
      <c r="C342" s="167"/>
      <c r="D342" s="147"/>
      <c r="E342" s="147"/>
      <c r="F342" s="147"/>
      <c r="G342" s="147"/>
      <c r="H342" s="147"/>
      <c r="I342" s="147"/>
      <c r="J342" s="147"/>
      <c r="K342" s="3"/>
      <c r="L342" s="3"/>
      <c r="M342" s="3"/>
      <c r="N342" s="3"/>
      <c r="O342" s="3"/>
      <c r="P342" s="3"/>
      <c r="Q342" s="3"/>
      <c r="R342" s="3"/>
      <c r="S342" s="3"/>
      <c r="T342" s="3"/>
      <c r="U342" s="3"/>
      <c r="V342" s="3"/>
      <c r="W342" s="3"/>
      <c r="X342" s="3"/>
      <c r="Y342" s="3"/>
      <c r="Z342" s="3"/>
    </row>
    <row r="343" spans="1:26" ht="22.5" customHeight="1" x14ac:dyDescent="0.85">
      <c r="A343" s="166"/>
      <c r="B343" s="167"/>
      <c r="C343" s="167"/>
      <c r="D343" s="147"/>
      <c r="E343" s="147"/>
      <c r="F343" s="147"/>
      <c r="G343" s="147"/>
      <c r="H343" s="147"/>
      <c r="I343" s="147"/>
      <c r="J343" s="147"/>
      <c r="K343" s="3"/>
      <c r="L343" s="3"/>
      <c r="M343" s="3"/>
      <c r="N343" s="3"/>
      <c r="O343" s="3"/>
      <c r="P343" s="3"/>
      <c r="Q343" s="3"/>
      <c r="R343" s="3"/>
      <c r="S343" s="3"/>
      <c r="T343" s="3"/>
      <c r="U343" s="3"/>
      <c r="V343" s="3"/>
      <c r="W343" s="3"/>
      <c r="X343" s="3"/>
      <c r="Y343" s="3"/>
      <c r="Z343" s="3"/>
    </row>
    <row r="344" spans="1:26" ht="22.5" customHeight="1" x14ac:dyDescent="0.85">
      <c r="A344" s="166"/>
      <c r="B344" s="167"/>
      <c r="C344" s="167"/>
      <c r="D344" s="147"/>
      <c r="E344" s="147"/>
      <c r="F344" s="147"/>
      <c r="G344" s="147"/>
      <c r="H344" s="147"/>
      <c r="I344" s="147"/>
      <c r="J344" s="147"/>
      <c r="K344" s="3"/>
      <c r="L344" s="3"/>
      <c r="M344" s="3"/>
      <c r="N344" s="3"/>
      <c r="O344" s="3"/>
      <c r="P344" s="3"/>
      <c r="Q344" s="3"/>
      <c r="R344" s="3"/>
      <c r="S344" s="3"/>
      <c r="T344" s="3"/>
      <c r="U344" s="3"/>
      <c r="V344" s="3"/>
      <c r="W344" s="3"/>
      <c r="X344" s="3"/>
      <c r="Y344" s="3"/>
      <c r="Z344" s="3"/>
    </row>
    <row r="345" spans="1:26" ht="22.5" customHeight="1" x14ac:dyDescent="0.85">
      <c r="A345" s="166"/>
      <c r="B345" s="167"/>
      <c r="C345" s="167"/>
      <c r="D345" s="147"/>
      <c r="E345" s="147"/>
      <c r="F345" s="147"/>
      <c r="G345" s="147"/>
      <c r="H345" s="147"/>
      <c r="I345" s="147"/>
      <c r="J345" s="147"/>
      <c r="K345" s="3"/>
      <c r="L345" s="3"/>
      <c r="M345" s="3"/>
      <c r="N345" s="3"/>
      <c r="O345" s="3"/>
      <c r="P345" s="3"/>
      <c r="Q345" s="3"/>
      <c r="R345" s="3"/>
      <c r="S345" s="3"/>
      <c r="T345" s="3"/>
      <c r="U345" s="3"/>
      <c r="V345" s="3"/>
      <c r="W345" s="3"/>
      <c r="X345" s="3"/>
      <c r="Y345" s="3"/>
      <c r="Z345" s="3"/>
    </row>
    <row r="346" spans="1:26" ht="22.5" customHeight="1" x14ac:dyDescent="0.85">
      <c r="A346" s="166"/>
      <c r="B346" s="167"/>
      <c r="C346" s="167"/>
      <c r="D346" s="147"/>
      <c r="E346" s="147"/>
      <c r="F346" s="147"/>
      <c r="G346" s="147"/>
      <c r="H346" s="147"/>
      <c r="I346" s="147"/>
      <c r="J346" s="147"/>
      <c r="K346" s="3"/>
      <c r="L346" s="3"/>
      <c r="M346" s="3"/>
      <c r="N346" s="3"/>
      <c r="O346" s="3"/>
      <c r="P346" s="3"/>
      <c r="Q346" s="3"/>
      <c r="R346" s="3"/>
      <c r="S346" s="3"/>
      <c r="T346" s="3"/>
      <c r="U346" s="3"/>
      <c r="V346" s="3"/>
      <c r="W346" s="3"/>
      <c r="X346" s="3"/>
      <c r="Y346" s="3"/>
      <c r="Z346" s="3"/>
    </row>
    <row r="347" spans="1:26" ht="22.5" customHeight="1" x14ac:dyDescent="0.85">
      <c r="A347" s="166"/>
      <c r="B347" s="167"/>
      <c r="C347" s="167"/>
      <c r="D347" s="147"/>
      <c r="E347" s="147"/>
      <c r="F347" s="147"/>
      <c r="G347" s="147"/>
      <c r="H347" s="147"/>
      <c r="I347" s="147"/>
      <c r="J347" s="147"/>
      <c r="K347" s="3"/>
      <c r="L347" s="3"/>
      <c r="M347" s="3"/>
      <c r="N347" s="3"/>
      <c r="O347" s="3"/>
      <c r="P347" s="3"/>
      <c r="Q347" s="3"/>
      <c r="R347" s="3"/>
      <c r="S347" s="3"/>
      <c r="T347" s="3"/>
      <c r="U347" s="3"/>
      <c r="V347" s="3"/>
      <c r="W347" s="3"/>
      <c r="X347" s="3"/>
      <c r="Y347" s="3"/>
      <c r="Z347" s="3"/>
    </row>
    <row r="348" spans="1:26" ht="22.5" customHeight="1" x14ac:dyDescent="0.85">
      <c r="A348" s="166"/>
      <c r="B348" s="167"/>
      <c r="C348" s="167"/>
      <c r="D348" s="147"/>
      <c r="E348" s="147"/>
      <c r="F348" s="147"/>
      <c r="G348" s="147"/>
      <c r="H348" s="147"/>
      <c r="I348" s="147"/>
      <c r="J348" s="147"/>
      <c r="K348" s="3"/>
      <c r="L348" s="3"/>
      <c r="M348" s="3"/>
      <c r="N348" s="3"/>
      <c r="O348" s="3"/>
      <c r="P348" s="3"/>
      <c r="Q348" s="3"/>
      <c r="R348" s="3"/>
      <c r="S348" s="3"/>
      <c r="T348" s="3"/>
      <c r="U348" s="3"/>
      <c r="V348" s="3"/>
      <c r="W348" s="3"/>
      <c r="X348" s="3"/>
      <c r="Y348" s="3"/>
      <c r="Z348" s="3"/>
    </row>
    <row r="349" spans="1:26" ht="22.5" customHeight="1" x14ac:dyDescent="0.85">
      <c r="A349" s="166"/>
      <c r="B349" s="167"/>
      <c r="C349" s="167"/>
      <c r="D349" s="147"/>
      <c r="E349" s="147"/>
      <c r="F349" s="147"/>
      <c r="G349" s="147"/>
      <c r="H349" s="147"/>
      <c r="I349" s="147"/>
      <c r="J349" s="147"/>
      <c r="K349" s="3"/>
      <c r="L349" s="3"/>
      <c r="M349" s="3"/>
      <c r="N349" s="3"/>
      <c r="O349" s="3"/>
      <c r="P349" s="3"/>
      <c r="Q349" s="3"/>
      <c r="R349" s="3"/>
      <c r="S349" s="3"/>
      <c r="T349" s="3"/>
      <c r="U349" s="3"/>
      <c r="V349" s="3"/>
      <c r="W349" s="3"/>
      <c r="X349" s="3"/>
      <c r="Y349" s="3"/>
      <c r="Z349" s="3"/>
    </row>
    <row r="350" spans="1:26" ht="22.5" customHeight="1" x14ac:dyDescent="0.85">
      <c r="A350" s="166"/>
      <c r="B350" s="167"/>
      <c r="C350" s="167"/>
      <c r="D350" s="147"/>
      <c r="E350" s="147"/>
      <c r="F350" s="147"/>
      <c r="G350" s="147"/>
      <c r="H350" s="147"/>
      <c r="I350" s="147"/>
      <c r="J350" s="147"/>
      <c r="K350" s="3"/>
      <c r="L350" s="3"/>
      <c r="M350" s="3"/>
      <c r="N350" s="3"/>
      <c r="O350" s="3"/>
      <c r="P350" s="3"/>
      <c r="Q350" s="3"/>
      <c r="R350" s="3"/>
      <c r="S350" s="3"/>
      <c r="T350" s="3"/>
      <c r="U350" s="3"/>
      <c r="V350" s="3"/>
      <c r="W350" s="3"/>
      <c r="X350" s="3"/>
      <c r="Y350" s="3"/>
      <c r="Z350" s="3"/>
    </row>
    <row r="351" spans="1:26" ht="22.5" customHeight="1" x14ac:dyDescent="0.85">
      <c r="A351" s="166"/>
      <c r="B351" s="167"/>
      <c r="C351" s="167"/>
      <c r="D351" s="147"/>
      <c r="E351" s="147"/>
      <c r="F351" s="147"/>
      <c r="G351" s="147"/>
      <c r="H351" s="147"/>
      <c r="I351" s="147"/>
      <c r="J351" s="147"/>
      <c r="K351" s="3"/>
      <c r="L351" s="3"/>
      <c r="M351" s="3"/>
      <c r="N351" s="3"/>
      <c r="O351" s="3"/>
      <c r="P351" s="3"/>
      <c r="Q351" s="3"/>
      <c r="R351" s="3"/>
      <c r="S351" s="3"/>
      <c r="T351" s="3"/>
      <c r="U351" s="3"/>
      <c r="V351" s="3"/>
      <c r="W351" s="3"/>
      <c r="X351" s="3"/>
      <c r="Y351" s="3"/>
      <c r="Z351" s="3"/>
    </row>
    <row r="352" spans="1:26" ht="22.5" customHeight="1" x14ac:dyDescent="0.85">
      <c r="A352" s="166"/>
      <c r="B352" s="167"/>
      <c r="C352" s="167"/>
      <c r="D352" s="147"/>
      <c r="E352" s="147"/>
      <c r="F352" s="147"/>
      <c r="G352" s="147"/>
      <c r="H352" s="147"/>
      <c r="I352" s="147"/>
      <c r="J352" s="147"/>
      <c r="K352" s="3"/>
      <c r="L352" s="3"/>
      <c r="M352" s="3"/>
      <c r="N352" s="3"/>
      <c r="O352" s="3"/>
      <c r="P352" s="3"/>
      <c r="Q352" s="3"/>
      <c r="R352" s="3"/>
      <c r="S352" s="3"/>
      <c r="T352" s="3"/>
      <c r="U352" s="3"/>
      <c r="V352" s="3"/>
      <c r="W352" s="3"/>
      <c r="X352" s="3"/>
      <c r="Y352" s="3"/>
      <c r="Z352" s="3"/>
    </row>
    <row r="353" spans="1:26" ht="22.5" customHeight="1" x14ac:dyDescent="0.85">
      <c r="A353" s="166"/>
      <c r="B353" s="167"/>
      <c r="C353" s="167"/>
      <c r="D353" s="147"/>
      <c r="E353" s="147"/>
      <c r="F353" s="147"/>
      <c r="G353" s="147"/>
      <c r="H353" s="147"/>
      <c r="I353" s="147"/>
      <c r="J353" s="147"/>
      <c r="K353" s="3"/>
      <c r="L353" s="3"/>
      <c r="M353" s="3"/>
      <c r="N353" s="3"/>
      <c r="O353" s="3"/>
      <c r="P353" s="3"/>
      <c r="Q353" s="3"/>
      <c r="R353" s="3"/>
      <c r="S353" s="3"/>
      <c r="T353" s="3"/>
      <c r="U353" s="3"/>
      <c r="V353" s="3"/>
      <c r="W353" s="3"/>
      <c r="X353" s="3"/>
      <c r="Y353" s="3"/>
      <c r="Z353" s="3"/>
    </row>
    <row r="354" spans="1:26" ht="22.5" customHeight="1" x14ac:dyDescent="0.85">
      <c r="A354" s="166"/>
      <c r="B354" s="167"/>
      <c r="C354" s="167"/>
      <c r="D354" s="147"/>
      <c r="E354" s="147"/>
      <c r="F354" s="147"/>
      <c r="G354" s="147"/>
      <c r="H354" s="147"/>
      <c r="I354" s="147"/>
      <c r="J354" s="147"/>
      <c r="K354" s="3"/>
      <c r="L354" s="3"/>
      <c r="M354" s="3"/>
      <c r="N354" s="3"/>
      <c r="O354" s="3"/>
      <c r="P354" s="3"/>
      <c r="Q354" s="3"/>
      <c r="R354" s="3"/>
      <c r="S354" s="3"/>
      <c r="T354" s="3"/>
      <c r="U354" s="3"/>
      <c r="V354" s="3"/>
      <c r="W354" s="3"/>
      <c r="X354" s="3"/>
      <c r="Y354" s="3"/>
      <c r="Z354" s="3"/>
    </row>
    <row r="355" spans="1:26" ht="22.5" customHeight="1" x14ac:dyDescent="0.85">
      <c r="A355" s="166"/>
      <c r="B355" s="167"/>
      <c r="C355" s="167"/>
      <c r="D355" s="147"/>
      <c r="E355" s="147"/>
      <c r="F355" s="147"/>
      <c r="G355" s="147"/>
      <c r="H355" s="147"/>
      <c r="I355" s="147"/>
      <c r="J355" s="147"/>
      <c r="K355" s="3"/>
      <c r="L355" s="3"/>
      <c r="M355" s="3"/>
      <c r="N355" s="3"/>
      <c r="O355" s="3"/>
      <c r="P355" s="3"/>
      <c r="Q355" s="3"/>
      <c r="R355" s="3"/>
      <c r="S355" s="3"/>
      <c r="T355" s="3"/>
      <c r="U355" s="3"/>
      <c r="V355" s="3"/>
      <c r="W355" s="3"/>
      <c r="X355" s="3"/>
      <c r="Y355" s="3"/>
      <c r="Z355" s="3"/>
    </row>
    <row r="356" spans="1:26" ht="22.5" customHeight="1" x14ac:dyDescent="0.85">
      <c r="A356" s="166"/>
      <c r="B356" s="167"/>
      <c r="C356" s="167"/>
      <c r="D356" s="147"/>
      <c r="E356" s="147"/>
      <c r="F356" s="147"/>
      <c r="G356" s="147"/>
      <c r="H356" s="147"/>
      <c r="I356" s="147"/>
      <c r="J356" s="147"/>
      <c r="K356" s="3"/>
      <c r="L356" s="3"/>
      <c r="M356" s="3"/>
      <c r="N356" s="3"/>
      <c r="O356" s="3"/>
      <c r="P356" s="3"/>
      <c r="Q356" s="3"/>
      <c r="R356" s="3"/>
      <c r="S356" s="3"/>
      <c r="T356" s="3"/>
      <c r="U356" s="3"/>
      <c r="V356" s="3"/>
      <c r="W356" s="3"/>
      <c r="X356" s="3"/>
      <c r="Y356" s="3"/>
      <c r="Z356" s="3"/>
    </row>
    <row r="357" spans="1:26" ht="22.5" customHeight="1" x14ac:dyDescent="0.85">
      <c r="A357" s="166"/>
      <c r="B357" s="167"/>
      <c r="C357" s="167"/>
      <c r="D357" s="147"/>
      <c r="E357" s="147"/>
      <c r="F357" s="147"/>
      <c r="G357" s="147"/>
      <c r="H357" s="147"/>
      <c r="I357" s="147"/>
      <c r="J357" s="147"/>
      <c r="K357" s="3"/>
      <c r="L357" s="3"/>
      <c r="M357" s="3"/>
      <c r="N357" s="3"/>
      <c r="O357" s="3"/>
      <c r="P357" s="3"/>
      <c r="Q357" s="3"/>
      <c r="R357" s="3"/>
      <c r="S357" s="3"/>
      <c r="T357" s="3"/>
      <c r="U357" s="3"/>
      <c r="V357" s="3"/>
      <c r="W357" s="3"/>
      <c r="X357" s="3"/>
      <c r="Y357" s="3"/>
      <c r="Z357" s="3"/>
    </row>
    <row r="358" spans="1:26" ht="22.5" customHeight="1" x14ac:dyDescent="0.85">
      <c r="A358" s="166"/>
      <c r="B358" s="167"/>
      <c r="C358" s="167"/>
      <c r="D358" s="147"/>
      <c r="E358" s="147"/>
      <c r="F358" s="147"/>
      <c r="G358" s="147"/>
      <c r="H358" s="147"/>
      <c r="I358" s="147"/>
      <c r="J358" s="147"/>
      <c r="K358" s="3"/>
      <c r="L358" s="3"/>
      <c r="M358" s="3"/>
      <c r="N358" s="3"/>
      <c r="O358" s="3"/>
      <c r="P358" s="3"/>
      <c r="Q358" s="3"/>
      <c r="R358" s="3"/>
      <c r="S358" s="3"/>
      <c r="T358" s="3"/>
      <c r="U358" s="3"/>
      <c r="V358" s="3"/>
      <c r="W358" s="3"/>
      <c r="X358" s="3"/>
      <c r="Y358" s="3"/>
      <c r="Z358" s="3"/>
    </row>
    <row r="359" spans="1:26" ht="22.5" customHeight="1" x14ac:dyDescent="0.85">
      <c r="A359" s="166"/>
      <c r="B359" s="167"/>
      <c r="C359" s="167"/>
      <c r="D359" s="147"/>
      <c r="E359" s="147"/>
      <c r="F359" s="147"/>
      <c r="G359" s="147"/>
      <c r="H359" s="147"/>
      <c r="I359" s="147"/>
      <c r="J359" s="147"/>
      <c r="K359" s="3"/>
      <c r="L359" s="3"/>
      <c r="M359" s="3"/>
      <c r="N359" s="3"/>
      <c r="O359" s="3"/>
      <c r="P359" s="3"/>
      <c r="Q359" s="3"/>
      <c r="R359" s="3"/>
      <c r="S359" s="3"/>
      <c r="T359" s="3"/>
      <c r="U359" s="3"/>
      <c r="V359" s="3"/>
      <c r="W359" s="3"/>
      <c r="X359" s="3"/>
      <c r="Y359" s="3"/>
      <c r="Z359" s="3"/>
    </row>
    <row r="360" spans="1:26" ht="22.5" customHeight="1" x14ac:dyDescent="0.85">
      <c r="A360" s="166"/>
      <c r="B360" s="167"/>
      <c r="C360" s="167"/>
      <c r="D360" s="147"/>
      <c r="E360" s="147"/>
      <c r="F360" s="147"/>
      <c r="G360" s="147"/>
      <c r="H360" s="147"/>
      <c r="I360" s="147"/>
      <c r="J360" s="147"/>
      <c r="K360" s="3"/>
      <c r="L360" s="3"/>
      <c r="M360" s="3"/>
      <c r="N360" s="3"/>
      <c r="O360" s="3"/>
      <c r="P360" s="3"/>
      <c r="Q360" s="3"/>
      <c r="R360" s="3"/>
      <c r="S360" s="3"/>
      <c r="T360" s="3"/>
      <c r="U360" s="3"/>
      <c r="V360" s="3"/>
      <c r="W360" s="3"/>
      <c r="X360" s="3"/>
      <c r="Y360" s="3"/>
      <c r="Z360" s="3"/>
    </row>
    <row r="361" spans="1:26" ht="22.5" customHeight="1" x14ac:dyDescent="0.85">
      <c r="A361" s="166"/>
      <c r="B361" s="167"/>
      <c r="C361" s="167"/>
      <c r="D361" s="147"/>
      <c r="E361" s="147"/>
      <c r="F361" s="147"/>
      <c r="G361" s="147"/>
      <c r="H361" s="147"/>
      <c r="I361" s="147"/>
      <c r="J361" s="147"/>
      <c r="K361" s="3"/>
      <c r="L361" s="3"/>
      <c r="M361" s="3"/>
      <c r="N361" s="3"/>
      <c r="O361" s="3"/>
      <c r="P361" s="3"/>
      <c r="Q361" s="3"/>
      <c r="R361" s="3"/>
      <c r="S361" s="3"/>
      <c r="T361" s="3"/>
      <c r="U361" s="3"/>
      <c r="V361" s="3"/>
      <c r="W361" s="3"/>
      <c r="X361" s="3"/>
      <c r="Y361" s="3"/>
      <c r="Z361" s="3"/>
    </row>
    <row r="362" spans="1:26" ht="22.5" customHeight="1" x14ac:dyDescent="0.85">
      <c r="A362" s="166"/>
      <c r="B362" s="167"/>
      <c r="C362" s="167"/>
      <c r="D362" s="147"/>
      <c r="E362" s="147"/>
      <c r="F362" s="147"/>
      <c r="G362" s="147"/>
      <c r="H362" s="147"/>
      <c r="I362" s="147"/>
      <c r="J362" s="147"/>
      <c r="K362" s="3"/>
      <c r="L362" s="3"/>
      <c r="M362" s="3"/>
      <c r="N362" s="3"/>
      <c r="O362" s="3"/>
      <c r="P362" s="3"/>
      <c r="Q362" s="3"/>
      <c r="R362" s="3"/>
      <c r="S362" s="3"/>
      <c r="T362" s="3"/>
      <c r="U362" s="3"/>
      <c r="V362" s="3"/>
      <c r="W362" s="3"/>
      <c r="X362" s="3"/>
      <c r="Y362" s="3"/>
      <c r="Z362" s="3"/>
    </row>
    <row r="363" spans="1:26" ht="22.5" customHeight="1" x14ac:dyDescent="0.85">
      <c r="A363" s="166"/>
      <c r="B363" s="167"/>
      <c r="C363" s="167"/>
      <c r="D363" s="147"/>
      <c r="E363" s="147"/>
      <c r="F363" s="147"/>
      <c r="G363" s="147"/>
      <c r="H363" s="147"/>
      <c r="I363" s="147"/>
      <c r="J363" s="147"/>
      <c r="K363" s="3"/>
      <c r="L363" s="3"/>
      <c r="M363" s="3"/>
      <c r="N363" s="3"/>
      <c r="O363" s="3"/>
      <c r="P363" s="3"/>
      <c r="Q363" s="3"/>
      <c r="R363" s="3"/>
      <c r="S363" s="3"/>
      <c r="T363" s="3"/>
      <c r="U363" s="3"/>
      <c r="V363" s="3"/>
      <c r="W363" s="3"/>
      <c r="X363" s="3"/>
      <c r="Y363" s="3"/>
      <c r="Z363" s="3"/>
    </row>
    <row r="364" spans="1:26" ht="22.5" customHeight="1" x14ac:dyDescent="0.85">
      <c r="A364" s="166"/>
      <c r="B364" s="167"/>
      <c r="C364" s="167"/>
      <c r="D364" s="147"/>
      <c r="E364" s="147"/>
      <c r="F364" s="147"/>
      <c r="G364" s="147"/>
      <c r="H364" s="147"/>
      <c r="I364" s="147"/>
      <c r="J364" s="147"/>
      <c r="K364" s="3"/>
      <c r="L364" s="3"/>
      <c r="M364" s="3"/>
      <c r="N364" s="3"/>
      <c r="O364" s="3"/>
      <c r="P364" s="3"/>
      <c r="Q364" s="3"/>
      <c r="R364" s="3"/>
      <c r="S364" s="3"/>
      <c r="T364" s="3"/>
      <c r="U364" s="3"/>
      <c r="V364" s="3"/>
      <c r="W364" s="3"/>
      <c r="X364" s="3"/>
      <c r="Y364" s="3"/>
      <c r="Z364" s="3"/>
    </row>
    <row r="365" spans="1:26" ht="22.5" customHeight="1" x14ac:dyDescent="0.85">
      <c r="A365" s="166"/>
      <c r="B365" s="167"/>
      <c r="C365" s="167"/>
      <c r="D365" s="147"/>
      <c r="E365" s="147"/>
      <c r="F365" s="147"/>
      <c r="G365" s="147"/>
      <c r="H365" s="147"/>
      <c r="I365" s="147"/>
      <c r="J365" s="147"/>
      <c r="K365" s="3"/>
      <c r="L365" s="3"/>
      <c r="M365" s="3"/>
      <c r="N365" s="3"/>
      <c r="O365" s="3"/>
      <c r="P365" s="3"/>
      <c r="Q365" s="3"/>
      <c r="R365" s="3"/>
      <c r="S365" s="3"/>
      <c r="T365" s="3"/>
      <c r="U365" s="3"/>
      <c r="V365" s="3"/>
      <c r="W365" s="3"/>
      <c r="X365" s="3"/>
      <c r="Y365" s="3"/>
      <c r="Z365" s="3"/>
    </row>
    <row r="366" spans="1:26" ht="22.5" customHeight="1" x14ac:dyDescent="0.85">
      <c r="A366" s="166"/>
      <c r="B366" s="167"/>
      <c r="C366" s="167"/>
      <c r="D366" s="147"/>
      <c r="E366" s="147"/>
      <c r="F366" s="147"/>
      <c r="G366" s="147"/>
      <c r="H366" s="147"/>
      <c r="I366" s="147"/>
      <c r="J366" s="147"/>
      <c r="K366" s="3"/>
      <c r="L366" s="3"/>
      <c r="M366" s="3"/>
      <c r="N366" s="3"/>
      <c r="O366" s="3"/>
      <c r="P366" s="3"/>
      <c r="Q366" s="3"/>
      <c r="R366" s="3"/>
      <c r="S366" s="3"/>
      <c r="T366" s="3"/>
      <c r="U366" s="3"/>
      <c r="V366" s="3"/>
      <c r="W366" s="3"/>
      <c r="X366" s="3"/>
      <c r="Y366" s="3"/>
      <c r="Z366" s="3"/>
    </row>
    <row r="367" spans="1:26" ht="22.5" customHeight="1" x14ac:dyDescent="0.85">
      <c r="A367" s="166"/>
      <c r="B367" s="167"/>
      <c r="C367" s="167"/>
      <c r="D367" s="147"/>
      <c r="E367" s="147"/>
      <c r="F367" s="147"/>
      <c r="G367" s="147"/>
      <c r="H367" s="147"/>
      <c r="I367" s="147"/>
      <c r="J367" s="147"/>
      <c r="K367" s="3"/>
      <c r="L367" s="3"/>
      <c r="M367" s="3"/>
      <c r="N367" s="3"/>
      <c r="O367" s="3"/>
      <c r="P367" s="3"/>
      <c r="Q367" s="3"/>
      <c r="R367" s="3"/>
      <c r="S367" s="3"/>
      <c r="T367" s="3"/>
      <c r="U367" s="3"/>
      <c r="V367" s="3"/>
      <c r="W367" s="3"/>
      <c r="X367" s="3"/>
      <c r="Y367" s="3"/>
      <c r="Z367" s="3"/>
    </row>
    <row r="368" spans="1:26" ht="22.5" customHeight="1" x14ac:dyDescent="0.85">
      <c r="A368" s="166"/>
      <c r="B368" s="167"/>
      <c r="C368" s="167"/>
      <c r="D368" s="147"/>
      <c r="E368" s="147"/>
      <c r="F368" s="147"/>
      <c r="G368" s="147"/>
      <c r="H368" s="147"/>
      <c r="I368" s="147"/>
      <c r="J368" s="147"/>
      <c r="K368" s="3"/>
      <c r="L368" s="3"/>
      <c r="M368" s="3"/>
      <c r="N368" s="3"/>
      <c r="O368" s="3"/>
      <c r="P368" s="3"/>
      <c r="Q368" s="3"/>
      <c r="R368" s="3"/>
      <c r="S368" s="3"/>
      <c r="T368" s="3"/>
      <c r="U368" s="3"/>
      <c r="V368" s="3"/>
      <c r="W368" s="3"/>
      <c r="X368" s="3"/>
      <c r="Y368" s="3"/>
      <c r="Z368" s="3"/>
    </row>
    <row r="369" spans="1:26" ht="22.5" customHeight="1" x14ac:dyDescent="0.85">
      <c r="A369" s="166"/>
      <c r="B369" s="167"/>
      <c r="C369" s="167"/>
      <c r="D369" s="147"/>
      <c r="E369" s="147"/>
      <c r="F369" s="147"/>
      <c r="G369" s="147"/>
      <c r="H369" s="147"/>
      <c r="I369" s="147"/>
      <c r="J369" s="147"/>
      <c r="K369" s="3"/>
      <c r="L369" s="3"/>
      <c r="M369" s="3"/>
      <c r="N369" s="3"/>
      <c r="O369" s="3"/>
      <c r="P369" s="3"/>
      <c r="Q369" s="3"/>
      <c r="R369" s="3"/>
      <c r="S369" s="3"/>
      <c r="T369" s="3"/>
      <c r="U369" s="3"/>
      <c r="V369" s="3"/>
      <c r="W369" s="3"/>
      <c r="X369" s="3"/>
      <c r="Y369" s="3"/>
      <c r="Z369" s="3"/>
    </row>
    <row r="370" spans="1:26" ht="22.5" customHeight="1" x14ac:dyDescent="0.85">
      <c r="A370" s="166"/>
      <c r="B370" s="167"/>
      <c r="C370" s="167"/>
      <c r="D370" s="147"/>
      <c r="E370" s="147"/>
      <c r="F370" s="147"/>
      <c r="G370" s="147"/>
      <c r="H370" s="147"/>
      <c r="I370" s="147"/>
      <c r="J370" s="147"/>
      <c r="K370" s="3"/>
      <c r="L370" s="3"/>
      <c r="M370" s="3"/>
      <c r="N370" s="3"/>
      <c r="O370" s="3"/>
      <c r="P370" s="3"/>
      <c r="Q370" s="3"/>
      <c r="R370" s="3"/>
      <c r="S370" s="3"/>
      <c r="T370" s="3"/>
      <c r="U370" s="3"/>
      <c r="V370" s="3"/>
      <c r="W370" s="3"/>
      <c r="X370" s="3"/>
      <c r="Y370" s="3"/>
      <c r="Z370" s="3"/>
    </row>
    <row r="371" spans="1:26" ht="22.5" customHeight="1" x14ac:dyDescent="0.85">
      <c r="A371" s="166"/>
      <c r="B371" s="167"/>
      <c r="C371" s="167"/>
      <c r="D371" s="147"/>
      <c r="E371" s="147"/>
      <c r="F371" s="147"/>
      <c r="G371" s="147"/>
      <c r="H371" s="147"/>
      <c r="I371" s="147"/>
      <c r="J371" s="147"/>
      <c r="K371" s="3"/>
      <c r="L371" s="3"/>
      <c r="M371" s="3"/>
      <c r="N371" s="3"/>
      <c r="O371" s="3"/>
      <c r="P371" s="3"/>
      <c r="Q371" s="3"/>
      <c r="R371" s="3"/>
      <c r="S371" s="3"/>
      <c r="T371" s="3"/>
      <c r="U371" s="3"/>
      <c r="V371" s="3"/>
      <c r="W371" s="3"/>
      <c r="X371" s="3"/>
      <c r="Y371" s="3"/>
      <c r="Z371" s="3"/>
    </row>
    <row r="372" spans="1:26" ht="22.5" customHeight="1" x14ac:dyDescent="0.85">
      <c r="A372" s="166"/>
      <c r="B372" s="167"/>
      <c r="C372" s="167"/>
      <c r="D372" s="147"/>
      <c r="E372" s="147"/>
      <c r="F372" s="147"/>
      <c r="G372" s="147"/>
      <c r="H372" s="147"/>
      <c r="I372" s="147"/>
      <c r="J372" s="147"/>
      <c r="K372" s="3"/>
      <c r="L372" s="3"/>
      <c r="M372" s="3"/>
      <c r="N372" s="3"/>
      <c r="O372" s="3"/>
      <c r="P372" s="3"/>
      <c r="Q372" s="3"/>
      <c r="R372" s="3"/>
      <c r="S372" s="3"/>
      <c r="T372" s="3"/>
      <c r="U372" s="3"/>
      <c r="V372" s="3"/>
      <c r="W372" s="3"/>
      <c r="X372" s="3"/>
      <c r="Y372" s="3"/>
      <c r="Z372" s="3"/>
    </row>
    <row r="373" spans="1:26" ht="22.5" customHeight="1" x14ac:dyDescent="0.85">
      <c r="A373" s="166"/>
      <c r="B373" s="167"/>
      <c r="C373" s="167"/>
      <c r="D373" s="147"/>
      <c r="E373" s="147"/>
      <c r="F373" s="147"/>
      <c r="G373" s="147"/>
      <c r="H373" s="147"/>
      <c r="I373" s="147"/>
      <c r="J373" s="147"/>
      <c r="K373" s="3"/>
      <c r="L373" s="3"/>
      <c r="M373" s="3"/>
      <c r="N373" s="3"/>
      <c r="O373" s="3"/>
      <c r="P373" s="3"/>
      <c r="Q373" s="3"/>
      <c r="R373" s="3"/>
      <c r="S373" s="3"/>
      <c r="T373" s="3"/>
      <c r="U373" s="3"/>
      <c r="V373" s="3"/>
      <c r="W373" s="3"/>
      <c r="X373" s="3"/>
      <c r="Y373" s="3"/>
      <c r="Z373" s="3"/>
    </row>
    <row r="374" spans="1:26" ht="22.5" customHeight="1" x14ac:dyDescent="0.85">
      <c r="A374" s="166"/>
      <c r="B374" s="167"/>
      <c r="C374" s="167"/>
      <c r="D374" s="147"/>
      <c r="E374" s="147"/>
      <c r="F374" s="147"/>
      <c r="G374" s="147"/>
      <c r="H374" s="147"/>
      <c r="I374" s="147"/>
      <c r="J374" s="147"/>
      <c r="K374" s="3"/>
      <c r="L374" s="3"/>
      <c r="M374" s="3"/>
      <c r="N374" s="3"/>
      <c r="O374" s="3"/>
      <c r="P374" s="3"/>
      <c r="Q374" s="3"/>
      <c r="R374" s="3"/>
      <c r="S374" s="3"/>
      <c r="T374" s="3"/>
      <c r="U374" s="3"/>
      <c r="V374" s="3"/>
      <c r="W374" s="3"/>
      <c r="X374" s="3"/>
      <c r="Y374" s="3"/>
      <c r="Z374" s="3"/>
    </row>
    <row r="375" spans="1:26" ht="22.5" customHeight="1" x14ac:dyDescent="0.85">
      <c r="A375" s="166"/>
      <c r="B375" s="167"/>
      <c r="C375" s="167"/>
      <c r="D375" s="147"/>
      <c r="E375" s="147"/>
      <c r="F375" s="147"/>
      <c r="G375" s="147"/>
      <c r="H375" s="147"/>
      <c r="I375" s="147"/>
      <c r="J375" s="147"/>
      <c r="K375" s="3"/>
      <c r="L375" s="3"/>
      <c r="M375" s="3"/>
      <c r="N375" s="3"/>
      <c r="O375" s="3"/>
      <c r="P375" s="3"/>
      <c r="Q375" s="3"/>
      <c r="R375" s="3"/>
      <c r="S375" s="3"/>
      <c r="T375" s="3"/>
      <c r="U375" s="3"/>
      <c r="V375" s="3"/>
      <c r="W375" s="3"/>
      <c r="X375" s="3"/>
      <c r="Y375" s="3"/>
      <c r="Z375" s="3"/>
    </row>
    <row r="376" spans="1:26" ht="22.5" customHeight="1" x14ac:dyDescent="0.85">
      <c r="A376" s="166"/>
      <c r="B376" s="167"/>
      <c r="C376" s="167"/>
      <c r="D376" s="147"/>
      <c r="E376" s="147"/>
      <c r="F376" s="147"/>
      <c r="G376" s="147"/>
      <c r="H376" s="147"/>
      <c r="I376" s="147"/>
      <c r="J376" s="147"/>
      <c r="K376" s="3"/>
      <c r="L376" s="3"/>
      <c r="M376" s="3"/>
      <c r="N376" s="3"/>
      <c r="O376" s="3"/>
      <c r="P376" s="3"/>
      <c r="Q376" s="3"/>
      <c r="R376" s="3"/>
      <c r="S376" s="3"/>
      <c r="T376" s="3"/>
      <c r="U376" s="3"/>
      <c r="V376" s="3"/>
      <c r="W376" s="3"/>
      <c r="X376" s="3"/>
      <c r="Y376" s="3"/>
      <c r="Z376" s="3"/>
    </row>
    <row r="377" spans="1:26" ht="22.5" customHeight="1" x14ac:dyDescent="0.85">
      <c r="A377" s="166"/>
      <c r="B377" s="167"/>
      <c r="C377" s="167"/>
      <c r="D377" s="147"/>
      <c r="E377" s="147"/>
      <c r="F377" s="147"/>
      <c r="G377" s="147"/>
      <c r="H377" s="147"/>
      <c r="I377" s="147"/>
      <c r="J377" s="147"/>
      <c r="K377" s="3"/>
      <c r="L377" s="3"/>
      <c r="M377" s="3"/>
      <c r="N377" s="3"/>
      <c r="O377" s="3"/>
      <c r="P377" s="3"/>
      <c r="Q377" s="3"/>
      <c r="R377" s="3"/>
      <c r="S377" s="3"/>
      <c r="T377" s="3"/>
      <c r="U377" s="3"/>
      <c r="V377" s="3"/>
      <c r="W377" s="3"/>
      <c r="X377" s="3"/>
      <c r="Y377" s="3"/>
      <c r="Z377" s="3"/>
    </row>
    <row r="378" spans="1:26" ht="22.5" customHeight="1" x14ac:dyDescent="0.85">
      <c r="A378" s="166"/>
      <c r="B378" s="167"/>
      <c r="C378" s="167"/>
      <c r="D378" s="147"/>
      <c r="E378" s="147"/>
      <c r="F378" s="147"/>
      <c r="G378" s="147"/>
      <c r="H378" s="147"/>
      <c r="I378" s="147"/>
      <c r="J378" s="147"/>
      <c r="K378" s="3"/>
      <c r="L378" s="3"/>
      <c r="M378" s="3"/>
      <c r="N378" s="3"/>
      <c r="O378" s="3"/>
      <c r="P378" s="3"/>
      <c r="Q378" s="3"/>
      <c r="R378" s="3"/>
      <c r="S378" s="3"/>
      <c r="T378" s="3"/>
      <c r="U378" s="3"/>
      <c r="V378" s="3"/>
      <c r="W378" s="3"/>
      <c r="X378" s="3"/>
      <c r="Y378" s="3"/>
      <c r="Z378" s="3"/>
    </row>
    <row r="379" spans="1:26" ht="22.5" customHeight="1" x14ac:dyDescent="0.85">
      <c r="A379" s="166"/>
      <c r="B379" s="167"/>
      <c r="C379" s="167"/>
      <c r="D379" s="147"/>
      <c r="E379" s="147"/>
      <c r="F379" s="147"/>
      <c r="G379" s="147"/>
      <c r="H379" s="147"/>
      <c r="I379" s="147"/>
      <c r="J379" s="147"/>
      <c r="K379" s="3"/>
      <c r="L379" s="3"/>
      <c r="M379" s="3"/>
      <c r="N379" s="3"/>
      <c r="O379" s="3"/>
      <c r="P379" s="3"/>
      <c r="Q379" s="3"/>
      <c r="R379" s="3"/>
      <c r="S379" s="3"/>
      <c r="T379" s="3"/>
      <c r="U379" s="3"/>
      <c r="V379" s="3"/>
      <c r="W379" s="3"/>
      <c r="X379" s="3"/>
      <c r="Y379" s="3"/>
      <c r="Z379" s="3"/>
    </row>
    <row r="380" spans="1:26" ht="22.5" customHeight="1" x14ac:dyDescent="0.85">
      <c r="A380" s="166"/>
      <c r="B380" s="167"/>
      <c r="C380" s="167"/>
      <c r="D380" s="147"/>
      <c r="E380" s="147"/>
      <c r="F380" s="147"/>
      <c r="G380" s="147"/>
      <c r="H380" s="147"/>
      <c r="I380" s="147"/>
      <c r="J380" s="147"/>
      <c r="K380" s="3"/>
      <c r="L380" s="3"/>
      <c r="M380" s="3"/>
      <c r="N380" s="3"/>
      <c r="O380" s="3"/>
      <c r="P380" s="3"/>
      <c r="Q380" s="3"/>
      <c r="R380" s="3"/>
      <c r="S380" s="3"/>
      <c r="T380" s="3"/>
      <c r="U380" s="3"/>
      <c r="V380" s="3"/>
      <c r="W380" s="3"/>
      <c r="X380" s="3"/>
      <c r="Y380" s="3"/>
      <c r="Z380" s="3"/>
    </row>
    <row r="381" spans="1:26" ht="22.5" customHeight="1" x14ac:dyDescent="0.85">
      <c r="A381" s="166"/>
      <c r="B381" s="167"/>
      <c r="C381" s="167"/>
      <c r="D381" s="147"/>
      <c r="E381" s="147"/>
      <c r="F381" s="147"/>
      <c r="G381" s="147"/>
      <c r="H381" s="147"/>
      <c r="I381" s="147"/>
      <c r="J381" s="147"/>
      <c r="K381" s="3"/>
      <c r="L381" s="3"/>
      <c r="M381" s="3"/>
      <c r="N381" s="3"/>
      <c r="O381" s="3"/>
      <c r="P381" s="3"/>
      <c r="Q381" s="3"/>
      <c r="R381" s="3"/>
      <c r="S381" s="3"/>
      <c r="T381" s="3"/>
      <c r="U381" s="3"/>
      <c r="V381" s="3"/>
      <c r="W381" s="3"/>
      <c r="X381" s="3"/>
      <c r="Y381" s="3"/>
      <c r="Z381" s="3"/>
    </row>
    <row r="382" spans="1:26" ht="22.5" customHeight="1" x14ac:dyDescent="0.85">
      <c r="A382" s="166"/>
      <c r="B382" s="167"/>
      <c r="C382" s="167"/>
      <c r="D382" s="147"/>
      <c r="E382" s="147"/>
      <c r="F382" s="147"/>
      <c r="G382" s="147"/>
      <c r="H382" s="147"/>
      <c r="I382" s="147"/>
      <c r="J382" s="147"/>
      <c r="K382" s="3"/>
      <c r="L382" s="3"/>
      <c r="M382" s="3"/>
      <c r="N382" s="3"/>
      <c r="O382" s="3"/>
      <c r="P382" s="3"/>
      <c r="Q382" s="3"/>
      <c r="R382" s="3"/>
      <c r="S382" s="3"/>
      <c r="T382" s="3"/>
      <c r="U382" s="3"/>
      <c r="V382" s="3"/>
      <c r="W382" s="3"/>
      <c r="X382" s="3"/>
      <c r="Y382" s="3"/>
      <c r="Z382" s="3"/>
    </row>
    <row r="383" spans="1:26" ht="22.5" customHeight="1" x14ac:dyDescent="0.85">
      <c r="A383" s="166"/>
      <c r="B383" s="167"/>
      <c r="C383" s="167"/>
      <c r="D383" s="147"/>
      <c r="E383" s="147"/>
      <c r="F383" s="147"/>
      <c r="G383" s="147"/>
      <c r="H383" s="147"/>
      <c r="I383" s="147"/>
      <c r="J383" s="147"/>
      <c r="K383" s="3"/>
      <c r="L383" s="3"/>
      <c r="M383" s="3"/>
      <c r="N383" s="3"/>
      <c r="O383" s="3"/>
      <c r="P383" s="3"/>
      <c r="Q383" s="3"/>
      <c r="R383" s="3"/>
      <c r="S383" s="3"/>
      <c r="T383" s="3"/>
      <c r="U383" s="3"/>
      <c r="V383" s="3"/>
      <c r="W383" s="3"/>
      <c r="X383" s="3"/>
      <c r="Y383" s="3"/>
      <c r="Z383" s="3"/>
    </row>
    <row r="384" spans="1:26" ht="22.5" customHeight="1" x14ac:dyDescent="0.85">
      <c r="A384" s="166"/>
      <c r="B384" s="167"/>
      <c r="C384" s="167"/>
      <c r="D384" s="147"/>
      <c r="E384" s="147"/>
      <c r="F384" s="147"/>
      <c r="G384" s="147"/>
      <c r="H384" s="147"/>
      <c r="I384" s="147"/>
      <c r="J384" s="147"/>
      <c r="K384" s="3"/>
      <c r="L384" s="3"/>
      <c r="M384" s="3"/>
      <c r="N384" s="3"/>
      <c r="O384" s="3"/>
      <c r="P384" s="3"/>
      <c r="Q384" s="3"/>
      <c r="R384" s="3"/>
      <c r="S384" s="3"/>
      <c r="T384" s="3"/>
      <c r="U384" s="3"/>
      <c r="V384" s="3"/>
      <c r="W384" s="3"/>
      <c r="X384" s="3"/>
      <c r="Y384" s="3"/>
      <c r="Z384" s="3"/>
    </row>
    <row r="385" spans="1:26" ht="22.5" customHeight="1" x14ac:dyDescent="0.85">
      <c r="A385" s="166"/>
      <c r="B385" s="167"/>
      <c r="C385" s="167"/>
      <c r="D385" s="147"/>
      <c r="E385" s="147"/>
      <c r="F385" s="147"/>
      <c r="G385" s="147"/>
      <c r="H385" s="147"/>
      <c r="I385" s="147"/>
      <c r="J385" s="147"/>
      <c r="K385" s="3"/>
      <c r="L385" s="3"/>
      <c r="M385" s="3"/>
      <c r="N385" s="3"/>
      <c r="O385" s="3"/>
      <c r="P385" s="3"/>
      <c r="Q385" s="3"/>
      <c r="R385" s="3"/>
      <c r="S385" s="3"/>
      <c r="T385" s="3"/>
      <c r="U385" s="3"/>
      <c r="V385" s="3"/>
      <c r="W385" s="3"/>
      <c r="X385" s="3"/>
      <c r="Y385" s="3"/>
      <c r="Z385" s="3"/>
    </row>
    <row r="386" spans="1:26" ht="22.5" customHeight="1" x14ac:dyDescent="0.85">
      <c r="A386" s="166"/>
      <c r="B386" s="167"/>
      <c r="C386" s="167"/>
      <c r="D386" s="147"/>
      <c r="E386" s="147"/>
      <c r="F386" s="147"/>
      <c r="G386" s="147"/>
      <c r="H386" s="147"/>
      <c r="I386" s="147"/>
      <c r="J386" s="147"/>
      <c r="K386" s="3"/>
      <c r="L386" s="3"/>
      <c r="M386" s="3"/>
      <c r="N386" s="3"/>
      <c r="O386" s="3"/>
      <c r="P386" s="3"/>
      <c r="Q386" s="3"/>
      <c r="R386" s="3"/>
      <c r="S386" s="3"/>
      <c r="T386" s="3"/>
      <c r="U386" s="3"/>
      <c r="V386" s="3"/>
      <c r="W386" s="3"/>
      <c r="X386" s="3"/>
      <c r="Y386" s="3"/>
      <c r="Z386" s="3"/>
    </row>
    <row r="387" spans="1:26" ht="22.5" customHeight="1" x14ac:dyDescent="0.85">
      <c r="A387" s="166"/>
      <c r="B387" s="167"/>
      <c r="C387" s="167"/>
      <c r="D387" s="147"/>
      <c r="E387" s="147"/>
      <c r="F387" s="147"/>
      <c r="G387" s="147"/>
      <c r="H387" s="147"/>
      <c r="I387" s="147"/>
      <c r="J387" s="147"/>
      <c r="K387" s="3"/>
      <c r="L387" s="3"/>
      <c r="M387" s="3"/>
      <c r="N387" s="3"/>
      <c r="O387" s="3"/>
      <c r="P387" s="3"/>
      <c r="Q387" s="3"/>
      <c r="R387" s="3"/>
      <c r="S387" s="3"/>
      <c r="T387" s="3"/>
      <c r="U387" s="3"/>
      <c r="V387" s="3"/>
      <c r="W387" s="3"/>
      <c r="X387" s="3"/>
      <c r="Y387" s="3"/>
      <c r="Z387" s="3"/>
    </row>
    <row r="388" spans="1:26" ht="22.5" customHeight="1" x14ac:dyDescent="0.85">
      <c r="A388" s="166"/>
      <c r="B388" s="167"/>
      <c r="C388" s="167"/>
      <c r="D388" s="147"/>
      <c r="E388" s="147"/>
      <c r="F388" s="147"/>
      <c r="G388" s="147"/>
      <c r="H388" s="147"/>
      <c r="I388" s="147"/>
      <c r="J388" s="147"/>
      <c r="K388" s="3"/>
      <c r="L388" s="3"/>
      <c r="M388" s="3"/>
      <c r="N388" s="3"/>
      <c r="O388" s="3"/>
      <c r="P388" s="3"/>
      <c r="Q388" s="3"/>
      <c r="R388" s="3"/>
      <c r="S388" s="3"/>
      <c r="T388" s="3"/>
      <c r="U388" s="3"/>
      <c r="V388" s="3"/>
      <c r="W388" s="3"/>
      <c r="X388" s="3"/>
      <c r="Y388" s="3"/>
      <c r="Z388" s="3"/>
    </row>
    <row r="389" spans="1:26" ht="22.5" customHeight="1" x14ac:dyDescent="0.85">
      <c r="A389" s="166"/>
      <c r="B389" s="167"/>
      <c r="C389" s="167"/>
      <c r="D389" s="147"/>
      <c r="E389" s="147"/>
      <c r="F389" s="147"/>
      <c r="G389" s="147"/>
      <c r="H389" s="147"/>
      <c r="I389" s="147"/>
      <c r="J389" s="147"/>
      <c r="K389" s="3"/>
      <c r="L389" s="3"/>
      <c r="M389" s="3"/>
      <c r="N389" s="3"/>
      <c r="O389" s="3"/>
      <c r="P389" s="3"/>
      <c r="Q389" s="3"/>
      <c r="R389" s="3"/>
      <c r="S389" s="3"/>
      <c r="T389" s="3"/>
      <c r="U389" s="3"/>
      <c r="V389" s="3"/>
      <c r="W389" s="3"/>
      <c r="X389" s="3"/>
      <c r="Y389" s="3"/>
      <c r="Z389" s="3"/>
    </row>
    <row r="390" spans="1:26" ht="22.5" customHeight="1" x14ac:dyDescent="0.85">
      <c r="A390" s="166"/>
      <c r="B390" s="167"/>
      <c r="C390" s="167"/>
      <c r="D390" s="147"/>
      <c r="E390" s="147"/>
      <c r="F390" s="147"/>
      <c r="G390" s="147"/>
      <c r="H390" s="147"/>
      <c r="I390" s="147"/>
      <c r="J390" s="147"/>
      <c r="K390" s="3"/>
      <c r="L390" s="3"/>
      <c r="M390" s="3"/>
      <c r="N390" s="3"/>
      <c r="O390" s="3"/>
      <c r="P390" s="3"/>
      <c r="Q390" s="3"/>
      <c r="R390" s="3"/>
      <c r="S390" s="3"/>
      <c r="T390" s="3"/>
      <c r="U390" s="3"/>
      <c r="V390" s="3"/>
      <c r="W390" s="3"/>
      <c r="X390" s="3"/>
      <c r="Y390" s="3"/>
      <c r="Z390" s="3"/>
    </row>
    <row r="391" spans="1:26" ht="22.5" customHeight="1" x14ac:dyDescent="0.85">
      <c r="A391" s="166"/>
      <c r="B391" s="167"/>
      <c r="C391" s="167"/>
      <c r="D391" s="147"/>
      <c r="E391" s="147"/>
      <c r="F391" s="147"/>
      <c r="G391" s="147"/>
      <c r="H391" s="147"/>
      <c r="I391" s="147"/>
      <c r="J391" s="147"/>
      <c r="K391" s="3"/>
      <c r="L391" s="3"/>
      <c r="M391" s="3"/>
      <c r="N391" s="3"/>
      <c r="O391" s="3"/>
      <c r="P391" s="3"/>
      <c r="Q391" s="3"/>
      <c r="R391" s="3"/>
      <c r="S391" s="3"/>
      <c r="T391" s="3"/>
      <c r="U391" s="3"/>
      <c r="V391" s="3"/>
      <c r="W391" s="3"/>
      <c r="X391" s="3"/>
      <c r="Y391" s="3"/>
      <c r="Z391" s="3"/>
    </row>
    <row r="392" spans="1:26" ht="22.5" customHeight="1" x14ac:dyDescent="0.85">
      <c r="A392" s="166"/>
      <c r="B392" s="167"/>
      <c r="C392" s="167"/>
      <c r="D392" s="147"/>
      <c r="E392" s="147"/>
      <c r="F392" s="147"/>
      <c r="G392" s="147"/>
      <c r="H392" s="147"/>
      <c r="I392" s="147"/>
      <c r="J392" s="147"/>
      <c r="K392" s="3"/>
      <c r="L392" s="3"/>
      <c r="M392" s="3"/>
      <c r="N392" s="3"/>
      <c r="O392" s="3"/>
      <c r="P392" s="3"/>
      <c r="Q392" s="3"/>
      <c r="R392" s="3"/>
      <c r="S392" s="3"/>
      <c r="T392" s="3"/>
      <c r="U392" s="3"/>
      <c r="V392" s="3"/>
      <c r="W392" s="3"/>
      <c r="X392" s="3"/>
      <c r="Y392" s="3"/>
      <c r="Z392" s="3"/>
    </row>
    <row r="393" spans="1:26" ht="22.5" customHeight="1" x14ac:dyDescent="0.85">
      <c r="A393" s="166"/>
      <c r="B393" s="167"/>
      <c r="C393" s="167"/>
      <c r="D393" s="147"/>
      <c r="E393" s="147"/>
      <c r="F393" s="147"/>
      <c r="G393" s="147"/>
      <c r="H393" s="147"/>
      <c r="I393" s="147"/>
      <c r="J393" s="147"/>
      <c r="K393" s="3"/>
      <c r="L393" s="3"/>
      <c r="M393" s="3"/>
      <c r="N393" s="3"/>
      <c r="O393" s="3"/>
      <c r="P393" s="3"/>
      <c r="Q393" s="3"/>
      <c r="R393" s="3"/>
      <c r="S393" s="3"/>
      <c r="T393" s="3"/>
      <c r="U393" s="3"/>
      <c r="V393" s="3"/>
      <c r="W393" s="3"/>
      <c r="X393" s="3"/>
      <c r="Y393" s="3"/>
      <c r="Z393" s="3"/>
    </row>
    <row r="394" spans="1:26" ht="22.5" customHeight="1" x14ac:dyDescent="0.85">
      <c r="A394" s="166"/>
      <c r="B394" s="167"/>
      <c r="C394" s="167"/>
      <c r="D394" s="147"/>
      <c r="E394" s="147"/>
      <c r="F394" s="147"/>
      <c r="G394" s="147"/>
      <c r="H394" s="147"/>
      <c r="I394" s="147"/>
      <c r="J394" s="147"/>
      <c r="K394" s="3"/>
      <c r="L394" s="3"/>
      <c r="M394" s="3"/>
      <c r="N394" s="3"/>
      <c r="O394" s="3"/>
      <c r="P394" s="3"/>
      <c r="Q394" s="3"/>
      <c r="R394" s="3"/>
      <c r="S394" s="3"/>
      <c r="T394" s="3"/>
      <c r="U394" s="3"/>
      <c r="V394" s="3"/>
      <c r="W394" s="3"/>
      <c r="X394" s="3"/>
      <c r="Y394" s="3"/>
      <c r="Z394" s="3"/>
    </row>
    <row r="395" spans="1:26" ht="22.5" customHeight="1" x14ac:dyDescent="0.85">
      <c r="A395" s="166"/>
      <c r="B395" s="167"/>
      <c r="C395" s="167"/>
      <c r="D395" s="147"/>
      <c r="E395" s="147"/>
      <c r="F395" s="147"/>
      <c r="G395" s="147"/>
      <c r="H395" s="147"/>
      <c r="I395" s="147"/>
      <c r="J395" s="147"/>
      <c r="K395" s="3"/>
      <c r="L395" s="3"/>
      <c r="M395" s="3"/>
      <c r="N395" s="3"/>
      <c r="O395" s="3"/>
      <c r="P395" s="3"/>
      <c r="Q395" s="3"/>
      <c r="R395" s="3"/>
      <c r="S395" s="3"/>
      <c r="T395" s="3"/>
      <c r="U395" s="3"/>
      <c r="V395" s="3"/>
      <c r="W395" s="3"/>
      <c r="X395" s="3"/>
      <c r="Y395" s="3"/>
      <c r="Z395" s="3"/>
    </row>
    <row r="396" spans="1:26" ht="22.5" customHeight="1" x14ac:dyDescent="0.85">
      <c r="A396" s="166"/>
      <c r="B396" s="167"/>
      <c r="C396" s="167"/>
      <c r="D396" s="147"/>
      <c r="E396" s="147"/>
      <c r="F396" s="147"/>
      <c r="G396" s="147"/>
      <c r="H396" s="147"/>
      <c r="I396" s="147"/>
      <c r="J396" s="147"/>
      <c r="K396" s="3"/>
      <c r="L396" s="3"/>
      <c r="M396" s="3"/>
      <c r="N396" s="3"/>
      <c r="O396" s="3"/>
      <c r="P396" s="3"/>
      <c r="Q396" s="3"/>
      <c r="R396" s="3"/>
      <c r="S396" s="3"/>
      <c r="T396" s="3"/>
      <c r="U396" s="3"/>
      <c r="V396" s="3"/>
      <c r="W396" s="3"/>
      <c r="X396" s="3"/>
      <c r="Y396" s="3"/>
      <c r="Z396" s="3"/>
    </row>
    <row r="397" spans="1:26" ht="22.5" customHeight="1" x14ac:dyDescent="0.85">
      <c r="A397" s="166"/>
      <c r="B397" s="167"/>
      <c r="C397" s="167"/>
      <c r="D397" s="147"/>
      <c r="E397" s="147"/>
      <c r="F397" s="147"/>
      <c r="G397" s="147"/>
      <c r="H397" s="147"/>
      <c r="I397" s="147"/>
      <c r="J397" s="147"/>
      <c r="K397" s="3"/>
      <c r="L397" s="3"/>
      <c r="M397" s="3"/>
      <c r="N397" s="3"/>
      <c r="O397" s="3"/>
      <c r="P397" s="3"/>
      <c r="Q397" s="3"/>
      <c r="R397" s="3"/>
      <c r="S397" s="3"/>
      <c r="T397" s="3"/>
      <c r="U397" s="3"/>
      <c r="V397" s="3"/>
      <c r="W397" s="3"/>
      <c r="X397" s="3"/>
      <c r="Y397" s="3"/>
      <c r="Z397" s="3"/>
    </row>
    <row r="398" spans="1:26" ht="22.5" customHeight="1" x14ac:dyDescent="0.85">
      <c r="A398" s="166"/>
      <c r="B398" s="167"/>
      <c r="C398" s="167"/>
      <c r="D398" s="147"/>
      <c r="E398" s="147"/>
      <c r="F398" s="147"/>
      <c r="G398" s="147"/>
      <c r="H398" s="147"/>
      <c r="I398" s="147"/>
      <c r="J398" s="147"/>
      <c r="K398" s="3"/>
      <c r="L398" s="3"/>
      <c r="M398" s="3"/>
      <c r="N398" s="3"/>
      <c r="O398" s="3"/>
      <c r="P398" s="3"/>
      <c r="Q398" s="3"/>
      <c r="R398" s="3"/>
      <c r="S398" s="3"/>
      <c r="T398" s="3"/>
      <c r="U398" s="3"/>
      <c r="V398" s="3"/>
      <c r="W398" s="3"/>
      <c r="X398" s="3"/>
      <c r="Y398" s="3"/>
      <c r="Z398" s="3"/>
    </row>
    <row r="399" spans="1:26" ht="22.5" customHeight="1" x14ac:dyDescent="0.85">
      <c r="A399" s="166"/>
      <c r="B399" s="167"/>
      <c r="C399" s="167"/>
      <c r="D399" s="147"/>
      <c r="E399" s="147"/>
      <c r="F399" s="147"/>
      <c r="G399" s="147"/>
      <c r="H399" s="147"/>
      <c r="I399" s="147"/>
      <c r="J399" s="147"/>
      <c r="K399" s="3"/>
      <c r="L399" s="3"/>
      <c r="M399" s="3"/>
      <c r="N399" s="3"/>
      <c r="O399" s="3"/>
      <c r="P399" s="3"/>
      <c r="Q399" s="3"/>
      <c r="R399" s="3"/>
      <c r="S399" s="3"/>
      <c r="T399" s="3"/>
      <c r="U399" s="3"/>
      <c r="V399" s="3"/>
      <c r="W399" s="3"/>
      <c r="X399" s="3"/>
      <c r="Y399" s="3"/>
      <c r="Z399" s="3"/>
    </row>
    <row r="400" spans="1:26" ht="22.5" customHeight="1" x14ac:dyDescent="0.85">
      <c r="A400" s="166"/>
      <c r="B400" s="167"/>
      <c r="C400" s="167"/>
      <c r="D400" s="147"/>
      <c r="E400" s="147"/>
      <c r="F400" s="147"/>
      <c r="G400" s="147"/>
      <c r="H400" s="147"/>
      <c r="I400" s="147"/>
      <c r="J400" s="147"/>
      <c r="K400" s="3"/>
      <c r="L400" s="3"/>
      <c r="M400" s="3"/>
      <c r="N400" s="3"/>
      <c r="O400" s="3"/>
      <c r="P400" s="3"/>
      <c r="Q400" s="3"/>
      <c r="R400" s="3"/>
      <c r="S400" s="3"/>
      <c r="T400" s="3"/>
      <c r="U400" s="3"/>
      <c r="V400" s="3"/>
      <c r="W400" s="3"/>
      <c r="X400" s="3"/>
      <c r="Y400" s="3"/>
      <c r="Z400" s="3"/>
    </row>
    <row r="401" spans="1:26" ht="22.5" customHeight="1" x14ac:dyDescent="0.85">
      <c r="A401" s="166"/>
      <c r="B401" s="167"/>
      <c r="C401" s="167"/>
      <c r="D401" s="147"/>
      <c r="E401" s="147"/>
      <c r="F401" s="147"/>
      <c r="G401" s="147"/>
      <c r="H401" s="147"/>
      <c r="I401" s="147"/>
      <c r="J401" s="147"/>
      <c r="K401" s="3"/>
      <c r="L401" s="3"/>
      <c r="M401" s="3"/>
      <c r="N401" s="3"/>
      <c r="O401" s="3"/>
      <c r="P401" s="3"/>
      <c r="Q401" s="3"/>
      <c r="R401" s="3"/>
      <c r="S401" s="3"/>
      <c r="T401" s="3"/>
      <c r="U401" s="3"/>
      <c r="V401" s="3"/>
      <c r="W401" s="3"/>
      <c r="X401" s="3"/>
      <c r="Y401" s="3"/>
      <c r="Z401" s="3"/>
    </row>
    <row r="402" spans="1:26" ht="22.5" customHeight="1" x14ac:dyDescent="0.85">
      <c r="A402" s="166"/>
      <c r="B402" s="167"/>
      <c r="C402" s="167"/>
      <c r="D402" s="147"/>
      <c r="E402" s="147"/>
      <c r="F402" s="147"/>
      <c r="G402" s="147"/>
      <c r="H402" s="147"/>
      <c r="I402" s="147"/>
      <c r="J402" s="147"/>
      <c r="K402" s="3"/>
      <c r="L402" s="3"/>
      <c r="M402" s="3"/>
      <c r="N402" s="3"/>
      <c r="O402" s="3"/>
      <c r="P402" s="3"/>
      <c r="Q402" s="3"/>
      <c r="R402" s="3"/>
      <c r="S402" s="3"/>
      <c r="T402" s="3"/>
      <c r="U402" s="3"/>
      <c r="V402" s="3"/>
      <c r="W402" s="3"/>
      <c r="X402" s="3"/>
      <c r="Y402" s="3"/>
      <c r="Z402" s="3"/>
    </row>
    <row r="403" spans="1:26" ht="22.5" customHeight="1" x14ac:dyDescent="0.85">
      <c r="A403" s="166"/>
      <c r="B403" s="167"/>
      <c r="C403" s="167"/>
      <c r="D403" s="147"/>
      <c r="E403" s="147"/>
      <c r="F403" s="147"/>
      <c r="G403" s="147"/>
      <c r="H403" s="147"/>
      <c r="I403" s="147"/>
      <c r="J403" s="147"/>
      <c r="K403" s="3"/>
      <c r="L403" s="3"/>
      <c r="M403" s="3"/>
      <c r="N403" s="3"/>
      <c r="O403" s="3"/>
      <c r="P403" s="3"/>
      <c r="Q403" s="3"/>
      <c r="R403" s="3"/>
      <c r="S403" s="3"/>
      <c r="T403" s="3"/>
      <c r="U403" s="3"/>
      <c r="V403" s="3"/>
      <c r="W403" s="3"/>
      <c r="X403" s="3"/>
      <c r="Y403" s="3"/>
      <c r="Z403" s="3"/>
    </row>
    <row r="404" spans="1:26" ht="22.5" customHeight="1" x14ac:dyDescent="0.85">
      <c r="A404" s="166"/>
      <c r="B404" s="167"/>
      <c r="C404" s="167"/>
      <c r="D404" s="147"/>
      <c r="E404" s="147"/>
      <c r="F404" s="147"/>
      <c r="G404" s="147"/>
      <c r="H404" s="147"/>
      <c r="I404" s="147"/>
      <c r="J404" s="147"/>
      <c r="K404" s="3"/>
      <c r="L404" s="3"/>
      <c r="M404" s="3"/>
      <c r="N404" s="3"/>
      <c r="O404" s="3"/>
      <c r="P404" s="3"/>
      <c r="Q404" s="3"/>
      <c r="R404" s="3"/>
      <c r="S404" s="3"/>
      <c r="T404" s="3"/>
      <c r="U404" s="3"/>
      <c r="V404" s="3"/>
      <c r="W404" s="3"/>
      <c r="X404" s="3"/>
      <c r="Y404" s="3"/>
      <c r="Z404" s="3"/>
    </row>
    <row r="405" spans="1:26" ht="22.5" customHeight="1" x14ac:dyDescent="0.85">
      <c r="A405" s="166"/>
      <c r="B405" s="167"/>
      <c r="C405" s="167"/>
      <c r="D405" s="147"/>
      <c r="E405" s="147"/>
      <c r="F405" s="147"/>
      <c r="G405" s="147"/>
      <c r="H405" s="147"/>
      <c r="I405" s="147"/>
      <c r="J405" s="147"/>
      <c r="K405" s="3"/>
      <c r="L405" s="3"/>
      <c r="M405" s="3"/>
      <c r="N405" s="3"/>
      <c r="O405" s="3"/>
      <c r="P405" s="3"/>
      <c r="Q405" s="3"/>
      <c r="R405" s="3"/>
      <c r="S405" s="3"/>
      <c r="T405" s="3"/>
      <c r="U405" s="3"/>
      <c r="V405" s="3"/>
      <c r="W405" s="3"/>
      <c r="X405" s="3"/>
      <c r="Y405" s="3"/>
      <c r="Z405" s="3"/>
    </row>
    <row r="406" spans="1:26" ht="22.5" customHeight="1" x14ac:dyDescent="0.85">
      <c r="A406" s="166"/>
      <c r="B406" s="167"/>
      <c r="C406" s="167"/>
      <c r="D406" s="147"/>
      <c r="E406" s="147"/>
      <c r="F406" s="147"/>
      <c r="G406" s="147"/>
      <c r="H406" s="147"/>
      <c r="I406" s="147"/>
      <c r="J406" s="147"/>
      <c r="K406" s="3"/>
      <c r="L406" s="3"/>
      <c r="M406" s="3"/>
      <c r="N406" s="3"/>
      <c r="O406" s="3"/>
      <c r="P406" s="3"/>
      <c r="Q406" s="3"/>
      <c r="R406" s="3"/>
      <c r="S406" s="3"/>
      <c r="T406" s="3"/>
      <c r="U406" s="3"/>
      <c r="V406" s="3"/>
      <c r="W406" s="3"/>
      <c r="X406" s="3"/>
      <c r="Y406" s="3"/>
      <c r="Z406" s="3"/>
    </row>
    <row r="407" spans="1:26" ht="22.5" customHeight="1" x14ac:dyDescent="0.85">
      <c r="A407" s="166"/>
      <c r="B407" s="167"/>
      <c r="C407" s="167"/>
      <c r="D407" s="147"/>
      <c r="E407" s="147"/>
      <c r="F407" s="147"/>
      <c r="G407" s="147"/>
      <c r="H407" s="147"/>
      <c r="I407" s="147"/>
      <c r="J407" s="147"/>
      <c r="K407" s="3"/>
      <c r="L407" s="3"/>
      <c r="M407" s="3"/>
      <c r="N407" s="3"/>
      <c r="O407" s="3"/>
      <c r="P407" s="3"/>
      <c r="Q407" s="3"/>
      <c r="R407" s="3"/>
      <c r="S407" s="3"/>
      <c r="T407" s="3"/>
      <c r="U407" s="3"/>
      <c r="V407" s="3"/>
      <c r="W407" s="3"/>
      <c r="X407" s="3"/>
      <c r="Y407" s="3"/>
      <c r="Z407" s="3"/>
    </row>
    <row r="408" spans="1:26" ht="22.5" customHeight="1" x14ac:dyDescent="0.85">
      <c r="A408" s="166"/>
      <c r="B408" s="167"/>
      <c r="C408" s="167"/>
      <c r="D408" s="147"/>
      <c r="E408" s="147"/>
      <c r="F408" s="147"/>
      <c r="G408" s="147"/>
      <c r="H408" s="147"/>
      <c r="I408" s="147"/>
      <c r="J408" s="147"/>
      <c r="K408" s="3"/>
      <c r="L408" s="3"/>
      <c r="M408" s="3"/>
      <c r="N408" s="3"/>
      <c r="O408" s="3"/>
      <c r="P408" s="3"/>
      <c r="Q408" s="3"/>
      <c r="R408" s="3"/>
      <c r="S408" s="3"/>
      <c r="T408" s="3"/>
      <c r="U408" s="3"/>
      <c r="V408" s="3"/>
      <c r="W408" s="3"/>
      <c r="X408" s="3"/>
      <c r="Y408" s="3"/>
      <c r="Z408" s="3"/>
    </row>
    <row r="409" spans="1:26" ht="22.5" customHeight="1" x14ac:dyDescent="0.85">
      <c r="A409" s="166"/>
      <c r="B409" s="167"/>
      <c r="C409" s="167"/>
      <c r="D409" s="147"/>
      <c r="E409" s="147"/>
      <c r="F409" s="147"/>
      <c r="G409" s="147"/>
      <c r="H409" s="147"/>
      <c r="I409" s="147"/>
      <c r="J409" s="147"/>
      <c r="K409" s="3"/>
      <c r="L409" s="3"/>
      <c r="M409" s="3"/>
      <c r="N409" s="3"/>
      <c r="O409" s="3"/>
      <c r="P409" s="3"/>
      <c r="Q409" s="3"/>
      <c r="R409" s="3"/>
      <c r="S409" s="3"/>
      <c r="T409" s="3"/>
      <c r="U409" s="3"/>
      <c r="V409" s="3"/>
      <c r="W409" s="3"/>
      <c r="X409" s="3"/>
      <c r="Y409" s="3"/>
      <c r="Z409" s="3"/>
    </row>
    <row r="410" spans="1:26" ht="22.5" customHeight="1" x14ac:dyDescent="0.85">
      <c r="A410" s="166"/>
      <c r="B410" s="167"/>
      <c r="C410" s="167"/>
      <c r="D410" s="147"/>
      <c r="E410" s="147"/>
      <c r="F410" s="147"/>
      <c r="G410" s="147"/>
      <c r="H410" s="147"/>
      <c r="I410" s="147"/>
      <c r="J410" s="147"/>
      <c r="K410" s="3"/>
      <c r="L410" s="3"/>
      <c r="M410" s="3"/>
      <c r="N410" s="3"/>
      <c r="O410" s="3"/>
      <c r="P410" s="3"/>
      <c r="Q410" s="3"/>
      <c r="R410" s="3"/>
      <c r="S410" s="3"/>
      <c r="T410" s="3"/>
      <c r="U410" s="3"/>
      <c r="V410" s="3"/>
      <c r="W410" s="3"/>
      <c r="X410" s="3"/>
      <c r="Y410" s="3"/>
      <c r="Z410" s="3"/>
    </row>
    <row r="411" spans="1:26" ht="22.5" customHeight="1" x14ac:dyDescent="0.85">
      <c r="A411" s="166"/>
      <c r="B411" s="167"/>
      <c r="C411" s="167"/>
      <c r="D411" s="147"/>
      <c r="E411" s="147"/>
      <c r="F411" s="147"/>
      <c r="G411" s="147"/>
      <c r="H411" s="147"/>
      <c r="I411" s="147"/>
      <c r="J411" s="147"/>
      <c r="K411" s="3"/>
      <c r="L411" s="3"/>
      <c r="M411" s="3"/>
      <c r="N411" s="3"/>
      <c r="O411" s="3"/>
      <c r="P411" s="3"/>
      <c r="Q411" s="3"/>
      <c r="R411" s="3"/>
      <c r="S411" s="3"/>
      <c r="T411" s="3"/>
      <c r="U411" s="3"/>
      <c r="V411" s="3"/>
      <c r="W411" s="3"/>
      <c r="X411" s="3"/>
      <c r="Y411" s="3"/>
      <c r="Z411" s="3"/>
    </row>
    <row r="412" spans="1:26" ht="22.5" customHeight="1" x14ac:dyDescent="0.85">
      <c r="A412" s="166"/>
      <c r="B412" s="167"/>
      <c r="C412" s="167"/>
      <c r="D412" s="147"/>
      <c r="E412" s="147"/>
      <c r="F412" s="147"/>
      <c r="G412" s="147"/>
      <c r="H412" s="147"/>
      <c r="I412" s="147"/>
      <c r="J412" s="147"/>
      <c r="K412" s="3"/>
      <c r="L412" s="3"/>
      <c r="M412" s="3"/>
      <c r="N412" s="3"/>
      <c r="O412" s="3"/>
      <c r="P412" s="3"/>
      <c r="Q412" s="3"/>
      <c r="R412" s="3"/>
      <c r="S412" s="3"/>
      <c r="T412" s="3"/>
      <c r="U412" s="3"/>
      <c r="V412" s="3"/>
      <c r="W412" s="3"/>
      <c r="X412" s="3"/>
      <c r="Y412" s="3"/>
      <c r="Z412" s="3"/>
    </row>
    <row r="413" spans="1:26" ht="22.5" customHeight="1" x14ac:dyDescent="0.85">
      <c r="A413" s="166"/>
      <c r="B413" s="167"/>
      <c r="C413" s="167"/>
      <c r="D413" s="147"/>
      <c r="E413" s="147"/>
      <c r="F413" s="147"/>
      <c r="G413" s="147"/>
      <c r="H413" s="147"/>
      <c r="I413" s="147"/>
      <c r="J413" s="147"/>
      <c r="K413" s="3"/>
      <c r="L413" s="3"/>
      <c r="M413" s="3"/>
      <c r="N413" s="3"/>
      <c r="O413" s="3"/>
      <c r="P413" s="3"/>
      <c r="Q413" s="3"/>
      <c r="R413" s="3"/>
      <c r="S413" s="3"/>
      <c r="T413" s="3"/>
      <c r="U413" s="3"/>
      <c r="V413" s="3"/>
      <c r="W413" s="3"/>
      <c r="X413" s="3"/>
      <c r="Y413" s="3"/>
      <c r="Z413" s="3"/>
    </row>
    <row r="414" spans="1:26" ht="22.5" customHeight="1" x14ac:dyDescent="0.85">
      <c r="A414" s="166"/>
      <c r="B414" s="167"/>
      <c r="C414" s="167"/>
      <c r="D414" s="147"/>
      <c r="E414" s="147"/>
      <c r="F414" s="147"/>
      <c r="G414" s="147"/>
      <c r="H414" s="147"/>
      <c r="I414" s="147"/>
      <c r="J414" s="147"/>
      <c r="K414" s="3"/>
      <c r="L414" s="3"/>
      <c r="M414" s="3"/>
      <c r="N414" s="3"/>
      <c r="O414" s="3"/>
      <c r="P414" s="3"/>
      <c r="Q414" s="3"/>
      <c r="R414" s="3"/>
      <c r="S414" s="3"/>
      <c r="T414" s="3"/>
      <c r="U414" s="3"/>
      <c r="V414" s="3"/>
      <c r="W414" s="3"/>
      <c r="X414" s="3"/>
      <c r="Y414" s="3"/>
      <c r="Z414" s="3"/>
    </row>
    <row r="415" spans="1:26" ht="22.5" customHeight="1" x14ac:dyDescent="0.85">
      <c r="A415" s="166"/>
      <c r="B415" s="167"/>
      <c r="C415" s="167"/>
      <c r="D415" s="147"/>
      <c r="E415" s="147"/>
      <c r="F415" s="147"/>
      <c r="G415" s="147"/>
      <c r="H415" s="147"/>
      <c r="I415" s="147"/>
      <c r="J415" s="147"/>
      <c r="K415" s="3"/>
      <c r="L415" s="3"/>
      <c r="M415" s="3"/>
      <c r="N415" s="3"/>
      <c r="O415" s="3"/>
      <c r="P415" s="3"/>
      <c r="Q415" s="3"/>
      <c r="R415" s="3"/>
      <c r="S415" s="3"/>
      <c r="T415" s="3"/>
      <c r="U415" s="3"/>
      <c r="V415" s="3"/>
      <c r="W415" s="3"/>
      <c r="X415" s="3"/>
      <c r="Y415" s="3"/>
      <c r="Z415" s="3"/>
    </row>
    <row r="416" spans="1:26" ht="22.5" customHeight="1" x14ac:dyDescent="0.85">
      <c r="A416" s="166"/>
      <c r="B416" s="167"/>
      <c r="C416" s="167"/>
      <c r="D416" s="147"/>
      <c r="E416" s="147"/>
      <c r="F416" s="147"/>
      <c r="G416" s="147"/>
      <c r="H416" s="147"/>
      <c r="I416" s="147"/>
      <c r="J416" s="147"/>
      <c r="K416" s="3"/>
      <c r="L416" s="3"/>
      <c r="M416" s="3"/>
      <c r="N416" s="3"/>
      <c r="O416" s="3"/>
      <c r="P416" s="3"/>
      <c r="Q416" s="3"/>
      <c r="R416" s="3"/>
      <c r="S416" s="3"/>
      <c r="T416" s="3"/>
      <c r="U416" s="3"/>
      <c r="V416" s="3"/>
      <c r="W416" s="3"/>
      <c r="X416" s="3"/>
      <c r="Y416" s="3"/>
      <c r="Z416" s="3"/>
    </row>
    <row r="417" spans="1:26" ht="22.5" customHeight="1" x14ac:dyDescent="0.85">
      <c r="A417" s="166"/>
      <c r="B417" s="167"/>
      <c r="C417" s="167"/>
      <c r="D417" s="147"/>
      <c r="E417" s="147"/>
      <c r="F417" s="147"/>
      <c r="G417" s="147"/>
      <c r="H417" s="147"/>
      <c r="I417" s="147"/>
      <c r="J417" s="147"/>
      <c r="K417" s="3"/>
      <c r="L417" s="3"/>
      <c r="M417" s="3"/>
      <c r="N417" s="3"/>
      <c r="O417" s="3"/>
      <c r="P417" s="3"/>
      <c r="Q417" s="3"/>
      <c r="R417" s="3"/>
      <c r="S417" s="3"/>
      <c r="T417" s="3"/>
      <c r="U417" s="3"/>
      <c r="V417" s="3"/>
      <c r="W417" s="3"/>
      <c r="X417" s="3"/>
      <c r="Y417" s="3"/>
      <c r="Z417" s="3"/>
    </row>
    <row r="418" spans="1:26" ht="22.5" customHeight="1" x14ac:dyDescent="0.85">
      <c r="A418" s="166"/>
      <c r="B418" s="167"/>
      <c r="C418" s="167"/>
      <c r="D418" s="147"/>
      <c r="E418" s="147"/>
      <c r="F418" s="147"/>
      <c r="G418" s="147"/>
      <c r="H418" s="147"/>
      <c r="I418" s="147"/>
      <c r="J418" s="147"/>
      <c r="K418" s="3"/>
      <c r="L418" s="3"/>
      <c r="M418" s="3"/>
      <c r="N418" s="3"/>
      <c r="O418" s="3"/>
      <c r="P418" s="3"/>
      <c r="Q418" s="3"/>
      <c r="R418" s="3"/>
      <c r="S418" s="3"/>
      <c r="T418" s="3"/>
      <c r="U418" s="3"/>
      <c r="V418" s="3"/>
      <c r="W418" s="3"/>
      <c r="X418" s="3"/>
      <c r="Y418" s="3"/>
      <c r="Z418" s="3"/>
    </row>
    <row r="419" spans="1:26" ht="22.5" customHeight="1" x14ac:dyDescent="0.85">
      <c r="A419" s="166"/>
      <c r="B419" s="167"/>
      <c r="C419" s="167"/>
      <c r="D419" s="147"/>
      <c r="E419" s="147"/>
      <c r="F419" s="147"/>
      <c r="G419" s="147"/>
      <c r="H419" s="147"/>
      <c r="I419" s="147"/>
      <c r="J419" s="147"/>
      <c r="K419" s="3"/>
      <c r="L419" s="3"/>
      <c r="M419" s="3"/>
      <c r="N419" s="3"/>
      <c r="O419" s="3"/>
      <c r="P419" s="3"/>
      <c r="Q419" s="3"/>
      <c r="R419" s="3"/>
      <c r="S419" s="3"/>
      <c r="T419" s="3"/>
      <c r="U419" s="3"/>
      <c r="V419" s="3"/>
      <c r="W419" s="3"/>
      <c r="X419" s="3"/>
      <c r="Y419" s="3"/>
      <c r="Z419" s="3"/>
    </row>
    <row r="420" spans="1:26" ht="22.5" customHeight="1" x14ac:dyDescent="0.85">
      <c r="A420" s="166"/>
      <c r="B420" s="167"/>
      <c r="C420" s="167"/>
      <c r="D420" s="147"/>
      <c r="E420" s="147"/>
      <c r="F420" s="147"/>
      <c r="G420" s="147"/>
      <c r="H420" s="147"/>
      <c r="I420" s="147"/>
      <c r="J420" s="147"/>
      <c r="K420" s="3"/>
      <c r="L420" s="3"/>
      <c r="M420" s="3"/>
      <c r="N420" s="3"/>
      <c r="O420" s="3"/>
      <c r="P420" s="3"/>
      <c r="Q420" s="3"/>
      <c r="R420" s="3"/>
      <c r="S420" s="3"/>
      <c r="T420" s="3"/>
      <c r="U420" s="3"/>
      <c r="V420" s="3"/>
      <c r="W420" s="3"/>
      <c r="X420" s="3"/>
      <c r="Y420" s="3"/>
      <c r="Z420" s="3"/>
    </row>
    <row r="421" spans="1:26" ht="22.5" customHeight="1" x14ac:dyDescent="0.85">
      <c r="A421" s="166"/>
      <c r="B421" s="167"/>
      <c r="C421" s="167"/>
      <c r="D421" s="147"/>
      <c r="E421" s="147"/>
      <c r="F421" s="147"/>
      <c r="G421" s="147"/>
      <c r="H421" s="147"/>
      <c r="I421" s="147"/>
      <c r="J421" s="147"/>
      <c r="K421" s="3"/>
      <c r="L421" s="3"/>
      <c r="M421" s="3"/>
      <c r="N421" s="3"/>
      <c r="O421" s="3"/>
      <c r="P421" s="3"/>
      <c r="Q421" s="3"/>
      <c r="R421" s="3"/>
      <c r="S421" s="3"/>
      <c r="T421" s="3"/>
      <c r="U421" s="3"/>
      <c r="V421" s="3"/>
      <c r="W421" s="3"/>
      <c r="X421" s="3"/>
      <c r="Y421" s="3"/>
      <c r="Z421" s="3"/>
    </row>
    <row r="422" spans="1:26" ht="22.5" customHeight="1" x14ac:dyDescent="0.85">
      <c r="A422" s="166"/>
      <c r="B422" s="167"/>
      <c r="C422" s="167"/>
      <c r="D422" s="147"/>
      <c r="E422" s="147"/>
      <c r="F422" s="147"/>
      <c r="G422" s="147"/>
      <c r="H422" s="147"/>
      <c r="I422" s="147"/>
      <c r="J422" s="147"/>
      <c r="K422" s="3"/>
      <c r="L422" s="3"/>
      <c r="M422" s="3"/>
      <c r="N422" s="3"/>
      <c r="O422" s="3"/>
      <c r="P422" s="3"/>
      <c r="Q422" s="3"/>
      <c r="R422" s="3"/>
      <c r="S422" s="3"/>
      <c r="T422" s="3"/>
      <c r="U422" s="3"/>
      <c r="V422" s="3"/>
      <c r="W422" s="3"/>
      <c r="X422" s="3"/>
      <c r="Y422" s="3"/>
      <c r="Z422" s="3"/>
    </row>
    <row r="423" spans="1:26" ht="22.5" customHeight="1" x14ac:dyDescent="0.85">
      <c r="A423" s="166"/>
      <c r="B423" s="167"/>
      <c r="C423" s="167"/>
      <c r="D423" s="147"/>
      <c r="E423" s="147"/>
      <c r="F423" s="147"/>
      <c r="G423" s="147"/>
      <c r="H423" s="147"/>
      <c r="I423" s="147"/>
      <c r="J423" s="147"/>
      <c r="K423" s="3"/>
      <c r="L423" s="3"/>
      <c r="M423" s="3"/>
      <c r="N423" s="3"/>
      <c r="O423" s="3"/>
      <c r="P423" s="3"/>
      <c r="Q423" s="3"/>
      <c r="R423" s="3"/>
      <c r="S423" s="3"/>
      <c r="T423" s="3"/>
      <c r="U423" s="3"/>
      <c r="V423" s="3"/>
      <c r="W423" s="3"/>
      <c r="X423" s="3"/>
      <c r="Y423" s="3"/>
      <c r="Z423" s="3"/>
    </row>
    <row r="424" spans="1:26" ht="22.5" customHeight="1" x14ac:dyDescent="0.85">
      <c r="A424" s="166"/>
      <c r="B424" s="167"/>
      <c r="C424" s="167"/>
      <c r="D424" s="147"/>
      <c r="E424" s="147"/>
      <c r="F424" s="147"/>
      <c r="G424" s="147"/>
      <c r="H424" s="147"/>
      <c r="I424" s="147"/>
      <c r="J424" s="147"/>
      <c r="K424" s="3"/>
      <c r="L424" s="3"/>
      <c r="M424" s="3"/>
      <c r="N424" s="3"/>
      <c r="O424" s="3"/>
      <c r="P424" s="3"/>
      <c r="Q424" s="3"/>
      <c r="R424" s="3"/>
      <c r="S424" s="3"/>
      <c r="T424" s="3"/>
      <c r="U424" s="3"/>
      <c r="V424" s="3"/>
      <c r="W424" s="3"/>
      <c r="X424" s="3"/>
      <c r="Y424" s="3"/>
      <c r="Z424" s="3"/>
    </row>
    <row r="425" spans="1:26" ht="22.5" customHeight="1" x14ac:dyDescent="0.85">
      <c r="A425" s="166"/>
      <c r="B425" s="167"/>
      <c r="C425" s="167"/>
      <c r="D425" s="147"/>
      <c r="E425" s="147"/>
      <c r="F425" s="147"/>
      <c r="G425" s="147"/>
      <c r="H425" s="147"/>
      <c r="I425" s="147"/>
      <c r="J425" s="147"/>
      <c r="K425" s="3"/>
      <c r="L425" s="3"/>
      <c r="M425" s="3"/>
      <c r="N425" s="3"/>
      <c r="O425" s="3"/>
      <c r="P425" s="3"/>
      <c r="Q425" s="3"/>
      <c r="R425" s="3"/>
      <c r="S425" s="3"/>
      <c r="T425" s="3"/>
      <c r="U425" s="3"/>
      <c r="V425" s="3"/>
      <c r="W425" s="3"/>
      <c r="X425" s="3"/>
      <c r="Y425" s="3"/>
      <c r="Z425" s="3"/>
    </row>
    <row r="426" spans="1:26" ht="22.5" customHeight="1" x14ac:dyDescent="0.85">
      <c r="A426" s="166"/>
      <c r="B426" s="167"/>
      <c r="C426" s="167"/>
      <c r="D426" s="147"/>
      <c r="E426" s="147"/>
      <c r="F426" s="147"/>
      <c r="G426" s="147"/>
      <c r="H426" s="147"/>
      <c r="I426" s="147"/>
      <c r="J426" s="147"/>
      <c r="K426" s="3"/>
      <c r="L426" s="3"/>
      <c r="M426" s="3"/>
      <c r="N426" s="3"/>
      <c r="O426" s="3"/>
      <c r="P426" s="3"/>
      <c r="Q426" s="3"/>
      <c r="R426" s="3"/>
      <c r="S426" s="3"/>
      <c r="T426" s="3"/>
      <c r="U426" s="3"/>
      <c r="V426" s="3"/>
      <c r="W426" s="3"/>
      <c r="X426" s="3"/>
      <c r="Y426" s="3"/>
      <c r="Z426" s="3"/>
    </row>
    <row r="427" spans="1:26" ht="22.5" customHeight="1" x14ac:dyDescent="0.85">
      <c r="A427" s="166"/>
      <c r="B427" s="167"/>
      <c r="C427" s="167"/>
      <c r="D427" s="147"/>
      <c r="E427" s="147"/>
      <c r="F427" s="147"/>
      <c r="G427" s="147"/>
      <c r="H427" s="147"/>
      <c r="I427" s="147"/>
      <c r="J427" s="147"/>
      <c r="K427" s="3"/>
      <c r="L427" s="3"/>
      <c r="M427" s="3"/>
      <c r="N427" s="3"/>
      <c r="O427" s="3"/>
      <c r="P427" s="3"/>
      <c r="Q427" s="3"/>
      <c r="R427" s="3"/>
      <c r="S427" s="3"/>
      <c r="T427" s="3"/>
      <c r="U427" s="3"/>
      <c r="V427" s="3"/>
      <c r="W427" s="3"/>
      <c r="X427" s="3"/>
      <c r="Y427" s="3"/>
      <c r="Z427" s="3"/>
    </row>
    <row r="428" spans="1:26" ht="22.5" customHeight="1" x14ac:dyDescent="0.85">
      <c r="A428" s="166"/>
      <c r="B428" s="167"/>
      <c r="C428" s="167"/>
      <c r="D428" s="147"/>
      <c r="E428" s="147"/>
      <c r="F428" s="147"/>
      <c r="G428" s="147"/>
      <c r="H428" s="147"/>
      <c r="I428" s="147"/>
      <c r="J428" s="147"/>
      <c r="K428" s="3"/>
      <c r="L428" s="3"/>
      <c r="M428" s="3"/>
      <c r="N428" s="3"/>
      <c r="O428" s="3"/>
      <c r="P428" s="3"/>
      <c r="Q428" s="3"/>
      <c r="R428" s="3"/>
      <c r="S428" s="3"/>
      <c r="T428" s="3"/>
      <c r="U428" s="3"/>
      <c r="V428" s="3"/>
      <c r="W428" s="3"/>
      <c r="X428" s="3"/>
      <c r="Y428" s="3"/>
      <c r="Z428" s="3"/>
    </row>
    <row r="429" spans="1:26" ht="22.5" customHeight="1" x14ac:dyDescent="0.85">
      <c r="A429" s="166"/>
      <c r="B429" s="167"/>
      <c r="C429" s="167"/>
      <c r="D429" s="147"/>
      <c r="E429" s="147"/>
      <c r="F429" s="147"/>
      <c r="G429" s="147"/>
      <c r="H429" s="147"/>
      <c r="I429" s="147"/>
      <c r="J429" s="147"/>
      <c r="K429" s="3"/>
      <c r="L429" s="3"/>
      <c r="M429" s="3"/>
      <c r="N429" s="3"/>
      <c r="O429" s="3"/>
      <c r="P429" s="3"/>
      <c r="Q429" s="3"/>
      <c r="R429" s="3"/>
      <c r="S429" s="3"/>
      <c r="T429" s="3"/>
      <c r="U429" s="3"/>
      <c r="V429" s="3"/>
      <c r="W429" s="3"/>
      <c r="X429" s="3"/>
      <c r="Y429" s="3"/>
      <c r="Z429" s="3"/>
    </row>
    <row r="430" spans="1:26" ht="22.5" customHeight="1" x14ac:dyDescent="0.85">
      <c r="A430" s="166"/>
      <c r="B430" s="167"/>
      <c r="C430" s="167"/>
      <c r="D430" s="147"/>
      <c r="E430" s="147"/>
      <c r="F430" s="147"/>
      <c r="G430" s="147"/>
      <c r="H430" s="147"/>
      <c r="I430" s="147"/>
      <c r="J430" s="147"/>
      <c r="K430" s="3"/>
      <c r="L430" s="3"/>
      <c r="M430" s="3"/>
      <c r="N430" s="3"/>
      <c r="O430" s="3"/>
      <c r="P430" s="3"/>
      <c r="Q430" s="3"/>
      <c r="R430" s="3"/>
      <c r="S430" s="3"/>
      <c r="T430" s="3"/>
      <c r="U430" s="3"/>
      <c r="V430" s="3"/>
      <c r="W430" s="3"/>
      <c r="X430" s="3"/>
      <c r="Y430" s="3"/>
      <c r="Z430" s="3"/>
    </row>
    <row r="431" spans="1:26" ht="22.5" customHeight="1" x14ac:dyDescent="0.85">
      <c r="A431" s="166"/>
      <c r="B431" s="167"/>
      <c r="C431" s="167"/>
      <c r="D431" s="147"/>
      <c r="E431" s="147"/>
      <c r="F431" s="147"/>
      <c r="G431" s="147"/>
      <c r="H431" s="147"/>
      <c r="I431" s="147"/>
      <c r="J431" s="147"/>
      <c r="K431" s="3"/>
      <c r="L431" s="3"/>
      <c r="M431" s="3"/>
      <c r="N431" s="3"/>
      <c r="O431" s="3"/>
      <c r="P431" s="3"/>
      <c r="Q431" s="3"/>
      <c r="R431" s="3"/>
      <c r="S431" s="3"/>
      <c r="T431" s="3"/>
      <c r="U431" s="3"/>
      <c r="V431" s="3"/>
      <c r="W431" s="3"/>
      <c r="X431" s="3"/>
      <c r="Y431" s="3"/>
      <c r="Z431" s="3"/>
    </row>
    <row r="432" spans="1:26" ht="22.5" customHeight="1" x14ac:dyDescent="0.85">
      <c r="A432" s="166"/>
      <c r="B432" s="167"/>
      <c r="C432" s="167"/>
      <c r="D432" s="147"/>
      <c r="E432" s="147"/>
      <c r="F432" s="147"/>
      <c r="G432" s="147"/>
      <c r="H432" s="147"/>
      <c r="I432" s="147"/>
      <c r="J432" s="147"/>
      <c r="K432" s="3"/>
      <c r="L432" s="3"/>
      <c r="M432" s="3"/>
      <c r="N432" s="3"/>
      <c r="O432" s="3"/>
      <c r="P432" s="3"/>
      <c r="Q432" s="3"/>
      <c r="R432" s="3"/>
      <c r="S432" s="3"/>
      <c r="T432" s="3"/>
      <c r="U432" s="3"/>
      <c r="V432" s="3"/>
      <c r="W432" s="3"/>
      <c r="X432" s="3"/>
      <c r="Y432" s="3"/>
      <c r="Z432" s="3"/>
    </row>
    <row r="433" spans="1:26" ht="22.5" customHeight="1" x14ac:dyDescent="0.85">
      <c r="A433" s="166"/>
      <c r="B433" s="167"/>
      <c r="C433" s="167"/>
      <c r="D433" s="147"/>
      <c r="E433" s="147"/>
      <c r="F433" s="147"/>
      <c r="G433" s="147"/>
      <c r="H433" s="147"/>
      <c r="I433" s="147"/>
      <c r="J433" s="147"/>
      <c r="K433" s="3"/>
      <c r="L433" s="3"/>
      <c r="M433" s="3"/>
      <c r="N433" s="3"/>
      <c r="O433" s="3"/>
      <c r="P433" s="3"/>
      <c r="Q433" s="3"/>
      <c r="R433" s="3"/>
      <c r="S433" s="3"/>
      <c r="T433" s="3"/>
      <c r="U433" s="3"/>
      <c r="V433" s="3"/>
      <c r="W433" s="3"/>
      <c r="X433" s="3"/>
      <c r="Y433" s="3"/>
      <c r="Z433" s="3"/>
    </row>
    <row r="434" spans="1:26" ht="22.5" customHeight="1" x14ac:dyDescent="0.85">
      <c r="A434" s="166"/>
      <c r="B434" s="167"/>
      <c r="C434" s="167"/>
      <c r="D434" s="147"/>
      <c r="E434" s="147"/>
      <c r="F434" s="147"/>
      <c r="G434" s="147"/>
      <c r="H434" s="147"/>
      <c r="I434" s="147"/>
      <c r="J434" s="147"/>
      <c r="K434" s="3"/>
      <c r="L434" s="3"/>
      <c r="M434" s="3"/>
      <c r="N434" s="3"/>
      <c r="O434" s="3"/>
      <c r="P434" s="3"/>
      <c r="Q434" s="3"/>
      <c r="R434" s="3"/>
      <c r="S434" s="3"/>
      <c r="T434" s="3"/>
      <c r="U434" s="3"/>
      <c r="V434" s="3"/>
      <c r="W434" s="3"/>
      <c r="X434" s="3"/>
      <c r="Y434" s="3"/>
      <c r="Z434" s="3"/>
    </row>
    <row r="435" spans="1:26" ht="22.5" customHeight="1" x14ac:dyDescent="0.85">
      <c r="A435" s="166"/>
      <c r="B435" s="167"/>
      <c r="C435" s="167"/>
      <c r="D435" s="147"/>
      <c r="E435" s="147"/>
      <c r="F435" s="147"/>
      <c r="G435" s="147"/>
      <c r="H435" s="147"/>
      <c r="I435" s="147"/>
      <c r="J435" s="147"/>
      <c r="K435" s="3"/>
      <c r="L435" s="3"/>
      <c r="M435" s="3"/>
      <c r="N435" s="3"/>
      <c r="O435" s="3"/>
      <c r="P435" s="3"/>
      <c r="Q435" s="3"/>
      <c r="R435" s="3"/>
      <c r="S435" s="3"/>
      <c r="T435" s="3"/>
      <c r="U435" s="3"/>
      <c r="V435" s="3"/>
      <c r="W435" s="3"/>
      <c r="X435" s="3"/>
      <c r="Y435" s="3"/>
      <c r="Z435" s="3"/>
    </row>
    <row r="436" spans="1:26" ht="22.5" customHeight="1" x14ac:dyDescent="0.85">
      <c r="A436" s="166"/>
      <c r="B436" s="167"/>
      <c r="C436" s="167"/>
      <c r="D436" s="147"/>
      <c r="E436" s="147"/>
      <c r="F436" s="147"/>
      <c r="G436" s="147"/>
      <c r="H436" s="147"/>
      <c r="I436" s="147"/>
      <c r="J436" s="147"/>
      <c r="K436" s="3"/>
      <c r="L436" s="3"/>
      <c r="M436" s="3"/>
      <c r="N436" s="3"/>
      <c r="O436" s="3"/>
      <c r="P436" s="3"/>
      <c r="Q436" s="3"/>
      <c r="R436" s="3"/>
      <c r="S436" s="3"/>
      <c r="T436" s="3"/>
      <c r="U436" s="3"/>
      <c r="V436" s="3"/>
      <c r="W436" s="3"/>
      <c r="X436" s="3"/>
      <c r="Y436" s="3"/>
      <c r="Z436" s="3"/>
    </row>
    <row r="437" spans="1:26" ht="22.5" customHeight="1" x14ac:dyDescent="0.85">
      <c r="A437" s="166"/>
      <c r="B437" s="167"/>
      <c r="C437" s="167"/>
      <c r="D437" s="147"/>
      <c r="E437" s="147"/>
      <c r="F437" s="147"/>
      <c r="G437" s="147"/>
      <c r="H437" s="147"/>
      <c r="I437" s="147"/>
      <c r="J437" s="147"/>
      <c r="K437" s="3"/>
      <c r="L437" s="3"/>
      <c r="M437" s="3"/>
      <c r="N437" s="3"/>
      <c r="O437" s="3"/>
      <c r="P437" s="3"/>
      <c r="Q437" s="3"/>
      <c r="R437" s="3"/>
      <c r="S437" s="3"/>
      <c r="T437" s="3"/>
      <c r="U437" s="3"/>
      <c r="V437" s="3"/>
      <c r="W437" s="3"/>
      <c r="X437" s="3"/>
      <c r="Y437" s="3"/>
      <c r="Z437" s="3"/>
    </row>
    <row r="438" spans="1:26" ht="22.5" customHeight="1" x14ac:dyDescent="0.85">
      <c r="A438" s="166"/>
      <c r="B438" s="167"/>
      <c r="C438" s="167"/>
      <c r="D438" s="147"/>
      <c r="E438" s="147"/>
      <c r="F438" s="147"/>
      <c r="G438" s="147"/>
      <c r="H438" s="147"/>
      <c r="I438" s="147"/>
      <c r="J438" s="147"/>
      <c r="K438" s="3"/>
      <c r="L438" s="3"/>
      <c r="M438" s="3"/>
      <c r="N438" s="3"/>
      <c r="O438" s="3"/>
      <c r="P438" s="3"/>
      <c r="Q438" s="3"/>
      <c r="R438" s="3"/>
      <c r="S438" s="3"/>
      <c r="T438" s="3"/>
      <c r="U438" s="3"/>
      <c r="V438" s="3"/>
      <c r="W438" s="3"/>
      <c r="X438" s="3"/>
      <c r="Y438" s="3"/>
      <c r="Z438" s="3"/>
    </row>
    <row r="439" spans="1:26" ht="22.5" customHeight="1" x14ac:dyDescent="0.85">
      <c r="A439" s="166"/>
      <c r="B439" s="167"/>
      <c r="C439" s="167"/>
      <c r="D439" s="147"/>
      <c r="E439" s="147"/>
      <c r="F439" s="147"/>
      <c r="G439" s="147"/>
      <c r="H439" s="147"/>
      <c r="I439" s="147"/>
      <c r="J439" s="147"/>
      <c r="K439" s="3"/>
      <c r="L439" s="3"/>
      <c r="M439" s="3"/>
      <c r="N439" s="3"/>
      <c r="O439" s="3"/>
      <c r="P439" s="3"/>
      <c r="Q439" s="3"/>
      <c r="R439" s="3"/>
      <c r="S439" s="3"/>
      <c r="T439" s="3"/>
      <c r="U439" s="3"/>
      <c r="V439" s="3"/>
      <c r="W439" s="3"/>
      <c r="X439" s="3"/>
      <c r="Y439" s="3"/>
      <c r="Z439" s="3"/>
    </row>
    <row r="440" spans="1:26" ht="22.5" customHeight="1" x14ac:dyDescent="0.85">
      <c r="A440" s="166"/>
      <c r="B440" s="167"/>
      <c r="C440" s="167"/>
      <c r="D440" s="147"/>
      <c r="E440" s="147"/>
      <c r="F440" s="147"/>
      <c r="G440" s="147"/>
      <c r="H440" s="147"/>
      <c r="I440" s="147"/>
      <c r="J440" s="147"/>
      <c r="K440" s="3"/>
      <c r="L440" s="3"/>
      <c r="M440" s="3"/>
      <c r="N440" s="3"/>
      <c r="O440" s="3"/>
      <c r="P440" s="3"/>
      <c r="Q440" s="3"/>
      <c r="R440" s="3"/>
      <c r="S440" s="3"/>
      <c r="T440" s="3"/>
      <c r="U440" s="3"/>
      <c r="V440" s="3"/>
      <c r="W440" s="3"/>
      <c r="X440" s="3"/>
      <c r="Y440" s="3"/>
      <c r="Z440" s="3"/>
    </row>
    <row r="441" spans="1:26" ht="22.5" customHeight="1" x14ac:dyDescent="0.85">
      <c r="A441" s="166"/>
      <c r="B441" s="167"/>
      <c r="C441" s="167"/>
      <c r="D441" s="147"/>
      <c r="E441" s="147"/>
      <c r="F441" s="147"/>
      <c r="G441" s="147"/>
      <c r="H441" s="147"/>
      <c r="I441" s="147"/>
      <c r="J441" s="147"/>
      <c r="K441" s="3"/>
      <c r="L441" s="3"/>
      <c r="M441" s="3"/>
      <c r="N441" s="3"/>
      <c r="O441" s="3"/>
      <c r="P441" s="3"/>
      <c r="Q441" s="3"/>
      <c r="R441" s="3"/>
      <c r="S441" s="3"/>
      <c r="T441" s="3"/>
      <c r="U441" s="3"/>
      <c r="V441" s="3"/>
      <c r="W441" s="3"/>
      <c r="X441" s="3"/>
      <c r="Y441" s="3"/>
      <c r="Z441" s="3"/>
    </row>
    <row r="442" spans="1:26" ht="22.5" customHeight="1" x14ac:dyDescent="0.85">
      <c r="A442" s="166"/>
      <c r="B442" s="167"/>
      <c r="C442" s="167"/>
      <c r="D442" s="147"/>
      <c r="E442" s="147"/>
      <c r="F442" s="147"/>
      <c r="G442" s="147"/>
      <c r="H442" s="147"/>
      <c r="I442" s="147"/>
      <c r="J442" s="147"/>
      <c r="K442" s="3"/>
      <c r="L442" s="3"/>
      <c r="M442" s="3"/>
      <c r="N442" s="3"/>
      <c r="O442" s="3"/>
      <c r="P442" s="3"/>
      <c r="Q442" s="3"/>
      <c r="R442" s="3"/>
      <c r="S442" s="3"/>
      <c r="T442" s="3"/>
      <c r="U442" s="3"/>
      <c r="V442" s="3"/>
      <c r="W442" s="3"/>
      <c r="X442" s="3"/>
      <c r="Y442" s="3"/>
      <c r="Z442" s="3"/>
    </row>
    <row r="443" spans="1:26" ht="22.5" customHeight="1" x14ac:dyDescent="0.85">
      <c r="A443" s="166"/>
      <c r="B443" s="167"/>
      <c r="C443" s="167"/>
      <c r="D443" s="147"/>
      <c r="E443" s="147"/>
      <c r="F443" s="147"/>
      <c r="G443" s="147"/>
      <c r="H443" s="147"/>
      <c r="I443" s="147"/>
      <c r="J443" s="147"/>
      <c r="K443" s="3"/>
      <c r="L443" s="3"/>
      <c r="M443" s="3"/>
      <c r="N443" s="3"/>
      <c r="O443" s="3"/>
      <c r="P443" s="3"/>
      <c r="Q443" s="3"/>
      <c r="R443" s="3"/>
      <c r="S443" s="3"/>
      <c r="T443" s="3"/>
      <c r="U443" s="3"/>
      <c r="V443" s="3"/>
      <c r="W443" s="3"/>
      <c r="X443" s="3"/>
      <c r="Y443" s="3"/>
      <c r="Z443" s="3"/>
    </row>
    <row r="444" spans="1:26" ht="22.5" customHeight="1" x14ac:dyDescent="0.85">
      <c r="A444" s="166"/>
      <c r="B444" s="167"/>
      <c r="C444" s="167"/>
      <c r="D444" s="147"/>
      <c r="E444" s="147"/>
      <c r="F444" s="147"/>
      <c r="G444" s="147"/>
      <c r="H444" s="147"/>
      <c r="I444" s="147"/>
      <c r="J444" s="147"/>
      <c r="K444" s="3"/>
      <c r="L444" s="3"/>
      <c r="M444" s="3"/>
      <c r="N444" s="3"/>
      <c r="O444" s="3"/>
      <c r="P444" s="3"/>
      <c r="Q444" s="3"/>
      <c r="R444" s="3"/>
      <c r="S444" s="3"/>
      <c r="T444" s="3"/>
      <c r="U444" s="3"/>
      <c r="V444" s="3"/>
      <c r="W444" s="3"/>
      <c r="X444" s="3"/>
      <c r="Y444" s="3"/>
      <c r="Z444" s="3"/>
    </row>
    <row r="445" spans="1:26" ht="22.5" customHeight="1" x14ac:dyDescent="0.85">
      <c r="A445" s="166"/>
      <c r="B445" s="167"/>
      <c r="C445" s="167"/>
      <c r="D445" s="147"/>
      <c r="E445" s="147"/>
      <c r="F445" s="147"/>
      <c r="G445" s="147"/>
      <c r="H445" s="147"/>
      <c r="I445" s="147"/>
      <c r="J445" s="147"/>
      <c r="K445" s="3"/>
      <c r="L445" s="3"/>
      <c r="M445" s="3"/>
      <c r="N445" s="3"/>
      <c r="O445" s="3"/>
      <c r="P445" s="3"/>
      <c r="Q445" s="3"/>
      <c r="R445" s="3"/>
      <c r="S445" s="3"/>
      <c r="T445" s="3"/>
      <c r="U445" s="3"/>
      <c r="V445" s="3"/>
      <c r="W445" s="3"/>
      <c r="X445" s="3"/>
      <c r="Y445" s="3"/>
      <c r="Z445" s="3"/>
    </row>
    <row r="446" spans="1:26" ht="22.5" customHeight="1" x14ac:dyDescent="0.85">
      <c r="A446" s="166"/>
      <c r="B446" s="167"/>
      <c r="C446" s="167"/>
      <c r="D446" s="147"/>
      <c r="E446" s="147"/>
      <c r="F446" s="147"/>
      <c r="G446" s="147"/>
      <c r="H446" s="147"/>
      <c r="I446" s="147"/>
      <c r="J446" s="147"/>
      <c r="K446" s="3"/>
      <c r="L446" s="3"/>
      <c r="M446" s="3"/>
      <c r="N446" s="3"/>
      <c r="O446" s="3"/>
      <c r="P446" s="3"/>
      <c r="Q446" s="3"/>
      <c r="R446" s="3"/>
      <c r="S446" s="3"/>
      <c r="T446" s="3"/>
      <c r="U446" s="3"/>
      <c r="V446" s="3"/>
      <c r="W446" s="3"/>
      <c r="X446" s="3"/>
      <c r="Y446" s="3"/>
      <c r="Z446" s="3"/>
    </row>
    <row r="447" spans="1:26" ht="22.5" customHeight="1" x14ac:dyDescent="0.85">
      <c r="A447" s="166"/>
      <c r="B447" s="167"/>
      <c r="C447" s="167"/>
      <c r="D447" s="147"/>
      <c r="E447" s="147"/>
      <c r="F447" s="147"/>
      <c r="G447" s="147"/>
      <c r="H447" s="147"/>
      <c r="I447" s="147"/>
      <c r="J447" s="147"/>
      <c r="K447" s="3"/>
      <c r="L447" s="3"/>
      <c r="M447" s="3"/>
      <c r="N447" s="3"/>
      <c r="O447" s="3"/>
      <c r="P447" s="3"/>
      <c r="Q447" s="3"/>
      <c r="R447" s="3"/>
      <c r="S447" s="3"/>
      <c r="T447" s="3"/>
      <c r="U447" s="3"/>
      <c r="V447" s="3"/>
      <c r="W447" s="3"/>
      <c r="X447" s="3"/>
      <c r="Y447" s="3"/>
      <c r="Z447" s="3"/>
    </row>
    <row r="448" spans="1:26" ht="22.5" customHeight="1" x14ac:dyDescent="0.85">
      <c r="A448" s="166"/>
      <c r="B448" s="167"/>
      <c r="C448" s="167"/>
      <c r="D448" s="147"/>
      <c r="E448" s="147"/>
      <c r="F448" s="147"/>
      <c r="G448" s="147"/>
      <c r="H448" s="147"/>
      <c r="I448" s="147"/>
      <c r="J448" s="147"/>
      <c r="K448" s="3"/>
      <c r="L448" s="3"/>
      <c r="M448" s="3"/>
      <c r="N448" s="3"/>
      <c r="O448" s="3"/>
      <c r="P448" s="3"/>
      <c r="Q448" s="3"/>
      <c r="R448" s="3"/>
      <c r="S448" s="3"/>
      <c r="T448" s="3"/>
      <c r="U448" s="3"/>
      <c r="V448" s="3"/>
      <c r="W448" s="3"/>
      <c r="X448" s="3"/>
      <c r="Y448" s="3"/>
      <c r="Z448" s="3"/>
    </row>
    <row r="449" spans="1:26" ht="22.5" customHeight="1" x14ac:dyDescent="0.85">
      <c r="A449" s="166"/>
      <c r="B449" s="167"/>
      <c r="C449" s="167"/>
      <c r="D449" s="147"/>
      <c r="E449" s="147"/>
      <c r="F449" s="147"/>
      <c r="G449" s="147"/>
      <c r="H449" s="147"/>
      <c r="I449" s="147"/>
      <c r="J449" s="147"/>
      <c r="K449" s="3"/>
      <c r="L449" s="3"/>
      <c r="M449" s="3"/>
      <c r="N449" s="3"/>
      <c r="O449" s="3"/>
      <c r="P449" s="3"/>
      <c r="Q449" s="3"/>
      <c r="R449" s="3"/>
      <c r="S449" s="3"/>
      <c r="T449" s="3"/>
      <c r="U449" s="3"/>
      <c r="V449" s="3"/>
      <c r="W449" s="3"/>
      <c r="X449" s="3"/>
      <c r="Y449" s="3"/>
      <c r="Z449" s="3"/>
    </row>
    <row r="450" spans="1:26" ht="22.5" customHeight="1" x14ac:dyDescent="0.85">
      <c r="A450" s="166"/>
      <c r="B450" s="167"/>
      <c r="C450" s="167"/>
      <c r="D450" s="147"/>
      <c r="E450" s="147"/>
      <c r="F450" s="147"/>
      <c r="G450" s="147"/>
      <c r="H450" s="147"/>
      <c r="I450" s="147"/>
      <c r="J450" s="147"/>
      <c r="K450" s="3"/>
      <c r="L450" s="3"/>
      <c r="M450" s="3"/>
      <c r="N450" s="3"/>
      <c r="O450" s="3"/>
      <c r="P450" s="3"/>
      <c r="Q450" s="3"/>
      <c r="R450" s="3"/>
      <c r="S450" s="3"/>
      <c r="T450" s="3"/>
      <c r="U450" s="3"/>
      <c r="V450" s="3"/>
      <c r="W450" s="3"/>
      <c r="X450" s="3"/>
      <c r="Y450" s="3"/>
      <c r="Z450" s="3"/>
    </row>
    <row r="451" spans="1:26" ht="22.5" customHeight="1" x14ac:dyDescent="0.85">
      <c r="A451" s="166"/>
      <c r="B451" s="167"/>
      <c r="C451" s="167"/>
      <c r="D451" s="147"/>
      <c r="E451" s="147"/>
      <c r="F451" s="147"/>
      <c r="G451" s="147"/>
      <c r="H451" s="147"/>
      <c r="I451" s="147"/>
      <c r="J451" s="147"/>
      <c r="K451" s="3"/>
      <c r="L451" s="3"/>
      <c r="M451" s="3"/>
      <c r="N451" s="3"/>
      <c r="O451" s="3"/>
      <c r="P451" s="3"/>
      <c r="Q451" s="3"/>
      <c r="R451" s="3"/>
      <c r="S451" s="3"/>
      <c r="T451" s="3"/>
      <c r="U451" s="3"/>
      <c r="V451" s="3"/>
      <c r="W451" s="3"/>
      <c r="X451" s="3"/>
      <c r="Y451" s="3"/>
      <c r="Z451" s="3"/>
    </row>
    <row r="452" spans="1:26" ht="22.5" customHeight="1" x14ac:dyDescent="0.85">
      <c r="A452" s="166"/>
      <c r="B452" s="167"/>
      <c r="C452" s="167"/>
      <c r="D452" s="147"/>
      <c r="E452" s="147"/>
      <c r="F452" s="147"/>
      <c r="G452" s="147"/>
      <c r="H452" s="147"/>
      <c r="I452" s="147"/>
      <c r="J452" s="147"/>
      <c r="K452" s="3"/>
      <c r="L452" s="3"/>
      <c r="M452" s="3"/>
      <c r="N452" s="3"/>
      <c r="O452" s="3"/>
      <c r="P452" s="3"/>
      <c r="Q452" s="3"/>
      <c r="R452" s="3"/>
      <c r="S452" s="3"/>
      <c r="T452" s="3"/>
      <c r="U452" s="3"/>
      <c r="V452" s="3"/>
      <c r="W452" s="3"/>
      <c r="X452" s="3"/>
      <c r="Y452" s="3"/>
      <c r="Z452" s="3"/>
    </row>
    <row r="453" spans="1:26" ht="22.5" customHeight="1" x14ac:dyDescent="0.85">
      <c r="A453" s="166"/>
      <c r="B453" s="167"/>
      <c r="C453" s="167"/>
      <c r="D453" s="147"/>
      <c r="E453" s="147"/>
      <c r="F453" s="147"/>
      <c r="G453" s="147"/>
      <c r="H453" s="147"/>
      <c r="I453" s="147"/>
      <c r="J453" s="147"/>
      <c r="K453" s="3"/>
      <c r="L453" s="3"/>
      <c r="M453" s="3"/>
      <c r="N453" s="3"/>
      <c r="O453" s="3"/>
      <c r="P453" s="3"/>
      <c r="Q453" s="3"/>
      <c r="R453" s="3"/>
      <c r="S453" s="3"/>
      <c r="T453" s="3"/>
      <c r="U453" s="3"/>
      <c r="V453" s="3"/>
      <c r="W453" s="3"/>
      <c r="X453" s="3"/>
      <c r="Y453" s="3"/>
      <c r="Z453" s="3"/>
    </row>
    <row r="454" spans="1:26" ht="22.5" customHeight="1" x14ac:dyDescent="0.85">
      <c r="A454" s="166"/>
      <c r="B454" s="167"/>
      <c r="C454" s="167"/>
      <c r="D454" s="147"/>
      <c r="E454" s="147"/>
      <c r="F454" s="147"/>
      <c r="G454" s="147"/>
      <c r="H454" s="147"/>
      <c r="I454" s="147"/>
      <c r="J454" s="147"/>
      <c r="K454" s="3"/>
      <c r="L454" s="3"/>
      <c r="M454" s="3"/>
      <c r="N454" s="3"/>
      <c r="O454" s="3"/>
      <c r="P454" s="3"/>
      <c r="Q454" s="3"/>
      <c r="R454" s="3"/>
      <c r="S454" s="3"/>
      <c r="T454" s="3"/>
      <c r="U454" s="3"/>
      <c r="V454" s="3"/>
      <c r="W454" s="3"/>
      <c r="X454" s="3"/>
      <c r="Y454" s="3"/>
      <c r="Z454" s="3"/>
    </row>
    <row r="455" spans="1:26" ht="22.5" customHeight="1" x14ac:dyDescent="0.85">
      <c r="A455" s="166"/>
      <c r="B455" s="167"/>
      <c r="C455" s="167"/>
      <c r="D455" s="147"/>
      <c r="E455" s="147"/>
      <c r="F455" s="147"/>
      <c r="G455" s="147"/>
      <c r="H455" s="147"/>
      <c r="I455" s="147"/>
      <c r="J455" s="147"/>
      <c r="K455" s="3"/>
      <c r="L455" s="3"/>
      <c r="M455" s="3"/>
      <c r="N455" s="3"/>
      <c r="O455" s="3"/>
      <c r="P455" s="3"/>
      <c r="Q455" s="3"/>
      <c r="R455" s="3"/>
      <c r="S455" s="3"/>
      <c r="T455" s="3"/>
      <c r="U455" s="3"/>
      <c r="V455" s="3"/>
      <c r="W455" s="3"/>
      <c r="X455" s="3"/>
      <c r="Y455" s="3"/>
      <c r="Z455" s="3"/>
    </row>
    <row r="456" spans="1:26" ht="22.5" customHeight="1" x14ac:dyDescent="0.85">
      <c r="A456" s="166"/>
      <c r="B456" s="167"/>
      <c r="C456" s="167"/>
      <c r="D456" s="147"/>
      <c r="E456" s="147"/>
      <c r="F456" s="147"/>
      <c r="G456" s="147"/>
      <c r="H456" s="147"/>
      <c r="I456" s="147"/>
      <c r="J456" s="147"/>
      <c r="K456" s="3"/>
      <c r="L456" s="3"/>
      <c r="M456" s="3"/>
      <c r="N456" s="3"/>
      <c r="O456" s="3"/>
      <c r="P456" s="3"/>
      <c r="Q456" s="3"/>
      <c r="R456" s="3"/>
      <c r="S456" s="3"/>
      <c r="T456" s="3"/>
      <c r="U456" s="3"/>
      <c r="V456" s="3"/>
      <c r="W456" s="3"/>
      <c r="X456" s="3"/>
      <c r="Y456" s="3"/>
      <c r="Z456" s="3"/>
    </row>
    <row r="457" spans="1:26" ht="22.5" customHeight="1" x14ac:dyDescent="0.85">
      <c r="A457" s="166"/>
      <c r="B457" s="167"/>
      <c r="C457" s="167"/>
      <c r="D457" s="147"/>
      <c r="E457" s="147"/>
      <c r="F457" s="147"/>
      <c r="G457" s="147"/>
      <c r="H457" s="147"/>
      <c r="I457" s="147"/>
      <c r="J457" s="147"/>
      <c r="K457" s="3"/>
      <c r="L457" s="3"/>
      <c r="M457" s="3"/>
      <c r="N457" s="3"/>
      <c r="O457" s="3"/>
      <c r="P457" s="3"/>
      <c r="Q457" s="3"/>
      <c r="R457" s="3"/>
      <c r="S457" s="3"/>
      <c r="T457" s="3"/>
      <c r="U457" s="3"/>
      <c r="V457" s="3"/>
      <c r="W457" s="3"/>
      <c r="X457" s="3"/>
      <c r="Y457" s="3"/>
      <c r="Z457" s="3"/>
    </row>
    <row r="458" spans="1:26" ht="22.5" customHeight="1" x14ac:dyDescent="0.85">
      <c r="A458" s="166"/>
      <c r="B458" s="167"/>
      <c r="C458" s="167"/>
      <c r="D458" s="147"/>
      <c r="E458" s="147"/>
      <c r="F458" s="147"/>
      <c r="G458" s="147"/>
      <c r="H458" s="147"/>
      <c r="I458" s="147"/>
      <c r="J458" s="147"/>
      <c r="K458" s="3"/>
      <c r="L458" s="3"/>
      <c r="M458" s="3"/>
      <c r="N458" s="3"/>
      <c r="O458" s="3"/>
      <c r="P458" s="3"/>
      <c r="Q458" s="3"/>
      <c r="R458" s="3"/>
      <c r="S458" s="3"/>
      <c r="T458" s="3"/>
      <c r="U458" s="3"/>
      <c r="V458" s="3"/>
      <c r="W458" s="3"/>
      <c r="X458" s="3"/>
      <c r="Y458" s="3"/>
      <c r="Z458" s="3"/>
    </row>
    <row r="459" spans="1:26" ht="22.5" customHeight="1" x14ac:dyDescent="0.85">
      <c r="A459" s="166"/>
      <c r="B459" s="167"/>
      <c r="C459" s="167"/>
      <c r="D459" s="147"/>
      <c r="E459" s="147"/>
      <c r="F459" s="147"/>
      <c r="G459" s="147"/>
      <c r="H459" s="147"/>
      <c r="I459" s="147"/>
      <c r="J459" s="147"/>
      <c r="K459" s="3"/>
      <c r="L459" s="3"/>
      <c r="M459" s="3"/>
      <c r="N459" s="3"/>
      <c r="O459" s="3"/>
      <c r="P459" s="3"/>
      <c r="Q459" s="3"/>
      <c r="R459" s="3"/>
      <c r="S459" s="3"/>
      <c r="T459" s="3"/>
      <c r="U459" s="3"/>
      <c r="V459" s="3"/>
      <c r="W459" s="3"/>
      <c r="X459" s="3"/>
      <c r="Y459" s="3"/>
      <c r="Z459" s="3"/>
    </row>
    <row r="460" spans="1:26" ht="22.5" customHeight="1" x14ac:dyDescent="0.85">
      <c r="A460" s="166"/>
      <c r="B460" s="167"/>
      <c r="C460" s="167"/>
      <c r="D460" s="147"/>
      <c r="E460" s="147"/>
      <c r="F460" s="147"/>
      <c r="G460" s="147"/>
      <c r="H460" s="147"/>
      <c r="I460" s="147"/>
      <c r="J460" s="147"/>
      <c r="K460" s="3"/>
      <c r="L460" s="3"/>
      <c r="M460" s="3"/>
      <c r="N460" s="3"/>
      <c r="O460" s="3"/>
      <c r="P460" s="3"/>
      <c r="Q460" s="3"/>
      <c r="R460" s="3"/>
      <c r="S460" s="3"/>
      <c r="T460" s="3"/>
      <c r="U460" s="3"/>
      <c r="V460" s="3"/>
      <c r="W460" s="3"/>
      <c r="X460" s="3"/>
      <c r="Y460" s="3"/>
      <c r="Z460" s="3"/>
    </row>
    <row r="461" spans="1:26" ht="22.5" customHeight="1" x14ac:dyDescent="0.85">
      <c r="A461" s="166"/>
      <c r="B461" s="167"/>
      <c r="C461" s="167"/>
      <c r="D461" s="147"/>
      <c r="E461" s="147"/>
      <c r="F461" s="147"/>
      <c r="G461" s="147"/>
      <c r="H461" s="147"/>
      <c r="I461" s="147"/>
      <c r="J461" s="147"/>
      <c r="K461" s="3"/>
      <c r="L461" s="3"/>
      <c r="M461" s="3"/>
      <c r="N461" s="3"/>
      <c r="O461" s="3"/>
      <c r="P461" s="3"/>
      <c r="Q461" s="3"/>
      <c r="R461" s="3"/>
      <c r="S461" s="3"/>
      <c r="T461" s="3"/>
      <c r="U461" s="3"/>
      <c r="V461" s="3"/>
      <c r="W461" s="3"/>
      <c r="X461" s="3"/>
      <c r="Y461" s="3"/>
      <c r="Z461" s="3"/>
    </row>
    <row r="462" spans="1:26" ht="22.5" customHeight="1" x14ac:dyDescent="0.85">
      <c r="A462" s="166"/>
      <c r="B462" s="167"/>
      <c r="C462" s="167"/>
      <c r="D462" s="147"/>
      <c r="E462" s="147"/>
      <c r="F462" s="147"/>
      <c r="G462" s="147"/>
      <c r="H462" s="147"/>
      <c r="I462" s="147"/>
      <c r="J462" s="147"/>
      <c r="K462" s="3"/>
      <c r="L462" s="3"/>
      <c r="M462" s="3"/>
      <c r="N462" s="3"/>
      <c r="O462" s="3"/>
      <c r="P462" s="3"/>
      <c r="Q462" s="3"/>
      <c r="R462" s="3"/>
      <c r="S462" s="3"/>
      <c r="T462" s="3"/>
      <c r="U462" s="3"/>
      <c r="V462" s="3"/>
      <c r="W462" s="3"/>
      <c r="X462" s="3"/>
      <c r="Y462" s="3"/>
      <c r="Z462" s="3"/>
    </row>
    <row r="463" spans="1:26" ht="22.5" customHeight="1" x14ac:dyDescent="0.85">
      <c r="A463" s="166"/>
      <c r="B463" s="167"/>
      <c r="C463" s="167"/>
      <c r="D463" s="147"/>
      <c r="E463" s="147"/>
      <c r="F463" s="147"/>
      <c r="G463" s="147"/>
      <c r="H463" s="147"/>
      <c r="I463" s="147"/>
      <c r="J463" s="147"/>
      <c r="K463" s="3"/>
      <c r="L463" s="3"/>
      <c r="M463" s="3"/>
      <c r="N463" s="3"/>
      <c r="O463" s="3"/>
      <c r="P463" s="3"/>
      <c r="Q463" s="3"/>
      <c r="R463" s="3"/>
      <c r="S463" s="3"/>
      <c r="T463" s="3"/>
      <c r="U463" s="3"/>
      <c r="V463" s="3"/>
      <c r="W463" s="3"/>
      <c r="X463" s="3"/>
      <c r="Y463" s="3"/>
      <c r="Z463" s="3"/>
    </row>
    <row r="464" spans="1:26" ht="22.5" customHeight="1" x14ac:dyDescent="0.85">
      <c r="A464" s="166"/>
      <c r="B464" s="167"/>
      <c r="C464" s="167"/>
      <c r="D464" s="147"/>
      <c r="E464" s="147"/>
      <c r="F464" s="147"/>
      <c r="G464" s="147"/>
      <c r="H464" s="147"/>
      <c r="I464" s="147"/>
      <c r="J464" s="147"/>
      <c r="K464" s="3"/>
      <c r="L464" s="3"/>
      <c r="M464" s="3"/>
      <c r="N464" s="3"/>
      <c r="O464" s="3"/>
      <c r="P464" s="3"/>
      <c r="Q464" s="3"/>
      <c r="R464" s="3"/>
      <c r="S464" s="3"/>
      <c r="T464" s="3"/>
      <c r="U464" s="3"/>
      <c r="V464" s="3"/>
      <c r="W464" s="3"/>
      <c r="X464" s="3"/>
      <c r="Y464" s="3"/>
      <c r="Z464" s="3"/>
    </row>
    <row r="465" spans="1:26" ht="22.5" customHeight="1" x14ac:dyDescent="0.85">
      <c r="A465" s="166"/>
      <c r="B465" s="167"/>
      <c r="C465" s="167"/>
      <c r="D465" s="147"/>
      <c r="E465" s="147"/>
      <c r="F465" s="147"/>
      <c r="G465" s="147"/>
      <c r="H465" s="147"/>
      <c r="I465" s="147"/>
      <c r="J465" s="147"/>
      <c r="K465" s="3"/>
      <c r="L465" s="3"/>
      <c r="M465" s="3"/>
      <c r="N465" s="3"/>
      <c r="O465" s="3"/>
      <c r="P465" s="3"/>
      <c r="Q465" s="3"/>
      <c r="R465" s="3"/>
      <c r="S465" s="3"/>
      <c r="T465" s="3"/>
      <c r="U465" s="3"/>
      <c r="V465" s="3"/>
      <c r="W465" s="3"/>
      <c r="X465" s="3"/>
      <c r="Y465" s="3"/>
      <c r="Z465" s="3"/>
    </row>
    <row r="466" spans="1:26" ht="22.5" customHeight="1" x14ac:dyDescent="0.85">
      <c r="A466" s="166"/>
      <c r="B466" s="167"/>
      <c r="C466" s="167"/>
      <c r="D466" s="147"/>
      <c r="E466" s="147"/>
      <c r="F466" s="147"/>
      <c r="G466" s="147"/>
      <c r="H466" s="147"/>
      <c r="I466" s="147"/>
      <c r="J466" s="147"/>
      <c r="K466" s="3"/>
      <c r="L466" s="3"/>
      <c r="M466" s="3"/>
      <c r="N466" s="3"/>
      <c r="O466" s="3"/>
      <c r="P466" s="3"/>
      <c r="Q466" s="3"/>
      <c r="R466" s="3"/>
      <c r="S466" s="3"/>
      <c r="T466" s="3"/>
      <c r="U466" s="3"/>
      <c r="V466" s="3"/>
      <c r="W466" s="3"/>
      <c r="X466" s="3"/>
      <c r="Y466" s="3"/>
      <c r="Z466" s="3"/>
    </row>
    <row r="467" spans="1:26" ht="22.5" customHeight="1" x14ac:dyDescent="0.85">
      <c r="A467" s="166"/>
      <c r="B467" s="167"/>
      <c r="C467" s="167"/>
      <c r="D467" s="147"/>
      <c r="E467" s="147"/>
      <c r="F467" s="147"/>
      <c r="G467" s="147"/>
      <c r="H467" s="147"/>
      <c r="I467" s="147"/>
      <c r="J467" s="147"/>
      <c r="K467" s="3"/>
      <c r="L467" s="3"/>
      <c r="M467" s="3"/>
      <c r="N467" s="3"/>
      <c r="O467" s="3"/>
      <c r="P467" s="3"/>
      <c r="Q467" s="3"/>
      <c r="R467" s="3"/>
      <c r="S467" s="3"/>
      <c r="T467" s="3"/>
      <c r="U467" s="3"/>
      <c r="V467" s="3"/>
      <c r="W467" s="3"/>
      <c r="X467" s="3"/>
      <c r="Y467" s="3"/>
      <c r="Z467" s="3"/>
    </row>
    <row r="468" spans="1:26" ht="22.5" customHeight="1" x14ac:dyDescent="0.85">
      <c r="A468" s="166"/>
      <c r="B468" s="167"/>
      <c r="C468" s="167"/>
      <c r="D468" s="147"/>
      <c r="E468" s="147"/>
      <c r="F468" s="147"/>
      <c r="G468" s="147"/>
      <c r="H468" s="147"/>
      <c r="I468" s="147"/>
      <c r="J468" s="147"/>
      <c r="K468" s="3"/>
      <c r="L468" s="3"/>
      <c r="M468" s="3"/>
      <c r="N468" s="3"/>
      <c r="O468" s="3"/>
      <c r="P468" s="3"/>
      <c r="Q468" s="3"/>
      <c r="R468" s="3"/>
      <c r="S468" s="3"/>
      <c r="T468" s="3"/>
      <c r="U468" s="3"/>
      <c r="V468" s="3"/>
      <c r="W468" s="3"/>
      <c r="X468" s="3"/>
      <c r="Y468" s="3"/>
      <c r="Z468" s="3"/>
    </row>
    <row r="469" spans="1:26" ht="22.5" customHeight="1" x14ac:dyDescent="0.85">
      <c r="A469" s="166"/>
      <c r="B469" s="167"/>
      <c r="C469" s="167"/>
      <c r="D469" s="147"/>
      <c r="E469" s="147"/>
      <c r="F469" s="147"/>
      <c r="G469" s="147"/>
      <c r="H469" s="147"/>
      <c r="I469" s="147"/>
      <c r="J469" s="147"/>
      <c r="K469" s="3"/>
      <c r="L469" s="3"/>
      <c r="M469" s="3"/>
      <c r="N469" s="3"/>
      <c r="O469" s="3"/>
      <c r="P469" s="3"/>
      <c r="Q469" s="3"/>
      <c r="R469" s="3"/>
      <c r="S469" s="3"/>
      <c r="T469" s="3"/>
      <c r="U469" s="3"/>
      <c r="V469" s="3"/>
      <c r="W469" s="3"/>
      <c r="X469" s="3"/>
      <c r="Y469" s="3"/>
      <c r="Z469" s="3"/>
    </row>
    <row r="470" spans="1:26" ht="22.5" customHeight="1" x14ac:dyDescent="0.85">
      <c r="A470" s="166"/>
      <c r="B470" s="167"/>
      <c r="C470" s="167"/>
      <c r="D470" s="147"/>
      <c r="E470" s="147"/>
      <c r="F470" s="147"/>
      <c r="G470" s="147"/>
      <c r="H470" s="147"/>
      <c r="I470" s="147"/>
      <c r="J470" s="147"/>
      <c r="K470" s="3"/>
      <c r="L470" s="3"/>
      <c r="M470" s="3"/>
      <c r="N470" s="3"/>
      <c r="O470" s="3"/>
      <c r="P470" s="3"/>
      <c r="Q470" s="3"/>
      <c r="R470" s="3"/>
      <c r="S470" s="3"/>
      <c r="T470" s="3"/>
      <c r="U470" s="3"/>
      <c r="V470" s="3"/>
      <c r="W470" s="3"/>
      <c r="X470" s="3"/>
      <c r="Y470" s="3"/>
      <c r="Z470" s="3"/>
    </row>
    <row r="471" spans="1:26" ht="22.5" customHeight="1" x14ac:dyDescent="0.85">
      <c r="A471" s="166"/>
      <c r="B471" s="167"/>
      <c r="C471" s="167"/>
      <c r="D471" s="147"/>
      <c r="E471" s="147"/>
      <c r="F471" s="147"/>
      <c r="G471" s="147"/>
      <c r="H471" s="147"/>
      <c r="I471" s="147"/>
      <c r="J471" s="147"/>
      <c r="K471" s="3"/>
      <c r="L471" s="3"/>
      <c r="M471" s="3"/>
      <c r="N471" s="3"/>
      <c r="O471" s="3"/>
      <c r="P471" s="3"/>
      <c r="Q471" s="3"/>
      <c r="R471" s="3"/>
      <c r="S471" s="3"/>
      <c r="T471" s="3"/>
      <c r="U471" s="3"/>
      <c r="V471" s="3"/>
      <c r="W471" s="3"/>
      <c r="X471" s="3"/>
      <c r="Y471" s="3"/>
      <c r="Z471" s="3"/>
    </row>
    <row r="472" spans="1:26" ht="22.5" customHeight="1" x14ac:dyDescent="0.85">
      <c r="A472" s="166"/>
      <c r="B472" s="167"/>
      <c r="C472" s="167"/>
      <c r="D472" s="147"/>
      <c r="E472" s="147"/>
      <c r="F472" s="147"/>
      <c r="G472" s="147"/>
      <c r="H472" s="147"/>
      <c r="I472" s="147"/>
      <c r="J472" s="147"/>
      <c r="K472" s="3"/>
      <c r="L472" s="3"/>
      <c r="M472" s="3"/>
      <c r="N472" s="3"/>
      <c r="O472" s="3"/>
      <c r="P472" s="3"/>
      <c r="Q472" s="3"/>
      <c r="R472" s="3"/>
      <c r="S472" s="3"/>
      <c r="T472" s="3"/>
      <c r="U472" s="3"/>
      <c r="V472" s="3"/>
      <c r="W472" s="3"/>
      <c r="X472" s="3"/>
      <c r="Y472" s="3"/>
      <c r="Z472" s="3"/>
    </row>
    <row r="473" spans="1:26" ht="22.5" customHeight="1" x14ac:dyDescent="0.85">
      <c r="A473" s="166"/>
      <c r="B473" s="167"/>
      <c r="C473" s="167"/>
      <c r="D473" s="147"/>
      <c r="E473" s="147"/>
      <c r="F473" s="147"/>
      <c r="G473" s="147"/>
      <c r="H473" s="147"/>
      <c r="I473" s="147"/>
      <c r="J473" s="147"/>
      <c r="K473" s="3"/>
      <c r="L473" s="3"/>
      <c r="M473" s="3"/>
      <c r="N473" s="3"/>
      <c r="O473" s="3"/>
      <c r="P473" s="3"/>
      <c r="Q473" s="3"/>
      <c r="R473" s="3"/>
      <c r="S473" s="3"/>
      <c r="T473" s="3"/>
      <c r="U473" s="3"/>
      <c r="V473" s="3"/>
      <c r="W473" s="3"/>
      <c r="X473" s="3"/>
      <c r="Y473" s="3"/>
      <c r="Z473" s="3"/>
    </row>
    <row r="474" spans="1:26" ht="22.5" customHeight="1" x14ac:dyDescent="0.85">
      <c r="A474" s="166"/>
      <c r="B474" s="167"/>
      <c r="C474" s="167"/>
      <c r="D474" s="147"/>
      <c r="E474" s="147"/>
      <c r="F474" s="147"/>
      <c r="G474" s="147"/>
      <c r="H474" s="147"/>
      <c r="I474" s="147"/>
      <c r="J474" s="147"/>
      <c r="K474" s="3"/>
      <c r="L474" s="3"/>
      <c r="M474" s="3"/>
      <c r="N474" s="3"/>
      <c r="O474" s="3"/>
      <c r="P474" s="3"/>
      <c r="Q474" s="3"/>
      <c r="R474" s="3"/>
      <c r="S474" s="3"/>
      <c r="T474" s="3"/>
      <c r="U474" s="3"/>
      <c r="V474" s="3"/>
      <c r="W474" s="3"/>
      <c r="X474" s="3"/>
      <c r="Y474" s="3"/>
      <c r="Z474" s="3"/>
    </row>
    <row r="475" spans="1:26" ht="22.5" customHeight="1" x14ac:dyDescent="0.85">
      <c r="A475" s="166"/>
      <c r="B475" s="167"/>
      <c r="C475" s="167"/>
      <c r="D475" s="147"/>
      <c r="E475" s="147"/>
      <c r="F475" s="147"/>
      <c r="G475" s="147"/>
      <c r="H475" s="147"/>
      <c r="I475" s="147"/>
      <c r="J475" s="147"/>
      <c r="K475" s="3"/>
      <c r="L475" s="3"/>
      <c r="M475" s="3"/>
      <c r="N475" s="3"/>
      <c r="O475" s="3"/>
      <c r="P475" s="3"/>
      <c r="Q475" s="3"/>
      <c r="R475" s="3"/>
      <c r="S475" s="3"/>
      <c r="T475" s="3"/>
      <c r="U475" s="3"/>
      <c r="V475" s="3"/>
      <c r="W475" s="3"/>
      <c r="X475" s="3"/>
      <c r="Y475" s="3"/>
      <c r="Z475" s="3"/>
    </row>
    <row r="476" spans="1:26" ht="22.5" customHeight="1" x14ac:dyDescent="0.85">
      <c r="A476" s="166"/>
      <c r="B476" s="167"/>
      <c r="C476" s="167"/>
      <c r="D476" s="147"/>
      <c r="E476" s="147"/>
      <c r="F476" s="147"/>
      <c r="G476" s="147"/>
      <c r="H476" s="147"/>
      <c r="I476" s="147"/>
      <c r="J476" s="147"/>
      <c r="K476" s="3"/>
      <c r="L476" s="3"/>
      <c r="M476" s="3"/>
      <c r="N476" s="3"/>
      <c r="O476" s="3"/>
      <c r="P476" s="3"/>
      <c r="Q476" s="3"/>
      <c r="R476" s="3"/>
      <c r="S476" s="3"/>
      <c r="T476" s="3"/>
      <c r="U476" s="3"/>
      <c r="V476" s="3"/>
      <c r="W476" s="3"/>
      <c r="X476" s="3"/>
      <c r="Y476" s="3"/>
      <c r="Z476" s="3"/>
    </row>
    <row r="477" spans="1:26" ht="22.5" customHeight="1" x14ac:dyDescent="0.85">
      <c r="A477" s="166"/>
      <c r="B477" s="167"/>
      <c r="C477" s="167"/>
      <c r="D477" s="147"/>
      <c r="E477" s="147"/>
      <c r="F477" s="147"/>
      <c r="G477" s="147"/>
      <c r="H477" s="147"/>
      <c r="I477" s="147"/>
      <c r="J477" s="147"/>
      <c r="K477" s="3"/>
      <c r="L477" s="3"/>
      <c r="M477" s="3"/>
      <c r="N477" s="3"/>
      <c r="O477" s="3"/>
      <c r="P477" s="3"/>
      <c r="Q477" s="3"/>
      <c r="R477" s="3"/>
      <c r="S477" s="3"/>
      <c r="T477" s="3"/>
      <c r="U477" s="3"/>
      <c r="V477" s="3"/>
      <c r="W477" s="3"/>
      <c r="X477" s="3"/>
      <c r="Y477" s="3"/>
      <c r="Z477" s="3"/>
    </row>
    <row r="478" spans="1:26" ht="22.5" customHeight="1" x14ac:dyDescent="0.85">
      <c r="A478" s="166"/>
      <c r="B478" s="167"/>
      <c r="C478" s="167"/>
      <c r="D478" s="147"/>
      <c r="E478" s="147"/>
      <c r="F478" s="147"/>
      <c r="G478" s="147"/>
      <c r="H478" s="147"/>
      <c r="I478" s="147"/>
      <c r="J478" s="147"/>
      <c r="K478" s="3"/>
      <c r="L478" s="3"/>
      <c r="M478" s="3"/>
      <c r="N478" s="3"/>
      <c r="O478" s="3"/>
      <c r="P478" s="3"/>
      <c r="Q478" s="3"/>
      <c r="R478" s="3"/>
      <c r="S478" s="3"/>
      <c r="T478" s="3"/>
      <c r="U478" s="3"/>
      <c r="V478" s="3"/>
      <c r="W478" s="3"/>
      <c r="X478" s="3"/>
      <c r="Y478" s="3"/>
      <c r="Z478" s="3"/>
    </row>
    <row r="479" spans="1:26" ht="22.5" customHeight="1" x14ac:dyDescent="0.85">
      <c r="A479" s="166"/>
      <c r="B479" s="167"/>
      <c r="C479" s="167"/>
      <c r="D479" s="147"/>
      <c r="E479" s="147"/>
      <c r="F479" s="147"/>
      <c r="G479" s="147"/>
      <c r="H479" s="147"/>
      <c r="I479" s="147"/>
      <c r="J479" s="147"/>
      <c r="K479" s="3"/>
      <c r="L479" s="3"/>
      <c r="M479" s="3"/>
      <c r="N479" s="3"/>
      <c r="O479" s="3"/>
      <c r="P479" s="3"/>
      <c r="Q479" s="3"/>
      <c r="R479" s="3"/>
      <c r="S479" s="3"/>
      <c r="T479" s="3"/>
      <c r="U479" s="3"/>
      <c r="V479" s="3"/>
      <c r="W479" s="3"/>
      <c r="X479" s="3"/>
      <c r="Y479" s="3"/>
      <c r="Z479" s="3"/>
    </row>
    <row r="480" spans="1:26" ht="22.5" customHeight="1" x14ac:dyDescent="0.85">
      <c r="A480" s="166"/>
      <c r="B480" s="167"/>
      <c r="C480" s="167"/>
      <c r="D480" s="147"/>
      <c r="E480" s="147"/>
      <c r="F480" s="147"/>
      <c r="G480" s="147"/>
      <c r="H480" s="147"/>
      <c r="I480" s="147"/>
      <c r="J480" s="147"/>
      <c r="K480" s="3"/>
      <c r="L480" s="3"/>
      <c r="M480" s="3"/>
      <c r="N480" s="3"/>
      <c r="O480" s="3"/>
      <c r="P480" s="3"/>
      <c r="Q480" s="3"/>
      <c r="R480" s="3"/>
      <c r="S480" s="3"/>
      <c r="T480" s="3"/>
      <c r="U480" s="3"/>
      <c r="V480" s="3"/>
      <c r="W480" s="3"/>
      <c r="X480" s="3"/>
      <c r="Y480" s="3"/>
      <c r="Z480" s="3"/>
    </row>
    <row r="481" spans="1:26" ht="22.5" customHeight="1" x14ac:dyDescent="0.85">
      <c r="A481" s="166"/>
      <c r="B481" s="167"/>
      <c r="C481" s="167"/>
      <c r="D481" s="147"/>
      <c r="E481" s="147"/>
      <c r="F481" s="147"/>
      <c r="G481" s="147"/>
      <c r="H481" s="147"/>
      <c r="I481" s="147"/>
      <c r="J481" s="147"/>
      <c r="K481" s="3"/>
      <c r="L481" s="3"/>
      <c r="M481" s="3"/>
      <c r="N481" s="3"/>
      <c r="O481" s="3"/>
      <c r="P481" s="3"/>
      <c r="Q481" s="3"/>
      <c r="R481" s="3"/>
      <c r="S481" s="3"/>
      <c r="T481" s="3"/>
      <c r="U481" s="3"/>
      <c r="V481" s="3"/>
      <c r="W481" s="3"/>
      <c r="X481" s="3"/>
      <c r="Y481" s="3"/>
      <c r="Z481" s="3"/>
    </row>
    <row r="482" spans="1:26" ht="22.5" customHeight="1" x14ac:dyDescent="0.85">
      <c r="A482" s="166"/>
      <c r="B482" s="167"/>
      <c r="C482" s="167"/>
      <c r="D482" s="147"/>
      <c r="E482" s="147"/>
      <c r="F482" s="147"/>
      <c r="G482" s="147"/>
      <c r="H482" s="147"/>
      <c r="I482" s="147"/>
      <c r="J482" s="147"/>
      <c r="K482" s="3"/>
      <c r="L482" s="3"/>
      <c r="M482" s="3"/>
      <c r="N482" s="3"/>
      <c r="O482" s="3"/>
      <c r="P482" s="3"/>
      <c r="Q482" s="3"/>
      <c r="R482" s="3"/>
      <c r="S482" s="3"/>
      <c r="T482" s="3"/>
      <c r="U482" s="3"/>
      <c r="V482" s="3"/>
      <c r="W482" s="3"/>
      <c r="X482" s="3"/>
      <c r="Y482" s="3"/>
      <c r="Z482" s="3"/>
    </row>
    <row r="483" spans="1:26" ht="22.5" customHeight="1" x14ac:dyDescent="0.85">
      <c r="A483" s="166"/>
      <c r="B483" s="167"/>
      <c r="C483" s="167"/>
      <c r="D483" s="147"/>
      <c r="E483" s="147"/>
      <c r="F483" s="147"/>
      <c r="G483" s="147"/>
      <c r="H483" s="147"/>
      <c r="I483" s="147"/>
      <c r="J483" s="147"/>
      <c r="K483" s="3"/>
      <c r="L483" s="3"/>
      <c r="M483" s="3"/>
      <c r="N483" s="3"/>
      <c r="O483" s="3"/>
      <c r="P483" s="3"/>
      <c r="Q483" s="3"/>
      <c r="R483" s="3"/>
      <c r="S483" s="3"/>
      <c r="T483" s="3"/>
      <c r="U483" s="3"/>
      <c r="V483" s="3"/>
      <c r="W483" s="3"/>
      <c r="X483" s="3"/>
      <c r="Y483" s="3"/>
      <c r="Z483" s="3"/>
    </row>
    <row r="484" spans="1:26" ht="22.5" customHeight="1" x14ac:dyDescent="0.85">
      <c r="A484" s="166"/>
      <c r="B484" s="167"/>
      <c r="C484" s="167"/>
      <c r="D484" s="147"/>
      <c r="E484" s="147"/>
      <c r="F484" s="147"/>
      <c r="G484" s="147"/>
      <c r="H484" s="147"/>
      <c r="I484" s="147"/>
      <c r="J484" s="147"/>
      <c r="K484" s="3"/>
      <c r="L484" s="3"/>
      <c r="M484" s="3"/>
      <c r="N484" s="3"/>
      <c r="O484" s="3"/>
      <c r="P484" s="3"/>
      <c r="Q484" s="3"/>
      <c r="R484" s="3"/>
      <c r="S484" s="3"/>
      <c r="T484" s="3"/>
      <c r="U484" s="3"/>
      <c r="V484" s="3"/>
      <c r="W484" s="3"/>
      <c r="X484" s="3"/>
      <c r="Y484" s="3"/>
      <c r="Z484" s="3"/>
    </row>
    <row r="485" spans="1:26" ht="22.5" customHeight="1" x14ac:dyDescent="0.85">
      <c r="A485" s="166"/>
      <c r="B485" s="167"/>
      <c r="C485" s="167"/>
      <c r="D485" s="147"/>
      <c r="E485" s="147"/>
      <c r="F485" s="147"/>
      <c r="G485" s="147"/>
      <c r="H485" s="147"/>
      <c r="I485" s="147"/>
      <c r="J485" s="147"/>
      <c r="K485" s="3"/>
      <c r="L485" s="3"/>
      <c r="M485" s="3"/>
      <c r="N485" s="3"/>
      <c r="O485" s="3"/>
      <c r="P485" s="3"/>
      <c r="Q485" s="3"/>
      <c r="R485" s="3"/>
      <c r="S485" s="3"/>
      <c r="T485" s="3"/>
      <c r="U485" s="3"/>
      <c r="V485" s="3"/>
      <c r="W485" s="3"/>
      <c r="X485" s="3"/>
      <c r="Y485" s="3"/>
      <c r="Z485" s="3"/>
    </row>
    <row r="486" spans="1:26" ht="22.5" customHeight="1" x14ac:dyDescent="0.85">
      <c r="A486" s="166"/>
      <c r="B486" s="167"/>
      <c r="C486" s="167"/>
      <c r="D486" s="147"/>
      <c r="E486" s="147"/>
      <c r="F486" s="147"/>
      <c r="G486" s="147"/>
      <c r="H486" s="147"/>
      <c r="I486" s="147"/>
      <c r="J486" s="147"/>
      <c r="K486" s="3"/>
      <c r="L486" s="3"/>
      <c r="M486" s="3"/>
      <c r="N486" s="3"/>
      <c r="O486" s="3"/>
      <c r="P486" s="3"/>
      <c r="Q486" s="3"/>
      <c r="R486" s="3"/>
      <c r="S486" s="3"/>
      <c r="T486" s="3"/>
      <c r="U486" s="3"/>
      <c r="V486" s="3"/>
      <c r="W486" s="3"/>
      <c r="X486" s="3"/>
      <c r="Y486" s="3"/>
      <c r="Z486" s="3"/>
    </row>
    <row r="487" spans="1:26" ht="22.5" customHeight="1" x14ac:dyDescent="0.85">
      <c r="A487" s="166"/>
      <c r="B487" s="167"/>
      <c r="C487" s="167"/>
      <c r="D487" s="147"/>
      <c r="E487" s="147"/>
      <c r="F487" s="147"/>
      <c r="G487" s="147"/>
      <c r="H487" s="147"/>
      <c r="I487" s="147"/>
      <c r="J487" s="147"/>
      <c r="K487" s="3"/>
      <c r="L487" s="3"/>
      <c r="M487" s="3"/>
      <c r="N487" s="3"/>
      <c r="O487" s="3"/>
      <c r="P487" s="3"/>
      <c r="Q487" s="3"/>
      <c r="R487" s="3"/>
      <c r="S487" s="3"/>
      <c r="T487" s="3"/>
      <c r="U487" s="3"/>
      <c r="V487" s="3"/>
      <c r="W487" s="3"/>
      <c r="X487" s="3"/>
      <c r="Y487" s="3"/>
      <c r="Z487" s="3"/>
    </row>
    <row r="488" spans="1:26" ht="22.5" customHeight="1" x14ac:dyDescent="0.85">
      <c r="A488" s="166"/>
      <c r="B488" s="167"/>
      <c r="C488" s="167"/>
      <c r="D488" s="147"/>
      <c r="E488" s="147"/>
      <c r="F488" s="147"/>
      <c r="G488" s="147"/>
      <c r="H488" s="147"/>
      <c r="I488" s="147"/>
      <c r="J488" s="147"/>
      <c r="K488" s="3"/>
      <c r="L488" s="3"/>
      <c r="M488" s="3"/>
      <c r="N488" s="3"/>
      <c r="O488" s="3"/>
      <c r="P488" s="3"/>
      <c r="Q488" s="3"/>
      <c r="R488" s="3"/>
      <c r="S488" s="3"/>
      <c r="T488" s="3"/>
      <c r="U488" s="3"/>
      <c r="V488" s="3"/>
      <c r="W488" s="3"/>
      <c r="X488" s="3"/>
      <c r="Y488" s="3"/>
      <c r="Z488" s="3"/>
    </row>
    <row r="489" spans="1:26" ht="22.5" customHeight="1" x14ac:dyDescent="0.85">
      <c r="A489" s="166"/>
      <c r="B489" s="167"/>
      <c r="C489" s="167"/>
      <c r="D489" s="147"/>
      <c r="E489" s="147"/>
      <c r="F489" s="147"/>
      <c r="G489" s="147"/>
      <c r="H489" s="147"/>
      <c r="I489" s="147"/>
      <c r="J489" s="147"/>
      <c r="K489" s="3"/>
      <c r="L489" s="3"/>
      <c r="M489" s="3"/>
      <c r="N489" s="3"/>
      <c r="O489" s="3"/>
      <c r="P489" s="3"/>
      <c r="Q489" s="3"/>
      <c r="R489" s="3"/>
      <c r="S489" s="3"/>
      <c r="T489" s="3"/>
      <c r="U489" s="3"/>
      <c r="V489" s="3"/>
      <c r="W489" s="3"/>
      <c r="X489" s="3"/>
      <c r="Y489" s="3"/>
      <c r="Z489" s="3"/>
    </row>
    <row r="490" spans="1:26" ht="22.5" customHeight="1" x14ac:dyDescent="0.85">
      <c r="A490" s="166"/>
      <c r="B490" s="167"/>
      <c r="C490" s="167"/>
      <c r="D490" s="147"/>
      <c r="E490" s="147"/>
      <c r="F490" s="147"/>
      <c r="G490" s="147"/>
      <c r="H490" s="147"/>
      <c r="I490" s="147"/>
      <c r="J490" s="147"/>
      <c r="K490" s="3"/>
      <c r="L490" s="3"/>
      <c r="M490" s="3"/>
      <c r="N490" s="3"/>
      <c r="O490" s="3"/>
      <c r="P490" s="3"/>
      <c r="Q490" s="3"/>
      <c r="R490" s="3"/>
      <c r="S490" s="3"/>
      <c r="T490" s="3"/>
      <c r="U490" s="3"/>
      <c r="V490" s="3"/>
      <c r="W490" s="3"/>
      <c r="X490" s="3"/>
      <c r="Y490" s="3"/>
      <c r="Z490" s="3"/>
    </row>
    <row r="491" spans="1:26" ht="22.5" customHeight="1" x14ac:dyDescent="0.85">
      <c r="A491" s="166"/>
      <c r="B491" s="167"/>
      <c r="C491" s="167"/>
      <c r="D491" s="147"/>
      <c r="E491" s="147"/>
      <c r="F491" s="147"/>
      <c r="G491" s="147"/>
      <c r="H491" s="147"/>
      <c r="I491" s="147"/>
      <c r="J491" s="147"/>
      <c r="K491" s="3"/>
      <c r="L491" s="3"/>
      <c r="M491" s="3"/>
      <c r="N491" s="3"/>
      <c r="O491" s="3"/>
      <c r="P491" s="3"/>
      <c r="Q491" s="3"/>
      <c r="R491" s="3"/>
      <c r="S491" s="3"/>
      <c r="T491" s="3"/>
      <c r="U491" s="3"/>
      <c r="V491" s="3"/>
      <c r="W491" s="3"/>
      <c r="X491" s="3"/>
      <c r="Y491" s="3"/>
      <c r="Z491" s="3"/>
    </row>
    <row r="492" spans="1:26" ht="22.5" customHeight="1" x14ac:dyDescent="0.85">
      <c r="A492" s="166"/>
      <c r="B492" s="167"/>
      <c r="C492" s="167"/>
      <c r="D492" s="147"/>
      <c r="E492" s="147"/>
      <c r="F492" s="147"/>
      <c r="G492" s="147"/>
      <c r="H492" s="147"/>
      <c r="I492" s="147"/>
      <c r="J492" s="147"/>
      <c r="K492" s="3"/>
      <c r="L492" s="3"/>
      <c r="M492" s="3"/>
      <c r="N492" s="3"/>
      <c r="O492" s="3"/>
      <c r="P492" s="3"/>
      <c r="Q492" s="3"/>
      <c r="R492" s="3"/>
      <c r="S492" s="3"/>
      <c r="T492" s="3"/>
      <c r="U492" s="3"/>
      <c r="V492" s="3"/>
      <c r="W492" s="3"/>
      <c r="X492" s="3"/>
      <c r="Y492" s="3"/>
      <c r="Z492" s="3"/>
    </row>
    <row r="493" spans="1:26" ht="22.5" customHeight="1" x14ac:dyDescent="0.85">
      <c r="A493" s="166"/>
      <c r="B493" s="167"/>
      <c r="C493" s="167"/>
      <c r="D493" s="147"/>
      <c r="E493" s="147"/>
      <c r="F493" s="147"/>
      <c r="G493" s="147"/>
      <c r="H493" s="147"/>
      <c r="I493" s="147"/>
      <c r="J493" s="147"/>
      <c r="K493" s="3"/>
      <c r="L493" s="3"/>
      <c r="M493" s="3"/>
      <c r="N493" s="3"/>
      <c r="O493" s="3"/>
      <c r="P493" s="3"/>
      <c r="Q493" s="3"/>
      <c r="R493" s="3"/>
      <c r="S493" s="3"/>
      <c r="T493" s="3"/>
      <c r="U493" s="3"/>
      <c r="V493" s="3"/>
      <c r="W493" s="3"/>
      <c r="X493" s="3"/>
      <c r="Y493" s="3"/>
      <c r="Z493" s="3"/>
    </row>
    <row r="494" spans="1:26" ht="22.5" customHeight="1" x14ac:dyDescent="0.85">
      <c r="A494" s="166"/>
      <c r="B494" s="167"/>
      <c r="C494" s="167"/>
      <c r="D494" s="147"/>
      <c r="E494" s="147"/>
      <c r="F494" s="147"/>
      <c r="G494" s="147"/>
      <c r="H494" s="147"/>
      <c r="I494" s="147"/>
      <c r="J494" s="147"/>
      <c r="K494" s="3"/>
      <c r="L494" s="3"/>
      <c r="M494" s="3"/>
      <c r="N494" s="3"/>
      <c r="O494" s="3"/>
      <c r="P494" s="3"/>
      <c r="Q494" s="3"/>
      <c r="R494" s="3"/>
      <c r="S494" s="3"/>
      <c r="T494" s="3"/>
      <c r="U494" s="3"/>
      <c r="V494" s="3"/>
      <c r="W494" s="3"/>
      <c r="X494" s="3"/>
      <c r="Y494" s="3"/>
      <c r="Z494" s="3"/>
    </row>
    <row r="495" spans="1:26" ht="22.5" customHeight="1" x14ac:dyDescent="0.85">
      <c r="A495" s="166"/>
      <c r="B495" s="167"/>
      <c r="C495" s="167"/>
      <c r="D495" s="147"/>
      <c r="E495" s="147"/>
      <c r="F495" s="147"/>
      <c r="G495" s="147"/>
      <c r="H495" s="147"/>
      <c r="I495" s="147"/>
      <c r="J495" s="147"/>
      <c r="K495" s="3"/>
      <c r="L495" s="3"/>
      <c r="M495" s="3"/>
      <c r="N495" s="3"/>
      <c r="O495" s="3"/>
      <c r="P495" s="3"/>
      <c r="Q495" s="3"/>
      <c r="R495" s="3"/>
      <c r="S495" s="3"/>
      <c r="T495" s="3"/>
      <c r="U495" s="3"/>
      <c r="V495" s="3"/>
      <c r="W495" s="3"/>
      <c r="X495" s="3"/>
      <c r="Y495" s="3"/>
      <c r="Z495" s="3"/>
    </row>
    <row r="496" spans="1:26" ht="22.5" customHeight="1" x14ac:dyDescent="0.85">
      <c r="A496" s="166"/>
      <c r="B496" s="167"/>
      <c r="C496" s="167"/>
      <c r="D496" s="147"/>
      <c r="E496" s="147"/>
      <c r="F496" s="147"/>
      <c r="G496" s="147"/>
      <c r="H496" s="147"/>
      <c r="I496" s="147"/>
      <c r="J496" s="147"/>
      <c r="K496" s="3"/>
      <c r="L496" s="3"/>
      <c r="M496" s="3"/>
      <c r="N496" s="3"/>
      <c r="O496" s="3"/>
      <c r="P496" s="3"/>
      <c r="Q496" s="3"/>
      <c r="R496" s="3"/>
      <c r="S496" s="3"/>
      <c r="T496" s="3"/>
      <c r="U496" s="3"/>
      <c r="V496" s="3"/>
      <c r="W496" s="3"/>
      <c r="X496" s="3"/>
      <c r="Y496" s="3"/>
      <c r="Z496" s="3"/>
    </row>
    <row r="497" spans="1:26" ht="22.5" customHeight="1" x14ac:dyDescent="0.85">
      <c r="A497" s="166"/>
      <c r="B497" s="167"/>
      <c r="C497" s="167"/>
      <c r="D497" s="147"/>
      <c r="E497" s="147"/>
      <c r="F497" s="147"/>
      <c r="G497" s="147"/>
      <c r="H497" s="147"/>
      <c r="I497" s="147"/>
      <c r="J497" s="147"/>
      <c r="K497" s="3"/>
      <c r="L497" s="3"/>
      <c r="M497" s="3"/>
      <c r="N497" s="3"/>
      <c r="O497" s="3"/>
      <c r="P497" s="3"/>
      <c r="Q497" s="3"/>
      <c r="R497" s="3"/>
      <c r="S497" s="3"/>
      <c r="T497" s="3"/>
      <c r="U497" s="3"/>
      <c r="V497" s="3"/>
      <c r="W497" s="3"/>
      <c r="X497" s="3"/>
      <c r="Y497" s="3"/>
      <c r="Z497" s="3"/>
    </row>
    <row r="498" spans="1:26" ht="22.5" customHeight="1" x14ac:dyDescent="0.85">
      <c r="A498" s="166"/>
      <c r="B498" s="167"/>
      <c r="C498" s="167"/>
      <c r="D498" s="147"/>
      <c r="E498" s="147"/>
      <c r="F498" s="147"/>
      <c r="G498" s="147"/>
      <c r="H498" s="147"/>
      <c r="I498" s="147"/>
      <c r="J498" s="147"/>
      <c r="K498" s="3"/>
      <c r="L498" s="3"/>
      <c r="M498" s="3"/>
      <c r="N498" s="3"/>
      <c r="O498" s="3"/>
      <c r="P498" s="3"/>
      <c r="Q498" s="3"/>
      <c r="R498" s="3"/>
      <c r="S498" s="3"/>
      <c r="T498" s="3"/>
      <c r="U498" s="3"/>
      <c r="V498" s="3"/>
      <c r="W498" s="3"/>
      <c r="X498" s="3"/>
      <c r="Y498" s="3"/>
      <c r="Z498" s="3"/>
    </row>
    <row r="499" spans="1:26" ht="22.5" customHeight="1" x14ac:dyDescent="0.85">
      <c r="A499" s="166"/>
      <c r="B499" s="167"/>
      <c r="C499" s="167"/>
      <c r="D499" s="147"/>
      <c r="E499" s="147"/>
      <c r="F499" s="147"/>
      <c r="G499" s="147"/>
      <c r="H499" s="147"/>
      <c r="I499" s="147"/>
      <c r="J499" s="147"/>
      <c r="K499" s="3"/>
      <c r="L499" s="3"/>
      <c r="M499" s="3"/>
      <c r="N499" s="3"/>
      <c r="O499" s="3"/>
      <c r="P499" s="3"/>
      <c r="Q499" s="3"/>
      <c r="R499" s="3"/>
      <c r="S499" s="3"/>
      <c r="T499" s="3"/>
      <c r="U499" s="3"/>
      <c r="V499" s="3"/>
      <c r="W499" s="3"/>
      <c r="X499" s="3"/>
      <c r="Y499" s="3"/>
      <c r="Z499" s="3"/>
    </row>
    <row r="500" spans="1:26" ht="22.5" customHeight="1" x14ac:dyDescent="0.85">
      <c r="A500" s="166"/>
      <c r="B500" s="167"/>
      <c r="C500" s="167"/>
      <c r="D500" s="147"/>
      <c r="E500" s="147"/>
      <c r="F500" s="147"/>
      <c r="G500" s="147"/>
      <c r="H500" s="147"/>
      <c r="I500" s="147"/>
      <c r="J500" s="147"/>
      <c r="K500" s="3"/>
      <c r="L500" s="3"/>
      <c r="M500" s="3"/>
      <c r="N500" s="3"/>
      <c r="O500" s="3"/>
      <c r="P500" s="3"/>
      <c r="Q500" s="3"/>
      <c r="R500" s="3"/>
      <c r="S500" s="3"/>
      <c r="T500" s="3"/>
      <c r="U500" s="3"/>
      <c r="V500" s="3"/>
      <c r="W500" s="3"/>
      <c r="X500" s="3"/>
      <c r="Y500" s="3"/>
      <c r="Z500" s="3"/>
    </row>
    <row r="501" spans="1:26" ht="22.5" customHeight="1" x14ac:dyDescent="0.85">
      <c r="A501" s="166"/>
      <c r="B501" s="167"/>
      <c r="C501" s="167"/>
      <c r="D501" s="147"/>
      <c r="E501" s="147"/>
      <c r="F501" s="147"/>
      <c r="G501" s="147"/>
      <c r="H501" s="147"/>
      <c r="I501" s="147"/>
      <c r="J501" s="147"/>
      <c r="K501" s="3"/>
      <c r="L501" s="3"/>
      <c r="M501" s="3"/>
      <c r="N501" s="3"/>
      <c r="O501" s="3"/>
      <c r="P501" s="3"/>
      <c r="Q501" s="3"/>
      <c r="R501" s="3"/>
      <c r="S501" s="3"/>
      <c r="T501" s="3"/>
      <c r="U501" s="3"/>
      <c r="V501" s="3"/>
      <c r="W501" s="3"/>
      <c r="X501" s="3"/>
      <c r="Y501" s="3"/>
      <c r="Z501" s="3"/>
    </row>
    <row r="502" spans="1:26" ht="22.5" customHeight="1" x14ac:dyDescent="0.85">
      <c r="A502" s="166"/>
      <c r="B502" s="167"/>
      <c r="C502" s="167"/>
      <c r="D502" s="147"/>
      <c r="E502" s="147"/>
      <c r="F502" s="147"/>
      <c r="G502" s="147"/>
      <c r="H502" s="147"/>
      <c r="I502" s="147"/>
      <c r="J502" s="147"/>
      <c r="K502" s="3"/>
      <c r="L502" s="3"/>
      <c r="M502" s="3"/>
      <c r="N502" s="3"/>
      <c r="O502" s="3"/>
      <c r="P502" s="3"/>
      <c r="Q502" s="3"/>
      <c r="R502" s="3"/>
      <c r="S502" s="3"/>
      <c r="T502" s="3"/>
      <c r="U502" s="3"/>
      <c r="V502" s="3"/>
      <c r="W502" s="3"/>
      <c r="X502" s="3"/>
      <c r="Y502" s="3"/>
      <c r="Z502" s="3"/>
    </row>
    <row r="503" spans="1:26" ht="22.5" customHeight="1" x14ac:dyDescent="0.85">
      <c r="A503" s="166"/>
      <c r="B503" s="167"/>
      <c r="C503" s="167"/>
      <c r="D503" s="147"/>
      <c r="E503" s="147"/>
      <c r="F503" s="147"/>
      <c r="G503" s="147"/>
      <c r="H503" s="147"/>
      <c r="I503" s="147"/>
      <c r="J503" s="147"/>
      <c r="K503" s="3"/>
      <c r="L503" s="3"/>
      <c r="M503" s="3"/>
      <c r="N503" s="3"/>
      <c r="O503" s="3"/>
      <c r="P503" s="3"/>
      <c r="Q503" s="3"/>
      <c r="R503" s="3"/>
      <c r="S503" s="3"/>
      <c r="T503" s="3"/>
      <c r="U503" s="3"/>
      <c r="V503" s="3"/>
      <c r="W503" s="3"/>
      <c r="X503" s="3"/>
      <c r="Y503" s="3"/>
      <c r="Z503" s="3"/>
    </row>
    <row r="504" spans="1:26" ht="22.5" customHeight="1" x14ac:dyDescent="0.85">
      <c r="A504" s="166"/>
      <c r="B504" s="167"/>
      <c r="C504" s="167"/>
      <c r="D504" s="147"/>
      <c r="E504" s="147"/>
      <c r="F504" s="147"/>
      <c r="G504" s="147"/>
      <c r="H504" s="147"/>
      <c r="I504" s="147"/>
      <c r="J504" s="147"/>
      <c r="K504" s="3"/>
      <c r="L504" s="3"/>
      <c r="M504" s="3"/>
      <c r="N504" s="3"/>
      <c r="O504" s="3"/>
      <c r="P504" s="3"/>
      <c r="Q504" s="3"/>
      <c r="R504" s="3"/>
      <c r="S504" s="3"/>
      <c r="T504" s="3"/>
      <c r="U504" s="3"/>
      <c r="V504" s="3"/>
      <c r="W504" s="3"/>
      <c r="X504" s="3"/>
      <c r="Y504" s="3"/>
      <c r="Z504" s="3"/>
    </row>
    <row r="505" spans="1:26" ht="22.5" customHeight="1" x14ac:dyDescent="0.85">
      <c r="A505" s="166"/>
      <c r="B505" s="167"/>
      <c r="C505" s="167"/>
      <c r="D505" s="147"/>
      <c r="E505" s="147"/>
      <c r="F505" s="147"/>
      <c r="G505" s="147"/>
      <c r="H505" s="147"/>
      <c r="I505" s="147"/>
      <c r="J505" s="147"/>
      <c r="K505" s="3"/>
      <c r="L505" s="3"/>
      <c r="M505" s="3"/>
      <c r="N505" s="3"/>
      <c r="O505" s="3"/>
      <c r="P505" s="3"/>
      <c r="Q505" s="3"/>
      <c r="R505" s="3"/>
      <c r="S505" s="3"/>
      <c r="T505" s="3"/>
      <c r="U505" s="3"/>
      <c r="V505" s="3"/>
      <c r="W505" s="3"/>
      <c r="X505" s="3"/>
      <c r="Y505" s="3"/>
      <c r="Z505" s="3"/>
    </row>
    <row r="506" spans="1:26" ht="22.5" customHeight="1" x14ac:dyDescent="0.85">
      <c r="A506" s="166"/>
      <c r="B506" s="167"/>
      <c r="C506" s="167"/>
      <c r="D506" s="147"/>
      <c r="E506" s="147"/>
      <c r="F506" s="147"/>
      <c r="G506" s="147"/>
      <c r="H506" s="147"/>
      <c r="I506" s="147"/>
      <c r="J506" s="147"/>
      <c r="K506" s="3"/>
      <c r="L506" s="3"/>
      <c r="M506" s="3"/>
      <c r="N506" s="3"/>
      <c r="O506" s="3"/>
      <c r="P506" s="3"/>
      <c r="Q506" s="3"/>
      <c r="R506" s="3"/>
      <c r="S506" s="3"/>
      <c r="T506" s="3"/>
      <c r="U506" s="3"/>
      <c r="V506" s="3"/>
      <c r="W506" s="3"/>
      <c r="X506" s="3"/>
      <c r="Y506" s="3"/>
      <c r="Z506" s="3"/>
    </row>
    <row r="507" spans="1:26" ht="22.5" customHeight="1" x14ac:dyDescent="0.85">
      <c r="A507" s="166"/>
      <c r="B507" s="167"/>
      <c r="C507" s="167"/>
      <c r="D507" s="147"/>
      <c r="E507" s="147"/>
      <c r="F507" s="147"/>
      <c r="G507" s="147"/>
      <c r="H507" s="147"/>
      <c r="I507" s="147"/>
      <c r="J507" s="147"/>
      <c r="K507" s="3"/>
      <c r="L507" s="3"/>
      <c r="M507" s="3"/>
      <c r="N507" s="3"/>
      <c r="O507" s="3"/>
      <c r="P507" s="3"/>
      <c r="Q507" s="3"/>
      <c r="R507" s="3"/>
      <c r="S507" s="3"/>
      <c r="T507" s="3"/>
      <c r="U507" s="3"/>
      <c r="V507" s="3"/>
      <c r="W507" s="3"/>
      <c r="X507" s="3"/>
      <c r="Y507" s="3"/>
      <c r="Z507" s="3"/>
    </row>
    <row r="508" spans="1:26" ht="22.5" customHeight="1" x14ac:dyDescent="0.85">
      <c r="A508" s="166"/>
      <c r="B508" s="167"/>
      <c r="C508" s="167"/>
      <c r="D508" s="147"/>
      <c r="E508" s="147"/>
      <c r="F508" s="147"/>
      <c r="G508" s="147"/>
      <c r="H508" s="147"/>
      <c r="I508" s="147"/>
      <c r="J508" s="147"/>
      <c r="K508" s="3"/>
      <c r="L508" s="3"/>
      <c r="M508" s="3"/>
      <c r="N508" s="3"/>
      <c r="O508" s="3"/>
      <c r="P508" s="3"/>
      <c r="Q508" s="3"/>
      <c r="R508" s="3"/>
      <c r="S508" s="3"/>
      <c r="T508" s="3"/>
      <c r="U508" s="3"/>
      <c r="V508" s="3"/>
      <c r="W508" s="3"/>
      <c r="X508" s="3"/>
      <c r="Y508" s="3"/>
      <c r="Z508" s="3"/>
    </row>
    <row r="509" spans="1:26" ht="22.5" customHeight="1" x14ac:dyDescent="0.85">
      <c r="A509" s="166"/>
      <c r="B509" s="167"/>
      <c r="C509" s="167"/>
      <c r="D509" s="147"/>
      <c r="E509" s="147"/>
      <c r="F509" s="147"/>
      <c r="G509" s="147"/>
      <c r="H509" s="147"/>
      <c r="I509" s="147"/>
      <c r="J509" s="147"/>
      <c r="K509" s="3"/>
      <c r="L509" s="3"/>
      <c r="M509" s="3"/>
      <c r="N509" s="3"/>
      <c r="O509" s="3"/>
      <c r="P509" s="3"/>
      <c r="Q509" s="3"/>
      <c r="R509" s="3"/>
      <c r="S509" s="3"/>
      <c r="T509" s="3"/>
      <c r="U509" s="3"/>
      <c r="V509" s="3"/>
      <c r="W509" s="3"/>
      <c r="X509" s="3"/>
      <c r="Y509" s="3"/>
      <c r="Z509" s="3"/>
    </row>
    <row r="510" spans="1:26" ht="22.5" customHeight="1" x14ac:dyDescent="0.85">
      <c r="A510" s="166"/>
      <c r="B510" s="167"/>
      <c r="C510" s="167"/>
      <c r="D510" s="147"/>
      <c r="E510" s="147"/>
      <c r="F510" s="147"/>
      <c r="G510" s="147"/>
      <c r="H510" s="147"/>
      <c r="I510" s="147"/>
      <c r="J510" s="147"/>
      <c r="K510" s="3"/>
      <c r="L510" s="3"/>
      <c r="M510" s="3"/>
      <c r="N510" s="3"/>
      <c r="O510" s="3"/>
      <c r="P510" s="3"/>
      <c r="Q510" s="3"/>
      <c r="R510" s="3"/>
      <c r="S510" s="3"/>
      <c r="T510" s="3"/>
      <c r="U510" s="3"/>
      <c r="V510" s="3"/>
      <c r="W510" s="3"/>
      <c r="X510" s="3"/>
      <c r="Y510" s="3"/>
      <c r="Z510" s="3"/>
    </row>
    <row r="511" spans="1:26" ht="22.5" customHeight="1" x14ac:dyDescent="0.85">
      <c r="A511" s="166"/>
      <c r="B511" s="167"/>
      <c r="C511" s="167"/>
      <c r="D511" s="147"/>
      <c r="E511" s="147"/>
      <c r="F511" s="147"/>
      <c r="G511" s="147"/>
      <c r="H511" s="147"/>
      <c r="I511" s="147"/>
      <c r="J511" s="147"/>
      <c r="K511" s="3"/>
      <c r="L511" s="3"/>
      <c r="M511" s="3"/>
      <c r="N511" s="3"/>
      <c r="O511" s="3"/>
      <c r="P511" s="3"/>
      <c r="Q511" s="3"/>
      <c r="R511" s="3"/>
      <c r="S511" s="3"/>
      <c r="T511" s="3"/>
      <c r="U511" s="3"/>
      <c r="V511" s="3"/>
      <c r="W511" s="3"/>
      <c r="X511" s="3"/>
      <c r="Y511" s="3"/>
      <c r="Z511" s="3"/>
    </row>
    <row r="512" spans="1:26" ht="22.5" customHeight="1" x14ac:dyDescent="0.85">
      <c r="A512" s="166"/>
      <c r="B512" s="167"/>
      <c r="C512" s="167"/>
      <c r="D512" s="147"/>
      <c r="E512" s="147"/>
      <c r="F512" s="147"/>
      <c r="G512" s="147"/>
      <c r="H512" s="147"/>
      <c r="I512" s="147"/>
      <c r="J512" s="147"/>
      <c r="K512" s="3"/>
      <c r="L512" s="3"/>
      <c r="M512" s="3"/>
      <c r="N512" s="3"/>
      <c r="O512" s="3"/>
      <c r="P512" s="3"/>
      <c r="Q512" s="3"/>
      <c r="R512" s="3"/>
      <c r="S512" s="3"/>
      <c r="T512" s="3"/>
      <c r="U512" s="3"/>
      <c r="V512" s="3"/>
      <c r="W512" s="3"/>
      <c r="X512" s="3"/>
      <c r="Y512" s="3"/>
      <c r="Z512" s="3"/>
    </row>
    <row r="513" spans="1:26" ht="22.5" customHeight="1" x14ac:dyDescent="0.85">
      <c r="A513" s="166"/>
      <c r="B513" s="167"/>
      <c r="C513" s="167"/>
      <c r="D513" s="147"/>
      <c r="E513" s="147"/>
      <c r="F513" s="147"/>
      <c r="G513" s="147"/>
      <c r="H513" s="147"/>
      <c r="I513" s="147"/>
      <c r="J513" s="147"/>
      <c r="K513" s="3"/>
      <c r="L513" s="3"/>
      <c r="M513" s="3"/>
      <c r="N513" s="3"/>
      <c r="O513" s="3"/>
      <c r="P513" s="3"/>
      <c r="Q513" s="3"/>
      <c r="R513" s="3"/>
      <c r="S513" s="3"/>
      <c r="T513" s="3"/>
      <c r="U513" s="3"/>
      <c r="V513" s="3"/>
      <c r="W513" s="3"/>
      <c r="X513" s="3"/>
      <c r="Y513" s="3"/>
      <c r="Z513" s="3"/>
    </row>
    <row r="514" spans="1:26" ht="22.5" customHeight="1" x14ac:dyDescent="0.85">
      <c r="A514" s="166"/>
      <c r="B514" s="167"/>
      <c r="C514" s="167"/>
      <c r="D514" s="147"/>
      <c r="E514" s="147"/>
      <c r="F514" s="147"/>
      <c r="G514" s="147"/>
      <c r="H514" s="147"/>
      <c r="I514" s="147"/>
      <c r="J514" s="147"/>
      <c r="K514" s="3"/>
      <c r="L514" s="3"/>
      <c r="M514" s="3"/>
      <c r="N514" s="3"/>
      <c r="O514" s="3"/>
      <c r="P514" s="3"/>
      <c r="Q514" s="3"/>
      <c r="R514" s="3"/>
      <c r="S514" s="3"/>
      <c r="T514" s="3"/>
      <c r="U514" s="3"/>
      <c r="V514" s="3"/>
      <c r="W514" s="3"/>
      <c r="X514" s="3"/>
      <c r="Y514" s="3"/>
      <c r="Z514" s="3"/>
    </row>
    <row r="515" spans="1:26" ht="22.5" customHeight="1" x14ac:dyDescent="0.85">
      <c r="A515" s="166"/>
      <c r="B515" s="167"/>
      <c r="C515" s="167"/>
      <c r="D515" s="147"/>
      <c r="E515" s="147"/>
      <c r="F515" s="147"/>
      <c r="G515" s="147"/>
      <c r="H515" s="147"/>
      <c r="I515" s="147"/>
      <c r="J515" s="147"/>
      <c r="K515" s="3"/>
      <c r="L515" s="3"/>
      <c r="M515" s="3"/>
      <c r="N515" s="3"/>
      <c r="O515" s="3"/>
      <c r="P515" s="3"/>
      <c r="Q515" s="3"/>
      <c r="R515" s="3"/>
      <c r="S515" s="3"/>
      <c r="T515" s="3"/>
      <c r="U515" s="3"/>
      <c r="V515" s="3"/>
      <c r="W515" s="3"/>
      <c r="X515" s="3"/>
      <c r="Y515" s="3"/>
      <c r="Z515" s="3"/>
    </row>
    <row r="516" spans="1:26" ht="22.5" customHeight="1" x14ac:dyDescent="0.85">
      <c r="A516" s="166"/>
      <c r="B516" s="167"/>
      <c r="C516" s="167"/>
      <c r="D516" s="147"/>
      <c r="E516" s="147"/>
      <c r="F516" s="147"/>
      <c r="G516" s="147"/>
      <c r="H516" s="147"/>
      <c r="I516" s="147"/>
      <c r="J516" s="147"/>
      <c r="K516" s="3"/>
      <c r="L516" s="3"/>
      <c r="M516" s="3"/>
      <c r="N516" s="3"/>
      <c r="O516" s="3"/>
      <c r="P516" s="3"/>
      <c r="Q516" s="3"/>
      <c r="R516" s="3"/>
      <c r="S516" s="3"/>
      <c r="T516" s="3"/>
      <c r="U516" s="3"/>
      <c r="V516" s="3"/>
      <c r="W516" s="3"/>
      <c r="X516" s="3"/>
      <c r="Y516" s="3"/>
      <c r="Z516" s="3"/>
    </row>
    <row r="517" spans="1:26" ht="22.5" customHeight="1" x14ac:dyDescent="0.85">
      <c r="A517" s="166"/>
      <c r="B517" s="167"/>
      <c r="C517" s="167"/>
      <c r="D517" s="147"/>
      <c r="E517" s="147"/>
      <c r="F517" s="147"/>
      <c r="G517" s="147"/>
      <c r="H517" s="147"/>
      <c r="I517" s="147"/>
      <c r="J517" s="147"/>
      <c r="K517" s="3"/>
      <c r="L517" s="3"/>
      <c r="M517" s="3"/>
      <c r="N517" s="3"/>
      <c r="O517" s="3"/>
      <c r="P517" s="3"/>
      <c r="Q517" s="3"/>
      <c r="R517" s="3"/>
      <c r="S517" s="3"/>
      <c r="T517" s="3"/>
      <c r="U517" s="3"/>
      <c r="V517" s="3"/>
      <c r="W517" s="3"/>
      <c r="X517" s="3"/>
      <c r="Y517" s="3"/>
      <c r="Z517" s="3"/>
    </row>
    <row r="518" spans="1:26" ht="22.5" customHeight="1" x14ac:dyDescent="0.85">
      <c r="A518" s="166"/>
      <c r="B518" s="167"/>
      <c r="C518" s="167"/>
      <c r="D518" s="147"/>
      <c r="E518" s="147"/>
      <c r="F518" s="147"/>
      <c r="G518" s="147"/>
      <c r="H518" s="147"/>
      <c r="I518" s="147"/>
      <c r="J518" s="147"/>
      <c r="K518" s="3"/>
      <c r="L518" s="3"/>
      <c r="M518" s="3"/>
      <c r="N518" s="3"/>
      <c r="O518" s="3"/>
      <c r="P518" s="3"/>
      <c r="Q518" s="3"/>
      <c r="R518" s="3"/>
      <c r="S518" s="3"/>
      <c r="T518" s="3"/>
      <c r="U518" s="3"/>
      <c r="V518" s="3"/>
      <c r="W518" s="3"/>
      <c r="X518" s="3"/>
      <c r="Y518" s="3"/>
      <c r="Z518" s="3"/>
    </row>
    <row r="519" spans="1:26" ht="22.5" customHeight="1" x14ac:dyDescent="0.85">
      <c r="A519" s="166"/>
      <c r="B519" s="167"/>
      <c r="C519" s="167"/>
      <c r="D519" s="147"/>
      <c r="E519" s="147"/>
      <c r="F519" s="147"/>
      <c r="G519" s="147"/>
      <c r="H519" s="147"/>
      <c r="I519" s="147"/>
      <c r="J519" s="147"/>
      <c r="K519" s="3"/>
      <c r="L519" s="3"/>
      <c r="M519" s="3"/>
      <c r="N519" s="3"/>
      <c r="O519" s="3"/>
      <c r="P519" s="3"/>
      <c r="Q519" s="3"/>
      <c r="R519" s="3"/>
      <c r="S519" s="3"/>
      <c r="T519" s="3"/>
      <c r="U519" s="3"/>
      <c r="V519" s="3"/>
      <c r="W519" s="3"/>
      <c r="X519" s="3"/>
      <c r="Y519" s="3"/>
      <c r="Z519" s="3"/>
    </row>
    <row r="520" spans="1:26" ht="22.5" customHeight="1" x14ac:dyDescent="0.85">
      <c r="A520" s="166"/>
      <c r="B520" s="167"/>
      <c r="C520" s="167"/>
      <c r="D520" s="147"/>
      <c r="E520" s="147"/>
      <c r="F520" s="147"/>
      <c r="G520" s="147"/>
      <c r="H520" s="147"/>
      <c r="I520" s="147"/>
      <c r="J520" s="147"/>
      <c r="K520" s="3"/>
      <c r="L520" s="3"/>
      <c r="M520" s="3"/>
      <c r="N520" s="3"/>
      <c r="O520" s="3"/>
      <c r="P520" s="3"/>
      <c r="Q520" s="3"/>
      <c r="R520" s="3"/>
      <c r="S520" s="3"/>
      <c r="T520" s="3"/>
      <c r="U520" s="3"/>
      <c r="V520" s="3"/>
      <c r="W520" s="3"/>
      <c r="X520" s="3"/>
      <c r="Y520" s="3"/>
      <c r="Z520" s="3"/>
    </row>
    <row r="521" spans="1:26" ht="22.5" customHeight="1" x14ac:dyDescent="0.85">
      <c r="A521" s="166"/>
      <c r="B521" s="167"/>
      <c r="C521" s="167"/>
      <c r="D521" s="147"/>
      <c r="E521" s="147"/>
      <c r="F521" s="147"/>
      <c r="G521" s="147"/>
      <c r="H521" s="147"/>
      <c r="I521" s="147"/>
      <c r="J521" s="147"/>
      <c r="K521" s="3"/>
      <c r="L521" s="3"/>
      <c r="M521" s="3"/>
      <c r="N521" s="3"/>
      <c r="O521" s="3"/>
      <c r="P521" s="3"/>
      <c r="Q521" s="3"/>
      <c r="R521" s="3"/>
      <c r="S521" s="3"/>
      <c r="T521" s="3"/>
      <c r="U521" s="3"/>
      <c r="V521" s="3"/>
      <c r="W521" s="3"/>
      <c r="X521" s="3"/>
      <c r="Y521" s="3"/>
      <c r="Z521" s="3"/>
    </row>
    <row r="522" spans="1:26" ht="22.5" customHeight="1" x14ac:dyDescent="0.85">
      <c r="A522" s="166"/>
      <c r="B522" s="167"/>
      <c r="C522" s="167"/>
      <c r="D522" s="147"/>
      <c r="E522" s="147"/>
      <c r="F522" s="147"/>
      <c r="G522" s="147"/>
      <c r="H522" s="147"/>
      <c r="I522" s="147"/>
      <c r="J522" s="147"/>
      <c r="K522" s="3"/>
      <c r="L522" s="3"/>
      <c r="M522" s="3"/>
      <c r="N522" s="3"/>
      <c r="O522" s="3"/>
      <c r="P522" s="3"/>
      <c r="Q522" s="3"/>
      <c r="R522" s="3"/>
      <c r="S522" s="3"/>
      <c r="T522" s="3"/>
      <c r="U522" s="3"/>
      <c r="V522" s="3"/>
      <c r="W522" s="3"/>
      <c r="X522" s="3"/>
      <c r="Y522" s="3"/>
      <c r="Z522" s="3"/>
    </row>
    <row r="523" spans="1:26" ht="22.5" customHeight="1" x14ac:dyDescent="0.85">
      <c r="A523" s="166"/>
      <c r="B523" s="167"/>
      <c r="C523" s="167"/>
      <c r="D523" s="147"/>
      <c r="E523" s="147"/>
      <c r="F523" s="147"/>
      <c r="G523" s="147"/>
      <c r="H523" s="147"/>
      <c r="I523" s="147"/>
      <c r="J523" s="147"/>
      <c r="K523" s="3"/>
      <c r="L523" s="3"/>
      <c r="M523" s="3"/>
      <c r="N523" s="3"/>
      <c r="O523" s="3"/>
      <c r="P523" s="3"/>
      <c r="Q523" s="3"/>
      <c r="R523" s="3"/>
      <c r="S523" s="3"/>
      <c r="T523" s="3"/>
      <c r="U523" s="3"/>
      <c r="V523" s="3"/>
      <c r="W523" s="3"/>
      <c r="X523" s="3"/>
      <c r="Y523" s="3"/>
      <c r="Z523" s="3"/>
    </row>
    <row r="524" spans="1:26" ht="22.5" customHeight="1" x14ac:dyDescent="0.85">
      <c r="A524" s="166"/>
      <c r="B524" s="167"/>
      <c r="C524" s="167"/>
      <c r="D524" s="147"/>
      <c r="E524" s="147"/>
      <c r="F524" s="147"/>
      <c r="G524" s="147"/>
      <c r="H524" s="147"/>
      <c r="I524" s="147"/>
      <c r="J524" s="147"/>
      <c r="K524" s="3"/>
      <c r="L524" s="3"/>
      <c r="M524" s="3"/>
      <c r="N524" s="3"/>
      <c r="O524" s="3"/>
      <c r="P524" s="3"/>
      <c r="Q524" s="3"/>
      <c r="R524" s="3"/>
      <c r="S524" s="3"/>
      <c r="T524" s="3"/>
      <c r="U524" s="3"/>
      <c r="V524" s="3"/>
      <c r="W524" s="3"/>
      <c r="X524" s="3"/>
      <c r="Y524" s="3"/>
      <c r="Z524" s="3"/>
    </row>
    <row r="525" spans="1:26" ht="22.5" customHeight="1" x14ac:dyDescent="0.85">
      <c r="A525" s="166"/>
      <c r="B525" s="167"/>
      <c r="C525" s="167"/>
      <c r="D525" s="147"/>
      <c r="E525" s="147"/>
      <c r="F525" s="147"/>
      <c r="G525" s="147"/>
      <c r="H525" s="147"/>
      <c r="I525" s="147"/>
      <c r="J525" s="147"/>
      <c r="K525" s="3"/>
      <c r="L525" s="3"/>
      <c r="M525" s="3"/>
      <c r="N525" s="3"/>
      <c r="O525" s="3"/>
      <c r="P525" s="3"/>
      <c r="Q525" s="3"/>
      <c r="R525" s="3"/>
      <c r="S525" s="3"/>
      <c r="T525" s="3"/>
      <c r="U525" s="3"/>
      <c r="V525" s="3"/>
      <c r="W525" s="3"/>
      <c r="X525" s="3"/>
      <c r="Y525" s="3"/>
      <c r="Z525" s="3"/>
    </row>
    <row r="526" spans="1:26" ht="22.5" customHeight="1" x14ac:dyDescent="0.85">
      <c r="A526" s="166"/>
      <c r="B526" s="167"/>
      <c r="C526" s="167"/>
      <c r="D526" s="147"/>
      <c r="E526" s="147"/>
      <c r="F526" s="147"/>
      <c r="G526" s="147"/>
      <c r="H526" s="147"/>
      <c r="I526" s="147"/>
      <c r="J526" s="147"/>
      <c r="K526" s="3"/>
      <c r="L526" s="3"/>
      <c r="M526" s="3"/>
      <c r="N526" s="3"/>
      <c r="O526" s="3"/>
      <c r="P526" s="3"/>
      <c r="Q526" s="3"/>
      <c r="R526" s="3"/>
      <c r="S526" s="3"/>
      <c r="T526" s="3"/>
      <c r="U526" s="3"/>
      <c r="V526" s="3"/>
      <c r="W526" s="3"/>
      <c r="X526" s="3"/>
      <c r="Y526" s="3"/>
      <c r="Z526" s="3"/>
    </row>
    <row r="527" spans="1:26" ht="22.5" customHeight="1" x14ac:dyDescent="0.85">
      <c r="A527" s="166"/>
      <c r="B527" s="167"/>
      <c r="C527" s="167"/>
      <c r="D527" s="147"/>
      <c r="E527" s="147"/>
      <c r="F527" s="147"/>
      <c r="G527" s="147"/>
      <c r="H527" s="147"/>
      <c r="I527" s="147"/>
      <c r="J527" s="147"/>
      <c r="K527" s="3"/>
      <c r="L527" s="3"/>
      <c r="M527" s="3"/>
      <c r="N527" s="3"/>
      <c r="O527" s="3"/>
      <c r="P527" s="3"/>
      <c r="Q527" s="3"/>
      <c r="R527" s="3"/>
      <c r="S527" s="3"/>
      <c r="T527" s="3"/>
      <c r="U527" s="3"/>
      <c r="V527" s="3"/>
      <c r="W527" s="3"/>
      <c r="X527" s="3"/>
      <c r="Y527" s="3"/>
      <c r="Z527" s="3"/>
    </row>
    <row r="528" spans="1:26" ht="22.5" customHeight="1" x14ac:dyDescent="0.85">
      <c r="A528" s="166"/>
      <c r="B528" s="167"/>
      <c r="C528" s="167"/>
      <c r="D528" s="147"/>
      <c r="E528" s="147"/>
      <c r="F528" s="147"/>
      <c r="G528" s="147"/>
      <c r="H528" s="147"/>
      <c r="I528" s="147"/>
      <c r="J528" s="147"/>
      <c r="K528" s="3"/>
      <c r="L528" s="3"/>
      <c r="M528" s="3"/>
      <c r="N528" s="3"/>
      <c r="O528" s="3"/>
      <c r="P528" s="3"/>
      <c r="Q528" s="3"/>
      <c r="R528" s="3"/>
      <c r="S528" s="3"/>
      <c r="T528" s="3"/>
      <c r="U528" s="3"/>
      <c r="V528" s="3"/>
      <c r="W528" s="3"/>
      <c r="X528" s="3"/>
      <c r="Y528" s="3"/>
      <c r="Z528" s="3"/>
    </row>
    <row r="529" spans="1:26" ht="22.5" customHeight="1" x14ac:dyDescent="0.85">
      <c r="A529" s="166"/>
      <c r="B529" s="167"/>
      <c r="C529" s="167"/>
      <c r="D529" s="147"/>
      <c r="E529" s="147"/>
      <c r="F529" s="147"/>
      <c r="G529" s="147"/>
      <c r="H529" s="147"/>
      <c r="I529" s="147"/>
      <c r="J529" s="147"/>
      <c r="K529" s="3"/>
      <c r="L529" s="3"/>
      <c r="M529" s="3"/>
      <c r="N529" s="3"/>
      <c r="O529" s="3"/>
      <c r="P529" s="3"/>
      <c r="Q529" s="3"/>
      <c r="R529" s="3"/>
      <c r="S529" s="3"/>
      <c r="T529" s="3"/>
      <c r="U529" s="3"/>
      <c r="V529" s="3"/>
      <c r="W529" s="3"/>
      <c r="X529" s="3"/>
      <c r="Y529" s="3"/>
      <c r="Z529" s="3"/>
    </row>
    <row r="530" spans="1:26" ht="22.5" customHeight="1" x14ac:dyDescent="0.85">
      <c r="A530" s="166"/>
      <c r="B530" s="167"/>
      <c r="C530" s="167"/>
      <c r="D530" s="147"/>
      <c r="E530" s="147"/>
      <c r="F530" s="147"/>
      <c r="G530" s="147"/>
      <c r="H530" s="147"/>
      <c r="I530" s="147"/>
      <c r="J530" s="147"/>
      <c r="K530" s="3"/>
      <c r="L530" s="3"/>
      <c r="M530" s="3"/>
      <c r="N530" s="3"/>
      <c r="O530" s="3"/>
      <c r="P530" s="3"/>
      <c r="Q530" s="3"/>
      <c r="R530" s="3"/>
      <c r="S530" s="3"/>
      <c r="T530" s="3"/>
      <c r="U530" s="3"/>
      <c r="V530" s="3"/>
      <c r="W530" s="3"/>
      <c r="X530" s="3"/>
      <c r="Y530" s="3"/>
      <c r="Z530" s="3"/>
    </row>
    <row r="531" spans="1:26" ht="22.5" customHeight="1" x14ac:dyDescent="0.85">
      <c r="A531" s="166"/>
      <c r="B531" s="167"/>
      <c r="C531" s="167"/>
      <c r="D531" s="147"/>
      <c r="E531" s="147"/>
      <c r="F531" s="147"/>
      <c r="G531" s="147"/>
      <c r="H531" s="147"/>
      <c r="I531" s="147"/>
      <c r="J531" s="147"/>
      <c r="K531" s="3"/>
      <c r="L531" s="3"/>
      <c r="M531" s="3"/>
      <c r="N531" s="3"/>
      <c r="O531" s="3"/>
      <c r="P531" s="3"/>
      <c r="Q531" s="3"/>
      <c r="R531" s="3"/>
      <c r="S531" s="3"/>
      <c r="T531" s="3"/>
      <c r="U531" s="3"/>
      <c r="V531" s="3"/>
      <c r="W531" s="3"/>
      <c r="X531" s="3"/>
      <c r="Y531" s="3"/>
      <c r="Z531" s="3"/>
    </row>
    <row r="532" spans="1:26" ht="22.5" customHeight="1" x14ac:dyDescent="0.85">
      <c r="A532" s="166"/>
      <c r="B532" s="167"/>
      <c r="C532" s="167"/>
      <c r="D532" s="147"/>
      <c r="E532" s="147"/>
      <c r="F532" s="147"/>
      <c r="G532" s="147"/>
      <c r="H532" s="147"/>
      <c r="I532" s="147"/>
      <c r="J532" s="147"/>
      <c r="K532" s="3"/>
      <c r="L532" s="3"/>
      <c r="M532" s="3"/>
      <c r="N532" s="3"/>
      <c r="O532" s="3"/>
      <c r="P532" s="3"/>
      <c r="Q532" s="3"/>
      <c r="R532" s="3"/>
      <c r="S532" s="3"/>
      <c r="T532" s="3"/>
      <c r="U532" s="3"/>
      <c r="V532" s="3"/>
      <c r="W532" s="3"/>
      <c r="X532" s="3"/>
      <c r="Y532" s="3"/>
      <c r="Z532" s="3"/>
    </row>
    <row r="533" spans="1:26" ht="22.5" customHeight="1" x14ac:dyDescent="0.85">
      <c r="A533" s="166"/>
      <c r="B533" s="167"/>
      <c r="C533" s="167"/>
      <c r="D533" s="147"/>
      <c r="E533" s="147"/>
      <c r="F533" s="147"/>
      <c r="G533" s="147"/>
      <c r="H533" s="147"/>
      <c r="I533" s="147"/>
      <c r="J533" s="147"/>
      <c r="K533" s="3"/>
      <c r="L533" s="3"/>
      <c r="M533" s="3"/>
      <c r="N533" s="3"/>
      <c r="O533" s="3"/>
      <c r="P533" s="3"/>
      <c r="Q533" s="3"/>
      <c r="R533" s="3"/>
      <c r="S533" s="3"/>
      <c r="T533" s="3"/>
      <c r="U533" s="3"/>
      <c r="V533" s="3"/>
      <c r="W533" s="3"/>
      <c r="X533" s="3"/>
      <c r="Y533" s="3"/>
      <c r="Z533" s="3"/>
    </row>
    <row r="534" spans="1:26" ht="22.5" customHeight="1" x14ac:dyDescent="0.85">
      <c r="A534" s="166"/>
      <c r="B534" s="167"/>
      <c r="C534" s="167"/>
      <c r="D534" s="147"/>
      <c r="E534" s="147"/>
      <c r="F534" s="147"/>
      <c r="G534" s="147"/>
      <c r="H534" s="147"/>
      <c r="I534" s="147"/>
      <c r="J534" s="147"/>
      <c r="K534" s="3"/>
      <c r="L534" s="3"/>
      <c r="M534" s="3"/>
      <c r="N534" s="3"/>
      <c r="O534" s="3"/>
      <c r="P534" s="3"/>
      <c r="Q534" s="3"/>
      <c r="R534" s="3"/>
      <c r="S534" s="3"/>
      <c r="T534" s="3"/>
      <c r="U534" s="3"/>
      <c r="V534" s="3"/>
      <c r="W534" s="3"/>
      <c r="X534" s="3"/>
      <c r="Y534" s="3"/>
      <c r="Z534" s="3"/>
    </row>
    <row r="535" spans="1:26" ht="22.5" customHeight="1" x14ac:dyDescent="0.85">
      <c r="A535" s="166"/>
      <c r="B535" s="167"/>
      <c r="C535" s="167"/>
      <c r="D535" s="147"/>
      <c r="E535" s="147"/>
      <c r="F535" s="147"/>
      <c r="G535" s="147"/>
      <c r="H535" s="147"/>
      <c r="I535" s="147"/>
      <c r="J535" s="147"/>
      <c r="K535" s="3"/>
      <c r="L535" s="3"/>
      <c r="M535" s="3"/>
      <c r="N535" s="3"/>
      <c r="O535" s="3"/>
      <c r="P535" s="3"/>
      <c r="Q535" s="3"/>
      <c r="R535" s="3"/>
      <c r="S535" s="3"/>
      <c r="T535" s="3"/>
      <c r="U535" s="3"/>
      <c r="V535" s="3"/>
      <c r="W535" s="3"/>
      <c r="X535" s="3"/>
      <c r="Y535" s="3"/>
      <c r="Z535" s="3"/>
    </row>
    <row r="536" spans="1:26" ht="22.5" customHeight="1" x14ac:dyDescent="0.85">
      <c r="A536" s="166"/>
      <c r="B536" s="167"/>
      <c r="C536" s="167"/>
      <c r="D536" s="147"/>
      <c r="E536" s="147"/>
      <c r="F536" s="147"/>
      <c r="G536" s="147"/>
      <c r="H536" s="147"/>
      <c r="I536" s="147"/>
      <c r="J536" s="147"/>
      <c r="K536" s="3"/>
      <c r="L536" s="3"/>
      <c r="M536" s="3"/>
      <c r="N536" s="3"/>
      <c r="O536" s="3"/>
      <c r="P536" s="3"/>
      <c r="Q536" s="3"/>
      <c r="R536" s="3"/>
      <c r="S536" s="3"/>
      <c r="T536" s="3"/>
      <c r="U536" s="3"/>
      <c r="V536" s="3"/>
      <c r="W536" s="3"/>
      <c r="X536" s="3"/>
      <c r="Y536" s="3"/>
      <c r="Z536" s="3"/>
    </row>
    <row r="537" spans="1:26" ht="22.5" customHeight="1" x14ac:dyDescent="0.85">
      <c r="A537" s="166"/>
      <c r="B537" s="167"/>
      <c r="C537" s="167"/>
      <c r="D537" s="147"/>
      <c r="E537" s="147"/>
      <c r="F537" s="147"/>
      <c r="G537" s="147"/>
      <c r="H537" s="147"/>
      <c r="I537" s="147"/>
      <c r="J537" s="147"/>
      <c r="K537" s="3"/>
      <c r="L537" s="3"/>
      <c r="M537" s="3"/>
      <c r="N537" s="3"/>
      <c r="O537" s="3"/>
      <c r="P537" s="3"/>
      <c r="Q537" s="3"/>
      <c r="R537" s="3"/>
      <c r="S537" s="3"/>
      <c r="T537" s="3"/>
      <c r="U537" s="3"/>
      <c r="V537" s="3"/>
      <c r="W537" s="3"/>
      <c r="X537" s="3"/>
      <c r="Y537" s="3"/>
      <c r="Z537" s="3"/>
    </row>
    <row r="538" spans="1:26" ht="22.5" customHeight="1" x14ac:dyDescent="0.85">
      <c r="A538" s="166"/>
      <c r="B538" s="167"/>
      <c r="C538" s="167"/>
      <c r="D538" s="147"/>
      <c r="E538" s="147"/>
      <c r="F538" s="147"/>
      <c r="G538" s="147"/>
      <c r="H538" s="147"/>
      <c r="I538" s="147"/>
      <c r="J538" s="147"/>
      <c r="K538" s="3"/>
      <c r="L538" s="3"/>
      <c r="M538" s="3"/>
      <c r="N538" s="3"/>
      <c r="O538" s="3"/>
      <c r="P538" s="3"/>
      <c r="Q538" s="3"/>
      <c r="R538" s="3"/>
      <c r="S538" s="3"/>
      <c r="T538" s="3"/>
      <c r="U538" s="3"/>
      <c r="V538" s="3"/>
      <c r="W538" s="3"/>
      <c r="X538" s="3"/>
      <c r="Y538" s="3"/>
      <c r="Z538" s="3"/>
    </row>
    <row r="539" spans="1:26" ht="22.5" customHeight="1" x14ac:dyDescent="0.85">
      <c r="A539" s="166"/>
      <c r="B539" s="167"/>
      <c r="C539" s="167"/>
      <c r="D539" s="147"/>
      <c r="E539" s="147"/>
      <c r="F539" s="147"/>
      <c r="G539" s="147"/>
      <c r="H539" s="147"/>
      <c r="I539" s="147"/>
      <c r="J539" s="147"/>
      <c r="K539" s="3"/>
      <c r="L539" s="3"/>
      <c r="M539" s="3"/>
      <c r="N539" s="3"/>
      <c r="O539" s="3"/>
      <c r="P539" s="3"/>
      <c r="Q539" s="3"/>
      <c r="R539" s="3"/>
      <c r="S539" s="3"/>
      <c r="T539" s="3"/>
      <c r="U539" s="3"/>
      <c r="V539" s="3"/>
      <c r="W539" s="3"/>
      <c r="X539" s="3"/>
      <c r="Y539" s="3"/>
      <c r="Z539" s="3"/>
    </row>
    <row r="540" spans="1:26" ht="22.5" customHeight="1" x14ac:dyDescent="0.85">
      <c r="A540" s="166"/>
      <c r="B540" s="167"/>
      <c r="C540" s="167"/>
      <c r="D540" s="147"/>
      <c r="E540" s="147"/>
      <c r="F540" s="147"/>
      <c r="G540" s="147"/>
      <c r="H540" s="147"/>
      <c r="I540" s="147"/>
      <c r="J540" s="147"/>
      <c r="K540" s="3"/>
      <c r="L540" s="3"/>
      <c r="M540" s="3"/>
      <c r="N540" s="3"/>
      <c r="O540" s="3"/>
      <c r="P540" s="3"/>
      <c r="Q540" s="3"/>
      <c r="R540" s="3"/>
      <c r="S540" s="3"/>
      <c r="T540" s="3"/>
      <c r="U540" s="3"/>
      <c r="V540" s="3"/>
      <c r="W540" s="3"/>
      <c r="X540" s="3"/>
      <c r="Y540" s="3"/>
      <c r="Z540" s="3"/>
    </row>
    <row r="541" spans="1:26" ht="22.5" customHeight="1" x14ac:dyDescent="0.85">
      <c r="A541" s="166"/>
      <c r="B541" s="167"/>
      <c r="C541" s="167"/>
      <c r="D541" s="147"/>
      <c r="E541" s="147"/>
      <c r="F541" s="147"/>
      <c r="G541" s="147"/>
      <c r="H541" s="147"/>
      <c r="I541" s="147"/>
      <c r="J541" s="147"/>
      <c r="K541" s="3"/>
      <c r="L541" s="3"/>
      <c r="M541" s="3"/>
      <c r="N541" s="3"/>
      <c r="O541" s="3"/>
      <c r="P541" s="3"/>
      <c r="Q541" s="3"/>
      <c r="R541" s="3"/>
      <c r="S541" s="3"/>
      <c r="T541" s="3"/>
      <c r="U541" s="3"/>
      <c r="V541" s="3"/>
      <c r="W541" s="3"/>
      <c r="X541" s="3"/>
      <c r="Y541" s="3"/>
      <c r="Z541" s="3"/>
    </row>
    <row r="542" spans="1:26" ht="22.5" customHeight="1" x14ac:dyDescent="0.85">
      <c r="A542" s="166"/>
      <c r="B542" s="167"/>
      <c r="C542" s="167"/>
      <c r="D542" s="147"/>
      <c r="E542" s="147"/>
      <c r="F542" s="147"/>
      <c r="G542" s="147"/>
      <c r="H542" s="147"/>
      <c r="I542" s="147"/>
      <c r="J542" s="147"/>
      <c r="K542" s="3"/>
      <c r="L542" s="3"/>
      <c r="M542" s="3"/>
      <c r="N542" s="3"/>
      <c r="O542" s="3"/>
      <c r="P542" s="3"/>
      <c r="Q542" s="3"/>
      <c r="R542" s="3"/>
      <c r="S542" s="3"/>
      <c r="T542" s="3"/>
      <c r="U542" s="3"/>
      <c r="V542" s="3"/>
      <c r="W542" s="3"/>
      <c r="X542" s="3"/>
      <c r="Y542" s="3"/>
      <c r="Z542" s="3"/>
    </row>
    <row r="543" spans="1:26" ht="22.5" customHeight="1" x14ac:dyDescent="0.85">
      <c r="A543" s="166"/>
      <c r="B543" s="167"/>
      <c r="C543" s="167"/>
      <c r="D543" s="147"/>
      <c r="E543" s="147"/>
      <c r="F543" s="147"/>
      <c r="G543" s="147"/>
      <c r="H543" s="147"/>
      <c r="I543" s="147"/>
      <c r="J543" s="147"/>
      <c r="K543" s="3"/>
      <c r="L543" s="3"/>
      <c r="M543" s="3"/>
      <c r="N543" s="3"/>
      <c r="O543" s="3"/>
      <c r="P543" s="3"/>
      <c r="Q543" s="3"/>
      <c r="R543" s="3"/>
      <c r="S543" s="3"/>
      <c r="T543" s="3"/>
      <c r="U543" s="3"/>
      <c r="V543" s="3"/>
      <c r="W543" s="3"/>
      <c r="X543" s="3"/>
      <c r="Y543" s="3"/>
      <c r="Z543" s="3"/>
    </row>
    <row r="544" spans="1:26" ht="22.5" customHeight="1" x14ac:dyDescent="0.85">
      <c r="A544" s="166"/>
      <c r="B544" s="167"/>
      <c r="C544" s="167"/>
      <c r="D544" s="147"/>
      <c r="E544" s="147"/>
      <c r="F544" s="147"/>
      <c r="G544" s="147"/>
      <c r="H544" s="147"/>
      <c r="I544" s="147"/>
      <c r="J544" s="147"/>
      <c r="K544" s="3"/>
      <c r="L544" s="3"/>
      <c r="M544" s="3"/>
      <c r="N544" s="3"/>
      <c r="O544" s="3"/>
      <c r="P544" s="3"/>
      <c r="Q544" s="3"/>
      <c r="R544" s="3"/>
      <c r="S544" s="3"/>
      <c r="T544" s="3"/>
      <c r="U544" s="3"/>
      <c r="V544" s="3"/>
      <c r="W544" s="3"/>
      <c r="X544" s="3"/>
      <c r="Y544" s="3"/>
      <c r="Z544" s="3"/>
    </row>
    <row r="545" spans="1:26" ht="22.5" customHeight="1" x14ac:dyDescent="0.85">
      <c r="A545" s="166"/>
      <c r="B545" s="167"/>
      <c r="C545" s="167"/>
      <c r="D545" s="147"/>
      <c r="E545" s="147"/>
      <c r="F545" s="147"/>
      <c r="G545" s="147"/>
      <c r="H545" s="147"/>
      <c r="I545" s="147"/>
      <c r="J545" s="147"/>
      <c r="K545" s="3"/>
      <c r="L545" s="3"/>
      <c r="M545" s="3"/>
      <c r="N545" s="3"/>
      <c r="O545" s="3"/>
      <c r="P545" s="3"/>
      <c r="Q545" s="3"/>
      <c r="R545" s="3"/>
      <c r="S545" s="3"/>
      <c r="T545" s="3"/>
      <c r="U545" s="3"/>
      <c r="V545" s="3"/>
      <c r="W545" s="3"/>
      <c r="X545" s="3"/>
      <c r="Y545" s="3"/>
      <c r="Z545" s="3"/>
    </row>
    <row r="546" spans="1:26" ht="22.5" customHeight="1" x14ac:dyDescent="0.85">
      <c r="A546" s="166"/>
      <c r="B546" s="167"/>
      <c r="C546" s="167"/>
      <c r="D546" s="147"/>
      <c r="E546" s="147"/>
      <c r="F546" s="147"/>
      <c r="G546" s="147"/>
      <c r="H546" s="147"/>
      <c r="I546" s="147"/>
      <c r="J546" s="147"/>
      <c r="K546" s="3"/>
      <c r="L546" s="3"/>
      <c r="M546" s="3"/>
      <c r="N546" s="3"/>
      <c r="O546" s="3"/>
      <c r="P546" s="3"/>
      <c r="Q546" s="3"/>
      <c r="R546" s="3"/>
      <c r="S546" s="3"/>
      <c r="T546" s="3"/>
      <c r="U546" s="3"/>
      <c r="V546" s="3"/>
      <c r="W546" s="3"/>
      <c r="X546" s="3"/>
      <c r="Y546" s="3"/>
      <c r="Z546" s="3"/>
    </row>
    <row r="547" spans="1:26" ht="22.5" customHeight="1" x14ac:dyDescent="0.85">
      <c r="A547" s="166"/>
      <c r="B547" s="167"/>
      <c r="C547" s="167"/>
      <c r="D547" s="147"/>
      <c r="E547" s="147"/>
      <c r="F547" s="147"/>
      <c r="G547" s="147"/>
      <c r="H547" s="147"/>
      <c r="I547" s="147"/>
      <c r="J547" s="147"/>
      <c r="K547" s="3"/>
      <c r="L547" s="3"/>
      <c r="M547" s="3"/>
      <c r="N547" s="3"/>
      <c r="O547" s="3"/>
      <c r="P547" s="3"/>
      <c r="Q547" s="3"/>
      <c r="R547" s="3"/>
      <c r="S547" s="3"/>
      <c r="T547" s="3"/>
      <c r="U547" s="3"/>
      <c r="V547" s="3"/>
      <c r="W547" s="3"/>
      <c r="X547" s="3"/>
      <c r="Y547" s="3"/>
      <c r="Z547" s="3"/>
    </row>
    <row r="548" spans="1:26" ht="22.5" customHeight="1" x14ac:dyDescent="0.85">
      <c r="A548" s="166"/>
      <c r="B548" s="167"/>
      <c r="C548" s="167"/>
      <c r="D548" s="147"/>
      <c r="E548" s="147"/>
      <c r="F548" s="147"/>
      <c r="G548" s="147"/>
      <c r="H548" s="147"/>
      <c r="I548" s="147"/>
      <c r="J548" s="147"/>
      <c r="K548" s="3"/>
      <c r="L548" s="3"/>
      <c r="M548" s="3"/>
      <c r="N548" s="3"/>
      <c r="O548" s="3"/>
      <c r="P548" s="3"/>
      <c r="Q548" s="3"/>
      <c r="R548" s="3"/>
      <c r="S548" s="3"/>
      <c r="T548" s="3"/>
      <c r="U548" s="3"/>
      <c r="V548" s="3"/>
      <c r="W548" s="3"/>
      <c r="X548" s="3"/>
      <c r="Y548" s="3"/>
      <c r="Z548" s="3"/>
    </row>
    <row r="549" spans="1:26" ht="22.5" customHeight="1" x14ac:dyDescent="0.85">
      <c r="A549" s="166"/>
      <c r="B549" s="167"/>
      <c r="C549" s="167"/>
      <c r="D549" s="147"/>
      <c r="E549" s="147"/>
      <c r="F549" s="147"/>
      <c r="G549" s="147"/>
      <c r="H549" s="147"/>
      <c r="I549" s="147"/>
      <c r="J549" s="147"/>
      <c r="K549" s="3"/>
      <c r="L549" s="3"/>
      <c r="M549" s="3"/>
      <c r="N549" s="3"/>
      <c r="O549" s="3"/>
      <c r="P549" s="3"/>
      <c r="Q549" s="3"/>
      <c r="R549" s="3"/>
      <c r="S549" s="3"/>
      <c r="T549" s="3"/>
      <c r="U549" s="3"/>
      <c r="V549" s="3"/>
      <c r="W549" s="3"/>
      <c r="X549" s="3"/>
      <c r="Y549" s="3"/>
      <c r="Z549" s="3"/>
    </row>
    <row r="550" spans="1:26" ht="22.5" customHeight="1" x14ac:dyDescent="0.85">
      <c r="A550" s="166"/>
      <c r="B550" s="167"/>
      <c r="C550" s="167"/>
      <c r="D550" s="147"/>
      <c r="E550" s="147"/>
      <c r="F550" s="147"/>
      <c r="G550" s="147"/>
      <c r="H550" s="147"/>
      <c r="I550" s="147"/>
      <c r="J550" s="147"/>
      <c r="K550" s="3"/>
      <c r="L550" s="3"/>
      <c r="M550" s="3"/>
      <c r="N550" s="3"/>
      <c r="O550" s="3"/>
      <c r="P550" s="3"/>
      <c r="Q550" s="3"/>
      <c r="R550" s="3"/>
      <c r="S550" s="3"/>
      <c r="T550" s="3"/>
      <c r="U550" s="3"/>
      <c r="V550" s="3"/>
      <c r="W550" s="3"/>
      <c r="X550" s="3"/>
      <c r="Y550" s="3"/>
      <c r="Z550" s="3"/>
    </row>
    <row r="551" spans="1:26" ht="22.5" customHeight="1" x14ac:dyDescent="0.85">
      <c r="A551" s="166"/>
      <c r="B551" s="167"/>
      <c r="C551" s="167"/>
      <c r="D551" s="147"/>
      <c r="E551" s="147"/>
      <c r="F551" s="147"/>
      <c r="G551" s="147"/>
      <c r="H551" s="147"/>
      <c r="I551" s="147"/>
      <c r="J551" s="147"/>
      <c r="K551" s="3"/>
      <c r="L551" s="3"/>
      <c r="M551" s="3"/>
      <c r="N551" s="3"/>
      <c r="O551" s="3"/>
      <c r="P551" s="3"/>
      <c r="Q551" s="3"/>
      <c r="R551" s="3"/>
      <c r="S551" s="3"/>
      <c r="T551" s="3"/>
      <c r="U551" s="3"/>
      <c r="V551" s="3"/>
      <c r="W551" s="3"/>
      <c r="X551" s="3"/>
      <c r="Y551" s="3"/>
      <c r="Z551" s="3"/>
    </row>
    <row r="552" spans="1:26" ht="22.5" customHeight="1" x14ac:dyDescent="0.85">
      <c r="A552" s="166"/>
      <c r="B552" s="167"/>
      <c r="C552" s="167"/>
      <c r="D552" s="147"/>
      <c r="E552" s="147"/>
      <c r="F552" s="147"/>
      <c r="G552" s="147"/>
      <c r="H552" s="147"/>
      <c r="I552" s="147"/>
      <c r="J552" s="147"/>
      <c r="K552" s="3"/>
      <c r="L552" s="3"/>
      <c r="M552" s="3"/>
      <c r="N552" s="3"/>
      <c r="O552" s="3"/>
      <c r="P552" s="3"/>
      <c r="Q552" s="3"/>
      <c r="R552" s="3"/>
      <c r="S552" s="3"/>
      <c r="T552" s="3"/>
      <c r="U552" s="3"/>
      <c r="V552" s="3"/>
      <c r="W552" s="3"/>
      <c r="X552" s="3"/>
      <c r="Y552" s="3"/>
      <c r="Z552" s="3"/>
    </row>
    <row r="553" spans="1:26" ht="22.5" customHeight="1" x14ac:dyDescent="0.85">
      <c r="A553" s="166"/>
      <c r="B553" s="167"/>
      <c r="C553" s="167"/>
      <c r="D553" s="147"/>
      <c r="E553" s="147"/>
      <c r="F553" s="147"/>
      <c r="G553" s="147"/>
      <c r="H553" s="147"/>
      <c r="I553" s="147"/>
      <c r="J553" s="147"/>
      <c r="K553" s="3"/>
      <c r="L553" s="3"/>
      <c r="M553" s="3"/>
      <c r="N553" s="3"/>
      <c r="O553" s="3"/>
      <c r="P553" s="3"/>
      <c r="Q553" s="3"/>
      <c r="R553" s="3"/>
      <c r="S553" s="3"/>
      <c r="T553" s="3"/>
      <c r="U553" s="3"/>
      <c r="V553" s="3"/>
      <c r="W553" s="3"/>
      <c r="X553" s="3"/>
      <c r="Y553" s="3"/>
      <c r="Z553" s="3"/>
    </row>
    <row r="554" spans="1:26" ht="22.5" customHeight="1" x14ac:dyDescent="0.85">
      <c r="A554" s="166"/>
      <c r="B554" s="167"/>
      <c r="C554" s="167"/>
      <c r="D554" s="147"/>
      <c r="E554" s="147"/>
      <c r="F554" s="147"/>
      <c r="G554" s="147"/>
      <c r="H554" s="147"/>
      <c r="I554" s="147"/>
      <c r="J554" s="147"/>
      <c r="K554" s="3"/>
      <c r="L554" s="3"/>
      <c r="M554" s="3"/>
      <c r="N554" s="3"/>
      <c r="O554" s="3"/>
      <c r="P554" s="3"/>
      <c r="Q554" s="3"/>
      <c r="R554" s="3"/>
      <c r="S554" s="3"/>
      <c r="T554" s="3"/>
      <c r="U554" s="3"/>
      <c r="V554" s="3"/>
      <c r="W554" s="3"/>
      <c r="X554" s="3"/>
      <c r="Y554" s="3"/>
      <c r="Z554" s="3"/>
    </row>
    <row r="555" spans="1:26" ht="22.5" customHeight="1" x14ac:dyDescent="0.85">
      <c r="A555" s="166"/>
      <c r="B555" s="167"/>
      <c r="C555" s="167"/>
      <c r="D555" s="147"/>
      <c r="E555" s="147"/>
      <c r="F555" s="147"/>
      <c r="G555" s="147"/>
      <c r="H555" s="147"/>
      <c r="I555" s="147"/>
      <c r="J555" s="147"/>
      <c r="K555" s="3"/>
      <c r="L555" s="3"/>
      <c r="M555" s="3"/>
      <c r="N555" s="3"/>
      <c r="O555" s="3"/>
      <c r="P555" s="3"/>
      <c r="Q555" s="3"/>
      <c r="R555" s="3"/>
      <c r="S555" s="3"/>
      <c r="T555" s="3"/>
      <c r="U555" s="3"/>
      <c r="V555" s="3"/>
      <c r="W555" s="3"/>
      <c r="X555" s="3"/>
      <c r="Y555" s="3"/>
      <c r="Z555" s="3"/>
    </row>
    <row r="556" spans="1:26" ht="22.5" customHeight="1" x14ac:dyDescent="0.85">
      <c r="A556" s="166"/>
      <c r="B556" s="167"/>
      <c r="C556" s="167"/>
      <c r="D556" s="147"/>
      <c r="E556" s="147"/>
      <c r="F556" s="147"/>
      <c r="G556" s="147"/>
      <c r="H556" s="147"/>
      <c r="I556" s="147"/>
      <c r="J556" s="147"/>
      <c r="K556" s="3"/>
      <c r="L556" s="3"/>
      <c r="M556" s="3"/>
      <c r="N556" s="3"/>
      <c r="O556" s="3"/>
      <c r="P556" s="3"/>
      <c r="Q556" s="3"/>
      <c r="R556" s="3"/>
      <c r="S556" s="3"/>
      <c r="T556" s="3"/>
      <c r="U556" s="3"/>
      <c r="V556" s="3"/>
      <c r="W556" s="3"/>
      <c r="X556" s="3"/>
      <c r="Y556" s="3"/>
      <c r="Z556" s="3"/>
    </row>
    <row r="557" spans="1:26" ht="22.5" customHeight="1" x14ac:dyDescent="0.85">
      <c r="A557" s="166"/>
      <c r="B557" s="167"/>
      <c r="C557" s="167"/>
      <c r="D557" s="147"/>
      <c r="E557" s="147"/>
      <c r="F557" s="147"/>
      <c r="G557" s="147"/>
      <c r="H557" s="147"/>
      <c r="I557" s="147"/>
      <c r="J557" s="147"/>
      <c r="K557" s="3"/>
      <c r="L557" s="3"/>
      <c r="M557" s="3"/>
      <c r="N557" s="3"/>
      <c r="O557" s="3"/>
      <c r="P557" s="3"/>
      <c r="Q557" s="3"/>
      <c r="R557" s="3"/>
      <c r="S557" s="3"/>
      <c r="T557" s="3"/>
      <c r="U557" s="3"/>
      <c r="V557" s="3"/>
      <c r="W557" s="3"/>
      <c r="X557" s="3"/>
      <c r="Y557" s="3"/>
      <c r="Z557" s="3"/>
    </row>
    <row r="558" spans="1:26" ht="22.5" customHeight="1" x14ac:dyDescent="0.85">
      <c r="A558" s="166"/>
      <c r="B558" s="167"/>
      <c r="C558" s="167"/>
      <c r="D558" s="147"/>
      <c r="E558" s="147"/>
      <c r="F558" s="147"/>
      <c r="G558" s="147"/>
      <c r="H558" s="147"/>
      <c r="I558" s="147"/>
      <c r="J558" s="147"/>
      <c r="K558" s="3"/>
      <c r="L558" s="3"/>
      <c r="M558" s="3"/>
      <c r="N558" s="3"/>
      <c r="O558" s="3"/>
      <c r="P558" s="3"/>
      <c r="Q558" s="3"/>
      <c r="R558" s="3"/>
      <c r="S558" s="3"/>
      <c r="T558" s="3"/>
      <c r="U558" s="3"/>
      <c r="V558" s="3"/>
      <c r="W558" s="3"/>
      <c r="X558" s="3"/>
      <c r="Y558" s="3"/>
      <c r="Z558" s="3"/>
    </row>
    <row r="559" spans="1:26" ht="22.5" customHeight="1" x14ac:dyDescent="0.85">
      <c r="A559" s="166"/>
      <c r="B559" s="167"/>
      <c r="C559" s="167"/>
      <c r="D559" s="147"/>
      <c r="E559" s="147"/>
      <c r="F559" s="147"/>
      <c r="G559" s="147"/>
      <c r="H559" s="147"/>
      <c r="I559" s="147"/>
      <c r="J559" s="147"/>
      <c r="K559" s="3"/>
      <c r="L559" s="3"/>
      <c r="M559" s="3"/>
      <c r="N559" s="3"/>
      <c r="O559" s="3"/>
      <c r="P559" s="3"/>
      <c r="Q559" s="3"/>
      <c r="R559" s="3"/>
      <c r="S559" s="3"/>
      <c r="T559" s="3"/>
      <c r="U559" s="3"/>
      <c r="V559" s="3"/>
      <c r="W559" s="3"/>
      <c r="X559" s="3"/>
      <c r="Y559" s="3"/>
      <c r="Z559" s="3"/>
    </row>
    <row r="560" spans="1:26" ht="22.5" customHeight="1" x14ac:dyDescent="0.85">
      <c r="A560" s="166"/>
      <c r="B560" s="167"/>
      <c r="C560" s="167"/>
      <c r="D560" s="147"/>
      <c r="E560" s="147"/>
      <c r="F560" s="147"/>
      <c r="G560" s="147"/>
      <c r="H560" s="147"/>
      <c r="I560" s="147"/>
      <c r="J560" s="147"/>
      <c r="K560" s="3"/>
      <c r="L560" s="3"/>
      <c r="M560" s="3"/>
      <c r="N560" s="3"/>
      <c r="O560" s="3"/>
      <c r="P560" s="3"/>
      <c r="Q560" s="3"/>
      <c r="R560" s="3"/>
      <c r="S560" s="3"/>
      <c r="T560" s="3"/>
      <c r="U560" s="3"/>
      <c r="V560" s="3"/>
      <c r="W560" s="3"/>
      <c r="X560" s="3"/>
      <c r="Y560" s="3"/>
      <c r="Z560" s="3"/>
    </row>
    <row r="561" spans="1:26" ht="22.5" customHeight="1" x14ac:dyDescent="0.85">
      <c r="A561" s="166"/>
      <c r="B561" s="167"/>
      <c r="C561" s="167"/>
      <c r="D561" s="147"/>
      <c r="E561" s="147"/>
      <c r="F561" s="147"/>
      <c r="G561" s="147"/>
      <c r="H561" s="147"/>
      <c r="I561" s="147"/>
      <c r="J561" s="147"/>
      <c r="K561" s="3"/>
      <c r="L561" s="3"/>
      <c r="M561" s="3"/>
      <c r="N561" s="3"/>
      <c r="O561" s="3"/>
      <c r="P561" s="3"/>
      <c r="Q561" s="3"/>
      <c r="R561" s="3"/>
      <c r="S561" s="3"/>
      <c r="T561" s="3"/>
      <c r="U561" s="3"/>
      <c r="V561" s="3"/>
      <c r="W561" s="3"/>
      <c r="X561" s="3"/>
      <c r="Y561" s="3"/>
      <c r="Z561" s="3"/>
    </row>
    <row r="562" spans="1:26" ht="22.5" customHeight="1" x14ac:dyDescent="0.85">
      <c r="A562" s="166"/>
      <c r="B562" s="167"/>
      <c r="C562" s="167"/>
      <c r="D562" s="147"/>
      <c r="E562" s="147"/>
      <c r="F562" s="147"/>
      <c r="G562" s="147"/>
      <c r="H562" s="147"/>
      <c r="I562" s="147"/>
      <c r="J562" s="147"/>
      <c r="K562" s="3"/>
      <c r="L562" s="3"/>
      <c r="M562" s="3"/>
      <c r="N562" s="3"/>
      <c r="O562" s="3"/>
      <c r="P562" s="3"/>
      <c r="Q562" s="3"/>
      <c r="R562" s="3"/>
      <c r="S562" s="3"/>
      <c r="T562" s="3"/>
      <c r="U562" s="3"/>
      <c r="V562" s="3"/>
      <c r="W562" s="3"/>
      <c r="X562" s="3"/>
      <c r="Y562" s="3"/>
      <c r="Z562" s="3"/>
    </row>
    <row r="563" spans="1:26" ht="22.5" customHeight="1" x14ac:dyDescent="0.85">
      <c r="A563" s="166"/>
      <c r="B563" s="167"/>
      <c r="C563" s="167"/>
      <c r="D563" s="147"/>
      <c r="E563" s="147"/>
      <c r="F563" s="147"/>
      <c r="G563" s="147"/>
      <c r="H563" s="147"/>
      <c r="I563" s="147"/>
      <c r="J563" s="147"/>
      <c r="K563" s="3"/>
      <c r="L563" s="3"/>
      <c r="M563" s="3"/>
      <c r="N563" s="3"/>
      <c r="O563" s="3"/>
      <c r="P563" s="3"/>
      <c r="Q563" s="3"/>
      <c r="R563" s="3"/>
      <c r="S563" s="3"/>
      <c r="T563" s="3"/>
      <c r="U563" s="3"/>
      <c r="V563" s="3"/>
      <c r="W563" s="3"/>
      <c r="X563" s="3"/>
      <c r="Y563" s="3"/>
      <c r="Z563" s="3"/>
    </row>
    <row r="564" spans="1:26" ht="22.5" customHeight="1" x14ac:dyDescent="0.85">
      <c r="A564" s="166"/>
      <c r="B564" s="167"/>
      <c r="C564" s="167"/>
      <c r="D564" s="147"/>
      <c r="E564" s="147"/>
      <c r="F564" s="147"/>
      <c r="G564" s="147"/>
      <c r="H564" s="147"/>
      <c r="I564" s="147"/>
      <c r="J564" s="147"/>
      <c r="K564" s="3"/>
      <c r="L564" s="3"/>
      <c r="M564" s="3"/>
      <c r="N564" s="3"/>
      <c r="O564" s="3"/>
      <c r="P564" s="3"/>
      <c r="Q564" s="3"/>
      <c r="R564" s="3"/>
      <c r="S564" s="3"/>
      <c r="T564" s="3"/>
      <c r="U564" s="3"/>
      <c r="V564" s="3"/>
      <c r="W564" s="3"/>
      <c r="X564" s="3"/>
      <c r="Y564" s="3"/>
      <c r="Z564" s="3"/>
    </row>
    <row r="565" spans="1:26" ht="22.5" customHeight="1" x14ac:dyDescent="0.85">
      <c r="A565" s="166"/>
      <c r="B565" s="167"/>
      <c r="C565" s="167"/>
      <c r="D565" s="147"/>
      <c r="E565" s="147"/>
      <c r="F565" s="147"/>
      <c r="G565" s="147"/>
      <c r="H565" s="147"/>
      <c r="I565" s="147"/>
      <c r="J565" s="147"/>
      <c r="K565" s="3"/>
      <c r="L565" s="3"/>
      <c r="M565" s="3"/>
      <c r="N565" s="3"/>
      <c r="O565" s="3"/>
      <c r="P565" s="3"/>
      <c r="Q565" s="3"/>
      <c r="R565" s="3"/>
      <c r="S565" s="3"/>
      <c r="T565" s="3"/>
      <c r="U565" s="3"/>
      <c r="V565" s="3"/>
      <c r="W565" s="3"/>
      <c r="X565" s="3"/>
      <c r="Y565" s="3"/>
      <c r="Z565" s="3"/>
    </row>
    <row r="566" spans="1:26" ht="22.5" customHeight="1" x14ac:dyDescent="0.85">
      <c r="A566" s="166"/>
      <c r="B566" s="167"/>
      <c r="C566" s="167"/>
      <c r="D566" s="147"/>
      <c r="E566" s="147"/>
      <c r="F566" s="147"/>
      <c r="G566" s="147"/>
      <c r="H566" s="147"/>
      <c r="I566" s="147"/>
      <c r="J566" s="147"/>
      <c r="K566" s="3"/>
      <c r="L566" s="3"/>
      <c r="M566" s="3"/>
      <c r="N566" s="3"/>
      <c r="O566" s="3"/>
      <c r="P566" s="3"/>
      <c r="Q566" s="3"/>
      <c r="R566" s="3"/>
      <c r="S566" s="3"/>
      <c r="T566" s="3"/>
      <c r="U566" s="3"/>
      <c r="V566" s="3"/>
      <c r="W566" s="3"/>
      <c r="X566" s="3"/>
      <c r="Y566" s="3"/>
      <c r="Z566" s="3"/>
    </row>
    <row r="567" spans="1:26" ht="22.5" customHeight="1" x14ac:dyDescent="0.85">
      <c r="A567" s="166"/>
      <c r="B567" s="167"/>
      <c r="C567" s="167"/>
      <c r="D567" s="147"/>
      <c r="E567" s="147"/>
      <c r="F567" s="147"/>
      <c r="G567" s="147"/>
      <c r="H567" s="147"/>
      <c r="I567" s="147"/>
      <c r="J567" s="147"/>
      <c r="K567" s="3"/>
      <c r="L567" s="3"/>
      <c r="M567" s="3"/>
      <c r="N567" s="3"/>
      <c r="O567" s="3"/>
      <c r="P567" s="3"/>
      <c r="Q567" s="3"/>
      <c r="R567" s="3"/>
      <c r="S567" s="3"/>
      <c r="T567" s="3"/>
      <c r="U567" s="3"/>
      <c r="V567" s="3"/>
      <c r="W567" s="3"/>
      <c r="X567" s="3"/>
      <c r="Y567" s="3"/>
      <c r="Z567" s="3"/>
    </row>
    <row r="568" spans="1:26" ht="22.5" customHeight="1" x14ac:dyDescent="0.85">
      <c r="A568" s="166"/>
      <c r="B568" s="167"/>
      <c r="C568" s="167"/>
      <c r="D568" s="147"/>
      <c r="E568" s="147"/>
      <c r="F568" s="147"/>
      <c r="G568" s="147"/>
      <c r="H568" s="147"/>
      <c r="I568" s="147"/>
      <c r="J568" s="147"/>
      <c r="K568" s="3"/>
      <c r="L568" s="3"/>
      <c r="M568" s="3"/>
      <c r="N568" s="3"/>
      <c r="O568" s="3"/>
      <c r="P568" s="3"/>
      <c r="Q568" s="3"/>
      <c r="R568" s="3"/>
      <c r="S568" s="3"/>
      <c r="T568" s="3"/>
      <c r="U568" s="3"/>
      <c r="V568" s="3"/>
      <c r="W568" s="3"/>
      <c r="X568" s="3"/>
      <c r="Y568" s="3"/>
      <c r="Z568" s="3"/>
    </row>
    <row r="569" spans="1:26" ht="22.5" customHeight="1" x14ac:dyDescent="0.85">
      <c r="A569" s="166"/>
      <c r="B569" s="167"/>
      <c r="C569" s="167"/>
      <c r="D569" s="147"/>
      <c r="E569" s="147"/>
      <c r="F569" s="147"/>
      <c r="G569" s="147"/>
      <c r="H569" s="147"/>
      <c r="I569" s="147"/>
      <c r="J569" s="147"/>
      <c r="K569" s="3"/>
      <c r="L569" s="3"/>
      <c r="M569" s="3"/>
      <c r="N569" s="3"/>
      <c r="O569" s="3"/>
      <c r="P569" s="3"/>
      <c r="Q569" s="3"/>
      <c r="R569" s="3"/>
      <c r="S569" s="3"/>
      <c r="T569" s="3"/>
      <c r="U569" s="3"/>
      <c r="V569" s="3"/>
      <c r="W569" s="3"/>
      <c r="X569" s="3"/>
      <c r="Y569" s="3"/>
      <c r="Z569" s="3"/>
    </row>
    <row r="570" spans="1:26" ht="22.5" customHeight="1" x14ac:dyDescent="0.85">
      <c r="A570" s="166"/>
      <c r="B570" s="167"/>
      <c r="C570" s="167"/>
      <c r="D570" s="147"/>
      <c r="E570" s="147"/>
      <c r="F570" s="147"/>
      <c r="G570" s="147"/>
      <c r="H570" s="147"/>
      <c r="I570" s="147"/>
      <c r="J570" s="147"/>
      <c r="K570" s="3"/>
      <c r="L570" s="3"/>
      <c r="M570" s="3"/>
      <c r="N570" s="3"/>
      <c r="O570" s="3"/>
      <c r="P570" s="3"/>
      <c r="Q570" s="3"/>
      <c r="R570" s="3"/>
      <c r="S570" s="3"/>
      <c r="T570" s="3"/>
      <c r="U570" s="3"/>
      <c r="V570" s="3"/>
      <c r="W570" s="3"/>
      <c r="X570" s="3"/>
      <c r="Y570" s="3"/>
      <c r="Z570" s="3"/>
    </row>
    <row r="571" spans="1:26" ht="22.5" customHeight="1" x14ac:dyDescent="0.85">
      <c r="A571" s="166"/>
      <c r="B571" s="167"/>
      <c r="C571" s="167"/>
      <c r="D571" s="147"/>
      <c r="E571" s="147"/>
      <c r="F571" s="147"/>
      <c r="G571" s="147"/>
      <c r="H571" s="147"/>
      <c r="I571" s="147"/>
      <c r="J571" s="147"/>
      <c r="K571" s="3"/>
      <c r="L571" s="3"/>
      <c r="M571" s="3"/>
      <c r="N571" s="3"/>
      <c r="O571" s="3"/>
      <c r="P571" s="3"/>
      <c r="Q571" s="3"/>
      <c r="R571" s="3"/>
      <c r="S571" s="3"/>
      <c r="T571" s="3"/>
      <c r="U571" s="3"/>
      <c r="V571" s="3"/>
      <c r="W571" s="3"/>
      <c r="X571" s="3"/>
      <c r="Y571" s="3"/>
      <c r="Z571" s="3"/>
    </row>
    <row r="572" spans="1:26" ht="22.5" customHeight="1" x14ac:dyDescent="0.85">
      <c r="A572" s="166"/>
      <c r="B572" s="167"/>
      <c r="C572" s="167"/>
      <c r="D572" s="147"/>
      <c r="E572" s="147"/>
      <c r="F572" s="147"/>
      <c r="G572" s="147"/>
      <c r="H572" s="147"/>
      <c r="I572" s="147"/>
      <c r="J572" s="147"/>
      <c r="K572" s="3"/>
      <c r="L572" s="3"/>
      <c r="M572" s="3"/>
      <c r="N572" s="3"/>
      <c r="O572" s="3"/>
      <c r="P572" s="3"/>
      <c r="Q572" s="3"/>
      <c r="R572" s="3"/>
      <c r="S572" s="3"/>
      <c r="T572" s="3"/>
      <c r="U572" s="3"/>
      <c r="V572" s="3"/>
      <c r="W572" s="3"/>
      <c r="X572" s="3"/>
      <c r="Y572" s="3"/>
      <c r="Z572" s="3"/>
    </row>
    <row r="573" spans="1:26" ht="22.5" customHeight="1" x14ac:dyDescent="0.85">
      <c r="A573" s="166"/>
      <c r="B573" s="167"/>
      <c r="C573" s="167"/>
      <c r="D573" s="147"/>
      <c r="E573" s="147"/>
      <c r="F573" s="147"/>
      <c r="G573" s="147"/>
      <c r="H573" s="147"/>
      <c r="I573" s="147"/>
      <c r="J573" s="147"/>
      <c r="K573" s="3"/>
      <c r="L573" s="3"/>
      <c r="M573" s="3"/>
      <c r="N573" s="3"/>
      <c r="O573" s="3"/>
      <c r="P573" s="3"/>
      <c r="Q573" s="3"/>
      <c r="R573" s="3"/>
      <c r="S573" s="3"/>
      <c r="T573" s="3"/>
      <c r="U573" s="3"/>
      <c r="V573" s="3"/>
      <c r="W573" s="3"/>
      <c r="X573" s="3"/>
      <c r="Y573" s="3"/>
      <c r="Z573" s="3"/>
    </row>
    <row r="574" spans="1:26" ht="22.5" customHeight="1" x14ac:dyDescent="0.85">
      <c r="A574" s="166"/>
      <c r="B574" s="167"/>
      <c r="C574" s="167"/>
      <c r="D574" s="147"/>
      <c r="E574" s="147"/>
      <c r="F574" s="147"/>
      <c r="G574" s="147"/>
      <c r="H574" s="147"/>
      <c r="I574" s="147"/>
      <c r="J574" s="147"/>
      <c r="K574" s="3"/>
      <c r="L574" s="3"/>
      <c r="M574" s="3"/>
      <c r="N574" s="3"/>
      <c r="O574" s="3"/>
      <c r="P574" s="3"/>
      <c r="Q574" s="3"/>
      <c r="R574" s="3"/>
      <c r="S574" s="3"/>
      <c r="T574" s="3"/>
      <c r="U574" s="3"/>
      <c r="V574" s="3"/>
      <c r="W574" s="3"/>
      <c r="X574" s="3"/>
      <c r="Y574" s="3"/>
      <c r="Z574" s="3"/>
    </row>
    <row r="575" spans="1:26" ht="22.5" customHeight="1" x14ac:dyDescent="0.85">
      <c r="A575" s="166"/>
      <c r="B575" s="167"/>
      <c r="C575" s="167"/>
      <c r="D575" s="147"/>
      <c r="E575" s="147"/>
      <c r="F575" s="147"/>
      <c r="G575" s="147"/>
      <c r="H575" s="147"/>
      <c r="I575" s="147"/>
      <c r="J575" s="147"/>
      <c r="K575" s="3"/>
      <c r="L575" s="3"/>
      <c r="M575" s="3"/>
      <c r="N575" s="3"/>
      <c r="O575" s="3"/>
      <c r="P575" s="3"/>
      <c r="Q575" s="3"/>
      <c r="R575" s="3"/>
      <c r="S575" s="3"/>
      <c r="T575" s="3"/>
      <c r="U575" s="3"/>
      <c r="V575" s="3"/>
      <c r="W575" s="3"/>
      <c r="X575" s="3"/>
      <c r="Y575" s="3"/>
      <c r="Z575" s="3"/>
    </row>
    <row r="576" spans="1:26" ht="22.5" customHeight="1" x14ac:dyDescent="0.85">
      <c r="A576" s="166"/>
      <c r="B576" s="167"/>
      <c r="C576" s="167"/>
      <c r="D576" s="147"/>
      <c r="E576" s="147"/>
      <c r="F576" s="147"/>
      <c r="G576" s="147"/>
      <c r="H576" s="147"/>
      <c r="I576" s="147"/>
      <c r="J576" s="147"/>
      <c r="K576" s="3"/>
      <c r="L576" s="3"/>
      <c r="M576" s="3"/>
      <c r="N576" s="3"/>
      <c r="O576" s="3"/>
      <c r="P576" s="3"/>
      <c r="Q576" s="3"/>
      <c r="R576" s="3"/>
      <c r="S576" s="3"/>
      <c r="T576" s="3"/>
      <c r="U576" s="3"/>
      <c r="V576" s="3"/>
      <c r="W576" s="3"/>
      <c r="X576" s="3"/>
      <c r="Y576" s="3"/>
      <c r="Z576" s="3"/>
    </row>
    <row r="577" spans="1:26" ht="22.5" customHeight="1" x14ac:dyDescent="0.85">
      <c r="A577" s="166"/>
      <c r="B577" s="167"/>
      <c r="C577" s="167"/>
      <c r="D577" s="147"/>
      <c r="E577" s="147"/>
      <c r="F577" s="147"/>
      <c r="G577" s="147"/>
      <c r="H577" s="147"/>
      <c r="I577" s="147"/>
      <c r="J577" s="147"/>
      <c r="K577" s="3"/>
      <c r="L577" s="3"/>
      <c r="M577" s="3"/>
      <c r="N577" s="3"/>
      <c r="O577" s="3"/>
      <c r="P577" s="3"/>
      <c r="Q577" s="3"/>
      <c r="R577" s="3"/>
      <c r="S577" s="3"/>
      <c r="T577" s="3"/>
      <c r="U577" s="3"/>
      <c r="V577" s="3"/>
      <c r="W577" s="3"/>
      <c r="X577" s="3"/>
      <c r="Y577" s="3"/>
      <c r="Z577" s="3"/>
    </row>
    <row r="578" spans="1:26" ht="22.5" customHeight="1" x14ac:dyDescent="0.85">
      <c r="A578" s="166"/>
      <c r="B578" s="167"/>
      <c r="C578" s="167"/>
      <c r="D578" s="147"/>
      <c r="E578" s="147"/>
      <c r="F578" s="147"/>
      <c r="G578" s="147"/>
      <c r="H578" s="147"/>
      <c r="I578" s="147"/>
      <c r="J578" s="147"/>
      <c r="K578" s="3"/>
      <c r="L578" s="3"/>
      <c r="M578" s="3"/>
      <c r="N578" s="3"/>
      <c r="O578" s="3"/>
      <c r="P578" s="3"/>
      <c r="Q578" s="3"/>
      <c r="R578" s="3"/>
      <c r="S578" s="3"/>
      <c r="T578" s="3"/>
      <c r="U578" s="3"/>
      <c r="V578" s="3"/>
      <c r="W578" s="3"/>
      <c r="X578" s="3"/>
      <c r="Y578" s="3"/>
      <c r="Z578" s="3"/>
    </row>
    <row r="579" spans="1:26" ht="22.5" customHeight="1" x14ac:dyDescent="0.85">
      <c r="A579" s="166"/>
      <c r="B579" s="167"/>
      <c r="C579" s="167"/>
      <c r="D579" s="147"/>
      <c r="E579" s="147"/>
      <c r="F579" s="147"/>
      <c r="G579" s="147"/>
      <c r="H579" s="147"/>
      <c r="I579" s="147"/>
      <c r="J579" s="147"/>
      <c r="K579" s="3"/>
      <c r="L579" s="3"/>
      <c r="M579" s="3"/>
      <c r="N579" s="3"/>
      <c r="O579" s="3"/>
      <c r="P579" s="3"/>
      <c r="Q579" s="3"/>
      <c r="R579" s="3"/>
      <c r="S579" s="3"/>
      <c r="T579" s="3"/>
      <c r="U579" s="3"/>
      <c r="V579" s="3"/>
      <c r="W579" s="3"/>
      <c r="X579" s="3"/>
      <c r="Y579" s="3"/>
      <c r="Z579" s="3"/>
    </row>
    <row r="580" spans="1:26" ht="22.5" customHeight="1" x14ac:dyDescent="0.85">
      <c r="A580" s="166"/>
      <c r="B580" s="167"/>
      <c r="C580" s="167"/>
      <c r="D580" s="147"/>
      <c r="E580" s="147"/>
      <c r="F580" s="147"/>
      <c r="G580" s="147"/>
      <c r="H580" s="147"/>
      <c r="I580" s="147"/>
      <c r="J580" s="147"/>
      <c r="K580" s="3"/>
      <c r="L580" s="3"/>
      <c r="M580" s="3"/>
      <c r="N580" s="3"/>
      <c r="O580" s="3"/>
      <c r="P580" s="3"/>
      <c r="Q580" s="3"/>
      <c r="R580" s="3"/>
      <c r="S580" s="3"/>
      <c r="T580" s="3"/>
      <c r="U580" s="3"/>
      <c r="V580" s="3"/>
      <c r="W580" s="3"/>
      <c r="X580" s="3"/>
      <c r="Y580" s="3"/>
      <c r="Z580" s="3"/>
    </row>
    <row r="581" spans="1:26" ht="22.5" customHeight="1" x14ac:dyDescent="0.85">
      <c r="A581" s="166"/>
      <c r="B581" s="167"/>
      <c r="C581" s="167"/>
      <c r="D581" s="147"/>
      <c r="E581" s="147"/>
      <c r="F581" s="147"/>
      <c r="G581" s="147"/>
      <c r="H581" s="147"/>
      <c r="I581" s="147"/>
      <c r="J581" s="147"/>
      <c r="K581" s="3"/>
      <c r="L581" s="3"/>
      <c r="M581" s="3"/>
      <c r="N581" s="3"/>
      <c r="O581" s="3"/>
      <c r="P581" s="3"/>
      <c r="Q581" s="3"/>
      <c r="R581" s="3"/>
      <c r="S581" s="3"/>
      <c r="T581" s="3"/>
      <c r="U581" s="3"/>
      <c r="V581" s="3"/>
      <c r="W581" s="3"/>
      <c r="X581" s="3"/>
      <c r="Y581" s="3"/>
      <c r="Z581" s="3"/>
    </row>
    <row r="582" spans="1:26" ht="22.5" customHeight="1" x14ac:dyDescent="0.85">
      <c r="A582" s="166"/>
      <c r="B582" s="167"/>
      <c r="C582" s="167"/>
      <c r="D582" s="147"/>
      <c r="E582" s="147"/>
      <c r="F582" s="147"/>
      <c r="G582" s="147"/>
      <c r="H582" s="147"/>
      <c r="I582" s="147"/>
      <c r="J582" s="147"/>
      <c r="K582" s="3"/>
      <c r="L582" s="3"/>
      <c r="M582" s="3"/>
      <c r="N582" s="3"/>
      <c r="O582" s="3"/>
      <c r="P582" s="3"/>
      <c r="Q582" s="3"/>
      <c r="R582" s="3"/>
      <c r="S582" s="3"/>
      <c r="T582" s="3"/>
      <c r="U582" s="3"/>
      <c r="V582" s="3"/>
      <c r="W582" s="3"/>
      <c r="X582" s="3"/>
      <c r="Y582" s="3"/>
      <c r="Z582" s="3"/>
    </row>
    <row r="583" spans="1:26" ht="22.5" customHeight="1" x14ac:dyDescent="0.85">
      <c r="A583" s="166"/>
      <c r="B583" s="167"/>
      <c r="C583" s="167"/>
      <c r="D583" s="147"/>
      <c r="E583" s="147"/>
      <c r="F583" s="147"/>
      <c r="G583" s="147"/>
      <c r="H583" s="147"/>
      <c r="I583" s="147"/>
      <c r="J583" s="147"/>
      <c r="K583" s="3"/>
      <c r="L583" s="3"/>
      <c r="M583" s="3"/>
      <c r="N583" s="3"/>
      <c r="O583" s="3"/>
      <c r="P583" s="3"/>
      <c r="Q583" s="3"/>
      <c r="R583" s="3"/>
      <c r="S583" s="3"/>
      <c r="T583" s="3"/>
      <c r="U583" s="3"/>
      <c r="V583" s="3"/>
      <c r="W583" s="3"/>
      <c r="X583" s="3"/>
      <c r="Y583" s="3"/>
      <c r="Z583" s="3"/>
    </row>
    <row r="584" spans="1:26" ht="22.5" customHeight="1" x14ac:dyDescent="0.85">
      <c r="A584" s="166"/>
      <c r="B584" s="167"/>
      <c r="C584" s="167"/>
      <c r="D584" s="147"/>
      <c r="E584" s="147"/>
      <c r="F584" s="147"/>
      <c r="G584" s="147"/>
      <c r="H584" s="147"/>
      <c r="I584" s="147"/>
      <c r="J584" s="147"/>
      <c r="K584" s="3"/>
      <c r="L584" s="3"/>
      <c r="M584" s="3"/>
      <c r="N584" s="3"/>
      <c r="O584" s="3"/>
      <c r="P584" s="3"/>
      <c r="Q584" s="3"/>
      <c r="R584" s="3"/>
      <c r="S584" s="3"/>
      <c r="T584" s="3"/>
      <c r="U584" s="3"/>
      <c r="V584" s="3"/>
      <c r="W584" s="3"/>
      <c r="X584" s="3"/>
      <c r="Y584" s="3"/>
      <c r="Z584" s="3"/>
    </row>
    <row r="585" spans="1:26" ht="22.5" customHeight="1" x14ac:dyDescent="0.85">
      <c r="A585" s="166"/>
      <c r="B585" s="167"/>
      <c r="C585" s="167"/>
      <c r="D585" s="147"/>
      <c r="E585" s="147"/>
      <c r="F585" s="147"/>
      <c r="G585" s="147"/>
      <c r="H585" s="147"/>
      <c r="I585" s="147"/>
      <c r="J585" s="147"/>
      <c r="K585" s="3"/>
      <c r="L585" s="3"/>
      <c r="M585" s="3"/>
      <c r="N585" s="3"/>
      <c r="O585" s="3"/>
      <c r="P585" s="3"/>
      <c r="Q585" s="3"/>
      <c r="R585" s="3"/>
      <c r="S585" s="3"/>
      <c r="T585" s="3"/>
      <c r="U585" s="3"/>
      <c r="V585" s="3"/>
      <c r="W585" s="3"/>
      <c r="X585" s="3"/>
      <c r="Y585" s="3"/>
      <c r="Z585" s="3"/>
    </row>
    <row r="586" spans="1:26" ht="22.5" customHeight="1" x14ac:dyDescent="0.85">
      <c r="A586" s="166"/>
      <c r="B586" s="167"/>
      <c r="C586" s="167"/>
      <c r="D586" s="147"/>
      <c r="E586" s="147"/>
      <c r="F586" s="147"/>
      <c r="G586" s="147"/>
      <c r="H586" s="147"/>
      <c r="I586" s="147"/>
      <c r="J586" s="147"/>
      <c r="K586" s="3"/>
      <c r="L586" s="3"/>
      <c r="M586" s="3"/>
      <c r="N586" s="3"/>
      <c r="O586" s="3"/>
      <c r="P586" s="3"/>
      <c r="Q586" s="3"/>
      <c r="R586" s="3"/>
      <c r="S586" s="3"/>
      <c r="T586" s="3"/>
      <c r="U586" s="3"/>
      <c r="V586" s="3"/>
      <c r="W586" s="3"/>
      <c r="X586" s="3"/>
      <c r="Y586" s="3"/>
      <c r="Z586" s="3"/>
    </row>
    <row r="587" spans="1:26" ht="22.5" customHeight="1" x14ac:dyDescent="0.85">
      <c r="A587" s="166"/>
      <c r="B587" s="167"/>
      <c r="C587" s="167"/>
      <c r="D587" s="147"/>
      <c r="E587" s="147"/>
      <c r="F587" s="147"/>
      <c r="G587" s="147"/>
      <c r="H587" s="147"/>
      <c r="I587" s="147"/>
      <c r="J587" s="147"/>
      <c r="K587" s="3"/>
      <c r="L587" s="3"/>
      <c r="M587" s="3"/>
      <c r="N587" s="3"/>
      <c r="O587" s="3"/>
      <c r="P587" s="3"/>
      <c r="Q587" s="3"/>
      <c r="R587" s="3"/>
      <c r="S587" s="3"/>
      <c r="T587" s="3"/>
      <c r="U587" s="3"/>
      <c r="V587" s="3"/>
      <c r="W587" s="3"/>
      <c r="X587" s="3"/>
      <c r="Y587" s="3"/>
      <c r="Z587" s="3"/>
    </row>
    <row r="588" spans="1:26" ht="22.5" customHeight="1" x14ac:dyDescent="0.85">
      <c r="A588" s="166"/>
      <c r="B588" s="167"/>
      <c r="C588" s="167"/>
      <c r="D588" s="147"/>
      <c r="E588" s="147"/>
      <c r="F588" s="147"/>
      <c r="G588" s="147"/>
      <c r="H588" s="147"/>
      <c r="I588" s="147"/>
      <c r="J588" s="147"/>
      <c r="K588" s="3"/>
      <c r="L588" s="3"/>
      <c r="M588" s="3"/>
      <c r="N588" s="3"/>
      <c r="O588" s="3"/>
      <c r="P588" s="3"/>
      <c r="Q588" s="3"/>
      <c r="R588" s="3"/>
      <c r="S588" s="3"/>
      <c r="T588" s="3"/>
      <c r="U588" s="3"/>
      <c r="V588" s="3"/>
      <c r="W588" s="3"/>
      <c r="X588" s="3"/>
      <c r="Y588" s="3"/>
      <c r="Z588" s="3"/>
    </row>
    <row r="589" spans="1:26" ht="22.5" customHeight="1" x14ac:dyDescent="0.85">
      <c r="A589" s="166"/>
      <c r="B589" s="167"/>
      <c r="C589" s="167"/>
      <c r="D589" s="147"/>
      <c r="E589" s="147"/>
      <c r="F589" s="147"/>
      <c r="G589" s="147"/>
      <c r="H589" s="147"/>
      <c r="I589" s="147"/>
      <c r="J589" s="147"/>
      <c r="K589" s="3"/>
      <c r="L589" s="3"/>
      <c r="M589" s="3"/>
      <c r="N589" s="3"/>
      <c r="O589" s="3"/>
      <c r="P589" s="3"/>
      <c r="Q589" s="3"/>
      <c r="R589" s="3"/>
      <c r="S589" s="3"/>
      <c r="T589" s="3"/>
      <c r="U589" s="3"/>
      <c r="V589" s="3"/>
      <c r="W589" s="3"/>
      <c r="X589" s="3"/>
      <c r="Y589" s="3"/>
      <c r="Z589" s="3"/>
    </row>
    <row r="590" spans="1:26" ht="22.5" customHeight="1" x14ac:dyDescent="0.85">
      <c r="A590" s="166"/>
      <c r="B590" s="167"/>
      <c r="C590" s="167"/>
      <c r="D590" s="147"/>
      <c r="E590" s="147"/>
      <c r="F590" s="147"/>
      <c r="G590" s="147"/>
      <c r="H590" s="147"/>
      <c r="I590" s="147"/>
      <c r="J590" s="147"/>
      <c r="K590" s="3"/>
      <c r="L590" s="3"/>
      <c r="M590" s="3"/>
      <c r="N590" s="3"/>
      <c r="O590" s="3"/>
      <c r="P590" s="3"/>
      <c r="Q590" s="3"/>
      <c r="R590" s="3"/>
      <c r="S590" s="3"/>
      <c r="T590" s="3"/>
      <c r="U590" s="3"/>
      <c r="V590" s="3"/>
      <c r="W590" s="3"/>
      <c r="X590" s="3"/>
      <c r="Y590" s="3"/>
      <c r="Z590" s="3"/>
    </row>
    <row r="591" spans="1:26" ht="22.5" customHeight="1" x14ac:dyDescent="0.85">
      <c r="A591" s="166"/>
      <c r="B591" s="167"/>
      <c r="C591" s="167"/>
      <c r="D591" s="147"/>
      <c r="E591" s="147"/>
      <c r="F591" s="147"/>
      <c r="G591" s="147"/>
      <c r="H591" s="147"/>
      <c r="I591" s="147"/>
      <c r="J591" s="147"/>
      <c r="K591" s="3"/>
      <c r="L591" s="3"/>
      <c r="M591" s="3"/>
      <c r="N591" s="3"/>
      <c r="O591" s="3"/>
      <c r="P591" s="3"/>
      <c r="Q591" s="3"/>
      <c r="R591" s="3"/>
      <c r="S591" s="3"/>
      <c r="T591" s="3"/>
      <c r="U591" s="3"/>
      <c r="V591" s="3"/>
      <c r="W591" s="3"/>
      <c r="X591" s="3"/>
      <c r="Y591" s="3"/>
      <c r="Z591" s="3"/>
    </row>
    <row r="592" spans="1:26" ht="22.5" customHeight="1" x14ac:dyDescent="0.85">
      <c r="A592" s="166"/>
      <c r="B592" s="167"/>
      <c r="C592" s="167"/>
      <c r="D592" s="147"/>
      <c r="E592" s="147"/>
      <c r="F592" s="147"/>
      <c r="G592" s="147"/>
      <c r="H592" s="147"/>
      <c r="I592" s="147"/>
      <c r="J592" s="147"/>
      <c r="K592" s="3"/>
      <c r="L592" s="3"/>
      <c r="M592" s="3"/>
      <c r="N592" s="3"/>
      <c r="O592" s="3"/>
      <c r="P592" s="3"/>
      <c r="Q592" s="3"/>
      <c r="R592" s="3"/>
      <c r="S592" s="3"/>
      <c r="T592" s="3"/>
      <c r="U592" s="3"/>
      <c r="V592" s="3"/>
      <c r="W592" s="3"/>
      <c r="X592" s="3"/>
      <c r="Y592" s="3"/>
      <c r="Z592" s="3"/>
    </row>
    <row r="593" spans="1:26" ht="22.5" customHeight="1" x14ac:dyDescent="0.85">
      <c r="A593" s="166"/>
      <c r="B593" s="167"/>
      <c r="C593" s="167"/>
      <c r="D593" s="147"/>
      <c r="E593" s="147"/>
      <c r="F593" s="147"/>
      <c r="G593" s="147"/>
      <c r="H593" s="147"/>
      <c r="I593" s="147"/>
      <c r="J593" s="147"/>
      <c r="K593" s="3"/>
      <c r="L593" s="3"/>
      <c r="M593" s="3"/>
      <c r="N593" s="3"/>
      <c r="O593" s="3"/>
      <c r="P593" s="3"/>
      <c r="Q593" s="3"/>
      <c r="R593" s="3"/>
      <c r="S593" s="3"/>
      <c r="T593" s="3"/>
      <c r="U593" s="3"/>
      <c r="V593" s="3"/>
      <c r="W593" s="3"/>
      <c r="X593" s="3"/>
      <c r="Y593" s="3"/>
      <c r="Z593" s="3"/>
    </row>
    <row r="594" spans="1:26" ht="22.5" customHeight="1" x14ac:dyDescent="0.85">
      <c r="A594" s="166"/>
      <c r="B594" s="167"/>
      <c r="C594" s="167"/>
      <c r="D594" s="147"/>
      <c r="E594" s="147"/>
      <c r="F594" s="147"/>
      <c r="G594" s="147"/>
      <c r="H594" s="147"/>
      <c r="I594" s="147"/>
      <c r="J594" s="147"/>
      <c r="K594" s="3"/>
      <c r="L594" s="3"/>
      <c r="M594" s="3"/>
      <c r="N594" s="3"/>
      <c r="O594" s="3"/>
      <c r="P594" s="3"/>
      <c r="Q594" s="3"/>
      <c r="R594" s="3"/>
      <c r="S594" s="3"/>
      <c r="T594" s="3"/>
      <c r="U594" s="3"/>
      <c r="V594" s="3"/>
      <c r="W594" s="3"/>
      <c r="X594" s="3"/>
      <c r="Y594" s="3"/>
      <c r="Z594" s="3"/>
    </row>
    <row r="595" spans="1:26" ht="22.5" customHeight="1" x14ac:dyDescent="0.85">
      <c r="A595" s="166"/>
      <c r="B595" s="167"/>
      <c r="C595" s="167"/>
      <c r="D595" s="147"/>
      <c r="E595" s="147"/>
      <c r="F595" s="147"/>
      <c r="G595" s="147"/>
      <c r="H595" s="147"/>
      <c r="I595" s="147"/>
      <c r="J595" s="147"/>
      <c r="K595" s="3"/>
      <c r="L595" s="3"/>
      <c r="M595" s="3"/>
      <c r="N595" s="3"/>
      <c r="O595" s="3"/>
      <c r="P595" s="3"/>
      <c r="Q595" s="3"/>
      <c r="R595" s="3"/>
      <c r="S595" s="3"/>
      <c r="T595" s="3"/>
      <c r="U595" s="3"/>
      <c r="V595" s="3"/>
      <c r="W595" s="3"/>
      <c r="X595" s="3"/>
      <c r="Y595" s="3"/>
      <c r="Z595" s="3"/>
    </row>
    <row r="596" spans="1:26" ht="22.5" customHeight="1" x14ac:dyDescent="0.85">
      <c r="A596" s="166"/>
      <c r="B596" s="167"/>
      <c r="C596" s="167"/>
      <c r="D596" s="147"/>
      <c r="E596" s="147"/>
      <c r="F596" s="147"/>
      <c r="G596" s="147"/>
      <c r="H596" s="147"/>
      <c r="I596" s="147"/>
      <c r="J596" s="147"/>
      <c r="K596" s="3"/>
      <c r="L596" s="3"/>
      <c r="M596" s="3"/>
      <c r="N596" s="3"/>
      <c r="O596" s="3"/>
      <c r="P596" s="3"/>
      <c r="Q596" s="3"/>
      <c r="R596" s="3"/>
      <c r="S596" s="3"/>
      <c r="T596" s="3"/>
      <c r="U596" s="3"/>
      <c r="V596" s="3"/>
      <c r="W596" s="3"/>
      <c r="X596" s="3"/>
      <c r="Y596" s="3"/>
      <c r="Z596" s="3"/>
    </row>
    <row r="597" spans="1:26" ht="22.5" customHeight="1" x14ac:dyDescent="0.85">
      <c r="A597" s="166"/>
      <c r="B597" s="167"/>
      <c r="C597" s="167"/>
      <c r="D597" s="147"/>
      <c r="E597" s="147"/>
      <c r="F597" s="147"/>
      <c r="G597" s="147"/>
      <c r="H597" s="147"/>
      <c r="I597" s="147"/>
      <c r="J597" s="147"/>
      <c r="K597" s="3"/>
      <c r="L597" s="3"/>
      <c r="M597" s="3"/>
      <c r="N597" s="3"/>
      <c r="O597" s="3"/>
      <c r="P597" s="3"/>
      <c r="Q597" s="3"/>
      <c r="R597" s="3"/>
      <c r="S597" s="3"/>
      <c r="T597" s="3"/>
      <c r="U597" s="3"/>
      <c r="V597" s="3"/>
      <c r="W597" s="3"/>
      <c r="X597" s="3"/>
      <c r="Y597" s="3"/>
      <c r="Z597" s="3"/>
    </row>
    <row r="598" spans="1:26" ht="22.5" customHeight="1" x14ac:dyDescent="0.85">
      <c r="A598" s="166"/>
      <c r="B598" s="167"/>
      <c r="C598" s="167"/>
      <c r="D598" s="147"/>
      <c r="E598" s="147"/>
      <c r="F598" s="147"/>
      <c r="G598" s="147"/>
      <c r="H598" s="147"/>
      <c r="I598" s="147"/>
      <c r="J598" s="147"/>
      <c r="K598" s="3"/>
      <c r="L598" s="3"/>
      <c r="M598" s="3"/>
      <c r="N598" s="3"/>
      <c r="O598" s="3"/>
      <c r="P598" s="3"/>
      <c r="Q598" s="3"/>
      <c r="R598" s="3"/>
      <c r="S598" s="3"/>
      <c r="T598" s="3"/>
      <c r="U598" s="3"/>
      <c r="V598" s="3"/>
      <c r="W598" s="3"/>
      <c r="X598" s="3"/>
      <c r="Y598" s="3"/>
      <c r="Z598" s="3"/>
    </row>
    <row r="599" spans="1:26" ht="22.5" customHeight="1" x14ac:dyDescent="0.85">
      <c r="A599" s="166"/>
      <c r="B599" s="167"/>
      <c r="C599" s="167"/>
      <c r="D599" s="147"/>
      <c r="E599" s="147"/>
      <c r="F599" s="147"/>
      <c r="G599" s="147"/>
      <c r="H599" s="147"/>
      <c r="I599" s="147"/>
      <c r="J599" s="147"/>
      <c r="K599" s="3"/>
      <c r="L599" s="3"/>
      <c r="M599" s="3"/>
      <c r="N599" s="3"/>
      <c r="O599" s="3"/>
      <c r="P599" s="3"/>
      <c r="Q599" s="3"/>
      <c r="R599" s="3"/>
      <c r="S599" s="3"/>
      <c r="T599" s="3"/>
      <c r="U599" s="3"/>
      <c r="V599" s="3"/>
      <c r="W599" s="3"/>
      <c r="X599" s="3"/>
      <c r="Y599" s="3"/>
      <c r="Z599" s="3"/>
    </row>
    <row r="600" spans="1:26" ht="22.5" customHeight="1" x14ac:dyDescent="0.85">
      <c r="A600" s="166"/>
      <c r="B600" s="167"/>
      <c r="C600" s="167"/>
      <c r="D600" s="147"/>
      <c r="E600" s="147"/>
      <c r="F600" s="147"/>
      <c r="G600" s="147"/>
      <c r="H600" s="147"/>
      <c r="I600" s="147"/>
      <c r="J600" s="147"/>
      <c r="K600" s="3"/>
      <c r="L600" s="3"/>
      <c r="M600" s="3"/>
      <c r="N600" s="3"/>
      <c r="O600" s="3"/>
      <c r="P600" s="3"/>
      <c r="Q600" s="3"/>
      <c r="R600" s="3"/>
      <c r="S600" s="3"/>
      <c r="T600" s="3"/>
      <c r="U600" s="3"/>
      <c r="V600" s="3"/>
      <c r="W600" s="3"/>
      <c r="X600" s="3"/>
      <c r="Y600" s="3"/>
      <c r="Z600" s="3"/>
    </row>
    <row r="601" spans="1:26" ht="22.5" customHeight="1" x14ac:dyDescent="0.85">
      <c r="A601" s="166"/>
      <c r="B601" s="167"/>
      <c r="C601" s="167"/>
      <c r="D601" s="147"/>
      <c r="E601" s="147"/>
      <c r="F601" s="147"/>
      <c r="G601" s="147"/>
      <c r="H601" s="147"/>
      <c r="I601" s="147"/>
      <c r="J601" s="147"/>
      <c r="K601" s="3"/>
      <c r="L601" s="3"/>
      <c r="M601" s="3"/>
      <c r="N601" s="3"/>
      <c r="O601" s="3"/>
      <c r="P601" s="3"/>
      <c r="Q601" s="3"/>
      <c r="R601" s="3"/>
      <c r="S601" s="3"/>
      <c r="T601" s="3"/>
      <c r="U601" s="3"/>
      <c r="V601" s="3"/>
      <c r="W601" s="3"/>
      <c r="X601" s="3"/>
      <c r="Y601" s="3"/>
      <c r="Z601" s="3"/>
    </row>
    <row r="602" spans="1:26" ht="22.5" customHeight="1" x14ac:dyDescent="0.85">
      <c r="A602" s="166"/>
      <c r="B602" s="167"/>
      <c r="C602" s="167"/>
      <c r="D602" s="147"/>
      <c r="E602" s="147"/>
      <c r="F602" s="147"/>
      <c r="G602" s="147"/>
      <c r="H602" s="147"/>
      <c r="I602" s="147"/>
      <c r="J602" s="147"/>
      <c r="K602" s="3"/>
      <c r="L602" s="3"/>
      <c r="M602" s="3"/>
      <c r="N602" s="3"/>
      <c r="O602" s="3"/>
      <c r="P602" s="3"/>
      <c r="Q602" s="3"/>
      <c r="R602" s="3"/>
      <c r="S602" s="3"/>
      <c r="T602" s="3"/>
      <c r="U602" s="3"/>
      <c r="V602" s="3"/>
      <c r="W602" s="3"/>
      <c r="X602" s="3"/>
      <c r="Y602" s="3"/>
      <c r="Z602" s="3"/>
    </row>
    <row r="603" spans="1:26" ht="22.5" customHeight="1" x14ac:dyDescent="0.85">
      <c r="A603" s="166"/>
      <c r="B603" s="167"/>
      <c r="C603" s="167"/>
      <c r="D603" s="147"/>
      <c r="E603" s="147"/>
      <c r="F603" s="147"/>
      <c r="G603" s="147"/>
      <c r="H603" s="147"/>
      <c r="I603" s="147"/>
      <c r="J603" s="147"/>
      <c r="K603" s="3"/>
      <c r="L603" s="3"/>
      <c r="M603" s="3"/>
      <c r="N603" s="3"/>
      <c r="O603" s="3"/>
      <c r="P603" s="3"/>
      <c r="Q603" s="3"/>
      <c r="R603" s="3"/>
      <c r="S603" s="3"/>
      <c r="T603" s="3"/>
      <c r="U603" s="3"/>
      <c r="V603" s="3"/>
      <c r="W603" s="3"/>
      <c r="X603" s="3"/>
      <c r="Y603" s="3"/>
      <c r="Z603" s="3"/>
    </row>
    <row r="604" spans="1:26" ht="22.5" customHeight="1" x14ac:dyDescent="0.85">
      <c r="A604" s="166"/>
      <c r="B604" s="167"/>
      <c r="C604" s="167"/>
      <c r="D604" s="147"/>
      <c r="E604" s="147"/>
      <c r="F604" s="147"/>
      <c r="G604" s="147"/>
      <c r="H604" s="147"/>
      <c r="I604" s="147"/>
      <c r="J604" s="147"/>
      <c r="K604" s="3"/>
      <c r="L604" s="3"/>
      <c r="M604" s="3"/>
      <c r="N604" s="3"/>
      <c r="O604" s="3"/>
      <c r="P604" s="3"/>
      <c r="Q604" s="3"/>
      <c r="R604" s="3"/>
      <c r="S604" s="3"/>
      <c r="T604" s="3"/>
      <c r="U604" s="3"/>
      <c r="V604" s="3"/>
      <c r="W604" s="3"/>
      <c r="X604" s="3"/>
      <c r="Y604" s="3"/>
      <c r="Z604" s="3"/>
    </row>
    <row r="605" spans="1:26" ht="22.5" customHeight="1" x14ac:dyDescent="0.85">
      <c r="A605" s="166"/>
      <c r="B605" s="167"/>
      <c r="C605" s="167"/>
      <c r="D605" s="147"/>
      <c r="E605" s="147"/>
      <c r="F605" s="147"/>
      <c r="G605" s="147"/>
      <c r="H605" s="147"/>
      <c r="I605" s="147"/>
      <c r="J605" s="147"/>
      <c r="K605" s="3"/>
      <c r="L605" s="3"/>
      <c r="M605" s="3"/>
      <c r="N605" s="3"/>
      <c r="O605" s="3"/>
      <c r="P605" s="3"/>
      <c r="Q605" s="3"/>
      <c r="R605" s="3"/>
      <c r="S605" s="3"/>
      <c r="T605" s="3"/>
      <c r="U605" s="3"/>
      <c r="V605" s="3"/>
      <c r="W605" s="3"/>
      <c r="X605" s="3"/>
      <c r="Y605" s="3"/>
      <c r="Z605" s="3"/>
    </row>
    <row r="606" spans="1:26" ht="22.5" customHeight="1" x14ac:dyDescent="0.85">
      <c r="A606" s="166"/>
      <c r="B606" s="167"/>
      <c r="C606" s="167"/>
      <c r="D606" s="147"/>
      <c r="E606" s="147"/>
      <c r="F606" s="147"/>
      <c r="G606" s="147"/>
      <c r="H606" s="147"/>
      <c r="I606" s="147"/>
      <c r="J606" s="147"/>
      <c r="K606" s="3"/>
      <c r="L606" s="3"/>
      <c r="M606" s="3"/>
      <c r="N606" s="3"/>
      <c r="O606" s="3"/>
      <c r="P606" s="3"/>
      <c r="Q606" s="3"/>
      <c r="R606" s="3"/>
      <c r="S606" s="3"/>
      <c r="T606" s="3"/>
      <c r="U606" s="3"/>
      <c r="V606" s="3"/>
      <c r="W606" s="3"/>
      <c r="X606" s="3"/>
      <c r="Y606" s="3"/>
      <c r="Z606" s="3"/>
    </row>
    <row r="607" spans="1:26" ht="22.5" customHeight="1" x14ac:dyDescent="0.85">
      <c r="A607" s="166"/>
      <c r="B607" s="167"/>
      <c r="C607" s="167"/>
      <c r="D607" s="147"/>
      <c r="E607" s="147"/>
      <c r="F607" s="147"/>
      <c r="G607" s="147"/>
      <c r="H607" s="147"/>
      <c r="I607" s="147"/>
      <c r="J607" s="147"/>
      <c r="K607" s="3"/>
      <c r="L607" s="3"/>
      <c r="M607" s="3"/>
      <c r="N607" s="3"/>
      <c r="O607" s="3"/>
      <c r="P607" s="3"/>
      <c r="Q607" s="3"/>
      <c r="R607" s="3"/>
      <c r="S607" s="3"/>
      <c r="T607" s="3"/>
      <c r="U607" s="3"/>
      <c r="V607" s="3"/>
      <c r="W607" s="3"/>
      <c r="X607" s="3"/>
      <c r="Y607" s="3"/>
      <c r="Z607" s="3"/>
    </row>
    <row r="608" spans="1:26" ht="22.5" customHeight="1" x14ac:dyDescent="0.85">
      <c r="A608" s="166"/>
      <c r="B608" s="167"/>
      <c r="C608" s="167"/>
      <c r="D608" s="147"/>
      <c r="E608" s="147"/>
      <c r="F608" s="147"/>
      <c r="G608" s="147"/>
      <c r="H608" s="147"/>
      <c r="I608" s="147"/>
      <c r="J608" s="147"/>
      <c r="K608" s="3"/>
      <c r="L608" s="3"/>
      <c r="M608" s="3"/>
      <c r="N608" s="3"/>
      <c r="O608" s="3"/>
      <c r="P608" s="3"/>
      <c r="Q608" s="3"/>
      <c r="R608" s="3"/>
      <c r="S608" s="3"/>
      <c r="T608" s="3"/>
      <c r="U608" s="3"/>
      <c r="V608" s="3"/>
      <c r="W608" s="3"/>
      <c r="X608" s="3"/>
      <c r="Y608" s="3"/>
      <c r="Z608" s="3"/>
    </row>
    <row r="609" spans="1:26" ht="22.5" customHeight="1" x14ac:dyDescent="0.85">
      <c r="A609" s="166"/>
      <c r="B609" s="167"/>
      <c r="C609" s="167"/>
      <c r="D609" s="147"/>
      <c r="E609" s="147"/>
      <c r="F609" s="147"/>
      <c r="G609" s="147"/>
      <c r="H609" s="147"/>
      <c r="I609" s="147"/>
      <c r="J609" s="147"/>
      <c r="K609" s="3"/>
      <c r="L609" s="3"/>
      <c r="M609" s="3"/>
      <c r="N609" s="3"/>
      <c r="O609" s="3"/>
      <c r="P609" s="3"/>
      <c r="Q609" s="3"/>
      <c r="R609" s="3"/>
      <c r="S609" s="3"/>
      <c r="T609" s="3"/>
      <c r="U609" s="3"/>
      <c r="V609" s="3"/>
      <c r="W609" s="3"/>
      <c r="X609" s="3"/>
      <c r="Y609" s="3"/>
      <c r="Z609" s="3"/>
    </row>
    <row r="610" spans="1:26" ht="22.5" customHeight="1" x14ac:dyDescent="0.85">
      <c r="A610" s="166"/>
      <c r="B610" s="167"/>
      <c r="C610" s="167"/>
      <c r="D610" s="147"/>
      <c r="E610" s="147"/>
      <c r="F610" s="147"/>
      <c r="G610" s="147"/>
      <c r="H610" s="147"/>
      <c r="I610" s="147"/>
      <c r="J610" s="147"/>
      <c r="K610" s="3"/>
      <c r="L610" s="3"/>
      <c r="M610" s="3"/>
      <c r="N610" s="3"/>
      <c r="O610" s="3"/>
      <c r="P610" s="3"/>
      <c r="Q610" s="3"/>
      <c r="R610" s="3"/>
      <c r="S610" s="3"/>
      <c r="T610" s="3"/>
      <c r="U610" s="3"/>
      <c r="V610" s="3"/>
      <c r="W610" s="3"/>
      <c r="X610" s="3"/>
      <c r="Y610" s="3"/>
      <c r="Z610" s="3"/>
    </row>
    <row r="611" spans="1:26" ht="22.5" customHeight="1" x14ac:dyDescent="0.85">
      <c r="A611" s="166"/>
      <c r="B611" s="167"/>
      <c r="C611" s="167"/>
      <c r="D611" s="147"/>
      <c r="E611" s="147"/>
      <c r="F611" s="147"/>
      <c r="G611" s="147"/>
      <c r="H611" s="147"/>
      <c r="I611" s="147"/>
      <c r="J611" s="147"/>
      <c r="K611" s="3"/>
      <c r="L611" s="3"/>
      <c r="M611" s="3"/>
      <c r="N611" s="3"/>
      <c r="O611" s="3"/>
      <c r="P611" s="3"/>
      <c r="Q611" s="3"/>
      <c r="R611" s="3"/>
      <c r="S611" s="3"/>
      <c r="T611" s="3"/>
      <c r="U611" s="3"/>
      <c r="V611" s="3"/>
      <c r="W611" s="3"/>
      <c r="X611" s="3"/>
      <c r="Y611" s="3"/>
      <c r="Z611" s="3"/>
    </row>
    <row r="612" spans="1:26" ht="22.5" customHeight="1" x14ac:dyDescent="0.85">
      <c r="A612" s="166"/>
      <c r="B612" s="167"/>
      <c r="C612" s="167"/>
      <c r="D612" s="147"/>
      <c r="E612" s="147"/>
      <c r="F612" s="147"/>
      <c r="G612" s="147"/>
      <c r="H612" s="147"/>
      <c r="I612" s="147"/>
      <c r="J612" s="147"/>
      <c r="K612" s="3"/>
      <c r="L612" s="3"/>
      <c r="M612" s="3"/>
      <c r="N612" s="3"/>
      <c r="O612" s="3"/>
      <c r="P612" s="3"/>
      <c r="Q612" s="3"/>
      <c r="R612" s="3"/>
      <c r="S612" s="3"/>
      <c r="T612" s="3"/>
      <c r="U612" s="3"/>
      <c r="V612" s="3"/>
      <c r="W612" s="3"/>
      <c r="X612" s="3"/>
      <c r="Y612" s="3"/>
      <c r="Z612" s="3"/>
    </row>
    <row r="613" spans="1:26" ht="22.5" customHeight="1" x14ac:dyDescent="0.85">
      <c r="A613" s="166"/>
      <c r="B613" s="167"/>
      <c r="C613" s="167"/>
      <c r="D613" s="147"/>
      <c r="E613" s="147"/>
      <c r="F613" s="147"/>
      <c r="G613" s="147"/>
      <c r="H613" s="147"/>
      <c r="I613" s="147"/>
      <c r="J613" s="147"/>
      <c r="K613" s="3"/>
      <c r="L613" s="3"/>
      <c r="M613" s="3"/>
      <c r="N613" s="3"/>
      <c r="O613" s="3"/>
      <c r="P613" s="3"/>
      <c r="Q613" s="3"/>
      <c r="R613" s="3"/>
      <c r="S613" s="3"/>
      <c r="T613" s="3"/>
      <c r="U613" s="3"/>
      <c r="V613" s="3"/>
      <c r="W613" s="3"/>
      <c r="X613" s="3"/>
      <c r="Y613" s="3"/>
      <c r="Z613" s="3"/>
    </row>
    <row r="614" spans="1:26" ht="22.5" customHeight="1" x14ac:dyDescent="0.85">
      <c r="A614" s="166"/>
      <c r="B614" s="167"/>
      <c r="C614" s="167"/>
      <c r="D614" s="147"/>
      <c r="E614" s="147"/>
      <c r="F614" s="147"/>
      <c r="G614" s="147"/>
      <c r="H614" s="147"/>
      <c r="I614" s="147"/>
      <c r="J614" s="147"/>
      <c r="K614" s="3"/>
      <c r="L614" s="3"/>
      <c r="M614" s="3"/>
      <c r="N614" s="3"/>
      <c r="O614" s="3"/>
      <c r="P614" s="3"/>
      <c r="Q614" s="3"/>
      <c r="R614" s="3"/>
      <c r="S614" s="3"/>
      <c r="T614" s="3"/>
      <c r="U614" s="3"/>
      <c r="V614" s="3"/>
      <c r="W614" s="3"/>
      <c r="X614" s="3"/>
      <c r="Y614" s="3"/>
      <c r="Z614" s="3"/>
    </row>
    <row r="615" spans="1:26" ht="22.5" customHeight="1" x14ac:dyDescent="0.85">
      <c r="A615" s="166"/>
      <c r="B615" s="167"/>
      <c r="C615" s="167"/>
      <c r="D615" s="147"/>
      <c r="E615" s="147"/>
      <c r="F615" s="147"/>
      <c r="G615" s="147"/>
      <c r="H615" s="147"/>
      <c r="I615" s="147"/>
      <c r="J615" s="147"/>
      <c r="K615" s="3"/>
      <c r="L615" s="3"/>
      <c r="M615" s="3"/>
      <c r="N615" s="3"/>
      <c r="O615" s="3"/>
      <c r="P615" s="3"/>
      <c r="Q615" s="3"/>
      <c r="R615" s="3"/>
      <c r="S615" s="3"/>
      <c r="T615" s="3"/>
      <c r="U615" s="3"/>
      <c r="V615" s="3"/>
      <c r="W615" s="3"/>
      <c r="X615" s="3"/>
      <c r="Y615" s="3"/>
      <c r="Z615" s="3"/>
    </row>
    <row r="616" spans="1:26" ht="22.5" customHeight="1" x14ac:dyDescent="0.85">
      <c r="A616" s="166"/>
      <c r="B616" s="167"/>
      <c r="C616" s="167"/>
      <c r="D616" s="147"/>
      <c r="E616" s="147"/>
      <c r="F616" s="147"/>
      <c r="G616" s="147"/>
      <c r="H616" s="147"/>
      <c r="I616" s="147"/>
      <c r="J616" s="147"/>
      <c r="K616" s="3"/>
      <c r="L616" s="3"/>
      <c r="M616" s="3"/>
      <c r="N616" s="3"/>
      <c r="O616" s="3"/>
      <c r="P616" s="3"/>
      <c r="Q616" s="3"/>
      <c r="R616" s="3"/>
      <c r="S616" s="3"/>
      <c r="T616" s="3"/>
      <c r="U616" s="3"/>
      <c r="V616" s="3"/>
      <c r="W616" s="3"/>
      <c r="X616" s="3"/>
      <c r="Y616" s="3"/>
      <c r="Z616" s="3"/>
    </row>
    <row r="617" spans="1:26" ht="22.5" customHeight="1" x14ac:dyDescent="0.85">
      <c r="A617" s="166"/>
      <c r="B617" s="167"/>
      <c r="C617" s="167"/>
      <c r="D617" s="147"/>
      <c r="E617" s="147"/>
      <c r="F617" s="147"/>
      <c r="G617" s="147"/>
      <c r="H617" s="147"/>
      <c r="I617" s="147"/>
      <c r="J617" s="147"/>
      <c r="K617" s="3"/>
      <c r="L617" s="3"/>
      <c r="M617" s="3"/>
      <c r="N617" s="3"/>
      <c r="O617" s="3"/>
      <c r="P617" s="3"/>
      <c r="Q617" s="3"/>
      <c r="R617" s="3"/>
      <c r="S617" s="3"/>
      <c r="T617" s="3"/>
      <c r="U617" s="3"/>
      <c r="V617" s="3"/>
      <c r="W617" s="3"/>
      <c r="X617" s="3"/>
      <c r="Y617" s="3"/>
      <c r="Z617" s="3"/>
    </row>
    <row r="618" spans="1:26" ht="22.5" customHeight="1" x14ac:dyDescent="0.85">
      <c r="A618" s="166"/>
      <c r="B618" s="167"/>
      <c r="C618" s="167"/>
      <c r="D618" s="147"/>
      <c r="E618" s="147"/>
      <c r="F618" s="147"/>
      <c r="G618" s="147"/>
      <c r="H618" s="147"/>
      <c r="I618" s="147"/>
      <c r="J618" s="147"/>
      <c r="K618" s="3"/>
      <c r="L618" s="3"/>
      <c r="M618" s="3"/>
      <c r="N618" s="3"/>
      <c r="O618" s="3"/>
      <c r="P618" s="3"/>
      <c r="Q618" s="3"/>
      <c r="R618" s="3"/>
      <c r="S618" s="3"/>
      <c r="T618" s="3"/>
      <c r="U618" s="3"/>
      <c r="V618" s="3"/>
      <c r="W618" s="3"/>
      <c r="X618" s="3"/>
      <c r="Y618" s="3"/>
      <c r="Z618" s="3"/>
    </row>
    <row r="619" spans="1:26" ht="22.5" customHeight="1" x14ac:dyDescent="0.85">
      <c r="A619" s="166"/>
      <c r="B619" s="167"/>
      <c r="C619" s="167"/>
      <c r="D619" s="147"/>
      <c r="E619" s="147"/>
      <c r="F619" s="147"/>
      <c r="G619" s="147"/>
      <c r="H619" s="147"/>
      <c r="I619" s="147"/>
      <c r="J619" s="147"/>
      <c r="K619" s="3"/>
      <c r="L619" s="3"/>
      <c r="M619" s="3"/>
      <c r="N619" s="3"/>
      <c r="O619" s="3"/>
      <c r="P619" s="3"/>
      <c r="Q619" s="3"/>
      <c r="R619" s="3"/>
      <c r="S619" s="3"/>
      <c r="T619" s="3"/>
      <c r="U619" s="3"/>
      <c r="V619" s="3"/>
      <c r="W619" s="3"/>
      <c r="X619" s="3"/>
      <c r="Y619" s="3"/>
      <c r="Z619" s="3"/>
    </row>
    <row r="620" spans="1:26" ht="22.5" customHeight="1" x14ac:dyDescent="0.85">
      <c r="A620" s="166"/>
      <c r="B620" s="167"/>
      <c r="C620" s="167"/>
      <c r="D620" s="147"/>
      <c r="E620" s="147"/>
      <c r="F620" s="147"/>
      <c r="G620" s="147"/>
      <c r="H620" s="147"/>
      <c r="I620" s="147"/>
      <c r="J620" s="147"/>
      <c r="K620" s="3"/>
      <c r="L620" s="3"/>
      <c r="M620" s="3"/>
      <c r="N620" s="3"/>
      <c r="O620" s="3"/>
      <c r="P620" s="3"/>
      <c r="Q620" s="3"/>
      <c r="R620" s="3"/>
      <c r="S620" s="3"/>
      <c r="T620" s="3"/>
      <c r="U620" s="3"/>
      <c r="V620" s="3"/>
      <c r="W620" s="3"/>
      <c r="X620" s="3"/>
      <c r="Y620" s="3"/>
      <c r="Z620" s="3"/>
    </row>
    <row r="621" spans="1:26" ht="22.5" customHeight="1" x14ac:dyDescent="0.85">
      <c r="A621" s="166"/>
      <c r="B621" s="167"/>
      <c r="C621" s="167"/>
      <c r="D621" s="147"/>
      <c r="E621" s="147"/>
      <c r="F621" s="147"/>
      <c r="G621" s="147"/>
      <c r="H621" s="147"/>
      <c r="I621" s="147"/>
      <c r="J621" s="147"/>
      <c r="K621" s="3"/>
      <c r="L621" s="3"/>
      <c r="M621" s="3"/>
      <c r="N621" s="3"/>
      <c r="O621" s="3"/>
      <c r="P621" s="3"/>
      <c r="Q621" s="3"/>
      <c r="R621" s="3"/>
      <c r="S621" s="3"/>
      <c r="T621" s="3"/>
      <c r="U621" s="3"/>
      <c r="V621" s="3"/>
      <c r="W621" s="3"/>
      <c r="X621" s="3"/>
      <c r="Y621" s="3"/>
      <c r="Z621" s="3"/>
    </row>
    <row r="622" spans="1:26" ht="22.5" customHeight="1" x14ac:dyDescent="0.85">
      <c r="A622" s="166"/>
      <c r="B622" s="167"/>
      <c r="C622" s="167"/>
      <c r="D622" s="147"/>
      <c r="E622" s="147"/>
      <c r="F622" s="147"/>
      <c r="G622" s="147"/>
      <c r="H622" s="147"/>
      <c r="I622" s="147"/>
      <c r="J622" s="147"/>
      <c r="K622" s="3"/>
      <c r="L622" s="3"/>
      <c r="M622" s="3"/>
      <c r="N622" s="3"/>
      <c r="O622" s="3"/>
      <c r="P622" s="3"/>
      <c r="Q622" s="3"/>
      <c r="R622" s="3"/>
      <c r="S622" s="3"/>
      <c r="T622" s="3"/>
      <c r="U622" s="3"/>
      <c r="V622" s="3"/>
      <c r="W622" s="3"/>
      <c r="X622" s="3"/>
      <c r="Y622" s="3"/>
      <c r="Z622" s="3"/>
    </row>
    <row r="623" spans="1:26" ht="22.5" customHeight="1" x14ac:dyDescent="0.85">
      <c r="A623" s="166"/>
      <c r="B623" s="167"/>
      <c r="C623" s="167"/>
      <c r="D623" s="147"/>
      <c r="E623" s="147"/>
      <c r="F623" s="147"/>
      <c r="G623" s="147"/>
      <c r="H623" s="147"/>
      <c r="I623" s="147"/>
      <c r="J623" s="147"/>
      <c r="K623" s="3"/>
      <c r="L623" s="3"/>
      <c r="M623" s="3"/>
      <c r="N623" s="3"/>
      <c r="O623" s="3"/>
      <c r="P623" s="3"/>
      <c r="Q623" s="3"/>
      <c r="R623" s="3"/>
      <c r="S623" s="3"/>
      <c r="T623" s="3"/>
      <c r="U623" s="3"/>
      <c r="V623" s="3"/>
      <c r="W623" s="3"/>
      <c r="X623" s="3"/>
      <c r="Y623" s="3"/>
      <c r="Z623" s="3"/>
    </row>
    <row r="624" spans="1:26" ht="22.5" customHeight="1" x14ac:dyDescent="0.85">
      <c r="A624" s="166"/>
      <c r="B624" s="167"/>
      <c r="C624" s="167"/>
      <c r="D624" s="147"/>
      <c r="E624" s="147"/>
      <c r="F624" s="147"/>
      <c r="G624" s="147"/>
      <c r="H624" s="147"/>
      <c r="I624" s="147"/>
      <c r="J624" s="147"/>
      <c r="K624" s="3"/>
      <c r="L624" s="3"/>
      <c r="M624" s="3"/>
      <c r="N624" s="3"/>
      <c r="O624" s="3"/>
      <c r="P624" s="3"/>
      <c r="Q624" s="3"/>
      <c r="R624" s="3"/>
      <c r="S624" s="3"/>
      <c r="T624" s="3"/>
      <c r="U624" s="3"/>
      <c r="V624" s="3"/>
      <c r="W624" s="3"/>
      <c r="X624" s="3"/>
      <c r="Y624" s="3"/>
      <c r="Z624" s="3"/>
    </row>
    <row r="625" spans="1:26" ht="22.5" customHeight="1" x14ac:dyDescent="0.85">
      <c r="A625" s="166"/>
      <c r="B625" s="167"/>
      <c r="C625" s="167"/>
      <c r="D625" s="147"/>
      <c r="E625" s="147"/>
      <c r="F625" s="147"/>
      <c r="G625" s="147"/>
      <c r="H625" s="147"/>
      <c r="I625" s="147"/>
      <c r="J625" s="147"/>
      <c r="K625" s="3"/>
      <c r="L625" s="3"/>
      <c r="M625" s="3"/>
      <c r="N625" s="3"/>
      <c r="O625" s="3"/>
      <c r="P625" s="3"/>
      <c r="Q625" s="3"/>
      <c r="R625" s="3"/>
      <c r="S625" s="3"/>
      <c r="T625" s="3"/>
      <c r="U625" s="3"/>
      <c r="V625" s="3"/>
      <c r="W625" s="3"/>
      <c r="X625" s="3"/>
      <c r="Y625" s="3"/>
      <c r="Z625" s="3"/>
    </row>
    <row r="626" spans="1:26" ht="22.5" customHeight="1" x14ac:dyDescent="0.85">
      <c r="A626" s="166"/>
      <c r="B626" s="167"/>
      <c r="C626" s="167"/>
      <c r="D626" s="147"/>
      <c r="E626" s="147"/>
      <c r="F626" s="147"/>
      <c r="G626" s="147"/>
      <c r="H626" s="147"/>
      <c r="I626" s="147"/>
      <c r="J626" s="147"/>
      <c r="K626" s="3"/>
      <c r="L626" s="3"/>
      <c r="M626" s="3"/>
      <c r="N626" s="3"/>
      <c r="O626" s="3"/>
      <c r="P626" s="3"/>
      <c r="Q626" s="3"/>
      <c r="R626" s="3"/>
      <c r="S626" s="3"/>
      <c r="T626" s="3"/>
      <c r="U626" s="3"/>
      <c r="V626" s="3"/>
      <c r="W626" s="3"/>
      <c r="X626" s="3"/>
      <c r="Y626" s="3"/>
      <c r="Z626" s="3"/>
    </row>
    <row r="627" spans="1:26" ht="22.5" customHeight="1" x14ac:dyDescent="0.85">
      <c r="A627" s="166"/>
      <c r="B627" s="167"/>
      <c r="C627" s="167"/>
      <c r="D627" s="147"/>
      <c r="E627" s="147"/>
      <c r="F627" s="147"/>
      <c r="G627" s="147"/>
      <c r="H627" s="147"/>
      <c r="I627" s="147"/>
      <c r="J627" s="147"/>
      <c r="K627" s="3"/>
      <c r="L627" s="3"/>
      <c r="M627" s="3"/>
      <c r="N627" s="3"/>
      <c r="O627" s="3"/>
      <c r="P627" s="3"/>
      <c r="Q627" s="3"/>
      <c r="R627" s="3"/>
      <c r="S627" s="3"/>
      <c r="T627" s="3"/>
      <c r="U627" s="3"/>
      <c r="V627" s="3"/>
      <c r="W627" s="3"/>
      <c r="X627" s="3"/>
      <c r="Y627" s="3"/>
      <c r="Z627" s="3"/>
    </row>
    <row r="628" spans="1:26" ht="22.5" customHeight="1" x14ac:dyDescent="0.85">
      <c r="A628" s="166"/>
      <c r="B628" s="167"/>
      <c r="C628" s="167"/>
      <c r="D628" s="147"/>
      <c r="E628" s="147"/>
      <c r="F628" s="147"/>
      <c r="G628" s="147"/>
      <c r="H628" s="147"/>
      <c r="I628" s="147"/>
      <c r="J628" s="147"/>
      <c r="K628" s="3"/>
      <c r="L628" s="3"/>
      <c r="M628" s="3"/>
      <c r="N628" s="3"/>
      <c r="O628" s="3"/>
      <c r="P628" s="3"/>
      <c r="Q628" s="3"/>
      <c r="R628" s="3"/>
      <c r="S628" s="3"/>
      <c r="T628" s="3"/>
      <c r="U628" s="3"/>
      <c r="V628" s="3"/>
      <c r="W628" s="3"/>
      <c r="X628" s="3"/>
      <c r="Y628" s="3"/>
      <c r="Z628" s="3"/>
    </row>
    <row r="629" spans="1:26" ht="22.5" customHeight="1" x14ac:dyDescent="0.85">
      <c r="A629" s="166"/>
      <c r="B629" s="167"/>
      <c r="C629" s="167"/>
      <c r="D629" s="147"/>
      <c r="E629" s="147"/>
      <c r="F629" s="147"/>
      <c r="G629" s="147"/>
      <c r="H629" s="147"/>
      <c r="I629" s="147"/>
      <c r="J629" s="147"/>
      <c r="K629" s="3"/>
      <c r="L629" s="3"/>
      <c r="M629" s="3"/>
      <c r="N629" s="3"/>
      <c r="O629" s="3"/>
      <c r="P629" s="3"/>
      <c r="Q629" s="3"/>
      <c r="R629" s="3"/>
      <c r="S629" s="3"/>
      <c r="T629" s="3"/>
      <c r="U629" s="3"/>
      <c r="V629" s="3"/>
      <c r="W629" s="3"/>
      <c r="X629" s="3"/>
      <c r="Y629" s="3"/>
      <c r="Z629" s="3"/>
    </row>
    <row r="630" spans="1:26" ht="22.5" customHeight="1" x14ac:dyDescent="0.85">
      <c r="A630" s="166"/>
      <c r="B630" s="167"/>
      <c r="C630" s="167"/>
      <c r="D630" s="147"/>
      <c r="E630" s="147"/>
      <c r="F630" s="147"/>
      <c r="G630" s="147"/>
      <c r="H630" s="147"/>
      <c r="I630" s="147"/>
      <c r="J630" s="147"/>
      <c r="K630" s="3"/>
      <c r="L630" s="3"/>
      <c r="M630" s="3"/>
      <c r="N630" s="3"/>
      <c r="O630" s="3"/>
      <c r="P630" s="3"/>
      <c r="Q630" s="3"/>
      <c r="R630" s="3"/>
      <c r="S630" s="3"/>
      <c r="T630" s="3"/>
      <c r="U630" s="3"/>
      <c r="V630" s="3"/>
      <c r="W630" s="3"/>
      <c r="X630" s="3"/>
      <c r="Y630" s="3"/>
      <c r="Z630" s="3"/>
    </row>
    <row r="631" spans="1:26" ht="22.5" customHeight="1" x14ac:dyDescent="0.85">
      <c r="A631" s="166"/>
      <c r="B631" s="167"/>
      <c r="C631" s="167"/>
      <c r="D631" s="147"/>
      <c r="E631" s="147"/>
      <c r="F631" s="147"/>
      <c r="G631" s="147"/>
      <c r="H631" s="147"/>
      <c r="I631" s="147"/>
      <c r="J631" s="147"/>
      <c r="K631" s="3"/>
      <c r="L631" s="3"/>
      <c r="M631" s="3"/>
      <c r="N631" s="3"/>
      <c r="O631" s="3"/>
      <c r="P631" s="3"/>
      <c r="Q631" s="3"/>
      <c r="R631" s="3"/>
      <c r="S631" s="3"/>
      <c r="T631" s="3"/>
      <c r="U631" s="3"/>
      <c r="V631" s="3"/>
      <c r="W631" s="3"/>
      <c r="X631" s="3"/>
      <c r="Y631" s="3"/>
      <c r="Z631" s="3"/>
    </row>
    <row r="632" spans="1:26" ht="22.5" customHeight="1" x14ac:dyDescent="0.85">
      <c r="A632" s="166"/>
      <c r="B632" s="167"/>
      <c r="C632" s="167"/>
      <c r="D632" s="147"/>
      <c r="E632" s="147"/>
      <c r="F632" s="147"/>
      <c r="G632" s="147"/>
      <c r="H632" s="147"/>
      <c r="I632" s="147"/>
      <c r="J632" s="147"/>
      <c r="K632" s="3"/>
      <c r="L632" s="3"/>
      <c r="M632" s="3"/>
      <c r="N632" s="3"/>
      <c r="O632" s="3"/>
      <c r="P632" s="3"/>
      <c r="Q632" s="3"/>
      <c r="R632" s="3"/>
      <c r="S632" s="3"/>
      <c r="T632" s="3"/>
      <c r="U632" s="3"/>
      <c r="V632" s="3"/>
      <c r="W632" s="3"/>
      <c r="X632" s="3"/>
      <c r="Y632" s="3"/>
      <c r="Z632" s="3"/>
    </row>
    <row r="633" spans="1:26" ht="22.5" customHeight="1" x14ac:dyDescent="0.85">
      <c r="A633" s="166"/>
      <c r="B633" s="167"/>
      <c r="C633" s="167"/>
      <c r="D633" s="147"/>
      <c r="E633" s="147"/>
      <c r="F633" s="147"/>
      <c r="G633" s="147"/>
      <c r="H633" s="147"/>
      <c r="I633" s="147"/>
      <c r="J633" s="147"/>
      <c r="K633" s="3"/>
      <c r="L633" s="3"/>
      <c r="M633" s="3"/>
      <c r="N633" s="3"/>
      <c r="O633" s="3"/>
      <c r="P633" s="3"/>
      <c r="Q633" s="3"/>
      <c r="R633" s="3"/>
      <c r="S633" s="3"/>
      <c r="T633" s="3"/>
      <c r="U633" s="3"/>
      <c r="V633" s="3"/>
      <c r="W633" s="3"/>
      <c r="X633" s="3"/>
      <c r="Y633" s="3"/>
      <c r="Z633" s="3"/>
    </row>
    <row r="634" spans="1:26" ht="22.5" customHeight="1" x14ac:dyDescent="0.85">
      <c r="A634" s="166"/>
      <c r="B634" s="167"/>
      <c r="C634" s="167"/>
      <c r="D634" s="147"/>
      <c r="E634" s="147"/>
      <c r="F634" s="147"/>
      <c r="G634" s="147"/>
      <c r="H634" s="147"/>
      <c r="I634" s="147"/>
      <c r="J634" s="147"/>
      <c r="K634" s="3"/>
      <c r="L634" s="3"/>
      <c r="M634" s="3"/>
      <c r="N634" s="3"/>
      <c r="O634" s="3"/>
      <c r="P634" s="3"/>
      <c r="Q634" s="3"/>
      <c r="R634" s="3"/>
      <c r="S634" s="3"/>
      <c r="T634" s="3"/>
      <c r="U634" s="3"/>
      <c r="V634" s="3"/>
      <c r="W634" s="3"/>
      <c r="X634" s="3"/>
      <c r="Y634" s="3"/>
      <c r="Z634" s="3"/>
    </row>
    <row r="635" spans="1:26" ht="22.5" customHeight="1" x14ac:dyDescent="0.85">
      <c r="A635" s="166"/>
      <c r="B635" s="167"/>
      <c r="C635" s="167"/>
      <c r="D635" s="147"/>
      <c r="E635" s="147"/>
      <c r="F635" s="147"/>
      <c r="G635" s="147"/>
      <c r="H635" s="147"/>
      <c r="I635" s="147"/>
      <c r="J635" s="147"/>
      <c r="K635" s="3"/>
      <c r="L635" s="3"/>
      <c r="M635" s="3"/>
      <c r="N635" s="3"/>
      <c r="O635" s="3"/>
      <c r="P635" s="3"/>
      <c r="Q635" s="3"/>
      <c r="R635" s="3"/>
      <c r="S635" s="3"/>
      <c r="T635" s="3"/>
      <c r="U635" s="3"/>
      <c r="V635" s="3"/>
      <c r="W635" s="3"/>
      <c r="X635" s="3"/>
      <c r="Y635" s="3"/>
      <c r="Z635" s="3"/>
    </row>
    <row r="636" spans="1:26" ht="22.5" customHeight="1" x14ac:dyDescent="0.85">
      <c r="A636" s="166"/>
      <c r="B636" s="167"/>
      <c r="C636" s="167"/>
      <c r="D636" s="147"/>
      <c r="E636" s="147"/>
      <c r="F636" s="147"/>
      <c r="G636" s="147"/>
      <c r="H636" s="147"/>
      <c r="I636" s="147"/>
      <c r="J636" s="147"/>
      <c r="K636" s="3"/>
      <c r="L636" s="3"/>
      <c r="M636" s="3"/>
      <c r="N636" s="3"/>
      <c r="O636" s="3"/>
      <c r="P636" s="3"/>
      <c r="Q636" s="3"/>
      <c r="R636" s="3"/>
      <c r="S636" s="3"/>
      <c r="T636" s="3"/>
      <c r="U636" s="3"/>
      <c r="V636" s="3"/>
      <c r="W636" s="3"/>
      <c r="X636" s="3"/>
      <c r="Y636" s="3"/>
      <c r="Z636" s="3"/>
    </row>
    <row r="637" spans="1:26" ht="22.5" customHeight="1" x14ac:dyDescent="0.85">
      <c r="A637" s="166"/>
      <c r="B637" s="167"/>
      <c r="C637" s="167"/>
      <c r="D637" s="147"/>
      <c r="E637" s="147"/>
      <c r="F637" s="147"/>
      <c r="G637" s="147"/>
      <c r="H637" s="147"/>
      <c r="I637" s="147"/>
      <c r="J637" s="147"/>
      <c r="K637" s="3"/>
      <c r="L637" s="3"/>
      <c r="M637" s="3"/>
      <c r="N637" s="3"/>
      <c r="O637" s="3"/>
      <c r="P637" s="3"/>
      <c r="Q637" s="3"/>
      <c r="R637" s="3"/>
      <c r="S637" s="3"/>
      <c r="T637" s="3"/>
      <c r="U637" s="3"/>
      <c r="V637" s="3"/>
      <c r="W637" s="3"/>
      <c r="X637" s="3"/>
      <c r="Y637" s="3"/>
      <c r="Z637" s="3"/>
    </row>
    <row r="638" spans="1:26" ht="22.5" customHeight="1" x14ac:dyDescent="0.85">
      <c r="A638" s="166"/>
      <c r="B638" s="167"/>
      <c r="C638" s="167"/>
      <c r="D638" s="147"/>
      <c r="E638" s="147"/>
      <c r="F638" s="147"/>
      <c r="G638" s="147"/>
      <c r="H638" s="147"/>
      <c r="I638" s="147"/>
      <c r="J638" s="147"/>
      <c r="K638" s="3"/>
      <c r="L638" s="3"/>
      <c r="M638" s="3"/>
      <c r="N638" s="3"/>
      <c r="O638" s="3"/>
      <c r="P638" s="3"/>
      <c r="Q638" s="3"/>
      <c r="R638" s="3"/>
      <c r="S638" s="3"/>
      <c r="T638" s="3"/>
      <c r="U638" s="3"/>
      <c r="V638" s="3"/>
      <c r="W638" s="3"/>
      <c r="X638" s="3"/>
      <c r="Y638" s="3"/>
      <c r="Z638" s="3"/>
    </row>
    <row r="639" spans="1:26" ht="22.5" customHeight="1" x14ac:dyDescent="0.85">
      <c r="A639" s="166"/>
      <c r="B639" s="167"/>
      <c r="C639" s="167"/>
      <c r="D639" s="147"/>
      <c r="E639" s="147"/>
      <c r="F639" s="147"/>
      <c r="G639" s="147"/>
      <c r="H639" s="147"/>
      <c r="I639" s="147"/>
      <c r="J639" s="147"/>
      <c r="K639" s="3"/>
      <c r="L639" s="3"/>
      <c r="M639" s="3"/>
      <c r="N639" s="3"/>
      <c r="O639" s="3"/>
      <c r="P639" s="3"/>
      <c r="Q639" s="3"/>
      <c r="R639" s="3"/>
      <c r="S639" s="3"/>
      <c r="T639" s="3"/>
      <c r="U639" s="3"/>
      <c r="V639" s="3"/>
      <c r="W639" s="3"/>
      <c r="X639" s="3"/>
      <c r="Y639" s="3"/>
      <c r="Z639" s="3"/>
    </row>
    <row r="640" spans="1:26" ht="22.5" customHeight="1" x14ac:dyDescent="0.85">
      <c r="A640" s="166"/>
      <c r="B640" s="167"/>
      <c r="C640" s="167"/>
      <c r="D640" s="147"/>
      <c r="E640" s="147"/>
      <c r="F640" s="147"/>
      <c r="G640" s="147"/>
      <c r="H640" s="147"/>
      <c r="I640" s="147"/>
      <c r="J640" s="147"/>
      <c r="K640" s="3"/>
      <c r="L640" s="3"/>
      <c r="M640" s="3"/>
      <c r="N640" s="3"/>
      <c r="O640" s="3"/>
      <c r="P640" s="3"/>
      <c r="Q640" s="3"/>
      <c r="R640" s="3"/>
      <c r="S640" s="3"/>
      <c r="T640" s="3"/>
      <c r="U640" s="3"/>
      <c r="V640" s="3"/>
      <c r="W640" s="3"/>
      <c r="X640" s="3"/>
      <c r="Y640" s="3"/>
      <c r="Z640" s="3"/>
    </row>
    <row r="641" spans="1:26" ht="22.5" customHeight="1" x14ac:dyDescent="0.85">
      <c r="A641" s="166"/>
      <c r="B641" s="167"/>
      <c r="C641" s="167"/>
      <c r="D641" s="147"/>
      <c r="E641" s="147"/>
      <c r="F641" s="147"/>
      <c r="G641" s="147"/>
      <c r="H641" s="147"/>
      <c r="I641" s="147"/>
      <c r="J641" s="147"/>
      <c r="K641" s="3"/>
      <c r="L641" s="3"/>
      <c r="M641" s="3"/>
      <c r="N641" s="3"/>
      <c r="O641" s="3"/>
      <c r="P641" s="3"/>
      <c r="Q641" s="3"/>
      <c r="R641" s="3"/>
      <c r="S641" s="3"/>
      <c r="T641" s="3"/>
      <c r="U641" s="3"/>
      <c r="V641" s="3"/>
      <c r="W641" s="3"/>
      <c r="X641" s="3"/>
      <c r="Y641" s="3"/>
      <c r="Z641" s="3"/>
    </row>
    <row r="642" spans="1:26" ht="22.5" customHeight="1" x14ac:dyDescent="0.85">
      <c r="A642" s="166"/>
      <c r="B642" s="167"/>
      <c r="C642" s="167"/>
      <c r="D642" s="147"/>
      <c r="E642" s="147"/>
      <c r="F642" s="147"/>
      <c r="G642" s="147"/>
      <c r="H642" s="147"/>
      <c r="I642" s="147"/>
      <c r="J642" s="147"/>
      <c r="K642" s="3"/>
      <c r="L642" s="3"/>
      <c r="M642" s="3"/>
      <c r="N642" s="3"/>
      <c r="O642" s="3"/>
      <c r="P642" s="3"/>
      <c r="Q642" s="3"/>
      <c r="R642" s="3"/>
      <c r="S642" s="3"/>
      <c r="T642" s="3"/>
      <c r="U642" s="3"/>
      <c r="V642" s="3"/>
      <c r="W642" s="3"/>
      <c r="X642" s="3"/>
      <c r="Y642" s="3"/>
      <c r="Z642" s="3"/>
    </row>
    <row r="643" spans="1:26" ht="22.5" customHeight="1" x14ac:dyDescent="0.85">
      <c r="A643" s="166"/>
      <c r="B643" s="167"/>
      <c r="C643" s="167"/>
      <c r="D643" s="147"/>
      <c r="E643" s="147"/>
      <c r="F643" s="147"/>
      <c r="G643" s="147"/>
      <c r="H643" s="147"/>
      <c r="I643" s="147"/>
      <c r="J643" s="147"/>
      <c r="K643" s="3"/>
      <c r="L643" s="3"/>
      <c r="M643" s="3"/>
      <c r="N643" s="3"/>
      <c r="O643" s="3"/>
      <c r="P643" s="3"/>
      <c r="Q643" s="3"/>
      <c r="R643" s="3"/>
      <c r="S643" s="3"/>
      <c r="T643" s="3"/>
      <c r="U643" s="3"/>
      <c r="V643" s="3"/>
      <c r="W643" s="3"/>
      <c r="X643" s="3"/>
      <c r="Y643" s="3"/>
      <c r="Z643" s="3"/>
    </row>
    <row r="644" spans="1:26" ht="22.5" customHeight="1" x14ac:dyDescent="0.85">
      <c r="A644" s="166"/>
      <c r="B644" s="167"/>
      <c r="C644" s="167"/>
      <c r="D644" s="147"/>
      <c r="E644" s="147"/>
      <c r="F644" s="147"/>
      <c r="G644" s="147"/>
      <c r="H644" s="147"/>
      <c r="I644" s="147"/>
      <c r="J644" s="147"/>
      <c r="K644" s="3"/>
      <c r="L644" s="3"/>
      <c r="M644" s="3"/>
      <c r="N644" s="3"/>
      <c r="O644" s="3"/>
      <c r="P644" s="3"/>
      <c r="Q644" s="3"/>
      <c r="R644" s="3"/>
      <c r="S644" s="3"/>
      <c r="T644" s="3"/>
      <c r="U644" s="3"/>
      <c r="V644" s="3"/>
      <c r="W644" s="3"/>
      <c r="X644" s="3"/>
      <c r="Y644" s="3"/>
      <c r="Z644" s="3"/>
    </row>
    <row r="645" spans="1:26" ht="22.5" customHeight="1" x14ac:dyDescent="0.85">
      <c r="A645" s="166"/>
      <c r="B645" s="167"/>
      <c r="C645" s="167"/>
      <c r="D645" s="147"/>
      <c r="E645" s="147"/>
      <c r="F645" s="147"/>
      <c r="G645" s="147"/>
      <c r="H645" s="147"/>
      <c r="I645" s="147"/>
      <c r="J645" s="147"/>
      <c r="K645" s="3"/>
      <c r="L645" s="3"/>
      <c r="M645" s="3"/>
      <c r="N645" s="3"/>
      <c r="O645" s="3"/>
      <c r="P645" s="3"/>
      <c r="Q645" s="3"/>
      <c r="R645" s="3"/>
      <c r="S645" s="3"/>
      <c r="T645" s="3"/>
      <c r="U645" s="3"/>
      <c r="V645" s="3"/>
      <c r="W645" s="3"/>
      <c r="X645" s="3"/>
      <c r="Y645" s="3"/>
      <c r="Z645" s="3"/>
    </row>
    <row r="646" spans="1:26" ht="22.5" customHeight="1" x14ac:dyDescent="0.85">
      <c r="A646" s="166"/>
      <c r="B646" s="167"/>
      <c r="C646" s="167"/>
      <c r="D646" s="147"/>
      <c r="E646" s="147"/>
      <c r="F646" s="147"/>
      <c r="G646" s="147"/>
      <c r="H646" s="147"/>
      <c r="I646" s="147"/>
      <c r="J646" s="147"/>
      <c r="K646" s="3"/>
      <c r="L646" s="3"/>
      <c r="M646" s="3"/>
      <c r="N646" s="3"/>
      <c r="O646" s="3"/>
      <c r="P646" s="3"/>
      <c r="Q646" s="3"/>
      <c r="R646" s="3"/>
      <c r="S646" s="3"/>
      <c r="T646" s="3"/>
      <c r="U646" s="3"/>
      <c r="V646" s="3"/>
      <c r="W646" s="3"/>
      <c r="X646" s="3"/>
      <c r="Y646" s="3"/>
      <c r="Z646" s="3"/>
    </row>
    <row r="647" spans="1:26" ht="22.5" customHeight="1" x14ac:dyDescent="0.85">
      <c r="A647" s="166"/>
      <c r="B647" s="167"/>
      <c r="C647" s="167"/>
      <c r="D647" s="147"/>
      <c r="E647" s="147"/>
      <c r="F647" s="147"/>
      <c r="G647" s="147"/>
      <c r="H647" s="147"/>
      <c r="I647" s="147"/>
      <c r="J647" s="147"/>
      <c r="K647" s="3"/>
      <c r="L647" s="3"/>
      <c r="M647" s="3"/>
      <c r="N647" s="3"/>
      <c r="O647" s="3"/>
      <c r="P647" s="3"/>
      <c r="Q647" s="3"/>
      <c r="R647" s="3"/>
      <c r="S647" s="3"/>
      <c r="T647" s="3"/>
      <c r="U647" s="3"/>
      <c r="V647" s="3"/>
      <c r="W647" s="3"/>
      <c r="X647" s="3"/>
      <c r="Y647" s="3"/>
      <c r="Z647" s="3"/>
    </row>
    <row r="648" spans="1:26" ht="22.5" customHeight="1" x14ac:dyDescent="0.85">
      <c r="A648" s="166"/>
      <c r="B648" s="167"/>
      <c r="C648" s="167"/>
      <c r="D648" s="147"/>
      <c r="E648" s="147"/>
      <c r="F648" s="147"/>
      <c r="G648" s="147"/>
      <c r="H648" s="147"/>
      <c r="I648" s="147"/>
      <c r="J648" s="147"/>
      <c r="K648" s="3"/>
      <c r="L648" s="3"/>
      <c r="M648" s="3"/>
      <c r="N648" s="3"/>
      <c r="O648" s="3"/>
      <c r="P648" s="3"/>
      <c r="Q648" s="3"/>
      <c r="R648" s="3"/>
      <c r="S648" s="3"/>
      <c r="T648" s="3"/>
      <c r="U648" s="3"/>
      <c r="V648" s="3"/>
      <c r="W648" s="3"/>
      <c r="X648" s="3"/>
      <c r="Y648" s="3"/>
      <c r="Z648" s="3"/>
    </row>
    <row r="649" spans="1:26" ht="22.5" customHeight="1" x14ac:dyDescent="0.85">
      <c r="A649" s="166"/>
      <c r="B649" s="167"/>
      <c r="C649" s="167"/>
      <c r="D649" s="147"/>
      <c r="E649" s="147"/>
      <c r="F649" s="147"/>
      <c r="G649" s="147"/>
      <c r="H649" s="147"/>
      <c r="I649" s="147"/>
      <c r="J649" s="147"/>
      <c r="K649" s="3"/>
      <c r="L649" s="3"/>
      <c r="M649" s="3"/>
      <c r="N649" s="3"/>
      <c r="O649" s="3"/>
      <c r="P649" s="3"/>
      <c r="Q649" s="3"/>
      <c r="R649" s="3"/>
      <c r="S649" s="3"/>
      <c r="T649" s="3"/>
      <c r="U649" s="3"/>
      <c r="V649" s="3"/>
      <c r="W649" s="3"/>
      <c r="X649" s="3"/>
      <c r="Y649" s="3"/>
      <c r="Z649" s="3"/>
    </row>
    <row r="650" spans="1:26" ht="22.5" customHeight="1" x14ac:dyDescent="0.85">
      <c r="A650" s="166"/>
      <c r="B650" s="167"/>
      <c r="C650" s="167"/>
      <c r="D650" s="147"/>
      <c r="E650" s="147"/>
      <c r="F650" s="147"/>
      <c r="G650" s="147"/>
      <c r="H650" s="147"/>
      <c r="I650" s="147"/>
      <c r="J650" s="147"/>
      <c r="K650" s="3"/>
      <c r="L650" s="3"/>
      <c r="M650" s="3"/>
      <c r="N650" s="3"/>
      <c r="O650" s="3"/>
      <c r="P650" s="3"/>
      <c r="Q650" s="3"/>
      <c r="R650" s="3"/>
      <c r="S650" s="3"/>
      <c r="T650" s="3"/>
      <c r="U650" s="3"/>
      <c r="V650" s="3"/>
      <c r="W650" s="3"/>
      <c r="X650" s="3"/>
      <c r="Y650" s="3"/>
      <c r="Z650" s="3"/>
    </row>
    <row r="651" spans="1:26" ht="22.5" customHeight="1" x14ac:dyDescent="0.85">
      <c r="A651" s="166"/>
      <c r="B651" s="167"/>
      <c r="C651" s="167"/>
      <c r="D651" s="147"/>
      <c r="E651" s="147"/>
      <c r="F651" s="147"/>
      <c r="G651" s="147"/>
      <c r="H651" s="147"/>
      <c r="I651" s="147"/>
      <c r="J651" s="147"/>
      <c r="K651" s="3"/>
      <c r="L651" s="3"/>
      <c r="M651" s="3"/>
      <c r="N651" s="3"/>
      <c r="O651" s="3"/>
      <c r="P651" s="3"/>
      <c r="Q651" s="3"/>
      <c r="R651" s="3"/>
      <c r="S651" s="3"/>
      <c r="T651" s="3"/>
      <c r="U651" s="3"/>
      <c r="V651" s="3"/>
      <c r="W651" s="3"/>
      <c r="X651" s="3"/>
      <c r="Y651" s="3"/>
      <c r="Z651" s="3"/>
    </row>
    <row r="652" spans="1:26" ht="22.5" customHeight="1" x14ac:dyDescent="0.85">
      <c r="A652" s="166"/>
      <c r="B652" s="167"/>
      <c r="C652" s="167"/>
      <c r="D652" s="147"/>
      <c r="E652" s="147"/>
      <c r="F652" s="147"/>
      <c r="G652" s="147"/>
      <c r="H652" s="147"/>
      <c r="I652" s="147"/>
      <c r="J652" s="147"/>
      <c r="K652" s="3"/>
      <c r="L652" s="3"/>
      <c r="M652" s="3"/>
      <c r="N652" s="3"/>
      <c r="O652" s="3"/>
      <c r="P652" s="3"/>
      <c r="Q652" s="3"/>
      <c r="R652" s="3"/>
      <c r="S652" s="3"/>
      <c r="T652" s="3"/>
      <c r="U652" s="3"/>
      <c r="V652" s="3"/>
      <c r="W652" s="3"/>
      <c r="X652" s="3"/>
      <c r="Y652" s="3"/>
      <c r="Z652" s="3"/>
    </row>
    <row r="653" spans="1:26" ht="22.5" customHeight="1" x14ac:dyDescent="0.85">
      <c r="A653" s="166"/>
      <c r="B653" s="167"/>
      <c r="C653" s="167"/>
      <c r="D653" s="147"/>
      <c r="E653" s="147"/>
      <c r="F653" s="147"/>
      <c r="G653" s="147"/>
      <c r="H653" s="147"/>
      <c r="I653" s="147"/>
      <c r="J653" s="147"/>
      <c r="K653" s="3"/>
      <c r="L653" s="3"/>
      <c r="M653" s="3"/>
      <c r="N653" s="3"/>
      <c r="O653" s="3"/>
      <c r="P653" s="3"/>
      <c r="Q653" s="3"/>
      <c r="R653" s="3"/>
      <c r="S653" s="3"/>
      <c r="T653" s="3"/>
      <c r="U653" s="3"/>
      <c r="V653" s="3"/>
      <c r="W653" s="3"/>
      <c r="X653" s="3"/>
      <c r="Y653" s="3"/>
      <c r="Z653" s="3"/>
    </row>
    <row r="654" spans="1:26" ht="22.5" customHeight="1" x14ac:dyDescent="0.85">
      <c r="A654" s="166"/>
      <c r="B654" s="167"/>
      <c r="C654" s="167"/>
      <c r="D654" s="147"/>
      <c r="E654" s="147"/>
      <c r="F654" s="147"/>
      <c r="G654" s="147"/>
      <c r="H654" s="147"/>
      <c r="I654" s="147"/>
      <c r="J654" s="147"/>
      <c r="K654" s="3"/>
      <c r="L654" s="3"/>
      <c r="M654" s="3"/>
      <c r="N654" s="3"/>
      <c r="O654" s="3"/>
      <c r="P654" s="3"/>
      <c r="Q654" s="3"/>
      <c r="R654" s="3"/>
      <c r="S654" s="3"/>
      <c r="T654" s="3"/>
      <c r="U654" s="3"/>
      <c r="V654" s="3"/>
      <c r="W654" s="3"/>
      <c r="X654" s="3"/>
      <c r="Y654" s="3"/>
      <c r="Z654" s="3"/>
    </row>
    <row r="655" spans="1:26" ht="22.5" customHeight="1" x14ac:dyDescent="0.85">
      <c r="A655" s="166"/>
      <c r="B655" s="167"/>
      <c r="C655" s="167"/>
      <c r="D655" s="147"/>
      <c r="E655" s="147"/>
      <c r="F655" s="147"/>
      <c r="G655" s="147"/>
      <c r="H655" s="147"/>
      <c r="I655" s="147"/>
      <c r="J655" s="147"/>
      <c r="K655" s="3"/>
      <c r="L655" s="3"/>
      <c r="M655" s="3"/>
      <c r="N655" s="3"/>
      <c r="O655" s="3"/>
      <c r="P655" s="3"/>
      <c r="Q655" s="3"/>
      <c r="R655" s="3"/>
      <c r="S655" s="3"/>
      <c r="T655" s="3"/>
      <c r="U655" s="3"/>
      <c r="V655" s="3"/>
      <c r="W655" s="3"/>
      <c r="X655" s="3"/>
      <c r="Y655" s="3"/>
      <c r="Z655" s="3"/>
    </row>
    <row r="656" spans="1:26" ht="22.5" customHeight="1" x14ac:dyDescent="0.85">
      <c r="A656" s="166"/>
      <c r="B656" s="167"/>
      <c r="C656" s="167"/>
      <c r="D656" s="147"/>
      <c r="E656" s="147"/>
      <c r="F656" s="147"/>
      <c r="G656" s="147"/>
      <c r="H656" s="147"/>
      <c r="I656" s="147"/>
      <c r="J656" s="147"/>
      <c r="K656" s="3"/>
      <c r="L656" s="3"/>
      <c r="M656" s="3"/>
      <c r="N656" s="3"/>
      <c r="O656" s="3"/>
      <c r="P656" s="3"/>
      <c r="Q656" s="3"/>
      <c r="R656" s="3"/>
      <c r="S656" s="3"/>
      <c r="T656" s="3"/>
      <c r="U656" s="3"/>
      <c r="V656" s="3"/>
      <c r="W656" s="3"/>
      <c r="X656" s="3"/>
      <c r="Y656" s="3"/>
      <c r="Z656" s="3"/>
    </row>
    <row r="657" spans="1:26" ht="22.5" customHeight="1" x14ac:dyDescent="0.85">
      <c r="A657" s="166"/>
      <c r="B657" s="167"/>
      <c r="C657" s="167"/>
      <c r="D657" s="147"/>
      <c r="E657" s="147"/>
      <c r="F657" s="147"/>
      <c r="G657" s="147"/>
      <c r="H657" s="147"/>
      <c r="I657" s="147"/>
      <c r="J657" s="147"/>
      <c r="K657" s="3"/>
      <c r="L657" s="3"/>
      <c r="M657" s="3"/>
      <c r="N657" s="3"/>
      <c r="O657" s="3"/>
      <c r="P657" s="3"/>
      <c r="Q657" s="3"/>
      <c r="R657" s="3"/>
      <c r="S657" s="3"/>
      <c r="T657" s="3"/>
      <c r="U657" s="3"/>
      <c r="V657" s="3"/>
      <c r="W657" s="3"/>
      <c r="X657" s="3"/>
      <c r="Y657" s="3"/>
      <c r="Z657" s="3"/>
    </row>
    <row r="658" spans="1:26" ht="22.5" customHeight="1" x14ac:dyDescent="0.85">
      <c r="A658" s="166"/>
      <c r="B658" s="167"/>
      <c r="C658" s="167"/>
      <c r="D658" s="147"/>
      <c r="E658" s="147"/>
      <c r="F658" s="147"/>
      <c r="G658" s="147"/>
      <c r="H658" s="147"/>
      <c r="I658" s="147"/>
      <c r="J658" s="147"/>
      <c r="K658" s="3"/>
      <c r="L658" s="3"/>
      <c r="M658" s="3"/>
      <c r="N658" s="3"/>
      <c r="O658" s="3"/>
      <c r="P658" s="3"/>
      <c r="Q658" s="3"/>
      <c r="R658" s="3"/>
      <c r="S658" s="3"/>
      <c r="T658" s="3"/>
      <c r="U658" s="3"/>
      <c r="V658" s="3"/>
      <c r="W658" s="3"/>
      <c r="X658" s="3"/>
      <c r="Y658" s="3"/>
      <c r="Z658" s="3"/>
    </row>
    <row r="659" spans="1:26" ht="22.5" customHeight="1" x14ac:dyDescent="0.85">
      <c r="A659" s="166"/>
      <c r="B659" s="167"/>
      <c r="C659" s="167"/>
      <c r="D659" s="147"/>
      <c r="E659" s="147"/>
      <c r="F659" s="147"/>
      <c r="G659" s="147"/>
      <c r="H659" s="147"/>
      <c r="I659" s="147"/>
      <c r="J659" s="147"/>
      <c r="K659" s="3"/>
      <c r="L659" s="3"/>
      <c r="M659" s="3"/>
      <c r="N659" s="3"/>
      <c r="O659" s="3"/>
      <c r="P659" s="3"/>
      <c r="Q659" s="3"/>
      <c r="R659" s="3"/>
      <c r="S659" s="3"/>
      <c r="T659" s="3"/>
      <c r="U659" s="3"/>
      <c r="V659" s="3"/>
      <c r="W659" s="3"/>
      <c r="X659" s="3"/>
      <c r="Y659" s="3"/>
      <c r="Z659" s="3"/>
    </row>
    <row r="660" spans="1:26" ht="22.5" customHeight="1" x14ac:dyDescent="0.85">
      <c r="A660" s="166"/>
      <c r="B660" s="167"/>
      <c r="C660" s="167"/>
      <c r="D660" s="147"/>
      <c r="E660" s="147"/>
      <c r="F660" s="147"/>
      <c r="G660" s="147"/>
      <c r="H660" s="147"/>
      <c r="I660" s="147"/>
      <c r="J660" s="147"/>
      <c r="K660" s="3"/>
      <c r="L660" s="3"/>
      <c r="M660" s="3"/>
      <c r="N660" s="3"/>
      <c r="O660" s="3"/>
      <c r="P660" s="3"/>
      <c r="Q660" s="3"/>
      <c r="R660" s="3"/>
      <c r="S660" s="3"/>
      <c r="T660" s="3"/>
      <c r="U660" s="3"/>
      <c r="V660" s="3"/>
      <c r="W660" s="3"/>
      <c r="X660" s="3"/>
      <c r="Y660" s="3"/>
      <c r="Z660" s="3"/>
    </row>
    <row r="661" spans="1:26" ht="22.5" customHeight="1" x14ac:dyDescent="0.85">
      <c r="A661" s="166"/>
      <c r="B661" s="167"/>
      <c r="C661" s="167"/>
      <c r="D661" s="147"/>
      <c r="E661" s="147"/>
      <c r="F661" s="147"/>
      <c r="G661" s="147"/>
      <c r="H661" s="147"/>
      <c r="I661" s="147"/>
      <c r="J661" s="147"/>
      <c r="K661" s="3"/>
      <c r="L661" s="3"/>
      <c r="M661" s="3"/>
      <c r="N661" s="3"/>
      <c r="O661" s="3"/>
      <c r="P661" s="3"/>
      <c r="Q661" s="3"/>
      <c r="R661" s="3"/>
      <c r="S661" s="3"/>
      <c r="T661" s="3"/>
      <c r="U661" s="3"/>
      <c r="V661" s="3"/>
      <c r="W661" s="3"/>
      <c r="X661" s="3"/>
      <c r="Y661" s="3"/>
      <c r="Z661" s="3"/>
    </row>
    <row r="662" spans="1:26" ht="22.5" customHeight="1" x14ac:dyDescent="0.85">
      <c r="A662" s="166"/>
      <c r="B662" s="167"/>
      <c r="C662" s="167"/>
      <c r="D662" s="147"/>
      <c r="E662" s="147"/>
      <c r="F662" s="147"/>
      <c r="G662" s="147"/>
      <c r="H662" s="147"/>
      <c r="I662" s="147"/>
      <c r="J662" s="147"/>
      <c r="K662" s="3"/>
      <c r="L662" s="3"/>
      <c r="M662" s="3"/>
      <c r="N662" s="3"/>
      <c r="O662" s="3"/>
      <c r="P662" s="3"/>
      <c r="Q662" s="3"/>
      <c r="R662" s="3"/>
      <c r="S662" s="3"/>
      <c r="T662" s="3"/>
      <c r="U662" s="3"/>
      <c r="V662" s="3"/>
      <c r="W662" s="3"/>
      <c r="X662" s="3"/>
      <c r="Y662" s="3"/>
      <c r="Z662" s="3"/>
    </row>
    <row r="663" spans="1:26" ht="22.5" customHeight="1" x14ac:dyDescent="0.85">
      <c r="A663" s="166"/>
      <c r="B663" s="167"/>
      <c r="C663" s="167"/>
      <c r="D663" s="147"/>
      <c r="E663" s="147"/>
      <c r="F663" s="147"/>
      <c r="G663" s="147"/>
      <c r="H663" s="147"/>
      <c r="I663" s="147"/>
      <c r="J663" s="147"/>
      <c r="K663" s="3"/>
      <c r="L663" s="3"/>
      <c r="M663" s="3"/>
      <c r="N663" s="3"/>
      <c r="O663" s="3"/>
      <c r="P663" s="3"/>
      <c r="Q663" s="3"/>
      <c r="R663" s="3"/>
      <c r="S663" s="3"/>
      <c r="T663" s="3"/>
      <c r="U663" s="3"/>
      <c r="V663" s="3"/>
      <c r="W663" s="3"/>
      <c r="X663" s="3"/>
      <c r="Y663" s="3"/>
      <c r="Z663" s="3"/>
    </row>
    <row r="664" spans="1:26" ht="22.5" customHeight="1" x14ac:dyDescent="0.85">
      <c r="A664" s="166"/>
      <c r="B664" s="167"/>
      <c r="C664" s="167"/>
      <c r="D664" s="147"/>
      <c r="E664" s="147"/>
      <c r="F664" s="147"/>
      <c r="G664" s="147"/>
      <c r="H664" s="147"/>
      <c r="I664" s="147"/>
      <c r="J664" s="147"/>
      <c r="K664" s="3"/>
      <c r="L664" s="3"/>
      <c r="M664" s="3"/>
      <c r="N664" s="3"/>
      <c r="O664" s="3"/>
      <c r="P664" s="3"/>
      <c r="Q664" s="3"/>
      <c r="R664" s="3"/>
      <c r="S664" s="3"/>
      <c r="T664" s="3"/>
      <c r="U664" s="3"/>
      <c r="V664" s="3"/>
      <c r="W664" s="3"/>
      <c r="X664" s="3"/>
      <c r="Y664" s="3"/>
      <c r="Z664" s="3"/>
    </row>
    <row r="665" spans="1:26" ht="22.5" customHeight="1" x14ac:dyDescent="0.85">
      <c r="A665" s="166"/>
      <c r="B665" s="167"/>
      <c r="C665" s="167"/>
      <c r="D665" s="147"/>
      <c r="E665" s="147"/>
      <c r="F665" s="147"/>
      <c r="G665" s="147"/>
      <c r="H665" s="147"/>
      <c r="I665" s="147"/>
      <c r="J665" s="147"/>
      <c r="K665" s="3"/>
      <c r="L665" s="3"/>
      <c r="M665" s="3"/>
      <c r="N665" s="3"/>
      <c r="O665" s="3"/>
      <c r="P665" s="3"/>
      <c r="Q665" s="3"/>
      <c r="R665" s="3"/>
      <c r="S665" s="3"/>
      <c r="T665" s="3"/>
      <c r="U665" s="3"/>
      <c r="V665" s="3"/>
      <c r="W665" s="3"/>
      <c r="X665" s="3"/>
      <c r="Y665" s="3"/>
      <c r="Z665" s="3"/>
    </row>
    <row r="666" spans="1:26" ht="22.5" customHeight="1" x14ac:dyDescent="0.85">
      <c r="A666" s="166"/>
      <c r="B666" s="167"/>
      <c r="C666" s="167"/>
      <c r="D666" s="147"/>
      <c r="E666" s="147"/>
      <c r="F666" s="147"/>
      <c r="G666" s="147"/>
      <c r="H666" s="147"/>
      <c r="I666" s="147"/>
      <c r="J666" s="147"/>
      <c r="K666" s="3"/>
      <c r="L666" s="3"/>
      <c r="M666" s="3"/>
      <c r="N666" s="3"/>
      <c r="O666" s="3"/>
      <c r="P666" s="3"/>
      <c r="Q666" s="3"/>
      <c r="R666" s="3"/>
      <c r="S666" s="3"/>
      <c r="T666" s="3"/>
      <c r="U666" s="3"/>
      <c r="V666" s="3"/>
      <c r="W666" s="3"/>
      <c r="X666" s="3"/>
      <c r="Y666" s="3"/>
      <c r="Z666" s="3"/>
    </row>
    <row r="667" spans="1:26" ht="22.5" customHeight="1" x14ac:dyDescent="0.85">
      <c r="A667" s="166"/>
      <c r="B667" s="167"/>
      <c r="C667" s="167"/>
      <c r="D667" s="147"/>
      <c r="E667" s="147"/>
      <c r="F667" s="147"/>
      <c r="G667" s="147"/>
      <c r="H667" s="147"/>
      <c r="I667" s="147"/>
      <c r="J667" s="147"/>
      <c r="K667" s="3"/>
      <c r="L667" s="3"/>
      <c r="M667" s="3"/>
      <c r="N667" s="3"/>
      <c r="O667" s="3"/>
      <c r="P667" s="3"/>
      <c r="Q667" s="3"/>
      <c r="R667" s="3"/>
      <c r="S667" s="3"/>
      <c r="T667" s="3"/>
      <c r="U667" s="3"/>
      <c r="V667" s="3"/>
      <c r="W667" s="3"/>
      <c r="X667" s="3"/>
      <c r="Y667" s="3"/>
      <c r="Z667" s="3"/>
    </row>
    <row r="668" spans="1:26" ht="22.5" customHeight="1" x14ac:dyDescent="0.85">
      <c r="A668" s="166"/>
      <c r="B668" s="167"/>
      <c r="C668" s="167"/>
      <c r="D668" s="147"/>
      <c r="E668" s="147"/>
      <c r="F668" s="147"/>
      <c r="G668" s="147"/>
      <c r="H668" s="147"/>
      <c r="I668" s="147"/>
      <c r="J668" s="147"/>
      <c r="K668" s="3"/>
      <c r="L668" s="3"/>
      <c r="M668" s="3"/>
      <c r="N668" s="3"/>
      <c r="O668" s="3"/>
      <c r="P668" s="3"/>
      <c r="Q668" s="3"/>
      <c r="R668" s="3"/>
      <c r="S668" s="3"/>
      <c r="T668" s="3"/>
      <c r="U668" s="3"/>
      <c r="V668" s="3"/>
      <c r="W668" s="3"/>
      <c r="X668" s="3"/>
      <c r="Y668" s="3"/>
      <c r="Z668" s="3"/>
    </row>
    <row r="669" spans="1:26" ht="22.5" customHeight="1" x14ac:dyDescent="0.85">
      <c r="A669" s="166"/>
      <c r="B669" s="167"/>
      <c r="C669" s="167"/>
      <c r="D669" s="147"/>
      <c r="E669" s="147"/>
      <c r="F669" s="147"/>
      <c r="G669" s="147"/>
      <c r="H669" s="147"/>
      <c r="I669" s="147"/>
      <c r="J669" s="147"/>
      <c r="K669" s="3"/>
      <c r="L669" s="3"/>
      <c r="M669" s="3"/>
      <c r="N669" s="3"/>
      <c r="O669" s="3"/>
      <c r="P669" s="3"/>
      <c r="Q669" s="3"/>
      <c r="R669" s="3"/>
      <c r="S669" s="3"/>
      <c r="T669" s="3"/>
      <c r="U669" s="3"/>
      <c r="V669" s="3"/>
      <c r="W669" s="3"/>
      <c r="X669" s="3"/>
      <c r="Y669" s="3"/>
      <c r="Z669" s="3"/>
    </row>
    <row r="670" spans="1:26" ht="22.5" customHeight="1" x14ac:dyDescent="0.85">
      <c r="A670" s="166"/>
      <c r="B670" s="167"/>
      <c r="C670" s="167"/>
      <c r="D670" s="147"/>
      <c r="E670" s="147"/>
      <c r="F670" s="147"/>
      <c r="G670" s="147"/>
      <c r="H670" s="147"/>
      <c r="I670" s="147"/>
      <c r="J670" s="147"/>
      <c r="K670" s="3"/>
      <c r="L670" s="3"/>
      <c r="M670" s="3"/>
      <c r="N670" s="3"/>
      <c r="O670" s="3"/>
      <c r="P670" s="3"/>
      <c r="Q670" s="3"/>
      <c r="R670" s="3"/>
      <c r="S670" s="3"/>
      <c r="T670" s="3"/>
      <c r="U670" s="3"/>
      <c r="V670" s="3"/>
      <c r="W670" s="3"/>
      <c r="X670" s="3"/>
      <c r="Y670" s="3"/>
      <c r="Z670" s="3"/>
    </row>
    <row r="671" spans="1:26" ht="22.5" customHeight="1" x14ac:dyDescent="0.85">
      <c r="A671" s="166"/>
      <c r="B671" s="167"/>
      <c r="C671" s="167"/>
      <c r="D671" s="147"/>
      <c r="E671" s="147"/>
      <c r="F671" s="147"/>
      <c r="G671" s="147"/>
      <c r="H671" s="147"/>
      <c r="I671" s="147"/>
      <c r="J671" s="147"/>
      <c r="K671" s="3"/>
      <c r="L671" s="3"/>
      <c r="M671" s="3"/>
      <c r="N671" s="3"/>
      <c r="O671" s="3"/>
      <c r="P671" s="3"/>
      <c r="Q671" s="3"/>
      <c r="R671" s="3"/>
      <c r="S671" s="3"/>
      <c r="T671" s="3"/>
      <c r="U671" s="3"/>
      <c r="V671" s="3"/>
      <c r="W671" s="3"/>
      <c r="X671" s="3"/>
      <c r="Y671" s="3"/>
      <c r="Z671" s="3"/>
    </row>
    <row r="672" spans="1:26" ht="22.5" customHeight="1" x14ac:dyDescent="0.85">
      <c r="A672" s="166"/>
      <c r="B672" s="167"/>
      <c r="C672" s="167"/>
      <c r="D672" s="147"/>
      <c r="E672" s="147"/>
      <c r="F672" s="147"/>
      <c r="G672" s="147"/>
      <c r="H672" s="147"/>
      <c r="I672" s="147"/>
      <c r="J672" s="147"/>
      <c r="K672" s="3"/>
      <c r="L672" s="3"/>
      <c r="M672" s="3"/>
      <c r="N672" s="3"/>
      <c r="O672" s="3"/>
      <c r="P672" s="3"/>
      <c r="Q672" s="3"/>
      <c r="R672" s="3"/>
      <c r="S672" s="3"/>
      <c r="T672" s="3"/>
      <c r="U672" s="3"/>
      <c r="V672" s="3"/>
      <c r="W672" s="3"/>
      <c r="X672" s="3"/>
      <c r="Y672" s="3"/>
      <c r="Z672" s="3"/>
    </row>
    <row r="673" spans="1:26" ht="22.5" customHeight="1" x14ac:dyDescent="0.85">
      <c r="A673" s="166"/>
      <c r="B673" s="167"/>
      <c r="C673" s="167"/>
      <c r="D673" s="147"/>
      <c r="E673" s="147"/>
      <c r="F673" s="147"/>
      <c r="G673" s="147"/>
      <c r="H673" s="147"/>
      <c r="I673" s="147"/>
      <c r="J673" s="147"/>
      <c r="K673" s="3"/>
      <c r="L673" s="3"/>
      <c r="M673" s="3"/>
      <c r="N673" s="3"/>
      <c r="O673" s="3"/>
      <c r="P673" s="3"/>
      <c r="Q673" s="3"/>
      <c r="R673" s="3"/>
      <c r="S673" s="3"/>
      <c r="T673" s="3"/>
      <c r="U673" s="3"/>
      <c r="V673" s="3"/>
      <c r="W673" s="3"/>
      <c r="X673" s="3"/>
      <c r="Y673" s="3"/>
      <c r="Z673" s="3"/>
    </row>
    <row r="674" spans="1:26" ht="22.5" customHeight="1" x14ac:dyDescent="0.85">
      <c r="A674" s="166"/>
      <c r="B674" s="167"/>
      <c r="C674" s="167"/>
      <c r="D674" s="147"/>
      <c r="E674" s="147"/>
      <c r="F674" s="147"/>
      <c r="G674" s="147"/>
      <c r="H674" s="147"/>
      <c r="I674" s="147"/>
      <c r="J674" s="147"/>
      <c r="K674" s="3"/>
      <c r="L674" s="3"/>
      <c r="M674" s="3"/>
      <c r="N674" s="3"/>
      <c r="O674" s="3"/>
      <c r="P674" s="3"/>
      <c r="Q674" s="3"/>
      <c r="R674" s="3"/>
      <c r="S674" s="3"/>
      <c r="T674" s="3"/>
      <c r="U674" s="3"/>
      <c r="V674" s="3"/>
      <c r="W674" s="3"/>
      <c r="X674" s="3"/>
      <c r="Y674" s="3"/>
      <c r="Z674" s="3"/>
    </row>
    <row r="675" spans="1:26" ht="22.5" customHeight="1" x14ac:dyDescent="0.85">
      <c r="A675" s="166"/>
      <c r="B675" s="167"/>
      <c r="C675" s="167"/>
      <c r="D675" s="147"/>
      <c r="E675" s="147"/>
      <c r="F675" s="147"/>
      <c r="G675" s="147"/>
      <c r="H675" s="147"/>
      <c r="I675" s="147"/>
      <c r="J675" s="147"/>
      <c r="K675" s="3"/>
      <c r="L675" s="3"/>
      <c r="M675" s="3"/>
      <c r="N675" s="3"/>
      <c r="O675" s="3"/>
      <c r="P675" s="3"/>
      <c r="Q675" s="3"/>
      <c r="R675" s="3"/>
      <c r="S675" s="3"/>
      <c r="T675" s="3"/>
      <c r="U675" s="3"/>
      <c r="V675" s="3"/>
      <c r="W675" s="3"/>
      <c r="X675" s="3"/>
      <c r="Y675" s="3"/>
      <c r="Z675" s="3"/>
    </row>
    <row r="676" spans="1:26" ht="22.5" customHeight="1" x14ac:dyDescent="0.85">
      <c r="A676" s="166"/>
      <c r="B676" s="167"/>
      <c r="C676" s="167"/>
      <c r="D676" s="147"/>
      <c r="E676" s="147"/>
      <c r="F676" s="147"/>
      <c r="G676" s="147"/>
      <c r="H676" s="147"/>
      <c r="I676" s="147"/>
      <c r="J676" s="147"/>
      <c r="K676" s="3"/>
      <c r="L676" s="3"/>
      <c r="M676" s="3"/>
      <c r="N676" s="3"/>
      <c r="O676" s="3"/>
      <c r="P676" s="3"/>
      <c r="Q676" s="3"/>
      <c r="R676" s="3"/>
      <c r="S676" s="3"/>
      <c r="T676" s="3"/>
      <c r="U676" s="3"/>
      <c r="V676" s="3"/>
      <c r="W676" s="3"/>
      <c r="X676" s="3"/>
      <c r="Y676" s="3"/>
      <c r="Z676" s="3"/>
    </row>
    <row r="677" spans="1:26" ht="22.5" customHeight="1" x14ac:dyDescent="0.85">
      <c r="A677" s="166"/>
      <c r="B677" s="167"/>
      <c r="C677" s="167"/>
      <c r="D677" s="147"/>
      <c r="E677" s="147"/>
      <c r="F677" s="147"/>
      <c r="G677" s="147"/>
      <c r="H677" s="147"/>
      <c r="I677" s="147"/>
      <c r="J677" s="147"/>
      <c r="K677" s="3"/>
      <c r="L677" s="3"/>
      <c r="M677" s="3"/>
      <c r="N677" s="3"/>
      <c r="O677" s="3"/>
      <c r="P677" s="3"/>
      <c r="Q677" s="3"/>
      <c r="R677" s="3"/>
      <c r="S677" s="3"/>
      <c r="T677" s="3"/>
      <c r="U677" s="3"/>
      <c r="V677" s="3"/>
      <c r="W677" s="3"/>
      <c r="X677" s="3"/>
      <c r="Y677" s="3"/>
      <c r="Z677" s="3"/>
    </row>
    <row r="678" spans="1:26" ht="22.5" customHeight="1" x14ac:dyDescent="0.85">
      <c r="A678" s="166"/>
      <c r="B678" s="167"/>
      <c r="C678" s="167"/>
      <c r="D678" s="147"/>
      <c r="E678" s="147"/>
      <c r="F678" s="147"/>
      <c r="G678" s="147"/>
      <c r="H678" s="147"/>
      <c r="I678" s="147"/>
      <c r="J678" s="147"/>
      <c r="K678" s="3"/>
      <c r="L678" s="3"/>
      <c r="M678" s="3"/>
      <c r="N678" s="3"/>
      <c r="O678" s="3"/>
      <c r="P678" s="3"/>
      <c r="Q678" s="3"/>
      <c r="R678" s="3"/>
      <c r="S678" s="3"/>
      <c r="T678" s="3"/>
      <c r="U678" s="3"/>
      <c r="V678" s="3"/>
      <c r="W678" s="3"/>
      <c r="X678" s="3"/>
      <c r="Y678" s="3"/>
      <c r="Z678" s="3"/>
    </row>
    <row r="679" spans="1:26" ht="22.5" customHeight="1" x14ac:dyDescent="0.85">
      <c r="A679" s="166"/>
      <c r="B679" s="167"/>
      <c r="C679" s="167"/>
      <c r="D679" s="147"/>
      <c r="E679" s="147"/>
      <c r="F679" s="147"/>
      <c r="G679" s="147"/>
      <c r="H679" s="147"/>
      <c r="I679" s="147"/>
      <c r="J679" s="147"/>
      <c r="K679" s="3"/>
      <c r="L679" s="3"/>
      <c r="M679" s="3"/>
      <c r="N679" s="3"/>
      <c r="O679" s="3"/>
      <c r="P679" s="3"/>
      <c r="Q679" s="3"/>
      <c r="R679" s="3"/>
      <c r="S679" s="3"/>
      <c r="T679" s="3"/>
      <c r="U679" s="3"/>
      <c r="V679" s="3"/>
      <c r="W679" s="3"/>
      <c r="X679" s="3"/>
      <c r="Y679" s="3"/>
      <c r="Z679" s="3"/>
    </row>
    <row r="680" spans="1:26" ht="22.5" customHeight="1" x14ac:dyDescent="0.85">
      <c r="A680" s="166"/>
      <c r="B680" s="167"/>
      <c r="C680" s="167"/>
      <c r="D680" s="147"/>
      <c r="E680" s="147"/>
      <c r="F680" s="147"/>
      <c r="G680" s="147"/>
      <c r="H680" s="147"/>
      <c r="I680" s="147"/>
      <c r="J680" s="147"/>
      <c r="K680" s="3"/>
      <c r="L680" s="3"/>
      <c r="M680" s="3"/>
      <c r="N680" s="3"/>
      <c r="O680" s="3"/>
      <c r="P680" s="3"/>
      <c r="Q680" s="3"/>
      <c r="R680" s="3"/>
      <c r="S680" s="3"/>
      <c r="T680" s="3"/>
      <c r="U680" s="3"/>
      <c r="V680" s="3"/>
      <c r="W680" s="3"/>
      <c r="X680" s="3"/>
      <c r="Y680" s="3"/>
      <c r="Z680" s="3"/>
    </row>
    <row r="681" spans="1:26" ht="22.5" customHeight="1" x14ac:dyDescent="0.85">
      <c r="A681" s="166"/>
      <c r="B681" s="167"/>
      <c r="C681" s="167"/>
      <c r="D681" s="147"/>
      <c r="E681" s="147"/>
      <c r="F681" s="147"/>
      <c r="G681" s="147"/>
      <c r="H681" s="147"/>
      <c r="I681" s="147"/>
      <c r="J681" s="147"/>
      <c r="K681" s="3"/>
      <c r="L681" s="3"/>
      <c r="M681" s="3"/>
      <c r="N681" s="3"/>
      <c r="O681" s="3"/>
      <c r="P681" s="3"/>
      <c r="Q681" s="3"/>
      <c r="R681" s="3"/>
      <c r="S681" s="3"/>
      <c r="T681" s="3"/>
      <c r="U681" s="3"/>
      <c r="V681" s="3"/>
      <c r="W681" s="3"/>
      <c r="X681" s="3"/>
      <c r="Y681" s="3"/>
      <c r="Z681" s="3"/>
    </row>
    <row r="682" spans="1:26" ht="22.5" customHeight="1" x14ac:dyDescent="0.85">
      <c r="A682" s="166"/>
      <c r="B682" s="167"/>
      <c r="C682" s="167"/>
      <c r="D682" s="147"/>
      <c r="E682" s="147"/>
      <c r="F682" s="147"/>
      <c r="G682" s="147"/>
      <c r="H682" s="147"/>
      <c r="I682" s="147"/>
      <c r="J682" s="147"/>
      <c r="K682" s="3"/>
      <c r="L682" s="3"/>
      <c r="M682" s="3"/>
      <c r="N682" s="3"/>
      <c r="O682" s="3"/>
      <c r="P682" s="3"/>
      <c r="Q682" s="3"/>
      <c r="R682" s="3"/>
      <c r="S682" s="3"/>
      <c r="T682" s="3"/>
      <c r="U682" s="3"/>
      <c r="V682" s="3"/>
      <c r="W682" s="3"/>
      <c r="X682" s="3"/>
      <c r="Y682" s="3"/>
      <c r="Z682" s="3"/>
    </row>
    <row r="683" spans="1:26" ht="22.5" customHeight="1" x14ac:dyDescent="0.85">
      <c r="A683" s="166"/>
      <c r="B683" s="167"/>
      <c r="C683" s="167"/>
      <c r="D683" s="147"/>
      <c r="E683" s="147"/>
      <c r="F683" s="147"/>
      <c r="G683" s="147"/>
      <c r="H683" s="147"/>
      <c r="I683" s="147"/>
      <c r="J683" s="147"/>
      <c r="K683" s="3"/>
      <c r="L683" s="3"/>
      <c r="M683" s="3"/>
      <c r="N683" s="3"/>
      <c r="O683" s="3"/>
      <c r="P683" s="3"/>
      <c r="Q683" s="3"/>
      <c r="R683" s="3"/>
      <c r="S683" s="3"/>
      <c r="T683" s="3"/>
      <c r="U683" s="3"/>
      <c r="V683" s="3"/>
      <c r="W683" s="3"/>
      <c r="X683" s="3"/>
      <c r="Y683" s="3"/>
      <c r="Z683" s="3"/>
    </row>
    <row r="684" spans="1:26" ht="22.5" customHeight="1" x14ac:dyDescent="0.85">
      <c r="A684" s="166"/>
      <c r="B684" s="167"/>
      <c r="C684" s="167"/>
      <c r="D684" s="147"/>
      <c r="E684" s="147"/>
      <c r="F684" s="147"/>
      <c r="G684" s="147"/>
      <c r="H684" s="147"/>
      <c r="I684" s="147"/>
      <c r="J684" s="147"/>
      <c r="K684" s="3"/>
      <c r="L684" s="3"/>
      <c r="M684" s="3"/>
      <c r="N684" s="3"/>
      <c r="O684" s="3"/>
      <c r="P684" s="3"/>
      <c r="Q684" s="3"/>
      <c r="R684" s="3"/>
      <c r="S684" s="3"/>
      <c r="T684" s="3"/>
      <c r="U684" s="3"/>
      <c r="V684" s="3"/>
      <c r="W684" s="3"/>
      <c r="X684" s="3"/>
      <c r="Y684" s="3"/>
      <c r="Z684" s="3"/>
    </row>
    <row r="685" spans="1:26" ht="22.5" customHeight="1" x14ac:dyDescent="0.85">
      <c r="A685" s="166"/>
      <c r="B685" s="167"/>
      <c r="C685" s="167"/>
      <c r="D685" s="147"/>
      <c r="E685" s="147"/>
      <c r="F685" s="147"/>
      <c r="G685" s="147"/>
      <c r="H685" s="147"/>
      <c r="I685" s="147"/>
      <c r="J685" s="147"/>
      <c r="K685" s="3"/>
      <c r="L685" s="3"/>
      <c r="M685" s="3"/>
      <c r="N685" s="3"/>
      <c r="O685" s="3"/>
      <c r="P685" s="3"/>
      <c r="Q685" s="3"/>
      <c r="R685" s="3"/>
      <c r="S685" s="3"/>
      <c r="T685" s="3"/>
      <c r="U685" s="3"/>
      <c r="V685" s="3"/>
      <c r="W685" s="3"/>
      <c r="X685" s="3"/>
      <c r="Y685" s="3"/>
      <c r="Z685" s="3"/>
    </row>
    <row r="686" spans="1:26" ht="22.5" customHeight="1" x14ac:dyDescent="0.85">
      <c r="A686" s="166"/>
      <c r="B686" s="167"/>
      <c r="C686" s="167"/>
      <c r="D686" s="147"/>
      <c r="E686" s="147"/>
      <c r="F686" s="147"/>
      <c r="G686" s="147"/>
      <c r="H686" s="147"/>
      <c r="I686" s="147"/>
      <c r="J686" s="147"/>
      <c r="K686" s="3"/>
      <c r="L686" s="3"/>
      <c r="M686" s="3"/>
      <c r="N686" s="3"/>
      <c r="O686" s="3"/>
      <c r="P686" s="3"/>
      <c r="Q686" s="3"/>
      <c r="R686" s="3"/>
      <c r="S686" s="3"/>
      <c r="T686" s="3"/>
      <c r="U686" s="3"/>
      <c r="V686" s="3"/>
      <c r="W686" s="3"/>
      <c r="X686" s="3"/>
      <c r="Y686" s="3"/>
      <c r="Z686" s="3"/>
    </row>
    <row r="687" spans="1:26" ht="22.5" customHeight="1" x14ac:dyDescent="0.85">
      <c r="A687" s="166"/>
      <c r="B687" s="167"/>
      <c r="C687" s="167"/>
      <c r="D687" s="147"/>
      <c r="E687" s="147"/>
      <c r="F687" s="147"/>
      <c r="G687" s="147"/>
      <c r="H687" s="147"/>
      <c r="I687" s="147"/>
      <c r="J687" s="147"/>
      <c r="K687" s="3"/>
      <c r="L687" s="3"/>
      <c r="M687" s="3"/>
      <c r="N687" s="3"/>
      <c r="O687" s="3"/>
      <c r="P687" s="3"/>
      <c r="Q687" s="3"/>
      <c r="R687" s="3"/>
      <c r="S687" s="3"/>
      <c r="T687" s="3"/>
      <c r="U687" s="3"/>
      <c r="V687" s="3"/>
      <c r="W687" s="3"/>
      <c r="X687" s="3"/>
      <c r="Y687" s="3"/>
      <c r="Z687" s="3"/>
    </row>
    <row r="688" spans="1:26" ht="22.5" customHeight="1" x14ac:dyDescent="0.85">
      <c r="A688" s="166"/>
      <c r="B688" s="167"/>
      <c r="C688" s="167"/>
      <c r="D688" s="147"/>
      <c r="E688" s="147"/>
      <c r="F688" s="147"/>
      <c r="G688" s="147"/>
      <c r="H688" s="147"/>
      <c r="I688" s="147"/>
      <c r="J688" s="147"/>
      <c r="K688" s="3"/>
      <c r="L688" s="3"/>
      <c r="M688" s="3"/>
      <c r="N688" s="3"/>
      <c r="O688" s="3"/>
      <c r="P688" s="3"/>
      <c r="Q688" s="3"/>
      <c r="R688" s="3"/>
      <c r="S688" s="3"/>
      <c r="T688" s="3"/>
      <c r="U688" s="3"/>
      <c r="V688" s="3"/>
      <c r="W688" s="3"/>
      <c r="X688" s="3"/>
      <c r="Y688" s="3"/>
      <c r="Z688" s="3"/>
    </row>
    <row r="689" spans="1:26" ht="22.5" customHeight="1" x14ac:dyDescent="0.85">
      <c r="A689" s="166"/>
      <c r="B689" s="167"/>
      <c r="C689" s="167"/>
      <c r="D689" s="147"/>
      <c r="E689" s="147"/>
      <c r="F689" s="147"/>
      <c r="G689" s="147"/>
      <c r="H689" s="147"/>
      <c r="I689" s="147"/>
      <c r="J689" s="147"/>
      <c r="K689" s="3"/>
      <c r="L689" s="3"/>
      <c r="M689" s="3"/>
      <c r="N689" s="3"/>
      <c r="O689" s="3"/>
      <c r="P689" s="3"/>
      <c r="Q689" s="3"/>
      <c r="R689" s="3"/>
      <c r="S689" s="3"/>
      <c r="T689" s="3"/>
      <c r="U689" s="3"/>
      <c r="V689" s="3"/>
      <c r="W689" s="3"/>
      <c r="X689" s="3"/>
      <c r="Y689" s="3"/>
      <c r="Z689" s="3"/>
    </row>
    <row r="690" spans="1:26" ht="22.5" customHeight="1" x14ac:dyDescent="0.85">
      <c r="A690" s="166"/>
      <c r="B690" s="167"/>
      <c r="C690" s="167"/>
      <c r="D690" s="147"/>
      <c r="E690" s="147"/>
      <c r="F690" s="147"/>
      <c r="G690" s="147"/>
      <c r="H690" s="147"/>
      <c r="I690" s="147"/>
      <c r="J690" s="147"/>
      <c r="K690" s="3"/>
      <c r="L690" s="3"/>
      <c r="M690" s="3"/>
      <c r="N690" s="3"/>
      <c r="O690" s="3"/>
      <c r="P690" s="3"/>
      <c r="Q690" s="3"/>
      <c r="R690" s="3"/>
      <c r="S690" s="3"/>
      <c r="T690" s="3"/>
      <c r="U690" s="3"/>
      <c r="V690" s="3"/>
      <c r="W690" s="3"/>
      <c r="X690" s="3"/>
      <c r="Y690" s="3"/>
      <c r="Z690" s="3"/>
    </row>
    <row r="691" spans="1:26" ht="22.5" customHeight="1" x14ac:dyDescent="0.85">
      <c r="A691" s="166"/>
      <c r="B691" s="167"/>
      <c r="C691" s="167"/>
      <c r="D691" s="147"/>
      <c r="E691" s="147"/>
      <c r="F691" s="147"/>
      <c r="G691" s="147"/>
      <c r="H691" s="147"/>
      <c r="I691" s="147"/>
      <c r="J691" s="147"/>
      <c r="K691" s="3"/>
      <c r="L691" s="3"/>
      <c r="M691" s="3"/>
      <c r="N691" s="3"/>
      <c r="O691" s="3"/>
      <c r="P691" s="3"/>
      <c r="Q691" s="3"/>
      <c r="R691" s="3"/>
      <c r="S691" s="3"/>
      <c r="T691" s="3"/>
      <c r="U691" s="3"/>
      <c r="V691" s="3"/>
      <c r="W691" s="3"/>
      <c r="X691" s="3"/>
      <c r="Y691" s="3"/>
      <c r="Z691" s="3"/>
    </row>
    <row r="692" spans="1:26" ht="22.5" customHeight="1" x14ac:dyDescent="0.85">
      <c r="A692" s="166"/>
      <c r="B692" s="167"/>
      <c r="C692" s="167"/>
      <c r="D692" s="147"/>
      <c r="E692" s="147"/>
      <c r="F692" s="147"/>
      <c r="G692" s="147"/>
      <c r="H692" s="147"/>
      <c r="I692" s="147"/>
      <c r="J692" s="147"/>
      <c r="K692" s="3"/>
      <c r="L692" s="3"/>
      <c r="M692" s="3"/>
      <c r="N692" s="3"/>
      <c r="O692" s="3"/>
      <c r="P692" s="3"/>
      <c r="Q692" s="3"/>
      <c r="R692" s="3"/>
      <c r="S692" s="3"/>
      <c r="T692" s="3"/>
      <c r="U692" s="3"/>
      <c r="V692" s="3"/>
      <c r="W692" s="3"/>
      <c r="X692" s="3"/>
      <c r="Y692" s="3"/>
      <c r="Z692" s="3"/>
    </row>
    <row r="693" spans="1:26" ht="22.5" customHeight="1" x14ac:dyDescent="0.85">
      <c r="A693" s="166"/>
      <c r="B693" s="167"/>
      <c r="C693" s="167"/>
      <c r="D693" s="147"/>
      <c r="E693" s="147"/>
      <c r="F693" s="147"/>
      <c r="G693" s="147"/>
      <c r="H693" s="147"/>
      <c r="I693" s="147"/>
      <c r="J693" s="147"/>
      <c r="K693" s="3"/>
      <c r="L693" s="3"/>
      <c r="M693" s="3"/>
      <c r="N693" s="3"/>
      <c r="O693" s="3"/>
      <c r="P693" s="3"/>
      <c r="Q693" s="3"/>
      <c r="R693" s="3"/>
      <c r="S693" s="3"/>
      <c r="T693" s="3"/>
      <c r="U693" s="3"/>
      <c r="V693" s="3"/>
      <c r="W693" s="3"/>
      <c r="X693" s="3"/>
      <c r="Y693" s="3"/>
      <c r="Z693" s="3"/>
    </row>
    <row r="694" spans="1:26" ht="22.5" customHeight="1" x14ac:dyDescent="0.85">
      <c r="A694" s="166"/>
      <c r="B694" s="167"/>
      <c r="C694" s="167"/>
      <c r="D694" s="147"/>
      <c r="E694" s="147"/>
      <c r="F694" s="147"/>
      <c r="G694" s="147"/>
      <c r="H694" s="147"/>
      <c r="I694" s="147"/>
      <c r="J694" s="147"/>
      <c r="K694" s="3"/>
      <c r="L694" s="3"/>
      <c r="M694" s="3"/>
      <c r="N694" s="3"/>
      <c r="O694" s="3"/>
      <c r="P694" s="3"/>
      <c r="Q694" s="3"/>
      <c r="R694" s="3"/>
      <c r="S694" s="3"/>
      <c r="T694" s="3"/>
      <c r="U694" s="3"/>
      <c r="V694" s="3"/>
      <c r="W694" s="3"/>
      <c r="X694" s="3"/>
      <c r="Y694" s="3"/>
      <c r="Z694" s="3"/>
    </row>
    <row r="695" spans="1:26" ht="22.5" customHeight="1" x14ac:dyDescent="0.85">
      <c r="A695" s="166"/>
      <c r="B695" s="167"/>
      <c r="C695" s="167"/>
      <c r="D695" s="147"/>
      <c r="E695" s="147"/>
      <c r="F695" s="147"/>
      <c r="G695" s="147"/>
      <c r="H695" s="147"/>
      <c r="I695" s="147"/>
      <c r="J695" s="147"/>
      <c r="K695" s="3"/>
      <c r="L695" s="3"/>
      <c r="M695" s="3"/>
      <c r="N695" s="3"/>
      <c r="O695" s="3"/>
      <c r="P695" s="3"/>
      <c r="Q695" s="3"/>
      <c r="R695" s="3"/>
      <c r="S695" s="3"/>
      <c r="T695" s="3"/>
      <c r="U695" s="3"/>
      <c r="V695" s="3"/>
      <c r="W695" s="3"/>
      <c r="X695" s="3"/>
      <c r="Y695" s="3"/>
      <c r="Z695" s="3"/>
    </row>
    <row r="696" spans="1:26" ht="22.5" customHeight="1" x14ac:dyDescent="0.85">
      <c r="A696" s="166"/>
      <c r="B696" s="167"/>
      <c r="C696" s="167"/>
      <c r="D696" s="147"/>
      <c r="E696" s="147"/>
      <c r="F696" s="147"/>
      <c r="G696" s="147"/>
      <c r="H696" s="147"/>
      <c r="I696" s="147"/>
      <c r="J696" s="147"/>
      <c r="K696" s="3"/>
      <c r="L696" s="3"/>
      <c r="M696" s="3"/>
      <c r="N696" s="3"/>
      <c r="O696" s="3"/>
      <c r="P696" s="3"/>
      <c r="Q696" s="3"/>
      <c r="R696" s="3"/>
      <c r="S696" s="3"/>
      <c r="T696" s="3"/>
      <c r="U696" s="3"/>
      <c r="V696" s="3"/>
      <c r="W696" s="3"/>
      <c r="X696" s="3"/>
      <c r="Y696" s="3"/>
      <c r="Z696" s="3"/>
    </row>
    <row r="697" spans="1:26" ht="22.5" customHeight="1" x14ac:dyDescent="0.85">
      <c r="A697" s="166"/>
      <c r="B697" s="167"/>
      <c r="C697" s="167"/>
      <c r="D697" s="147"/>
      <c r="E697" s="147"/>
      <c r="F697" s="147"/>
      <c r="G697" s="147"/>
      <c r="H697" s="147"/>
      <c r="I697" s="147"/>
      <c r="J697" s="147"/>
      <c r="K697" s="3"/>
      <c r="L697" s="3"/>
      <c r="M697" s="3"/>
      <c r="N697" s="3"/>
      <c r="O697" s="3"/>
      <c r="P697" s="3"/>
      <c r="Q697" s="3"/>
      <c r="R697" s="3"/>
      <c r="S697" s="3"/>
      <c r="T697" s="3"/>
      <c r="U697" s="3"/>
      <c r="V697" s="3"/>
      <c r="W697" s="3"/>
      <c r="X697" s="3"/>
      <c r="Y697" s="3"/>
      <c r="Z697" s="3"/>
    </row>
    <row r="698" spans="1:26" ht="22.5" customHeight="1" x14ac:dyDescent="0.85">
      <c r="A698" s="166"/>
      <c r="B698" s="167"/>
      <c r="C698" s="167"/>
      <c r="D698" s="147"/>
      <c r="E698" s="147"/>
      <c r="F698" s="147"/>
      <c r="G698" s="147"/>
      <c r="H698" s="147"/>
      <c r="I698" s="147"/>
      <c r="J698" s="147"/>
      <c r="K698" s="3"/>
      <c r="L698" s="3"/>
      <c r="M698" s="3"/>
      <c r="N698" s="3"/>
      <c r="O698" s="3"/>
      <c r="P698" s="3"/>
      <c r="Q698" s="3"/>
      <c r="R698" s="3"/>
      <c r="S698" s="3"/>
      <c r="T698" s="3"/>
      <c r="U698" s="3"/>
      <c r="V698" s="3"/>
      <c r="W698" s="3"/>
      <c r="X698" s="3"/>
      <c r="Y698" s="3"/>
      <c r="Z698" s="3"/>
    </row>
    <row r="699" spans="1:26" ht="22.5" customHeight="1" x14ac:dyDescent="0.85">
      <c r="A699" s="166"/>
      <c r="B699" s="167"/>
      <c r="C699" s="167"/>
      <c r="D699" s="147"/>
      <c r="E699" s="147"/>
      <c r="F699" s="147"/>
      <c r="G699" s="147"/>
      <c r="H699" s="147"/>
      <c r="I699" s="147"/>
      <c r="J699" s="147"/>
      <c r="K699" s="3"/>
      <c r="L699" s="3"/>
      <c r="M699" s="3"/>
      <c r="N699" s="3"/>
      <c r="O699" s="3"/>
      <c r="P699" s="3"/>
      <c r="Q699" s="3"/>
      <c r="R699" s="3"/>
      <c r="S699" s="3"/>
      <c r="T699" s="3"/>
      <c r="U699" s="3"/>
      <c r="V699" s="3"/>
      <c r="W699" s="3"/>
      <c r="X699" s="3"/>
      <c r="Y699" s="3"/>
      <c r="Z699" s="3"/>
    </row>
    <row r="700" spans="1:26" ht="22.5" customHeight="1" x14ac:dyDescent="0.85">
      <c r="A700" s="166"/>
      <c r="B700" s="167"/>
      <c r="C700" s="167"/>
      <c r="D700" s="147"/>
      <c r="E700" s="147"/>
      <c r="F700" s="147"/>
      <c r="G700" s="147"/>
      <c r="H700" s="147"/>
      <c r="I700" s="147"/>
      <c r="J700" s="147"/>
      <c r="K700" s="3"/>
      <c r="L700" s="3"/>
      <c r="M700" s="3"/>
      <c r="N700" s="3"/>
      <c r="O700" s="3"/>
      <c r="P700" s="3"/>
      <c r="Q700" s="3"/>
      <c r="R700" s="3"/>
      <c r="S700" s="3"/>
      <c r="T700" s="3"/>
      <c r="U700" s="3"/>
      <c r="V700" s="3"/>
      <c r="W700" s="3"/>
      <c r="X700" s="3"/>
      <c r="Y700" s="3"/>
      <c r="Z700" s="3"/>
    </row>
    <row r="701" spans="1:26" ht="22.5" customHeight="1" x14ac:dyDescent="0.85">
      <c r="A701" s="166"/>
      <c r="B701" s="167"/>
      <c r="C701" s="167"/>
      <c r="D701" s="147"/>
      <c r="E701" s="147"/>
      <c r="F701" s="147"/>
      <c r="G701" s="147"/>
      <c r="H701" s="147"/>
      <c r="I701" s="147"/>
      <c r="J701" s="147"/>
      <c r="K701" s="3"/>
      <c r="L701" s="3"/>
      <c r="M701" s="3"/>
      <c r="N701" s="3"/>
      <c r="O701" s="3"/>
      <c r="P701" s="3"/>
      <c r="Q701" s="3"/>
      <c r="R701" s="3"/>
      <c r="S701" s="3"/>
      <c r="T701" s="3"/>
      <c r="U701" s="3"/>
      <c r="V701" s="3"/>
      <c r="W701" s="3"/>
      <c r="X701" s="3"/>
      <c r="Y701" s="3"/>
      <c r="Z701" s="3"/>
    </row>
    <row r="702" spans="1:26" ht="22.5" customHeight="1" x14ac:dyDescent="0.85">
      <c r="A702" s="166"/>
      <c r="B702" s="167"/>
      <c r="C702" s="167"/>
      <c r="D702" s="147"/>
      <c r="E702" s="147"/>
      <c r="F702" s="147"/>
      <c r="G702" s="147"/>
      <c r="H702" s="147"/>
      <c r="I702" s="147"/>
      <c r="J702" s="147"/>
      <c r="K702" s="3"/>
      <c r="L702" s="3"/>
      <c r="M702" s="3"/>
      <c r="N702" s="3"/>
      <c r="O702" s="3"/>
      <c r="P702" s="3"/>
      <c r="Q702" s="3"/>
      <c r="R702" s="3"/>
      <c r="S702" s="3"/>
      <c r="T702" s="3"/>
      <c r="U702" s="3"/>
      <c r="V702" s="3"/>
      <c r="W702" s="3"/>
      <c r="X702" s="3"/>
      <c r="Y702" s="3"/>
      <c r="Z702" s="3"/>
    </row>
    <row r="703" spans="1:26" ht="22.5" customHeight="1" x14ac:dyDescent="0.85">
      <c r="A703" s="166"/>
      <c r="B703" s="167"/>
      <c r="C703" s="167"/>
      <c r="D703" s="147"/>
      <c r="E703" s="147"/>
      <c r="F703" s="147"/>
      <c r="G703" s="147"/>
      <c r="H703" s="147"/>
      <c r="I703" s="147"/>
      <c r="J703" s="147"/>
      <c r="K703" s="3"/>
      <c r="L703" s="3"/>
      <c r="M703" s="3"/>
      <c r="N703" s="3"/>
      <c r="O703" s="3"/>
      <c r="P703" s="3"/>
      <c r="Q703" s="3"/>
      <c r="R703" s="3"/>
      <c r="S703" s="3"/>
      <c r="T703" s="3"/>
      <c r="U703" s="3"/>
      <c r="V703" s="3"/>
      <c r="W703" s="3"/>
      <c r="X703" s="3"/>
      <c r="Y703" s="3"/>
      <c r="Z703" s="3"/>
    </row>
    <row r="704" spans="1:26" ht="22.5" customHeight="1" x14ac:dyDescent="0.85">
      <c r="A704" s="166"/>
      <c r="B704" s="167"/>
      <c r="C704" s="167"/>
      <c r="D704" s="147"/>
      <c r="E704" s="147"/>
      <c r="F704" s="147"/>
      <c r="G704" s="147"/>
      <c r="H704" s="147"/>
      <c r="I704" s="147"/>
      <c r="J704" s="147"/>
      <c r="K704" s="3"/>
      <c r="L704" s="3"/>
      <c r="M704" s="3"/>
      <c r="N704" s="3"/>
      <c r="O704" s="3"/>
      <c r="P704" s="3"/>
      <c r="Q704" s="3"/>
      <c r="R704" s="3"/>
      <c r="S704" s="3"/>
      <c r="T704" s="3"/>
      <c r="U704" s="3"/>
      <c r="V704" s="3"/>
      <c r="W704" s="3"/>
      <c r="X704" s="3"/>
      <c r="Y704" s="3"/>
      <c r="Z704" s="3"/>
    </row>
    <row r="705" spans="1:26" ht="22.5" customHeight="1" x14ac:dyDescent="0.85">
      <c r="A705" s="166"/>
      <c r="B705" s="167"/>
      <c r="C705" s="167"/>
      <c r="D705" s="147"/>
      <c r="E705" s="147"/>
      <c r="F705" s="147"/>
      <c r="G705" s="147"/>
      <c r="H705" s="147"/>
      <c r="I705" s="147"/>
      <c r="J705" s="147"/>
      <c r="K705" s="3"/>
      <c r="L705" s="3"/>
      <c r="M705" s="3"/>
      <c r="N705" s="3"/>
      <c r="O705" s="3"/>
      <c r="P705" s="3"/>
      <c r="Q705" s="3"/>
      <c r="R705" s="3"/>
      <c r="S705" s="3"/>
      <c r="T705" s="3"/>
      <c r="U705" s="3"/>
      <c r="V705" s="3"/>
      <c r="W705" s="3"/>
      <c r="X705" s="3"/>
      <c r="Y705" s="3"/>
      <c r="Z705" s="3"/>
    </row>
    <row r="706" spans="1:26" ht="22.5" customHeight="1" x14ac:dyDescent="0.85">
      <c r="A706" s="166"/>
      <c r="B706" s="167"/>
      <c r="C706" s="167"/>
      <c r="D706" s="147"/>
      <c r="E706" s="147"/>
      <c r="F706" s="147"/>
      <c r="G706" s="147"/>
      <c r="H706" s="147"/>
      <c r="I706" s="147"/>
      <c r="J706" s="147"/>
      <c r="K706" s="3"/>
      <c r="L706" s="3"/>
      <c r="M706" s="3"/>
      <c r="N706" s="3"/>
      <c r="O706" s="3"/>
      <c r="P706" s="3"/>
      <c r="Q706" s="3"/>
      <c r="R706" s="3"/>
      <c r="S706" s="3"/>
      <c r="T706" s="3"/>
      <c r="U706" s="3"/>
      <c r="V706" s="3"/>
      <c r="W706" s="3"/>
      <c r="X706" s="3"/>
      <c r="Y706" s="3"/>
      <c r="Z706" s="3"/>
    </row>
    <row r="707" spans="1:26" ht="22.5" customHeight="1" x14ac:dyDescent="0.85">
      <c r="A707" s="166"/>
      <c r="B707" s="167"/>
      <c r="C707" s="167"/>
      <c r="D707" s="147"/>
      <c r="E707" s="147"/>
      <c r="F707" s="147"/>
      <c r="G707" s="147"/>
      <c r="H707" s="147"/>
      <c r="I707" s="147"/>
      <c r="J707" s="147"/>
      <c r="K707" s="3"/>
      <c r="L707" s="3"/>
      <c r="M707" s="3"/>
      <c r="N707" s="3"/>
      <c r="O707" s="3"/>
      <c r="P707" s="3"/>
      <c r="Q707" s="3"/>
      <c r="R707" s="3"/>
      <c r="S707" s="3"/>
      <c r="T707" s="3"/>
      <c r="U707" s="3"/>
      <c r="V707" s="3"/>
      <c r="W707" s="3"/>
      <c r="X707" s="3"/>
      <c r="Y707" s="3"/>
      <c r="Z707" s="3"/>
    </row>
    <row r="708" spans="1:26" ht="22.5" customHeight="1" x14ac:dyDescent="0.85">
      <c r="A708" s="166"/>
      <c r="B708" s="167"/>
      <c r="C708" s="167"/>
      <c r="D708" s="147"/>
      <c r="E708" s="147"/>
      <c r="F708" s="147"/>
      <c r="G708" s="147"/>
      <c r="H708" s="147"/>
      <c r="I708" s="147"/>
      <c r="J708" s="147"/>
      <c r="K708" s="3"/>
      <c r="L708" s="3"/>
      <c r="M708" s="3"/>
      <c r="N708" s="3"/>
      <c r="O708" s="3"/>
      <c r="P708" s="3"/>
      <c r="Q708" s="3"/>
      <c r="R708" s="3"/>
      <c r="S708" s="3"/>
      <c r="T708" s="3"/>
      <c r="U708" s="3"/>
      <c r="V708" s="3"/>
      <c r="W708" s="3"/>
      <c r="X708" s="3"/>
      <c r="Y708" s="3"/>
      <c r="Z708" s="3"/>
    </row>
    <row r="709" spans="1:26" ht="22.5" customHeight="1" x14ac:dyDescent="0.85">
      <c r="A709" s="166"/>
      <c r="B709" s="167"/>
      <c r="C709" s="167"/>
      <c r="D709" s="147"/>
      <c r="E709" s="147"/>
      <c r="F709" s="147"/>
      <c r="G709" s="147"/>
      <c r="H709" s="147"/>
      <c r="I709" s="147"/>
      <c r="J709" s="147"/>
      <c r="K709" s="3"/>
      <c r="L709" s="3"/>
      <c r="M709" s="3"/>
      <c r="N709" s="3"/>
      <c r="O709" s="3"/>
      <c r="P709" s="3"/>
      <c r="Q709" s="3"/>
      <c r="R709" s="3"/>
      <c r="S709" s="3"/>
      <c r="T709" s="3"/>
      <c r="U709" s="3"/>
      <c r="V709" s="3"/>
      <c r="W709" s="3"/>
      <c r="X709" s="3"/>
      <c r="Y709" s="3"/>
      <c r="Z709" s="3"/>
    </row>
    <row r="710" spans="1:26" ht="22.5" customHeight="1" x14ac:dyDescent="0.85">
      <c r="A710" s="166"/>
      <c r="B710" s="167"/>
      <c r="C710" s="167"/>
      <c r="D710" s="147"/>
      <c r="E710" s="147"/>
      <c r="F710" s="147"/>
      <c r="G710" s="147"/>
      <c r="H710" s="147"/>
      <c r="I710" s="147"/>
      <c r="J710" s="147"/>
      <c r="K710" s="3"/>
      <c r="L710" s="3"/>
      <c r="M710" s="3"/>
      <c r="N710" s="3"/>
      <c r="O710" s="3"/>
      <c r="P710" s="3"/>
      <c r="Q710" s="3"/>
      <c r="R710" s="3"/>
      <c r="S710" s="3"/>
      <c r="T710" s="3"/>
      <c r="U710" s="3"/>
      <c r="V710" s="3"/>
      <c r="W710" s="3"/>
      <c r="X710" s="3"/>
      <c r="Y710" s="3"/>
      <c r="Z710" s="3"/>
    </row>
    <row r="711" spans="1:26" ht="22.5" customHeight="1" x14ac:dyDescent="0.85">
      <c r="A711" s="166"/>
      <c r="B711" s="167"/>
      <c r="C711" s="167"/>
      <c r="D711" s="147"/>
      <c r="E711" s="147"/>
      <c r="F711" s="147"/>
      <c r="G711" s="147"/>
      <c r="H711" s="147"/>
      <c r="I711" s="147"/>
      <c r="J711" s="147"/>
      <c r="K711" s="3"/>
      <c r="L711" s="3"/>
      <c r="M711" s="3"/>
      <c r="N711" s="3"/>
      <c r="O711" s="3"/>
      <c r="P711" s="3"/>
      <c r="Q711" s="3"/>
      <c r="R711" s="3"/>
      <c r="S711" s="3"/>
      <c r="T711" s="3"/>
      <c r="U711" s="3"/>
      <c r="V711" s="3"/>
      <c r="W711" s="3"/>
      <c r="X711" s="3"/>
      <c r="Y711" s="3"/>
      <c r="Z711" s="3"/>
    </row>
    <row r="712" spans="1:26" ht="22.5" customHeight="1" x14ac:dyDescent="0.85">
      <c r="A712" s="166"/>
      <c r="B712" s="167"/>
      <c r="C712" s="167"/>
      <c r="D712" s="147"/>
      <c r="E712" s="147"/>
      <c r="F712" s="147"/>
      <c r="G712" s="147"/>
      <c r="H712" s="147"/>
      <c r="I712" s="147"/>
      <c r="J712" s="147"/>
      <c r="K712" s="3"/>
      <c r="L712" s="3"/>
      <c r="M712" s="3"/>
      <c r="N712" s="3"/>
      <c r="O712" s="3"/>
      <c r="P712" s="3"/>
      <c r="Q712" s="3"/>
      <c r="R712" s="3"/>
      <c r="S712" s="3"/>
      <c r="T712" s="3"/>
      <c r="U712" s="3"/>
      <c r="V712" s="3"/>
      <c r="W712" s="3"/>
      <c r="X712" s="3"/>
      <c r="Y712" s="3"/>
      <c r="Z712" s="3"/>
    </row>
    <row r="713" spans="1:26" ht="22.5" customHeight="1" x14ac:dyDescent="0.85">
      <c r="A713" s="166"/>
      <c r="B713" s="167"/>
      <c r="C713" s="167"/>
      <c r="D713" s="147"/>
      <c r="E713" s="147"/>
      <c r="F713" s="147"/>
      <c r="G713" s="147"/>
      <c r="H713" s="147"/>
      <c r="I713" s="147"/>
      <c r="J713" s="147"/>
      <c r="K713" s="3"/>
      <c r="L713" s="3"/>
      <c r="M713" s="3"/>
      <c r="N713" s="3"/>
      <c r="O713" s="3"/>
      <c r="P713" s="3"/>
      <c r="Q713" s="3"/>
      <c r="R713" s="3"/>
      <c r="S713" s="3"/>
      <c r="T713" s="3"/>
      <c r="U713" s="3"/>
      <c r="V713" s="3"/>
      <c r="W713" s="3"/>
      <c r="X713" s="3"/>
      <c r="Y713" s="3"/>
      <c r="Z713" s="3"/>
    </row>
    <row r="714" spans="1:26" ht="22.5" customHeight="1" x14ac:dyDescent="0.85">
      <c r="A714" s="166"/>
      <c r="B714" s="167"/>
      <c r="C714" s="167"/>
      <c r="D714" s="147"/>
      <c r="E714" s="147"/>
      <c r="F714" s="147"/>
      <c r="G714" s="147"/>
      <c r="H714" s="147"/>
      <c r="I714" s="147"/>
      <c r="J714" s="147"/>
      <c r="K714" s="3"/>
      <c r="L714" s="3"/>
      <c r="M714" s="3"/>
      <c r="N714" s="3"/>
      <c r="O714" s="3"/>
      <c r="P714" s="3"/>
      <c r="Q714" s="3"/>
      <c r="R714" s="3"/>
      <c r="S714" s="3"/>
      <c r="T714" s="3"/>
      <c r="U714" s="3"/>
      <c r="V714" s="3"/>
      <c r="W714" s="3"/>
      <c r="X714" s="3"/>
      <c r="Y714" s="3"/>
      <c r="Z714" s="3"/>
    </row>
    <row r="715" spans="1:26" ht="22.5" customHeight="1" x14ac:dyDescent="0.85">
      <c r="A715" s="166"/>
      <c r="B715" s="167"/>
      <c r="C715" s="167"/>
      <c r="D715" s="147"/>
      <c r="E715" s="147"/>
      <c r="F715" s="147"/>
      <c r="G715" s="147"/>
      <c r="H715" s="147"/>
      <c r="I715" s="147"/>
      <c r="J715" s="147"/>
      <c r="K715" s="3"/>
      <c r="L715" s="3"/>
      <c r="M715" s="3"/>
      <c r="N715" s="3"/>
      <c r="O715" s="3"/>
      <c r="P715" s="3"/>
      <c r="Q715" s="3"/>
      <c r="R715" s="3"/>
      <c r="S715" s="3"/>
      <c r="T715" s="3"/>
      <c r="U715" s="3"/>
      <c r="V715" s="3"/>
      <c r="W715" s="3"/>
      <c r="X715" s="3"/>
      <c r="Y715" s="3"/>
      <c r="Z715" s="3"/>
    </row>
    <row r="716" spans="1:26" ht="22.5" customHeight="1" x14ac:dyDescent="0.85">
      <c r="A716" s="166"/>
      <c r="B716" s="167"/>
      <c r="C716" s="167"/>
      <c r="D716" s="147"/>
      <c r="E716" s="147"/>
      <c r="F716" s="147"/>
      <c r="G716" s="147"/>
      <c r="H716" s="147"/>
      <c r="I716" s="147"/>
      <c r="J716" s="147"/>
      <c r="K716" s="3"/>
      <c r="L716" s="3"/>
      <c r="M716" s="3"/>
      <c r="N716" s="3"/>
      <c r="O716" s="3"/>
      <c r="P716" s="3"/>
      <c r="Q716" s="3"/>
      <c r="R716" s="3"/>
      <c r="S716" s="3"/>
      <c r="T716" s="3"/>
      <c r="U716" s="3"/>
      <c r="V716" s="3"/>
      <c r="W716" s="3"/>
      <c r="X716" s="3"/>
      <c r="Y716" s="3"/>
      <c r="Z716" s="3"/>
    </row>
    <row r="717" spans="1:26" ht="22.5" customHeight="1" x14ac:dyDescent="0.85">
      <c r="A717" s="166"/>
      <c r="B717" s="167"/>
      <c r="C717" s="167"/>
      <c r="D717" s="147"/>
      <c r="E717" s="147"/>
      <c r="F717" s="147"/>
      <c r="G717" s="147"/>
      <c r="H717" s="147"/>
      <c r="I717" s="147"/>
      <c r="J717" s="147"/>
      <c r="K717" s="3"/>
      <c r="L717" s="3"/>
      <c r="M717" s="3"/>
      <c r="N717" s="3"/>
      <c r="O717" s="3"/>
      <c r="P717" s="3"/>
      <c r="Q717" s="3"/>
      <c r="R717" s="3"/>
      <c r="S717" s="3"/>
      <c r="T717" s="3"/>
      <c r="U717" s="3"/>
      <c r="V717" s="3"/>
      <c r="W717" s="3"/>
      <c r="X717" s="3"/>
      <c r="Y717" s="3"/>
      <c r="Z717" s="3"/>
    </row>
    <row r="718" spans="1:26" ht="22.5" customHeight="1" x14ac:dyDescent="0.85">
      <c r="A718" s="166"/>
      <c r="B718" s="167"/>
      <c r="C718" s="167"/>
      <c r="D718" s="147"/>
      <c r="E718" s="147"/>
      <c r="F718" s="147"/>
      <c r="G718" s="147"/>
      <c r="H718" s="147"/>
      <c r="I718" s="147"/>
      <c r="J718" s="147"/>
      <c r="K718" s="3"/>
      <c r="L718" s="3"/>
      <c r="M718" s="3"/>
      <c r="N718" s="3"/>
      <c r="O718" s="3"/>
      <c r="P718" s="3"/>
      <c r="Q718" s="3"/>
      <c r="R718" s="3"/>
      <c r="S718" s="3"/>
      <c r="T718" s="3"/>
      <c r="U718" s="3"/>
      <c r="V718" s="3"/>
      <c r="W718" s="3"/>
      <c r="X718" s="3"/>
      <c r="Y718" s="3"/>
      <c r="Z718" s="3"/>
    </row>
    <row r="719" spans="1:26" ht="22.5" customHeight="1" x14ac:dyDescent="0.85">
      <c r="A719" s="166"/>
      <c r="B719" s="167"/>
      <c r="C719" s="167"/>
      <c r="D719" s="147"/>
      <c r="E719" s="147"/>
      <c r="F719" s="147"/>
      <c r="G719" s="147"/>
      <c r="H719" s="147"/>
      <c r="I719" s="147"/>
      <c r="J719" s="147"/>
      <c r="K719" s="3"/>
      <c r="L719" s="3"/>
      <c r="M719" s="3"/>
      <c r="N719" s="3"/>
      <c r="O719" s="3"/>
      <c r="P719" s="3"/>
      <c r="Q719" s="3"/>
      <c r="R719" s="3"/>
      <c r="S719" s="3"/>
      <c r="T719" s="3"/>
      <c r="U719" s="3"/>
      <c r="V719" s="3"/>
      <c r="W719" s="3"/>
      <c r="X719" s="3"/>
      <c r="Y719" s="3"/>
      <c r="Z719" s="3"/>
    </row>
    <row r="720" spans="1:26" ht="22.5" customHeight="1" x14ac:dyDescent="0.85">
      <c r="A720" s="166"/>
      <c r="B720" s="167"/>
      <c r="C720" s="167"/>
      <c r="D720" s="147"/>
      <c r="E720" s="147"/>
      <c r="F720" s="147"/>
      <c r="G720" s="147"/>
      <c r="H720" s="147"/>
      <c r="I720" s="147"/>
      <c r="J720" s="147"/>
      <c r="K720" s="3"/>
      <c r="L720" s="3"/>
      <c r="M720" s="3"/>
      <c r="N720" s="3"/>
      <c r="O720" s="3"/>
      <c r="P720" s="3"/>
      <c r="Q720" s="3"/>
      <c r="R720" s="3"/>
      <c r="S720" s="3"/>
      <c r="T720" s="3"/>
      <c r="U720" s="3"/>
      <c r="V720" s="3"/>
      <c r="W720" s="3"/>
      <c r="X720" s="3"/>
      <c r="Y720" s="3"/>
      <c r="Z720" s="3"/>
    </row>
    <row r="721" spans="1:26" ht="22.5" customHeight="1" x14ac:dyDescent="0.85">
      <c r="A721" s="166"/>
      <c r="B721" s="167"/>
      <c r="C721" s="167"/>
      <c r="D721" s="147"/>
      <c r="E721" s="147"/>
      <c r="F721" s="147"/>
      <c r="G721" s="147"/>
      <c r="H721" s="147"/>
      <c r="I721" s="147"/>
      <c r="J721" s="147"/>
      <c r="K721" s="3"/>
      <c r="L721" s="3"/>
      <c r="M721" s="3"/>
      <c r="N721" s="3"/>
      <c r="O721" s="3"/>
      <c r="P721" s="3"/>
      <c r="Q721" s="3"/>
      <c r="R721" s="3"/>
      <c r="S721" s="3"/>
      <c r="T721" s="3"/>
      <c r="U721" s="3"/>
      <c r="V721" s="3"/>
      <c r="W721" s="3"/>
      <c r="X721" s="3"/>
      <c r="Y721" s="3"/>
      <c r="Z721" s="3"/>
    </row>
    <row r="722" spans="1:26" ht="22.5" customHeight="1" x14ac:dyDescent="0.85">
      <c r="A722" s="166"/>
      <c r="B722" s="167"/>
      <c r="C722" s="167"/>
      <c r="D722" s="147"/>
      <c r="E722" s="147"/>
      <c r="F722" s="147"/>
      <c r="G722" s="147"/>
      <c r="H722" s="147"/>
      <c r="I722" s="147"/>
      <c r="J722" s="147"/>
      <c r="K722" s="3"/>
      <c r="L722" s="3"/>
      <c r="M722" s="3"/>
      <c r="N722" s="3"/>
      <c r="O722" s="3"/>
      <c r="P722" s="3"/>
      <c r="Q722" s="3"/>
      <c r="R722" s="3"/>
      <c r="S722" s="3"/>
      <c r="T722" s="3"/>
      <c r="U722" s="3"/>
      <c r="V722" s="3"/>
      <c r="W722" s="3"/>
      <c r="X722" s="3"/>
      <c r="Y722" s="3"/>
      <c r="Z722" s="3"/>
    </row>
    <row r="723" spans="1:26" ht="22.5" customHeight="1" x14ac:dyDescent="0.85">
      <c r="A723" s="166"/>
      <c r="B723" s="167"/>
      <c r="C723" s="167"/>
      <c r="D723" s="147"/>
      <c r="E723" s="147"/>
      <c r="F723" s="147"/>
      <c r="G723" s="147"/>
      <c r="H723" s="147"/>
      <c r="I723" s="147"/>
      <c r="J723" s="147"/>
      <c r="K723" s="3"/>
      <c r="L723" s="3"/>
      <c r="M723" s="3"/>
      <c r="N723" s="3"/>
      <c r="O723" s="3"/>
      <c r="P723" s="3"/>
      <c r="Q723" s="3"/>
      <c r="R723" s="3"/>
      <c r="S723" s="3"/>
      <c r="T723" s="3"/>
      <c r="U723" s="3"/>
      <c r="V723" s="3"/>
      <c r="W723" s="3"/>
      <c r="X723" s="3"/>
      <c r="Y723" s="3"/>
      <c r="Z723" s="3"/>
    </row>
    <row r="724" spans="1:26" ht="22.5" customHeight="1" x14ac:dyDescent="0.85">
      <c r="A724" s="166"/>
      <c r="B724" s="167"/>
      <c r="C724" s="167"/>
      <c r="D724" s="147"/>
      <c r="E724" s="147"/>
      <c r="F724" s="147"/>
      <c r="G724" s="147"/>
      <c r="H724" s="147"/>
      <c r="I724" s="147"/>
      <c r="J724" s="147"/>
      <c r="K724" s="3"/>
      <c r="L724" s="3"/>
      <c r="M724" s="3"/>
      <c r="N724" s="3"/>
      <c r="O724" s="3"/>
      <c r="P724" s="3"/>
      <c r="Q724" s="3"/>
      <c r="R724" s="3"/>
      <c r="S724" s="3"/>
      <c r="T724" s="3"/>
      <c r="U724" s="3"/>
      <c r="V724" s="3"/>
      <c r="W724" s="3"/>
      <c r="X724" s="3"/>
      <c r="Y724" s="3"/>
      <c r="Z724" s="3"/>
    </row>
    <row r="725" spans="1:26" ht="22.5" customHeight="1" x14ac:dyDescent="0.85">
      <c r="A725" s="166"/>
      <c r="B725" s="167"/>
      <c r="C725" s="167"/>
      <c r="D725" s="147"/>
      <c r="E725" s="147"/>
      <c r="F725" s="147"/>
      <c r="G725" s="147"/>
      <c r="H725" s="147"/>
      <c r="I725" s="147"/>
      <c r="J725" s="147"/>
      <c r="K725" s="3"/>
      <c r="L725" s="3"/>
      <c r="M725" s="3"/>
      <c r="N725" s="3"/>
      <c r="O725" s="3"/>
      <c r="P725" s="3"/>
      <c r="Q725" s="3"/>
      <c r="R725" s="3"/>
      <c r="S725" s="3"/>
      <c r="T725" s="3"/>
      <c r="U725" s="3"/>
      <c r="V725" s="3"/>
      <c r="W725" s="3"/>
      <c r="X725" s="3"/>
      <c r="Y725" s="3"/>
      <c r="Z725" s="3"/>
    </row>
    <row r="726" spans="1:26" ht="22.5" customHeight="1" x14ac:dyDescent="0.85">
      <c r="A726" s="166"/>
      <c r="B726" s="167"/>
      <c r="C726" s="167"/>
      <c r="D726" s="147"/>
      <c r="E726" s="147"/>
      <c r="F726" s="147"/>
      <c r="G726" s="147"/>
      <c r="H726" s="147"/>
      <c r="I726" s="147"/>
      <c r="J726" s="147"/>
      <c r="K726" s="3"/>
      <c r="L726" s="3"/>
      <c r="M726" s="3"/>
      <c r="N726" s="3"/>
      <c r="O726" s="3"/>
      <c r="P726" s="3"/>
      <c r="Q726" s="3"/>
      <c r="R726" s="3"/>
      <c r="S726" s="3"/>
      <c r="T726" s="3"/>
      <c r="U726" s="3"/>
      <c r="V726" s="3"/>
      <c r="W726" s="3"/>
      <c r="X726" s="3"/>
      <c r="Y726" s="3"/>
      <c r="Z726" s="3"/>
    </row>
    <row r="727" spans="1:26" ht="22.5" customHeight="1" x14ac:dyDescent="0.85">
      <c r="A727" s="166"/>
      <c r="B727" s="167"/>
      <c r="C727" s="167"/>
      <c r="D727" s="147"/>
      <c r="E727" s="147"/>
      <c r="F727" s="147"/>
      <c r="G727" s="147"/>
      <c r="H727" s="147"/>
      <c r="I727" s="147"/>
      <c r="J727" s="147"/>
      <c r="K727" s="3"/>
      <c r="L727" s="3"/>
      <c r="M727" s="3"/>
      <c r="N727" s="3"/>
      <c r="O727" s="3"/>
      <c r="P727" s="3"/>
      <c r="Q727" s="3"/>
      <c r="R727" s="3"/>
      <c r="S727" s="3"/>
      <c r="T727" s="3"/>
      <c r="U727" s="3"/>
      <c r="V727" s="3"/>
      <c r="W727" s="3"/>
      <c r="X727" s="3"/>
      <c r="Y727" s="3"/>
      <c r="Z727" s="3"/>
    </row>
    <row r="728" spans="1:26" ht="22.5" customHeight="1" x14ac:dyDescent="0.85">
      <c r="A728" s="166"/>
      <c r="B728" s="167"/>
      <c r="C728" s="167"/>
      <c r="D728" s="147"/>
      <c r="E728" s="147"/>
      <c r="F728" s="147"/>
      <c r="G728" s="147"/>
      <c r="H728" s="147"/>
      <c r="I728" s="147"/>
      <c r="J728" s="147"/>
      <c r="K728" s="3"/>
      <c r="L728" s="3"/>
      <c r="M728" s="3"/>
      <c r="N728" s="3"/>
      <c r="O728" s="3"/>
      <c r="P728" s="3"/>
      <c r="Q728" s="3"/>
      <c r="R728" s="3"/>
      <c r="S728" s="3"/>
      <c r="T728" s="3"/>
      <c r="U728" s="3"/>
      <c r="V728" s="3"/>
      <c r="W728" s="3"/>
      <c r="X728" s="3"/>
      <c r="Y728" s="3"/>
      <c r="Z728" s="3"/>
    </row>
    <row r="729" spans="1:26" ht="22.5" customHeight="1" x14ac:dyDescent="0.85">
      <c r="A729" s="166"/>
      <c r="B729" s="167"/>
      <c r="C729" s="167"/>
      <c r="D729" s="147"/>
      <c r="E729" s="147"/>
      <c r="F729" s="147"/>
      <c r="G729" s="147"/>
      <c r="H729" s="147"/>
      <c r="I729" s="147"/>
      <c r="J729" s="147"/>
      <c r="K729" s="3"/>
      <c r="L729" s="3"/>
      <c r="M729" s="3"/>
      <c r="N729" s="3"/>
      <c r="O729" s="3"/>
      <c r="P729" s="3"/>
      <c r="Q729" s="3"/>
      <c r="R729" s="3"/>
      <c r="S729" s="3"/>
      <c r="T729" s="3"/>
      <c r="U729" s="3"/>
      <c r="V729" s="3"/>
      <c r="W729" s="3"/>
      <c r="X729" s="3"/>
      <c r="Y729" s="3"/>
      <c r="Z729" s="3"/>
    </row>
    <row r="730" spans="1:26" ht="22.5" customHeight="1" x14ac:dyDescent="0.85">
      <c r="A730" s="166"/>
      <c r="B730" s="167"/>
      <c r="C730" s="167"/>
      <c r="D730" s="147"/>
      <c r="E730" s="147"/>
      <c r="F730" s="147"/>
      <c r="G730" s="147"/>
      <c r="H730" s="147"/>
      <c r="I730" s="147"/>
      <c r="J730" s="147"/>
      <c r="K730" s="3"/>
      <c r="L730" s="3"/>
      <c r="M730" s="3"/>
      <c r="N730" s="3"/>
      <c r="O730" s="3"/>
      <c r="P730" s="3"/>
      <c r="Q730" s="3"/>
      <c r="R730" s="3"/>
      <c r="S730" s="3"/>
      <c r="T730" s="3"/>
      <c r="U730" s="3"/>
      <c r="V730" s="3"/>
      <c r="W730" s="3"/>
      <c r="X730" s="3"/>
      <c r="Y730" s="3"/>
      <c r="Z730" s="3"/>
    </row>
    <row r="731" spans="1:26" ht="22.5" customHeight="1" x14ac:dyDescent="0.85">
      <c r="A731" s="166"/>
      <c r="B731" s="167"/>
      <c r="C731" s="167"/>
      <c r="D731" s="147"/>
      <c r="E731" s="147"/>
      <c r="F731" s="147"/>
      <c r="G731" s="147"/>
      <c r="H731" s="147"/>
      <c r="I731" s="147"/>
      <c r="J731" s="147"/>
      <c r="K731" s="3"/>
      <c r="L731" s="3"/>
      <c r="M731" s="3"/>
      <c r="N731" s="3"/>
      <c r="O731" s="3"/>
      <c r="P731" s="3"/>
      <c r="Q731" s="3"/>
      <c r="R731" s="3"/>
      <c r="S731" s="3"/>
      <c r="T731" s="3"/>
      <c r="U731" s="3"/>
      <c r="V731" s="3"/>
      <c r="W731" s="3"/>
      <c r="X731" s="3"/>
      <c r="Y731" s="3"/>
      <c r="Z731" s="3"/>
    </row>
    <row r="732" spans="1:26" ht="22.5" customHeight="1" x14ac:dyDescent="0.85">
      <c r="A732" s="166"/>
      <c r="B732" s="167"/>
      <c r="C732" s="167"/>
      <c r="D732" s="147"/>
      <c r="E732" s="147"/>
      <c r="F732" s="147"/>
      <c r="G732" s="147"/>
      <c r="H732" s="147"/>
      <c r="I732" s="147"/>
      <c r="J732" s="147"/>
      <c r="K732" s="3"/>
      <c r="L732" s="3"/>
      <c r="M732" s="3"/>
      <c r="N732" s="3"/>
      <c r="O732" s="3"/>
      <c r="P732" s="3"/>
      <c r="Q732" s="3"/>
      <c r="R732" s="3"/>
      <c r="S732" s="3"/>
      <c r="T732" s="3"/>
      <c r="U732" s="3"/>
      <c r="V732" s="3"/>
      <c r="W732" s="3"/>
      <c r="X732" s="3"/>
      <c r="Y732" s="3"/>
      <c r="Z732" s="3"/>
    </row>
    <row r="733" spans="1:26" ht="22.5" customHeight="1" x14ac:dyDescent="0.85">
      <c r="A733" s="166"/>
      <c r="B733" s="167"/>
      <c r="C733" s="167"/>
      <c r="D733" s="147"/>
      <c r="E733" s="147"/>
      <c r="F733" s="147"/>
      <c r="G733" s="147"/>
      <c r="H733" s="147"/>
      <c r="I733" s="147"/>
      <c r="J733" s="147"/>
      <c r="K733" s="3"/>
      <c r="L733" s="3"/>
      <c r="M733" s="3"/>
      <c r="N733" s="3"/>
      <c r="O733" s="3"/>
      <c r="P733" s="3"/>
      <c r="Q733" s="3"/>
      <c r="R733" s="3"/>
      <c r="S733" s="3"/>
      <c r="T733" s="3"/>
      <c r="U733" s="3"/>
      <c r="V733" s="3"/>
      <c r="W733" s="3"/>
      <c r="X733" s="3"/>
      <c r="Y733" s="3"/>
      <c r="Z733" s="3"/>
    </row>
    <row r="734" spans="1:26" ht="22.5" customHeight="1" x14ac:dyDescent="0.85">
      <c r="A734" s="166"/>
      <c r="B734" s="167"/>
      <c r="C734" s="167"/>
      <c r="D734" s="147"/>
      <c r="E734" s="147"/>
      <c r="F734" s="147"/>
      <c r="G734" s="147"/>
      <c r="H734" s="147"/>
      <c r="I734" s="147"/>
      <c r="J734" s="147"/>
      <c r="K734" s="3"/>
      <c r="L734" s="3"/>
      <c r="M734" s="3"/>
      <c r="N734" s="3"/>
      <c r="O734" s="3"/>
      <c r="P734" s="3"/>
      <c r="Q734" s="3"/>
      <c r="R734" s="3"/>
      <c r="S734" s="3"/>
      <c r="T734" s="3"/>
      <c r="U734" s="3"/>
      <c r="V734" s="3"/>
      <c r="W734" s="3"/>
      <c r="X734" s="3"/>
      <c r="Y734" s="3"/>
      <c r="Z734" s="3"/>
    </row>
    <row r="735" spans="1:26" ht="22.5" customHeight="1" x14ac:dyDescent="0.85">
      <c r="A735" s="166"/>
      <c r="B735" s="167"/>
      <c r="C735" s="167"/>
      <c r="D735" s="147"/>
      <c r="E735" s="147"/>
      <c r="F735" s="147"/>
      <c r="G735" s="147"/>
      <c r="H735" s="147"/>
      <c r="I735" s="147"/>
      <c r="J735" s="147"/>
      <c r="K735" s="3"/>
      <c r="L735" s="3"/>
      <c r="M735" s="3"/>
      <c r="N735" s="3"/>
      <c r="O735" s="3"/>
      <c r="P735" s="3"/>
      <c r="Q735" s="3"/>
      <c r="R735" s="3"/>
      <c r="S735" s="3"/>
      <c r="T735" s="3"/>
      <c r="U735" s="3"/>
      <c r="V735" s="3"/>
      <c r="W735" s="3"/>
      <c r="X735" s="3"/>
      <c r="Y735" s="3"/>
      <c r="Z735" s="3"/>
    </row>
    <row r="736" spans="1:26" ht="22.5" customHeight="1" x14ac:dyDescent="0.85">
      <c r="A736" s="166"/>
      <c r="B736" s="167"/>
      <c r="C736" s="167"/>
      <c r="D736" s="147"/>
      <c r="E736" s="147"/>
      <c r="F736" s="147"/>
      <c r="G736" s="147"/>
      <c r="H736" s="147"/>
      <c r="I736" s="147"/>
      <c r="J736" s="147"/>
      <c r="K736" s="3"/>
      <c r="L736" s="3"/>
      <c r="M736" s="3"/>
      <c r="N736" s="3"/>
      <c r="O736" s="3"/>
      <c r="P736" s="3"/>
      <c r="Q736" s="3"/>
      <c r="R736" s="3"/>
      <c r="S736" s="3"/>
      <c r="T736" s="3"/>
      <c r="U736" s="3"/>
      <c r="V736" s="3"/>
      <c r="W736" s="3"/>
      <c r="X736" s="3"/>
      <c r="Y736" s="3"/>
      <c r="Z736" s="3"/>
    </row>
    <row r="737" spans="1:26" ht="22.5" customHeight="1" x14ac:dyDescent="0.85">
      <c r="A737" s="166"/>
      <c r="B737" s="167"/>
      <c r="C737" s="167"/>
      <c r="D737" s="147"/>
      <c r="E737" s="147"/>
      <c r="F737" s="147"/>
      <c r="G737" s="147"/>
      <c r="H737" s="147"/>
      <c r="I737" s="147"/>
      <c r="J737" s="147"/>
      <c r="K737" s="3"/>
      <c r="L737" s="3"/>
      <c r="M737" s="3"/>
      <c r="N737" s="3"/>
      <c r="O737" s="3"/>
      <c r="P737" s="3"/>
      <c r="Q737" s="3"/>
      <c r="R737" s="3"/>
      <c r="S737" s="3"/>
      <c r="T737" s="3"/>
      <c r="U737" s="3"/>
      <c r="V737" s="3"/>
      <c r="W737" s="3"/>
      <c r="X737" s="3"/>
      <c r="Y737" s="3"/>
      <c r="Z737" s="3"/>
    </row>
    <row r="738" spans="1:26" ht="22.5" customHeight="1" x14ac:dyDescent="0.85">
      <c r="A738" s="166"/>
      <c r="B738" s="167"/>
      <c r="C738" s="167"/>
      <c r="D738" s="147"/>
      <c r="E738" s="147"/>
      <c r="F738" s="147"/>
      <c r="G738" s="147"/>
      <c r="H738" s="147"/>
      <c r="I738" s="147"/>
      <c r="J738" s="147"/>
      <c r="K738" s="3"/>
      <c r="L738" s="3"/>
      <c r="M738" s="3"/>
      <c r="N738" s="3"/>
      <c r="O738" s="3"/>
      <c r="P738" s="3"/>
      <c r="Q738" s="3"/>
      <c r="R738" s="3"/>
      <c r="S738" s="3"/>
      <c r="T738" s="3"/>
      <c r="U738" s="3"/>
      <c r="V738" s="3"/>
      <c r="W738" s="3"/>
      <c r="X738" s="3"/>
      <c r="Y738" s="3"/>
      <c r="Z738" s="3"/>
    </row>
    <row r="739" spans="1:26" ht="22.5" customHeight="1" x14ac:dyDescent="0.85">
      <c r="A739" s="166"/>
      <c r="B739" s="167"/>
      <c r="C739" s="167"/>
      <c r="D739" s="147"/>
      <c r="E739" s="147"/>
      <c r="F739" s="147"/>
      <c r="G739" s="147"/>
      <c r="H739" s="147"/>
      <c r="I739" s="147"/>
      <c r="J739" s="147"/>
      <c r="K739" s="3"/>
      <c r="L739" s="3"/>
      <c r="M739" s="3"/>
      <c r="N739" s="3"/>
      <c r="O739" s="3"/>
      <c r="P739" s="3"/>
      <c r="Q739" s="3"/>
      <c r="R739" s="3"/>
      <c r="S739" s="3"/>
      <c r="T739" s="3"/>
      <c r="U739" s="3"/>
      <c r="V739" s="3"/>
      <c r="W739" s="3"/>
      <c r="X739" s="3"/>
      <c r="Y739" s="3"/>
      <c r="Z739" s="3"/>
    </row>
    <row r="740" spans="1:26" ht="22.5" customHeight="1" x14ac:dyDescent="0.85">
      <c r="A740" s="166"/>
      <c r="B740" s="167"/>
      <c r="C740" s="167"/>
      <c r="D740" s="147"/>
      <c r="E740" s="147"/>
      <c r="F740" s="147"/>
      <c r="G740" s="147"/>
      <c r="H740" s="147"/>
      <c r="I740" s="147"/>
      <c r="J740" s="147"/>
      <c r="K740" s="3"/>
      <c r="L740" s="3"/>
      <c r="M740" s="3"/>
      <c r="N740" s="3"/>
      <c r="O740" s="3"/>
      <c r="P740" s="3"/>
      <c r="Q740" s="3"/>
      <c r="R740" s="3"/>
      <c r="S740" s="3"/>
      <c r="T740" s="3"/>
      <c r="U740" s="3"/>
      <c r="V740" s="3"/>
      <c r="W740" s="3"/>
      <c r="X740" s="3"/>
      <c r="Y740" s="3"/>
      <c r="Z740" s="3"/>
    </row>
    <row r="741" spans="1:26" ht="22.5" customHeight="1" x14ac:dyDescent="0.85">
      <c r="A741" s="166"/>
      <c r="B741" s="167"/>
      <c r="C741" s="167"/>
      <c r="D741" s="147"/>
      <c r="E741" s="147"/>
      <c r="F741" s="147"/>
      <c r="G741" s="147"/>
      <c r="H741" s="147"/>
      <c r="I741" s="147"/>
      <c r="J741" s="147"/>
      <c r="K741" s="3"/>
      <c r="L741" s="3"/>
      <c r="M741" s="3"/>
      <c r="N741" s="3"/>
      <c r="O741" s="3"/>
      <c r="P741" s="3"/>
      <c r="Q741" s="3"/>
      <c r="R741" s="3"/>
      <c r="S741" s="3"/>
      <c r="T741" s="3"/>
      <c r="U741" s="3"/>
      <c r="V741" s="3"/>
      <c r="W741" s="3"/>
      <c r="X741" s="3"/>
      <c r="Y741" s="3"/>
      <c r="Z741" s="3"/>
    </row>
    <row r="742" spans="1:26" ht="22.5" customHeight="1" x14ac:dyDescent="0.85">
      <c r="A742" s="166"/>
      <c r="B742" s="167"/>
      <c r="C742" s="167"/>
      <c r="D742" s="147"/>
      <c r="E742" s="147"/>
      <c r="F742" s="147"/>
      <c r="G742" s="147"/>
      <c r="H742" s="147"/>
      <c r="I742" s="147"/>
      <c r="J742" s="147"/>
      <c r="K742" s="3"/>
      <c r="L742" s="3"/>
      <c r="M742" s="3"/>
      <c r="N742" s="3"/>
      <c r="O742" s="3"/>
      <c r="P742" s="3"/>
      <c r="Q742" s="3"/>
      <c r="R742" s="3"/>
      <c r="S742" s="3"/>
      <c r="T742" s="3"/>
      <c r="U742" s="3"/>
      <c r="V742" s="3"/>
      <c r="W742" s="3"/>
      <c r="X742" s="3"/>
      <c r="Y742" s="3"/>
      <c r="Z742" s="3"/>
    </row>
    <row r="743" spans="1:26" ht="22.5" customHeight="1" x14ac:dyDescent="0.85">
      <c r="A743" s="166"/>
      <c r="B743" s="167"/>
      <c r="C743" s="167"/>
      <c r="D743" s="147"/>
      <c r="E743" s="147"/>
      <c r="F743" s="147"/>
      <c r="G743" s="147"/>
      <c r="H743" s="147"/>
      <c r="I743" s="147"/>
      <c r="J743" s="147"/>
      <c r="K743" s="3"/>
      <c r="L743" s="3"/>
      <c r="M743" s="3"/>
      <c r="N743" s="3"/>
      <c r="O743" s="3"/>
      <c r="P743" s="3"/>
      <c r="Q743" s="3"/>
      <c r="R743" s="3"/>
      <c r="S743" s="3"/>
      <c r="T743" s="3"/>
      <c r="U743" s="3"/>
      <c r="V743" s="3"/>
      <c r="W743" s="3"/>
      <c r="X743" s="3"/>
      <c r="Y743" s="3"/>
      <c r="Z743" s="3"/>
    </row>
    <row r="744" spans="1:26" ht="22.5" customHeight="1" x14ac:dyDescent="0.85">
      <c r="A744" s="166"/>
      <c r="B744" s="167"/>
      <c r="C744" s="167"/>
      <c r="D744" s="147"/>
      <c r="E744" s="147"/>
      <c r="F744" s="147"/>
      <c r="G744" s="147"/>
      <c r="H744" s="147"/>
      <c r="I744" s="147"/>
      <c r="J744" s="147"/>
      <c r="K744" s="3"/>
      <c r="L744" s="3"/>
      <c r="M744" s="3"/>
      <c r="N744" s="3"/>
      <c r="O744" s="3"/>
      <c r="P744" s="3"/>
      <c r="Q744" s="3"/>
      <c r="R744" s="3"/>
      <c r="S744" s="3"/>
      <c r="T744" s="3"/>
      <c r="U744" s="3"/>
      <c r="V744" s="3"/>
      <c r="W744" s="3"/>
      <c r="X744" s="3"/>
      <c r="Y744" s="3"/>
      <c r="Z744" s="3"/>
    </row>
    <row r="745" spans="1:26" ht="22.5" customHeight="1" x14ac:dyDescent="0.85">
      <c r="A745" s="166"/>
      <c r="B745" s="167"/>
      <c r="C745" s="167"/>
      <c r="D745" s="147"/>
      <c r="E745" s="147"/>
      <c r="F745" s="147"/>
      <c r="G745" s="147"/>
      <c r="H745" s="147"/>
      <c r="I745" s="147"/>
      <c r="J745" s="147"/>
      <c r="K745" s="3"/>
      <c r="L745" s="3"/>
      <c r="M745" s="3"/>
      <c r="N745" s="3"/>
      <c r="O745" s="3"/>
      <c r="P745" s="3"/>
      <c r="Q745" s="3"/>
      <c r="R745" s="3"/>
      <c r="S745" s="3"/>
      <c r="T745" s="3"/>
      <c r="U745" s="3"/>
      <c r="V745" s="3"/>
      <c r="W745" s="3"/>
      <c r="X745" s="3"/>
      <c r="Y745" s="3"/>
      <c r="Z745" s="3"/>
    </row>
    <row r="746" spans="1:26" ht="22.5" customHeight="1" x14ac:dyDescent="0.85">
      <c r="A746" s="166"/>
      <c r="B746" s="167"/>
      <c r="C746" s="167"/>
      <c r="D746" s="147"/>
      <c r="E746" s="147"/>
      <c r="F746" s="147"/>
      <c r="G746" s="147"/>
      <c r="H746" s="147"/>
      <c r="I746" s="147"/>
      <c r="J746" s="147"/>
      <c r="K746" s="3"/>
      <c r="L746" s="3"/>
      <c r="M746" s="3"/>
      <c r="N746" s="3"/>
      <c r="O746" s="3"/>
      <c r="P746" s="3"/>
      <c r="Q746" s="3"/>
      <c r="R746" s="3"/>
      <c r="S746" s="3"/>
      <c r="T746" s="3"/>
      <c r="U746" s="3"/>
      <c r="V746" s="3"/>
      <c r="W746" s="3"/>
      <c r="X746" s="3"/>
      <c r="Y746" s="3"/>
      <c r="Z746" s="3"/>
    </row>
    <row r="747" spans="1:26" ht="22.5" customHeight="1" x14ac:dyDescent="0.85">
      <c r="A747" s="166"/>
      <c r="B747" s="167"/>
      <c r="C747" s="167"/>
      <c r="D747" s="147"/>
      <c r="E747" s="147"/>
      <c r="F747" s="147"/>
      <c r="G747" s="147"/>
      <c r="H747" s="147"/>
      <c r="I747" s="147"/>
      <c r="J747" s="147"/>
      <c r="K747" s="3"/>
      <c r="L747" s="3"/>
      <c r="M747" s="3"/>
      <c r="N747" s="3"/>
      <c r="O747" s="3"/>
      <c r="P747" s="3"/>
      <c r="Q747" s="3"/>
      <c r="R747" s="3"/>
      <c r="S747" s="3"/>
      <c r="T747" s="3"/>
      <c r="U747" s="3"/>
      <c r="V747" s="3"/>
      <c r="W747" s="3"/>
      <c r="X747" s="3"/>
      <c r="Y747" s="3"/>
      <c r="Z747" s="3"/>
    </row>
    <row r="748" spans="1:26" ht="22.5" customHeight="1" x14ac:dyDescent="0.85">
      <c r="A748" s="166"/>
      <c r="B748" s="167"/>
      <c r="C748" s="167"/>
      <c r="D748" s="147"/>
      <c r="E748" s="147"/>
      <c r="F748" s="147"/>
      <c r="G748" s="147"/>
      <c r="H748" s="147"/>
      <c r="I748" s="147"/>
      <c r="J748" s="147"/>
      <c r="K748" s="3"/>
      <c r="L748" s="3"/>
      <c r="M748" s="3"/>
      <c r="N748" s="3"/>
      <c r="O748" s="3"/>
      <c r="P748" s="3"/>
      <c r="Q748" s="3"/>
      <c r="R748" s="3"/>
      <c r="S748" s="3"/>
      <c r="T748" s="3"/>
      <c r="U748" s="3"/>
      <c r="V748" s="3"/>
      <c r="W748" s="3"/>
      <c r="X748" s="3"/>
      <c r="Y748" s="3"/>
      <c r="Z748" s="3"/>
    </row>
    <row r="749" spans="1:26" ht="22.5" customHeight="1" x14ac:dyDescent="0.85">
      <c r="A749" s="166"/>
      <c r="B749" s="167"/>
      <c r="C749" s="167"/>
      <c r="D749" s="147"/>
      <c r="E749" s="147"/>
      <c r="F749" s="147"/>
      <c r="G749" s="147"/>
      <c r="H749" s="147"/>
      <c r="I749" s="147"/>
      <c r="J749" s="147"/>
      <c r="K749" s="3"/>
      <c r="L749" s="3"/>
      <c r="M749" s="3"/>
      <c r="N749" s="3"/>
      <c r="O749" s="3"/>
      <c r="P749" s="3"/>
      <c r="Q749" s="3"/>
      <c r="R749" s="3"/>
      <c r="S749" s="3"/>
      <c r="T749" s="3"/>
      <c r="U749" s="3"/>
      <c r="V749" s="3"/>
      <c r="W749" s="3"/>
      <c r="X749" s="3"/>
      <c r="Y749" s="3"/>
      <c r="Z749" s="3"/>
    </row>
    <row r="750" spans="1:26" ht="22.5" customHeight="1" x14ac:dyDescent="0.85">
      <c r="A750" s="166"/>
      <c r="B750" s="167"/>
      <c r="C750" s="167"/>
      <c r="D750" s="147"/>
      <c r="E750" s="147"/>
      <c r="F750" s="147"/>
      <c r="G750" s="147"/>
      <c r="H750" s="147"/>
      <c r="I750" s="147"/>
      <c r="J750" s="147"/>
      <c r="K750" s="3"/>
      <c r="L750" s="3"/>
      <c r="M750" s="3"/>
      <c r="N750" s="3"/>
      <c r="O750" s="3"/>
      <c r="P750" s="3"/>
      <c r="Q750" s="3"/>
      <c r="R750" s="3"/>
      <c r="S750" s="3"/>
      <c r="T750" s="3"/>
      <c r="U750" s="3"/>
      <c r="V750" s="3"/>
      <c r="W750" s="3"/>
      <c r="X750" s="3"/>
      <c r="Y750" s="3"/>
      <c r="Z750" s="3"/>
    </row>
    <row r="751" spans="1:26" ht="22.5" customHeight="1" x14ac:dyDescent="0.85">
      <c r="A751" s="166"/>
      <c r="B751" s="167"/>
      <c r="C751" s="167"/>
      <c r="D751" s="147"/>
      <c r="E751" s="147"/>
      <c r="F751" s="147"/>
      <c r="G751" s="147"/>
      <c r="H751" s="147"/>
      <c r="I751" s="147"/>
      <c r="J751" s="147"/>
      <c r="K751" s="3"/>
      <c r="L751" s="3"/>
      <c r="M751" s="3"/>
      <c r="N751" s="3"/>
      <c r="O751" s="3"/>
      <c r="P751" s="3"/>
      <c r="Q751" s="3"/>
      <c r="R751" s="3"/>
      <c r="S751" s="3"/>
      <c r="T751" s="3"/>
      <c r="U751" s="3"/>
      <c r="V751" s="3"/>
      <c r="W751" s="3"/>
      <c r="X751" s="3"/>
      <c r="Y751" s="3"/>
      <c r="Z751" s="3"/>
    </row>
    <row r="752" spans="1:26" ht="22.5" customHeight="1" x14ac:dyDescent="0.85">
      <c r="A752" s="166"/>
      <c r="B752" s="167"/>
      <c r="C752" s="167"/>
      <c r="D752" s="147"/>
      <c r="E752" s="147"/>
      <c r="F752" s="147"/>
      <c r="G752" s="147"/>
      <c r="H752" s="147"/>
      <c r="I752" s="147"/>
      <c r="J752" s="147"/>
      <c r="K752" s="3"/>
      <c r="L752" s="3"/>
      <c r="M752" s="3"/>
      <c r="N752" s="3"/>
      <c r="O752" s="3"/>
      <c r="P752" s="3"/>
      <c r="Q752" s="3"/>
      <c r="R752" s="3"/>
      <c r="S752" s="3"/>
      <c r="T752" s="3"/>
      <c r="U752" s="3"/>
      <c r="V752" s="3"/>
      <c r="W752" s="3"/>
      <c r="X752" s="3"/>
      <c r="Y752" s="3"/>
      <c r="Z752" s="3"/>
    </row>
    <row r="753" spans="1:26" ht="22.5" customHeight="1" x14ac:dyDescent="0.85">
      <c r="A753" s="166"/>
      <c r="B753" s="167"/>
      <c r="C753" s="167"/>
      <c r="D753" s="147"/>
      <c r="E753" s="147"/>
      <c r="F753" s="147"/>
      <c r="G753" s="147"/>
      <c r="H753" s="147"/>
      <c r="I753" s="147"/>
      <c r="J753" s="147"/>
      <c r="K753" s="3"/>
      <c r="L753" s="3"/>
      <c r="M753" s="3"/>
      <c r="N753" s="3"/>
      <c r="O753" s="3"/>
      <c r="P753" s="3"/>
      <c r="Q753" s="3"/>
      <c r="R753" s="3"/>
      <c r="S753" s="3"/>
      <c r="T753" s="3"/>
      <c r="U753" s="3"/>
      <c r="V753" s="3"/>
      <c r="W753" s="3"/>
      <c r="X753" s="3"/>
      <c r="Y753" s="3"/>
      <c r="Z753" s="3"/>
    </row>
    <row r="754" spans="1:26" ht="22.5" customHeight="1" x14ac:dyDescent="0.85">
      <c r="A754" s="166"/>
      <c r="B754" s="167"/>
      <c r="C754" s="167"/>
      <c r="D754" s="147"/>
      <c r="E754" s="147"/>
      <c r="F754" s="147"/>
      <c r="G754" s="147"/>
      <c r="H754" s="147"/>
      <c r="I754" s="147"/>
      <c r="J754" s="147"/>
      <c r="K754" s="3"/>
      <c r="L754" s="3"/>
      <c r="M754" s="3"/>
      <c r="N754" s="3"/>
      <c r="O754" s="3"/>
      <c r="P754" s="3"/>
      <c r="Q754" s="3"/>
      <c r="R754" s="3"/>
      <c r="S754" s="3"/>
      <c r="T754" s="3"/>
      <c r="U754" s="3"/>
      <c r="V754" s="3"/>
      <c r="W754" s="3"/>
      <c r="X754" s="3"/>
      <c r="Y754" s="3"/>
      <c r="Z754" s="3"/>
    </row>
    <row r="755" spans="1:26" ht="22.5" customHeight="1" x14ac:dyDescent="0.85">
      <c r="A755" s="166"/>
      <c r="B755" s="167"/>
      <c r="C755" s="167"/>
      <c r="D755" s="147"/>
      <c r="E755" s="147"/>
      <c r="F755" s="147"/>
      <c r="G755" s="147"/>
      <c r="H755" s="147"/>
      <c r="I755" s="147"/>
      <c r="J755" s="147"/>
      <c r="K755" s="3"/>
      <c r="L755" s="3"/>
      <c r="M755" s="3"/>
      <c r="N755" s="3"/>
      <c r="O755" s="3"/>
      <c r="P755" s="3"/>
      <c r="Q755" s="3"/>
      <c r="R755" s="3"/>
      <c r="S755" s="3"/>
      <c r="T755" s="3"/>
      <c r="U755" s="3"/>
      <c r="V755" s="3"/>
      <c r="W755" s="3"/>
      <c r="X755" s="3"/>
      <c r="Y755" s="3"/>
      <c r="Z755" s="3"/>
    </row>
    <row r="756" spans="1:26" ht="22.5" customHeight="1" x14ac:dyDescent="0.85">
      <c r="A756" s="166"/>
      <c r="B756" s="167"/>
      <c r="C756" s="167"/>
      <c r="D756" s="147"/>
      <c r="E756" s="147"/>
      <c r="F756" s="147"/>
      <c r="G756" s="147"/>
      <c r="H756" s="147"/>
      <c r="I756" s="147"/>
      <c r="J756" s="147"/>
      <c r="K756" s="3"/>
      <c r="L756" s="3"/>
      <c r="M756" s="3"/>
      <c r="N756" s="3"/>
      <c r="O756" s="3"/>
      <c r="P756" s="3"/>
      <c r="Q756" s="3"/>
      <c r="R756" s="3"/>
      <c r="S756" s="3"/>
      <c r="T756" s="3"/>
      <c r="U756" s="3"/>
      <c r="V756" s="3"/>
      <c r="W756" s="3"/>
      <c r="X756" s="3"/>
      <c r="Y756" s="3"/>
      <c r="Z756" s="3"/>
    </row>
    <row r="757" spans="1:26" ht="22.5" customHeight="1" x14ac:dyDescent="0.85">
      <c r="A757" s="166"/>
      <c r="B757" s="167"/>
      <c r="C757" s="167"/>
      <c r="D757" s="147"/>
      <c r="E757" s="147"/>
      <c r="F757" s="147"/>
      <c r="G757" s="147"/>
      <c r="H757" s="147"/>
      <c r="I757" s="147"/>
      <c r="J757" s="147"/>
      <c r="K757" s="3"/>
      <c r="L757" s="3"/>
      <c r="M757" s="3"/>
      <c r="N757" s="3"/>
      <c r="O757" s="3"/>
      <c r="P757" s="3"/>
      <c r="Q757" s="3"/>
      <c r="R757" s="3"/>
      <c r="S757" s="3"/>
      <c r="T757" s="3"/>
      <c r="U757" s="3"/>
      <c r="V757" s="3"/>
      <c r="W757" s="3"/>
      <c r="X757" s="3"/>
      <c r="Y757" s="3"/>
      <c r="Z757" s="3"/>
    </row>
    <row r="758" spans="1:26" ht="22.5" customHeight="1" x14ac:dyDescent="0.85">
      <c r="A758" s="166"/>
      <c r="B758" s="167"/>
      <c r="C758" s="167"/>
      <c r="D758" s="147"/>
      <c r="E758" s="147"/>
      <c r="F758" s="147"/>
      <c r="G758" s="147"/>
      <c r="H758" s="147"/>
      <c r="I758" s="147"/>
      <c r="J758" s="147"/>
      <c r="K758" s="3"/>
      <c r="L758" s="3"/>
      <c r="M758" s="3"/>
      <c r="N758" s="3"/>
      <c r="O758" s="3"/>
      <c r="P758" s="3"/>
      <c r="Q758" s="3"/>
      <c r="R758" s="3"/>
      <c r="S758" s="3"/>
      <c r="T758" s="3"/>
      <c r="U758" s="3"/>
      <c r="V758" s="3"/>
      <c r="W758" s="3"/>
      <c r="X758" s="3"/>
      <c r="Y758" s="3"/>
      <c r="Z758" s="3"/>
    </row>
    <row r="759" spans="1:26" ht="22.5" customHeight="1" x14ac:dyDescent="0.85">
      <c r="A759" s="166"/>
      <c r="B759" s="167"/>
      <c r="C759" s="167"/>
      <c r="D759" s="147"/>
      <c r="E759" s="147"/>
      <c r="F759" s="147"/>
      <c r="G759" s="147"/>
      <c r="H759" s="147"/>
      <c r="I759" s="147"/>
      <c r="J759" s="147"/>
      <c r="K759" s="3"/>
      <c r="L759" s="3"/>
      <c r="M759" s="3"/>
      <c r="N759" s="3"/>
      <c r="O759" s="3"/>
      <c r="P759" s="3"/>
      <c r="Q759" s="3"/>
      <c r="R759" s="3"/>
      <c r="S759" s="3"/>
      <c r="T759" s="3"/>
      <c r="U759" s="3"/>
      <c r="V759" s="3"/>
      <c r="W759" s="3"/>
      <c r="X759" s="3"/>
      <c r="Y759" s="3"/>
      <c r="Z759" s="3"/>
    </row>
    <row r="760" spans="1:26" ht="22.5" customHeight="1" x14ac:dyDescent="0.85">
      <c r="A760" s="166"/>
      <c r="B760" s="167"/>
      <c r="C760" s="167"/>
      <c r="D760" s="147"/>
      <c r="E760" s="147"/>
      <c r="F760" s="147"/>
      <c r="G760" s="147"/>
      <c r="H760" s="147"/>
      <c r="I760" s="147"/>
      <c r="J760" s="147"/>
      <c r="K760" s="3"/>
      <c r="L760" s="3"/>
      <c r="M760" s="3"/>
      <c r="N760" s="3"/>
      <c r="O760" s="3"/>
      <c r="P760" s="3"/>
      <c r="Q760" s="3"/>
      <c r="R760" s="3"/>
      <c r="S760" s="3"/>
      <c r="T760" s="3"/>
      <c r="U760" s="3"/>
      <c r="V760" s="3"/>
      <c r="W760" s="3"/>
      <c r="X760" s="3"/>
      <c r="Y760" s="3"/>
      <c r="Z760" s="3"/>
    </row>
    <row r="761" spans="1:26" ht="22.5" customHeight="1" x14ac:dyDescent="0.85">
      <c r="A761" s="166"/>
      <c r="B761" s="167"/>
      <c r="C761" s="167"/>
      <c r="D761" s="147"/>
      <c r="E761" s="147"/>
      <c r="F761" s="147"/>
      <c r="G761" s="147"/>
      <c r="H761" s="147"/>
      <c r="I761" s="147"/>
      <c r="J761" s="147"/>
      <c r="K761" s="3"/>
      <c r="L761" s="3"/>
      <c r="M761" s="3"/>
      <c r="N761" s="3"/>
      <c r="O761" s="3"/>
      <c r="P761" s="3"/>
      <c r="Q761" s="3"/>
      <c r="R761" s="3"/>
      <c r="S761" s="3"/>
      <c r="T761" s="3"/>
      <c r="U761" s="3"/>
      <c r="V761" s="3"/>
      <c r="W761" s="3"/>
      <c r="X761" s="3"/>
      <c r="Y761" s="3"/>
      <c r="Z761" s="3"/>
    </row>
    <row r="762" spans="1:26" ht="22.5" customHeight="1" x14ac:dyDescent="0.85">
      <c r="A762" s="166"/>
      <c r="B762" s="167"/>
      <c r="C762" s="167"/>
      <c r="D762" s="147"/>
      <c r="E762" s="147"/>
      <c r="F762" s="147"/>
      <c r="G762" s="147"/>
      <c r="H762" s="147"/>
      <c r="I762" s="147"/>
      <c r="J762" s="147"/>
      <c r="K762" s="3"/>
      <c r="L762" s="3"/>
      <c r="M762" s="3"/>
      <c r="N762" s="3"/>
      <c r="O762" s="3"/>
      <c r="P762" s="3"/>
      <c r="Q762" s="3"/>
      <c r="R762" s="3"/>
      <c r="S762" s="3"/>
      <c r="T762" s="3"/>
      <c r="U762" s="3"/>
      <c r="V762" s="3"/>
      <c r="W762" s="3"/>
      <c r="X762" s="3"/>
      <c r="Y762" s="3"/>
      <c r="Z762" s="3"/>
    </row>
    <row r="763" spans="1:26" ht="22.5" customHeight="1" x14ac:dyDescent="0.85">
      <c r="A763" s="166"/>
      <c r="B763" s="167"/>
      <c r="C763" s="167"/>
      <c r="D763" s="147"/>
      <c r="E763" s="147"/>
      <c r="F763" s="147"/>
      <c r="G763" s="147"/>
      <c r="H763" s="147"/>
      <c r="I763" s="147"/>
      <c r="J763" s="147"/>
      <c r="K763" s="3"/>
      <c r="L763" s="3"/>
      <c r="M763" s="3"/>
      <c r="N763" s="3"/>
      <c r="O763" s="3"/>
      <c r="P763" s="3"/>
      <c r="Q763" s="3"/>
      <c r="R763" s="3"/>
      <c r="S763" s="3"/>
      <c r="T763" s="3"/>
      <c r="U763" s="3"/>
      <c r="V763" s="3"/>
      <c r="W763" s="3"/>
      <c r="X763" s="3"/>
      <c r="Y763" s="3"/>
      <c r="Z763" s="3"/>
    </row>
    <row r="764" spans="1:26" ht="22.5" customHeight="1" x14ac:dyDescent="0.85">
      <c r="A764" s="166"/>
      <c r="B764" s="167"/>
      <c r="C764" s="167"/>
      <c r="D764" s="147"/>
      <c r="E764" s="147"/>
      <c r="F764" s="147"/>
      <c r="G764" s="147"/>
      <c r="H764" s="147"/>
      <c r="I764" s="147"/>
      <c r="J764" s="147"/>
      <c r="K764" s="3"/>
      <c r="L764" s="3"/>
      <c r="M764" s="3"/>
      <c r="N764" s="3"/>
      <c r="O764" s="3"/>
      <c r="P764" s="3"/>
      <c r="Q764" s="3"/>
      <c r="R764" s="3"/>
      <c r="S764" s="3"/>
      <c r="T764" s="3"/>
      <c r="U764" s="3"/>
      <c r="V764" s="3"/>
      <c r="W764" s="3"/>
      <c r="X764" s="3"/>
      <c r="Y764" s="3"/>
      <c r="Z764" s="3"/>
    </row>
    <row r="765" spans="1:26" ht="22.5" customHeight="1" x14ac:dyDescent="0.85">
      <c r="A765" s="166"/>
      <c r="B765" s="167"/>
      <c r="C765" s="167"/>
      <c r="D765" s="147"/>
      <c r="E765" s="147"/>
      <c r="F765" s="147"/>
      <c r="G765" s="147"/>
      <c r="H765" s="147"/>
      <c r="I765" s="147"/>
      <c r="J765" s="147"/>
      <c r="K765" s="3"/>
      <c r="L765" s="3"/>
      <c r="M765" s="3"/>
      <c r="N765" s="3"/>
      <c r="O765" s="3"/>
      <c r="P765" s="3"/>
      <c r="Q765" s="3"/>
      <c r="R765" s="3"/>
      <c r="S765" s="3"/>
      <c r="T765" s="3"/>
      <c r="U765" s="3"/>
      <c r="V765" s="3"/>
      <c r="W765" s="3"/>
      <c r="X765" s="3"/>
      <c r="Y765" s="3"/>
      <c r="Z765" s="3"/>
    </row>
    <row r="766" spans="1:26" ht="22.5" customHeight="1" x14ac:dyDescent="0.85">
      <c r="A766" s="166"/>
      <c r="B766" s="167"/>
      <c r="C766" s="167"/>
      <c r="D766" s="147"/>
      <c r="E766" s="147"/>
      <c r="F766" s="147"/>
      <c r="G766" s="147"/>
      <c r="H766" s="147"/>
      <c r="I766" s="147"/>
      <c r="J766" s="147"/>
      <c r="K766" s="3"/>
      <c r="L766" s="3"/>
      <c r="M766" s="3"/>
      <c r="N766" s="3"/>
      <c r="O766" s="3"/>
      <c r="P766" s="3"/>
      <c r="Q766" s="3"/>
      <c r="R766" s="3"/>
      <c r="S766" s="3"/>
      <c r="T766" s="3"/>
      <c r="U766" s="3"/>
      <c r="V766" s="3"/>
      <c r="W766" s="3"/>
      <c r="X766" s="3"/>
      <c r="Y766" s="3"/>
      <c r="Z766" s="3"/>
    </row>
    <row r="767" spans="1:26" ht="22.5" customHeight="1" x14ac:dyDescent="0.85">
      <c r="A767" s="166"/>
      <c r="B767" s="167"/>
      <c r="C767" s="167"/>
      <c r="D767" s="147"/>
      <c r="E767" s="147"/>
      <c r="F767" s="147"/>
      <c r="G767" s="147"/>
      <c r="H767" s="147"/>
      <c r="I767" s="147"/>
      <c r="J767" s="147"/>
      <c r="K767" s="3"/>
      <c r="L767" s="3"/>
      <c r="M767" s="3"/>
      <c r="N767" s="3"/>
      <c r="O767" s="3"/>
      <c r="P767" s="3"/>
      <c r="Q767" s="3"/>
      <c r="R767" s="3"/>
      <c r="S767" s="3"/>
      <c r="T767" s="3"/>
      <c r="U767" s="3"/>
      <c r="V767" s="3"/>
      <c r="W767" s="3"/>
      <c r="X767" s="3"/>
      <c r="Y767" s="3"/>
      <c r="Z767" s="3"/>
    </row>
    <row r="768" spans="1:26" ht="22.5" customHeight="1" x14ac:dyDescent="0.85">
      <c r="A768" s="166"/>
      <c r="B768" s="167"/>
      <c r="C768" s="167"/>
      <c r="D768" s="147"/>
      <c r="E768" s="147"/>
      <c r="F768" s="147"/>
      <c r="G768" s="147"/>
      <c r="H768" s="147"/>
      <c r="I768" s="147"/>
      <c r="J768" s="147"/>
      <c r="K768" s="3"/>
      <c r="L768" s="3"/>
      <c r="M768" s="3"/>
      <c r="N768" s="3"/>
      <c r="O768" s="3"/>
      <c r="P768" s="3"/>
      <c r="Q768" s="3"/>
      <c r="R768" s="3"/>
      <c r="S768" s="3"/>
      <c r="T768" s="3"/>
      <c r="U768" s="3"/>
      <c r="V768" s="3"/>
      <c r="W768" s="3"/>
      <c r="X768" s="3"/>
      <c r="Y768" s="3"/>
      <c r="Z768" s="3"/>
    </row>
    <row r="769" spans="1:26" ht="22.5" customHeight="1" x14ac:dyDescent="0.85">
      <c r="A769" s="166"/>
      <c r="B769" s="167"/>
      <c r="C769" s="167"/>
      <c r="D769" s="147"/>
      <c r="E769" s="147"/>
      <c r="F769" s="147"/>
      <c r="G769" s="147"/>
      <c r="H769" s="147"/>
      <c r="I769" s="147"/>
      <c r="J769" s="147"/>
      <c r="K769" s="3"/>
      <c r="L769" s="3"/>
      <c r="M769" s="3"/>
      <c r="N769" s="3"/>
      <c r="O769" s="3"/>
      <c r="P769" s="3"/>
      <c r="Q769" s="3"/>
      <c r="R769" s="3"/>
      <c r="S769" s="3"/>
      <c r="T769" s="3"/>
      <c r="U769" s="3"/>
      <c r="V769" s="3"/>
      <c r="W769" s="3"/>
      <c r="X769" s="3"/>
      <c r="Y769" s="3"/>
      <c r="Z769" s="3"/>
    </row>
    <row r="770" spans="1:26" ht="22.5" customHeight="1" x14ac:dyDescent="0.85">
      <c r="A770" s="166"/>
      <c r="B770" s="167"/>
      <c r="C770" s="167"/>
      <c r="D770" s="147"/>
      <c r="E770" s="147"/>
      <c r="F770" s="147"/>
      <c r="G770" s="147"/>
      <c r="H770" s="147"/>
      <c r="I770" s="147"/>
      <c r="J770" s="147"/>
      <c r="K770" s="3"/>
      <c r="L770" s="3"/>
      <c r="M770" s="3"/>
      <c r="N770" s="3"/>
      <c r="O770" s="3"/>
      <c r="P770" s="3"/>
      <c r="Q770" s="3"/>
      <c r="R770" s="3"/>
      <c r="S770" s="3"/>
      <c r="T770" s="3"/>
      <c r="U770" s="3"/>
      <c r="V770" s="3"/>
      <c r="W770" s="3"/>
      <c r="X770" s="3"/>
      <c r="Y770" s="3"/>
      <c r="Z770" s="3"/>
    </row>
    <row r="771" spans="1:26" ht="22.5" customHeight="1" x14ac:dyDescent="0.85">
      <c r="A771" s="166"/>
      <c r="B771" s="167"/>
      <c r="C771" s="167"/>
      <c r="D771" s="147"/>
      <c r="E771" s="147"/>
      <c r="F771" s="147"/>
      <c r="G771" s="147"/>
      <c r="H771" s="147"/>
      <c r="I771" s="147"/>
      <c r="J771" s="147"/>
      <c r="K771" s="3"/>
      <c r="L771" s="3"/>
      <c r="M771" s="3"/>
      <c r="N771" s="3"/>
      <c r="O771" s="3"/>
      <c r="P771" s="3"/>
      <c r="Q771" s="3"/>
      <c r="R771" s="3"/>
      <c r="S771" s="3"/>
      <c r="T771" s="3"/>
      <c r="U771" s="3"/>
      <c r="V771" s="3"/>
      <c r="W771" s="3"/>
      <c r="X771" s="3"/>
      <c r="Y771" s="3"/>
      <c r="Z771" s="3"/>
    </row>
    <row r="772" spans="1:26" ht="22.5" customHeight="1" x14ac:dyDescent="0.85">
      <c r="A772" s="166"/>
      <c r="B772" s="167"/>
      <c r="C772" s="167"/>
      <c r="D772" s="147"/>
      <c r="E772" s="147"/>
      <c r="F772" s="147"/>
      <c r="G772" s="147"/>
      <c r="H772" s="147"/>
      <c r="I772" s="147"/>
      <c r="J772" s="147"/>
      <c r="K772" s="3"/>
      <c r="L772" s="3"/>
      <c r="M772" s="3"/>
      <c r="N772" s="3"/>
      <c r="O772" s="3"/>
      <c r="P772" s="3"/>
      <c r="Q772" s="3"/>
      <c r="R772" s="3"/>
      <c r="S772" s="3"/>
      <c r="T772" s="3"/>
      <c r="U772" s="3"/>
      <c r="V772" s="3"/>
      <c r="W772" s="3"/>
      <c r="X772" s="3"/>
      <c r="Y772" s="3"/>
      <c r="Z772" s="3"/>
    </row>
    <row r="773" spans="1:26" ht="22.5" customHeight="1" x14ac:dyDescent="0.85">
      <c r="A773" s="166"/>
      <c r="B773" s="167"/>
      <c r="C773" s="167"/>
      <c r="D773" s="147"/>
      <c r="E773" s="147"/>
      <c r="F773" s="147"/>
      <c r="G773" s="147"/>
      <c r="H773" s="147"/>
      <c r="I773" s="147"/>
      <c r="J773" s="147"/>
      <c r="K773" s="3"/>
      <c r="L773" s="3"/>
      <c r="M773" s="3"/>
      <c r="N773" s="3"/>
      <c r="O773" s="3"/>
      <c r="P773" s="3"/>
      <c r="Q773" s="3"/>
      <c r="R773" s="3"/>
      <c r="S773" s="3"/>
      <c r="T773" s="3"/>
      <c r="U773" s="3"/>
      <c r="V773" s="3"/>
      <c r="W773" s="3"/>
      <c r="X773" s="3"/>
      <c r="Y773" s="3"/>
      <c r="Z773" s="3"/>
    </row>
    <row r="774" spans="1:26" ht="22.5" customHeight="1" x14ac:dyDescent="0.85">
      <c r="A774" s="166"/>
      <c r="B774" s="167"/>
      <c r="C774" s="167"/>
      <c r="D774" s="147"/>
      <c r="E774" s="147"/>
      <c r="F774" s="147"/>
      <c r="G774" s="147"/>
      <c r="H774" s="147"/>
      <c r="I774" s="147"/>
      <c r="J774" s="147"/>
      <c r="K774" s="3"/>
      <c r="L774" s="3"/>
      <c r="M774" s="3"/>
      <c r="N774" s="3"/>
      <c r="O774" s="3"/>
      <c r="P774" s="3"/>
      <c r="Q774" s="3"/>
      <c r="R774" s="3"/>
      <c r="S774" s="3"/>
      <c r="T774" s="3"/>
      <c r="U774" s="3"/>
      <c r="V774" s="3"/>
      <c r="W774" s="3"/>
      <c r="X774" s="3"/>
      <c r="Y774" s="3"/>
      <c r="Z774" s="3"/>
    </row>
    <row r="775" spans="1:26" ht="22.5" customHeight="1" x14ac:dyDescent="0.85">
      <c r="A775" s="166"/>
      <c r="B775" s="167"/>
      <c r="C775" s="167"/>
      <c r="D775" s="147"/>
      <c r="E775" s="147"/>
      <c r="F775" s="147"/>
      <c r="G775" s="147"/>
      <c r="H775" s="147"/>
      <c r="I775" s="147"/>
      <c r="J775" s="147"/>
      <c r="K775" s="3"/>
      <c r="L775" s="3"/>
      <c r="M775" s="3"/>
      <c r="N775" s="3"/>
      <c r="O775" s="3"/>
      <c r="P775" s="3"/>
      <c r="Q775" s="3"/>
      <c r="R775" s="3"/>
      <c r="S775" s="3"/>
      <c r="T775" s="3"/>
      <c r="U775" s="3"/>
      <c r="V775" s="3"/>
      <c r="W775" s="3"/>
      <c r="X775" s="3"/>
      <c r="Y775" s="3"/>
      <c r="Z775" s="3"/>
    </row>
    <row r="776" spans="1:26" ht="22.5" customHeight="1" x14ac:dyDescent="0.85">
      <c r="A776" s="166"/>
      <c r="B776" s="167"/>
      <c r="C776" s="167"/>
      <c r="D776" s="147"/>
      <c r="E776" s="147"/>
      <c r="F776" s="147"/>
      <c r="G776" s="147"/>
      <c r="H776" s="147"/>
      <c r="I776" s="147"/>
      <c r="J776" s="147"/>
      <c r="K776" s="3"/>
      <c r="L776" s="3"/>
      <c r="M776" s="3"/>
      <c r="N776" s="3"/>
      <c r="O776" s="3"/>
      <c r="P776" s="3"/>
      <c r="Q776" s="3"/>
      <c r="R776" s="3"/>
      <c r="S776" s="3"/>
      <c r="T776" s="3"/>
      <c r="U776" s="3"/>
      <c r="V776" s="3"/>
      <c r="W776" s="3"/>
      <c r="X776" s="3"/>
      <c r="Y776" s="3"/>
      <c r="Z776" s="3"/>
    </row>
    <row r="777" spans="1:26" ht="22.5" customHeight="1" x14ac:dyDescent="0.85">
      <c r="A777" s="166"/>
      <c r="B777" s="167"/>
      <c r="C777" s="167"/>
      <c r="D777" s="147"/>
      <c r="E777" s="147"/>
      <c r="F777" s="147"/>
      <c r="G777" s="147"/>
      <c r="H777" s="147"/>
      <c r="I777" s="147"/>
      <c r="J777" s="147"/>
      <c r="K777" s="3"/>
      <c r="L777" s="3"/>
      <c r="M777" s="3"/>
      <c r="N777" s="3"/>
      <c r="O777" s="3"/>
      <c r="P777" s="3"/>
      <c r="Q777" s="3"/>
      <c r="R777" s="3"/>
      <c r="S777" s="3"/>
      <c r="T777" s="3"/>
      <c r="U777" s="3"/>
      <c r="V777" s="3"/>
      <c r="W777" s="3"/>
      <c r="X777" s="3"/>
      <c r="Y777" s="3"/>
      <c r="Z777" s="3"/>
    </row>
    <row r="778" spans="1:26" ht="22.5" customHeight="1" x14ac:dyDescent="0.85">
      <c r="A778" s="166"/>
      <c r="B778" s="167"/>
      <c r="C778" s="167"/>
      <c r="D778" s="147"/>
      <c r="E778" s="147"/>
      <c r="F778" s="147"/>
      <c r="G778" s="147"/>
      <c r="H778" s="147"/>
      <c r="I778" s="147"/>
      <c r="J778" s="147"/>
      <c r="K778" s="3"/>
      <c r="L778" s="3"/>
      <c r="M778" s="3"/>
      <c r="N778" s="3"/>
      <c r="O778" s="3"/>
      <c r="P778" s="3"/>
      <c r="Q778" s="3"/>
      <c r="R778" s="3"/>
      <c r="S778" s="3"/>
      <c r="T778" s="3"/>
      <c r="U778" s="3"/>
      <c r="V778" s="3"/>
      <c r="W778" s="3"/>
      <c r="X778" s="3"/>
      <c r="Y778" s="3"/>
      <c r="Z778" s="3"/>
    </row>
    <row r="779" spans="1:26" ht="22.5" customHeight="1" x14ac:dyDescent="0.85">
      <c r="A779" s="166"/>
      <c r="B779" s="167"/>
      <c r="C779" s="167"/>
      <c r="D779" s="147"/>
      <c r="E779" s="147"/>
      <c r="F779" s="147"/>
      <c r="G779" s="147"/>
      <c r="H779" s="147"/>
      <c r="I779" s="147"/>
      <c r="J779" s="147"/>
      <c r="K779" s="3"/>
      <c r="L779" s="3"/>
      <c r="M779" s="3"/>
      <c r="N779" s="3"/>
      <c r="O779" s="3"/>
      <c r="P779" s="3"/>
      <c r="Q779" s="3"/>
      <c r="R779" s="3"/>
      <c r="S779" s="3"/>
      <c r="T779" s="3"/>
      <c r="U779" s="3"/>
      <c r="V779" s="3"/>
      <c r="W779" s="3"/>
      <c r="X779" s="3"/>
      <c r="Y779" s="3"/>
      <c r="Z779" s="3"/>
    </row>
    <row r="780" spans="1:26" ht="22.5" customHeight="1" x14ac:dyDescent="0.85">
      <c r="A780" s="166"/>
      <c r="B780" s="167"/>
      <c r="C780" s="167"/>
      <c r="D780" s="147"/>
      <c r="E780" s="147"/>
      <c r="F780" s="147"/>
      <c r="G780" s="147"/>
      <c r="H780" s="147"/>
      <c r="I780" s="147"/>
      <c r="J780" s="147"/>
      <c r="K780" s="3"/>
      <c r="L780" s="3"/>
      <c r="M780" s="3"/>
      <c r="N780" s="3"/>
      <c r="O780" s="3"/>
      <c r="P780" s="3"/>
      <c r="Q780" s="3"/>
      <c r="R780" s="3"/>
      <c r="S780" s="3"/>
      <c r="T780" s="3"/>
      <c r="U780" s="3"/>
      <c r="V780" s="3"/>
      <c r="W780" s="3"/>
      <c r="X780" s="3"/>
      <c r="Y780" s="3"/>
      <c r="Z780" s="3"/>
    </row>
    <row r="781" spans="1:26" ht="22.5" customHeight="1" x14ac:dyDescent="0.85">
      <c r="A781" s="166"/>
      <c r="B781" s="167"/>
      <c r="C781" s="167"/>
      <c r="D781" s="147"/>
      <c r="E781" s="147"/>
      <c r="F781" s="147"/>
      <c r="G781" s="147"/>
      <c r="H781" s="147"/>
      <c r="I781" s="147"/>
      <c r="J781" s="147"/>
      <c r="K781" s="3"/>
      <c r="L781" s="3"/>
      <c r="M781" s="3"/>
      <c r="N781" s="3"/>
      <c r="O781" s="3"/>
      <c r="P781" s="3"/>
      <c r="Q781" s="3"/>
      <c r="R781" s="3"/>
      <c r="S781" s="3"/>
      <c r="T781" s="3"/>
      <c r="U781" s="3"/>
      <c r="V781" s="3"/>
      <c r="W781" s="3"/>
      <c r="X781" s="3"/>
      <c r="Y781" s="3"/>
      <c r="Z781" s="3"/>
    </row>
    <row r="782" spans="1:26" ht="22.5" customHeight="1" x14ac:dyDescent="0.85">
      <c r="A782" s="166"/>
      <c r="B782" s="167"/>
      <c r="C782" s="167"/>
      <c r="D782" s="147"/>
      <c r="E782" s="147"/>
      <c r="F782" s="147"/>
      <c r="G782" s="147"/>
      <c r="H782" s="147"/>
      <c r="I782" s="147"/>
      <c r="J782" s="147"/>
      <c r="K782" s="3"/>
      <c r="L782" s="3"/>
      <c r="M782" s="3"/>
      <c r="N782" s="3"/>
      <c r="O782" s="3"/>
      <c r="P782" s="3"/>
      <c r="Q782" s="3"/>
      <c r="R782" s="3"/>
      <c r="S782" s="3"/>
      <c r="T782" s="3"/>
      <c r="U782" s="3"/>
      <c r="V782" s="3"/>
      <c r="W782" s="3"/>
      <c r="X782" s="3"/>
      <c r="Y782" s="3"/>
      <c r="Z782" s="3"/>
    </row>
    <row r="783" spans="1:26" ht="22.5" customHeight="1" x14ac:dyDescent="0.85">
      <c r="A783" s="166"/>
      <c r="B783" s="167"/>
      <c r="C783" s="167"/>
      <c r="D783" s="147"/>
      <c r="E783" s="147"/>
      <c r="F783" s="147"/>
      <c r="G783" s="147"/>
      <c r="H783" s="147"/>
      <c r="I783" s="147"/>
      <c r="J783" s="147"/>
      <c r="K783" s="3"/>
      <c r="L783" s="3"/>
      <c r="M783" s="3"/>
      <c r="N783" s="3"/>
      <c r="O783" s="3"/>
      <c r="P783" s="3"/>
      <c r="Q783" s="3"/>
      <c r="R783" s="3"/>
      <c r="S783" s="3"/>
      <c r="T783" s="3"/>
      <c r="U783" s="3"/>
      <c r="V783" s="3"/>
      <c r="W783" s="3"/>
      <c r="X783" s="3"/>
      <c r="Y783" s="3"/>
      <c r="Z783" s="3"/>
    </row>
    <row r="784" spans="1:26" ht="22.5" customHeight="1" x14ac:dyDescent="0.85">
      <c r="A784" s="166"/>
      <c r="B784" s="167"/>
      <c r="C784" s="167"/>
      <c r="D784" s="147"/>
      <c r="E784" s="147"/>
      <c r="F784" s="147"/>
      <c r="G784" s="147"/>
      <c r="H784" s="147"/>
      <c r="I784" s="147"/>
      <c r="J784" s="147"/>
      <c r="K784" s="3"/>
      <c r="L784" s="3"/>
      <c r="M784" s="3"/>
      <c r="N784" s="3"/>
      <c r="O784" s="3"/>
      <c r="P784" s="3"/>
      <c r="Q784" s="3"/>
      <c r="R784" s="3"/>
      <c r="S784" s="3"/>
      <c r="T784" s="3"/>
      <c r="U784" s="3"/>
      <c r="V784" s="3"/>
      <c r="W784" s="3"/>
      <c r="X784" s="3"/>
      <c r="Y784" s="3"/>
      <c r="Z784" s="3"/>
    </row>
    <row r="785" spans="1:26" ht="22.5" customHeight="1" x14ac:dyDescent="0.85">
      <c r="A785" s="166"/>
      <c r="B785" s="167"/>
      <c r="C785" s="167"/>
      <c r="D785" s="147"/>
      <c r="E785" s="147"/>
      <c r="F785" s="147"/>
      <c r="G785" s="147"/>
      <c r="H785" s="147"/>
      <c r="I785" s="147"/>
      <c r="J785" s="147"/>
      <c r="K785" s="3"/>
      <c r="L785" s="3"/>
      <c r="M785" s="3"/>
      <c r="N785" s="3"/>
      <c r="O785" s="3"/>
      <c r="P785" s="3"/>
      <c r="Q785" s="3"/>
      <c r="R785" s="3"/>
      <c r="S785" s="3"/>
      <c r="T785" s="3"/>
      <c r="U785" s="3"/>
      <c r="V785" s="3"/>
      <c r="W785" s="3"/>
      <c r="X785" s="3"/>
      <c r="Y785" s="3"/>
      <c r="Z785" s="3"/>
    </row>
    <row r="786" spans="1:26" ht="22.5" customHeight="1" x14ac:dyDescent="0.85">
      <c r="A786" s="166"/>
      <c r="B786" s="167"/>
      <c r="C786" s="167"/>
      <c r="D786" s="147"/>
      <c r="E786" s="147"/>
      <c r="F786" s="147"/>
      <c r="G786" s="147"/>
      <c r="H786" s="147"/>
      <c r="I786" s="147"/>
      <c r="J786" s="147"/>
      <c r="K786" s="3"/>
      <c r="L786" s="3"/>
      <c r="M786" s="3"/>
      <c r="N786" s="3"/>
      <c r="O786" s="3"/>
      <c r="P786" s="3"/>
      <c r="Q786" s="3"/>
      <c r="R786" s="3"/>
      <c r="S786" s="3"/>
      <c r="T786" s="3"/>
      <c r="U786" s="3"/>
      <c r="V786" s="3"/>
      <c r="W786" s="3"/>
      <c r="X786" s="3"/>
      <c r="Y786" s="3"/>
      <c r="Z786" s="3"/>
    </row>
    <row r="787" spans="1:26" ht="22.5" customHeight="1" x14ac:dyDescent="0.85">
      <c r="A787" s="166"/>
      <c r="B787" s="167"/>
      <c r="C787" s="167"/>
      <c r="D787" s="147"/>
      <c r="E787" s="147"/>
      <c r="F787" s="147"/>
      <c r="G787" s="147"/>
      <c r="H787" s="147"/>
      <c r="I787" s="147"/>
      <c r="J787" s="147"/>
      <c r="K787" s="3"/>
      <c r="L787" s="3"/>
      <c r="M787" s="3"/>
      <c r="N787" s="3"/>
      <c r="O787" s="3"/>
      <c r="P787" s="3"/>
      <c r="Q787" s="3"/>
      <c r="R787" s="3"/>
      <c r="S787" s="3"/>
      <c r="T787" s="3"/>
      <c r="U787" s="3"/>
      <c r="V787" s="3"/>
      <c r="W787" s="3"/>
      <c r="X787" s="3"/>
      <c r="Y787" s="3"/>
      <c r="Z787" s="3"/>
    </row>
    <row r="788" spans="1:26" ht="22.5" customHeight="1" x14ac:dyDescent="0.85">
      <c r="A788" s="166"/>
      <c r="B788" s="167"/>
      <c r="C788" s="167"/>
      <c r="D788" s="147"/>
      <c r="E788" s="147"/>
      <c r="F788" s="147"/>
      <c r="G788" s="147"/>
      <c r="H788" s="147"/>
      <c r="I788" s="147"/>
      <c r="J788" s="147"/>
      <c r="K788" s="3"/>
      <c r="L788" s="3"/>
      <c r="M788" s="3"/>
      <c r="N788" s="3"/>
      <c r="O788" s="3"/>
      <c r="P788" s="3"/>
      <c r="Q788" s="3"/>
      <c r="R788" s="3"/>
      <c r="S788" s="3"/>
      <c r="T788" s="3"/>
      <c r="U788" s="3"/>
      <c r="V788" s="3"/>
      <c r="W788" s="3"/>
      <c r="X788" s="3"/>
      <c r="Y788" s="3"/>
      <c r="Z788" s="3"/>
    </row>
    <row r="789" spans="1:26" ht="22.5" customHeight="1" x14ac:dyDescent="0.85">
      <c r="A789" s="166"/>
      <c r="B789" s="167"/>
      <c r="C789" s="167"/>
      <c r="D789" s="147"/>
      <c r="E789" s="147"/>
      <c r="F789" s="147"/>
      <c r="G789" s="147"/>
      <c r="H789" s="147"/>
      <c r="I789" s="147"/>
      <c r="J789" s="147"/>
      <c r="K789" s="3"/>
      <c r="L789" s="3"/>
      <c r="M789" s="3"/>
      <c r="N789" s="3"/>
      <c r="O789" s="3"/>
      <c r="P789" s="3"/>
      <c r="Q789" s="3"/>
      <c r="R789" s="3"/>
      <c r="S789" s="3"/>
      <c r="T789" s="3"/>
      <c r="U789" s="3"/>
      <c r="V789" s="3"/>
      <c r="W789" s="3"/>
      <c r="X789" s="3"/>
      <c r="Y789" s="3"/>
      <c r="Z789" s="3"/>
    </row>
    <row r="790" spans="1:26" ht="22.5" customHeight="1" x14ac:dyDescent="0.85">
      <c r="A790" s="166"/>
      <c r="B790" s="167"/>
      <c r="C790" s="167"/>
      <c r="D790" s="147"/>
      <c r="E790" s="147"/>
      <c r="F790" s="147"/>
      <c r="G790" s="147"/>
      <c r="H790" s="147"/>
      <c r="I790" s="147"/>
      <c r="J790" s="147"/>
      <c r="K790" s="3"/>
      <c r="L790" s="3"/>
      <c r="M790" s="3"/>
      <c r="N790" s="3"/>
      <c r="O790" s="3"/>
      <c r="P790" s="3"/>
      <c r="Q790" s="3"/>
      <c r="R790" s="3"/>
      <c r="S790" s="3"/>
      <c r="T790" s="3"/>
      <c r="U790" s="3"/>
      <c r="V790" s="3"/>
      <c r="W790" s="3"/>
      <c r="X790" s="3"/>
      <c r="Y790" s="3"/>
      <c r="Z790" s="3"/>
    </row>
    <row r="791" spans="1:26" ht="22.5" customHeight="1" x14ac:dyDescent="0.85">
      <c r="A791" s="166"/>
      <c r="B791" s="167"/>
      <c r="C791" s="167"/>
      <c r="D791" s="147"/>
      <c r="E791" s="147"/>
      <c r="F791" s="147"/>
      <c r="G791" s="147"/>
      <c r="H791" s="147"/>
      <c r="I791" s="147"/>
      <c r="J791" s="147"/>
      <c r="K791" s="3"/>
      <c r="L791" s="3"/>
      <c r="M791" s="3"/>
      <c r="N791" s="3"/>
      <c r="O791" s="3"/>
      <c r="P791" s="3"/>
      <c r="Q791" s="3"/>
      <c r="R791" s="3"/>
      <c r="S791" s="3"/>
      <c r="T791" s="3"/>
      <c r="U791" s="3"/>
      <c r="V791" s="3"/>
      <c r="W791" s="3"/>
      <c r="X791" s="3"/>
      <c r="Y791" s="3"/>
      <c r="Z791" s="3"/>
    </row>
    <row r="792" spans="1:26" ht="22.5" customHeight="1" x14ac:dyDescent="0.85">
      <c r="A792" s="166"/>
      <c r="B792" s="167"/>
      <c r="C792" s="167"/>
      <c r="D792" s="147"/>
      <c r="E792" s="147"/>
      <c r="F792" s="147"/>
      <c r="G792" s="147"/>
      <c r="H792" s="147"/>
      <c r="I792" s="147"/>
      <c r="J792" s="147"/>
      <c r="K792" s="3"/>
      <c r="L792" s="3"/>
      <c r="M792" s="3"/>
      <c r="N792" s="3"/>
      <c r="O792" s="3"/>
      <c r="P792" s="3"/>
      <c r="Q792" s="3"/>
      <c r="R792" s="3"/>
      <c r="S792" s="3"/>
      <c r="T792" s="3"/>
      <c r="U792" s="3"/>
      <c r="V792" s="3"/>
      <c r="W792" s="3"/>
      <c r="X792" s="3"/>
      <c r="Y792" s="3"/>
      <c r="Z792" s="3"/>
    </row>
    <row r="793" spans="1:26" ht="22.5" customHeight="1" x14ac:dyDescent="0.85">
      <c r="A793" s="166"/>
      <c r="B793" s="167"/>
      <c r="C793" s="167"/>
      <c r="D793" s="147"/>
      <c r="E793" s="147"/>
      <c r="F793" s="147"/>
      <c r="G793" s="147"/>
      <c r="H793" s="147"/>
      <c r="I793" s="147"/>
      <c r="J793" s="147"/>
      <c r="K793" s="3"/>
      <c r="L793" s="3"/>
      <c r="M793" s="3"/>
      <c r="N793" s="3"/>
      <c r="O793" s="3"/>
      <c r="P793" s="3"/>
      <c r="Q793" s="3"/>
      <c r="R793" s="3"/>
      <c r="S793" s="3"/>
      <c r="T793" s="3"/>
      <c r="U793" s="3"/>
      <c r="V793" s="3"/>
      <c r="W793" s="3"/>
      <c r="X793" s="3"/>
      <c r="Y793" s="3"/>
      <c r="Z793" s="3"/>
    </row>
    <row r="794" spans="1:26" ht="22.5" customHeight="1" x14ac:dyDescent="0.85">
      <c r="A794" s="166"/>
      <c r="B794" s="167"/>
      <c r="C794" s="167"/>
      <c r="D794" s="147"/>
      <c r="E794" s="147"/>
      <c r="F794" s="147"/>
      <c r="G794" s="147"/>
      <c r="H794" s="147"/>
      <c r="I794" s="147"/>
      <c r="J794" s="147"/>
      <c r="K794" s="3"/>
      <c r="L794" s="3"/>
      <c r="M794" s="3"/>
      <c r="N794" s="3"/>
      <c r="O794" s="3"/>
      <c r="P794" s="3"/>
      <c r="Q794" s="3"/>
      <c r="R794" s="3"/>
      <c r="S794" s="3"/>
      <c r="T794" s="3"/>
      <c r="U794" s="3"/>
      <c r="V794" s="3"/>
      <c r="W794" s="3"/>
      <c r="X794" s="3"/>
      <c r="Y794" s="3"/>
      <c r="Z794" s="3"/>
    </row>
    <row r="795" spans="1:26" ht="22.5" customHeight="1" x14ac:dyDescent="0.85">
      <c r="A795" s="166"/>
      <c r="B795" s="167"/>
      <c r="C795" s="167"/>
      <c r="D795" s="147"/>
      <c r="E795" s="147"/>
      <c r="F795" s="147"/>
      <c r="G795" s="147"/>
      <c r="H795" s="147"/>
      <c r="I795" s="147"/>
      <c r="J795" s="147"/>
      <c r="K795" s="3"/>
      <c r="L795" s="3"/>
      <c r="M795" s="3"/>
      <c r="N795" s="3"/>
      <c r="O795" s="3"/>
      <c r="P795" s="3"/>
      <c r="Q795" s="3"/>
      <c r="R795" s="3"/>
      <c r="S795" s="3"/>
      <c r="T795" s="3"/>
      <c r="U795" s="3"/>
      <c r="V795" s="3"/>
      <c r="W795" s="3"/>
      <c r="X795" s="3"/>
      <c r="Y795" s="3"/>
      <c r="Z795" s="3"/>
    </row>
    <row r="796" spans="1:26" ht="22.5" customHeight="1" x14ac:dyDescent="0.85">
      <c r="A796" s="166"/>
      <c r="B796" s="167"/>
      <c r="C796" s="167"/>
      <c r="D796" s="147"/>
      <c r="E796" s="147"/>
      <c r="F796" s="147"/>
      <c r="G796" s="147"/>
      <c r="H796" s="147"/>
      <c r="I796" s="147"/>
      <c r="J796" s="147"/>
      <c r="K796" s="3"/>
      <c r="L796" s="3"/>
      <c r="M796" s="3"/>
      <c r="N796" s="3"/>
      <c r="O796" s="3"/>
      <c r="P796" s="3"/>
      <c r="Q796" s="3"/>
      <c r="R796" s="3"/>
      <c r="S796" s="3"/>
      <c r="T796" s="3"/>
      <c r="U796" s="3"/>
      <c r="V796" s="3"/>
      <c r="W796" s="3"/>
      <c r="X796" s="3"/>
      <c r="Y796" s="3"/>
      <c r="Z796" s="3"/>
    </row>
    <row r="797" spans="1:26" ht="22.5" customHeight="1" x14ac:dyDescent="0.85">
      <c r="A797" s="166"/>
      <c r="B797" s="167"/>
      <c r="C797" s="167"/>
      <c r="D797" s="147"/>
      <c r="E797" s="147"/>
      <c r="F797" s="147"/>
      <c r="G797" s="147"/>
      <c r="H797" s="147"/>
      <c r="I797" s="147"/>
      <c r="J797" s="147"/>
      <c r="K797" s="3"/>
      <c r="L797" s="3"/>
      <c r="M797" s="3"/>
      <c r="N797" s="3"/>
      <c r="O797" s="3"/>
      <c r="P797" s="3"/>
      <c r="Q797" s="3"/>
      <c r="R797" s="3"/>
      <c r="S797" s="3"/>
      <c r="T797" s="3"/>
      <c r="U797" s="3"/>
      <c r="V797" s="3"/>
      <c r="W797" s="3"/>
      <c r="X797" s="3"/>
      <c r="Y797" s="3"/>
      <c r="Z797" s="3"/>
    </row>
    <row r="798" spans="1:26" ht="22.5" customHeight="1" x14ac:dyDescent="0.85">
      <c r="A798" s="166"/>
      <c r="B798" s="167"/>
      <c r="C798" s="167"/>
      <c r="D798" s="147"/>
      <c r="E798" s="147"/>
      <c r="F798" s="147"/>
      <c r="G798" s="147"/>
      <c r="H798" s="147"/>
      <c r="I798" s="147"/>
      <c r="J798" s="147"/>
      <c r="K798" s="3"/>
      <c r="L798" s="3"/>
      <c r="M798" s="3"/>
      <c r="N798" s="3"/>
      <c r="O798" s="3"/>
      <c r="P798" s="3"/>
      <c r="Q798" s="3"/>
      <c r="R798" s="3"/>
      <c r="S798" s="3"/>
      <c r="T798" s="3"/>
      <c r="U798" s="3"/>
      <c r="V798" s="3"/>
      <c r="W798" s="3"/>
      <c r="X798" s="3"/>
      <c r="Y798" s="3"/>
      <c r="Z798" s="3"/>
    </row>
    <row r="799" spans="1:26" ht="22.5" customHeight="1" x14ac:dyDescent="0.85">
      <c r="A799" s="166"/>
      <c r="B799" s="167"/>
      <c r="C799" s="167"/>
      <c r="D799" s="147"/>
      <c r="E799" s="147"/>
      <c r="F799" s="147"/>
      <c r="G799" s="147"/>
      <c r="H799" s="147"/>
      <c r="I799" s="147"/>
      <c r="J799" s="147"/>
      <c r="K799" s="3"/>
      <c r="L799" s="3"/>
      <c r="M799" s="3"/>
      <c r="N799" s="3"/>
      <c r="O799" s="3"/>
      <c r="P799" s="3"/>
      <c r="Q799" s="3"/>
      <c r="R799" s="3"/>
      <c r="S799" s="3"/>
      <c r="T799" s="3"/>
      <c r="U799" s="3"/>
      <c r="V799" s="3"/>
      <c r="W799" s="3"/>
      <c r="X799" s="3"/>
      <c r="Y799" s="3"/>
      <c r="Z799" s="3"/>
    </row>
    <row r="800" spans="1:26" ht="22.5" customHeight="1" x14ac:dyDescent="0.85">
      <c r="A800" s="166"/>
      <c r="B800" s="167"/>
      <c r="C800" s="167"/>
      <c r="D800" s="147"/>
      <c r="E800" s="147"/>
      <c r="F800" s="147"/>
      <c r="G800" s="147"/>
      <c r="H800" s="147"/>
      <c r="I800" s="147"/>
      <c r="J800" s="147"/>
      <c r="K800" s="3"/>
      <c r="L800" s="3"/>
      <c r="M800" s="3"/>
      <c r="N800" s="3"/>
      <c r="O800" s="3"/>
      <c r="P800" s="3"/>
      <c r="Q800" s="3"/>
      <c r="R800" s="3"/>
      <c r="S800" s="3"/>
      <c r="T800" s="3"/>
      <c r="U800" s="3"/>
      <c r="V800" s="3"/>
      <c r="W800" s="3"/>
      <c r="X800" s="3"/>
      <c r="Y800" s="3"/>
      <c r="Z800" s="3"/>
    </row>
    <row r="801" spans="1:26" ht="22.5" customHeight="1" x14ac:dyDescent="0.85">
      <c r="A801" s="166"/>
      <c r="B801" s="167"/>
      <c r="C801" s="167"/>
      <c r="D801" s="147"/>
      <c r="E801" s="147"/>
      <c r="F801" s="147"/>
      <c r="G801" s="147"/>
      <c r="H801" s="147"/>
      <c r="I801" s="147"/>
      <c r="J801" s="147"/>
      <c r="K801" s="3"/>
      <c r="L801" s="3"/>
      <c r="M801" s="3"/>
      <c r="N801" s="3"/>
      <c r="O801" s="3"/>
      <c r="P801" s="3"/>
      <c r="Q801" s="3"/>
      <c r="R801" s="3"/>
      <c r="S801" s="3"/>
      <c r="T801" s="3"/>
      <c r="U801" s="3"/>
      <c r="V801" s="3"/>
      <c r="W801" s="3"/>
      <c r="X801" s="3"/>
      <c r="Y801" s="3"/>
      <c r="Z801" s="3"/>
    </row>
    <row r="802" spans="1:26" ht="22.5" customHeight="1" x14ac:dyDescent="0.85">
      <c r="A802" s="166"/>
      <c r="B802" s="167"/>
      <c r="C802" s="167"/>
      <c r="D802" s="147"/>
      <c r="E802" s="147"/>
      <c r="F802" s="147"/>
      <c r="G802" s="147"/>
      <c r="H802" s="147"/>
      <c r="I802" s="147"/>
      <c r="J802" s="147"/>
      <c r="K802" s="3"/>
      <c r="L802" s="3"/>
      <c r="M802" s="3"/>
      <c r="N802" s="3"/>
      <c r="O802" s="3"/>
      <c r="P802" s="3"/>
      <c r="Q802" s="3"/>
      <c r="R802" s="3"/>
      <c r="S802" s="3"/>
      <c r="T802" s="3"/>
      <c r="U802" s="3"/>
      <c r="V802" s="3"/>
      <c r="W802" s="3"/>
      <c r="X802" s="3"/>
      <c r="Y802" s="3"/>
      <c r="Z802" s="3"/>
    </row>
    <row r="803" spans="1:26" ht="22.5" customHeight="1" x14ac:dyDescent="0.85">
      <c r="A803" s="166"/>
      <c r="B803" s="167"/>
      <c r="C803" s="167"/>
      <c r="D803" s="147"/>
      <c r="E803" s="147"/>
      <c r="F803" s="147"/>
      <c r="G803" s="147"/>
      <c r="H803" s="147"/>
      <c r="I803" s="147"/>
      <c r="J803" s="147"/>
      <c r="K803" s="3"/>
      <c r="L803" s="3"/>
      <c r="M803" s="3"/>
      <c r="N803" s="3"/>
      <c r="O803" s="3"/>
      <c r="P803" s="3"/>
      <c r="Q803" s="3"/>
      <c r="R803" s="3"/>
      <c r="S803" s="3"/>
      <c r="T803" s="3"/>
      <c r="U803" s="3"/>
      <c r="V803" s="3"/>
      <c r="W803" s="3"/>
      <c r="X803" s="3"/>
      <c r="Y803" s="3"/>
      <c r="Z803" s="3"/>
    </row>
    <row r="804" spans="1:26" ht="22.5" customHeight="1" x14ac:dyDescent="0.85">
      <c r="A804" s="166"/>
      <c r="B804" s="167"/>
      <c r="C804" s="167"/>
      <c r="D804" s="147"/>
      <c r="E804" s="147"/>
      <c r="F804" s="147"/>
      <c r="G804" s="147"/>
      <c r="H804" s="147"/>
      <c r="I804" s="147"/>
      <c r="J804" s="147"/>
      <c r="K804" s="3"/>
      <c r="L804" s="3"/>
      <c r="M804" s="3"/>
      <c r="N804" s="3"/>
      <c r="O804" s="3"/>
      <c r="P804" s="3"/>
      <c r="Q804" s="3"/>
      <c r="R804" s="3"/>
      <c r="S804" s="3"/>
      <c r="T804" s="3"/>
      <c r="U804" s="3"/>
      <c r="V804" s="3"/>
      <c r="W804" s="3"/>
      <c r="X804" s="3"/>
      <c r="Y804" s="3"/>
      <c r="Z804" s="3"/>
    </row>
    <row r="805" spans="1:26" ht="22.5" customHeight="1" x14ac:dyDescent="0.85">
      <c r="A805" s="166"/>
      <c r="B805" s="167"/>
      <c r="C805" s="167"/>
      <c r="D805" s="147"/>
      <c r="E805" s="147"/>
      <c r="F805" s="147"/>
      <c r="G805" s="147"/>
      <c r="H805" s="147"/>
      <c r="I805" s="147"/>
      <c r="J805" s="147"/>
      <c r="K805" s="3"/>
      <c r="L805" s="3"/>
      <c r="M805" s="3"/>
      <c r="N805" s="3"/>
      <c r="O805" s="3"/>
      <c r="P805" s="3"/>
      <c r="Q805" s="3"/>
      <c r="R805" s="3"/>
      <c r="S805" s="3"/>
      <c r="T805" s="3"/>
      <c r="U805" s="3"/>
      <c r="V805" s="3"/>
      <c r="W805" s="3"/>
      <c r="X805" s="3"/>
      <c r="Y805" s="3"/>
      <c r="Z805" s="3"/>
    </row>
    <row r="806" spans="1:26" ht="22.5" customHeight="1" x14ac:dyDescent="0.85">
      <c r="A806" s="166"/>
      <c r="B806" s="167"/>
      <c r="C806" s="167"/>
      <c r="D806" s="147"/>
      <c r="E806" s="147"/>
      <c r="F806" s="147"/>
      <c r="G806" s="147"/>
      <c r="H806" s="147"/>
      <c r="I806" s="147"/>
      <c r="J806" s="147"/>
      <c r="K806" s="3"/>
      <c r="L806" s="3"/>
      <c r="M806" s="3"/>
      <c r="N806" s="3"/>
      <c r="O806" s="3"/>
      <c r="P806" s="3"/>
      <c r="Q806" s="3"/>
      <c r="R806" s="3"/>
      <c r="S806" s="3"/>
      <c r="T806" s="3"/>
      <c r="U806" s="3"/>
      <c r="V806" s="3"/>
      <c r="W806" s="3"/>
      <c r="X806" s="3"/>
      <c r="Y806" s="3"/>
      <c r="Z806" s="3"/>
    </row>
    <row r="807" spans="1:26" ht="22.5" customHeight="1" x14ac:dyDescent="0.85">
      <c r="A807" s="166"/>
      <c r="B807" s="167"/>
      <c r="C807" s="167"/>
      <c r="D807" s="147"/>
      <c r="E807" s="147"/>
      <c r="F807" s="147"/>
      <c r="G807" s="147"/>
      <c r="H807" s="147"/>
      <c r="I807" s="147"/>
      <c r="J807" s="147"/>
      <c r="K807" s="3"/>
      <c r="L807" s="3"/>
      <c r="M807" s="3"/>
      <c r="N807" s="3"/>
      <c r="O807" s="3"/>
      <c r="P807" s="3"/>
      <c r="Q807" s="3"/>
      <c r="R807" s="3"/>
      <c r="S807" s="3"/>
      <c r="T807" s="3"/>
      <c r="U807" s="3"/>
      <c r="V807" s="3"/>
      <c r="W807" s="3"/>
      <c r="X807" s="3"/>
      <c r="Y807" s="3"/>
      <c r="Z807" s="3"/>
    </row>
    <row r="808" spans="1:26" ht="22.5" customHeight="1" x14ac:dyDescent="0.85">
      <c r="A808" s="166"/>
      <c r="B808" s="167"/>
      <c r="C808" s="167"/>
      <c r="D808" s="147"/>
      <c r="E808" s="147"/>
      <c r="F808" s="147"/>
      <c r="G808" s="147"/>
      <c r="H808" s="147"/>
      <c r="I808" s="147"/>
      <c r="J808" s="147"/>
      <c r="K808" s="3"/>
      <c r="L808" s="3"/>
      <c r="M808" s="3"/>
      <c r="N808" s="3"/>
      <c r="O808" s="3"/>
      <c r="P808" s="3"/>
      <c r="Q808" s="3"/>
      <c r="R808" s="3"/>
      <c r="S808" s="3"/>
      <c r="T808" s="3"/>
      <c r="U808" s="3"/>
      <c r="V808" s="3"/>
      <c r="W808" s="3"/>
      <c r="X808" s="3"/>
      <c r="Y808" s="3"/>
      <c r="Z808" s="3"/>
    </row>
    <row r="809" spans="1:26" ht="22.5" customHeight="1" x14ac:dyDescent="0.85">
      <c r="A809" s="166"/>
      <c r="B809" s="167"/>
      <c r="C809" s="167"/>
      <c r="D809" s="147"/>
      <c r="E809" s="147"/>
      <c r="F809" s="147"/>
      <c r="G809" s="147"/>
      <c r="H809" s="147"/>
      <c r="I809" s="147"/>
      <c r="J809" s="147"/>
      <c r="K809" s="3"/>
      <c r="L809" s="3"/>
      <c r="M809" s="3"/>
      <c r="N809" s="3"/>
      <c r="O809" s="3"/>
      <c r="P809" s="3"/>
      <c r="Q809" s="3"/>
      <c r="R809" s="3"/>
      <c r="S809" s="3"/>
      <c r="T809" s="3"/>
      <c r="U809" s="3"/>
      <c r="V809" s="3"/>
      <c r="W809" s="3"/>
      <c r="X809" s="3"/>
      <c r="Y809" s="3"/>
      <c r="Z809" s="3"/>
    </row>
    <row r="810" spans="1:26" ht="22.5" customHeight="1" x14ac:dyDescent="0.85">
      <c r="A810" s="166"/>
      <c r="B810" s="167"/>
      <c r="C810" s="167"/>
      <c r="D810" s="147"/>
      <c r="E810" s="147"/>
      <c r="F810" s="147"/>
      <c r="G810" s="147"/>
      <c r="H810" s="147"/>
      <c r="I810" s="147"/>
      <c r="J810" s="147"/>
      <c r="K810" s="3"/>
      <c r="L810" s="3"/>
      <c r="M810" s="3"/>
      <c r="N810" s="3"/>
      <c r="O810" s="3"/>
      <c r="P810" s="3"/>
      <c r="Q810" s="3"/>
      <c r="R810" s="3"/>
      <c r="S810" s="3"/>
      <c r="T810" s="3"/>
      <c r="U810" s="3"/>
      <c r="V810" s="3"/>
      <c r="W810" s="3"/>
      <c r="X810" s="3"/>
      <c r="Y810" s="3"/>
      <c r="Z810" s="3"/>
    </row>
    <row r="811" spans="1:26" ht="22.5" customHeight="1" x14ac:dyDescent="0.85">
      <c r="A811" s="166"/>
      <c r="B811" s="167"/>
      <c r="C811" s="167"/>
      <c r="D811" s="147"/>
      <c r="E811" s="147"/>
      <c r="F811" s="147"/>
      <c r="G811" s="147"/>
      <c r="H811" s="147"/>
      <c r="I811" s="147"/>
      <c r="J811" s="147"/>
      <c r="K811" s="3"/>
      <c r="L811" s="3"/>
      <c r="M811" s="3"/>
      <c r="N811" s="3"/>
      <c r="O811" s="3"/>
      <c r="P811" s="3"/>
      <c r="Q811" s="3"/>
      <c r="R811" s="3"/>
      <c r="S811" s="3"/>
      <c r="T811" s="3"/>
      <c r="U811" s="3"/>
      <c r="V811" s="3"/>
      <c r="W811" s="3"/>
      <c r="X811" s="3"/>
      <c r="Y811" s="3"/>
      <c r="Z811" s="3"/>
    </row>
    <row r="812" spans="1:26" ht="22.5" customHeight="1" x14ac:dyDescent="0.85">
      <c r="A812" s="166"/>
      <c r="B812" s="167"/>
      <c r="C812" s="167"/>
      <c r="D812" s="147"/>
      <c r="E812" s="147"/>
      <c r="F812" s="147"/>
      <c r="G812" s="147"/>
      <c r="H812" s="147"/>
      <c r="I812" s="147"/>
      <c r="J812" s="147"/>
      <c r="K812" s="3"/>
      <c r="L812" s="3"/>
      <c r="M812" s="3"/>
      <c r="N812" s="3"/>
      <c r="O812" s="3"/>
      <c r="P812" s="3"/>
      <c r="Q812" s="3"/>
      <c r="R812" s="3"/>
      <c r="S812" s="3"/>
      <c r="T812" s="3"/>
      <c r="U812" s="3"/>
      <c r="V812" s="3"/>
      <c r="W812" s="3"/>
      <c r="X812" s="3"/>
      <c r="Y812" s="3"/>
      <c r="Z812" s="3"/>
    </row>
    <row r="813" spans="1:26" ht="22.5" customHeight="1" x14ac:dyDescent="0.85">
      <c r="A813" s="166"/>
      <c r="B813" s="167"/>
      <c r="C813" s="167"/>
      <c r="D813" s="147"/>
      <c r="E813" s="147"/>
      <c r="F813" s="147"/>
      <c r="G813" s="147"/>
      <c r="H813" s="147"/>
      <c r="I813" s="147"/>
      <c r="J813" s="147"/>
      <c r="K813" s="3"/>
      <c r="L813" s="3"/>
      <c r="M813" s="3"/>
      <c r="N813" s="3"/>
      <c r="O813" s="3"/>
      <c r="P813" s="3"/>
      <c r="Q813" s="3"/>
      <c r="R813" s="3"/>
      <c r="S813" s="3"/>
      <c r="T813" s="3"/>
      <c r="U813" s="3"/>
      <c r="V813" s="3"/>
      <c r="W813" s="3"/>
      <c r="X813" s="3"/>
      <c r="Y813" s="3"/>
      <c r="Z813" s="3"/>
    </row>
    <row r="814" spans="1:26" ht="22.5" customHeight="1" x14ac:dyDescent="0.85">
      <c r="A814" s="166"/>
      <c r="B814" s="167"/>
      <c r="C814" s="167"/>
      <c r="D814" s="147"/>
      <c r="E814" s="147"/>
      <c r="F814" s="147"/>
      <c r="G814" s="147"/>
      <c r="H814" s="147"/>
      <c r="I814" s="147"/>
      <c r="J814" s="147"/>
      <c r="K814" s="3"/>
      <c r="L814" s="3"/>
      <c r="M814" s="3"/>
      <c r="N814" s="3"/>
      <c r="O814" s="3"/>
      <c r="P814" s="3"/>
      <c r="Q814" s="3"/>
      <c r="R814" s="3"/>
      <c r="S814" s="3"/>
      <c r="T814" s="3"/>
      <c r="U814" s="3"/>
      <c r="V814" s="3"/>
      <c r="W814" s="3"/>
      <c r="X814" s="3"/>
      <c r="Y814" s="3"/>
      <c r="Z814" s="3"/>
    </row>
    <row r="815" spans="1:26" ht="22.5" customHeight="1" x14ac:dyDescent="0.85">
      <c r="A815" s="166"/>
      <c r="B815" s="167"/>
      <c r="C815" s="167"/>
      <c r="D815" s="147"/>
      <c r="E815" s="147"/>
      <c r="F815" s="147"/>
      <c r="G815" s="147"/>
      <c r="H815" s="147"/>
      <c r="I815" s="147"/>
      <c r="J815" s="147"/>
      <c r="K815" s="3"/>
      <c r="L815" s="3"/>
      <c r="M815" s="3"/>
      <c r="N815" s="3"/>
      <c r="O815" s="3"/>
      <c r="P815" s="3"/>
      <c r="Q815" s="3"/>
      <c r="R815" s="3"/>
      <c r="S815" s="3"/>
      <c r="T815" s="3"/>
      <c r="U815" s="3"/>
      <c r="V815" s="3"/>
      <c r="W815" s="3"/>
      <c r="X815" s="3"/>
      <c r="Y815" s="3"/>
      <c r="Z815" s="3"/>
    </row>
    <row r="816" spans="1:26" ht="22.5" customHeight="1" x14ac:dyDescent="0.85">
      <c r="A816" s="166"/>
      <c r="B816" s="167"/>
      <c r="C816" s="167"/>
      <c r="D816" s="147"/>
      <c r="E816" s="147"/>
      <c r="F816" s="147"/>
      <c r="G816" s="147"/>
      <c r="H816" s="147"/>
      <c r="I816" s="147"/>
      <c r="J816" s="147"/>
      <c r="K816" s="3"/>
      <c r="L816" s="3"/>
      <c r="M816" s="3"/>
      <c r="N816" s="3"/>
      <c r="O816" s="3"/>
      <c r="P816" s="3"/>
      <c r="Q816" s="3"/>
      <c r="R816" s="3"/>
      <c r="S816" s="3"/>
      <c r="T816" s="3"/>
      <c r="U816" s="3"/>
      <c r="V816" s="3"/>
      <c r="W816" s="3"/>
      <c r="X816" s="3"/>
      <c r="Y816" s="3"/>
      <c r="Z816" s="3"/>
    </row>
    <row r="817" spans="1:26" ht="22.5" customHeight="1" x14ac:dyDescent="0.85">
      <c r="A817" s="166"/>
      <c r="B817" s="167"/>
      <c r="C817" s="167"/>
      <c r="D817" s="147"/>
      <c r="E817" s="147"/>
      <c r="F817" s="147"/>
      <c r="G817" s="147"/>
      <c r="H817" s="147"/>
      <c r="I817" s="147"/>
      <c r="J817" s="147"/>
      <c r="K817" s="3"/>
      <c r="L817" s="3"/>
      <c r="M817" s="3"/>
      <c r="N817" s="3"/>
      <c r="O817" s="3"/>
      <c r="P817" s="3"/>
      <c r="Q817" s="3"/>
      <c r="R817" s="3"/>
      <c r="S817" s="3"/>
      <c r="T817" s="3"/>
      <c r="U817" s="3"/>
      <c r="V817" s="3"/>
      <c r="W817" s="3"/>
      <c r="X817" s="3"/>
      <c r="Y817" s="3"/>
      <c r="Z817" s="3"/>
    </row>
    <row r="818" spans="1:26" ht="22.5" customHeight="1" x14ac:dyDescent="0.85">
      <c r="A818" s="166"/>
      <c r="B818" s="167"/>
      <c r="C818" s="167"/>
      <c r="D818" s="147"/>
      <c r="E818" s="147"/>
      <c r="F818" s="147"/>
      <c r="G818" s="147"/>
      <c r="H818" s="147"/>
      <c r="I818" s="147"/>
      <c r="J818" s="147"/>
      <c r="K818" s="3"/>
      <c r="L818" s="3"/>
      <c r="M818" s="3"/>
      <c r="N818" s="3"/>
      <c r="O818" s="3"/>
      <c r="P818" s="3"/>
      <c r="Q818" s="3"/>
      <c r="R818" s="3"/>
      <c r="S818" s="3"/>
      <c r="T818" s="3"/>
      <c r="U818" s="3"/>
      <c r="V818" s="3"/>
      <c r="W818" s="3"/>
      <c r="X818" s="3"/>
      <c r="Y818" s="3"/>
      <c r="Z818" s="3"/>
    </row>
    <row r="819" spans="1:26" ht="22.5" customHeight="1" x14ac:dyDescent="0.85">
      <c r="A819" s="166"/>
      <c r="B819" s="167"/>
      <c r="C819" s="167"/>
      <c r="D819" s="147"/>
      <c r="E819" s="147"/>
      <c r="F819" s="147"/>
      <c r="G819" s="147"/>
      <c r="H819" s="147"/>
      <c r="I819" s="147"/>
      <c r="J819" s="147"/>
      <c r="K819" s="3"/>
      <c r="L819" s="3"/>
      <c r="M819" s="3"/>
      <c r="N819" s="3"/>
      <c r="O819" s="3"/>
      <c r="P819" s="3"/>
      <c r="Q819" s="3"/>
      <c r="R819" s="3"/>
      <c r="S819" s="3"/>
      <c r="T819" s="3"/>
      <c r="U819" s="3"/>
      <c r="V819" s="3"/>
      <c r="W819" s="3"/>
      <c r="X819" s="3"/>
      <c r="Y819" s="3"/>
      <c r="Z819" s="3"/>
    </row>
    <row r="820" spans="1:26" ht="22.5" customHeight="1" x14ac:dyDescent="0.85">
      <c r="A820" s="166"/>
      <c r="B820" s="167"/>
      <c r="C820" s="167"/>
      <c r="D820" s="147"/>
      <c r="E820" s="147"/>
      <c r="F820" s="147"/>
      <c r="G820" s="147"/>
      <c r="H820" s="147"/>
      <c r="I820" s="147"/>
      <c r="J820" s="147"/>
      <c r="K820" s="3"/>
      <c r="L820" s="3"/>
      <c r="M820" s="3"/>
      <c r="N820" s="3"/>
      <c r="O820" s="3"/>
      <c r="P820" s="3"/>
      <c r="Q820" s="3"/>
      <c r="R820" s="3"/>
      <c r="S820" s="3"/>
      <c r="T820" s="3"/>
      <c r="U820" s="3"/>
      <c r="V820" s="3"/>
      <c r="W820" s="3"/>
      <c r="X820" s="3"/>
      <c r="Y820" s="3"/>
      <c r="Z820" s="3"/>
    </row>
    <row r="821" spans="1:26" ht="22.5" customHeight="1" x14ac:dyDescent="0.85">
      <c r="A821" s="166"/>
      <c r="B821" s="167"/>
      <c r="C821" s="167"/>
      <c r="D821" s="147"/>
      <c r="E821" s="147"/>
      <c r="F821" s="147"/>
      <c r="G821" s="147"/>
      <c r="H821" s="147"/>
      <c r="I821" s="147"/>
      <c r="J821" s="147"/>
      <c r="K821" s="3"/>
      <c r="L821" s="3"/>
      <c r="M821" s="3"/>
      <c r="N821" s="3"/>
      <c r="O821" s="3"/>
      <c r="P821" s="3"/>
      <c r="Q821" s="3"/>
      <c r="R821" s="3"/>
      <c r="S821" s="3"/>
      <c r="T821" s="3"/>
      <c r="U821" s="3"/>
      <c r="V821" s="3"/>
      <c r="W821" s="3"/>
      <c r="X821" s="3"/>
      <c r="Y821" s="3"/>
      <c r="Z821" s="3"/>
    </row>
    <row r="822" spans="1:26" ht="22.5" customHeight="1" x14ac:dyDescent="0.85">
      <c r="A822" s="166"/>
      <c r="B822" s="167"/>
      <c r="C822" s="167"/>
      <c r="D822" s="147"/>
      <c r="E822" s="147"/>
      <c r="F822" s="147"/>
      <c r="G822" s="147"/>
      <c r="H822" s="147"/>
      <c r="I822" s="147"/>
      <c r="J822" s="147"/>
      <c r="K822" s="3"/>
      <c r="L822" s="3"/>
      <c r="M822" s="3"/>
      <c r="N822" s="3"/>
      <c r="O822" s="3"/>
      <c r="P822" s="3"/>
      <c r="Q822" s="3"/>
      <c r="R822" s="3"/>
      <c r="S822" s="3"/>
      <c r="T822" s="3"/>
      <c r="U822" s="3"/>
      <c r="V822" s="3"/>
      <c r="W822" s="3"/>
      <c r="X822" s="3"/>
      <c r="Y822" s="3"/>
      <c r="Z822" s="3"/>
    </row>
    <row r="823" spans="1:26" ht="22.5" customHeight="1" x14ac:dyDescent="0.85">
      <c r="A823" s="166"/>
      <c r="B823" s="167"/>
      <c r="C823" s="167"/>
      <c r="D823" s="147"/>
      <c r="E823" s="147"/>
      <c r="F823" s="147"/>
      <c r="G823" s="147"/>
      <c r="H823" s="147"/>
      <c r="I823" s="147"/>
      <c r="J823" s="147"/>
      <c r="K823" s="3"/>
      <c r="L823" s="3"/>
      <c r="M823" s="3"/>
      <c r="N823" s="3"/>
      <c r="O823" s="3"/>
      <c r="P823" s="3"/>
      <c r="Q823" s="3"/>
      <c r="R823" s="3"/>
      <c r="S823" s="3"/>
      <c r="T823" s="3"/>
      <c r="U823" s="3"/>
      <c r="V823" s="3"/>
      <c r="W823" s="3"/>
      <c r="X823" s="3"/>
      <c r="Y823" s="3"/>
      <c r="Z823" s="3"/>
    </row>
    <row r="824" spans="1:26" ht="22.5" customHeight="1" x14ac:dyDescent="0.85">
      <c r="A824" s="166"/>
      <c r="B824" s="167"/>
      <c r="C824" s="167"/>
      <c r="D824" s="147"/>
      <c r="E824" s="147"/>
      <c r="F824" s="147"/>
      <c r="G824" s="147"/>
      <c r="H824" s="147"/>
      <c r="I824" s="147"/>
      <c r="J824" s="147"/>
      <c r="K824" s="3"/>
      <c r="L824" s="3"/>
      <c r="M824" s="3"/>
      <c r="N824" s="3"/>
      <c r="O824" s="3"/>
      <c r="P824" s="3"/>
      <c r="Q824" s="3"/>
      <c r="R824" s="3"/>
      <c r="S824" s="3"/>
      <c r="T824" s="3"/>
      <c r="U824" s="3"/>
      <c r="V824" s="3"/>
      <c r="W824" s="3"/>
      <c r="X824" s="3"/>
      <c r="Y824" s="3"/>
      <c r="Z824" s="3"/>
    </row>
    <row r="825" spans="1:26" ht="22.5" customHeight="1" x14ac:dyDescent="0.85">
      <c r="A825" s="166"/>
      <c r="B825" s="167"/>
      <c r="C825" s="167"/>
      <c r="D825" s="147"/>
      <c r="E825" s="147"/>
      <c r="F825" s="147"/>
      <c r="G825" s="147"/>
      <c r="H825" s="147"/>
      <c r="I825" s="147"/>
      <c r="J825" s="147"/>
      <c r="K825" s="3"/>
      <c r="L825" s="3"/>
      <c r="M825" s="3"/>
      <c r="N825" s="3"/>
      <c r="O825" s="3"/>
      <c r="P825" s="3"/>
      <c r="Q825" s="3"/>
      <c r="R825" s="3"/>
      <c r="S825" s="3"/>
      <c r="T825" s="3"/>
      <c r="U825" s="3"/>
      <c r="V825" s="3"/>
      <c r="W825" s="3"/>
      <c r="X825" s="3"/>
      <c r="Y825" s="3"/>
      <c r="Z825" s="3"/>
    </row>
    <row r="826" spans="1:26" ht="22.5" customHeight="1" x14ac:dyDescent="0.85">
      <c r="A826" s="166"/>
      <c r="B826" s="167"/>
      <c r="C826" s="167"/>
      <c r="D826" s="147"/>
      <c r="E826" s="147"/>
      <c r="F826" s="147"/>
      <c r="G826" s="147"/>
      <c r="H826" s="147"/>
      <c r="I826" s="147"/>
      <c r="J826" s="147"/>
      <c r="K826" s="3"/>
      <c r="L826" s="3"/>
      <c r="M826" s="3"/>
      <c r="N826" s="3"/>
      <c r="O826" s="3"/>
      <c r="P826" s="3"/>
      <c r="Q826" s="3"/>
      <c r="R826" s="3"/>
      <c r="S826" s="3"/>
      <c r="T826" s="3"/>
      <c r="U826" s="3"/>
      <c r="V826" s="3"/>
      <c r="W826" s="3"/>
      <c r="X826" s="3"/>
      <c r="Y826" s="3"/>
      <c r="Z826" s="3"/>
    </row>
    <row r="827" spans="1:26" ht="22.5" customHeight="1" x14ac:dyDescent="0.85">
      <c r="A827" s="166"/>
      <c r="B827" s="167"/>
      <c r="C827" s="167"/>
      <c r="D827" s="147"/>
      <c r="E827" s="147"/>
      <c r="F827" s="147"/>
      <c r="G827" s="147"/>
      <c r="H827" s="147"/>
      <c r="I827" s="147"/>
      <c r="J827" s="147"/>
      <c r="K827" s="3"/>
      <c r="L827" s="3"/>
      <c r="M827" s="3"/>
      <c r="N827" s="3"/>
      <c r="O827" s="3"/>
      <c r="P827" s="3"/>
      <c r="Q827" s="3"/>
      <c r="R827" s="3"/>
      <c r="S827" s="3"/>
      <c r="T827" s="3"/>
      <c r="U827" s="3"/>
      <c r="V827" s="3"/>
      <c r="W827" s="3"/>
      <c r="X827" s="3"/>
      <c r="Y827" s="3"/>
      <c r="Z827" s="3"/>
    </row>
    <row r="828" spans="1:26" ht="22.5" customHeight="1" x14ac:dyDescent="0.85">
      <c r="A828" s="166"/>
      <c r="B828" s="167"/>
      <c r="C828" s="167"/>
      <c r="D828" s="147"/>
      <c r="E828" s="147"/>
      <c r="F828" s="147"/>
      <c r="G828" s="147"/>
      <c r="H828" s="147"/>
      <c r="I828" s="147"/>
      <c r="J828" s="147"/>
      <c r="K828" s="3"/>
      <c r="L828" s="3"/>
      <c r="M828" s="3"/>
      <c r="N828" s="3"/>
      <c r="O828" s="3"/>
      <c r="P828" s="3"/>
      <c r="Q828" s="3"/>
      <c r="R828" s="3"/>
      <c r="S828" s="3"/>
      <c r="T828" s="3"/>
      <c r="U828" s="3"/>
      <c r="V828" s="3"/>
      <c r="W828" s="3"/>
      <c r="X828" s="3"/>
      <c r="Y828" s="3"/>
      <c r="Z828" s="3"/>
    </row>
    <row r="829" spans="1:26" ht="22.5" customHeight="1" x14ac:dyDescent="0.85">
      <c r="A829" s="166"/>
      <c r="B829" s="167"/>
      <c r="C829" s="167"/>
      <c r="D829" s="147"/>
      <c r="E829" s="147"/>
      <c r="F829" s="147"/>
      <c r="G829" s="147"/>
      <c r="H829" s="147"/>
      <c r="I829" s="147"/>
      <c r="J829" s="147"/>
      <c r="K829" s="3"/>
      <c r="L829" s="3"/>
      <c r="M829" s="3"/>
      <c r="N829" s="3"/>
      <c r="O829" s="3"/>
      <c r="P829" s="3"/>
      <c r="Q829" s="3"/>
      <c r="R829" s="3"/>
      <c r="S829" s="3"/>
      <c r="T829" s="3"/>
      <c r="U829" s="3"/>
      <c r="V829" s="3"/>
      <c r="W829" s="3"/>
      <c r="X829" s="3"/>
      <c r="Y829" s="3"/>
      <c r="Z829" s="3"/>
    </row>
    <row r="830" spans="1:26" ht="22.5" customHeight="1" x14ac:dyDescent="0.85">
      <c r="A830" s="166"/>
      <c r="B830" s="167"/>
      <c r="C830" s="167"/>
      <c r="D830" s="147"/>
      <c r="E830" s="147"/>
      <c r="F830" s="147"/>
      <c r="G830" s="147"/>
      <c r="H830" s="147"/>
      <c r="I830" s="147"/>
      <c r="J830" s="147"/>
      <c r="K830" s="3"/>
      <c r="L830" s="3"/>
      <c r="M830" s="3"/>
      <c r="N830" s="3"/>
      <c r="O830" s="3"/>
      <c r="P830" s="3"/>
      <c r="Q830" s="3"/>
      <c r="R830" s="3"/>
      <c r="S830" s="3"/>
      <c r="T830" s="3"/>
      <c r="U830" s="3"/>
      <c r="V830" s="3"/>
      <c r="W830" s="3"/>
      <c r="X830" s="3"/>
      <c r="Y830" s="3"/>
      <c r="Z830" s="3"/>
    </row>
    <row r="831" spans="1:26" ht="22.5" customHeight="1" x14ac:dyDescent="0.85">
      <c r="A831" s="166"/>
      <c r="B831" s="167"/>
      <c r="C831" s="167"/>
      <c r="D831" s="147"/>
      <c r="E831" s="147"/>
      <c r="F831" s="147"/>
      <c r="G831" s="147"/>
      <c r="H831" s="147"/>
      <c r="I831" s="147"/>
      <c r="J831" s="147"/>
      <c r="K831" s="3"/>
      <c r="L831" s="3"/>
      <c r="M831" s="3"/>
      <c r="N831" s="3"/>
      <c r="O831" s="3"/>
      <c r="P831" s="3"/>
      <c r="Q831" s="3"/>
      <c r="R831" s="3"/>
      <c r="S831" s="3"/>
      <c r="T831" s="3"/>
      <c r="U831" s="3"/>
      <c r="V831" s="3"/>
      <c r="W831" s="3"/>
      <c r="X831" s="3"/>
      <c r="Y831" s="3"/>
      <c r="Z831" s="3"/>
    </row>
    <row r="832" spans="1:26" ht="22.5" customHeight="1" x14ac:dyDescent="0.85">
      <c r="A832" s="166"/>
      <c r="B832" s="167"/>
      <c r="C832" s="167"/>
      <c r="D832" s="147"/>
      <c r="E832" s="147"/>
      <c r="F832" s="147"/>
      <c r="G832" s="147"/>
      <c r="H832" s="147"/>
      <c r="I832" s="147"/>
      <c r="J832" s="147"/>
      <c r="K832" s="3"/>
      <c r="L832" s="3"/>
      <c r="M832" s="3"/>
      <c r="N832" s="3"/>
      <c r="O832" s="3"/>
      <c r="P832" s="3"/>
      <c r="Q832" s="3"/>
      <c r="R832" s="3"/>
      <c r="S832" s="3"/>
      <c r="T832" s="3"/>
      <c r="U832" s="3"/>
      <c r="V832" s="3"/>
      <c r="W832" s="3"/>
      <c r="X832" s="3"/>
      <c r="Y832" s="3"/>
      <c r="Z832" s="3"/>
    </row>
    <row r="833" spans="1:26" ht="22.5" customHeight="1" x14ac:dyDescent="0.85">
      <c r="A833" s="166"/>
      <c r="B833" s="167"/>
      <c r="C833" s="167"/>
      <c r="D833" s="147"/>
      <c r="E833" s="147"/>
      <c r="F833" s="147"/>
      <c r="G833" s="147"/>
      <c r="H833" s="147"/>
      <c r="I833" s="147"/>
      <c r="J833" s="147"/>
      <c r="K833" s="3"/>
      <c r="L833" s="3"/>
      <c r="M833" s="3"/>
      <c r="N833" s="3"/>
      <c r="O833" s="3"/>
      <c r="P833" s="3"/>
      <c r="Q833" s="3"/>
      <c r="R833" s="3"/>
      <c r="S833" s="3"/>
      <c r="T833" s="3"/>
      <c r="U833" s="3"/>
      <c r="V833" s="3"/>
      <c r="W833" s="3"/>
      <c r="X833" s="3"/>
      <c r="Y833" s="3"/>
      <c r="Z833" s="3"/>
    </row>
    <row r="834" spans="1:26" ht="22.5" customHeight="1" x14ac:dyDescent="0.85">
      <c r="A834" s="166"/>
      <c r="B834" s="167"/>
      <c r="C834" s="167"/>
      <c r="D834" s="147"/>
      <c r="E834" s="147"/>
      <c r="F834" s="147"/>
      <c r="G834" s="147"/>
      <c r="H834" s="147"/>
      <c r="I834" s="147"/>
      <c r="J834" s="147"/>
      <c r="K834" s="3"/>
      <c r="L834" s="3"/>
      <c r="M834" s="3"/>
      <c r="N834" s="3"/>
      <c r="O834" s="3"/>
      <c r="P834" s="3"/>
      <c r="Q834" s="3"/>
      <c r="R834" s="3"/>
      <c r="S834" s="3"/>
      <c r="T834" s="3"/>
      <c r="U834" s="3"/>
      <c r="V834" s="3"/>
      <c r="W834" s="3"/>
      <c r="X834" s="3"/>
      <c r="Y834" s="3"/>
      <c r="Z834" s="3"/>
    </row>
    <row r="835" spans="1:26" ht="22.5" customHeight="1" x14ac:dyDescent="0.85">
      <c r="A835" s="166"/>
      <c r="B835" s="167"/>
      <c r="C835" s="167"/>
      <c r="D835" s="147"/>
      <c r="E835" s="147"/>
      <c r="F835" s="147"/>
      <c r="G835" s="147"/>
      <c r="H835" s="147"/>
      <c r="I835" s="147"/>
      <c r="J835" s="147"/>
      <c r="K835" s="3"/>
      <c r="L835" s="3"/>
      <c r="M835" s="3"/>
      <c r="N835" s="3"/>
      <c r="O835" s="3"/>
      <c r="P835" s="3"/>
      <c r="Q835" s="3"/>
      <c r="R835" s="3"/>
      <c r="S835" s="3"/>
      <c r="T835" s="3"/>
      <c r="U835" s="3"/>
      <c r="V835" s="3"/>
      <c r="W835" s="3"/>
      <c r="X835" s="3"/>
      <c r="Y835" s="3"/>
      <c r="Z835" s="3"/>
    </row>
    <row r="836" spans="1:26" ht="22.5" customHeight="1" x14ac:dyDescent="0.85">
      <c r="A836" s="166"/>
      <c r="B836" s="167"/>
      <c r="C836" s="167"/>
      <c r="D836" s="147"/>
      <c r="E836" s="147"/>
      <c r="F836" s="147"/>
      <c r="G836" s="147"/>
      <c r="H836" s="147"/>
      <c r="I836" s="147"/>
      <c r="J836" s="147"/>
      <c r="K836" s="3"/>
      <c r="L836" s="3"/>
      <c r="M836" s="3"/>
      <c r="N836" s="3"/>
      <c r="O836" s="3"/>
      <c r="P836" s="3"/>
      <c r="Q836" s="3"/>
      <c r="R836" s="3"/>
      <c r="S836" s="3"/>
      <c r="T836" s="3"/>
      <c r="U836" s="3"/>
      <c r="V836" s="3"/>
      <c r="W836" s="3"/>
      <c r="X836" s="3"/>
      <c r="Y836" s="3"/>
      <c r="Z836" s="3"/>
    </row>
    <row r="837" spans="1:26" ht="22.5" customHeight="1" x14ac:dyDescent="0.85">
      <c r="A837" s="166"/>
      <c r="B837" s="167"/>
      <c r="C837" s="167"/>
      <c r="D837" s="147"/>
      <c r="E837" s="147"/>
      <c r="F837" s="147"/>
      <c r="G837" s="147"/>
      <c r="H837" s="147"/>
      <c r="I837" s="147"/>
      <c r="J837" s="147"/>
      <c r="K837" s="3"/>
      <c r="L837" s="3"/>
      <c r="M837" s="3"/>
      <c r="N837" s="3"/>
      <c r="O837" s="3"/>
      <c r="P837" s="3"/>
      <c r="Q837" s="3"/>
      <c r="R837" s="3"/>
      <c r="S837" s="3"/>
      <c r="T837" s="3"/>
      <c r="U837" s="3"/>
      <c r="V837" s="3"/>
      <c r="W837" s="3"/>
      <c r="X837" s="3"/>
      <c r="Y837" s="3"/>
      <c r="Z837" s="3"/>
    </row>
    <row r="838" spans="1:26" ht="22.5" customHeight="1" x14ac:dyDescent="0.85">
      <c r="A838" s="166"/>
      <c r="B838" s="167"/>
      <c r="C838" s="167"/>
      <c r="D838" s="147"/>
      <c r="E838" s="147"/>
      <c r="F838" s="147"/>
      <c r="G838" s="147"/>
      <c r="H838" s="147"/>
      <c r="I838" s="147"/>
      <c r="J838" s="147"/>
      <c r="K838" s="3"/>
      <c r="L838" s="3"/>
      <c r="M838" s="3"/>
      <c r="N838" s="3"/>
      <c r="O838" s="3"/>
      <c r="P838" s="3"/>
      <c r="Q838" s="3"/>
      <c r="R838" s="3"/>
      <c r="S838" s="3"/>
      <c r="T838" s="3"/>
      <c r="U838" s="3"/>
      <c r="V838" s="3"/>
      <c r="W838" s="3"/>
      <c r="X838" s="3"/>
      <c r="Y838" s="3"/>
      <c r="Z838" s="3"/>
    </row>
    <row r="839" spans="1:26" ht="22.5" customHeight="1" x14ac:dyDescent="0.85">
      <c r="A839" s="166"/>
      <c r="B839" s="167"/>
      <c r="C839" s="167"/>
      <c r="D839" s="147"/>
      <c r="E839" s="147"/>
      <c r="F839" s="147"/>
      <c r="G839" s="147"/>
      <c r="H839" s="147"/>
      <c r="I839" s="147"/>
      <c r="J839" s="147"/>
      <c r="K839" s="3"/>
      <c r="L839" s="3"/>
      <c r="M839" s="3"/>
      <c r="N839" s="3"/>
      <c r="O839" s="3"/>
      <c r="P839" s="3"/>
      <c r="Q839" s="3"/>
      <c r="R839" s="3"/>
      <c r="S839" s="3"/>
      <c r="T839" s="3"/>
      <c r="U839" s="3"/>
      <c r="V839" s="3"/>
      <c r="W839" s="3"/>
      <c r="X839" s="3"/>
      <c r="Y839" s="3"/>
      <c r="Z839" s="3"/>
    </row>
    <row r="840" spans="1:26" ht="22.5" customHeight="1" x14ac:dyDescent="0.85">
      <c r="A840" s="166"/>
      <c r="B840" s="167"/>
      <c r="C840" s="167"/>
      <c r="D840" s="147"/>
      <c r="E840" s="147"/>
      <c r="F840" s="147"/>
      <c r="G840" s="147"/>
      <c r="H840" s="147"/>
      <c r="I840" s="147"/>
      <c r="J840" s="147"/>
      <c r="K840" s="3"/>
      <c r="L840" s="3"/>
      <c r="M840" s="3"/>
      <c r="N840" s="3"/>
      <c r="O840" s="3"/>
      <c r="P840" s="3"/>
      <c r="Q840" s="3"/>
      <c r="R840" s="3"/>
      <c r="S840" s="3"/>
      <c r="T840" s="3"/>
      <c r="U840" s="3"/>
      <c r="V840" s="3"/>
      <c r="W840" s="3"/>
      <c r="X840" s="3"/>
      <c r="Y840" s="3"/>
      <c r="Z840" s="3"/>
    </row>
    <row r="841" spans="1:26" ht="22.5" customHeight="1" x14ac:dyDescent="0.85">
      <c r="A841" s="166"/>
      <c r="B841" s="167"/>
      <c r="C841" s="167"/>
      <c r="D841" s="147"/>
      <c r="E841" s="147"/>
      <c r="F841" s="147"/>
      <c r="G841" s="147"/>
      <c r="H841" s="147"/>
      <c r="I841" s="147"/>
      <c r="J841" s="147"/>
      <c r="K841" s="3"/>
      <c r="L841" s="3"/>
      <c r="M841" s="3"/>
      <c r="N841" s="3"/>
      <c r="O841" s="3"/>
      <c r="P841" s="3"/>
      <c r="Q841" s="3"/>
      <c r="R841" s="3"/>
      <c r="S841" s="3"/>
      <c r="T841" s="3"/>
      <c r="U841" s="3"/>
      <c r="V841" s="3"/>
      <c r="W841" s="3"/>
      <c r="X841" s="3"/>
      <c r="Y841" s="3"/>
      <c r="Z841" s="3"/>
    </row>
    <row r="842" spans="1:26" ht="22.5" customHeight="1" x14ac:dyDescent="0.85">
      <c r="A842" s="166"/>
      <c r="B842" s="167"/>
      <c r="C842" s="167"/>
      <c r="D842" s="147"/>
      <c r="E842" s="147"/>
      <c r="F842" s="147"/>
      <c r="G842" s="147"/>
      <c r="H842" s="147"/>
      <c r="I842" s="147"/>
      <c r="J842" s="147"/>
      <c r="K842" s="3"/>
      <c r="L842" s="3"/>
      <c r="M842" s="3"/>
      <c r="N842" s="3"/>
      <c r="O842" s="3"/>
      <c r="P842" s="3"/>
      <c r="Q842" s="3"/>
      <c r="R842" s="3"/>
      <c r="S842" s="3"/>
      <c r="T842" s="3"/>
      <c r="U842" s="3"/>
      <c r="V842" s="3"/>
      <c r="W842" s="3"/>
      <c r="X842" s="3"/>
      <c r="Y842" s="3"/>
      <c r="Z842" s="3"/>
    </row>
    <row r="843" spans="1:26" ht="22.5" customHeight="1" x14ac:dyDescent="0.85">
      <c r="A843" s="166"/>
      <c r="B843" s="167"/>
      <c r="C843" s="167"/>
      <c r="D843" s="147"/>
      <c r="E843" s="147"/>
      <c r="F843" s="147"/>
      <c r="G843" s="147"/>
      <c r="H843" s="147"/>
      <c r="I843" s="147"/>
      <c r="J843" s="147"/>
      <c r="K843" s="3"/>
      <c r="L843" s="3"/>
      <c r="M843" s="3"/>
      <c r="N843" s="3"/>
      <c r="O843" s="3"/>
      <c r="P843" s="3"/>
      <c r="Q843" s="3"/>
      <c r="R843" s="3"/>
      <c r="S843" s="3"/>
      <c r="T843" s="3"/>
      <c r="U843" s="3"/>
      <c r="V843" s="3"/>
      <c r="W843" s="3"/>
      <c r="X843" s="3"/>
      <c r="Y843" s="3"/>
      <c r="Z843" s="3"/>
    </row>
    <row r="844" spans="1:26" ht="22.5" customHeight="1" x14ac:dyDescent="0.85">
      <c r="A844" s="166"/>
      <c r="B844" s="167"/>
      <c r="C844" s="167"/>
      <c r="D844" s="147"/>
      <c r="E844" s="147"/>
      <c r="F844" s="147"/>
      <c r="G844" s="147"/>
      <c r="H844" s="147"/>
      <c r="I844" s="147"/>
      <c r="J844" s="147"/>
      <c r="K844" s="3"/>
      <c r="L844" s="3"/>
      <c r="M844" s="3"/>
      <c r="N844" s="3"/>
      <c r="O844" s="3"/>
      <c r="P844" s="3"/>
      <c r="Q844" s="3"/>
      <c r="R844" s="3"/>
      <c r="S844" s="3"/>
      <c r="T844" s="3"/>
      <c r="U844" s="3"/>
      <c r="V844" s="3"/>
      <c r="W844" s="3"/>
      <c r="X844" s="3"/>
      <c r="Y844" s="3"/>
      <c r="Z844" s="3"/>
    </row>
    <row r="845" spans="1:26" ht="22.5" customHeight="1" x14ac:dyDescent="0.85">
      <c r="A845" s="166"/>
      <c r="B845" s="167"/>
      <c r="C845" s="167"/>
      <c r="D845" s="147"/>
      <c r="E845" s="147"/>
      <c r="F845" s="147"/>
      <c r="G845" s="147"/>
      <c r="H845" s="147"/>
      <c r="I845" s="147"/>
      <c r="J845" s="147"/>
      <c r="K845" s="3"/>
      <c r="L845" s="3"/>
      <c r="M845" s="3"/>
      <c r="N845" s="3"/>
      <c r="O845" s="3"/>
      <c r="P845" s="3"/>
      <c r="Q845" s="3"/>
      <c r="R845" s="3"/>
      <c r="S845" s="3"/>
      <c r="T845" s="3"/>
      <c r="U845" s="3"/>
      <c r="V845" s="3"/>
      <c r="W845" s="3"/>
      <c r="X845" s="3"/>
      <c r="Y845" s="3"/>
      <c r="Z845" s="3"/>
    </row>
    <row r="846" spans="1:26" ht="22.5" customHeight="1" x14ac:dyDescent="0.85">
      <c r="A846" s="166"/>
      <c r="B846" s="167"/>
      <c r="C846" s="167"/>
      <c r="D846" s="147"/>
      <c r="E846" s="147"/>
      <c r="F846" s="147"/>
      <c r="G846" s="147"/>
      <c r="H846" s="147"/>
      <c r="I846" s="147"/>
      <c r="J846" s="147"/>
      <c r="K846" s="3"/>
      <c r="L846" s="3"/>
      <c r="M846" s="3"/>
      <c r="N846" s="3"/>
      <c r="O846" s="3"/>
      <c r="P846" s="3"/>
      <c r="Q846" s="3"/>
      <c r="R846" s="3"/>
      <c r="S846" s="3"/>
      <c r="T846" s="3"/>
      <c r="U846" s="3"/>
      <c r="V846" s="3"/>
      <c r="W846" s="3"/>
      <c r="X846" s="3"/>
      <c r="Y846" s="3"/>
      <c r="Z846" s="3"/>
    </row>
    <row r="847" spans="1:26" ht="22.5" customHeight="1" x14ac:dyDescent="0.85">
      <c r="A847" s="166"/>
      <c r="B847" s="167"/>
      <c r="C847" s="167"/>
      <c r="D847" s="147"/>
      <c r="E847" s="147"/>
      <c r="F847" s="147"/>
      <c r="G847" s="147"/>
      <c r="H847" s="147"/>
      <c r="I847" s="147"/>
      <c r="J847" s="147"/>
      <c r="K847" s="3"/>
      <c r="L847" s="3"/>
      <c r="M847" s="3"/>
      <c r="N847" s="3"/>
      <c r="O847" s="3"/>
      <c r="P847" s="3"/>
      <c r="Q847" s="3"/>
      <c r="R847" s="3"/>
      <c r="S847" s="3"/>
      <c r="T847" s="3"/>
      <c r="U847" s="3"/>
      <c r="V847" s="3"/>
      <c r="W847" s="3"/>
      <c r="X847" s="3"/>
      <c r="Y847" s="3"/>
      <c r="Z847" s="3"/>
    </row>
    <row r="848" spans="1:26" ht="22.5" customHeight="1" x14ac:dyDescent="0.85">
      <c r="A848" s="166"/>
      <c r="B848" s="167"/>
      <c r="C848" s="167"/>
      <c r="D848" s="147"/>
      <c r="E848" s="147"/>
      <c r="F848" s="147"/>
      <c r="G848" s="147"/>
      <c r="H848" s="147"/>
      <c r="I848" s="147"/>
      <c r="J848" s="147"/>
      <c r="K848" s="3"/>
      <c r="L848" s="3"/>
      <c r="M848" s="3"/>
      <c r="N848" s="3"/>
      <c r="O848" s="3"/>
      <c r="P848" s="3"/>
      <c r="Q848" s="3"/>
      <c r="R848" s="3"/>
      <c r="S848" s="3"/>
      <c r="T848" s="3"/>
      <c r="U848" s="3"/>
      <c r="V848" s="3"/>
      <c r="W848" s="3"/>
      <c r="X848" s="3"/>
      <c r="Y848" s="3"/>
      <c r="Z848" s="3"/>
    </row>
    <row r="849" spans="1:26" ht="22.5" customHeight="1" x14ac:dyDescent="0.85">
      <c r="A849" s="166"/>
      <c r="B849" s="167"/>
      <c r="C849" s="167"/>
      <c r="D849" s="147"/>
      <c r="E849" s="147"/>
      <c r="F849" s="147"/>
      <c r="G849" s="147"/>
      <c r="H849" s="147"/>
      <c r="I849" s="147"/>
      <c r="J849" s="147"/>
      <c r="K849" s="3"/>
      <c r="L849" s="3"/>
      <c r="M849" s="3"/>
      <c r="N849" s="3"/>
      <c r="O849" s="3"/>
      <c r="P849" s="3"/>
      <c r="Q849" s="3"/>
      <c r="R849" s="3"/>
      <c r="S849" s="3"/>
      <c r="T849" s="3"/>
      <c r="U849" s="3"/>
      <c r="V849" s="3"/>
      <c r="W849" s="3"/>
      <c r="X849" s="3"/>
      <c r="Y849" s="3"/>
      <c r="Z849" s="3"/>
    </row>
    <row r="850" spans="1:26" ht="22.5" customHeight="1" x14ac:dyDescent="0.85">
      <c r="A850" s="166"/>
      <c r="B850" s="167"/>
      <c r="C850" s="167"/>
      <c r="D850" s="147"/>
      <c r="E850" s="147"/>
      <c r="F850" s="147"/>
      <c r="G850" s="147"/>
      <c r="H850" s="147"/>
      <c r="I850" s="147"/>
      <c r="J850" s="147"/>
      <c r="K850" s="3"/>
      <c r="L850" s="3"/>
      <c r="M850" s="3"/>
      <c r="N850" s="3"/>
      <c r="O850" s="3"/>
      <c r="P850" s="3"/>
      <c r="Q850" s="3"/>
      <c r="R850" s="3"/>
      <c r="S850" s="3"/>
      <c r="T850" s="3"/>
      <c r="U850" s="3"/>
      <c r="V850" s="3"/>
      <c r="W850" s="3"/>
      <c r="X850" s="3"/>
      <c r="Y850" s="3"/>
      <c r="Z850" s="3"/>
    </row>
    <row r="851" spans="1:26" ht="22.5" customHeight="1" x14ac:dyDescent="0.85">
      <c r="A851" s="166"/>
      <c r="B851" s="167"/>
      <c r="C851" s="167"/>
      <c r="D851" s="147"/>
      <c r="E851" s="147"/>
      <c r="F851" s="147"/>
      <c r="G851" s="147"/>
      <c r="H851" s="147"/>
      <c r="I851" s="147"/>
      <c r="J851" s="147"/>
      <c r="K851" s="3"/>
      <c r="L851" s="3"/>
      <c r="M851" s="3"/>
      <c r="N851" s="3"/>
      <c r="O851" s="3"/>
      <c r="P851" s="3"/>
      <c r="Q851" s="3"/>
      <c r="R851" s="3"/>
      <c r="S851" s="3"/>
      <c r="T851" s="3"/>
      <c r="U851" s="3"/>
      <c r="V851" s="3"/>
      <c r="W851" s="3"/>
      <c r="X851" s="3"/>
      <c r="Y851" s="3"/>
      <c r="Z851" s="3"/>
    </row>
    <row r="852" spans="1:26" ht="22.5" customHeight="1" x14ac:dyDescent="0.85">
      <c r="A852" s="166"/>
      <c r="B852" s="167"/>
      <c r="C852" s="167"/>
      <c r="D852" s="147"/>
      <c r="E852" s="147"/>
      <c r="F852" s="147"/>
      <c r="G852" s="147"/>
      <c r="H852" s="147"/>
      <c r="I852" s="147"/>
      <c r="J852" s="147"/>
      <c r="K852" s="3"/>
      <c r="L852" s="3"/>
      <c r="M852" s="3"/>
      <c r="N852" s="3"/>
      <c r="O852" s="3"/>
      <c r="P852" s="3"/>
      <c r="Q852" s="3"/>
      <c r="R852" s="3"/>
      <c r="S852" s="3"/>
      <c r="T852" s="3"/>
      <c r="U852" s="3"/>
      <c r="V852" s="3"/>
      <c r="W852" s="3"/>
      <c r="X852" s="3"/>
      <c r="Y852" s="3"/>
      <c r="Z852" s="3"/>
    </row>
    <row r="853" spans="1:26" ht="22.5" customHeight="1" x14ac:dyDescent="0.85">
      <c r="A853" s="166"/>
      <c r="B853" s="167"/>
      <c r="C853" s="167"/>
      <c r="D853" s="147"/>
      <c r="E853" s="147"/>
      <c r="F853" s="147"/>
      <c r="G853" s="147"/>
      <c r="H853" s="147"/>
      <c r="I853" s="147"/>
      <c r="J853" s="147"/>
      <c r="K853" s="3"/>
      <c r="L853" s="3"/>
      <c r="M853" s="3"/>
      <c r="N853" s="3"/>
      <c r="O853" s="3"/>
      <c r="P853" s="3"/>
      <c r="Q853" s="3"/>
      <c r="R853" s="3"/>
      <c r="S853" s="3"/>
      <c r="T853" s="3"/>
      <c r="U853" s="3"/>
      <c r="V853" s="3"/>
      <c r="W853" s="3"/>
      <c r="X853" s="3"/>
      <c r="Y853" s="3"/>
      <c r="Z853" s="3"/>
    </row>
    <row r="854" spans="1:26" ht="22.5" customHeight="1" x14ac:dyDescent="0.85">
      <c r="A854" s="166"/>
      <c r="B854" s="167"/>
      <c r="C854" s="167"/>
      <c r="D854" s="147"/>
      <c r="E854" s="147"/>
      <c r="F854" s="147"/>
      <c r="G854" s="147"/>
      <c r="H854" s="147"/>
      <c r="I854" s="147"/>
      <c r="J854" s="147"/>
      <c r="K854" s="3"/>
      <c r="L854" s="3"/>
      <c r="M854" s="3"/>
      <c r="N854" s="3"/>
      <c r="O854" s="3"/>
      <c r="P854" s="3"/>
      <c r="Q854" s="3"/>
      <c r="R854" s="3"/>
      <c r="S854" s="3"/>
      <c r="T854" s="3"/>
      <c r="U854" s="3"/>
      <c r="V854" s="3"/>
      <c r="W854" s="3"/>
      <c r="X854" s="3"/>
      <c r="Y854" s="3"/>
      <c r="Z854" s="3"/>
    </row>
    <row r="855" spans="1:26" ht="22.5" customHeight="1" x14ac:dyDescent="0.85">
      <c r="A855" s="166"/>
      <c r="B855" s="167"/>
      <c r="C855" s="167"/>
      <c r="D855" s="147"/>
      <c r="E855" s="147"/>
      <c r="F855" s="147"/>
      <c r="G855" s="147"/>
      <c r="H855" s="147"/>
      <c r="I855" s="147"/>
      <c r="J855" s="147"/>
      <c r="K855" s="3"/>
      <c r="L855" s="3"/>
      <c r="M855" s="3"/>
      <c r="N855" s="3"/>
      <c r="O855" s="3"/>
      <c r="P855" s="3"/>
      <c r="Q855" s="3"/>
      <c r="R855" s="3"/>
      <c r="S855" s="3"/>
      <c r="T855" s="3"/>
      <c r="U855" s="3"/>
      <c r="V855" s="3"/>
      <c r="W855" s="3"/>
      <c r="X855" s="3"/>
      <c r="Y855" s="3"/>
      <c r="Z855" s="3"/>
    </row>
    <row r="856" spans="1:26" ht="22.5" customHeight="1" x14ac:dyDescent="0.85">
      <c r="A856" s="166"/>
      <c r="B856" s="167"/>
      <c r="C856" s="167"/>
      <c r="D856" s="147"/>
      <c r="E856" s="147"/>
      <c r="F856" s="147"/>
      <c r="G856" s="147"/>
      <c r="H856" s="147"/>
      <c r="I856" s="147"/>
      <c r="J856" s="147"/>
      <c r="K856" s="3"/>
      <c r="L856" s="3"/>
      <c r="M856" s="3"/>
      <c r="N856" s="3"/>
      <c r="O856" s="3"/>
      <c r="P856" s="3"/>
      <c r="Q856" s="3"/>
      <c r="R856" s="3"/>
      <c r="S856" s="3"/>
      <c r="T856" s="3"/>
      <c r="U856" s="3"/>
      <c r="V856" s="3"/>
      <c r="W856" s="3"/>
      <c r="X856" s="3"/>
      <c r="Y856" s="3"/>
      <c r="Z856" s="3"/>
    </row>
    <row r="857" spans="1:26" ht="22.5" customHeight="1" x14ac:dyDescent="0.85">
      <c r="A857" s="166"/>
      <c r="B857" s="167"/>
      <c r="C857" s="167"/>
      <c r="D857" s="147"/>
      <c r="E857" s="147"/>
      <c r="F857" s="147"/>
      <c r="G857" s="147"/>
      <c r="H857" s="147"/>
      <c r="I857" s="147"/>
      <c r="J857" s="147"/>
      <c r="K857" s="3"/>
      <c r="L857" s="3"/>
      <c r="M857" s="3"/>
      <c r="N857" s="3"/>
      <c r="O857" s="3"/>
      <c r="P857" s="3"/>
      <c r="Q857" s="3"/>
      <c r="R857" s="3"/>
      <c r="S857" s="3"/>
      <c r="T857" s="3"/>
      <c r="U857" s="3"/>
      <c r="V857" s="3"/>
      <c r="W857" s="3"/>
      <c r="X857" s="3"/>
      <c r="Y857" s="3"/>
      <c r="Z857" s="3"/>
    </row>
    <row r="858" spans="1:26" ht="22.5" customHeight="1" x14ac:dyDescent="0.85">
      <c r="A858" s="166"/>
      <c r="B858" s="167"/>
      <c r="C858" s="167"/>
      <c r="D858" s="147"/>
      <c r="E858" s="147"/>
      <c r="F858" s="147"/>
      <c r="G858" s="147"/>
      <c r="H858" s="147"/>
      <c r="I858" s="147"/>
      <c r="J858" s="147"/>
      <c r="K858" s="3"/>
      <c r="L858" s="3"/>
      <c r="M858" s="3"/>
      <c r="N858" s="3"/>
      <c r="O858" s="3"/>
      <c r="P858" s="3"/>
      <c r="Q858" s="3"/>
      <c r="R858" s="3"/>
      <c r="S858" s="3"/>
      <c r="T858" s="3"/>
      <c r="U858" s="3"/>
      <c r="V858" s="3"/>
      <c r="W858" s="3"/>
      <c r="X858" s="3"/>
      <c r="Y858" s="3"/>
      <c r="Z858" s="3"/>
    </row>
    <row r="859" spans="1:26" ht="22.5" customHeight="1" x14ac:dyDescent="0.85">
      <c r="A859" s="166"/>
      <c r="B859" s="167"/>
      <c r="C859" s="167"/>
      <c r="D859" s="147"/>
      <c r="E859" s="147"/>
      <c r="F859" s="147"/>
      <c r="G859" s="147"/>
      <c r="H859" s="147"/>
      <c r="I859" s="147"/>
      <c r="J859" s="147"/>
      <c r="K859" s="3"/>
      <c r="L859" s="3"/>
      <c r="M859" s="3"/>
      <c r="N859" s="3"/>
      <c r="O859" s="3"/>
      <c r="P859" s="3"/>
      <c r="Q859" s="3"/>
      <c r="R859" s="3"/>
      <c r="S859" s="3"/>
      <c r="T859" s="3"/>
      <c r="U859" s="3"/>
      <c r="V859" s="3"/>
      <c r="W859" s="3"/>
      <c r="X859" s="3"/>
      <c r="Y859" s="3"/>
      <c r="Z859" s="3"/>
    </row>
    <row r="860" spans="1:26" ht="22.5" customHeight="1" x14ac:dyDescent="0.85">
      <c r="A860" s="166"/>
      <c r="B860" s="167"/>
      <c r="C860" s="167"/>
      <c r="D860" s="147"/>
      <c r="E860" s="147"/>
      <c r="F860" s="147"/>
      <c r="G860" s="147"/>
      <c r="H860" s="147"/>
      <c r="I860" s="147"/>
      <c r="J860" s="147"/>
      <c r="K860" s="3"/>
      <c r="L860" s="3"/>
      <c r="M860" s="3"/>
      <c r="N860" s="3"/>
      <c r="O860" s="3"/>
      <c r="P860" s="3"/>
      <c r="Q860" s="3"/>
      <c r="R860" s="3"/>
      <c r="S860" s="3"/>
      <c r="T860" s="3"/>
      <c r="U860" s="3"/>
      <c r="V860" s="3"/>
      <c r="W860" s="3"/>
      <c r="X860" s="3"/>
      <c r="Y860" s="3"/>
      <c r="Z860" s="3"/>
    </row>
    <row r="861" spans="1:26" ht="22.5" customHeight="1" x14ac:dyDescent="0.85">
      <c r="A861" s="166"/>
      <c r="B861" s="167"/>
      <c r="C861" s="167"/>
      <c r="D861" s="147"/>
      <c r="E861" s="147"/>
      <c r="F861" s="147"/>
      <c r="G861" s="147"/>
      <c r="H861" s="147"/>
      <c r="I861" s="147"/>
      <c r="J861" s="147"/>
      <c r="K861" s="3"/>
      <c r="L861" s="3"/>
      <c r="M861" s="3"/>
      <c r="N861" s="3"/>
      <c r="O861" s="3"/>
      <c r="P861" s="3"/>
      <c r="Q861" s="3"/>
      <c r="R861" s="3"/>
      <c r="S861" s="3"/>
      <c r="T861" s="3"/>
      <c r="U861" s="3"/>
      <c r="V861" s="3"/>
      <c r="W861" s="3"/>
      <c r="X861" s="3"/>
      <c r="Y861" s="3"/>
      <c r="Z861" s="3"/>
    </row>
    <row r="862" spans="1:26" ht="22.5" customHeight="1" x14ac:dyDescent="0.85">
      <c r="A862" s="166"/>
      <c r="B862" s="167"/>
      <c r="C862" s="167"/>
      <c r="D862" s="147"/>
      <c r="E862" s="147"/>
      <c r="F862" s="147"/>
      <c r="G862" s="147"/>
      <c r="H862" s="147"/>
      <c r="I862" s="147"/>
      <c r="J862" s="147"/>
      <c r="K862" s="3"/>
      <c r="L862" s="3"/>
      <c r="M862" s="3"/>
      <c r="N862" s="3"/>
      <c r="O862" s="3"/>
      <c r="P862" s="3"/>
      <c r="Q862" s="3"/>
      <c r="R862" s="3"/>
      <c r="S862" s="3"/>
      <c r="T862" s="3"/>
      <c r="U862" s="3"/>
      <c r="V862" s="3"/>
      <c r="W862" s="3"/>
      <c r="X862" s="3"/>
      <c r="Y862" s="3"/>
      <c r="Z862" s="3"/>
    </row>
    <row r="863" spans="1:26" ht="22.5" customHeight="1" x14ac:dyDescent="0.85">
      <c r="A863" s="166"/>
      <c r="B863" s="167"/>
      <c r="C863" s="167"/>
      <c r="D863" s="147"/>
      <c r="E863" s="147"/>
      <c r="F863" s="147"/>
      <c r="G863" s="147"/>
      <c r="H863" s="147"/>
      <c r="I863" s="147"/>
      <c r="J863" s="147"/>
      <c r="K863" s="3"/>
      <c r="L863" s="3"/>
      <c r="M863" s="3"/>
      <c r="N863" s="3"/>
      <c r="O863" s="3"/>
      <c r="P863" s="3"/>
      <c r="Q863" s="3"/>
      <c r="R863" s="3"/>
      <c r="S863" s="3"/>
      <c r="T863" s="3"/>
      <c r="U863" s="3"/>
      <c r="V863" s="3"/>
      <c r="W863" s="3"/>
      <c r="X863" s="3"/>
      <c r="Y863" s="3"/>
      <c r="Z863" s="3"/>
    </row>
    <row r="864" spans="1:26" ht="22.5" customHeight="1" x14ac:dyDescent="0.85">
      <c r="A864" s="166"/>
      <c r="B864" s="167"/>
      <c r="C864" s="167"/>
      <c r="D864" s="147"/>
      <c r="E864" s="147"/>
      <c r="F864" s="147"/>
      <c r="G864" s="147"/>
      <c r="H864" s="147"/>
      <c r="I864" s="147"/>
      <c r="J864" s="147"/>
      <c r="K864" s="3"/>
      <c r="L864" s="3"/>
      <c r="M864" s="3"/>
      <c r="N864" s="3"/>
      <c r="O864" s="3"/>
      <c r="P864" s="3"/>
      <c r="Q864" s="3"/>
      <c r="R864" s="3"/>
      <c r="S864" s="3"/>
      <c r="T864" s="3"/>
      <c r="U864" s="3"/>
      <c r="V864" s="3"/>
      <c r="W864" s="3"/>
      <c r="X864" s="3"/>
      <c r="Y864" s="3"/>
      <c r="Z864" s="3"/>
    </row>
    <row r="865" spans="1:26" ht="22.5" customHeight="1" x14ac:dyDescent="0.85">
      <c r="A865" s="166"/>
      <c r="B865" s="167"/>
      <c r="C865" s="167"/>
      <c r="D865" s="147"/>
      <c r="E865" s="147"/>
      <c r="F865" s="147"/>
      <c r="G865" s="147"/>
      <c r="H865" s="147"/>
      <c r="I865" s="147"/>
      <c r="J865" s="147"/>
      <c r="K865" s="3"/>
      <c r="L865" s="3"/>
      <c r="M865" s="3"/>
      <c r="N865" s="3"/>
      <c r="O865" s="3"/>
      <c r="P865" s="3"/>
      <c r="Q865" s="3"/>
      <c r="R865" s="3"/>
      <c r="S865" s="3"/>
      <c r="T865" s="3"/>
      <c r="U865" s="3"/>
      <c r="V865" s="3"/>
      <c r="W865" s="3"/>
      <c r="X865" s="3"/>
      <c r="Y865" s="3"/>
      <c r="Z865" s="3"/>
    </row>
    <row r="866" spans="1:26" ht="22.5" customHeight="1" x14ac:dyDescent="0.85">
      <c r="A866" s="166"/>
      <c r="B866" s="167"/>
      <c r="C866" s="167"/>
      <c r="D866" s="147"/>
      <c r="E866" s="147"/>
      <c r="F866" s="147"/>
      <c r="G866" s="147"/>
      <c r="H866" s="147"/>
      <c r="I866" s="147"/>
      <c r="J866" s="147"/>
      <c r="K866" s="3"/>
      <c r="L866" s="3"/>
      <c r="M866" s="3"/>
      <c r="N866" s="3"/>
      <c r="O866" s="3"/>
      <c r="P866" s="3"/>
      <c r="Q866" s="3"/>
      <c r="R866" s="3"/>
      <c r="S866" s="3"/>
      <c r="T866" s="3"/>
      <c r="U866" s="3"/>
      <c r="V866" s="3"/>
      <c r="W866" s="3"/>
      <c r="X866" s="3"/>
      <c r="Y866" s="3"/>
      <c r="Z866" s="3"/>
    </row>
    <row r="867" spans="1:26" ht="22.5" customHeight="1" x14ac:dyDescent="0.85">
      <c r="A867" s="166"/>
      <c r="B867" s="167"/>
      <c r="C867" s="167"/>
      <c r="D867" s="147"/>
      <c r="E867" s="147"/>
      <c r="F867" s="147"/>
      <c r="G867" s="147"/>
      <c r="H867" s="147"/>
      <c r="I867" s="147"/>
      <c r="J867" s="147"/>
      <c r="K867" s="3"/>
      <c r="L867" s="3"/>
      <c r="M867" s="3"/>
      <c r="N867" s="3"/>
      <c r="O867" s="3"/>
      <c r="P867" s="3"/>
      <c r="Q867" s="3"/>
      <c r="R867" s="3"/>
      <c r="S867" s="3"/>
      <c r="T867" s="3"/>
      <c r="U867" s="3"/>
      <c r="V867" s="3"/>
      <c r="W867" s="3"/>
      <c r="X867" s="3"/>
      <c r="Y867" s="3"/>
      <c r="Z867" s="3"/>
    </row>
    <row r="868" spans="1:26" ht="22.5" customHeight="1" x14ac:dyDescent="0.85">
      <c r="A868" s="166"/>
      <c r="B868" s="167"/>
      <c r="C868" s="167"/>
      <c r="D868" s="147"/>
      <c r="E868" s="147"/>
      <c r="F868" s="147"/>
      <c r="G868" s="147"/>
      <c r="H868" s="147"/>
      <c r="I868" s="147"/>
      <c r="J868" s="147"/>
      <c r="K868" s="3"/>
      <c r="L868" s="3"/>
      <c r="M868" s="3"/>
      <c r="N868" s="3"/>
      <c r="O868" s="3"/>
      <c r="P868" s="3"/>
      <c r="Q868" s="3"/>
      <c r="R868" s="3"/>
      <c r="S868" s="3"/>
      <c r="T868" s="3"/>
      <c r="U868" s="3"/>
      <c r="V868" s="3"/>
      <c r="W868" s="3"/>
      <c r="X868" s="3"/>
      <c r="Y868" s="3"/>
      <c r="Z868" s="3"/>
    </row>
    <row r="869" spans="1:26" ht="22.5" customHeight="1" x14ac:dyDescent="0.85">
      <c r="A869" s="166"/>
      <c r="B869" s="167"/>
      <c r="C869" s="167"/>
      <c r="D869" s="147"/>
      <c r="E869" s="147"/>
      <c r="F869" s="147"/>
      <c r="G869" s="147"/>
      <c r="H869" s="147"/>
      <c r="I869" s="147"/>
      <c r="J869" s="147"/>
      <c r="K869" s="3"/>
      <c r="L869" s="3"/>
      <c r="M869" s="3"/>
      <c r="N869" s="3"/>
      <c r="O869" s="3"/>
      <c r="P869" s="3"/>
      <c r="Q869" s="3"/>
      <c r="R869" s="3"/>
      <c r="S869" s="3"/>
      <c r="T869" s="3"/>
      <c r="U869" s="3"/>
      <c r="V869" s="3"/>
      <c r="W869" s="3"/>
      <c r="X869" s="3"/>
      <c r="Y869" s="3"/>
      <c r="Z869" s="3"/>
    </row>
    <row r="870" spans="1:26" ht="22.5" customHeight="1" x14ac:dyDescent="0.85">
      <c r="A870" s="166"/>
      <c r="B870" s="167"/>
      <c r="C870" s="167"/>
      <c r="D870" s="147"/>
      <c r="E870" s="147"/>
      <c r="F870" s="147"/>
      <c r="G870" s="147"/>
      <c r="H870" s="147"/>
      <c r="I870" s="147"/>
      <c r="J870" s="147"/>
      <c r="K870" s="3"/>
      <c r="L870" s="3"/>
      <c r="M870" s="3"/>
      <c r="N870" s="3"/>
      <c r="O870" s="3"/>
      <c r="P870" s="3"/>
      <c r="Q870" s="3"/>
      <c r="R870" s="3"/>
      <c r="S870" s="3"/>
      <c r="T870" s="3"/>
      <c r="U870" s="3"/>
      <c r="V870" s="3"/>
      <c r="W870" s="3"/>
      <c r="X870" s="3"/>
      <c r="Y870" s="3"/>
      <c r="Z870" s="3"/>
    </row>
    <row r="871" spans="1:26" ht="22.5" customHeight="1" x14ac:dyDescent="0.85">
      <c r="A871" s="166"/>
      <c r="B871" s="167"/>
      <c r="C871" s="167"/>
      <c r="D871" s="147"/>
      <c r="E871" s="147"/>
      <c r="F871" s="147"/>
      <c r="G871" s="147"/>
      <c r="H871" s="147"/>
      <c r="I871" s="147"/>
      <c r="J871" s="147"/>
      <c r="K871" s="3"/>
      <c r="L871" s="3"/>
      <c r="M871" s="3"/>
      <c r="N871" s="3"/>
      <c r="O871" s="3"/>
      <c r="P871" s="3"/>
      <c r="Q871" s="3"/>
      <c r="R871" s="3"/>
      <c r="S871" s="3"/>
      <c r="T871" s="3"/>
      <c r="U871" s="3"/>
      <c r="V871" s="3"/>
      <c r="W871" s="3"/>
      <c r="X871" s="3"/>
      <c r="Y871" s="3"/>
      <c r="Z871" s="3"/>
    </row>
    <row r="872" spans="1:26" ht="22.5" customHeight="1" x14ac:dyDescent="0.85">
      <c r="A872" s="166"/>
      <c r="B872" s="167"/>
      <c r="C872" s="167"/>
      <c r="D872" s="147"/>
      <c r="E872" s="147"/>
      <c r="F872" s="147"/>
      <c r="G872" s="147"/>
      <c r="H872" s="147"/>
      <c r="I872" s="147"/>
      <c r="J872" s="147"/>
      <c r="K872" s="3"/>
      <c r="L872" s="3"/>
      <c r="M872" s="3"/>
      <c r="N872" s="3"/>
      <c r="O872" s="3"/>
      <c r="P872" s="3"/>
      <c r="Q872" s="3"/>
      <c r="R872" s="3"/>
      <c r="S872" s="3"/>
      <c r="T872" s="3"/>
      <c r="U872" s="3"/>
      <c r="V872" s="3"/>
      <c r="W872" s="3"/>
      <c r="X872" s="3"/>
      <c r="Y872" s="3"/>
      <c r="Z872" s="3"/>
    </row>
    <row r="873" spans="1:26" ht="22.5" customHeight="1" x14ac:dyDescent="0.85">
      <c r="A873" s="166"/>
      <c r="B873" s="167"/>
      <c r="C873" s="167"/>
      <c r="D873" s="147"/>
      <c r="E873" s="147"/>
      <c r="F873" s="147"/>
      <c r="G873" s="147"/>
      <c r="H873" s="147"/>
      <c r="I873" s="147"/>
      <c r="J873" s="147"/>
      <c r="K873" s="3"/>
      <c r="L873" s="3"/>
      <c r="M873" s="3"/>
      <c r="N873" s="3"/>
      <c r="O873" s="3"/>
      <c r="P873" s="3"/>
      <c r="Q873" s="3"/>
      <c r="R873" s="3"/>
      <c r="S873" s="3"/>
      <c r="T873" s="3"/>
      <c r="U873" s="3"/>
      <c r="V873" s="3"/>
      <c r="W873" s="3"/>
      <c r="X873" s="3"/>
      <c r="Y873" s="3"/>
      <c r="Z873" s="3"/>
    </row>
    <row r="874" spans="1:26" ht="22.5" customHeight="1" x14ac:dyDescent="0.85">
      <c r="A874" s="166"/>
      <c r="B874" s="167"/>
      <c r="C874" s="167"/>
      <c r="D874" s="147"/>
      <c r="E874" s="147"/>
      <c r="F874" s="147"/>
      <c r="G874" s="147"/>
      <c r="H874" s="147"/>
      <c r="I874" s="147"/>
      <c r="J874" s="147"/>
      <c r="K874" s="3"/>
      <c r="L874" s="3"/>
      <c r="M874" s="3"/>
      <c r="N874" s="3"/>
      <c r="O874" s="3"/>
      <c r="P874" s="3"/>
      <c r="Q874" s="3"/>
      <c r="R874" s="3"/>
      <c r="S874" s="3"/>
      <c r="T874" s="3"/>
      <c r="U874" s="3"/>
      <c r="V874" s="3"/>
      <c r="W874" s="3"/>
      <c r="X874" s="3"/>
      <c r="Y874" s="3"/>
      <c r="Z874" s="3"/>
    </row>
    <row r="875" spans="1:26" ht="22.5" customHeight="1" x14ac:dyDescent="0.85">
      <c r="A875" s="166"/>
      <c r="B875" s="167"/>
      <c r="C875" s="167"/>
      <c r="D875" s="147"/>
      <c r="E875" s="147"/>
      <c r="F875" s="147"/>
      <c r="G875" s="147"/>
      <c r="H875" s="147"/>
      <c r="I875" s="147"/>
      <c r="J875" s="147"/>
      <c r="K875" s="3"/>
      <c r="L875" s="3"/>
      <c r="M875" s="3"/>
      <c r="N875" s="3"/>
      <c r="O875" s="3"/>
      <c r="P875" s="3"/>
      <c r="Q875" s="3"/>
      <c r="R875" s="3"/>
      <c r="S875" s="3"/>
      <c r="T875" s="3"/>
      <c r="U875" s="3"/>
      <c r="V875" s="3"/>
      <c r="W875" s="3"/>
      <c r="X875" s="3"/>
      <c r="Y875" s="3"/>
      <c r="Z875" s="3"/>
    </row>
    <row r="876" spans="1:26" ht="22.5" customHeight="1" x14ac:dyDescent="0.85">
      <c r="A876" s="166"/>
      <c r="B876" s="167"/>
      <c r="C876" s="167"/>
      <c r="D876" s="147"/>
      <c r="E876" s="147"/>
      <c r="F876" s="147"/>
      <c r="G876" s="147"/>
      <c r="H876" s="147"/>
      <c r="I876" s="147"/>
      <c r="J876" s="147"/>
      <c r="K876" s="3"/>
      <c r="L876" s="3"/>
      <c r="M876" s="3"/>
      <c r="N876" s="3"/>
      <c r="O876" s="3"/>
      <c r="P876" s="3"/>
      <c r="Q876" s="3"/>
      <c r="R876" s="3"/>
      <c r="S876" s="3"/>
      <c r="T876" s="3"/>
      <c r="U876" s="3"/>
      <c r="V876" s="3"/>
      <c r="W876" s="3"/>
      <c r="X876" s="3"/>
      <c r="Y876" s="3"/>
      <c r="Z876" s="3"/>
    </row>
    <row r="877" spans="1:26" ht="22.5" customHeight="1" x14ac:dyDescent="0.85">
      <c r="A877" s="166"/>
      <c r="B877" s="167"/>
      <c r="C877" s="167"/>
      <c r="D877" s="147"/>
      <c r="E877" s="147"/>
      <c r="F877" s="147"/>
      <c r="G877" s="147"/>
      <c r="H877" s="147"/>
      <c r="I877" s="147"/>
      <c r="J877" s="147"/>
      <c r="K877" s="3"/>
      <c r="L877" s="3"/>
      <c r="M877" s="3"/>
      <c r="N877" s="3"/>
      <c r="O877" s="3"/>
      <c r="P877" s="3"/>
      <c r="Q877" s="3"/>
      <c r="R877" s="3"/>
      <c r="S877" s="3"/>
      <c r="T877" s="3"/>
      <c r="U877" s="3"/>
      <c r="V877" s="3"/>
      <c r="W877" s="3"/>
      <c r="X877" s="3"/>
      <c r="Y877" s="3"/>
      <c r="Z877" s="3"/>
    </row>
    <row r="878" spans="1:26" ht="22.5" customHeight="1" x14ac:dyDescent="0.85">
      <c r="A878" s="166"/>
      <c r="B878" s="167"/>
      <c r="C878" s="167"/>
      <c r="D878" s="147"/>
      <c r="E878" s="147"/>
      <c r="F878" s="147"/>
      <c r="G878" s="147"/>
      <c r="H878" s="147"/>
      <c r="I878" s="147"/>
      <c r="J878" s="147"/>
      <c r="K878" s="3"/>
      <c r="L878" s="3"/>
      <c r="M878" s="3"/>
      <c r="N878" s="3"/>
      <c r="O878" s="3"/>
      <c r="P878" s="3"/>
      <c r="Q878" s="3"/>
      <c r="R878" s="3"/>
      <c r="S878" s="3"/>
      <c r="T878" s="3"/>
      <c r="U878" s="3"/>
      <c r="V878" s="3"/>
      <c r="W878" s="3"/>
      <c r="X878" s="3"/>
      <c r="Y878" s="3"/>
      <c r="Z878" s="3"/>
    </row>
    <row r="879" spans="1:26" ht="22.5" customHeight="1" x14ac:dyDescent="0.85">
      <c r="A879" s="166"/>
      <c r="B879" s="167"/>
      <c r="C879" s="167"/>
      <c r="D879" s="147"/>
      <c r="E879" s="147"/>
      <c r="F879" s="147"/>
      <c r="G879" s="147"/>
      <c r="H879" s="147"/>
      <c r="I879" s="147"/>
      <c r="J879" s="147"/>
      <c r="K879" s="3"/>
      <c r="L879" s="3"/>
      <c r="M879" s="3"/>
      <c r="N879" s="3"/>
      <c r="O879" s="3"/>
      <c r="P879" s="3"/>
      <c r="Q879" s="3"/>
      <c r="R879" s="3"/>
      <c r="S879" s="3"/>
      <c r="T879" s="3"/>
      <c r="U879" s="3"/>
      <c r="V879" s="3"/>
      <c r="W879" s="3"/>
      <c r="X879" s="3"/>
      <c r="Y879" s="3"/>
      <c r="Z879" s="3"/>
    </row>
    <row r="880" spans="1:26" ht="22.5" customHeight="1" x14ac:dyDescent="0.85">
      <c r="A880" s="166"/>
      <c r="B880" s="167"/>
      <c r="C880" s="167"/>
      <c r="D880" s="147"/>
      <c r="E880" s="147"/>
      <c r="F880" s="147"/>
      <c r="G880" s="147"/>
      <c r="H880" s="147"/>
      <c r="I880" s="147"/>
      <c r="J880" s="147"/>
      <c r="K880" s="3"/>
      <c r="L880" s="3"/>
      <c r="M880" s="3"/>
      <c r="N880" s="3"/>
      <c r="O880" s="3"/>
      <c r="P880" s="3"/>
      <c r="Q880" s="3"/>
      <c r="R880" s="3"/>
      <c r="S880" s="3"/>
      <c r="T880" s="3"/>
      <c r="U880" s="3"/>
      <c r="V880" s="3"/>
      <c r="W880" s="3"/>
      <c r="X880" s="3"/>
      <c r="Y880" s="3"/>
      <c r="Z880" s="3"/>
    </row>
    <row r="881" spans="1:26" ht="22.5" customHeight="1" x14ac:dyDescent="0.85">
      <c r="A881" s="166"/>
      <c r="B881" s="167"/>
      <c r="C881" s="167"/>
      <c r="D881" s="147"/>
      <c r="E881" s="147"/>
      <c r="F881" s="147"/>
      <c r="G881" s="147"/>
      <c r="H881" s="147"/>
      <c r="I881" s="147"/>
      <c r="J881" s="147"/>
      <c r="K881" s="3"/>
      <c r="L881" s="3"/>
      <c r="M881" s="3"/>
      <c r="N881" s="3"/>
      <c r="O881" s="3"/>
      <c r="P881" s="3"/>
      <c r="Q881" s="3"/>
      <c r="R881" s="3"/>
      <c r="S881" s="3"/>
      <c r="T881" s="3"/>
      <c r="U881" s="3"/>
      <c r="V881" s="3"/>
      <c r="W881" s="3"/>
      <c r="X881" s="3"/>
      <c r="Y881" s="3"/>
      <c r="Z881" s="3"/>
    </row>
    <row r="882" spans="1:26" ht="22.5" customHeight="1" x14ac:dyDescent="0.85">
      <c r="A882" s="166"/>
      <c r="B882" s="167"/>
      <c r="C882" s="167"/>
      <c r="D882" s="147"/>
      <c r="E882" s="147"/>
      <c r="F882" s="147"/>
      <c r="G882" s="147"/>
      <c r="H882" s="147"/>
      <c r="I882" s="147"/>
      <c r="J882" s="147"/>
      <c r="K882" s="3"/>
      <c r="L882" s="3"/>
      <c r="M882" s="3"/>
      <c r="N882" s="3"/>
      <c r="O882" s="3"/>
      <c r="P882" s="3"/>
      <c r="Q882" s="3"/>
      <c r="R882" s="3"/>
      <c r="S882" s="3"/>
      <c r="T882" s="3"/>
      <c r="U882" s="3"/>
      <c r="V882" s="3"/>
      <c r="W882" s="3"/>
      <c r="X882" s="3"/>
      <c r="Y882" s="3"/>
      <c r="Z882" s="3"/>
    </row>
    <row r="883" spans="1:26" ht="22.5" customHeight="1" x14ac:dyDescent="0.85">
      <c r="A883" s="166"/>
      <c r="B883" s="167"/>
      <c r="C883" s="167"/>
      <c r="D883" s="147"/>
      <c r="E883" s="147"/>
      <c r="F883" s="147"/>
      <c r="G883" s="147"/>
      <c r="H883" s="147"/>
      <c r="I883" s="147"/>
      <c r="J883" s="147"/>
      <c r="K883" s="3"/>
      <c r="L883" s="3"/>
      <c r="M883" s="3"/>
      <c r="N883" s="3"/>
      <c r="O883" s="3"/>
      <c r="P883" s="3"/>
      <c r="Q883" s="3"/>
      <c r="R883" s="3"/>
      <c r="S883" s="3"/>
      <c r="T883" s="3"/>
      <c r="U883" s="3"/>
      <c r="V883" s="3"/>
      <c r="W883" s="3"/>
      <c r="X883" s="3"/>
      <c r="Y883" s="3"/>
      <c r="Z883" s="3"/>
    </row>
    <row r="884" spans="1:26" ht="22.5" customHeight="1" x14ac:dyDescent="0.85">
      <c r="A884" s="166"/>
      <c r="B884" s="167"/>
      <c r="C884" s="167"/>
      <c r="D884" s="147"/>
      <c r="E884" s="147"/>
      <c r="F884" s="147"/>
      <c r="G884" s="147"/>
      <c r="H884" s="147"/>
      <c r="I884" s="147"/>
      <c r="J884" s="147"/>
      <c r="K884" s="3"/>
      <c r="L884" s="3"/>
      <c r="M884" s="3"/>
      <c r="N884" s="3"/>
      <c r="O884" s="3"/>
      <c r="P884" s="3"/>
      <c r="Q884" s="3"/>
      <c r="R884" s="3"/>
      <c r="S884" s="3"/>
      <c r="T884" s="3"/>
      <c r="U884" s="3"/>
      <c r="V884" s="3"/>
      <c r="W884" s="3"/>
      <c r="X884" s="3"/>
      <c r="Y884" s="3"/>
      <c r="Z884" s="3"/>
    </row>
    <row r="885" spans="1:26" ht="22.5" customHeight="1" x14ac:dyDescent="0.85">
      <c r="A885" s="166"/>
      <c r="B885" s="167"/>
      <c r="C885" s="167"/>
      <c r="D885" s="147"/>
      <c r="E885" s="147"/>
      <c r="F885" s="147"/>
      <c r="G885" s="147"/>
      <c r="H885" s="147"/>
      <c r="I885" s="147"/>
      <c r="J885" s="147"/>
      <c r="K885" s="3"/>
      <c r="L885" s="3"/>
      <c r="M885" s="3"/>
      <c r="N885" s="3"/>
      <c r="O885" s="3"/>
      <c r="P885" s="3"/>
      <c r="Q885" s="3"/>
      <c r="R885" s="3"/>
      <c r="S885" s="3"/>
      <c r="T885" s="3"/>
      <c r="U885" s="3"/>
      <c r="V885" s="3"/>
      <c r="W885" s="3"/>
      <c r="X885" s="3"/>
      <c r="Y885" s="3"/>
      <c r="Z885" s="3"/>
    </row>
    <row r="886" spans="1:26" ht="22.5" customHeight="1" x14ac:dyDescent="0.85">
      <c r="A886" s="166"/>
      <c r="B886" s="167"/>
      <c r="C886" s="167"/>
      <c r="D886" s="147"/>
      <c r="E886" s="147"/>
      <c r="F886" s="147"/>
      <c r="G886" s="147"/>
      <c r="H886" s="147"/>
      <c r="I886" s="147"/>
      <c r="J886" s="147"/>
      <c r="K886" s="3"/>
      <c r="L886" s="3"/>
      <c r="M886" s="3"/>
      <c r="N886" s="3"/>
      <c r="O886" s="3"/>
      <c r="P886" s="3"/>
      <c r="Q886" s="3"/>
      <c r="R886" s="3"/>
      <c r="S886" s="3"/>
      <c r="T886" s="3"/>
      <c r="U886" s="3"/>
      <c r="V886" s="3"/>
      <c r="W886" s="3"/>
      <c r="X886" s="3"/>
      <c r="Y886" s="3"/>
      <c r="Z886" s="3"/>
    </row>
    <row r="887" spans="1:26" ht="22.5" customHeight="1" x14ac:dyDescent="0.85">
      <c r="A887" s="166"/>
      <c r="B887" s="167"/>
      <c r="C887" s="167"/>
      <c r="D887" s="147"/>
      <c r="E887" s="147"/>
      <c r="F887" s="147"/>
      <c r="G887" s="147"/>
      <c r="H887" s="147"/>
      <c r="I887" s="147"/>
      <c r="J887" s="147"/>
      <c r="K887" s="3"/>
      <c r="L887" s="3"/>
      <c r="M887" s="3"/>
      <c r="N887" s="3"/>
      <c r="O887" s="3"/>
      <c r="P887" s="3"/>
      <c r="Q887" s="3"/>
      <c r="R887" s="3"/>
      <c r="S887" s="3"/>
      <c r="T887" s="3"/>
      <c r="U887" s="3"/>
      <c r="V887" s="3"/>
      <c r="W887" s="3"/>
      <c r="X887" s="3"/>
      <c r="Y887" s="3"/>
      <c r="Z887" s="3"/>
    </row>
    <row r="888" spans="1:26" ht="22.5" customHeight="1" x14ac:dyDescent="0.85">
      <c r="A888" s="166"/>
      <c r="B888" s="167"/>
      <c r="C888" s="167"/>
      <c r="D888" s="147"/>
      <c r="E888" s="147"/>
      <c r="F888" s="147"/>
      <c r="G888" s="147"/>
      <c r="H888" s="147"/>
      <c r="I888" s="147"/>
      <c r="J888" s="147"/>
      <c r="K888" s="3"/>
      <c r="L888" s="3"/>
      <c r="M888" s="3"/>
      <c r="N888" s="3"/>
      <c r="O888" s="3"/>
      <c r="P888" s="3"/>
      <c r="Q888" s="3"/>
      <c r="R888" s="3"/>
      <c r="S888" s="3"/>
      <c r="T888" s="3"/>
      <c r="U888" s="3"/>
      <c r="V888" s="3"/>
      <c r="W888" s="3"/>
      <c r="X888" s="3"/>
      <c r="Y888" s="3"/>
      <c r="Z888" s="3"/>
    </row>
    <row r="889" spans="1:26" ht="22.5" customHeight="1" x14ac:dyDescent="0.85">
      <c r="A889" s="166"/>
      <c r="B889" s="167"/>
      <c r="C889" s="167"/>
      <c r="D889" s="147"/>
      <c r="E889" s="147"/>
      <c r="F889" s="147"/>
      <c r="G889" s="147"/>
      <c r="H889" s="147"/>
      <c r="I889" s="147"/>
      <c r="J889" s="147"/>
      <c r="K889" s="3"/>
      <c r="L889" s="3"/>
      <c r="M889" s="3"/>
      <c r="N889" s="3"/>
      <c r="O889" s="3"/>
      <c r="P889" s="3"/>
      <c r="Q889" s="3"/>
      <c r="R889" s="3"/>
      <c r="S889" s="3"/>
      <c r="T889" s="3"/>
      <c r="U889" s="3"/>
      <c r="V889" s="3"/>
      <c r="W889" s="3"/>
      <c r="X889" s="3"/>
      <c r="Y889" s="3"/>
      <c r="Z889" s="3"/>
    </row>
    <row r="890" spans="1:26" ht="22.5" customHeight="1" x14ac:dyDescent="0.85">
      <c r="A890" s="166"/>
      <c r="B890" s="167"/>
      <c r="C890" s="167"/>
      <c r="D890" s="147"/>
      <c r="E890" s="147"/>
      <c r="F890" s="147"/>
      <c r="G890" s="147"/>
      <c r="H890" s="147"/>
      <c r="I890" s="147"/>
      <c r="J890" s="147"/>
      <c r="K890" s="3"/>
      <c r="L890" s="3"/>
      <c r="M890" s="3"/>
      <c r="N890" s="3"/>
      <c r="O890" s="3"/>
      <c r="P890" s="3"/>
      <c r="Q890" s="3"/>
      <c r="R890" s="3"/>
      <c r="S890" s="3"/>
      <c r="T890" s="3"/>
      <c r="U890" s="3"/>
      <c r="V890" s="3"/>
      <c r="W890" s="3"/>
      <c r="X890" s="3"/>
      <c r="Y890" s="3"/>
      <c r="Z890" s="3"/>
    </row>
    <row r="891" spans="1:26" ht="22.5" customHeight="1" x14ac:dyDescent="0.85">
      <c r="A891" s="166"/>
      <c r="B891" s="167"/>
      <c r="C891" s="167"/>
      <c r="D891" s="147"/>
      <c r="E891" s="147"/>
      <c r="F891" s="147"/>
      <c r="G891" s="147"/>
      <c r="H891" s="147"/>
      <c r="I891" s="147"/>
      <c r="J891" s="147"/>
      <c r="K891" s="3"/>
      <c r="L891" s="3"/>
      <c r="M891" s="3"/>
      <c r="N891" s="3"/>
      <c r="O891" s="3"/>
      <c r="P891" s="3"/>
      <c r="Q891" s="3"/>
      <c r="R891" s="3"/>
      <c r="S891" s="3"/>
      <c r="T891" s="3"/>
      <c r="U891" s="3"/>
      <c r="V891" s="3"/>
      <c r="W891" s="3"/>
      <c r="X891" s="3"/>
      <c r="Y891" s="3"/>
      <c r="Z891" s="3"/>
    </row>
    <row r="892" spans="1:26" ht="22.5" customHeight="1" x14ac:dyDescent="0.85">
      <c r="A892" s="166"/>
      <c r="B892" s="167"/>
      <c r="C892" s="167"/>
      <c r="D892" s="147"/>
      <c r="E892" s="147"/>
      <c r="F892" s="147"/>
      <c r="G892" s="147"/>
      <c r="H892" s="147"/>
      <c r="I892" s="147"/>
      <c r="J892" s="147"/>
      <c r="K892" s="3"/>
      <c r="L892" s="3"/>
      <c r="M892" s="3"/>
      <c r="N892" s="3"/>
      <c r="O892" s="3"/>
      <c r="P892" s="3"/>
      <c r="Q892" s="3"/>
      <c r="R892" s="3"/>
      <c r="S892" s="3"/>
      <c r="T892" s="3"/>
      <c r="U892" s="3"/>
      <c r="V892" s="3"/>
      <c r="W892" s="3"/>
      <c r="X892" s="3"/>
      <c r="Y892" s="3"/>
      <c r="Z892" s="3"/>
    </row>
    <row r="893" spans="1:26" ht="22.5" customHeight="1" x14ac:dyDescent="0.85">
      <c r="A893" s="166"/>
      <c r="B893" s="167"/>
      <c r="C893" s="167"/>
      <c r="D893" s="147"/>
      <c r="E893" s="147"/>
      <c r="F893" s="147"/>
      <c r="G893" s="147"/>
      <c r="H893" s="147"/>
      <c r="I893" s="147"/>
      <c r="J893" s="147"/>
      <c r="K893" s="3"/>
      <c r="L893" s="3"/>
      <c r="M893" s="3"/>
      <c r="N893" s="3"/>
      <c r="O893" s="3"/>
      <c r="P893" s="3"/>
      <c r="Q893" s="3"/>
      <c r="R893" s="3"/>
      <c r="S893" s="3"/>
      <c r="T893" s="3"/>
      <c r="U893" s="3"/>
      <c r="V893" s="3"/>
      <c r="W893" s="3"/>
      <c r="X893" s="3"/>
      <c r="Y893" s="3"/>
      <c r="Z893" s="3"/>
    </row>
    <row r="894" spans="1:26" ht="22.5" customHeight="1" x14ac:dyDescent="0.85">
      <c r="A894" s="166"/>
      <c r="B894" s="167"/>
      <c r="C894" s="167"/>
      <c r="D894" s="147"/>
      <c r="E894" s="147"/>
      <c r="F894" s="147"/>
      <c r="G894" s="147"/>
      <c r="H894" s="147"/>
      <c r="I894" s="147"/>
      <c r="J894" s="147"/>
      <c r="K894" s="3"/>
      <c r="L894" s="3"/>
      <c r="M894" s="3"/>
      <c r="N894" s="3"/>
      <c r="O894" s="3"/>
      <c r="P894" s="3"/>
      <c r="Q894" s="3"/>
      <c r="R894" s="3"/>
      <c r="S894" s="3"/>
      <c r="T894" s="3"/>
      <c r="U894" s="3"/>
      <c r="V894" s="3"/>
      <c r="W894" s="3"/>
      <c r="X894" s="3"/>
      <c r="Y894" s="3"/>
      <c r="Z894" s="3"/>
    </row>
    <row r="895" spans="1:26" ht="22.5" customHeight="1" x14ac:dyDescent="0.85">
      <c r="A895" s="166"/>
      <c r="B895" s="167"/>
      <c r="C895" s="167"/>
      <c r="D895" s="147"/>
      <c r="E895" s="147"/>
      <c r="F895" s="147"/>
      <c r="G895" s="147"/>
      <c r="H895" s="147"/>
      <c r="I895" s="147"/>
      <c r="J895" s="147"/>
      <c r="K895" s="3"/>
      <c r="L895" s="3"/>
      <c r="M895" s="3"/>
      <c r="N895" s="3"/>
      <c r="O895" s="3"/>
      <c r="P895" s="3"/>
      <c r="Q895" s="3"/>
      <c r="R895" s="3"/>
      <c r="S895" s="3"/>
      <c r="T895" s="3"/>
      <c r="U895" s="3"/>
      <c r="V895" s="3"/>
      <c r="W895" s="3"/>
      <c r="X895" s="3"/>
      <c r="Y895" s="3"/>
      <c r="Z895" s="3"/>
    </row>
    <row r="896" spans="1:26" ht="22.5" customHeight="1" x14ac:dyDescent="0.85">
      <c r="A896" s="166"/>
      <c r="B896" s="167"/>
      <c r="C896" s="167"/>
      <c r="D896" s="147"/>
      <c r="E896" s="147"/>
      <c r="F896" s="147"/>
      <c r="G896" s="147"/>
      <c r="H896" s="147"/>
      <c r="I896" s="147"/>
      <c r="J896" s="147"/>
      <c r="K896" s="3"/>
      <c r="L896" s="3"/>
      <c r="M896" s="3"/>
      <c r="N896" s="3"/>
      <c r="O896" s="3"/>
      <c r="P896" s="3"/>
      <c r="Q896" s="3"/>
      <c r="R896" s="3"/>
      <c r="S896" s="3"/>
      <c r="T896" s="3"/>
      <c r="U896" s="3"/>
      <c r="V896" s="3"/>
      <c r="W896" s="3"/>
      <c r="X896" s="3"/>
      <c r="Y896" s="3"/>
      <c r="Z896" s="3"/>
    </row>
    <row r="897" spans="1:26" ht="22.5" customHeight="1" x14ac:dyDescent="0.85">
      <c r="A897" s="166"/>
      <c r="B897" s="167"/>
      <c r="C897" s="167"/>
      <c r="D897" s="147"/>
      <c r="E897" s="147"/>
      <c r="F897" s="147"/>
      <c r="G897" s="147"/>
      <c r="H897" s="147"/>
      <c r="I897" s="147"/>
      <c r="J897" s="147"/>
      <c r="K897" s="3"/>
      <c r="L897" s="3"/>
      <c r="M897" s="3"/>
      <c r="N897" s="3"/>
      <c r="O897" s="3"/>
      <c r="P897" s="3"/>
      <c r="Q897" s="3"/>
      <c r="R897" s="3"/>
      <c r="S897" s="3"/>
      <c r="T897" s="3"/>
      <c r="U897" s="3"/>
      <c r="V897" s="3"/>
      <c r="W897" s="3"/>
      <c r="X897" s="3"/>
      <c r="Y897" s="3"/>
      <c r="Z897" s="3"/>
    </row>
    <row r="898" spans="1:26" ht="22.5" customHeight="1" x14ac:dyDescent="0.85">
      <c r="A898" s="166"/>
      <c r="B898" s="167"/>
      <c r="C898" s="167"/>
      <c r="D898" s="147"/>
      <c r="E898" s="147"/>
      <c r="F898" s="147"/>
      <c r="G898" s="147"/>
      <c r="H898" s="147"/>
      <c r="I898" s="147"/>
      <c r="J898" s="147"/>
      <c r="K898" s="3"/>
      <c r="L898" s="3"/>
      <c r="M898" s="3"/>
      <c r="N898" s="3"/>
      <c r="O898" s="3"/>
      <c r="P898" s="3"/>
      <c r="Q898" s="3"/>
      <c r="R898" s="3"/>
      <c r="S898" s="3"/>
      <c r="T898" s="3"/>
      <c r="U898" s="3"/>
      <c r="V898" s="3"/>
      <c r="W898" s="3"/>
      <c r="X898" s="3"/>
      <c r="Y898" s="3"/>
      <c r="Z898" s="3"/>
    </row>
    <row r="899" spans="1:26" ht="22.5" customHeight="1" x14ac:dyDescent="0.85">
      <c r="A899" s="166"/>
      <c r="B899" s="167"/>
      <c r="C899" s="167"/>
      <c r="D899" s="147"/>
      <c r="E899" s="147"/>
      <c r="F899" s="147"/>
      <c r="G899" s="147"/>
      <c r="H899" s="147"/>
      <c r="I899" s="147"/>
      <c r="J899" s="147"/>
      <c r="K899" s="3"/>
      <c r="L899" s="3"/>
      <c r="M899" s="3"/>
      <c r="N899" s="3"/>
      <c r="O899" s="3"/>
      <c r="P899" s="3"/>
      <c r="Q899" s="3"/>
      <c r="R899" s="3"/>
      <c r="S899" s="3"/>
      <c r="T899" s="3"/>
      <c r="U899" s="3"/>
      <c r="V899" s="3"/>
      <c r="W899" s="3"/>
      <c r="X899" s="3"/>
      <c r="Y899" s="3"/>
      <c r="Z899" s="3"/>
    </row>
    <row r="900" spans="1:26" ht="22.5" customHeight="1" x14ac:dyDescent="0.85">
      <c r="A900" s="166"/>
      <c r="B900" s="167"/>
      <c r="C900" s="167"/>
      <c r="D900" s="147"/>
      <c r="E900" s="147"/>
      <c r="F900" s="147"/>
      <c r="G900" s="147"/>
      <c r="H900" s="147"/>
      <c r="I900" s="147"/>
      <c r="J900" s="147"/>
      <c r="K900" s="3"/>
      <c r="L900" s="3"/>
      <c r="M900" s="3"/>
      <c r="N900" s="3"/>
      <c r="O900" s="3"/>
      <c r="P900" s="3"/>
      <c r="Q900" s="3"/>
      <c r="R900" s="3"/>
      <c r="S900" s="3"/>
      <c r="T900" s="3"/>
      <c r="U900" s="3"/>
      <c r="V900" s="3"/>
      <c r="W900" s="3"/>
      <c r="X900" s="3"/>
      <c r="Y900" s="3"/>
      <c r="Z900" s="3"/>
    </row>
    <row r="901" spans="1:26" ht="22.5" customHeight="1" x14ac:dyDescent="0.85">
      <c r="A901" s="166"/>
      <c r="B901" s="167"/>
      <c r="C901" s="167"/>
      <c r="D901" s="147"/>
      <c r="E901" s="147"/>
      <c r="F901" s="147"/>
      <c r="G901" s="147"/>
      <c r="H901" s="147"/>
      <c r="I901" s="147"/>
      <c r="J901" s="147"/>
      <c r="K901" s="3"/>
      <c r="L901" s="3"/>
      <c r="M901" s="3"/>
      <c r="N901" s="3"/>
      <c r="O901" s="3"/>
      <c r="P901" s="3"/>
      <c r="Q901" s="3"/>
      <c r="R901" s="3"/>
      <c r="S901" s="3"/>
      <c r="T901" s="3"/>
      <c r="U901" s="3"/>
      <c r="V901" s="3"/>
      <c r="W901" s="3"/>
      <c r="X901" s="3"/>
      <c r="Y901" s="3"/>
      <c r="Z901" s="3"/>
    </row>
    <row r="902" spans="1:26" ht="22.5" customHeight="1" x14ac:dyDescent="0.85">
      <c r="A902" s="166"/>
      <c r="B902" s="167"/>
      <c r="C902" s="167"/>
      <c r="D902" s="147"/>
      <c r="E902" s="147"/>
      <c r="F902" s="147"/>
      <c r="G902" s="147"/>
      <c r="H902" s="147"/>
      <c r="I902" s="147"/>
      <c r="J902" s="147"/>
      <c r="K902" s="3"/>
      <c r="L902" s="3"/>
      <c r="M902" s="3"/>
      <c r="N902" s="3"/>
      <c r="O902" s="3"/>
      <c r="P902" s="3"/>
      <c r="Q902" s="3"/>
      <c r="R902" s="3"/>
      <c r="S902" s="3"/>
      <c r="T902" s="3"/>
      <c r="U902" s="3"/>
      <c r="V902" s="3"/>
      <c r="W902" s="3"/>
      <c r="X902" s="3"/>
      <c r="Y902" s="3"/>
      <c r="Z902" s="3"/>
    </row>
    <row r="903" spans="1:26" ht="22.5" customHeight="1" x14ac:dyDescent="0.85">
      <c r="A903" s="166"/>
      <c r="B903" s="167"/>
      <c r="C903" s="167"/>
      <c r="D903" s="147"/>
      <c r="E903" s="147"/>
      <c r="F903" s="147"/>
      <c r="G903" s="147"/>
      <c r="H903" s="147"/>
      <c r="I903" s="147"/>
      <c r="J903" s="147"/>
      <c r="K903" s="3"/>
      <c r="L903" s="3"/>
      <c r="M903" s="3"/>
      <c r="N903" s="3"/>
      <c r="O903" s="3"/>
      <c r="P903" s="3"/>
      <c r="Q903" s="3"/>
      <c r="R903" s="3"/>
      <c r="S903" s="3"/>
      <c r="T903" s="3"/>
      <c r="U903" s="3"/>
      <c r="V903" s="3"/>
      <c r="W903" s="3"/>
      <c r="X903" s="3"/>
      <c r="Y903" s="3"/>
      <c r="Z903" s="3"/>
    </row>
    <row r="904" spans="1:26" ht="22.5" customHeight="1" x14ac:dyDescent="0.85">
      <c r="A904" s="166"/>
      <c r="B904" s="167"/>
      <c r="C904" s="167"/>
      <c r="D904" s="147"/>
      <c r="E904" s="147"/>
      <c r="F904" s="147"/>
      <c r="G904" s="147"/>
      <c r="H904" s="147"/>
      <c r="I904" s="147"/>
      <c r="J904" s="147"/>
      <c r="K904" s="3"/>
      <c r="L904" s="3"/>
      <c r="M904" s="3"/>
      <c r="N904" s="3"/>
      <c r="O904" s="3"/>
      <c r="P904" s="3"/>
      <c r="Q904" s="3"/>
      <c r="R904" s="3"/>
      <c r="S904" s="3"/>
      <c r="T904" s="3"/>
      <c r="U904" s="3"/>
      <c r="V904" s="3"/>
      <c r="W904" s="3"/>
      <c r="X904" s="3"/>
      <c r="Y904" s="3"/>
      <c r="Z904" s="3"/>
    </row>
    <row r="905" spans="1:26" ht="22.5" customHeight="1" x14ac:dyDescent="0.85">
      <c r="A905" s="166"/>
      <c r="B905" s="167"/>
      <c r="C905" s="167"/>
      <c r="D905" s="147"/>
      <c r="E905" s="147"/>
      <c r="F905" s="147"/>
      <c r="G905" s="147"/>
      <c r="H905" s="147"/>
      <c r="I905" s="147"/>
      <c r="J905" s="147"/>
      <c r="K905" s="3"/>
      <c r="L905" s="3"/>
      <c r="M905" s="3"/>
      <c r="N905" s="3"/>
      <c r="O905" s="3"/>
      <c r="P905" s="3"/>
      <c r="Q905" s="3"/>
      <c r="R905" s="3"/>
      <c r="S905" s="3"/>
      <c r="T905" s="3"/>
      <c r="U905" s="3"/>
      <c r="V905" s="3"/>
      <c r="W905" s="3"/>
      <c r="X905" s="3"/>
      <c r="Y905" s="3"/>
      <c r="Z905" s="3"/>
    </row>
    <row r="906" spans="1:26" ht="22.5" customHeight="1" x14ac:dyDescent="0.85">
      <c r="A906" s="166"/>
      <c r="B906" s="167"/>
      <c r="C906" s="167"/>
      <c r="D906" s="147"/>
      <c r="E906" s="147"/>
      <c r="F906" s="147"/>
      <c r="G906" s="147"/>
      <c r="H906" s="147"/>
      <c r="I906" s="147"/>
      <c r="J906" s="147"/>
      <c r="K906" s="3"/>
      <c r="L906" s="3"/>
      <c r="M906" s="3"/>
      <c r="N906" s="3"/>
      <c r="O906" s="3"/>
      <c r="P906" s="3"/>
      <c r="Q906" s="3"/>
      <c r="R906" s="3"/>
      <c r="S906" s="3"/>
      <c r="T906" s="3"/>
      <c r="U906" s="3"/>
      <c r="V906" s="3"/>
      <c r="W906" s="3"/>
      <c r="X906" s="3"/>
      <c r="Y906" s="3"/>
      <c r="Z906" s="3"/>
    </row>
    <row r="907" spans="1:26" ht="22.5" customHeight="1" x14ac:dyDescent="0.85">
      <c r="A907" s="166"/>
      <c r="B907" s="167"/>
      <c r="C907" s="167"/>
      <c r="D907" s="147"/>
      <c r="E907" s="147"/>
      <c r="F907" s="147"/>
      <c r="G907" s="147"/>
      <c r="H907" s="147"/>
      <c r="I907" s="147"/>
      <c r="J907" s="147"/>
      <c r="K907" s="3"/>
      <c r="L907" s="3"/>
      <c r="M907" s="3"/>
      <c r="N907" s="3"/>
      <c r="O907" s="3"/>
      <c r="P907" s="3"/>
      <c r="Q907" s="3"/>
      <c r="R907" s="3"/>
      <c r="S907" s="3"/>
      <c r="T907" s="3"/>
      <c r="U907" s="3"/>
      <c r="V907" s="3"/>
      <c r="W907" s="3"/>
      <c r="X907" s="3"/>
      <c r="Y907" s="3"/>
      <c r="Z907" s="3"/>
    </row>
    <row r="908" spans="1:26" ht="22.5" customHeight="1" x14ac:dyDescent="0.85">
      <c r="A908" s="166"/>
      <c r="B908" s="167"/>
      <c r="C908" s="167"/>
      <c r="D908" s="147"/>
      <c r="E908" s="147"/>
      <c r="F908" s="147"/>
      <c r="G908" s="147"/>
      <c r="H908" s="147"/>
      <c r="I908" s="147"/>
      <c r="J908" s="147"/>
      <c r="K908" s="3"/>
      <c r="L908" s="3"/>
      <c r="M908" s="3"/>
      <c r="N908" s="3"/>
      <c r="O908" s="3"/>
      <c r="P908" s="3"/>
      <c r="Q908" s="3"/>
      <c r="R908" s="3"/>
      <c r="S908" s="3"/>
      <c r="T908" s="3"/>
      <c r="U908" s="3"/>
      <c r="V908" s="3"/>
      <c r="W908" s="3"/>
      <c r="X908" s="3"/>
      <c r="Y908" s="3"/>
      <c r="Z908" s="3"/>
    </row>
    <row r="909" spans="1:26" ht="22.5" customHeight="1" x14ac:dyDescent="0.85">
      <c r="A909" s="166"/>
      <c r="B909" s="167"/>
      <c r="C909" s="167"/>
      <c r="D909" s="147"/>
      <c r="E909" s="147"/>
      <c r="F909" s="147"/>
      <c r="G909" s="147"/>
      <c r="H909" s="147"/>
      <c r="I909" s="147"/>
      <c r="J909" s="147"/>
      <c r="K909" s="3"/>
      <c r="L909" s="3"/>
      <c r="M909" s="3"/>
      <c r="N909" s="3"/>
      <c r="O909" s="3"/>
      <c r="P909" s="3"/>
      <c r="Q909" s="3"/>
      <c r="R909" s="3"/>
      <c r="S909" s="3"/>
      <c r="T909" s="3"/>
      <c r="U909" s="3"/>
      <c r="V909" s="3"/>
      <c r="W909" s="3"/>
      <c r="X909" s="3"/>
      <c r="Y909" s="3"/>
      <c r="Z909" s="3"/>
    </row>
    <row r="910" spans="1:26" ht="22.5" customHeight="1" x14ac:dyDescent="0.85">
      <c r="A910" s="166"/>
      <c r="B910" s="167"/>
      <c r="C910" s="167"/>
      <c r="D910" s="147"/>
      <c r="E910" s="147"/>
      <c r="F910" s="147"/>
      <c r="G910" s="147"/>
      <c r="H910" s="147"/>
      <c r="I910" s="147"/>
      <c r="J910" s="147"/>
      <c r="K910" s="3"/>
      <c r="L910" s="3"/>
      <c r="M910" s="3"/>
      <c r="N910" s="3"/>
      <c r="O910" s="3"/>
      <c r="P910" s="3"/>
      <c r="Q910" s="3"/>
      <c r="R910" s="3"/>
      <c r="S910" s="3"/>
      <c r="T910" s="3"/>
      <c r="U910" s="3"/>
      <c r="V910" s="3"/>
      <c r="W910" s="3"/>
      <c r="X910" s="3"/>
      <c r="Y910" s="3"/>
      <c r="Z910" s="3"/>
    </row>
    <row r="911" spans="1:26" ht="22.5" customHeight="1" x14ac:dyDescent="0.85">
      <c r="A911" s="166"/>
      <c r="B911" s="167"/>
      <c r="C911" s="167"/>
      <c r="D911" s="147"/>
      <c r="E911" s="147"/>
      <c r="F911" s="147"/>
      <c r="G911" s="147"/>
      <c r="H911" s="147"/>
      <c r="I911" s="147"/>
      <c r="J911" s="147"/>
      <c r="K911" s="3"/>
      <c r="L911" s="3"/>
      <c r="M911" s="3"/>
      <c r="N911" s="3"/>
      <c r="O911" s="3"/>
      <c r="P911" s="3"/>
      <c r="Q911" s="3"/>
      <c r="R911" s="3"/>
      <c r="S911" s="3"/>
      <c r="T911" s="3"/>
      <c r="U911" s="3"/>
      <c r="V911" s="3"/>
      <c r="W911" s="3"/>
      <c r="X911" s="3"/>
      <c r="Y911" s="3"/>
      <c r="Z911" s="3"/>
    </row>
    <row r="912" spans="1:26" ht="22.5" customHeight="1" x14ac:dyDescent="0.85">
      <c r="A912" s="166"/>
      <c r="B912" s="167"/>
      <c r="C912" s="167"/>
      <c r="D912" s="147"/>
      <c r="E912" s="147"/>
      <c r="F912" s="147"/>
      <c r="G912" s="147"/>
      <c r="H912" s="147"/>
      <c r="I912" s="147"/>
      <c r="J912" s="147"/>
      <c r="K912" s="3"/>
      <c r="L912" s="3"/>
      <c r="M912" s="3"/>
      <c r="N912" s="3"/>
      <c r="O912" s="3"/>
      <c r="P912" s="3"/>
      <c r="Q912" s="3"/>
      <c r="R912" s="3"/>
      <c r="S912" s="3"/>
      <c r="T912" s="3"/>
      <c r="U912" s="3"/>
      <c r="V912" s="3"/>
      <c r="W912" s="3"/>
      <c r="X912" s="3"/>
      <c r="Y912" s="3"/>
      <c r="Z912" s="3"/>
    </row>
    <row r="913" spans="1:26" ht="22.5" customHeight="1" x14ac:dyDescent="0.85">
      <c r="A913" s="166"/>
      <c r="B913" s="167"/>
      <c r="C913" s="167"/>
      <c r="D913" s="147"/>
      <c r="E913" s="147"/>
      <c r="F913" s="147"/>
      <c r="G913" s="147"/>
      <c r="H913" s="147"/>
      <c r="I913" s="147"/>
      <c r="J913" s="147"/>
      <c r="K913" s="3"/>
      <c r="L913" s="3"/>
      <c r="M913" s="3"/>
      <c r="N913" s="3"/>
      <c r="O913" s="3"/>
      <c r="P913" s="3"/>
      <c r="Q913" s="3"/>
      <c r="R913" s="3"/>
      <c r="S913" s="3"/>
      <c r="T913" s="3"/>
      <c r="U913" s="3"/>
      <c r="V913" s="3"/>
      <c r="W913" s="3"/>
      <c r="X913" s="3"/>
      <c r="Y913" s="3"/>
      <c r="Z913" s="3"/>
    </row>
    <row r="914" spans="1:26" ht="22.5" customHeight="1" x14ac:dyDescent="0.85">
      <c r="A914" s="166"/>
      <c r="B914" s="167"/>
      <c r="C914" s="167"/>
      <c r="D914" s="147"/>
      <c r="E914" s="147"/>
      <c r="F914" s="147"/>
      <c r="G914" s="147"/>
      <c r="H914" s="147"/>
      <c r="I914" s="147"/>
      <c r="J914" s="147"/>
      <c r="K914" s="3"/>
      <c r="L914" s="3"/>
      <c r="M914" s="3"/>
      <c r="N914" s="3"/>
      <c r="O914" s="3"/>
      <c r="P914" s="3"/>
      <c r="Q914" s="3"/>
      <c r="R914" s="3"/>
      <c r="S914" s="3"/>
      <c r="T914" s="3"/>
      <c r="U914" s="3"/>
      <c r="V914" s="3"/>
      <c r="W914" s="3"/>
      <c r="X914" s="3"/>
      <c r="Y914" s="3"/>
      <c r="Z914" s="3"/>
    </row>
    <row r="915" spans="1:26" ht="22.5" customHeight="1" x14ac:dyDescent="0.85">
      <c r="A915" s="166"/>
      <c r="B915" s="167"/>
      <c r="C915" s="167"/>
      <c r="D915" s="147"/>
      <c r="E915" s="147"/>
      <c r="F915" s="147"/>
      <c r="G915" s="147"/>
      <c r="H915" s="147"/>
      <c r="I915" s="147"/>
      <c r="J915" s="147"/>
      <c r="K915" s="3"/>
      <c r="L915" s="3"/>
      <c r="M915" s="3"/>
      <c r="N915" s="3"/>
      <c r="O915" s="3"/>
      <c r="P915" s="3"/>
      <c r="Q915" s="3"/>
      <c r="R915" s="3"/>
      <c r="S915" s="3"/>
      <c r="T915" s="3"/>
      <c r="U915" s="3"/>
      <c r="V915" s="3"/>
      <c r="W915" s="3"/>
      <c r="X915" s="3"/>
      <c r="Y915" s="3"/>
      <c r="Z915" s="3"/>
    </row>
    <row r="916" spans="1:26" ht="22.5" customHeight="1" x14ac:dyDescent="0.85">
      <c r="A916" s="166"/>
      <c r="B916" s="167"/>
      <c r="C916" s="167"/>
      <c r="D916" s="147"/>
      <c r="E916" s="147"/>
      <c r="F916" s="147"/>
      <c r="G916" s="147"/>
      <c r="H916" s="147"/>
      <c r="I916" s="147"/>
      <c r="J916" s="147"/>
      <c r="K916" s="3"/>
      <c r="L916" s="3"/>
      <c r="M916" s="3"/>
      <c r="N916" s="3"/>
      <c r="O916" s="3"/>
      <c r="P916" s="3"/>
      <c r="Q916" s="3"/>
      <c r="R916" s="3"/>
      <c r="S916" s="3"/>
      <c r="T916" s="3"/>
      <c r="U916" s="3"/>
      <c r="V916" s="3"/>
      <c r="W916" s="3"/>
      <c r="X916" s="3"/>
      <c r="Y916" s="3"/>
      <c r="Z916" s="3"/>
    </row>
    <row r="917" spans="1:26" ht="22.5" customHeight="1" x14ac:dyDescent="0.85">
      <c r="A917" s="166"/>
      <c r="B917" s="167"/>
      <c r="C917" s="167"/>
      <c r="D917" s="147"/>
      <c r="E917" s="147"/>
      <c r="F917" s="147"/>
      <c r="G917" s="147"/>
      <c r="H917" s="147"/>
      <c r="I917" s="147"/>
      <c r="J917" s="147"/>
      <c r="K917" s="3"/>
      <c r="L917" s="3"/>
      <c r="M917" s="3"/>
      <c r="N917" s="3"/>
      <c r="O917" s="3"/>
      <c r="P917" s="3"/>
      <c r="Q917" s="3"/>
      <c r="R917" s="3"/>
      <c r="S917" s="3"/>
      <c r="T917" s="3"/>
      <c r="U917" s="3"/>
      <c r="V917" s="3"/>
      <c r="W917" s="3"/>
      <c r="X917" s="3"/>
      <c r="Y917" s="3"/>
      <c r="Z917" s="3"/>
    </row>
    <row r="918" spans="1:26" ht="22.5" customHeight="1" x14ac:dyDescent="0.85">
      <c r="A918" s="166"/>
      <c r="B918" s="167"/>
      <c r="C918" s="167"/>
      <c r="D918" s="147"/>
      <c r="E918" s="147"/>
      <c r="F918" s="147"/>
      <c r="G918" s="147"/>
      <c r="H918" s="147"/>
      <c r="I918" s="147"/>
      <c r="J918" s="147"/>
      <c r="K918" s="3"/>
      <c r="L918" s="3"/>
      <c r="M918" s="3"/>
      <c r="N918" s="3"/>
      <c r="O918" s="3"/>
      <c r="P918" s="3"/>
      <c r="Q918" s="3"/>
      <c r="R918" s="3"/>
      <c r="S918" s="3"/>
      <c r="T918" s="3"/>
      <c r="U918" s="3"/>
      <c r="V918" s="3"/>
      <c r="W918" s="3"/>
      <c r="X918" s="3"/>
      <c r="Y918" s="3"/>
      <c r="Z918" s="3"/>
    </row>
    <row r="919" spans="1:26" ht="22.5" customHeight="1" x14ac:dyDescent="0.85">
      <c r="A919" s="166"/>
      <c r="B919" s="167"/>
      <c r="C919" s="167"/>
      <c r="D919" s="147"/>
      <c r="E919" s="147"/>
      <c r="F919" s="147"/>
      <c r="G919" s="147"/>
      <c r="H919" s="147"/>
      <c r="I919" s="147"/>
      <c r="J919" s="147"/>
      <c r="K919" s="3"/>
      <c r="L919" s="3"/>
      <c r="M919" s="3"/>
      <c r="N919" s="3"/>
      <c r="O919" s="3"/>
      <c r="P919" s="3"/>
      <c r="Q919" s="3"/>
      <c r="R919" s="3"/>
      <c r="S919" s="3"/>
      <c r="T919" s="3"/>
      <c r="U919" s="3"/>
      <c r="V919" s="3"/>
      <c r="W919" s="3"/>
      <c r="X919" s="3"/>
      <c r="Y919" s="3"/>
      <c r="Z919" s="3"/>
    </row>
    <row r="920" spans="1:26" ht="22.5" customHeight="1" x14ac:dyDescent="0.85">
      <c r="A920" s="166"/>
      <c r="B920" s="167"/>
      <c r="C920" s="167"/>
      <c r="D920" s="147"/>
      <c r="E920" s="147"/>
      <c r="F920" s="147"/>
      <c r="G920" s="147"/>
      <c r="H920" s="147"/>
      <c r="I920" s="147"/>
      <c r="J920" s="147"/>
      <c r="K920" s="3"/>
      <c r="L920" s="3"/>
      <c r="M920" s="3"/>
      <c r="N920" s="3"/>
      <c r="O920" s="3"/>
      <c r="P920" s="3"/>
      <c r="Q920" s="3"/>
      <c r="R920" s="3"/>
      <c r="S920" s="3"/>
      <c r="T920" s="3"/>
      <c r="U920" s="3"/>
      <c r="V920" s="3"/>
      <c r="W920" s="3"/>
      <c r="X920" s="3"/>
      <c r="Y920" s="3"/>
      <c r="Z920" s="3"/>
    </row>
    <row r="921" spans="1:26" ht="22.5" customHeight="1" x14ac:dyDescent="0.85">
      <c r="A921" s="166"/>
      <c r="B921" s="167"/>
      <c r="C921" s="167"/>
      <c r="D921" s="147"/>
      <c r="E921" s="147"/>
      <c r="F921" s="147"/>
      <c r="G921" s="147"/>
      <c r="H921" s="147"/>
      <c r="I921" s="147"/>
      <c r="J921" s="147"/>
      <c r="K921" s="3"/>
      <c r="L921" s="3"/>
      <c r="M921" s="3"/>
      <c r="N921" s="3"/>
      <c r="O921" s="3"/>
      <c r="P921" s="3"/>
      <c r="Q921" s="3"/>
      <c r="R921" s="3"/>
      <c r="S921" s="3"/>
      <c r="T921" s="3"/>
      <c r="U921" s="3"/>
      <c r="V921" s="3"/>
      <c r="W921" s="3"/>
      <c r="X921" s="3"/>
      <c r="Y921" s="3"/>
      <c r="Z921" s="3"/>
    </row>
    <row r="922" spans="1:26" ht="22.5" customHeight="1" x14ac:dyDescent="0.85">
      <c r="A922" s="166"/>
      <c r="B922" s="167"/>
      <c r="C922" s="167"/>
      <c r="D922" s="147"/>
      <c r="E922" s="147"/>
      <c r="F922" s="147"/>
      <c r="G922" s="147"/>
      <c r="H922" s="147"/>
      <c r="I922" s="147"/>
      <c r="J922" s="147"/>
      <c r="K922" s="3"/>
      <c r="L922" s="3"/>
      <c r="M922" s="3"/>
      <c r="N922" s="3"/>
      <c r="O922" s="3"/>
      <c r="P922" s="3"/>
      <c r="Q922" s="3"/>
      <c r="R922" s="3"/>
      <c r="S922" s="3"/>
      <c r="T922" s="3"/>
      <c r="U922" s="3"/>
      <c r="V922" s="3"/>
      <c r="W922" s="3"/>
      <c r="X922" s="3"/>
      <c r="Y922" s="3"/>
      <c r="Z922" s="3"/>
    </row>
    <row r="923" spans="1:26" ht="22.5" customHeight="1" x14ac:dyDescent="0.85">
      <c r="A923" s="166"/>
      <c r="B923" s="167"/>
      <c r="C923" s="167"/>
      <c r="D923" s="147"/>
      <c r="E923" s="147"/>
      <c r="F923" s="147"/>
      <c r="G923" s="147"/>
      <c r="H923" s="147"/>
      <c r="I923" s="147"/>
      <c r="J923" s="147"/>
      <c r="K923" s="3"/>
      <c r="L923" s="3"/>
      <c r="M923" s="3"/>
      <c r="N923" s="3"/>
      <c r="O923" s="3"/>
      <c r="P923" s="3"/>
      <c r="Q923" s="3"/>
      <c r="R923" s="3"/>
      <c r="S923" s="3"/>
      <c r="T923" s="3"/>
      <c r="U923" s="3"/>
      <c r="V923" s="3"/>
      <c r="W923" s="3"/>
      <c r="X923" s="3"/>
      <c r="Y923" s="3"/>
      <c r="Z923" s="3"/>
    </row>
    <row r="924" spans="1:26" ht="22.5" customHeight="1" x14ac:dyDescent="0.85">
      <c r="A924" s="166"/>
      <c r="B924" s="167"/>
      <c r="C924" s="167"/>
      <c r="D924" s="147"/>
      <c r="E924" s="147"/>
      <c r="F924" s="147"/>
      <c r="G924" s="147"/>
      <c r="H924" s="147"/>
      <c r="I924" s="147"/>
      <c r="J924" s="147"/>
      <c r="K924" s="3"/>
      <c r="L924" s="3"/>
      <c r="M924" s="3"/>
      <c r="N924" s="3"/>
      <c r="O924" s="3"/>
      <c r="P924" s="3"/>
      <c r="Q924" s="3"/>
      <c r="R924" s="3"/>
      <c r="S924" s="3"/>
      <c r="T924" s="3"/>
      <c r="U924" s="3"/>
      <c r="V924" s="3"/>
      <c r="W924" s="3"/>
      <c r="X924" s="3"/>
      <c r="Y924" s="3"/>
      <c r="Z924" s="3"/>
    </row>
    <row r="925" spans="1:26" ht="22.5" customHeight="1" x14ac:dyDescent="0.85">
      <c r="A925" s="166"/>
      <c r="B925" s="167"/>
      <c r="C925" s="167"/>
      <c r="D925" s="147"/>
      <c r="E925" s="147"/>
      <c r="F925" s="147"/>
      <c r="G925" s="147"/>
      <c r="H925" s="147"/>
      <c r="I925" s="147"/>
      <c r="J925" s="147"/>
      <c r="K925" s="3"/>
      <c r="L925" s="3"/>
      <c r="M925" s="3"/>
      <c r="N925" s="3"/>
      <c r="O925" s="3"/>
      <c r="P925" s="3"/>
      <c r="Q925" s="3"/>
      <c r="R925" s="3"/>
      <c r="S925" s="3"/>
      <c r="T925" s="3"/>
      <c r="U925" s="3"/>
      <c r="V925" s="3"/>
      <c r="W925" s="3"/>
      <c r="X925" s="3"/>
      <c r="Y925" s="3"/>
      <c r="Z925" s="3"/>
    </row>
    <row r="926" spans="1:26" ht="22.5" customHeight="1" x14ac:dyDescent="0.85">
      <c r="A926" s="166"/>
      <c r="B926" s="167"/>
      <c r="C926" s="167"/>
      <c r="D926" s="147"/>
      <c r="E926" s="147"/>
      <c r="F926" s="147"/>
      <c r="G926" s="147"/>
      <c r="H926" s="147"/>
      <c r="I926" s="147"/>
      <c r="J926" s="147"/>
      <c r="K926" s="3"/>
      <c r="L926" s="3"/>
      <c r="M926" s="3"/>
      <c r="N926" s="3"/>
      <c r="O926" s="3"/>
      <c r="P926" s="3"/>
      <c r="Q926" s="3"/>
      <c r="R926" s="3"/>
      <c r="S926" s="3"/>
      <c r="T926" s="3"/>
      <c r="U926" s="3"/>
      <c r="V926" s="3"/>
      <c r="W926" s="3"/>
      <c r="X926" s="3"/>
      <c r="Y926" s="3"/>
      <c r="Z926" s="3"/>
    </row>
    <row r="927" spans="1:26" ht="22.5" customHeight="1" x14ac:dyDescent="0.85">
      <c r="A927" s="166"/>
      <c r="B927" s="167"/>
      <c r="C927" s="167"/>
      <c r="D927" s="147"/>
      <c r="E927" s="147"/>
      <c r="F927" s="147"/>
      <c r="G927" s="147"/>
      <c r="H927" s="147"/>
      <c r="I927" s="147"/>
      <c r="J927" s="147"/>
      <c r="K927" s="3"/>
      <c r="L927" s="3"/>
      <c r="M927" s="3"/>
      <c r="N927" s="3"/>
      <c r="O927" s="3"/>
      <c r="P927" s="3"/>
      <c r="Q927" s="3"/>
      <c r="R927" s="3"/>
      <c r="S927" s="3"/>
      <c r="T927" s="3"/>
      <c r="U927" s="3"/>
      <c r="V927" s="3"/>
      <c r="W927" s="3"/>
      <c r="X927" s="3"/>
      <c r="Y927" s="3"/>
      <c r="Z927" s="3"/>
    </row>
    <row r="928" spans="1:26" ht="22.5" customHeight="1" x14ac:dyDescent="0.85">
      <c r="A928" s="166"/>
      <c r="B928" s="167"/>
      <c r="C928" s="167"/>
      <c r="D928" s="147"/>
      <c r="E928" s="147"/>
      <c r="F928" s="147"/>
      <c r="G928" s="147"/>
      <c r="H928" s="147"/>
      <c r="I928" s="147"/>
      <c r="J928" s="147"/>
      <c r="K928" s="3"/>
      <c r="L928" s="3"/>
      <c r="M928" s="3"/>
      <c r="N928" s="3"/>
      <c r="O928" s="3"/>
      <c r="P928" s="3"/>
      <c r="Q928" s="3"/>
      <c r="R928" s="3"/>
      <c r="S928" s="3"/>
      <c r="T928" s="3"/>
      <c r="U928" s="3"/>
      <c r="V928" s="3"/>
      <c r="W928" s="3"/>
      <c r="X928" s="3"/>
      <c r="Y928" s="3"/>
      <c r="Z928" s="3"/>
    </row>
    <row r="929" spans="1:26" ht="22.5" customHeight="1" x14ac:dyDescent="0.85">
      <c r="A929" s="166"/>
      <c r="B929" s="167"/>
      <c r="C929" s="167"/>
      <c r="D929" s="147"/>
      <c r="E929" s="147"/>
      <c r="F929" s="147"/>
      <c r="G929" s="147"/>
      <c r="H929" s="147"/>
      <c r="I929" s="147"/>
      <c r="J929" s="147"/>
      <c r="K929" s="3"/>
      <c r="L929" s="3"/>
      <c r="M929" s="3"/>
      <c r="N929" s="3"/>
      <c r="O929" s="3"/>
      <c r="P929" s="3"/>
      <c r="Q929" s="3"/>
      <c r="R929" s="3"/>
      <c r="S929" s="3"/>
      <c r="T929" s="3"/>
      <c r="U929" s="3"/>
      <c r="V929" s="3"/>
      <c r="W929" s="3"/>
      <c r="X929" s="3"/>
      <c r="Y929" s="3"/>
      <c r="Z929" s="3"/>
    </row>
    <row r="930" spans="1:26" ht="22.5" customHeight="1" x14ac:dyDescent="0.85">
      <c r="A930" s="166"/>
      <c r="B930" s="167"/>
      <c r="C930" s="167"/>
      <c r="D930" s="147"/>
      <c r="E930" s="147"/>
      <c r="F930" s="147"/>
      <c r="G930" s="147"/>
      <c r="H930" s="147"/>
      <c r="I930" s="147"/>
      <c r="J930" s="147"/>
      <c r="K930" s="3"/>
      <c r="L930" s="3"/>
      <c r="M930" s="3"/>
      <c r="N930" s="3"/>
      <c r="O930" s="3"/>
      <c r="P930" s="3"/>
      <c r="Q930" s="3"/>
      <c r="R930" s="3"/>
      <c r="S930" s="3"/>
      <c r="T930" s="3"/>
      <c r="U930" s="3"/>
      <c r="V930" s="3"/>
      <c r="W930" s="3"/>
      <c r="X930" s="3"/>
      <c r="Y930" s="3"/>
      <c r="Z930" s="3"/>
    </row>
    <row r="931" spans="1:26" ht="22.5" customHeight="1" x14ac:dyDescent="0.85">
      <c r="A931" s="166"/>
      <c r="B931" s="167"/>
      <c r="C931" s="167"/>
      <c r="D931" s="147"/>
      <c r="E931" s="147"/>
      <c r="F931" s="147"/>
      <c r="G931" s="147"/>
      <c r="H931" s="147"/>
      <c r="I931" s="147"/>
      <c r="J931" s="147"/>
      <c r="K931" s="3"/>
      <c r="L931" s="3"/>
      <c r="M931" s="3"/>
      <c r="N931" s="3"/>
      <c r="O931" s="3"/>
      <c r="P931" s="3"/>
      <c r="Q931" s="3"/>
      <c r="R931" s="3"/>
      <c r="S931" s="3"/>
      <c r="T931" s="3"/>
      <c r="U931" s="3"/>
      <c r="V931" s="3"/>
      <c r="W931" s="3"/>
      <c r="X931" s="3"/>
      <c r="Y931" s="3"/>
      <c r="Z931" s="3"/>
    </row>
    <row r="932" spans="1:26" ht="22.5" customHeight="1" x14ac:dyDescent="0.85">
      <c r="A932" s="166"/>
      <c r="B932" s="167"/>
      <c r="C932" s="167"/>
      <c r="D932" s="147"/>
      <c r="E932" s="147"/>
      <c r="F932" s="147"/>
      <c r="G932" s="147"/>
      <c r="H932" s="147"/>
      <c r="I932" s="147"/>
      <c r="J932" s="147"/>
      <c r="K932" s="3"/>
      <c r="L932" s="3"/>
      <c r="M932" s="3"/>
      <c r="N932" s="3"/>
      <c r="O932" s="3"/>
      <c r="P932" s="3"/>
      <c r="Q932" s="3"/>
      <c r="R932" s="3"/>
      <c r="S932" s="3"/>
      <c r="T932" s="3"/>
      <c r="U932" s="3"/>
      <c r="V932" s="3"/>
      <c r="W932" s="3"/>
      <c r="X932" s="3"/>
      <c r="Y932" s="3"/>
      <c r="Z932" s="3"/>
    </row>
    <row r="933" spans="1:26" ht="22.5" customHeight="1" x14ac:dyDescent="0.85">
      <c r="A933" s="166"/>
      <c r="B933" s="167"/>
      <c r="C933" s="167"/>
      <c r="D933" s="147"/>
      <c r="E933" s="147"/>
      <c r="F933" s="147"/>
      <c r="G933" s="147"/>
      <c r="H933" s="147"/>
      <c r="I933" s="147"/>
      <c r="J933" s="147"/>
      <c r="K933" s="3"/>
      <c r="L933" s="3"/>
      <c r="M933" s="3"/>
      <c r="N933" s="3"/>
      <c r="O933" s="3"/>
      <c r="P933" s="3"/>
      <c r="Q933" s="3"/>
      <c r="R933" s="3"/>
      <c r="S933" s="3"/>
      <c r="T933" s="3"/>
      <c r="U933" s="3"/>
      <c r="V933" s="3"/>
      <c r="W933" s="3"/>
      <c r="X933" s="3"/>
      <c r="Y933" s="3"/>
      <c r="Z933" s="3"/>
    </row>
    <row r="934" spans="1:26" ht="22.5" customHeight="1" x14ac:dyDescent="0.85">
      <c r="A934" s="166"/>
      <c r="B934" s="167"/>
      <c r="C934" s="167"/>
      <c r="D934" s="147"/>
      <c r="E934" s="147"/>
      <c r="F934" s="147"/>
      <c r="G934" s="147"/>
      <c r="H934" s="147"/>
      <c r="I934" s="147"/>
      <c r="J934" s="147"/>
      <c r="K934" s="3"/>
      <c r="L934" s="3"/>
      <c r="M934" s="3"/>
      <c r="N934" s="3"/>
      <c r="O934" s="3"/>
      <c r="P934" s="3"/>
      <c r="Q934" s="3"/>
      <c r="R934" s="3"/>
      <c r="S934" s="3"/>
      <c r="T934" s="3"/>
      <c r="U934" s="3"/>
      <c r="V934" s="3"/>
      <c r="W934" s="3"/>
      <c r="X934" s="3"/>
      <c r="Y934" s="3"/>
      <c r="Z934" s="3"/>
    </row>
    <row r="935" spans="1:26" ht="22.5" customHeight="1" x14ac:dyDescent="0.85">
      <c r="A935" s="166"/>
      <c r="B935" s="167"/>
      <c r="C935" s="167"/>
      <c r="D935" s="147"/>
      <c r="E935" s="147"/>
      <c r="F935" s="147"/>
      <c r="G935" s="147"/>
      <c r="H935" s="147"/>
      <c r="I935" s="147"/>
      <c r="J935" s="147"/>
      <c r="K935" s="3"/>
      <c r="L935" s="3"/>
      <c r="M935" s="3"/>
      <c r="N935" s="3"/>
      <c r="O935" s="3"/>
      <c r="P935" s="3"/>
      <c r="Q935" s="3"/>
      <c r="R935" s="3"/>
      <c r="S935" s="3"/>
      <c r="T935" s="3"/>
      <c r="U935" s="3"/>
      <c r="V935" s="3"/>
      <c r="W935" s="3"/>
      <c r="X935" s="3"/>
      <c r="Y935" s="3"/>
      <c r="Z935" s="3"/>
    </row>
    <row r="936" spans="1:26" ht="22.5" customHeight="1" x14ac:dyDescent="0.85">
      <c r="A936" s="166"/>
      <c r="B936" s="167"/>
      <c r="C936" s="167"/>
      <c r="D936" s="147"/>
      <c r="E936" s="147"/>
      <c r="F936" s="147"/>
      <c r="G936" s="147"/>
      <c r="H936" s="147"/>
      <c r="I936" s="147"/>
      <c r="J936" s="147"/>
      <c r="K936" s="3"/>
      <c r="L936" s="3"/>
      <c r="M936" s="3"/>
      <c r="N936" s="3"/>
      <c r="O936" s="3"/>
      <c r="P936" s="3"/>
      <c r="Q936" s="3"/>
      <c r="R936" s="3"/>
      <c r="S936" s="3"/>
      <c r="T936" s="3"/>
      <c r="U936" s="3"/>
      <c r="V936" s="3"/>
      <c r="W936" s="3"/>
      <c r="X936" s="3"/>
      <c r="Y936" s="3"/>
      <c r="Z936" s="3"/>
    </row>
    <row r="937" spans="1:26" ht="22.5" customHeight="1" x14ac:dyDescent="0.85">
      <c r="A937" s="166"/>
      <c r="B937" s="167"/>
      <c r="C937" s="167"/>
      <c r="D937" s="147"/>
      <c r="E937" s="147"/>
      <c r="F937" s="147"/>
      <c r="G937" s="147"/>
      <c r="H937" s="147"/>
      <c r="I937" s="147"/>
      <c r="J937" s="147"/>
      <c r="K937" s="3"/>
      <c r="L937" s="3"/>
      <c r="M937" s="3"/>
      <c r="N937" s="3"/>
      <c r="O937" s="3"/>
      <c r="P937" s="3"/>
      <c r="Q937" s="3"/>
      <c r="R937" s="3"/>
      <c r="S937" s="3"/>
      <c r="T937" s="3"/>
      <c r="U937" s="3"/>
      <c r="V937" s="3"/>
      <c r="W937" s="3"/>
      <c r="X937" s="3"/>
      <c r="Y937" s="3"/>
      <c r="Z937" s="3"/>
    </row>
    <row r="938" spans="1:26" ht="22.5" customHeight="1" x14ac:dyDescent="0.85">
      <c r="A938" s="166"/>
      <c r="B938" s="167"/>
      <c r="C938" s="167"/>
      <c r="D938" s="147"/>
      <c r="E938" s="147"/>
      <c r="F938" s="147"/>
      <c r="G938" s="147"/>
      <c r="H938" s="147"/>
      <c r="I938" s="147"/>
      <c r="J938" s="147"/>
      <c r="K938" s="3"/>
      <c r="L938" s="3"/>
      <c r="M938" s="3"/>
      <c r="N938" s="3"/>
      <c r="O938" s="3"/>
      <c r="P938" s="3"/>
      <c r="Q938" s="3"/>
      <c r="R938" s="3"/>
      <c r="S938" s="3"/>
      <c r="T938" s="3"/>
      <c r="U938" s="3"/>
      <c r="V938" s="3"/>
      <c r="W938" s="3"/>
      <c r="X938" s="3"/>
      <c r="Y938" s="3"/>
      <c r="Z938" s="3"/>
    </row>
    <row r="939" spans="1:26" ht="22.5" customHeight="1" x14ac:dyDescent="0.85">
      <c r="A939" s="166"/>
      <c r="B939" s="167"/>
      <c r="C939" s="167"/>
      <c r="D939" s="147"/>
      <c r="E939" s="147"/>
      <c r="F939" s="147"/>
      <c r="G939" s="147"/>
      <c r="H939" s="147"/>
      <c r="I939" s="147"/>
      <c r="J939" s="147"/>
      <c r="K939" s="3"/>
      <c r="L939" s="3"/>
      <c r="M939" s="3"/>
      <c r="N939" s="3"/>
      <c r="O939" s="3"/>
      <c r="P939" s="3"/>
      <c r="Q939" s="3"/>
      <c r="R939" s="3"/>
      <c r="S939" s="3"/>
      <c r="T939" s="3"/>
      <c r="U939" s="3"/>
      <c r="V939" s="3"/>
      <c r="W939" s="3"/>
      <c r="X939" s="3"/>
      <c r="Y939" s="3"/>
      <c r="Z939" s="3"/>
    </row>
    <row r="940" spans="1:26" ht="22.5" customHeight="1" x14ac:dyDescent="0.85">
      <c r="A940" s="166"/>
      <c r="B940" s="167"/>
      <c r="C940" s="167"/>
      <c r="D940" s="147"/>
      <c r="E940" s="147"/>
      <c r="F940" s="147"/>
      <c r="G940" s="147"/>
      <c r="H940" s="147"/>
      <c r="I940" s="147"/>
      <c r="J940" s="147"/>
      <c r="K940" s="3"/>
      <c r="L940" s="3"/>
      <c r="M940" s="3"/>
      <c r="N940" s="3"/>
      <c r="O940" s="3"/>
      <c r="P940" s="3"/>
      <c r="Q940" s="3"/>
      <c r="R940" s="3"/>
      <c r="S940" s="3"/>
      <c r="T940" s="3"/>
      <c r="U940" s="3"/>
      <c r="V940" s="3"/>
      <c r="W940" s="3"/>
      <c r="X940" s="3"/>
      <c r="Y940" s="3"/>
      <c r="Z940" s="3"/>
    </row>
    <row r="941" spans="1:26" ht="22.5" customHeight="1" x14ac:dyDescent="0.85">
      <c r="A941" s="166"/>
      <c r="B941" s="167"/>
      <c r="C941" s="167"/>
      <c r="D941" s="147"/>
      <c r="E941" s="147"/>
      <c r="F941" s="147"/>
      <c r="G941" s="147"/>
      <c r="H941" s="147"/>
      <c r="I941" s="147"/>
      <c r="J941" s="147"/>
      <c r="K941" s="3"/>
      <c r="L941" s="3"/>
      <c r="M941" s="3"/>
      <c r="N941" s="3"/>
      <c r="O941" s="3"/>
      <c r="P941" s="3"/>
      <c r="Q941" s="3"/>
      <c r="R941" s="3"/>
      <c r="S941" s="3"/>
      <c r="T941" s="3"/>
      <c r="U941" s="3"/>
      <c r="V941" s="3"/>
      <c r="W941" s="3"/>
      <c r="X941" s="3"/>
      <c r="Y941" s="3"/>
      <c r="Z941" s="3"/>
    </row>
    <row r="942" spans="1:26" ht="22.5" customHeight="1" x14ac:dyDescent="0.85">
      <c r="A942" s="166"/>
      <c r="B942" s="167"/>
      <c r="C942" s="167"/>
      <c r="D942" s="147"/>
      <c r="E942" s="147"/>
      <c r="F942" s="147"/>
      <c r="G942" s="147"/>
      <c r="H942" s="147"/>
      <c r="I942" s="147"/>
      <c r="J942" s="147"/>
      <c r="K942" s="3"/>
      <c r="L942" s="3"/>
      <c r="M942" s="3"/>
      <c r="N942" s="3"/>
      <c r="O942" s="3"/>
      <c r="P942" s="3"/>
      <c r="Q942" s="3"/>
      <c r="R942" s="3"/>
      <c r="S942" s="3"/>
      <c r="T942" s="3"/>
      <c r="U942" s="3"/>
      <c r="V942" s="3"/>
      <c r="W942" s="3"/>
      <c r="X942" s="3"/>
      <c r="Y942" s="3"/>
      <c r="Z942" s="3"/>
    </row>
    <row r="943" spans="1:26" ht="22.5" customHeight="1" x14ac:dyDescent="0.85">
      <c r="A943" s="166"/>
      <c r="B943" s="167"/>
      <c r="C943" s="167"/>
      <c r="D943" s="147"/>
      <c r="E943" s="147"/>
      <c r="F943" s="147"/>
      <c r="G943" s="147"/>
      <c r="H943" s="147"/>
      <c r="I943" s="147"/>
      <c r="J943" s="147"/>
      <c r="K943" s="3"/>
      <c r="L943" s="3"/>
      <c r="M943" s="3"/>
      <c r="N943" s="3"/>
      <c r="O943" s="3"/>
      <c r="P943" s="3"/>
      <c r="Q943" s="3"/>
      <c r="R943" s="3"/>
      <c r="S943" s="3"/>
      <c r="T943" s="3"/>
      <c r="U943" s="3"/>
      <c r="V943" s="3"/>
      <c r="W943" s="3"/>
      <c r="X943" s="3"/>
      <c r="Y943" s="3"/>
      <c r="Z943" s="3"/>
    </row>
    <row r="944" spans="1:26" ht="22.5" customHeight="1" x14ac:dyDescent="0.85">
      <c r="A944" s="166"/>
      <c r="B944" s="167"/>
      <c r="C944" s="167"/>
      <c r="D944" s="147"/>
      <c r="E944" s="147"/>
      <c r="F944" s="147"/>
      <c r="G944" s="147"/>
      <c r="H944" s="147"/>
      <c r="I944" s="147"/>
      <c r="J944" s="147"/>
      <c r="K944" s="3"/>
      <c r="L944" s="3"/>
      <c r="M944" s="3"/>
      <c r="N944" s="3"/>
      <c r="O944" s="3"/>
      <c r="P944" s="3"/>
      <c r="Q944" s="3"/>
      <c r="R944" s="3"/>
      <c r="S944" s="3"/>
      <c r="T944" s="3"/>
      <c r="U944" s="3"/>
      <c r="V944" s="3"/>
      <c r="W944" s="3"/>
      <c r="X944" s="3"/>
      <c r="Y944" s="3"/>
      <c r="Z944" s="3"/>
    </row>
    <row r="945" spans="1:26" ht="22.5" customHeight="1" x14ac:dyDescent="0.85">
      <c r="A945" s="166"/>
      <c r="B945" s="167"/>
      <c r="C945" s="167"/>
      <c r="D945" s="147"/>
      <c r="E945" s="147"/>
      <c r="F945" s="147"/>
      <c r="G945" s="147"/>
      <c r="H945" s="147"/>
      <c r="I945" s="147"/>
      <c r="J945" s="147"/>
      <c r="K945" s="3"/>
      <c r="L945" s="3"/>
      <c r="M945" s="3"/>
      <c r="N945" s="3"/>
      <c r="O945" s="3"/>
      <c r="P945" s="3"/>
      <c r="Q945" s="3"/>
      <c r="R945" s="3"/>
      <c r="S945" s="3"/>
      <c r="T945" s="3"/>
      <c r="U945" s="3"/>
      <c r="V945" s="3"/>
      <c r="W945" s="3"/>
      <c r="X945" s="3"/>
      <c r="Y945" s="3"/>
      <c r="Z945" s="3"/>
    </row>
    <row r="946" spans="1:26" ht="22.5" customHeight="1" x14ac:dyDescent="0.85">
      <c r="A946" s="166"/>
      <c r="B946" s="167"/>
      <c r="C946" s="167"/>
      <c r="D946" s="147"/>
      <c r="E946" s="147"/>
      <c r="F946" s="147"/>
      <c r="G946" s="147"/>
      <c r="H946" s="147"/>
      <c r="I946" s="147"/>
      <c r="J946" s="147"/>
      <c r="K946" s="3"/>
      <c r="L946" s="3"/>
      <c r="M946" s="3"/>
      <c r="N946" s="3"/>
      <c r="O946" s="3"/>
      <c r="P946" s="3"/>
      <c r="Q946" s="3"/>
      <c r="R946" s="3"/>
      <c r="S946" s="3"/>
      <c r="T946" s="3"/>
      <c r="U946" s="3"/>
      <c r="V946" s="3"/>
      <c r="W946" s="3"/>
      <c r="X946" s="3"/>
      <c r="Y946" s="3"/>
      <c r="Z946" s="3"/>
    </row>
    <row r="947" spans="1:26" ht="22.5" customHeight="1" x14ac:dyDescent="0.85">
      <c r="A947" s="166"/>
      <c r="B947" s="167"/>
      <c r="C947" s="167"/>
      <c r="D947" s="147"/>
      <c r="E947" s="147"/>
      <c r="F947" s="147"/>
      <c r="G947" s="147"/>
      <c r="H947" s="147"/>
      <c r="I947" s="147"/>
      <c r="J947" s="147"/>
      <c r="K947" s="3"/>
      <c r="L947" s="3"/>
      <c r="M947" s="3"/>
      <c r="N947" s="3"/>
      <c r="O947" s="3"/>
      <c r="P947" s="3"/>
      <c r="Q947" s="3"/>
      <c r="R947" s="3"/>
      <c r="S947" s="3"/>
      <c r="T947" s="3"/>
      <c r="U947" s="3"/>
      <c r="V947" s="3"/>
      <c r="W947" s="3"/>
      <c r="X947" s="3"/>
      <c r="Y947" s="3"/>
      <c r="Z947" s="3"/>
    </row>
    <row r="948" spans="1:26" ht="22.5" customHeight="1" x14ac:dyDescent="0.85">
      <c r="A948" s="166"/>
      <c r="B948" s="167"/>
      <c r="C948" s="167"/>
      <c r="D948" s="147"/>
      <c r="E948" s="147"/>
      <c r="F948" s="147"/>
      <c r="G948" s="147"/>
      <c r="H948" s="147"/>
      <c r="I948" s="147"/>
      <c r="J948" s="147"/>
      <c r="K948" s="3"/>
      <c r="L948" s="3"/>
      <c r="M948" s="3"/>
      <c r="N948" s="3"/>
      <c r="O948" s="3"/>
      <c r="P948" s="3"/>
      <c r="Q948" s="3"/>
      <c r="R948" s="3"/>
      <c r="S948" s="3"/>
      <c r="T948" s="3"/>
      <c r="U948" s="3"/>
      <c r="V948" s="3"/>
      <c r="W948" s="3"/>
      <c r="X948" s="3"/>
      <c r="Y948" s="3"/>
      <c r="Z948" s="3"/>
    </row>
    <row r="949" spans="1:26" ht="22.5" customHeight="1" x14ac:dyDescent="0.85">
      <c r="A949" s="166"/>
      <c r="B949" s="167"/>
      <c r="C949" s="167"/>
      <c r="D949" s="147"/>
      <c r="E949" s="147"/>
      <c r="F949" s="147"/>
      <c r="G949" s="147"/>
      <c r="H949" s="147"/>
      <c r="I949" s="147"/>
      <c r="J949" s="147"/>
      <c r="K949" s="3"/>
      <c r="L949" s="3"/>
      <c r="M949" s="3"/>
      <c r="N949" s="3"/>
      <c r="O949" s="3"/>
      <c r="P949" s="3"/>
      <c r="Q949" s="3"/>
      <c r="R949" s="3"/>
      <c r="S949" s="3"/>
      <c r="T949" s="3"/>
      <c r="U949" s="3"/>
      <c r="V949" s="3"/>
      <c r="W949" s="3"/>
      <c r="X949" s="3"/>
      <c r="Y949" s="3"/>
      <c r="Z949" s="3"/>
    </row>
    <row r="950" spans="1:26" ht="22.5" customHeight="1" x14ac:dyDescent="0.85">
      <c r="A950" s="166"/>
      <c r="B950" s="167"/>
      <c r="C950" s="167"/>
      <c r="D950" s="147"/>
      <c r="E950" s="147"/>
      <c r="F950" s="147"/>
      <c r="G950" s="147"/>
      <c r="H950" s="147"/>
      <c r="I950" s="147"/>
      <c r="J950" s="147"/>
      <c r="K950" s="3"/>
      <c r="L950" s="3"/>
      <c r="M950" s="3"/>
      <c r="N950" s="3"/>
      <c r="O950" s="3"/>
      <c r="P950" s="3"/>
      <c r="Q950" s="3"/>
      <c r="R950" s="3"/>
      <c r="S950" s="3"/>
      <c r="T950" s="3"/>
      <c r="U950" s="3"/>
      <c r="V950" s="3"/>
      <c r="W950" s="3"/>
      <c r="X950" s="3"/>
      <c r="Y950" s="3"/>
      <c r="Z950" s="3"/>
    </row>
    <row r="951" spans="1:26" ht="22.5" customHeight="1" x14ac:dyDescent="0.85">
      <c r="A951" s="166"/>
      <c r="B951" s="167"/>
      <c r="C951" s="167"/>
      <c r="D951" s="147"/>
      <c r="E951" s="147"/>
      <c r="F951" s="147"/>
      <c r="G951" s="147"/>
      <c r="H951" s="147"/>
      <c r="I951" s="147"/>
      <c r="J951" s="147"/>
      <c r="K951" s="3"/>
      <c r="L951" s="3"/>
      <c r="M951" s="3"/>
      <c r="N951" s="3"/>
      <c r="O951" s="3"/>
      <c r="P951" s="3"/>
      <c r="Q951" s="3"/>
      <c r="R951" s="3"/>
      <c r="S951" s="3"/>
      <c r="T951" s="3"/>
      <c r="U951" s="3"/>
      <c r="V951" s="3"/>
      <c r="W951" s="3"/>
      <c r="X951" s="3"/>
      <c r="Y951" s="3"/>
      <c r="Z951" s="3"/>
    </row>
    <row r="952" spans="1:26" ht="22.5" customHeight="1" x14ac:dyDescent="0.85">
      <c r="A952" s="166"/>
      <c r="B952" s="167"/>
      <c r="C952" s="167"/>
      <c r="D952" s="147"/>
      <c r="E952" s="147"/>
      <c r="F952" s="147"/>
      <c r="G952" s="147"/>
      <c r="H952" s="147"/>
      <c r="I952" s="147"/>
      <c r="J952" s="147"/>
      <c r="K952" s="3"/>
      <c r="L952" s="3"/>
      <c r="M952" s="3"/>
      <c r="N952" s="3"/>
      <c r="O952" s="3"/>
      <c r="P952" s="3"/>
      <c r="Q952" s="3"/>
      <c r="R952" s="3"/>
      <c r="S952" s="3"/>
      <c r="T952" s="3"/>
      <c r="U952" s="3"/>
      <c r="V952" s="3"/>
      <c r="W952" s="3"/>
      <c r="X952" s="3"/>
      <c r="Y952" s="3"/>
      <c r="Z952" s="3"/>
    </row>
    <row r="953" spans="1:26" ht="22.5" customHeight="1" x14ac:dyDescent="0.85">
      <c r="A953" s="166"/>
      <c r="B953" s="167"/>
      <c r="C953" s="167"/>
      <c r="D953" s="147"/>
      <c r="E953" s="147"/>
      <c r="F953" s="147"/>
      <c r="G953" s="147"/>
      <c r="H953" s="147"/>
      <c r="I953" s="147"/>
      <c r="J953" s="147"/>
      <c r="K953" s="3"/>
      <c r="L953" s="3"/>
      <c r="M953" s="3"/>
      <c r="N953" s="3"/>
      <c r="O953" s="3"/>
      <c r="P953" s="3"/>
      <c r="Q953" s="3"/>
      <c r="R953" s="3"/>
      <c r="S953" s="3"/>
      <c r="T953" s="3"/>
      <c r="U953" s="3"/>
      <c r="V953" s="3"/>
      <c r="W953" s="3"/>
      <c r="X953" s="3"/>
      <c r="Y953" s="3"/>
      <c r="Z953" s="3"/>
    </row>
    <row r="954" spans="1:26" ht="22.5" customHeight="1" x14ac:dyDescent="0.85">
      <c r="A954" s="166"/>
      <c r="B954" s="167"/>
      <c r="C954" s="167"/>
      <c r="D954" s="147"/>
      <c r="E954" s="147"/>
      <c r="F954" s="147"/>
      <c r="G954" s="147"/>
      <c r="H954" s="147"/>
      <c r="I954" s="147"/>
      <c r="J954" s="147"/>
      <c r="K954" s="3"/>
      <c r="L954" s="3"/>
      <c r="M954" s="3"/>
      <c r="N954" s="3"/>
      <c r="O954" s="3"/>
      <c r="P954" s="3"/>
      <c r="Q954" s="3"/>
      <c r="R954" s="3"/>
      <c r="S954" s="3"/>
      <c r="T954" s="3"/>
      <c r="U954" s="3"/>
      <c r="V954" s="3"/>
      <c r="W954" s="3"/>
      <c r="X954" s="3"/>
      <c r="Y954" s="3"/>
      <c r="Z954" s="3"/>
    </row>
    <row r="955" spans="1:26" ht="22.5" customHeight="1" x14ac:dyDescent="0.85">
      <c r="A955" s="166"/>
      <c r="B955" s="167"/>
      <c r="C955" s="167"/>
      <c r="D955" s="147"/>
      <c r="E955" s="147"/>
      <c r="F955" s="147"/>
      <c r="G955" s="147"/>
      <c r="H955" s="147"/>
      <c r="I955" s="147"/>
      <c r="J955" s="147"/>
      <c r="K955" s="3"/>
      <c r="L955" s="3"/>
      <c r="M955" s="3"/>
      <c r="N955" s="3"/>
      <c r="O955" s="3"/>
      <c r="P955" s="3"/>
      <c r="Q955" s="3"/>
      <c r="R955" s="3"/>
      <c r="S955" s="3"/>
      <c r="T955" s="3"/>
      <c r="U955" s="3"/>
      <c r="V955" s="3"/>
      <c r="W955" s="3"/>
      <c r="X955" s="3"/>
      <c r="Y955" s="3"/>
      <c r="Z955" s="3"/>
    </row>
    <row r="956" spans="1:26" ht="22.5" customHeight="1" x14ac:dyDescent="0.85">
      <c r="A956" s="166"/>
      <c r="B956" s="167"/>
      <c r="C956" s="167"/>
      <c r="D956" s="147"/>
      <c r="E956" s="147"/>
      <c r="F956" s="147"/>
      <c r="G956" s="147"/>
      <c r="H956" s="147"/>
      <c r="I956" s="147"/>
      <c r="J956" s="147"/>
      <c r="K956" s="3"/>
      <c r="L956" s="3"/>
      <c r="M956" s="3"/>
      <c r="N956" s="3"/>
      <c r="O956" s="3"/>
      <c r="P956" s="3"/>
      <c r="Q956" s="3"/>
      <c r="R956" s="3"/>
      <c r="S956" s="3"/>
      <c r="T956" s="3"/>
      <c r="U956" s="3"/>
      <c r="V956" s="3"/>
      <c r="W956" s="3"/>
      <c r="X956" s="3"/>
      <c r="Y956" s="3"/>
      <c r="Z956" s="3"/>
    </row>
    <row r="957" spans="1:26" ht="22.5" customHeight="1" x14ac:dyDescent="0.85">
      <c r="A957" s="166"/>
      <c r="B957" s="167"/>
      <c r="C957" s="167"/>
      <c r="D957" s="147"/>
      <c r="E957" s="147"/>
      <c r="F957" s="147"/>
      <c r="G957" s="147"/>
      <c r="H957" s="147"/>
      <c r="I957" s="147"/>
      <c r="J957" s="147"/>
      <c r="K957" s="3"/>
      <c r="L957" s="3"/>
      <c r="M957" s="3"/>
      <c r="N957" s="3"/>
      <c r="O957" s="3"/>
      <c r="P957" s="3"/>
      <c r="Q957" s="3"/>
      <c r="R957" s="3"/>
      <c r="S957" s="3"/>
      <c r="T957" s="3"/>
      <c r="U957" s="3"/>
      <c r="V957" s="3"/>
      <c r="W957" s="3"/>
      <c r="X957" s="3"/>
      <c r="Y957" s="3"/>
      <c r="Z957" s="3"/>
    </row>
    <row r="958" spans="1:26" ht="22.5" customHeight="1" x14ac:dyDescent="0.85">
      <c r="A958" s="166"/>
      <c r="B958" s="167"/>
      <c r="C958" s="167"/>
      <c r="D958" s="147"/>
      <c r="E958" s="147"/>
      <c r="F958" s="147"/>
      <c r="G958" s="147"/>
      <c r="H958" s="147"/>
      <c r="I958" s="147"/>
      <c r="J958" s="147"/>
      <c r="K958" s="3"/>
      <c r="L958" s="3"/>
      <c r="M958" s="3"/>
      <c r="N958" s="3"/>
      <c r="O958" s="3"/>
      <c r="P958" s="3"/>
      <c r="Q958" s="3"/>
      <c r="R958" s="3"/>
      <c r="S958" s="3"/>
      <c r="T958" s="3"/>
      <c r="U958" s="3"/>
      <c r="V958" s="3"/>
      <c r="W958" s="3"/>
      <c r="X958" s="3"/>
      <c r="Y958" s="3"/>
      <c r="Z958" s="3"/>
    </row>
    <row r="959" spans="1:26" ht="22.5" customHeight="1" x14ac:dyDescent="0.85">
      <c r="A959" s="166"/>
      <c r="B959" s="167"/>
      <c r="C959" s="167"/>
      <c r="D959" s="147"/>
      <c r="E959" s="147"/>
      <c r="F959" s="147"/>
      <c r="G959" s="147"/>
      <c r="H959" s="147"/>
      <c r="I959" s="147"/>
      <c r="J959" s="147"/>
      <c r="K959" s="3"/>
      <c r="L959" s="3"/>
      <c r="M959" s="3"/>
      <c r="N959" s="3"/>
      <c r="O959" s="3"/>
      <c r="P959" s="3"/>
      <c r="Q959" s="3"/>
      <c r="R959" s="3"/>
      <c r="S959" s="3"/>
      <c r="T959" s="3"/>
      <c r="U959" s="3"/>
      <c r="V959" s="3"/>
      <c r="W959" s="3"/>
      <c r="X959" s="3"/>
      <c r="Y959" s="3"/>
      <c r="Z959" s="3"/>
    </row>
    <row r="960" spans="1:26" ht="22.5" customHeight="1" x14ac:dyDescent="0.85">
      <c r="A960" s="166"/>
      <c r="B960" s="167"/>
      <c r="C960" s="167"/>
      <c r="D960" s="147"/>
      <c r="E960" s="147"/>
      <c r="F960" s="147"/>
      <c r="G960" s="147"/>
      <c r="H960" s="147"/>
      <c r="I960" s="147"/>
      <c r="J960" s="147"/>
      <c r="K960" s="3"/>
      <c r="L960" s="3"/>
      <c r="M960" s="3"/>
      <c r="N960" s="3"/>
      <c r="O960" s="3"/>
      <c r="P960" s="3"/>
      <c r="Q960" s="3"/>
      <c r="R960" s="3"/>
      <c r="S960" s="3"/>
      <c r="T960" s="3"/>
      <c r="U960" s="3"/>
      <c r="V960" s="3"/>
      <c r="W960" s="3"/>
      <c r="X960" s="3"/>
      <c r="Y960" s="3"/>
      <c r="Z960" s="3"/>
    </row>
    <row r="961" spans="1:26" ht="22.5" customHeight="1" x14ac:dyDescent="0.85">
      <c r="A961" s="166"/>
      <c r="B961" s="167"/>
      <c r="C961" s="167"/>
      <c r="D961" s="147"/>
      <c r="E961" s="147"/>
      <c r="F961" s="147"/>
      <c r="G961" s="147"/>
      <c r="H961" s="147"/>
      <c r="I961" s="147"/>
      <c r="J961" s="147"/>
      <c r="K961" s="3"/>
      <c r="L961" s="3"/>
      <c r="M961" s="3"/>
      <c r="N961" s="3"/>
      <c r="O961" s="3"/>
      <c r="P961" s="3"/>
      <c r="Q961" s="3"/>
      <c r="R961" s="3"/>
      <c r="S961" s="3"/>
      <c r="T961" s="3"/>
      <c r="U961" s="3"/>
      <c r="V961" s="3"/>
      <c r="W961" s="3"/>
      <c r="X961" s="3"/>
      <c r="Y961" s="3"/>
      <c r="Z961" s="3"/>
    </row>
    <row r="962" spans="1:26" ht="22.5" customHeight="1" x14ac:dyDescent="0.85">
      <c r="A962" s="166"/>
      <c r="B962" s="167"/>
      <c r="C962" s="167"/>
      <c r="D962" s="147"/>
      <c r="E962" s="147"/>
      <c r="F962" s="147"/>
      <c r="G962" s="147"/>
      <c r="H962" s="147"/>
      <c r="I962" s="147"/>
      <c r="J962" s="147"/>
      <c r="K962" s="3"/>
      <c r="L962" s="3"/>
      <c r="M962" s="3"/>
      <c r="N962" s="3"/>
      <c r="O962" s="3"/>
      <c r="P962" s="3"/>
      <c r="Q962" s="3"/>
      <c r="R962" s="3"/>
      <c r="S962" s="3"/>
      <c r="T962" s="3"/>
      <c r="U962" s="3"/>
      <c r="V962" s="3"/>
      <c r="W962" s="3"/>
      <c r="X962" s="3"/>
      <c r="Y962" s="3"/>
      <c r="Z962" s="3"/>
    </row>
    <row r="963" spans="1:26" ht="22.5" customHeight="1" x14ac:dyDescent="0.85">
      <c r="A963" s="166"/>
      <c r="B963" s="167"/>
      <c r="C963" s="167"/>
      <c r="D963" s="147"/>
      <c r="E963" s="147"/>
      <c r="F963" s="147"/>
      <c r="G963" s="147"/>
      <c r="H963" s="147"/>
      <c r="I963" s="147"/>
      <c r="J963" s="147"/>
      <c r="K963" s="3"/>
      <c r="L963" s="3"/>
      <c r="M963" s="3"/>
      <c r="N963" s="3"/>
      <c r="O963" s="3"/>
      <c r="P963" s="3"/>
      <c r="Q963" s="3"/>
      <c r="R963" s="3"/>
      <c r="S963" s="3"/>
      <c r="T963" s="3"/>
      <c r="U963" s="3"/>
      <c r="V963" s="3"/>
      <c r="W963" s="3"/>
      <c r="X963" s="3"/>
      <c r="Y963" s="3"/>
      <c r="Z963" s="3"/>
    </row>
    <row r="964" spans="1:26" ht="22.5" customHeight="1" x14ac:dyDescent="0.85">
      <c r="A964" s="166"/>
      <c r="B964" s="167"/>
      <c r="C964" s="167"/>
      <c r="D964" s="147"/>
      <c r="E964" s="147"/>
      <c r="F964" s="147"/>
      <c r="G964" s="147"/>
      <c r="H964" s="147"/>
      <c r="I964" s="147"/>
      <c r="J964" s="147"/>
      <c r="K964" s="3"/>
      <c r="L964" s="3"/>
      <c r="M964" s="3"/>
      <c r="N964" s="3"/>
      <c r="O964" s="3"/>
      <c r="P964" s="3"/>
      <c r="Q964" s="3"/>
      <c r="R964" s="3"/>
      <c r="S964" s="3"/>
      <c r="T964" s="3"/>
      <c r="U964" s="3"/>
      <c r="V964" s="3"/>
      <c r="W964" s="3"/>
      <c r="X964" s="3"/>
      <c r="Y964" s="3"/>
      <c r="Z964" s="3"/>
    </row>
    <row r="965" spans="1:26" ht="22.5" customHeight="1" x14ac:dyDescent="0.85">
      <c r="A965" s="166"/>
      <c r="B965" s="167"/>
      <c r="C965" s="167"/>
      <c r="D965" s="147"/>
      <c r="E965" s="147"/>
      <c r="F965" s="147"/>
      <c r="G965" s="147"/>
      <c r="H965" s="147"/>
      <c r="I965" s="147"/>
      <c r="J965" s="147"/>
      <c r="K965" s="3"/>
      <c r="L965" s="3"/>
      <c r="M965" s="3"/>
      <c r="N965" s="3"/>
      <c r="O965" s="3"/>
      <c r="P965" s="3"/>
      <c r="Q965" s="3"/>
      <c r="R965" s="3"/>
      <c r="S965" s="3"/>
      <c r="T965" s="3"/>
      <c r="U965" s="3"/>
      <c r="V965" s="3"/>
      <c r="W965" s="3"/>
      <c r="X965" s="3"/>
      <c r="Y965" s="3"/>
      <c r="Z965" s="3"/>
    </row>
    <row r="966" spans="1:26" ht="22.5" customHeight="1" x14ac:dyDescent="0.85">
      <c r="A966" s="166"/>
      <c r="B966" s="167"/>
      <c r="C966" s="167"/>
      <c r="D966" s="147"/>
      <c r="E966" s="147"/>
      <c r="F966" s="147"/>
      <c r="G966" s="147"/>
      <c r="H966" s="147"/>
      <c r="I966" s="147"/>
      <c r="J966" s="147"/>
      <c r="K966" s="3"/>
      <c r="L966" s="3"/>
      <c r="M966" s="3"/>
      <c r="N966" s="3"/>
      <c r="O966" s="3"/>
      <c r="P966" s="3"/>
      <c r="Q966" s="3"/>
      <c r="R966" s="3"/>
      <c r="S966" s="3"/>
      <c r="T966" s="3"/>
      <c r="U966" s="3"/>
      <c r="V966" s="3"/>
      <c r="W966" s="3"/>
      <c r="X966" s="3"/>
      <c r="Y966" s="3"/>
      <c r="Z966" s="3"/>
    </row>
    <row r="967" spans="1:26" ht="22.5" customHeight="1" x14ac:dyDescent="0.85">
      <c r="A967" s="166"/>
      <c r="B967" s="167"/>
      <c r="C967" s="167"/>
      <c r="D967" s="147"/>
      <c r="E967" s="147"/>
      <c r="F967" s="147"/>
      <c r="G967" s="147"/>
      <c r="H967" s="147"/>
      <c r="I967" s="147"/>
      <c r="J967" s="147"/>
      <c r="K967" s="3"/>
      <c r="L967" s="3"/>
      <c r="M967" s="3"/>
      <c r="N967" s="3"/>
      <c r="O967" s="3"/>
      <c r="P967" s="3"/>
      <c r="Q967" s="3"/>
      <c r="R967" s="3"/>
      <c r="S967" s="3"/>
      <c r="T967" s="3"/>
      <c r="U967" s="3"/>
      <c r="V967" s="3"/>
      <c r="W967" s="3"/>
      <c r="X967" s="3"/>
      <c r="Y967" s="3"/>
      <c r="Z967" s="3"/>
    </row>
    <row r="968" spans="1:26" ht="22.5" customHeight="1" x14ac:dyDescent="0.85">
      <c r="A968" s="166"/>
      <c r="B968" s="167"/>
      <c r="C968" s="167"/>
      <c r="D968" s="147"/>
      <c r="E968" s="147"/>
      <c r="F968" s="147"/>
      <c r="G968" s="147"/>
      <c r="H968" s="147"/>
      <c r="I968" s="147"/>
      <c r="J968" s="147"/>
      <c r="K968" s="3"/>
      <c r="L968" s="3"/>
      <c r="M968" s="3"/>
      <c r="N968" s="3"/>
      <c r="O968" s="3"/>
      <c r="P968" s="3"/>
      <c r="Q968" s="3"/>
      <c r="R968" s="3"/>
      <c r="S968" s="3"/>
      <c r="T968" s="3"/>
      <c r="U968" s="3"/>
      <c r="V968" s="3"/>
      <c r="W968" s="3"/>
      <c r="X968" s="3"/>
      <c r="Y968" s="3"/>
      <c r="Z968" s="3"/>
    </row>
    <row r="969" spans="1:26" ht="22.5" customHeight="1" x14ac:dyDescent="0.85">
      <c r="A969" s="166"/>
      <c r="B969" s="167"/>
      <c r="C969" s="167"/>
      <c r="D969" s="147"/>
      <c r="E969" s="147"/>
      <c r="F969" s="147"/>
      <c r="G969" s="147"/>
      <c r="H969" s="147"/>
      <c r="I969" s="147"/>
      <c r="J969" s="147"/>
      <c r="K969" s="3"/>
      <c r="L969" s="3"/>
      <c r="M969" s="3"/>
      <c r="N969" s="3"/>
      <c r="O969" s="3"/>
      <c r="P969" s="3"/>
      <c r="Q969" s="3"/>
      <c r="R969" s="3"/>
      <c r="S969" s="3"/>
      <c r="T969" s="3"/>
      <c r="U969" s="3"/>
      <c r="V969" s="3"/>
      <c r="W969" s="3"/>
      <c r="X969" s="3"/>
      <c r="Y969" s="3"/>
      <c r="Z969" s="3"/>
    </row>
    <row r="970" spans="1:26" ht="22.5" customHeight="1" x14ac:dyDescent="0.85">
      <c r="A970" s="166"/>
      <c r="B970" s="167"/>
      <c r="C970" s="167"/>
      <c r="D970" s="147"/>
      <c r="E970" s="147"/>
      <c r="F970" s="147"/>
      <c r="G970" s="147"/>
      <c r="H970" s="147"/>
      <c r="I970" s="147"/>
      <c r="J970" s="147"/>
      <c r="K970" s="3"/>
      <c r="L970" s="3"/>
      <c r="M970" s="3"/>
      <c r="N970" s="3"/>
      <c r="O970" s="3"/>
      <c r="P970" s="3"/>
      <c r="Q970" s="3"/>
      <c r="R970" s="3"/>
      <c r="S970" s="3"/>
      <c r="T970" s="3"/>
      <c r="U970" s="3"/>
      <c r="V970" s="3"/>
      <c r="W970" s="3"/>
      <c r="X970" s="3"/>
      <c r="Y970" s="3"/>
      <c r="Z970" s="3"/>
    </row>
    <row r="971" spans="1:26" ht="22.5" customHeight="1" x14ac:dyDescent="0.85">
      <c r="A971" s="166"/>
      <c r="B971" s="167"/>
      <c r="C971" s="167"/>
      <c r="D971" s="147"/>
      <c r="E971" s="147"/>
      <c r="F971" s="147"/>
      <c r="G971" s="147"/>
      <c r="H971" s="147"/>
      <c r="I971" s="147"/>
      <c r="J971" s="147"/>
      <c r="K971" s="3"/>
      <c r="L971" s="3"/>
      <c r="M971" s="3"/>
      <c r="N971" s="3"/>
      <c r="O971" s="3"/>
      <c r="P971" s="3"/>
      <c r="Q971" s="3"/>
      <c r="R971" s="3"/>
      <c r="S971" s="3"/>
      <c r="T971" s="3"/>
      <c r="U971" s="3"/>
      <c r="V971" s="3"/>
      <c r="W971" s="3"/>
      <c r="X971" s="3"/>
      <c r="Y971" s="3"/>
      <c r="Z971" s="3"/>
    </row>
    <row r="972" spans="1:26" ht="22.5" customHeight="1" x14ac:dyDescent="0.85">
      <c r="A972" s="166"/>
      <c r="B972" s="167"/>
      <c r="C972" s="167"/>
      <c r="D972" s="147"/>
      <c r="E972" s="147"/>
      <c r="F972" s="147"/>
      <c r="G972" s="147"/>
      <c r="H972" s="147"/>
      <c r="I972" s="147"/>
      <c r="J972" s="147"/>
      <c r="K972" s="3"/>
      <c r="L972" s="3"/>
      <c r="M972" s="3"/>
      <c r="N972" s="3"/>
      <c r="O972" s="3"/>
      <c r="P972" s="3"/>
      <c r="Q972" s="3"/>
      <c r="R972" s="3"/>
      <c r="S972" s="3"/>
      <c r="T972" s="3"/>
      <c r="U972" s="3"/>
      <c r="V972" s="3"/>
      <c r="W972" s="3"/>
      <c r="X972" s="3"/>
      <c r="Y972" s="3"/>
      <c r="Z972" s="3"/>
    </row>
    <row r="973" spans="1:26" ht="22.5" customHeight="1" x14ac:dyDescent="0.85">
      <c r="A973" s="166"/>
      <c r="B973" s="167"/>
      <c r="C973" s="167"/>
      <c r="D973" s="147"/>
      <c r="E973" s="147"/>
      <c r="F973" s="147"/>
      <c r="G973" s="147"/>
      <c r="H973" s="147"/>
      <c r="I973" s="147"/>
      <c r="J973" s="147"/>
      <c r="K973" s="3"/>
      <c r="L973" s="3"/>
      <c r="M973" s="3"/>
      <c r="N973" s="3"/>
      <c r="O973" s="3"/>
      <c r="P973" s="3"/>
      <c r="Q973" s="3"/>
      <c r="R973" s="3"/>
      <c r="S973" s="3"/>
      <c r="T973" s="3"/>
      <c r="U973" s="3"/>
      <c r="V973" s="3"/>
      <c r="W973" s="3"/>
      <c r="X973" s="3"/>
      <c r="Y973" s="3"/>
      <c r="Z973" s="3"/>
    </row>
    <row r="974" spans="1:26" ht="22.5" customHeight="1" x14ac:dyDescent="0.85">
      <c r="A974" s="166"/>
      <c r="B974" s="167"/>
      <c r="C974" s="167"/>
      <c r="D974" s="147"/>
      <c r="E974" s="147"/>
      <c r="F974" s="147"/>
      <c r="G974" s="147"/>
      <c r="H974" s="147"/>
      <c r="I974" s="147"/>
      <c r="J974" s="147"/>
      <c r="K974" s="3"/>
      <c r="L974" s="3"/>
      <c r="M974" s="3"/>
      <c r="N974" s="3"/>
      <c r="O974" s="3"/>
      <c r="P974" s="3"/>
      <c r="Q974" s="3"/>
      <c r="R974" s="3"/>
      <c r="S974" s="3"/>
      <c r="T974" s="3"/>
      <c r="U974" s="3"/>
      <c r="V974" s="3"/>
      <c r="W974" s="3"/>
      <c r="X974" s="3"/>
      <c r="Y974" s="3"/>
      <c r="Z974" s="3"/>
    </row>
    <row r="975" spans="1:26" ht="22.5" customHeight="1" x14ac:dyDescent="0.85">
      <c r="A975" s="166"/>
      <c r="B975" s="167"/>
      <c r="C975" s="167"/>
      <c r="D975" s="147"/>
      <c r="E975" s="147"/>
      <c r="F975" s="147"/>
      <c r="G975" s="147"/>
      <c r="H975" s="147"/>
      <c r="I975" s="147"/>
      <c r="J975" s="147"/>
      <c r="K975" s="3"/>
      <c r="L975" s="3"/>
      <c r="M975" s="3"/>
      <c r="N975" s="3"/>
      <c r="O975" s="3"/>
      <c r="P975" s="3"/>
      <c r="Q975" s="3"/>
      <c r="R975" s="3"/>
      <c r="S975" s="3"/>
      <c r="T975" s="3"/>
      <c r="U975" s="3"/>
      <c r="V975" s="3"/>
      <c r="W975" s="3"/>
      <c r="X975" s="3"/>
      <c r="Y975" s="3"/>
      <c r="Z975" s="3"/>
    </row>
    <row r="976" spans="1:26" ht="22.5" customHeight="1" x14ac:dyDescent="0.85">
      <c r="A976" s="166"/>
      <c r="B976" s="167"/>
      <c r="C976" s="167"/>
      <c r="D976" s="147"/>
      <c r="E976" s="147"/>
      <c r="F976" s="147"/>
      <c r="G976" s="147"/>
      <c r="H976" s="147"/>
      <c r="I976" s="147"/>
      <c r="J976" s="147"/>
      <c r="K976" s="3"/>
      <c r="L976" s="3"/>
      <c r="M976" s="3"/>
      <c r="N976" s="3"/>
      <c r="O976" s="3"/>
      <c r="P976" s="3"/>
      <c r="Q976" s="3"/>
      <c r="R976" s="3"/>
      <c r="S976" s="3"/>
      <c r="T976" s="3"/>
      <c r="U976" s="3"/>
      <c r="V976" s="3"/>
      <c r="W976" s="3"/>
      <c r="X976" s="3"/>
      <c r="Y976" s="3"/>
      <c r="Z976" s="3"/>
    </row>
    <row r="977" spans="1:26" ht="22.5" customHeight="1" x14ac:dyDescent="0.85">
      <c r="A977" s="166"/>
      <c r="B977" s="167"/>
      <c r="C977" s="167"/>
      <c r="D977" s="147"/>
      <c r="E977" s="147"/>
      <c r="F977" s="147"/>
      <c r="G977" s="147"/>
      <c r="H977" s="147"/>
      <c r="I977" s="147"/>
      <c r="J977" s="147"/>
      <c r="K977" s="3"/>
      <c r="L977" s="3"/>
      <c r="M977" s="3"/>
      <c r="N977" s="3"/>
      <c r="O977" s="3"/>
      <c r="P977" s="3"/>
      <c r="Q977" s="3"/>
      <c r="R977" s="3"/>
      <c r="S977" s="3"/>
      <c r="T977" s="3"/>
      <c r="U977" s="3"/>
      <c r="V977" s="3"/>
      <c r="W977" s="3"/>
      <c r="X977" s="3"/>
      <c r="Y977" s="3"/>
      <c r="Z977" s="3"/>
    </row>
    <row r="978" spans="1:26" ht="22.5" customHeight="1" x14ac:dyDescent="0.85">
      <c r="A978" s="166"/>
      <c r="B978" s="167"/>
      <c r="C978" s="167"/>
      <c r="D978" s="147"/>
      <c r="E978" s="147"/>
      <c r="F978" s="147"/>
      <c r="G978" s="147"/>
      <c r="H978" s="147"/>
      <c r="I978" s="147"/>
      <c r="J978" s="147"/>
      <c r="K978" s="3"/>
      <c r="L978" s="3"/>
      <c r="M978" s="3"/>
      <c r="N978" s="3"/>
      <c r="O978" s="3"/>
      <c r="P978" s="3"/>
      <c r="Q978" s="3"/>
      <c r="R978" s="3"/>
      <c r="S978" s="3"/>
      <c r="T978" s="3"/>
      <c r="U978" s="3"/>
      <c r="V978" s="3"/>
      <c r="W978" s="3"/>
      <c r="X978" s="3"/>
      <c r="Y978" s="3"/>
      <c r="Z978" s="3"/>
    </row>
    <row r="979" spans="1:26" ht="22.5" customHeight="1" x14ac:dyDescent="0.85">
      <c r="A979" s="166"/>
      <c r="B979" s="167"/>
      <c r="C979" s="167"/>
      <c r="D979" s="147"/>
      <c r="E979" s="147"/>
      <c r="F979" s="147"/>
      <c r="G979" s="147"/>
      <c r="H979" s="147"/>
      <c r="I979" s="147"/>
      <c r="J979" s="147"/>
      <c r="K979" s="3"/>
      <c r="L979" s="3"/>
      <c r="M979" s="3"/>
      <c r="N979" s="3"/>
      <c r="O979" s="3"/>
      <c r="P979" s="3"/>
      <c r="Q979" s="3"/>
      <c r="R979" s="3"/>
      <c r="S979" s="3"/>
      <c r="T979" s="3"/>
      <c r="U979" s="3"/>
      <c r="V979" s="3"/>
      <c r="W979" s="3"/>
      <c r="X979" s="3"/>
      <c r="Y979" s="3"/>
      <c r="Z979" s="3"/>
    </row>
    <row r="980" spans="1:26" ht="22.5" customHeight="1" x14ac:dyDescent="0.85">
      <c r="A980" s="166"/>
      <c r="B980" s="167"/>
      <c r="C980" s="167"/>
      <c r="D980" s="147"/>
      <c r="E980" s="147"/>
      <c r="F980" s="147"/>
      <c r="G980" s="147"/>
      <c r="H980" s="147"/>
      <c r="I980" s="147"/>
      <c r="J980" s="147"/>
      <c r="K980" s="3"/>
      <c r="L980" s="3"/>
      <c r="M980" s="3"/>
      <c r="N980" s="3"/>
      <c r="O980" s="3"/>
      <c r="P980" s="3"/>
      <c r="Q980" s="3"/>
      <c r="R980" s="3"/>
      <c r="S980" s="3"/>
      <c r="T980" s="3"/>
      <c r="U980" s="3"/>
      <c r="V980" s="3"/>
      <c r="W980" s="3"/>
      <c r="X980" s="3"/>
      <c r="Y980" s="3"/>
      <c r="Z980" s="3"/>
    </row>
    <row r="981" spans="1:26" ht="22.5" customHeight="1" x14ac:dyDescent="0.85">
      <c r="A981" s="166"/>
      <c r="B981" s="167"/>
      <c r="C981" s="167"/>
      <c r="D981" s="147"/>
      <c r="E981" s="147"/>
      <c r="F981" s="147"/>
      <c r="G981" s="147"/>
      <c r="H981" s="147"/>
      <c r="I981" s="147"/>
      <c r="J981" s="147"/>
      <c r="K981" s="3"/>
      <c r="L981" s="3"/>
      <c r="M981" s="3"/>
      <c r="N981" s="3"/>
      <c r="O981" s="3"/>
      <c r="P981" s="3"/>
      <c r="Q981" s="3"/>
      <c r="R981" s="3"/>
      <c r="S981" s="3"/>
      <c r="T981" s="3"/>
      <c r="U981" s="3"/>
      <c r="V981" s="3"/>
      <c r="W981" s="3"/>
      <c r="X981" s="3"/>
      <c r="Y981" s="3"/>
      <c r="Z981" s="3"/>
    </row>
    <row r="982" spans="1:26" ht="22.5" customHeight="1" x14ac:dyDescent="0.85">
      <c r="A982" s="166"/>
      <c r="B982" s="167"/>
      <c r="C982" s="167"/>
      <c r="D982" s="147"/>
      <c r="E982" s="147"/>
      <c r="F982" s="147"/>
      <c r="G982" s="147"/>
      <c r="H982" s="147"/>
      <c r="I982" s="147"/>
      <c r="J982" s="147"/>
      <c r="K982" s="3"/>
      <c r="L982" s="3"/>
      <c r="M982" s="3"/>
      <c r="N982" s="3"/>
      <c r="O982" s="3"/>
      <c r="P982" s="3"/>
      <c r="Q982" s="3"/>
      <c r="R982" s="3"/>
      <c r="S982" s="3"/>
      <c r="T982" s="3"/>
      <c r="U982" s="3"/>
      <c r="V982" s="3"/>
      <c r="W982" s="3"/>
      <c r="X982" s="3"/>
      <c r="Y982" s="3"/>
      <c r="Z982" s="3"/>
    </row>
    <row r="983" spans="1:26" ht="22.5" customHeight="1" x14ac:dyDescent="0.85">
      <c r="A983" s="166"/>
      <c r="B983" s="167"/>
      <c r="C983" s="167"/>
      <c r="D983" s="147"/>
      <c r="E983" s="147"/>
      <c r="F983" s="147"/>
      <c r="G983" s="147"/>
      <c r="H983" s="147"/>
      <c r="I983" s="147"/>
      <c r="J983" s="147"/>
      <c r="K983" s="3"/>
      <c r="L983" s="3"/>
      <c r="M983" s="3"/>
      <c r="N983" s="3"/>
      <c r="O983" s="3"/>
      <c r="P983" s="3"/>
      <c r="Q983" s="3"/>
      <c r="R983" s="3"/>
      <c r="S983" s="3"/>
      <c r="T983" s="3"/>
      <c r="U983" s="3"/>
      <c r="V983" s="3"/>
      <c r="W983" s="3"/>
      <c r="X983" s="3"/>
      <c r="Y983" s="3"/>
      <c r="Z983" s="3"/>
    </row>
    <row r="984" spans="1:26" ht="22.5" customHeight="1" x14ac:dyDescent="0.85">
      <c r="A984" s="166"/>
      <c r="B984" s="167"/>
      <c r="C984" s="167"/>
      <c r="D984" s="147"/>
      <c r="E984" s="147"/>
      <c r="F984" s="147"/>
      <c r="G984" s="147"/>
      <c r="H984" s="147"/>
      <c r="I984" s="147"/>
      <c r="J984" s="147"/>
      <c r="K984" s="3"/>
      <c r="L984" s="3"/>
      <c r="M984" s="3"/>
      <c r="N984" s="3"/>
      <c r="O984" s="3"/>
      <c r="P984" s="3"/>
      <c r="Q984" s="3"/>
      <c r="R984" s="3"/>
      <c r="S984" s="3"/>
      <c r="T984" s="3"/>
      <c r="U984" s="3"/>
      <c r="V984" s="3"/>
      <c r="W984" s="3"/>
      <c r="X984" s="3"/>
      <c r="Y984" s="3"/>
      <c r="Z984" s="3"/>
    </row>
    <row r="985" spans="1:26" ht="22.5" customHeight="1" x14ac:dyDescent="0.85">
      <c r="A985" s="166"/>
      <c r="B985" s="167"/>
      <c r="C985" s="167"/>
      <c r="D985" s="147"/>
      <c r="E985" s="147"/>
      <c r="F985" s="147"/>
      <c r="G985" s="147"/>
      <c r="H985" s="147"/>
      <c r="I985" s="147"/>
      <c r="J985" s="147"/>
      <c r="K985" s="3"/>
      <c r="L985" s="3"/>
      <c r="M985" s="3"/>
      <c r="N985" s="3"/>
      <c r="O985" s="3"/>
      <c r="P985" s="3"/>
      <c r="Q985" s="3"/>
      <c r="R985" s="3"/>
      <c r="S985" s="3"/>
      <c r="T985" s="3"/>
      <c r="U985" s="3"/>
      <c r="V985" s="3"/>
      <c r="W985" s="3"/>
      <c r="X985" s="3"/>
      <c r="Y985" s="3"/>
      <c r="Z985" s="3"/>
    </row>
    <row r="986" spans="1:26" ht="22.5" customHeight="1" x14ac:dyDescent="0.85">
      <c r="A986" s="166"/>
      <c r="B986" s="167"/>
      <c r="C986" s="167"/>
      <c r="D986" s="147"/>
      <c r="E986" s="147"/>
      <c r="F986" s="147"/>
      <c r="G986" s="147"/>
      <c r="H986" s="147"/>
      <c r="I986" s="147"/>
      <c r="J986" s="147"/>
      <c r="K986" s="3"/>
      <c r="L986" s="3"/>
      <c r="M986" s="3"/>
      <c r="N986" s="3"/>
      <c r="O986" s="3"/>
      <c r="P986" s="3"/>
      <c r="Q986" s="3"/>
      <c r="R986" s="3"/>
      <c r="S986" s="3"/>
      <c r="T986" s="3"/>
      <c r="U986" s="3"/>
      <c r="V986" s="3"/>
      <c r="W986" s="3"/>
      <c r="X986" s="3"/>
      <c r="Y986" s="3"/>
      <c r="Z986" s="3"/>
    </row>
    <row r="987" spans="1:26" ht="22.5" customHeight="1" x14ac:dyDescent="0.85">
      <c r="A987" s="166"/>
      <c r="B987" s="167"/>
      <c r="C987" s="167"/>
      <c r="D987" s="147"/>
      <c r="E987" s="147"/>
      <c r="F987" s="147"/>
      <c r="G987" s="147"/>
      <c r="H987" s="147"/>
      <c r="I987" s="147"/>
      <c r="J987" s="147"/>
      <c r="K987" s="3"/>
      <c r="L987" s="3"/>
      <c r="M987" s="3"/>
      <c r="N987" s="3"/>
      <c r="O987" s="3"/>
      <c r="P987" s="3"/>
      <c r="Q987" s="3"/>
      <c r="R987" s="3"/>
      <c r="S987" s="3"/>
      <c r="T987" s="3"/>
      <c r="U987" s="3"/>
      <c r="V987" s="3"/>
      <c r="W987" s="3"/>
      <c r="X987" s="3"/>
      <c r="Y987" s="3"/>
      <c r="Z987" s="3"/>
    </row>
    <row r="988" spans="1:26" ht="22.5" customHeight="1" x14ac:dyDescent="0.85">
      <c r="A988" s="166"/>
      <c r="B988" s="167"/>
      <c r="C988" s="167"/>
      <c r="D988" s="147"/>
      <c r="E988" s="147"/>
      <c r="F988" s="147"/>
      <c r="G988" s="147"/>
      <c r="H988" s="147"/>
      <c r="I988" s="147"/>
      <c r="J988" s="147"/>
      <c r="K988" s="3"/>
      <c r="L988" s="3"/>
      <c r="M988" s="3"/>
      <c r="N988" s="3"/>
      <c r="O988" s="3"/>
      <c r="P988" s="3"/>
      <c r="Q988" s="3"/>
      <c r="R988" s="3"/>
      <c r="S988" s="3"/>
      <c r="T988" s="3"/>
      <c r="U988" s="3"/>
      <c r="V988" s="3"/>
      <c r="W988" s="3"/>
      <c r="X988" s="3"/>
      <c r="Y988" s="3"/>
      <c r="Z988" s="3"/>
    </row>
    <row r="989" spans="1:26" ht="22.5" customHeight="1" x14ac:dyDescent="0.85">
      <c r="A989" s="166"/>
      <c r="B989" s="167"/>
      <c r="C989" s="167"/>
      <c r="D989" s="147"/>
      <c r="E989" s="147"/>
      <c r="F989" s="147"/>
      <c r="G989" s="147"/>
      <c r="H989" s="147"/>
      <c r="I989" s="147"/>
      <c r="J989" s="147"/>
      <c r="K989" s="3"/>
      <c r="L989" s="3"/>
      <c r="M989" s="3"/>
      <c r="N989" s="3"/>
      <c r="O989" s="3"/>
      <c r="P989" s="3"/>
      <c r="Q989" s="3"/>
      <c r="R989" s="3"/>
      <c r="S989" s="3"/>
      <c r="T989" s="3"/>
      <c r="U989" s="3"/>
      <c r="V989" s="3"/>
      <c r="W989" s="3"/>
      <c r="X989" s="3"/>
      <c r="Y989" s="3"/>
      <c r="Z989" s="3"/>
    </row>
    <row r="990" spans="1:26" ht="22.5" customHeight="1" x14ac:dyDescent="0.85">
      <c r="A990" s="166"/>
      <c r="B990" s="167"/>
      <c r="C990" s="167"/>
      <c r="D990" s="147"/>
      <c r="E990" s="147"/>
      <c r="F990" s="147"/>
      <c r="G990" s="147"/>
      <c r="H990" s="147"/>
      <c r="I990" s="147"/>
      <c r="J990" s="147"/>
      <c r="K990" s="3"/>
      <c r="L990" s="3"/>
      <c r="M990" s="3"/>
      <c r="N990" s="3"/>
      <c r="O990" s="3"/>
      <c r="P990" s="3"/>
      <c r="Q990" s="3"/>
      <c r="R990" s="3"/>
      <c r="S990" s="3"/>
      <c r="T990" s="3"/>
      <c r="U990" s="3"/>
      <c r="V990" s="3"/>
      <c r="W990" s="3"/>
      <c r="X990" s="3"/>
      <c r="Y990" s="3"/>
      <c r="Z990" s="3"/>
    </row>
    <row r="991" spans="1:26" ht="22.5" customHeight="1" x14ac:dyDescent="0.85">
      <c r="A991" s="166"/>
      <c r="B991" s="167"/>
      <c r="C991" s="167"/>
      <c r="D991" s="147"/>
      <c r="E991" s="147"/>
      <c r="F991" s="147"/>
      <c r="G991" s="147"/>
      <c r="H991" s="147"/>
      <c r="I991" s="147"/>
      <c r="J991" s="147"/>
      <c r="K991" s="3"/>
      <c r="L991" s="3"/>
      <c r="M991" s="3"/>
      <c r="N991" s="3"/>
      <c r="O991" s="3"/>
      <c r="P991" s="3"/>
      <c r="Q991" s="3"/>
      <c r="R991" s="3"/>
      <c r="S991" s="3"/>
      <c r="T991" s="3"/>
      <c r="U991" s="3"/>
      <c r="V991" s="3"/>
      <c r="W991" s="3"/>
      <c r="X991" s="3"/>
      <c r="Y991" s="3"/>
      <c r="Z991" s="3"/>
    </row>
    <row r="992" spans="1:26" ht="22.5" customHeight="1" x14ac:dyDescent="0.85">
      <c r="A992" s="166"/>
      <c r="B992" s="167"/>
      <c r="C992" s="167"/>
      <c r="D992" s="147"/>
      <c r="E992" s="147"/>
      <c r="F992" s="147"/>
      <c r="G992" s="147"/>
      <c r="H992" s="147"/>
      <c r="I992" s="147"/>
      <c r="J992" s="147"/>
      <c r="K992" s="3"/>
      <c r="L992" s="3"/>
      <c r="M992" s="3"/>
      <c r="N992" s="3"/>
      <c r="O992" s="3"/>
      <c r="P992" s="3"/>
      <c r="Q992" s="3"/>
      <c r="R992" s="3"/>
      <c r="S992" s="3"/>
      <c r="T992" s="3"/>
      <c r="U992" s="3"/>
      <c r="V992" s="3"/>
      <c r="W992" s="3"/>
      <c r="X992" s="3"/>
      <c r="Y992" s="3"/>
      <c r="Z992" s="3"/>
    </row>
    <row r="993" spans="1:26" ht="22.5" customHeight="1" x14ac:dyDescent="0.85">
      <c r="A993" s="166"/>
      <c r="B993" s="167"/>
      <c r="C993" s="167"/>
      <c r="D993" s="147"/>
      <c r="E993" s="147"/>
      <c r="F993" s="147"/>
      <c r="G993" s="147"/>
      <c r="H993" s="147"/>
      <c r="I993" s="147"/>
      <c r="J993" s="147"/>
      <c r="K993" s="3"/>
      <c r="L993" s="3"/>
      <c r="M993" s="3"/>
      <c r="N993" s="3"/>
      <c r="O993" s="3"/>
      <c r="P993" s="3"/>
      <c r="Q993" s="3"/>
      <c r="R993" s="3"/>
      <c r="S993" s="3"/>
      <c r="T993" s="3"/>
      <c r="U993" s="3"/>
      <c r="V993" s="3"/>
      <c r="W993" s="3"/>
      <c r="X993" s="3"/>
      <c r="Y993" s="3"/>
      <c r="Z993" s="3"/>
    </row>
    <row r="994" spans="1:26" ht="22.5" customHeight="1" x14ac:dyDescent="0.85">
      <c r="A994" s="166"/>
      <c r="B994" s="167"/>
      <c r="C994" s="167"/>
      <c r="D994" s="147"/>
      <c r="E994" s="147"/>
      <c r="F994" s="147"/>
      <c r="G994" s="147"/>
      <c r="H994" s="147"/>
      <c r="I994" s="147"/>
      <c r="J994" s="147"/>
      <c r="K994" s="3"/>
      <c r="L994" s="3"/>
      <c r="M994" s="3"/>
      <c r="N994" s="3"/>
      <c r="O994" s="3"/>
      <c r="P994" s="3"/>
      <c r="Q994" s="3"/>
      <c r="R994" s="3"/>
      <c r="S994" s="3"/>
      <c r="T994" s="3"/>
      <c r="U994" s="3"/>
      <c r="V994" s="3"/>
      <c r="W994" s="3"/>
      <c r="X994" s="3"/>
      <c r="Y994" s="3"/>
      <c r="Z994" s="3"/>
    </row>
    <row r="995" spans="1:26" ht="22.5" customHeight="1" x14ac:dyDescent="0.85">
      <c r="A995" s="166"/>
      <c r="B995" s="167"/>
      <c r="C995" s="167"/>
      <c r="D995" s="147"/>
      <c r="E995" s="147"/>
      <c r="F995" s="147"/>
      <c r="G995" s="147"/>
      <c r="H995" s="147"/>
      <c r="I995" s="147"/>
      <c r="J995" s="147"/>
      <c r="K995" s="3"/>
      <c r="L995" s="3"/>
      <c r="M995" s="3"/>
      <c r="N995" s="3"/>
      <c r="O995" s="3"/>
      <c r="P995" s="3"/>
      <c r="Q995" s="3"/>
      <c r="R995" s="3"/>
      <c r="S995" s="3"/>
      <c r="T995" s="3"/>
      <c r="U995" s="3"/>
      <c r="V995" s="3"/>
      <c r="W995" s="3"/>
      <c r="X995" s="3"/>
      <c r="Y995" s="3"/>
      <c r="Z995" s="3"/>
    </row>
    <row r="996" spans="1:26" ht="22.5" customHeight="1" x14ac:dyDescent="0.85">
      <c r="A996" s="166"/>
      <c r="B996" s="167"/>
      <c r="C996" s="167"/>
      <c r="D996" s="147"/>
      <c r="E996" s="147"/>
      <c r="F996" s="147"/>
      <c r="G996" s="147"/>
      <c r="H996" s="147"/>
      <c r="I996" s="147"/>
      <c r="J996" s="147"/>
      <c r="K996" s="3"/>
      <c r="L996" s="3"/>
      <c r="M996" s="3"/>
      <c r="N996" s="3"/>
      <c r="O996" s="3"/>
      <c r="P996" s="3"/>
      <c r="Q996" s="3"/>
      <c r="R996" s="3"/>
      <c r="S996" s="3"/>
      <c r="T996" s="3"/>
      <c r="U996" s="3"/>
      <c r="V996" s="3"/>
      <c r="W996" s="3"/>
      <c r="X996" s="3"/>
      <c r="Y996" s="3"/>
      <c r="Z996" s="3"/>
    </row>
    <row r="997" spans="1:26" ht="22.5" customHeight="1" x14ac:dyDescent="0.85">
      <c r="A997" s="166"/>
      <c r="B997" s="167"/>
      <c r="C997" s="167"/>
      <c r="D997" s="147"/>
      <c r="E997" s="147"/>
      <c r="F997" s="147"/>
      <c r="G997" s="147"/>
      <c r="H997" s="147"/>
      <c r="I997" s="147"/>
      <c r="J997" s="147"/>
      <c r="K997" s="3"/>
      <c r="L997" s="3"/>
      <c r="M997" s="3"/>
      <c r="N997" s="3"/>
      <c r="O997" s="3"/>
      <c r="P997" s="3"/>
      <c r="Q997" s="3"/>
      <c r="R997" s="3"/>
      <c r="S997" s="3"/>
      <c r="T997" s="3"/>
      <c r="U997" s="3"/>
      <c r="V997" s="3"/>
      <c r="W997" s="3"/>
      <c r="X997" s="3"/>
      <c r="Y997" s="3"/>
      <c r="Z997" s="3"/>
    </row>
    <row r="998" spans="1:26" ht="22.5" customHeight="1" x14ac:dyDescent="0.85">
      <c r="A998" s="166"/>
      <c r="B998" s="167"/>
      <c r="C998" s="167"/>
      <c r="D998" s="147"/>
      <c r="E998" s="147"/>
      <c r="F998" s="147"/>
      <c r="G998" s="147"/>
      <c r="H998" s="147"/>
      <c r="I998" s="147"/>
      <c r="J998" s="147"/>
      <c r="K998" s="3"/>
      <c r="L998" s="3"/>
      <c r="M998" s="3"/>
      <c r="N998" s="3"/>
      <c r="O998" s="3"/>
      <c r="P998" s="3"/>
      <c r="Q998" s="3"/>
      <c r="R998" s="3"/>
      <c r="S998" s="3"/>
      <c r="T998" s="3"/>
      <c r="U998" s="3"/>
      <c r="V998" s="3"/>
      <c r="W998" s="3"/>
      <c r="X998" s="3"/>
      <c r="Y998" s="3"/>
      <c r="Z998" s="3"/>
    </row>
    <row r="999" spans="1:26" ht="22.5" customHeight="1" x14ac:dyDescent="0.85">
      <c r="A999" s="166"/>
      <c r="B999" s="167"/>
      <c r="C999" s="167"/>
      <c r="D999" s="147"/>
      <c r="E999" s="147"/>
      <c r="F999" s="147"/>
      <c r="G999" s="147"/>
      <c r="H999" s="147"/>
      <c r="I999" s="147"/>
      <c r="J999" s="147"/>
      <c r="K999" s="3"/>
      <c r="L999" s="3"/>
      <c r="M999" s="3"/>
      <c r="N999" s="3"/>
      <c r="O999" s="3"/>
      <c r="P999" s="3"/>
      <c r="Q999" s="3"/>
      <c r="R999" s="3"/>
      <c r="S999" s="3"/>
      <c r="T999" s="3"/>
      <c r="U999" s="3"/>
      <c r="V999" s="3"/>
      <c r="W999" s="3"/>
      <c r="X999" s="3"/>
      <c r="Y999" s="3"/>
      <c r="Z999" s="3"/>
    </row>
    <row r="1000" spans="1:26" ht="22.5" customHeight="1" x14ac:dyDescent="0.85">
      <c r="A1000" s="166"/>
      <c r="B1000" s="167"/>
      <c r="C1000" s="167"/>
      <c r="D1000" s="147"/>
      <c r="E1000" s="147"/>
      <c r="F1000" s="147"/>
      <c r="G1000" s="147"/>
      <c r="H1000" s="147"/>
      <c r="I1000" s="147"/>
      <c r="J1000" s="147"/>
      <c r="K1000" s="3"/>
      <c r="L1000" s="3"/>
      <c r="M1000" s="3"/>
      <c r="N1000" s="3"/>
      <c r="O1000" s="3"/>
      <c r="P1000" s="3"/>
      <c r="Q1000" s="3"/>
      <c r="R1000" s="3"/>
      <c r="S1000" s="3"/>
      <c r="T1000" s="3"/>
      <c r="U1000" s="3"/>
      <c r="V1000" s="3"/>
      <c r="W1000" s="3"/>
      <c r="X1000" s="3"/>
      <c r="Y1000" s="3"/>
      <c r="Z1000" s="3"/>
    </row>
  </sheetData>
  <mergeCells count="13">
    <mergeCell ref="D14:M14"/>
    <mergeCell ref="A1:M1"/>
    <mergeCell ref="A2:M2"/>
    <mergeCell ref="D3:M3"/>
    <mergeCell ref="D4:M4"/>
    <mergeCell ref="D5:M5"/>
    <mergeCell ref="D6:M6"/>
    <mergeCell ref="D7:M7"/>
    <mergeCell ref="D8:M8"/>
    <mergeCell ref="D9:M9"/>
    <mergeCell ref="D10:M10"/>
    <mergeCell ref="D11:M11"/>
    <mergeCell ref="D12:M13"/>
  </mergeCells>
  <pageMargins left="0.7" right="0.7" top="0.75" bottom="0.75" header="0" footer="0"/>
  <pageSetup orientation="portrait"/>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574B"/>
  </sheetPr>
  <dimension ref="A1:Z1000"/>
  <sheetViews>
    <sheetView workbookViewId="0"/>
  </sheetViews>
  <sheetFormatPr defaultColWidth="11.23046875" defaultRowHeight="15" customHeight="1" x14ac:dyDescent="0.85"/>
  <cols>
    <col min="1" max="1" width="42.07421875" customWidth="1"/>
    <col min="2" max="13" width="21.921875" customWidth="1"/>
    <col min="14" max="26" width="11" customWidth="1"/>
  </cols>
  <sheetData>
    <row r="1" spans="1:26" ht="22.5" customHeight="1" x14ac:dyDescent="0.85">
      <c r="A1" s="847" t="s">
        <v>127</v>
      </c>
      <c r="B1" s="765"/>
      <c r="C1" s="765"/>
      <c r="D1" s="765"/>
      <c r="E1" s="765"/>
      <c r="F1" s="765"/>
      <c r="G1" s="765"/>
      <c r="H1" s="765"/>
      <c r="I1" s="765"/>
      <c r="J1" s="765"/>
      <c r="K1" s="765"/>
      <c r="L1" s="765"/>
      <c r="M1" s="762"/>
      <c r="N1" s="3"/>
      <c r="O1" s="3"/>
      <c r="P1" s="3"/>
      <c r="Q1" s="3"/>
      <c r="R1" s="3"/>
      <c r="S1" s="3"/>
      <c r="T1" s="3"/>
      <c r="U1" s="3"/>
      <c r="V1" s="3"/>
      <c r="W1" s="3"/>
      <c r="X1" s="3"/>
      <c r="Y1" s="3"/>
      <c r="Z1" s="3"/>
    </row>
    <row r="2" spans="1:26" ht="22.5" customHeight="1" x14ac:dyDescent="0.85">
      <c r="A2" s="848" t="s">
        <v>361</v>
      </c>
      <c r="B2" s="765"/>
      <c r="C2" s="765"/>
      <c r="D2" s="765"/>
      <c r="E2" s="765"/>
      <c r="F2" s="765"/>
      <c r="G2" s="765"/>
      <c r="H2" s="765"/>
      <c r="I2" s="765"/>
      <c r="J2" s="765"/>
      <c r="K2" s="765"/>
      <c r="L2" s="765"/>
      <c r="M2" s="762"/>
      <c r="N2" s="3"/>
      <c r="O2" s="3"/>
      <c r="P2" s="3"/>
      <c r="Q2" s="3"/>
      <c r="R2" s="3"/>
      <c r="S2" s="3"/>
      <c r="T2" s="3"/>
      <c r="U2" s="3"/>
      <c r="V2" s="3"/>
      <c r="W2" s="3"/>
      <c r="X2" s="3"/>
      <c r="Y2" s="3"/>
      <c r="Z2" s="3"/>
    </row>
    <row r="3" spans="1:26" ht="22.5" customHeight="1" x14ac:dyDescent="0.85">
      <c r="A3" s="130" t="s">
        <v>361</v>
      </c>
      <c r="B3" s="130" t="s">
        <v>251</v>
      </c>
      <c r="C3" s="130" t="s">
        <v>362</v>
      </c>
      <c r="D3" s="849" t="s">
        <v>138</v>
      </c>
      <c r="E3" s="765"/>
      <c r="F3" s="765"/>
      <c r="G3" s="765"/>
      <c r="H3" s="765"/>
      <c r="I3" s="765"/>
      <c r="J3" s="765"/>
      <c r="K3" s="765"/>
      <c r="L3" s="765"/>
      <c r="M3" s="762"/>
      <c r="N3" s="3"/>
      <c r="O3" s="3"/>
      <c r="P3" s="3"/>
      <c r="Q3" s="3"/>
      <c r="R3" s="3"/>
      <c r="S3" s="3"/>
      <c r="T3" s="3"/>
      <c r="U3" s="3"/>
      <c r="V3" s="3"/>
      <c r="W3" s="3"/>
      <c r="X3" s="3"/>
      <c r="Y3" s="3"/>
      <c r="Z3" s="3"/>
    </row>
    <row r="4" spans="1:26" ht="20.25" customHeight="1" x14ac:dyDescent="0.85">
      <c r="A4" s="131" t="s">
        <v>363</v>
      </c>
      <c r="B4" s="132">
        <v>3710.19</v>
      </c>
      <c r="C4" s="133" t="s">
        <v>364</v>
      </c>
      <c r="D4" s="850" t="s">
        <v>492</v>
      </c>
      <c r="E4" s="765"/>
      <c r="F4" s="765"/>
      <c r="G4" s="765"/>
      <c r="H4" s="765"/>
      <c r="I4" s="765"/>
      <c r="J4" s="765"/>
      <c r="K4" s="765"/>
      <c r="L4" s="765"/>
      <c r="M4" s="762"/>
      <c r="N4" s="15"/>
      <c r="O4" s="15"/>
      <c r="P4" s="15"/>
      <c r="Q4" s="15"/>
      <c r="R4" s="15"/>
      <c r="S4" s="15"/>
      <c r="T4" s="15"/>
      <c r="U4" s="15"/>
      <c r="V4" s="15"/>
      <c r="W4" s="15"/>
      <c r="X4" s="15"/>
      <c r="Y4" s="15"/>
      <c r="Z4" s="15"/>
    </row>
    <row r="5" spans="1:26" ht="20.25" customHeight="1" x14ac:dyDescent="0.85">
      <c r="A5" s="131" t="s">
        <v>366</v>
      </c>
      <c r="B5" s="136">
        <v>153501</v>
      </c>
      <c r="C5" s="133" t="s">
        <v>367</v>
      </c>
      <c r="D5" s="850" t="s">
        <v>368</v>
      </c>
      <c r="E5" s="765"/>
      <c r="F5" s="765"/>
      <c r="G5" s="765"/>
      <c r="H5" s="765"/>
      <c r="I5" s="765"/>
      <c r="J5" s="765"/>
      <c r="K5" s="765"/>
      <c r="L5" s="765"/>
      <c r="M5" s="762"/>
      <c r="N5" s="15"/>
      <c r="O5" s="15"/>
      <c r="P5" s="15"/>
      <c r="Q5" s="15"/>
      <c r="R5" s="15"/>
      <c r="S5" s="15"/>
      <c r="T5" s="15"/>
      <c r="U5" s="15"/>
      <c r="V5" s="15"/>
      <c r="W5" s="15"/>
      <c r="X5" s="15"/>
      <c r="Y5" s="15"/>
      <c r="Z5" s="15"/>
    </row>
    <row r="6" spans="1:26" ht="20.25" customHeight="1" x14ac:dyDescent="0.85">
      <c r="A6" s="131" t="s">
        <v>369</v>
      </c>
      <c r="B6" s="135">
        <v>4816526644.8599997</v>
      </c>
      <c r="C6" s="133" t="s">
        <v>370</v>
      </c>
      <c r="D6" s="850" t="s">
        <v>485</v>
      </c>
      <c r="E6" s="765"/>
      <c r="F6" s="765"/>
      <c r="G6" s="765"/>
      <c r="H6" s="765"/>
      <c r="I6" s="765"/>
      <c r="J6" s="765"/>
      <c r="K6" s="765"/>
      <c r="L6" s="765"/>
      <c r="M6" s="762"/>
      <c r="N6" s="15"/>
      <c r="O6" s="15"/>
      <c r="P6" s="15"/>
      <c r="Q6" s="15"/>
      <c r="R6" s="15"/>
      <c r="S6" s="15"/>
      <c r="T6" s="15"/>
      <c r="U6" s="15"/>
      <c r="V6" s="15"/>
      <c r="W6" s="15"/>
      <c r="X6" s="15"/>
      <c r="Y6" s="15"/>
      <c r="Z6" s="15"/>
    </row>
    <row r="7" spans="1:26" ht="20.25" customHeight="1" x14ac:dyDescent="0.85">
      <c r="A7" s="131" t="s">
        <v>372</v>
      </c>
      <c r="B7" s="136">
        <v>61475</v>
      </c>
      <c r="C7" s="133" t="s">
        <v>373</v>
      </c>
      <c r="D7" s="850" t="s">
        <v>374</v>
      </c>
      <c r="E7" s="765"/>
      <c r="F7" s="765"/>
      <c r="G7" s="765"/>
      <c r="H7" s="765"/>
      <c r="I7" s="765"/>
      <c r="J7" s="765"/>
      <c r="K7" s="765"/>
      <c r="L7" s="765"/>
      <c r="M7" s="762"/>
      <c r="N7" s="15"/>
      <c r="O7" s="15"/>
      <c r="P7" s="15"/>
      <c r="Q7" s="15"/>
      <c r="R7" s="15"/>
      <c r="S7" s="15"/>
      <c r="T7" s="15"/>
      <c r="U7" s="15"/>
      <c r="V7" s="15"/>
      <c r="W7" s="15"/>
      <c r="X7" s="15"/>
      <c r="Y7" s="15"/>
      <c r="Z7" s="15"/>
    </row>
    <row r="8" spans="1:26" ht="20.25" customHeight="1" x14ac:dyDescent="0.85">
      <c r="A8" s="131" t="s">
        <v>375</v>
      </c>
      <c r="B8" s="136">
        <v>57614</v>
      </c>
      <c r="C8" s="133" t="s">
        <v>373</v>
      </c>
      <c r="D8" s="850" t="s">
        <v>376</v>
      </c>
      <c r="E8" s="765"/>
      <c r="F8" s="765"/>
      <c r="G8" s="765"/>
      <c r="H8" s="765"/>
      <c r="I8" s="765"/>
      <c r="J8" s="765"/>
      <c r="K8" s="765"/>
      <c r="L8" s="765"/>
      <c r="M8" s="762"/>
      <c r="N8" s="15"/>
      <c r="O8" s="15"/>
      <c r="P8" s="15"/>
      <c r="Q8" s="15"/>
      <c r="R8" s="15"/>
      <c r="S8" s="15"/>
      <c r="T8" s="15"/>
      <c r="U8" s="15"/>
      <c r="V8" s="15"/>
      <c r="W8" s="15"/>
      <c r="X8" s="15"/>
      <c r="Y8" s="15"/>
      <c r="Z8" s="15"/>
    </row>
    <row r="9" spans="1:26" ht="20.25" customHeight="1" x14ac:dyDescent="0.85">
      <c r="A9" s="131" t="s">
        <v>377</v>
      </c>
      <c r="B9" s="136">
        <v>57654240</v>
      </c>
      <c r="C9" s="133" t="s">
        <v>378</v>
      </c>
      <c r="D9" s="850" t="s">
        <v>486</v>
      </c>
      <c r="E9" s="765"/>
      <c r="F9" s="765"/>
      <c r="G9" s="765"/>
      <c r="H9" s="765"/>
      <c r="I9" s="765"/>
      <c r="J9" s="765"/>
      <c r="K9" s="765"/>
      <c r="L9" s="765"/>
      <c r="M9" s="762"/>
      <c r="N9" s="15"/>
      <c r="O9" s="15"/>
      <c r="P9" s="15"/>
      <c r="Q9" s="15"/>
      <c r="R9" s="15"/>
      <c r="S9" s="15"/>
      <c r="T9" s="15"/>
      <c r="U9" s="15"/>
      <c r="V9" s="15"/>
      <c r="W9" s="15"/>
      <c r="X9" s="15"/>
      <c r="Y9" s="15"/>
      <c r="Z9" s="15"/>
    </row>
    <row r="10" spans="1:26" ht="20.25" customHeight="1" x14ac:dyDescent="0.85">
      <c r="A10" s="131" t="s">
        <v>380</v>
      </c>
      <c r="B10" s="136">
        <f>22324000*'Conversion Factors and GWP'!$A$27</f>
        <v>240293303.59999999</v>
      </c>
      <c r="C10" s="133" t="s">
        <v>378</v>
      </c>
      <c r="D10" s="850" t="s">
        <v>381</v>
      </c>
      <c r="E10" s="765"/>
      <c r="F10" s="765"/>
      <c r="G10" s="765"/>
      <c r="H10" s="765"/>
      <c r="I10" s="765"/>
      <c r="J10" s="765"/>
      <c r="K10" s="765"/>
      <c r="L10" s="765"/>
      <c r="M10" s="762"/>
      <c r="N10" s="15"/>
      <c r="O10" s="15"/>
      <c r="P10" s="15"/>
      <c r="Q10" s="15"/>
      <c r="R10" s="15"/>
      <c r="S10" s="15"/>
      <c r="T10" s="15"/>
      <c r="U10" s="15"/>
      <c r="V10" s="15"/>
      <c r="W10" s="15"/>
      <c r="X10" s="15"/>
      <c r="Y10" s="15"/>
      <c r="Z10" s="15"/>
    </row>
    <row r="11" spans="1:26" ht="20.25" customHeight="1" x14ac:dyDescent="0.85">
      <c r="A11" s="131" t="s">
        <v>487</v>
      </c>
      <c r="B11" s="136">
        <v>72385</v>
      </c>
      <c r="C11" s="133" t="s">
        <v>383</v>
      </c>
      <c r="D11" s="850" t="s">
        <v>384</v>
      </c>
      <c r="E11" s="765"/>
      <c r="F11" s="765"/>
      <c r="G11" s="765"/>
      <c r="H11" s="765"/>
      <c r="I11" s="765"/>
      <c r="J11" s="765"/>
      <c r="K11" s="765"/>
      <c r="L11" s="765"/>
      <c r="M11" s="762"/>
      <c r="N11" s="15"/>
      <c r="O11" s="15"/>
      <c r="P11" s="15"/>
      <c r="Q11" s="15"/>
      <c r="R11" s="15"/>
      <c r="S11" s="15"/>
      <c r="T11" s="15"/>
      <c r="U11" s="15"/>
      <c r="V11" s="15"/>
      <c r="W11" s="15"/>
      <c r="X11" s="15"/>
      <c r="Y11" s="15"/>
      <c r="Z11" s="15"/>
    </row>
    <row r="12" spans="1:26" ht="20.25" customHeight="1" x14ac:dyDescent="0.85">
      <c r="A12" s="131" t="s">
        <v>385</v>
      </c>
      <c r="B12" s="136">
        <v>3050</v>
      </c>
      <c r="C12" s="133" t="s">
        <v>386</v>
      </c>
      <c r="D12" s="851" t="s">
        <v>493</v>
      </c>
      <c r="E12" s="828"/>
      <c r="F12" s="828"/>
      <c r="G12" s="828"/>
      <c r="H12" s="828"/>
      <c r="I12" s="828"/>
      <c r="J12" s="828"/>
      <c r="K12" s="828"/>
      <c r="L12" s="828"/>
      <c r="M12" s="825"/>
      <c r="N12" s="15"/>
      <c r="O12" s="15"/>
      <c r="P12" s="15"/>
      <c r="Q12" s="15"/>
      <c r="R12" s="15"/>
      <c r="S12" s="15"/>
      <c r="T12" s="15"/>
      <c r="U12" s="15"/>
      <c r="V12" s="15"/>
      <c r="W12" s="15"/>
      <c r="X12" s="15"/>
      <c r="Y12" s="15"/>
      <c r="Z12" s="15"/>
    </row>
    <row r="13" spans="1:26" ht="22.5" customHeight="1" x14ac:dyDescent="0.85">
      <c r="A13" s="137" t="s">
        <v>388</v>
      </c>
      <c r="B13" s="138">
        <v>2403</v>
      </c>
      <c r="C13" s="139" t="s">
        <v>389</v>
      </c>
      <c r="D13" s="810"/>
      <c r="E13" s="830"/>
      <c r="F13" s="830"/>
      <c r="G13" s="830"/>
      <c r="H13" s="830"/>
      <c r="I13" s="830"/>
      <c r="J13" s="830"/>
      <c r="K13" s="830"/>
      <c r="L13" s="830"/>
      <c r="M13" s="767"/>
      <c r="N13" s="15"/>
      <c r="O13" s="15"/>
      <c r="P13" s="15"/>
      <c r="Q13" s="15"/>
      <c r="R13" s="15"/>
      <c r="S13" s="15"/>
      <c r="T13" s="15"/>
      <c r="U13" s="15"/>
      <c r="V13" s="15"/>
      <c r="W13" s="15"/>
      <c r="X13" s="15"/>
      <c r="Y13" s="15"/>
      <c r="Z13" s="15"/>
    </row>
    <row r="14" spans="1:26" ht="22.5" customHeight="1" x14ac:dyDescent="0.85">
      <c r="A14" s="140" t="s">
        <v>494</v>
      </c>
      <c r="B14" s="141">
        <f>B5/'Albuquerque MSA Data'!B5</f>
        <v>0.16697741305265357</v>
      </c>
      <c r="C14" s="133" t="s">
        <v>391</v>
      </c>
      <c r="D14" s="850"/>
      <c r="E14" s="765"/>
      <c r="F14" s="765"/>
      <c r="G14" s="765"/>
      <c r="H14" s="765"/>
      <c r="I14" s="765"/>
      <c r="J14" s="765"/>
      <c r="K14" s="765"/>
      <c r="L14" s="765"/>
      <c r="M14" s="762"/>
      <c r="N14" s="15"/>
      <c r="O14" s="15"/>
      <c r="P14" s="15"/>
      <c r="Q14" s="15"/>
      <c r="R14" s="15"/>
      <c r="S14" s="15"/>
      <c r="T14" s="15"/>
      <c r="U14" s="15"/>
      <c r="V14" s="15"/>
      <c r="W14" s="15"/>
      <c r="X14" s="15"/>
      <c r="Y14" s="15"/>
      <c r="Z14" s="15"/>
    </row>
    <row r="15" spans="1:26" ht="22.5" customHeight="1" x14ac:dyDescent="0.85">
      <c r="A15" s="142"/>
      <c r="B15" s="76"/>
      <c r="C15" s="76"/>
      <c r="D15" s="143"/>
      <c r="E15" s="143"/>
      <c r="F15" s="143"/>
      <c r="G15" s="143"/>
      <c r="H15" s="143"/>
      <c r="I15" s="143"/>
      <c r="J15" s="143"/>
      <c r="K15" s="15"/>
      <c r="L15" s="15"/>
      <c r="M15" s="15"/>
      <c r="N15" s="15"/>
      <c r="O15" s="15"/>
      <c r="P15" s="15"/>
      <c r="Q15" s="15"/>
      <c r="R15" s="15"/>
      <c r="S15" s="15"/>
      <c r="T15" s="15"/>
      <c r="U15" s="15"/>
      <c r="V15" s="15"/>
      <c r="W15" s="15"/>
      <c r="X15" s="15"/>
      <c r="Y15" s="15"/>
      <c r="Z15" s="15"/>
    </row>
    <row r="16" spans="1:26" ht="22.5" customHeight="1" x14ac:dyDescent="0.85">
      <c r="A16" s="144" t="s">
        <v>393</v>
      </c>
      <c r="B16" s="145"/>
      <c r="C16" s="145"/>
      <c r="D16" s="145"/>
      <c r="E16" s="145"/>
      <c r="F16" s="145"/>
      <c r="G16" s="145"/>
      <c r="H16" s="145"/>
      <c r="I16" s="145"/>
      <c r="J16" s="145"/>
      <c r="K16" s="145"/>
      <c r="L16" s="146"/>
      <c r="M16" s="3"/>
      <c r="N16" s="3"/>
      <c r="O16" s="3"/>
      <c r="P16" s="3"/>
      <c r="Q16" s="3"/>
      <c r="R16" s="3"/>
      <c r="S16" s="3"/>
      <c r="T16" s="3"/>
      <c r="U16" s="3"/>
      <c r="V16" s="3"/>
      <c r="W16" s="3"/>
      <c r="X16" s="3"/>
      <c r="Y16" s="3"/>
      <c r="Z16" s="3"/>
    </row>
    <row r="17" spans="1:26" ht="22.5" customHeight="1" x14ac:dyDescent="0.85">
      <c r="A17" s="227" t="s">
        <v>137</v>
      </c>
      <c r="B17" s="202"/>
      <c r="C17" s="203"/>
      <c r="D17" s="227" t="s">
        <v>124</v>
      </c>
      <c r="E17" s="202"/>
      <c r="F17" s="203"/>
      <c r="G17" s="227" t="s">
        <v>116</v>
      </c>
      <c r="H17" s="202"/>
      <c r="I17" s="203"/>
      <c r="J17" s="227" t="s">
        <v>394</v>
      </c>
      <c r="K17" s="202"/>
      <c r="L17" s="203"/>
      <c r="M17" s="3"/>
      <c r="N17" s="3"/>
      <c r="O17" s="3"/>
      <c r="P17" s="3"/>
      <c r="Q17" s="3"/>
      <c r="R17" s="3"/>
      <c r="S17" s="3"/>
      <c r="T17" s="3"/>
      <c r="U17" s="3"/>
      <c r="V17" s="3"/>
      <c r="W17" s="3"/>
      <c r="X17" s="3"/>
      <c r="Y17" s="3"/>
      <c r="Z17" s="3"/>
    </row>
    <row r="18" spans="1:26" ht="22.5" customHeight="1" x14ac:dyDescent="0.85">
      <c r="A18" s="148" t="s">
        <v>138</v>
      </c>
      <c r="B18" s="148" t="s">
        <v>118</v>
      </c>
      <c r="C18" s="148" t="s">
        <v>395</v>
      </c>
      <c r="D18" s="148" t="s">
        <v>125</v>
      </c>
      <c r="E18" s="148" t="s">
        <v>118</v>
      </c>
      <c r="F18" s="148" t="s">
        <v>395</v>
      </c>
      <c r="G18" s="148" t="s">
        <v>117</v>
      </c>
      <c r="H18" s="148" t="s">
        <v>118</v>
      </c>
      <c r="I18" s="148" t="s">
        <v>395</v>
      </c>
      <c r="J18" s="148" t="s">
        <v>396</v>
      </c>
      <c r="K18" s="148" t="s">
        <v>118</v>
      </c>
      <c r="L18" s="148" t="s">
        <v>397</v>
      </c>
      <c r="M18" s="3"/>
      <c r="N18" s="3"/>
      <c r="O18" s="3"/>
      <c r="P18" s="3"/>
      <c r="Q18" s="3"/>
      <c r="R18" s="3"/>
      <c r="S18" s="3"/>
      <c r="T18" s="3"/>
      <c r="U18" s="3"/>
      <c r="V18" s="3"/>
      <c r="W18" s="3"/>
      <c r="X18" s="3"/>
      <c r="Y18" s="3"/>
      <c r="Z18" s="3"/>
    </row>
    <row r="19" spans="1:26" ht="22.5" customHeight="1" x14ac:dyDescent="0.85">
      <c r="A19" s="149" t="s">
        <v>139</v>
      </c>
      <c r="B19" s="150">
        <f>B64</f>
        <v>219561.31878066956</v>
      </c>
      <c r="C19" s="151">
        <f t="shared" ref="C19:C43" si="0">B19/$B$45</f>
        <v>0.13841735623172385</v>
      </c>
      <c r="D19" s="149" t="s">
        <v>130</v>
      </c>
      <c r="E19" s="150">
        <f>SUM(B19:B25)</f>
        <v>510223.41018259263</v>
      </c>
      <c r="F19" s="151">
        <f t="shared" ref="F19:F25" si="1">E19/$E$26</f>
        <v>0.34592407547497411</v>
      </c>
      <c r="G19" s="150" t="s">
        <v>120</v>
      </c>
      <c r="H19" s="150">
        <f>B53+B54+B55+B56+B57+B71+B72+B78+B83+B87+B91+B94+B99+B101+B106+B107+B112+B113+B117+B118+B119</f>
        <v>1247314.4743895091</v>
      </c>
      <c r="I19" s="152">
        <f t="shared" ref="I19:I21" si="2">H19/$H$22</f>
        <v>0.84566113151361055</v>
      </c>
      <c r="J19" s="150">
        <f>B5</f>
        <v>153501</v>
      </c>
      <c r="K19" s="150">
        <f>B47</f>
        <v>1474957.7909026016</v>
      </c>
      <c r="L19" s="133">
        <f>K19/J19</f>
        <v>9.6087829454049256</v>
      </c>
      <c r="M19" s="3"/>
      <c r="N19" s="3"/>
      <c r="O19" s="3"/>
      <c r="P19" s="3"/>
      <c r="Q19" s="3"/>
      <c r="R19" s="3"/>
      <c r="S19" s="3"/>
      <c r="T19" s="3"/>
      <c r="U19" s="3"/>
      <c r="V19" s="3"/>
      <c r="W19" s="3"/>
      <c r="X19" s="3"/>
      <c r="Y19" s="3"/>
      <c r="Z19" s="3"/>
    </row>
    <row r="20" spans="1:26" ht="22.5" customHeight="1" x14ac:dyDescent="0.85">
      <c r="A20" s="149" t="s">
        <v>140</v>
      </c>
      <c r="B20" s="150">
        <f>B53+B54</f>
        <v>269579.91565794119</v>
      </c>
      <c r="C20" s="151">
        <f t="shared" si="0"/>
        <v>0.1699504239898405</v>
      </c>
      <c r="D20" s="149" t="s">
        <v>131</v>
      </c>
      <c r="E20" s="150">
        <f>SUM(B26:B34)</f>
        <v>726278.19225831667</v>
      </c>
      <c r="F20" s="151">
        <f t="shared" si="1"/>
        <v>0.49240608560999577</v>
      </c>
      <c r="G20" s="150" t="s">
        <v>121</v>
      </c>
      <c r="H20" s="150">
        <f>B61+B62+B63+B79+B84</f>
        <v>221418.95973599801</v>
      </c>
      <c r="I20" s="152">
        <f t="shared" si="2"/>
        <v>0.15011884482504451</v>
      </c>
      <c r="J20" s="147"/>
      <c r="K20" s="147"/>
      <c r="L20" s="147"/>
      <c r="M20" s="3"/>
      <c r="N20" s="3"/>
      <c r="O20" s="3"/>
      <c r="P20" s="3"/>
      <c r="Q20" s="3"/>
      <c r="R20" s="3"/>
      <c r="S20" s="3"/>
      <c r="T20" s="3"/>
      <c r="U20" s="3"/>
      <c r="V20" s="3"/>
      <c r="W20" s="3"/>
      <c r="X20" s="3"/>
      <c r="Y20" s="3"/>
      <c r="Z20" s="3"/>
    </row>
    <row r="21" spans="1:26" ht="22.5" customHeight="1" x14ac:dyDescent="0.85">
      <c r="A21" s="149" t="s">
        <v>266</v>
      </c>
      <c r="B21" s="150">
        <f t="shared" ref="B21:B23" si="3">B55</f>
        <v>0</v>
      </c>
      <c r="C21" s="151">
        <f t="shared" si="0"/>
        <v>0</v>
      </c>
      <c r="D21" s="149" t="s">
        <v>132</v>
      </c>
      <c r="E21" s="150">
        <f>SUM(B35,B36)</f>
        <v>132798.02499013249</v>
      </c>
      <c r="F21" s="151">
        <f t="shared" si="1"/>
        <v>9.0035135791151438E-2</v>
      </c>
      <c r="G21" s="150" t="s">
        <v>122</v>
      </c>
      <c r="H21" s="150">
        <f>B67+B80+B88+B100+B102</f>
        <v>6224.3567770941654</v>
      </c>
      <c r="I21" s="152">
        <f t="shared" si="2"/>
        <v>4.2200236613450254E-3</v>
      </c>
      <c r="J21" s="147"/>
      <c r="K21" s="147"/>
      <c r="L21" s="147"/>
      <c r="M21" s="3"/>
      <c r="N21" s="3"/>
      <c r="O21" s="3"/>
      <c r="P21" s="3"/>
      <c r="Q21" s="3"/>
      <c r="R21" s="3"/>
      <c r="S21" s="3"/>
      <c r="T21" s="3"/>
      <c r="U21" s="3"/>
      <c r="V21" s="3"/>
      <c r="W21" s="3"/>
      <c r="X21" s="3"/>
      <c r="Y21" s="3"/>
      <c r="Z21" s="3"/>
    </row>
    <row r="22" spans="1:26" ht="22.5" customHeight="1" x14ac:dyDescent="0.85">
      <c r="A22" s="149" t="s">
        <v>141</v>
      </c>
      <c r="B22" s="150">
        <f t="shared" si="3"/>
        <v>6104.6016522065584</v>
      </c>
      <c r="C22" s="151">
        <f t="shared" si="0"/>
        <v>3.8485049472231471E-3</v>
      </c>
      <c r="D22" s="149" t="s">
        <v>340</v>
      </c>
      <c r="E22" s="150">
        <f>B37</f>
        <v>5620.0164933315291</v>
      </c>
      <c r="F22" s="153">
        <f t="shared" si="1"/>
        <v>3.8102897099803485E-3</v>
      </c>
      <c r="G22" s="154" t="s">
        <v>398</v>
      </c>
      <c r="H22" s="155">
        <f t="shared" ref="H22:I22" si="4">SUM(H16:H21)</f>
        <v>1474957.7909026011</v>
      </c>
      <c r="I22" s="156">
        <f t="shared" si="4"/>
        <v>1</v>
      </c>
      <c r="J22" s="147"/>
      <c r="K22" s="147"/>
      <c r="L22" s="147"/>
      <c r="M22" s="3"/>
      <c r="N22" s="3"/>
      <c r="O22" s="3"/>
      <c r="P22" s="3"/>
      <c r="Q22" s="3"/>
      <c r="R22" s="3"/>
      <c r="S22" s="3"/>
      <c r="T22" s="3"/>
      <c r="U22" s="3"/>
      <c r="V22" s="3"/>
      <c r="W22" s="3"/>
      <c r="X22" s="3"/>
      <c r="Y22" s="3"/>
      <c r="Z22" s="3"/>
    </row>
    <row r="23" spans="1:26" ht="22.5" customHeight="1" x14ac:dyDescent="0.85">
      <c r="A23" s="149" t="s">
        <v>142</v>
      </c>
      <c r="B23" s="150">
        <f t="shared" si="3"/>
        <v>24.822811999999999</v>
      </c>
      <c r="C23" s="160">
        <f t="shared" si="0"/>
        <v>1.5648967816181705E-5</v>
      </c>
      <c r="D23" s="149" t="s">
        <v>133</v>
      </c>
      <c r="E23" s="150">
        <f>SUM(B38,B39)</f>
        <v>146050.13232848886</v>
      </c>
      <c r="F23" s="153">
        <f t="shared" si="1"/>
        <v>9.9019872452833627E-2</v>
      </c>
      <c r="G23" s="147"/>
      <c r="H23" s="147"/>
      <c r="I23" s="147"/>
      <c r="J23" s="147"/>
      <c r="K23" s="147"/>
      <c r="L23" s="147"/>
      <c r="M23" s="3"/>
      <c r="N23" s="3"/>
      <c r="O23" s="3"/>
      <c r="P23" s="3"/>
      <c r="Q23" s="3"/>
      <c r="R23" s="3"/>
      <c r="S23" s="3"/>
      <c r="T23" s="3"/>
      <c r="U23" s="3"/>
      <c r="V23" s="3"/>
      <c r="W23" s="3"/>
      <c r="X23" s="3"/>
      <c r="Y23" s="3"/>
      <c r="Z23" s="3"/>
    </row>
    <row r="24" spans="1:26" ht="22.5" customHeight="1" x14ac:dyDescent="0.85">
      <c r="A24" s="149" t="s">
        <v>143</v>
      </c>
      <c r="B24" s="150">
        <f>B73</f>
        <v>8779.2365909229611</v>
      </c>
      <c r="C24" s="153">
        <f t="shared" si="0"/>
        <v>5.5346666953767455E-3</v>
      </c>
      <c r="D24" s="149" t="s">
        <v>399</v>
      </c>
      <c r="E24" s="158">
        <f>SUM(B40:B43)</f>
        <v>65257.014649739183</v>
      </c>
      <c r="F24" s="159">
        <f t="shared" si="1"/>
        <v>4.4243309911807784E-2</v>
      </c>
      <c r="G24" s="147"/>
      <c r="H24" s="147"/>
      <c r="I24" s="147"/>
      <c r="J24" s="147"/>
      <c r="K24" s="147"/>
      <c r="L24" s="147"/>
      <c r="M24" s="3"/>
      <c r="N24" s="3"/>
      <c r="O24" s="3"/>
      <c r="P24" s="3"/>
      <c r="Q24" s="3"/>
      <c r="R24" s="3"/>
      <c r="S24" s="3"/>
      <c r="T24" s="3"/>
      <c r="U24" s="3"/>
      <c r="V24" s="3"/>
      <c r="W24" s="3"/>
      <c r="X24" s="3"/>
      <c r="Y24" s="3"/>
      <c r="Z24" s="3"/>
    </row>
    <row r="25" spans="1:26" ht="22.5" customHeight="1" x14ac:dyDescent="0.85">
      <c r="A25" s="149" t="s">
        <v>400</v>
      </c>
      <c r="B25" s="150">
        <f>B68</f>
        <v>6173.5146888523595</v>
      </c>
      <c r="C25" s="151">
        <f t="shared" si="0"/>
        <v>3.89194957761335E-3</v>
      </c>
      <c r="D25" s="149" t="s">
        <v>401</v>
      </c>
      <c r="E25" s="158">
        <f>B44</f>
        <v>-111269</v>
      </c>
      <c r="F25" s="159">
        <f t="shared" si="1"/>
        <v>-7.5438768950743224E-2</v>
      </c>
      <c r="G25" s="147"/>
      <c r="H25" s="147"/>
      <c r="I25" s="147"/>
      <c r="J25" s="147"/>
      <c r="K25" s="147"/>
      <c r="L25" s="147"/>
      <c r="M25" s="3"/>
      <c r="N25" s="3"/>
      <c r="O25" s="3"/>
      <c r="P25" s="3"/>
      <c r="Q25" s="3"/>
      <c r="R25" s="3"/>
      <c r="S25" s="3"/>
      <c r="T25" s="3"/>
      <c r="U25" s="3"/>
      <c r="V25" s="3"/>
      <c r="W25" s="3"/>
      <c r="X25" s="3"/>
      <c r="Y25" s="3"/>
      <c r="Z25" s="3"/>
    </row>
    <row r="26" spans="1:26" ht="22.5" customHeight="1" x14ac:dyDescent="0.85">
      <c r="A26" s="149" t="s">
        <v>145</v>
      </c>
      <c r="B26" s="150">
        <f t="shared" ref="B26:B28" si="5">B78</f>
        <v>616620.66545622272</v>
      </c>
      <c r="C26" s="153">
        <f t="shared" si="0"/>
        <v>0.38873423963880382</v>
      </c>
      <c r="D26" s="154" t="s">
        <v>398</v>
      </c>
      <c r="E26" s="155">
        <f t="shared" ref="E26:F26" si="6">SUM(E19:E25)</f>
        <v>1474957.7909026016</v>
      </c>
      <c r="F26" s="156">
        <f t="shared" si="6"/>
        <v>0.99999999999999978</v>
      </c>
      <c r="G26" s="147"/>
      <c r="H26" s="147"/>
      <c r="I26" s="147"/>
      <c r="J26" s="147"/>
      <c r="K26" s="147"/>
      <c r="L26" s="147"/>
      <c r="M26" s="3"/>
      <c r="N26" s="3"/>
      <c r="O26" s="3"/>
      <c r="P26" s="3"/>
      <c r="Q26" s="3"/>
      <c r="R26" s="3"/>
      <c r="S26" s="3"/>
      <c r="T26" s="3"/>
      <c r="U26" s="3"/>
      <c r="V26" s="3"/>
      <c r="W26" s="3"/>
      <c r="X26" s="3"/>
      <c r="Y26" s="3"/>
      <c r="Z26" s="3"/>
    </row>
    <row r="27" spans="1:26" ht="22.5" customHeight="1" x14ac:dyDescent="0.85">
      <c r="A27" s="149" t="s">
        <v>146</v>
      </c>
      <c r="B27" s="150">
        <f t="shared" si="5"/>
        <v>1857.6409553284582</v>
      </c>
      <c r="C27" s="153">
        <f t="shared" si="0"/>
        <v>1.171106783709923E-3</v>
      </c>
      <c r="D27" s="147"/>
      <c r="E27" s="147"/>
      <c r="F27" s="147"/>
      <c r="G27" s="147"/>
      <c r="H27" s="147"/>
      <c r="I27" s="147"/>
      <c r="J27" s="147"/>
      <c r="K27" s="147"/>
      <c r="L27" s="147"/>
      <c r="M27" s="3"/>
      <c r="N27" s="3"/>
      <c r="O27" s="3"/>
      <c r="P27" s="3"/>
      <c r="Q27" s="3"/>
      <c r="R27" s="3"/>
      <c r="S27" s="3"/>
      <c r="T27" s="3"/>
      <c r="U27" s="3"/>
      <c r="V27" s="3"/>
      <c r="W27" s="3"/>
      <c r="X27" s="3"/>
      <c r="Y27" s="3"/>
      <c r="Z27" s="3"/>
    </row>
    <row r="28" spans="1:26" ht="22.5" customHeight="1" x14ac:dyDescent="0.85">
      <c r="A28" s="149" t="s">
        <v>147</v>
      </c>
      <c r="B28" s="150">
        <f t="shared" si="5"/>
        <v>50.842088241805953</v>
      </c>
      <c r="C28" s="160">
        <f t="shared" si="0"/>
        <v>3.2052218846256889E-5</v>
      </c>
      <c r="D28" s="147"/>
      <c r="E28" s="147"/>
      <c r="F28" s="147"/>
      <c r="G28" s="147"/>
      <c r="H28" s="147"/>
      <c r="I28" s="147"/>
      <c r="J28" s="147"/>
      <c r="K28" s="147"/>
      <c r="L28" s="147"/>
      <c r="M28" s="3"/>
      <c r="N28" s="3"/>
      <c r="O28" s="3"/>
      <c r="P28" s="3"/>
      <c r="Q28" s="3"/>
      <c r="R28" s="3"/>
      <c r="S28" s="3"/>
      <c r="T28" s="3"/>
      <c r="U28" s="3"/>
      <c r="V28" s="3"/>
      <c r="W28" s="3"/>
      <c r="X28" s="3"/>
      <c r="Y28" s="3"/>
      <c r="Z28" s="3"/>
    </row>
    <row r="29" spans="1:26" ht="22.5" customHeight="1" x14ac:dyDescent="0.85">
      <c r="A29" s="149" t="s">
        <v>148</v>
      </c>
      <c r="B29" s="150">
        <f t="shared" ref="B29:B30" si="7">B83</f>
        <v>597.66495907857188</v>
      </c>
      <c r="C29" s="159">
        <f t="shared" si="0"/>
        <v>3.7678405288974219E-4</v>
      </c>
      <c r="D29" s="147"/>
      <c r="E29" s="147"/>
      <c r="F29" s="147"/>
      <c r="G29" s="147"/>
      <c r="H29" s="147"/>
      <c r="I29" s="147"/>
      <c r="J29" s="147"/>
      <c r="K29" s="147"/>
      <c r="L29" s="147"/>
      <c r="M29" s="3"/>
      <c r="N29" s="3"/>
      <c r="O29" s="3"/>
      <c r="P29" s="3"/>
      <c r="Q29" s="3"/>
      <c r="R29" s="3"/>
      <c r="S29" s="3"/>
      <c r="T29" s="3"/>
      <c r="U29" s="3"/>
      <c r="V29" s="3"/>
      <c r="W29" s="3"/>
      <c r="X29" s="3"/>
      <c r="Y29" s="3"/>
      <c r="Z29" s="3"/>
    </row>
    <row r="30" spans="1:26" ht="22.5" customHeight="1" x14ac:dyDescent="0.85">
      <c r="A30" s="149" t="s">
        <v>149</v>
      </c>
      <c r="B30" s="150">
        <f t="shared" si="7"/>
        <v>0</v>
      </c>
      <c r="C30" s="160">
        <f t="shared" si="0"/>
        <v>0</v>
      </c>
      <c r="D30" s="147"/>
      <c r="E30" s="147"/>
      <c r="F30" s="147"/>
      <c r="G30" s="147"/>
      <c r="H30" s="147"/>
      <c r="I30" s="147"/>
      <c r="J30" s="147"/>
      <c r="K30" s="147"/>
      <c r="L30" s="147"/>
      <c r="M30" s="3"/>
      <c r="N30" s="3"/>
      <c r="O30" s="3"/>
      <c r="P30" s="3"/>
      <c r="Q30" s="3"/>
      <c r="R30" s="3"/>
      <c r="S30" s="3"/>
      <c r="T30" s="3"/>
      <c r="U30" s="3"/>
      <c r="V30" s="3"/>
      <c r="W30" s="3"/>
      <c r="X30" s="3"/>
      <c r="Y30" s="3"/>
      <c r="Z30" s="3"/>
    </row>
    <row r="31" spans="1:26" ht="22.5" customHeight="1" x14ac:dyDescent="0.85">
      <c r="A31" s="149" t="s">
        <v>150</v>
      </c>
      <c r="B31" s="150">
        <f t="shared" ref="B31:B32" si="8">B87</f>
        <v>0</v>
      </c>
      <c r="C31" s="151">
        <f t="shared" si="0"/>
        <v>0</v>
      </c>
      <c r="D31" s="147"/>
      <c r="E31" s="147"/>
      <c r="F31" s="147"/>
      <c r="G31" s="147"/>
      <c r="H31" s="147"/>
      <c r="I31" s="147"/>
      <c r="J31" s="147"/>
      <c r="K31" s="147"/>
      <c r="L31" s="147"/>
      <c r="M31" s="3"/>
      <c r="N31" s="3"/>
      <c r="O31" s="3"/>
      <c r="P31" s="3"/>
      <c r="Q31" s="3"/>
      <c r="R31" s="3"/>
      <c r="S31" s="3"/>
      <c r="T31" s="3"/>
      <c r="U31" s="3"/>
      <c r="V31" s="3"/>
      <c r="W31" s="3"/>
      <c r="X31" s="3"/>
      <c r="Y31" s="3"/>
      <c r="Z31" s="3"/>
    </row>
    <row r="32" spans="1:26" ht="22.5" customHeight="1" x14ac:dyDescent="0.85">
      <c r="A32" s="149" t="s">
        <v>151</v>
      </c>
      <c r="B32" s="150">
        <f t="shared" si="8"/>
        <v>0</v>
      </c>
      <c r="C32" s="151">
        <f t="shared" si="0"/>
        <v>0</v>
      </c>
      <c r="D32" s="147"/>
      <c r="E32" s="147"/>
      <c r="F32" s="147"/>
      <c r="G32" s="147"/>
      <c r="H32" s="147"/>
      <c r="I32" s="147"/>
      <c r="J32" s="147"/>
      <c r="K32" s="147"/>
      <c r="L32" s="147"/>
      <c r="M32" s="3"/>
      <c r="N32" s="3"/>
      <c r="O32" s="3"/>
      <c r="P32" s="3"/>
      <c r="Q32" s="3"/>
      <c r="R32" s="3"/>
      <c r="S32" s="3"/>
      <c r="T32" s="3"/>
      <c r="U32" s="3"/>
      <c r="V32" s="3"/>
      <c r="W32" s="3"/>
      <c r="X32" s="3"/>
      <c r="Y32" s="3"/>
      <c r="Z32" s="3"/>
    </row>
    <row r="33" spans="1:26" ht="22.5" customHeight="1" x14ac:dyDescent="0.85">
      <c r="A33" s="149" t="s">
        <v>152</v>
      </c>
      <c r="B33" s="150">
        <f>B91</f>
        <v>106643.84104664477</v>
      </c>
      <c r="C33" s="151">
        <f t="shared" si="0"/>
        <v>6.7231143527693063E-2</v>
      </c>
      <c r="D33" s="147"/>
      <c r="E33" s="147"/>
      <c r="F33" s="147"/>
      <c r="G33" s="147"/>
      <c r="H33" s="147"/>
      <c r="I33" s="147"/>
      <c r="J33" s="147"/>
      <c r="K33" s="147"/>
      <c r="L33" s="147"/>
      <c r="M33" s="3"/>
      <c r="N33" s="3"/>
      <c r="O33" s="3"/>
      <c r="P33" s="3"/>
      <c r="Q33" s="3"/>
      <c r="R33" s="3"/>
      <c r="S33" s="3"/>
      <c r="T33" s="3"/>
      <c r="U33" s="3"/>
      <c r="V33" s="3"/>
      <c r="W33" s="3"/>
      <c r="X33" s="3"/>
      <c r="Y33" s="3"/>
      <c r="Z33" s="3"/>
    </row>
    <row r="34" spans="1:26" ht="22.5" customHeight="1" x14ac:dyDescent="0.85">
      <c r="A34" s="149" t="s">
        <v>153</v>
      </c>
      <c r="B34" s="150">
        <f>B94</f>
        <v>507.53775280040867</v>
      </c>
      <c r="C34" s="159">
        <f t="shared" si="0"/>
        <v>3.1996543981684193E-4</v>
      </c>
      <c r="D34" s="147"/>
      <c r="E34" s="147"/>
      <c r="F34" s="147"/>
      <c r="G34" s="147"/>
      <c r="H34" s="147"/>
      <c r="I34" s="147"/>
      <c r="J34" s="147"/>
      <c r="K34" s="147"/>
      <c r="L34" s="147"/>
      <c r="M34" s="3"/>
      <c r="N34" s="3"/>
      <c r="O34" s="3"/>
      <c r="P34" s="3"/>
      <c r="Q34" s="3"/>
      <c r="R34" s="3"/>
      <c r="S34" s="3"/>
      <c r="T34" s="3"/>
      <c r="U34" s="3"/>
      <c r="V34" s="3"/>
      <c r="W34" s="3"/>
      <c r="X34" s="3"/>
      <c r="Y34" s="3"/>
      <c r="Z34" s="3"/>
    </row>
    <row r="35" spans="1:26" ht="22.5" customHeight="1" x14ac:dyDescent="0.85">
      <c r="A35" s="149" t="s">
        <v>154</v>
      </c>
      <c r="B35" s="150">
        <f>B99+B100</f>
        <v>132798.02499013249</v>
      </c>
      <c r="C35" s="151">
        <f t="shared" si="0"/>
        <v>8.3719443998652415E-2</v>
      </c>
      <c r="D35" s="147"/>
      <c r="E35" s="147"/>
      <c r="F35" s="147"/>
      <c r="G35" s="147"/>
      <c r="H35" s="147"/>
      <c r="I35" s="147"/>
      <c r="J35" s="147"/>
      <c r="K35" s="147"/>
      <c r="L35" s="147"/>
      <c r="M35" s="3"/>
      <c r="N35" s="3"/>
      <c r="O35" s="3"/>
      <c r="P35" s="3"/>
      <c r="Q35" s="3"/>
      <c r="R35" s="3"/>
      <c r="S35" s="3"/>
      <c r="T35" s="3"/>
      <c r="U35" s="3"/>
      <c r="V35" s="3"/>
      <c r="W35" s="3"/>
      <c r="X35" s="3"/>
      <c r="Y35" s="3"/>
      <c r="Z35" s="3"/>
    </row>
    <row r="36" spans="1:26" ht="22.5" customHeight="1" x14ac:dyDescent="0.85">
      <c r="A36" s="149" t="s">
        <v>155</v>
      </c>
      <c r="B36" s="150">
        <f>B101+B102</f>
        <v>0</v>
      </c>
      <c r="C36" s="151">
        <f t="shared" si="0"/>
        <v>0</v>
      </c>
      <c r="D36" s="147"/>
      <c r="E36" s="147"/>
      <c r="F36" s="147"/>
      <c r="G36" s="147"/>
      <c r="H36" s="147"/>
      <c r="I36" s="147"/>
      <c r="J36" s="147"/>
      <c r="K36" s="147"/>
      <c r="L36" s="147"/>
      <c r="M36" s="3"/>
      <c r="N36" s="3"/>
      <c r="O36" s="3"/>
      <c r="P36" s="3"/>
      <c r="Q36" s="3"/>
      <c r="R36" s="3"/>
      <c r="S36" s="3"/>
      <c r="T36" s="3"/>
      <c r="U36" s="3"/>
      <c r="V36" s="3"/>
      <c r="W36" s="3"/>
      <c r="X36" s="3"/>
      <c r="Y36" s="3"/>
      <c r="Z36" s="3"/>
    </row>
    <row r="37" spans="1:26" ht="22.5" customHeight="1" x14ac:dyDescent="0.85">
      <c r="A37" s="149" t="s">
        <v>156</v>
      </c>
      <c r="B37" s="150">
        <f>B108</f>
        <v>5620.0164933315291</v>
      </c>
      <c r="C37" s="153">
        <f t="shared" si="0"/>
        <v>3.5430094394847556E-3</v>
      </c>
      <c r="D37" s="147"/>
      <c r="E37" s="147"/>
      <c r="F37" s="147"/>
      <c r="G37" s="147"/>
      <c r="H37" s="147"/>
      <c r="I37" s="147"/>
      <c r="J37" s="147"/>
      <c r="K37" s="147"/>
      <c r="L37" s="147"/>
      <c r="M37" s="3"/>
      <c r="N37" s="3"/>
      <c r="O37" s="3"/>
      <c r="P37" s="3"/>
      <c r="Q37" s="3"/>
      <c r="R37" s="3"/>
      <c r="S37" s="3"/>
      <c r="T37" s="3"/>
      <c r="U37" s="3"/>
      <c r="V37" s="3"/>
      <c r="W37" s="3"/>
      <c r="X37" s="3"/>
      <c r="Y37" s="3"/>
      <c r="Z37" s="3"/>
    </row>
    <row r="38" spans="1:26" ht="22.5" customHeight="1" x14ac:dyDescent="0.85">
      <c r="A38" s="149" t="s">
        <v>346</v>
      </c>
      <c r="B38" s="150">
        <f t="shared" ref="B38:B39" si="9">B112</f>
        <v>98640.52399999999</v>
      </c>
      <c r="C38" s="160">
        <f t="shared" si="0"/>
        <v>6.2185637366439346E-2</v>
      </c>
      <c r="D38" s="147"/>
      <c r="E38" s="147"/>
      <c r="F38" s="147"/>
      <c r="G38" s="147"/>
      <c r="H38" s="147"/>
      <c r="I38" s="147"/>
      <c r="J38" s="147"/>
      <c r="K38" s="147"/>
      <c r="L38" s="147"/>
      <c r="M38" s="3"/>
      <c r="N38" s="3"/>
      <c r="O38" s="3"/>
      <c r="P38" s="3"/>
      <c r="Q38" s="3"/>
      <c r="R38" s="3"/>
      <c r="S38" s="3"/>
      <c r="T38" s="3"/>
      <c r="U38" s="3"/>
      <c r="V38" s="3"/>
      <c r="W38" s="3"/>
      <c r="X38" s="3"/>
      <c r="Y38" s="3"/>
      <c r="Z38" s="3"/>
    </row>
    <row r="39" spans="1:26" ht="22.5" customHeight="1" x14ac:dyDescent="0.85">
      <c r="A39" s="149" t="s">
        <v>158</v>
      </c>
      <c r="B39" s="150">
        <f t="shared" si="9"/>
        <v>47409.608328488859</v>
      </c>
      <c r="C39" s="153">
        <f t="shared" si="0"/>
        <v>2.9888291258472342E-2</v>
      </c>
      <c r="D39" s="147"/>
      <c r="E39" s="147"/>
      <c r="F39" s="147"/>
      <c r="G39" s="147"/>
      <c r="H39" s="147"/>
      <c r="I39" s="147"/>
      <c r="J39" s="147"/>
      <c r="K39" s="147"/>
      <c r="L39" s="147"/>
      <c r="M39" s="3"/>
      <c r="N39" s="3"/>
      <c r="O39" s="3"/>
      <c r="P39" s="3"/>
      <c r="Q39" s="3"/>
      <c r="R39" s="3"/>
      <c r="S39" s="3"/>
      <c r="T39" s="3"/>
      <c r="U39" s="3"/>
      <c r="V39" s="3"/>
      <c r="W39" s="3"/>
      <c r="X39" s="3"/>
      <c r="Y39" s="3"/>
      <c r="Z39" s="3"/>
    </row>
    <row r="40" spans="1:26" ht="22.5" customHeight="1" x14ac:dyDescent="0.85">
      <c r="A40" s="149" t="s">
        <v>402</v>
      </c>
      <c r="B40" s="150">
        <f>'AFOLU Data'!Q68</f>
        <v>15600.298000000001</v>
      </c>
      <c r="C40" s="153">
        <f t="shared" si="0"/>
        <v>9.8348471287154678E-3</v>
      </c>
      <c r="D40" s="147"/>
      <c r="E40" s="147"/>
      <c r="F40" s="147"/>
      <c r="G40" s="147"/>
      <c r="H40" s="147"/>
      <c r="I40" s="147"/>
      <c r="J40" s="147"/>
      <c r="K40" s="3"/>
      <c r="L40" s="3"/>
      <c r="M40" s="3"/>
      <c r="N40" s="3"/>
      <c r="O40" s="3"/>
      <c r="P40" s="3"/>
      <c r="Q40" s="3"/>
      <c r="R40" s="3"/>
      <c r="S40" s="3"/>
      <c r="T40" s="3"/>
      <c r="U40" s="3"/>
      <c r="V40" s="3"/>
      <c r="W40" s="3"/>
      <c r="X40" s="3"/>
      <c r="Y40" s="3"/>
      <c r="Z40" s="3"/>
    </row>
    <row r="41" spans="1:26" ht="22.5" customHeight="1" x14ac:dyDescent="0.85">
      <c r="A41" s="149" t="s">
        <v>403</v>
      </c>
      <c r="B41" s="150">
        <f>'AFOLU Data'!J91</f>
        <v>49153.117889370973</v>
      </c>
      <c r="C41" s="151">
        <f t="shared" si="0"/>
        <v>3.0987446543757881E-2</v>
      </c>
      <c r="D41" s="147"/>
      <c r="E41" s="147"/>
      <c r="F41" s="147"/>
      <c r="G41" s="147"/>
      <c r="H41" s="147"/>
      <c r="I41" s="147"/>
      <c r="J41" s="147"/>
      <c r="K41" s="3"/>
      <c r="L41" s="3"/>
      <c r="M41" s="3"/>
      <c r="N41" s="3"/>
      <c r="O41" s="3"/>
      <c r="P41" s="3"/>
      <c r="Q41" s="3"/>
      <c r="R41" s="3"/>
      <c r="S41" s="3"/>
      <c r="T41" s="3"/>
      <c r="U41" s="3"/>
      <c r="V41" s="3"/>
      <c r="W41" s="3"/>
      <c r="X41" s="3"/>
      <c r="Y41" s="3"/>
      <c r="Z41" s="3"/>
    </row>
    <row r="42" spans="1:26" ht="22.5" customHeight="1" x14ac:dyDescent="0.85">
      <c r="A42" s="149" t="s">
        <v>404</v>
      </c>
      <c r="B42" s="150">
        <f>'AFOLU Data'!E121</f>
        <v>96.063119268856084</v>
      </c>
      <c r="C42" s="160">
        <f t="shared" si="0"/>
        <v>6.0560772154272992E-5</v>
      </c>
      <c r="D42" s="147"/>
      <c r="E42" s="147"/>
      <c r="F42" s="147"/>
      <c r="G42" s="147"/>
      <c r="H42" s="147"/>
      <c r="I42" s="147"/>
      <c r="J42" s="147"/>
      <c r="K42" s="3"/>
      <c r="L42" s="3"/>
      <c r="M42" s="3"/>
      <c r="N42" s="3"/>
      <c r="O42" s="3"/>
      <c r="P42" s="3"/>
      <c r="Q42" s="3"/>
      <c r="R42" s="3"/>
      <c r="S42" s="3"/>
      <c r="T42" s="3"/>
      <c r="U42" s="3"/>
      <c r="V42" s="3"/>
      <c r="W42" s="3"/>
      <c r="X42" s="3"/>
      <c r="Y42" s="3"/>
      <c r="Z42" s="3"/>
    </row>
    <row r="43" spans="1:26" ht="22.5" customHeight="1" x14ac:dyDescent="0.85">
      <c r="A43" s="149" t="s">
        <v>405</v>
      </c>
      <c r="B43" s="150">
        <f>'AFOLU Data'!I137</f>
        <v>407.53564109935587</v>
      </c>
      <c r="C43" s="159">
        <f t="shared" si="0"/>
        <v>2.5692142096998512E-4</v>
      </c>
      <c r="D43" s="147"/>
      <c r="E43" s="147"/>
      <c r="F43" s="147"/>
      <c r="G43" s="147"/>
      <c r="H43" s="147"/>
      <c r="I43" s="147"/>
      <c r="J43" s="147"/>
      <c r="K43" s="3"/>
      <c r="L43" s="3"/>
      <c r="M43" s="3"/>
      <c r="N43" s="3"/>
      <c r="O43" s="3"/>
      <c r="P43" s="3"/>
      <c r="Q43" s="3"/>
      <c r="R43" s="3"/>
      <c r="S43" s="3"/>
      <c r="T43" s="3"/>
      <c r="U43" s="3"/>
      <c r="V43" s="3"/>
      <c r="W43" s="3"/>
      <c r="X43" s="3"/>
      <c r="Y43" s="3"/>
      <c r="Z43" s="3"/>
    </row>
    <row r="44" spans="1:26" ht="22.5" customHeight="1" x14ac:dyDescent="0.85">
      <c r="A44" s="162" t="s">
        <v>406</v>
      </c>
      <c r="B44" s="158">
        <f>B119</f>
        <v>-111269</v>
      </c>
      <c r="C44" s="163" t="s">
        <v>106</v>
      </c>
      <c r="D44" s="147"/>
      <c r="E44" s="147"/>
      <c r="F44" s="147"/>
      <c r="G44" s="147"/>
      <c r="H44" s="147"/>
      <c r="I44" s="147"/>
      <c r="J44" s="147"/>
      <c r="K44" s="3"/>
      <c r="L44" s="3"/>
      <c r="M44" s="3"/>
      <c r="N44" s="3"/>
      <c r="O44" s="3"/>
      <c r="P44" s="3"/>
      <c r="Q44" s="3"/>
      <c r="R44" s="3"/>
      <c r="S44" s="3"/>
      <c r="T44" s="3"/>
      <c r="U44" s="3"/>
      <c r="V44" s="3"/>
      <c r="W44" s="3"/>
      <c r="X44" s="3"/>
      <c r="Y44" s="3"/>
      <c r="Z44" s="3"/>
    </row>
    <row r="45" spans="1:26" ht="22.5" customHeight="1" x14ac:dyDescent="0.85">
      <c r="A45" s="164" t="s">
        <v>101</v>
      </c>
      <c r="B45" s="155">
        <f t="shared" ref="B45:C45" si="10">SUM(B19:B43)</f>
        <v>1586226.7909026016</v>
      </c>
      <c r="C45" s="156">
        <f t="shared" si="10"/>
        <v>1</v>
      </c>
      <c r="D45" s="147"/>
      <c r="E45" s="147"/>
      <c r="F45" s="147"/>
      <c r="G45" s="147"/>
      <c r="H45" s="147"/>
      <c r="I45" s="147"/>
      <c r="J45" s="147"/>
      <c r="K45" s="3"/>
      <c r="L45" s="3"/>
      <c r="M45" s="3"/>
      <c r="N45" s="3"/>
      <c r="O45" s="3"/>
      <c r="P45" s="3"/>
      <c r="Q45" s="3"/>
      <c r="R45" s="3"/>
      <c r="S45" s="3"/>
      <c r="T45" s="3"/>
      <c r="U45" s="3"/>
      <c r="V45" s="3"/>
      <c r="W45" s="3"/>
      <c r="X45" s="3"/>
      <c r="Y45" s="3"/>
      <c r="Z45" s="3"/>
    </row>
    <row r="46" spans="1:26" ht="22.5" customHeight="1" x14ac:dyDescent="0.85">
      <c r="A46" s="164" t="s">
        <v>136</v>
      </c>
      <c r="B46" s="165">
        <f>B44</f>
        <v>-111269</v>
      </c>
      <c r="C46" s="156" t="s">
        <v>106</v>
      </c>
      <c r="D46" s="147"/>
      <c r="E46" s="147"/>
      <c r="F46" s="147"/>
      <c r="G46" s="147"/>
      <c r="H46" s="147"/>
      <c r="I46" s="147"/>
      <c r="J46" s="147"/>
      <c r="K46" s="3"/>
      <c r="L46" s="3"/>
      <c r="M46" s="3"/>
      <c r="N46" s="3"/>
      <c r="O46" s="3"/>
      <c r="P46" s="3"/>
      <c r="Q46" s="3"/>
      <c r="R46" s="3"/>
      <c r="S46" s="3"/>
      <c r="T46" s="3"/>
      <c r="U46" s="3"/>
      <c r="V46" s="3"/>
      <c r="W46" s="3"/>
      <c r="X46" s="3"/>
      <c r="Y46" s="3"/>
      <c r="Z46" s="3"/>
    </row>
    <row r="47" spans="1:26" ht="22.5" customHeight="1" x14ac:dyDescent="0.85">
      <c r="A47" s="164" t="s">
        <v>123</v>
      </c>
      <c r="B47" s="155">
        <f>B45+B46</f>
        <v>1474957.7909026016</v>
      </c>
      <c r="C47" s="156" t="s">
        <v>106</v>
      </c>
      <c r="D47" s="147"/>
      <c r="E47" s="147"/>
      <c r="F47" s="147"/>
      <c r="G47" s="147"/>
      <c r="H47" s="147"/>
      <c r="I47" s="147"/>
      <c r="J47" s="147"/>
      <c r="K47" s="3"/>
      <c r="L47" s="3"/>
      <c r="M47" s="3"/>
      <c r="N47" s="3"/>
      <c r="O47" s="3"/>
      <c r="P47" s="3"/>
      <c r="Q47" s="3"/>
      <c r="R47" s="3"/>
      <c r="S47" s="3"/>
      <c r="T47" s="3"/>
      <c r="U47" s="3"/>
      <c r="V47" s="3"/>
      <c r="W47" s="3"/>
      <c r="X47" s="3"/>
      <c r="Y47" s="3"/>
      <c r="Z47" s="3"/>
    </row>
    <row r="48" spans="1:26" ht="22.5" customHeight="1" x14ac:dyDescent="0.85">
      <c r="A48" s="166"/>
      <c r="B48" s="167"/>
      <c r="C48" s="167"/>
      <c r="D48" s="147"/>
      <c r="E48" s="147"/>
      <c r="F48" s="147"/>
      <c r="G48" s="147"/>
      <c r="H48" s="147"/>
      <c r="I48" s="147"/>
      <c r="J48" s="147"/>
      <c r="K48" s="3"/>
      <c r="L48" s="3"/>
      <c r="M48" s="3"/>
      <c r="N48" s="3"/>
      <c r="O48" s="3"/>
      <c r="P48" s="3"/>
      <c r="Q48" s="3"/>
      <c r="R48" s="3"/>
      <c r="S48" s="3"/>
      <c r="T48" s="3"/>
      <c r="U48" s="3"/>
      <c r="V48" s="3"/>
      <c r="W48" s="3"/>
      <c r="X48" s="3"/>
      <c r="Y48" s="3"/>
      <c r="Z48" s="3"/>
    </row>
    <row r="49" spans="1:26" ht="22.5" customHeight="1" x14ac:dyDescent="0.85">
      <c r="A49" s="144" t="s">
        <v>407</v>
      </c>
      <c r="B49" s="145"/>
      <c r="C49" s="145"/>
      <c r="D49" s="145"/>
      <c r="E49" s="145"/>
      <c r="F49" s="146"/>
      <c r="G49" s="147"/>
      <c r="H49" s="147"/>
      <c r="I49" s="147"/>
      <c r="J49" s="147"/>
      <c r="K49" s="147"/>
      <c r="L49" s="147"/>
      <c r="M49" s="3"/>
      <c r="N49" s="3"/>
      <c r="O49" s="3"/>
      <c r="P49" s="3"/>
      <c r="Q49" s="3"/>
      <c r="R49" s="3"/>
      <c r="S49" s="3"/>
      <c r="T49" s="3"/>
      <c r="U49" s="3"/>
      <c r="V49" s="3"/>
      <c r="W49" s="3"/>
      <c r="X49" s="3"/>
      <c r="Y49" s="3"/>
      <c r="Z49" s="3"/>
    </row>
    <row r="50" spans="1:26" ht="22.5" customHeight="1" x14ac:dyDescent="0.85">
      <c r="A50" s="168" t="s">
        <v>184</v>
      </c>
      <c r="B50" s="169"/>
      <c r="C50" s="169"/>
      <c r="D50" s="169"/>
      <c r="E50" s="169"/>
      <c r="F50" s="170"/>
      <c r="G50" s="147"/>
      <c r="H50" s="147"/>
      <c r="I50" s="147"/>
      <c r="J50" s="147"/>
      <c r="K50" s="147"/>
      <c r="L50" s="147"/>
      <c r="M50" s="3"/>
      <c r="N50" s="3"/>
      <c r="O50" s="3"/>
      <c r="P50" s="3"/>
      <c r="Q50" s="3"/>
      <c r="R50" s="3"/>
      <c r="S50" s="3"/>
      <c r="T50" s="3"/>
      <c r="U50" s="3"/>
      <c r="V50" s="3"/>
      <c r="W50" s="3"/>
      <c r="X50" s="3"/>
      <c r="Y50" s="3"/>
      <c r="Z50" s="3"/>
    </row>
    <row r="51" spans="1:26" ht="22.5" customHeight="1" x14ac:dyDescent="0.85">
      <c r="A51" s="171" t="s">
        <v>408</v>
      </c>
      <c r="B51" s="172"/>
      <c r="C51" s="172"/>
      <c r="D51" s="172"/>
      <c r="E51" s="172"/>
      <c r="F51" s="173"/>
      <c r="G51" s="147"/>
      <c r="H51" s="147"/>
      <c r="I51" s="147"/>
      <c r="J51" s="147"/>
      <c r="K51" s="3"/>
      <c r="L51" s="3"/>
      <c r="M51" s="3"/>
      <c r="N51" s="3"/>
      <c r="O51" s="3"/>
      <c r="P51" s="3"/>
      <c r="Q51" s="3"/>
      <c r="R51" s="3"/>
      <c r="S51" s="3"/>
      <c r="T51" s="3"/>
      <c r="U51" s="3"/>
      <c r="V51" s="3"/>
      <c r="W51" s="3"/>
      <c r="X51" s="3"/>
      <c r="Y51" s="3"/>
      <c r="Z51" s="3"/>
    </row>
    <row r="52" spans="1:26" ht="22.5" customHeight="1" x14ac:dyDescent="0.85">
      <c r="A52" s="130" t="s">
        <v>409</v>
      </c>
      <c r="B52" s="130" t="s">
        <v>410</v>
      </c>
      <c r="C52" s="174" t="s">
        <v>362</v>
      </c>
      <c r="D52" s="174" t="s">
        <v>117</v>
      </c>
      <c r="E52" s="174" t="s">
        <v>251</v>
      </c>
      <c r="F52" s="174" t="s">
        <v>362</v>
      </c>
      <c r="G52" s="147"/>
      <c r="H52" s="147"/>
      <c r="I52" s="147"/>
      <c r="J52" s="147"/>
      <c r="K52" s="3"/>
      <c r="L52" s="3"/>
      <c r="M52" s="3"/>
      <c r="N52" s="3"/>
      <c r="O52" s="3"/>
      <c r="P52" s="3"/>
      <c r="Q52" s="3"/>
      <c r="R52" s="3"/>
      <c r="S52" s="3"/>
      <c r="T52" s="3"/>
      <c r="U52" s="3"/>
      <c r="V52" s="3"/>
      <c r="W52" s="3"/>
      <c r="X52" s="3"/>
      <c r="Y52" s="3"/>
      <c r="Z52" s="3"/>
    </row>
    <row r="53" spans="1:26" ht="22.5" customHeight="1" x14ac:dyDescent="0.85">
      <c r="A53" s="175" t="s">
        <v>411</v>
      </c>
      <c r="B53" s="150">
        <f>'Energy Data'!D231</f>
        <v>89602.10867237809</v>
      </c>
      <c r="C53" s="176" t="s">
        <v>412</v>
      </c>
      <c r="D53" s="177">
        <v>1</v>
      </c>
      <c r="E53" s="178">
        <f>'Energy Data'!D227</f>
        <v>16869613.509000003</v>
      </c>
      <c r="F53" s="176" t="s">
        <v>413</v>
      </c>
      <c r="G53" s="147"/>
      <c r="H53" s="147"/>
      <c r="I53" s="147"/>
      <c r="J53" s="147"/>
      <c r="K53" s="3"/>
      <c r="L53" s="3"/>
      <c r="M53" s="3"/>
      <c r="N53" s="3"/>
      <c r="O53" s="3"/>
      <c r="P53" s="3"/>
      <c r="Q53" s="3"/>
      <c r="R53" s="3"/>
      <c r="S53" s="3"/>
      <c r="T53" s="3"/>
      <c r="U53" s="3"/>
      <c r="V53" s="3"/>
      <c r="W53" s="3"/>
      <c r="X53" s="3"/>
      <c r="Y53" s="3"/>
      <c r="Z53" s="3"/>
    </row>
    <row r="54" spans="1:26" ht="22.5" customHeight="1" x14ac:dyDescent="0.85">
      <c r="A54" s="13" t="s">
        <v>414</v>
      </c>
      <c r="B54" s="150">
        <f>'Energy Data'!D223</f>
        <v>179977.8069855631</v>
      </c>
      <c r="C54" s="176" t="s">
        <v>412</v>
      </c>
      <c r="D54" s="177">
        <v>1</v>
      </c>
      <c r="E54" s="178">
        <f>'Energy Data'!D219</f>
        <v>33884872.677999996</v>
      </c>
      <c r="F54" s="176" t="s">
        <v>413</v>
      </c>
      <c r="G54" s="147"/>
      <c r="H54" s="147"/>
      <c r="I54" s="147"/>
      <c r="J54" s="147"/>
      <c r="K54" s="3"/>
      <c r="L54" s="3"/>
      <c r="M54" s="3"/>
      <c r="N54" s="3"/>
      <c r="O54" s="3"/>
      <c r="P54" s="3"/>
      <c r="Q54" s="3"/>
      <c r="R54" s="3"/>
      <c r="S54" s="3"/>
      <c r="T54" s="3"/>
      <c r="U54" s="3"/>
      <c r="V54" s="3"/>
      <c r="W54" s="3"/>
      <c r="X54" s="3"/>
      <c r="Y54" s="3"/>
      <c r="Z54" s="3"/>
    </row>
    <row r="55" spans="1:26" ht="22.5" customHeight="1" x14ac:dyDescent="0.85">
      <c r="A55" s="13" t="s">
        <v>266</v>
      </c>
      <c r="B55" s="150">
        <f>'Energy Data'!D240</f>
        <v>0</v>
      </c>
      <c r="C55" s="176" t="s">
        <v>412</v>
      </c>
      <c r="D55" s="177">
        <v>1</v>
      </c>
      <c r="E55" s="178">
        <f>'Energy Data'!D236</f>
        <v>0</v>
      </c>
      <c r="F55" s="176" t="s">
        <v>415</v>
      </c>
      <c r="G55" s="147"/>
      <c r="H55" s="147"/>
      <c r="I55" s="147"/>
      <c r="J55" s="147"/>
      <c r="K55" s="3"/>
      <c r="L55" s="3"/>
      <c r="M55" s="3"/>
      <c r="N55" s="3"/>
      <c r="O55" s="3"/>
      <c r="P55" s="3"/>
      <c r="Q55" s="3"/>
      <c r="R55" s="3"/>
      <c r="S55" s="3"/>
      <c r="T55" s="3"/>
      <c r="U55" s="3"/>
      <c r="V55" s="3"/>
      <c r="W55" s="3"/>
      <c r="X55" s="3"/>
      <c r="Y55" s="3"/>
      <c r="Z55" s="3"/>
    </row>
    <row r="56" spans="1:26" ht="22.5" customHeight="1" x14ac:dyDescent="0.85">
      <c r="A56" s="13" t="s">
        <v>141</v>
      </c>
      <c r="B56" s="150">
        <f>'Energy Data'!D248+'Energy Data'!D256</f>
        <v>6104.6016522065584</v>
      </c>
      <c r="C56" s="176" t="s">
        <v>412</v>
      </c>
      <c r="D56" s="177">
        <v>1</v>
      </c>
      <c r="E56" s="178">
        <f>'Energy Data'!D244+'Energy Data'!D252</f>
        <v>1081513.2699453554</v>
      </c>
      <c r="F56" s="176" t="s">
        <v>416</v>
      </c>
      <c r="G56" s="147"/>
      <c r="H56" s="147"/>
      <c r="I56" s="147"/>
      <c r="J56" s="147"/>
      <c r="K56" s="3"/>
      <c r="L56" s="3"/>
      <c r="M56" s="3"/>
      <c r="N56" s="3"/>
      <c r="O56" s="3"/>
      <c r="P56" s="3"/>
      <c r="Q56" s="3"/>
      <c r="R56" s="3"/>
      <c r="S56" s="3"/>
      <c r="T56" s="3"/>
      <c r="U56" s="3"/>
      <c r="V56" s="3"/>
      <c r="W56" s="3"/>
      <c r="X56" s="3"/>
      <c r="Y56" s="3"/>
      <c r="Z56" s="3"/>
    </row>
    <row r="57" spans="1:26" ht="22.5" customHeight="1" x14ac:dyDescent="0.85">
      <c r="A57" s="13" t="s">
        <v>142</v>
      </c>
      <c r="B57" s="150">
        <f>'Energy Data'!D265</f>
        <v>24.822811999999999</v>
      </c>
      <c r="C57" s="179" t="s">
        <v>412</v>
      </c>
      <c r="D57" s="180">
        <v>1</v>
      </c>
      <c r="E57" s="178">
        <f>'Energy Data'!D261</f>
        <v>173443.20000000001</v>
      </c>
      <c r="F57" s="179" t="s">
        <v>417</v>
      </c>
      <c r="G57" s="147"/>
      <c r="H57" s="147"/>
      <c r="I57" s="147"/>
      <c r="J57" s="147"/>
      <c r="K57" s="3"/>
      <c r="L57" s="3"/>
      <c r="M57" s="3"/>
      <c r="N57" s="3"/>
      <c r="O57" s="3"/>
      <c r="P57" s="3"/>
      <c r="Q57" s="3"/>
      <c r="R57" s="3"/>
      <c r="S57" s="3"/>
      <c r="T57" s="3"/>
      <c r="U57" s="3"/>
      <c r="V57" s="3"/>
      <c r="W57" s="3"/>
      <c r="X57" s="3"/>
      <c r="Y57" s="3"/>
      <c r="Z57" s="3"/>
    </row>
    <row r="58" spans="1:26" ht="22.5" customHeight="1" x14ac:dyDescent="0.85">
      <c r="A58" s="181" t="s">
        <v>418</v>
      </c>
      <c r="B58" s="182">
        <f>SUM(B53:B57)</f>
        <v>275709.34012214775</v>
      </c>
      <c r="C58" s="183"/>
      <c r="D58" s="184"/>
      <c r="E58" s="184"/>
      <c r="F58" s="185"/>
      <c r="G58" s="147"/>
      <c r="H58" s="147"/>
      <c r="I58" s="147"/>
      <c r="J58" s="147"/>
      <c r="K58" s="3"/>
      <c r="L58" s="3"/>
      <c r="M58" s="3"/>
      <c r="N58" s="3"/>
      <c r="O58" s="3"/>
      <c r="P58" s="3"/>
      <c r="Q58" s="3"/>
      <c r="R58" s="3"/>
      <c r="S58" s="3"/>
      <c r="T58" s="3"/>
      <c r="U58" s="3"/>
      <c r="V58" s="3"/>
      <c r="W58" s="3"/>
      <c r="X58" s="3"/>
      <c r="Y58" s="3"/>
      <c r="Z58" s="3"/>
    </row>
    <row r="59" spans="1:26" ht="22.5" customHeight="1" x14ac:dyDescent="0.85">
      <c r="A59" s="171" t="s">
        <v>419</v>
      </c>
      <c r="B59" s="172"/>
      <c r="C59" s="172"/>
      <c r="D59" s="172"/>
      <c r="E59" s="172"/>
      <c r="F59" s="173"/>
      <c r="G59" s="147"/>
      <c r="H59" s="147"/>
      <c r="I59" s="147"/>
      <c r="J59" s="147"/>
      <c r="K59" s="3"/>
      <c r="L59" s="3"/>
      <c r="M59" s="3"/>
      <c r="N59" s="3"/>
      <c r="O59" s="3"/>
      <c r="P59" s="3"/>
      <c r="Q59" s="3"/>
      <c r="R59" s="3"/>
      <c r="S59" s="3"/>
      <c r="T59" s="3"/>
      <c r="U59" s="3"/>
      <c r="V59" s="3"/>
      <c r="W59" s="3"/>
      <c r="X59" s="3"/>
      <c r="Y59" s="3"/>
      <c r="Z59" s="3"/>
    </row>
    <row r="60" spans="1:26" ht="22.5" customHeight="1" x14ac:dyDescent="0.85">
      <c r="A60" s="130" t="s">
        <v>409</v>
      </c>
      <c r="B60" s="130" t="s">
        <v>410</v>
      </c>
      <c r="C60" s="174" t="s">
        <v>362</v>
      </c>
      <c r="D60" s="174" t="s">
        <v>117</v>
      </c>
      <c r="E60" s="174" t="s">
        <v>251</v>
      </c>
      <c r="F60" s="174" t="s">
        <v>362</v>
      </c>
      <c r="G60" s="147"/>
      <c r="H60" s="147"/>
      <c r="I60" s="147"/>
      <c r="J60" s="147"/>
      <c r="K60" s="3"/>
      <c r="L60" s="3"/>
      <c r="M60" s="3"/>
      <c r="N60" s="3"/>
      <c r="O60" s="3"/>
      <c r="P60" s="3"/>
      <c r="Q60" s="3"/>
      <c r="R60" s="3"/>
      <c r="S60" s="3"/>
      <c r="T60" s="3"/>
      <c r="U60" s="3"/>
      <c r="V60" s="3"/>
      <c r="W60" s="3"/>
      <c r="X60" s="3"/>
      <c r="Y60" s="3"/>
      <c r="Z60" s="3"/>
    </row>
    <row r="61" spans="1:26" ht="22.5" customHeight="1" x14ac:dyDescent="0.85">
      <c r="A61" s="13" t="s">
        <v>420</v>
      </c>
      <c r="B61" s="150">
        <f>SUM('Energy Data'!D87,'Energy Data'!D117)</f>
        <v>90117.111065468751</v>
      </c>
      <c r="C61" s="176" t="s">
        <v>412</v>
      </c>
      <c r="D61" s="177">
        <v>2</v>
      </c>
      <c r="E61" s="150">
        <f>'Energy Data'!D83+'Energy Data'!D113</f>
        <v>313661668.55299997</v>
      </c>
      <c r="F61" s="176" t="s">
        <v>421</v>
      </c>
      <c r="G61" s="147"/>
      <c r="H61" s="147"/>
      <c r="I61" s="147"/>
      <c r="J61" s="147"/>
      <c r="K61" s="3"/>
      <c r="L61" s="3"/>
      <c r="M61" s="3"/>
      <c r="N61" s="3"/>
      <c r="O61" s="3"/>
      <c r="P61" s="3"/>
      <c r="Q61" s="3"/>
      <c r="R61" s="3"/>
      <c r="S61" s="3"/>
      <c r="T61" s="3"/>
      <c r="U61" s="3"/>
      <c r="V61" s="3"/>
      <c r="W61" s="3"/>
      <c r="X61" s="3"/>
      <c r="Y61" s="3"/>
      <c r="Z61" s="3"/>
    </row>
    <row r="62" spans="1:26" ht="22.5" customHeight="1" x14ac:dyDescent="0.85">
      <c r="A62" s="13" t="s">
        <v>422</v>
      </c>
      <c r="B62" s="150">
        <f>SUM('Energy Data'!D78,'Energy Data'!D110)</f>
        <v>124605.00611494257</v>
      </c>
      <c r="C62" s="176" t="s">
        <v>412</v>
      </c>
      <c r="D62" s="177">
        <v>2</v>
      </c>
      <c r="E62" s="150">
        <f>'Energy Data'!D106+'Energy Data'!D74</f>
        <v>442282368.56700003</v>
      </c>
      <c r="F62" s="176" t="s">
        <v>421</v>
      </c>
      <c r="G62" s="147"/>
      <c r="H62" s="147"/>
      <c r="I62" s="147"/>
      <c r="J62" s="147"/>
      <c r="K62" s="3"/>
      <c r="L62" s="3"/>
      <c r="M62" s="3"/>
      <c r="N62" s="3"/>
      <c r="O62" s="3"/>
      <c r="P62" s="3"/>
      <c r="Q62" s="3"/>
      <c r="R62" s="3"/>
      <c r="S62" s="3"/>
      <c r="T62" s="3"/>
      <c r="U62" s="3"/>
      <c r="V62" s="3"/>
      <c r="W62" s="3"/>
      <c r="X62" s="3"/>
      <c r="Y62" s="3"/>
      <c r="Z62" s="3"/>
    </row>
    <row r="63" spans="1:26" ht="22.5" customHeight="1" x14ac:dyDescent="0.85">
      <c r="A63" s="13" t="s">
        <v>423</v>
      </c>
      <c r="B63" s="150">
        <f>SUM('Energy Data'!D94)</f>
        <v>4839.2016002582386</v>
      </c>
      <c r="C63" s="179" t="s">
        <v>412</v>
      </c>
      <c r="D63" s="180">
        <v>2</v>
      </c>
      <c r="E63" s="150">
        <f>'Energy Data'!D90</f>
        <v>18699399.43</v>
      </c>
      <c r="F63" s="179" t="s">
        <v>421</v>
      </c>
      <c r="G63" s="147"/>
      <c r="H63" s="147"/>
      <c r="I63" s="147"/>
      <c r="J63" s="147"/>
      <c r="K63" s="3"/>
      <c r="L63" s="3"/>
      <c r="M63" s="3"/>
      <c r="N63" s="3"/>
      <c r="O63" s="3"/>
      <c r="P63" s="3"/>
      <c r="Q63" s="3"/>
      <c r="R63" s="3"/>
      <c r="S63" s="3"/>
      <c r="T63" s="3"/>
      <c r="U63" s="3"/>
      <c r="V63" s="3"/>
      <c r="W63" s="3"/>
      <c r="X63" s="3"/>
      <c r="Y63" s="3"/>
      <c r="Z63" s="3"/>
    </row>
    <row r="64" spans="1:26" ht="22.5" customHeight="1" x14ac:dyDescent="0.85">
      <c r="A64" s="181" t="s">
        <v>424</v>
      </c>
      <c r="B64" s="182">
        <f>SUM(B61:B63)</f>
        <v>219561.31878066956</v>
      </c>
      <c r="C64" s="183"/>
      <c r="D64" s="184"/>
      <c r="E64" s="184"/>
      <c r="F64" s="185"/>
      <c r="G64" s="147"/>
      <c r="H64" s="147"/>
      <c r="I64" s="147"/>
      <c r="J64" s="147"/>
      <c r="K64" s="3"/>
      <c r="L64" s="3"/>
      <c r="M64" s="3"/>
      <c r="N64" s="3"/>
      <c r="O64" s="3"/>
      <c r="P64" s="3"/>
      <c r="Q64" s="3"/>
      <c r="R64" s="3"/>
      <c r="S64" s="3"/>
      <c r="T64" s="3"/>
      <c r="U64" s="3"/>
      <c r="V64" s="3"/>
      <c r="W64" s="3"/>
      <c r="X64" s="3"/>
      <c r="Y64" s="3"/>
      <c r="Z64" s="3"/>
    </row>
    <row r="65" spans="1:26" ht="22.5" customHeight="1" x14ac:dyDescent="0.85">
      <c r="A65" s="171" t="s">
        <v>425</v>
      </c>
      <c r="B65" s="172"/>
      <c r="C65" s="172"/>
      <c r="D65" s="172"/>
      <c r="E65" s="172"/>
      <c r="F65" s="173"/>
      <c r="G65" s="147"/>
      <c r="H65" s="147"/>
      <c r="I65" s="147"/>
      <c r="J65" s="147"/>
      <c r="K65" s="3"/>
      <c r="L65" s="3"/>
      <c r="M65" s="3"/>
      <c r="N65" s="3"/>
      <c r="O65" s="3"/>
      <c r="P65" s="3"/>
      <c r="Q65" s="3"/>
      <c r="R65" s="3"/>
      <c r="S65" s="3"/>
      <c r="T65" s="3"/>
      <c r="U65" s="3"/>
      <c r="V65" s="3"/>
      <c r="W65" s="3"/>
      <c r="X65" s="3"/>
      <c r="Y65" s="3"/>
      <c r="Z65" s="3"/>
    </row>
    <row r="66" spans="1:26" ht="22.5" customHeight="1" x14ac:dyDescent="0.85">
      <c r="A66" s="130" t="s">
        <v>409</v>
      </c>
      <c r="B66" s="130" t="s">
        <v>410</v>
      </c>
      <c r="C66" s="174" t="s">
        <v>362</v>
      </c>
      <c r="D66" s="174" t="s">
        <v>117</v>
      </c>
      <c r="E66" s="174" t="s">
        <v>251</v>
      </c>
      <c r="F66" s="174" t="s">
        <v>362</v>
      </c>
      <c r="G66" s="147"/>
      <c r="H66" s="147"/>
      <c r="I66" s="147"/>
      <c r="J66" s="147"/>
      <c r="K66" s="3"/>
      <c r="L66" s="3"/>
      <c r="M66" s="3"/>
      <c r="N66" s="3"/>
      <c r="O66" s="3"/>
      <c r="P66" s="3"/>
      <c r="Q66" s="3"/>
      <c r="R66" s="3"/>
      <c r="S66" s="3"/>
      <c r="T66" s="3"/>
      <c r="U66" s="3"/>
      <c r="V66" s="3"/>
      <c r="W66" s="3"/>
      <c r="X66" s="3"/>
      <c r="Y66" s="3"/>
      <c r="Z66" s="3"/>
    </row>
    <row r="67" spans="1:26" ht="22.5" customHeight="1" x14ac:dyDescent="0.85">
      <c r="A67" s="13" t="s">
        <v>426</v>
      </c>
      <c r="B67" s="150">
        <f>'Energy Data'!F6</f>
        <v>6173.5146888523595</v>
      </c>
      <c r="C67" s="176" t="s">
        <v>412</v>
      </c>
      <c r="D67" s="177">
        <v>3</v>
      </c>
      <c r="E67" s="150">
        <f>SUM('Energy Data'!D97,'Energy Data'!D120,'Energy Data'!D150)</f>
        <v>21205079.777285092</v>
      </c>
      <c r="F67" s="176" t="s">
        <v>421</v>
      </c>
      <c r="G67" s="147"/>
      <c r="H67" s="147"/>
      <c r="I67" s="147"/>
      <c r="J67" s="147"/>
      <c r="K67" s="3"/>
      <c r="L67" s="3"/>
      <c r="M67" s="3"/>
      <c r="N67" s="3"/>
      <c r="O67" s="3"/>
      <c r="P67" s="3"/>
      <c r="Q67" s="3"/>
      <c r="R67" s="3"/>
      <c r="S67" s="3"/>
      <c r="T67" s="3"/>
      <c r="U67" s="3"/>
      <c r="V67" s="3"/>
      <c r="W67" s="3"/>
      <c r="X67" s="3"/>
      <c r="Y67" s="3"/>
      <c r="Z67" s="3"/>
    </row>
    <row r="68" spans="1:26" ht="22.5" customHeight="1" x14ac:dyDescent="0.85">
      <c r="A68" s="181" t="s">
        <v>427</v>
      </c>
      <c r="B68" s="182">
        <f>B67</f>
        <v>6173.5146888523595</v>
      </c>
      <c r="C68" s="183"/>
      <c r="D68" s="184"/>
      <c r="E68" s="184"/>
      <c r="F68" s="185"/>
      <c r="G68" s="147"/>
      <c r="H68" s="147"/>
      <c r="I68" s="147"/>
      <c r="J68" s="147"/>
      <c r="K68" s="3"/>
      <c r="L68" s="3"/>
      <c r="M68" s="3"/>
      <c r="N68" s="3"/>
      <c r="O68" s="3"/>
      <c r="P68" s="3"/>
      <c r="Q68" s="3"/>
      <c r="R68" s="3"/>
      <c r="S68" s="3"/>
      <c r="T68" s="3"/>
      <c r="U68" s="3"/>
      <c r="V68" s="3"/>
      <c r="W68" s="3"/>
      <c r="X68" s="3"/>
      <c r="Y68" s="3"/>
      <c r="Z68" s="3"/>
    </row>
    <row r="69" spans="1:26" ht="22.5" customHeight="1" x14ac:dyDescent="0.85">
      <c r="A69" s="171" t="s">
        <v>428</v>
      </c>
      <c r="B69" s="172"/>
      <c r="C69" s="172"/>
      <c r="D69" s="172"/>
      <c r="E69" s="172"/>
      <c r="F69" s="173"/>
      <c r="G69" s="147"/>
      <c r="H69" s="147"/>
      <c r="I69" s="147"/>
      <c r="J69" s="147"/>
      <c r="K69" s="3"/>
      <c r="L69" s="3"/>
      <c r="M69" s="3"/>
      <c r="N69" s="3"/>
      <c r="O69" s="3"/>
      <c r="P69" s="3"/>
      <c r="Q69" s="3"/>
      <c r="R69" s="3"/>
      <c r="S69" s="3"/>
      <c r="T69" s="3"/>
      <c r="U69" s="3"/>
      <c r="V69" s="3"/>
      <c r="W69" s="3"/>
      <c r="X69" s="3"/>
      <c r="Y69" s="3"/>
      <c r="Z69" s="3"/>
    </row>
    <row r="70" spans="1:26" ht="22.5" customHeight="1" x14ac:dyDescent="0.85">
      <c r="A70" s="130" t="s">
        <v>409</v>
      </c>
      <c r="B70" s="130" t="s">
        <v>410</v>
      </c>
      <c r="C70" s="174" t="s">
        <v>362</v>
      </c>
      <c r="D70" s="174" t="s">
        <v>117</v>
      </c>
      <c r="E70" s="174" t="s">
        <v>251</v>
      </c>
      <c r="F70" s="174" t="s">
        <v>362</v>
      </c>
      <c r="G70" s="147"/>
      <c r="H70" s="147"/>
      <c r="I70" s="147"/>
      <c r="J70" s="147"/>
      <c r="K70" s="3"/>
      <c r="L70" s="3"/>
      <c r="M70" s="3"/>
      <c r="N70" s="3"/>
      <c r="O70" s="3"/>
      <c r="P70" s="3"/>
      <c r="Q70" s="3"/>
      <c r="R70" s="3"/>
      <c r="S70" s="3"/>
      <c r="T70" s="3"/>
      <c r="U70" s="3"/>
      <c r="V70" s="3"/>
      <c r="W70" s="3"/>
      <c r="X70" s="3"/>
      <c r="Y70" s="3"/>
      <c r="Z70" s="3"/>
    </row>
    <row r="71" spans="1:26" ht="22.5" customHeight="1" x14ac:dyDescent="0.85">
      <c r="A71" s="175" t="s">
        <v>429</v>
      </c>
      <c r="B71" s="150">
        <f>'Fugitive Emissions Data'!D30</f>
        <v>2918.0145307209377</v>
      </c>
      <c r="C71" s="176" t="s">
        <v>412</v>
      </c>
      <c r="D71" s="177">
        <v>1</v>
      </c>
      <c r="E71" s="178">
        <f>'Fugitive Emissions Data'!D24</f>
        <v>16869613.509000003</v>
      </c>
      <c r="F71" s="176" t="s">
        <v>413</v>
      </c>
      <c r="G71" s="147"/>
      <c r="H71" s="147"/>
      <c r="I71" s="147"/>
      <c r="J71" s="147"/>
      <c r="K71" s="3"/>
      <c r="L71" s="3"/>
      <c r="M71" s="3"/>
      <c r="N71" s="3"/>
      <c r="O71" s="3"/>
      <c r="P71" s="3"/>
      <c r="Q71" s="3"/>
      <c r="R71" s="3"/>
      <c r="S71" s="3"/>
      <c r="T71" s="3"/>
      <c r="U71" s="3"/>
      <c r="V71" s="3"/>
      <c r="W71" s="3"/>
      <c r="X71" s="3"/>
      <c r="Y71" s="3"/>
      <c r="Z71" s="3"/>
    </row>
    <row r="72" spans="1:26" ht="22.5" customHeight="1" x14ac:dyDescent="0.85">
      <c r="A72" s="175" t="s">
        <v>430</v>
      </c>
      <c r="B72" s="150">
        <f>'Fugitive Emissions Data'!D31</f>
        <v>5861.2220602020234</v>
      </c>
      <c r="C72" s="179" t="s">
        <v>412</v>
      </c>
      <c r="D72" s="180">
        <v>1</v>
      </c>
      <c r="E72" s="178">
        <f>'Fugitive Emissions Data'!D25</f>
        <v>33884872.677999996</v>
      </c>
      <c r="F72" s="179" t="s">
        <v>413</v>
      </c>
      <c r="G72" s="147"/>
      <c r="H72" s="147"/>
      <c r="I72" s="147"/>
      <c r="J72" s="147"/>
      <c r="K72" s="3"/>
      <c r="L72" s="3"/>
      <c r="M72" s="3"/>
      <c r="N72" s="3"/>
      <c r="O72" s="3"/>
      <c r="P72" s="3"/>
      <c r="Q72" s="3"/>
      <c r="R72" s="3"/>
      <c r="S72" s="3"/>
      <c r="T72" s="3"/>
      <c r="U72" s="3"/>
      <c r="V72" s="3"/>
      <c r="W72" s="3"/>
      <c r="X72" s="3"/>
      <c r="Y72" s="3"/>
      <c r="Z72" s="3"/>
    </row>
    <row r="73" spans="1:26" ht="22.5" customHeight="1" x14ac:dyDescent="0.85">
      <c r="A73" s="181" t="s">
        <v>431</v>
      </c>
      <c r="B73" s="182">
        <f>SUM(B71:B72)</f>
        <v>8779.2365909229611</v>
      </c>
      <c r="C73" s="183"/>
      <c r="D73" s="184"/>
      <c r="E73" s="184"/>
      <c r="F73" s="185"/>
      <c r="G73" s="147"/>
      <c r="H73" s="147"/>
      <c r="I73" s="147"/>
      <c r="J73" s="147"/>
      <c r="K73" s="3"/>
      <c r="L73" s="3"/>
      <c r="M73" s="3"/>
      <c r="N73" s="3"/>
      <c r="O73" s="3"/>
      <c r="P73" s="3"/>
      <c r="Q73" s="3"/>
      <c r="R73" s="3"/>
      <c r="S73" s="3"/>
      <c r="T73" s="3"/>
      <c r="U73" s="3"/>
      <c r="V73" s="3"/>
      <c r="W73" s="3"/>
      <c r="X73" s="3"/>
      <c r="Y73" s="3"/>
      <c r="Z73" s="3"/>
    </row>
    <row r="74" spans="1:26" ht="22.5" customHeight="1" x14ac:dyDescent="0.85">
      <c r="A74" s="186" t="s">
        <v>432</v>
      </c>
      <c r="B74" s="187">
        <f>SUM(B53,B55,B54,B56,B57,B61,B62,B63,B67,B71,B72)</f>
        <v>510223.41018259263</v>
      </c>
      <c r="C74" s="188"/>
      <c r="D74" s="189"/>
      <c r="E74" s="189"/>
      <c r="F74" s="190"/>
      <c r="G74" s="147"/>
      <c r="H74" s="147"/>
      <c r="I74" s="147"/>
      <c r="J74" s="147"/>
      <c r="K74" s="3"/>
      <c r="L74" s="3"/>
      <c r="M74" s="3"/>
      <c r="N74" s="3"/>
      <c r="O74" s="3"/>
      <c r="P74" s="3"/>
      <c r="Q74" s="3"/>
      <c r="R74" s="3"/>
      <c r="S74" s="3"/>
      <c r="T74" s="3"/>
      <c r="U74" s="3"/>
      <c r="V74" s="3"/>
      <c r="W74" s="3"/>
      <c r="X74" s="3"/>
      <c r="Y74" s="3"/>
      <c r="Z74" s="3"/>
    </row>
    <row r="75" spans="1:26" ht="22.5" customHeight="1" x14ac:dyDescent="0.85">
      <c r="A75" s="191" t="s">
        <v>131</v>
      </c>
      <c r="B75" s="192"/>
      <c r="C75" s="193"/>
      <c r="D75" s="193"/>
      <c r="E75" s="193"/>
      <c r="F75" s="194"/>
      <c r="G75" s="147"/>
      <c r="H75" s="147"/>
      <c r="I75" s="147"/>
      <c r="J75" s="147"/>
      <c r="K75" s="147"/>
      <c r="L75" s="147"/>
      <c r="M75" s="3"/>
      <c r="N75" s="3"/>
      <c r="O75" s="3"/>
      <c r="P75" s="3"/>
      <c r="Q75" s="3"/>
      <c r="R75" s="3"/>
      <c r="S75" s="3"/>
      <c r="T75" s="3"/>
      <c r="U75" s="3"/>
      <c r="V75" s="3"/>
      <c r="W75" s="3"/>
      <c r="X75" s="3"/>
      <c r="Y75" s="3"/>
      <c r="Z75" s="3"/>
    </row>
    <row r="76" spans="1:26" ht="22.5" customHeight="1" x14ac:dyDescent="0.85">
      <c r="A76" s="171" t="s">
        <v>433</v>
      </c>
      <c r="B76" s="172"/>
      <c r="C76" s="172"/>
      <c r="D76" s="172"/>
      <c r="E76" s="172"/>
      <c r="F76" s="173"/>
      <c r="G76" s="147"/>
      <c r="H76" s="147"/>
      <c r="I76" s="147"/>
      <c r="J76" s="147"/>
      <c r="K76" s="3"/>
      <c r="L76" s="3"/>
      <c r="M76" s="3"/>
      <c r="N76" s="3"/>
      <c r="O76" s="3"/>
      <c r="P76" s="3"/>
      <c r="Q76" s="3"/>
      <c r="R76" s="3"/>
      <c r="S76" s="3"/>
      <c r="T76" s="3"/>
      <c r="U76" s="3"/>
      <c r="V76" s="3"/>
      <c r="W76" s="3"/>
      <c r="X76" s="3"/>
      <c r="Y76" s="3"/>
      <c r="Z76" s="3"/>
    </row>
    <row r="77" spans="1:26" ht="22.5" customHeight="1" x14ac:dyDescent="0.85">
      <c r="A77" s="130" t="s">
        <v>409</v>
      </c>
      <c r="B77" s="130" t="s">
        <v>410</v>
      </c>
      <c r="C77" s="174" t="s">
        <v>362</v>
      </c>
      <c r="D77" s="174" t="s">
        <v>117</v>
      </c>
      <c r="E77" s="174" t="s">
        <v>251</v>
      </c>
      <c r="F77" s="174" t="s">
        <v>362</v>
      </c>
      <c r="G77" s="147"/>
      <c r="H77" s="147"/>
      <c r="I77" s="147"/>
      <c r="J77" s="147"/>
      <c r="K77" s="3"/>
      <c r="L77" s="3"/>
      <c r="M77" s="3"/>
      <c r="N77" s="3"/>
      <c r="O77" s="3"/>
      <c r="P77" s="3"/>
      <c r="Q77" s="3"/>
      <c r="R77" s="3"/>
      <c r="S77" s="3"/>
      <c r="T77" s="3"/>
      <c r="U77" s="3"/>
      <c r="V77" s="3"/>
      <c r="W77" s="3"/>
      <c r="X77" s="3"/>
      <c r="Y77" s="3"/>
      <c r="Z77" s="3"/>
    </row>
    <row r="78" spans="1:26" ht="22.5" customHeight="1" x14ac:dyDescent="0.85">
      <c r="A78" s="175" t="s">
        <v>434</v>
      </c>
      <c r="B78" s="150">
        <f>'On-Road Data'!D6</f>
        <v>616620.66545622272</v>
      </c>
      <c r="C78" s="176" t="s">
        <v>412</v>
      </c>
      <c r="D78" s="176">
        <v>1</v>
      </c>
      <c r="E78" s="178">
        <f>'On-Road Data'!C94</f>
        <v>1364448115.3527431</v>
      </c>
      <c r="F78" s="176" t="s">
        <v>435</v>
      </c>
      <c r="G78" s="147"/>
      <c r="H78" s="147"/>
      <c r="I78" s="147"/>
      <c r="J78" s="147"/>
      <c r="K78" s="3"/>
      <c r="L78" s="3"/>
      <c r="M78" s="3"/>
      <c r="N78" s="3"/>
      <c r="O78" s="3"/>
      <c r="P78" s="3"/>
      <c r="Q78" s="3"/>
      <c r="R78" s="3"/>
      <c r="S78" s="3"/>
      <c r="T78" s="3"/>
      <c r="U78" s="3"/>
      <c r="V78" s="3"/>
      <c r="W78" s="3"/>
      <c r="X78" s="3"/>
      <c r="Y78" s="3"/>
      <c r="Z78" s="3"/>
    </row>
    <row r="79" spans="1:26" ht="22.5" customHeight="1" x14ac:dyDescent="0.85">
      <c r="A79" s="175" t="s">
        <v>436</v>
      </c>
      <c r="B79" s="150">
        <f>'On-Road Data'!E6</f>
        <v>1857.6409553284582</v>
      </c>
      <c r="C79" s="176" t="s">
        <v>412</v>
      </c>
      <c r="D79" s="176">
        <v>2</v>
      </c>
      <c r="E79" s="178">
        <f>'On-Road Data'!E146+'On-Road Data'!F146</f>
        <v>6558808.7599999998</v>
      </c>
      <c r="F79" s="176" t="s">
        <v>421</v>
      </c>
      <c r="G79" s="147"/>
      <c r="H79" s="147"/>
      <c r="I79" s="147"/>
      <c r="J79" s="147"/>
      <c r="K79" s="3"/>
      <c r="L79" s="3"/>
      <c r="M79" s="3"/>
      <c r="N79" s="3"/>
      <c r="O79" s="3"/>
      <c r="P79" s="3"/>
      <c r="Q79" s="3"/>
      <c r="R79" s="3"/>
      <c r="S79" s="3"/>
      <c r="T79" s="3"/>
      <c r="U79" s="3"/>
      <c r="V79" s="3"/>
      <c r="W79" s="3"/>
      <c r="X79" s="3"/>
      <c r="Y79" s="3"/>
      <c r="Z79" s="3"/>
    </row>
    <row r="80" spans="1:26" ht="22.5" customHeight="1" x14ac:dyDescent="0.85">
      <c r="A80" s="175" t="s">
        <v>437</v>
      </c>
      <c r="B80" s="150">
        <f>'On-Road Data'!F6</f>
        <v>50.842088241805953</v>
      </c>
      <c r="C80" s="176" t="s">
        <v>412</v>
      </c>
      <c r="D80" s="176">
        <v>3</v>
      </c>
      <c r="E80" s="178">
        <f>'On-Road Data'!I146</f>
        <v>179509.14183956967</v>
      </c>
      <c r="F80" s="176" t="s">
        <v>421</v>
      </c>
      <c r="G80" s="147"/>
      <c r="H80" s="147"/>
      <c r="I80" s="147"/>
      <c r="J80" s="147"/>
      <c r="K80" s="3"/>
      <c r="L80" s="3"/>
      <c r="M80" s="3"/>
      <c r="N80" s="3"/>
      <c r="O80" s="3"/>
      <c r="P80" s="3"/>
      <c r="Q80" s="3"/>
      <c r="R80" s="3"/>
      <c r="S80" s="3"/>
      <c r="T80" s="3"/>
      <c r="U80" s="3"/>
      <c r="V80" s="3"/>
      <c r="W80" s="3"/>
      <c r="X80" s="3"/>
      <c r="Y80" s="3"/>
      <c r="Z80" s="3"/>
    </row>
    <row r="81" spans="1:26" ht="22.5" customHeight="1" x14ac:dyDescent="0.85">
      <c r="A81" s="171" t="s">
        <v>292</v>
      </c>
      <c r="B81" s="172"/>
      <c r="C81" s="172"/>
      <c r="D81" s="172"/>
      <c r="E81" s="172"/>
      <c r="F81" s="173"/>
      <c r="G81" s="147"/>
      <c r="H81" s="147"/>
      <c r="I81" s="147"/>
      <c r="J81" s="147"/>
      <c r="K81" s="3"/>
      <c r="L81" s="3"/>
      <c r="M81" s="3"/>
      <c r="N81" s="3"/>
      <c r="O81" s="3"/>
      <c r="P81" s="3"/>
      <c r="Q81" s="3"/>
      <c r="R81" s="3"/>
      <c r="S81" s="3"/>
      <c r="T81" s="3"/>
      <c r="U81" s="3"/>
      <c r="V81" s="3"/>
      <c r="W81" s="3"/>
      <c r="X81" s="3"/>
      <c r="Y81" s="3"/>
      <c r="Z81" s="3"/>
    </row>
    <row r="82" spans="1:26" ht="22.5" customHeight="1" x14ac:dyDescent="0.85">
      <c r="A82" s="130" t="s">
        <v>409</v>
      </c>
      <c r="B82" s="130" t="s">
        <v>410</v>
      </c>
      <c r="C82" s="174" t="s">
        <v>362</v>
      </c>
      <c r="D82" s="174" t="s">
        <v>117</v>
      </c>
      <c r="E82" s="174" t="s">
        <v>251</v>
      </c>
      <c r="F82" s="174" t="s">
        <v>362</v>
      </c>
      <c r="G82" s="147"/>
      <c r="H82" s="147"/>
      <c r="I82" s="147"/>
      <c r="J82" s="147"/>
      <c r="K82" s="3"/>
      <c r="L82" s="3"/>
      <c r="M82" s="3"/>
      <c r="N82" s="3"/>
      <c r="O82" s="3"/>
      <c r="P82" s="3"/>
      <c r="Q82" s="3"/>
      <c r="R82" s="3"/>
      <c r="S82" s="3"/>
      <c r="T82" s="3"/>
      <c r="U82" s="3"/>
      <c r="V82" s="3"/>
      <c r="W82" s="3"/>
      <c r="X82" s="3"/>
      <c r="Y82" s="3"/>
      <c r="Z82" s="3"/>
    </row>
    <row r="83" spans="1:26" ht="22.5" customHeight="1" x14ac:dyDescent="0.85">
      <c r="A83" s="175" t="s">
        <v>438</v>
      </c>
      <c r="B83" s="150">
        <f>'Transit Data'!D6</f>
        <v>597.66495907857188</v>
      </c>
      <c r="C83" s="176" t="s">
        <v>412</v>
      </c>
      <c r="D83" s="176">
        <v>1</v>
      </c>
      <c r="E83" s="150">
        <f>SUM('Transit Data'!B55,'Transit Data'!B62)</f>
        <v>62317</v>
      </c>
      <c r="F83" s="176" t="s">
        <v>439</v>
      </c>
      <c r="G83" s="147"/>
      <c r="H83" s="147"/>
      <c r="I83" s="147"/>
      <c r="J83" s="147"/>
      <c r="K83" s="3"/>
      <c r="L83" s="3"/>
      <c r="M83" s="3"/>
      <c r="N83" s="3"/>
      <c r="O83" s="3"/>
      <c r="P83" s="3"/>
      <c r="Q83" s="3"/>
      <c r="R83" s="3"/>
      <c r="S83" s="3"/>
      <c r="T83" s="3"/>
      <c r="U83" s="3"/>
      <c r="V83" s="3"/>
      <c r="W83" s="3"/>
      <c r="X83" s="3"/>
      <c r="Y83" s="3"/>
      <c r="Z83" s="3"/>
    </row>
    <row r="84" spans="1:26" ht="22.5" customHeight="1" x14ac:dyDescent="0.85">
      <c r="A84" s="175" t="s">
        <v>440</v>
      </c>
      <c r="B84" s="150">
        <f>'Transit Data'!E6</f>
        <v>0</v>
      </c>
      <c r="C84" s="176" t="s">
        <v>412</v>
      </c>
      <c r="D84" s="176">
        <v>2</v>
      </c>
      <c r="E84" s="150">
        <v>0</v>
      </c>
      <c r="F84" s="176" t="s">
        <v>421</v>
      </c>
      <c r="G84" s="147"/>
      <c r="H84" s="147"/>
      <c r="I84" s="147"/>
      <c r="J84" s="147"/>
      <c r="K84" s="3"/>
      <c r="L84" s="3"/>
      <c r="M84" s="3"/>
      <c r="N84" s="3"/>
      <c r="O84" s="3"/>
      <c r="P84" s="3"/>
      <c r="Q84" s="3"/>
      <c r="R84" s="3"/>
      <c r="S84" s="3"/>
      <c r="T84" s="3"/>
      <c r="U84" s="3"/>
      <c r="V84" s="3"/>
      <c r="W84" s="3"/>
      <c r="X84" s="3"/>
      <c r="Y84" s="3"/>
      <c r="Z84" s="3"/>
    </row>
    <row r="85" spans="1:26" ht="22.5" customHeight="1" x14ac:dyDescent="0.85">
      <c r="A85" s="171" t="s">
        <v>299</v>
      </c>
      <c r="B85" s="172"/>
      <c r="C85" s="172"/>
      <c r="D85" s="172"/>
      <c r="E85" s="172"/>
      <c r="F85" s="173"/>
      <c r="G85" s="147"/>
      <c r="H85" s="147"/>
      <c r="I85" s="147"/>
      <c r="J85" s="147"/>
      <c r="K85" s="3"/>
      <c r="L85" s="3"/>
      <c r="M85" s="3"/>
      <c r="N85" s="3"/>
      <c r="O85" s="3"/>
      <c r="P85" s="3"/>
      <c r="Q85" s="3"/>
      <c r="R85" s="3"/>
      <c r="S85" s="3"/>
      <c r="T85" s="3"/>
      <c r="U85" s="3"/>
      <c r="V85" s="3"/>
      <c r="W85" s="3"/>
      <c r="X85" s="3"/>
      <c r="Y85" s="3"/>
      <c r="Z85" s="3"/>
    </row>
    <row r="86" spans="1:26" ht="22.5" customHeight="1" x14ac:dyDescent="0.85">
      <c r="A86" s="130" t="s">
        <v>409</v>
      </c>
      <c r="B86" s="130" t="s">
        <v>410</v>
      </c>
      <c r="C86" s="174" t="s">
        <v>362</v>
      </c>
      <c r="D86" s="174" t="s">
        <v>117</v>
      </c>
      <c r="E86" s="174" t="s">
        <v>251</v>
      </c>
      <c r="F86" s="174" t="s">
        <v>362</v>
      </c>
      <c r="G86" s="147"/>
      <c r="H86" s="147"/>
      <c r="I86" s="147"/>
      <c r="J86" s="147"/>
      <c r="K86" s="3"/>
      <c r="L86" s="3"/>
      <c r="M86" s="3"/>
      <c r="N86" s="3"/>
      <c r="O86" s="3"/>
      <c r="P86" s="3"/>
      <c r="Q86" s="3"/>
      <c r="R86" s="3"/>
      <c r="S86" s="3"/>
      <c r="T86" s="3"/>
      <c r="U86" s="3"/>
      <c r="V86" s="3"/>
      <c r="W86" s="3"/>
      <c r="X86" s="3"/>
      <c r="Y86" s="3"/>
      <c r="Z86" s="3"/>
    </row>
    <row r="87" spans="1:26" ht="22.5" customHeight="1" x14ac:dyDescent="0.85">
      <c r="A87" s="175" t="s">
        <v>150</v>
      </c>
      <c r="B87" s="150">
        <f>'Aviation Data'!D6</f>
        <v>0</v>
      </c>
      <c r="C87" s="176" t="s">
        <v>412</v>
      </c>
      <c r="D87" s="177">
        <v>1</v>
      </c>
      <c r="E87" s="176">
        <v>0</v>
      </c>
      <c r="F87" s="176" t="s">
        <v>442</v>
      </c>
      <c r="G87" s="147"/>
      <c r="H87" s="147"/>
      <c r="I87" s="147"/>
      <c r="J87" s="147"/>
      <c r="K87" s="3"/>
      <c r="L87" s="3"/>
      <c r="M87" s="3"/>
      <c r="N87" s="3"/>
      <c r="O87" s="3"/>
      <c r="P87" s="3"/>
      <c r="Q87" s="3"/>
      <c r="R87" s="3"/>
      <c r="S87" s="3"/>
      <c r="T87" s="3"/>
      <c r="U87" s="3"/>
      <c r="V87" s="3"/>
      <c r="W87" s="3"/>
      <c r="X87" s="3"/>
      <c r="Y87" s="3"/>
      <c r="Z87" s="3"/>
    </row>
    <row r="88" spans="1:26" ht="22.5" customHeight="1" x14ac:dyDescent="0.85">
      <c r="A88" s="175" t="s">
        <v>151</v>
      </c>
      <c r="B88" s="150">
        <f>'Aviation Data'!F6</f>
        <v>0</v>
      </c>
      <c r="C88" s="176" t="s">
        <v>412</v>
      </c>
      <c r="D88" s="177">
        <v>3</v>
      </c>
      <c r="E88" s="176">
        <v>0</v>
      </c>
      <c r="F88" s="176" t="s">
        <v>443</v>
      </c>
      <c r="G88" s="147"/>
      <c r="H88" s="147"/>
      <c r="I88" s="147"/>
      <c r="J88" s="147"/>
      <c r="K88" s="3"/>
      <c r="L88" s="3"/>
      <c r="M88" s="3"/>
      <c r="N88" s="3"/>
      <c r="O88" s="3"/>
      <c r="P88" s="3"/>
      <c r="Q88" s="3"/>
      <c r="R88" s="3"/>
      <c r="S88" s="3"/>
      <c r="T88" s="3"/>
      <c r="U88" s="3"/>
      <c r="V88" s="3"/>
      <c r="W88" s="3"/>
      <c r="X88" s="3"/>
      <c r="Y88" s="3"/>
      <c r="Z88" s="3"/>
    </row>
    <row r="89" spans="1:26" ht="22.5" customHeight="1" x14ac:dyDescent="0.85">
      <c r="A89" s="171" t="s">
        <v>152</v>
      </c>
      <c r="B89" s="172"/>
      <c r="C89" s="172"/>
      <c r="D89" s="172"/>
      <c r="E89" s="172"/>
      <c r="F89" s="173"/>
      <c r="G89" s="147"/>
      <c r="H89" s="147"/>
      <c r="I89" s="147"/>
      <c r="J89" s="147"/>
      <c r="K89" s="3"/>
      <c r="L89" s="3"/>
      <c r="M89" s="3"/>
      <c r="N89" s="3"/>
      <c r="O89" s="3"/>
      <c r="P89" s="3"/>
      <c r="Q89" s="3"/>
      <c r="R89" s="3"/>
      <c r="S89" s="3"/>
      <c r="T89" s="3"/>
      <c r="U89" s="3"/>
      <c r="V89" s="3"/>
      <c r="W89" s="3"/>
      <c r="X89" s="3"/>
      <c r="Y89" s="3"/>
      <c r="Z89" s="3"/>
    </row>
    <row r="90" spans="1:26" ht="22.5" customHeight="1" x14ac:dyDescent="0.85">
      <c r="A90" s="130" t="s">
        <v>409</v>
      </c>
      <c r="B90" s="130" t="s">
        <v>410</v>
      </c>
      <c r="C90" s="174" t="s">
        <v>362</v>
      </c>
      <c r="D90" s="174" t="s">
        <v>117</v>
      </c>
      <c r="E90" s="174" t="s">
        <v>251</v>
      </c>
      <c r="F90" s="174" t="s">
        <v>362</v>
      </c>
      <c r="G90" s="147"/>
      <c r="H90" s="147"/>
      <c r="I90" s="147"/>
      <c r="J90" s="147"/>
      <c r="K90" s="3"/>
      <c r="L90" s="3"/>
      <c r="M90" s="3"/>
      <c r="N90" s="3"/>
      <c r="O90" s="3"/>
      <c r="P90" s="3"/>
      <c r="Q90" s="3"/>
      <c r="R90" s="3"/>
      <c r="S90" s="3"/>
      <c r="T90" s="3"/>
      <c r="U90" s="3"/>
      <c r="V90" s="3"/>
      <c r="W90" s="3"/>
      <c r="X90" s="3"/>
      <c r="Y90" s="3"/>
      <c r="Z90" s="3"/>
    </row>
    <row r="91" spans="1:26" ht="22.5" customHeight="1" x14ac:dyDescent="0.85">
      <c r="A91" s="175" t="s">
        <v>444</v>
      </c>
      <c r="B91" s="150">
        <f>'Off-Road Data'!B6</f>
        <v>106643.84104664477</v>
      </c>
      <c r="C91" s="176" t="s">
        <v>412</v>
      </c>
      <c r="D91" s="177">
        <v>1</v>
      </c>
      <c r="E91" s="176" t="s">
        <v>106</v>
      </c>
      <c r="F91" s="176" t="s">
        <v>106</v>
      </c>
      <c r="G91" s="147"/>
      <c r="H91" s="147"/>
      <c r="I91" s="147"/>
      <c r="J91" s="147"/>
      <c r="K91" s="3"/>
      <c r="L91" s="3"/>
      <c r="M91" s="3"/>
      <c r="N91" s="3"/>
      <c r="O91" s="3"/>
      <c r="P91" s="3"/>
      <c r="Q91" s="3"/>
      <c r="R91" s="3"/>
      <c r="S91" s="3"/>
      <c r="T91" s="3"/>
      <c r="U91" s="3"/>
      <c r="V91" s="3"/>
      <c r="W91" s="3"/>
      <c r="X91" s="3"/>
      <c r="Y91" s="3"/>
      <c r="Z91" s="3"/>
    </row>
    <row r="92" spans="1:26" ht="22.5" customHeight="1" x14ac:dyDescent="0.85">
      <c r="A92" s="171" t="s">
        <v>153</v>
      </c>
      <c r="B92" s="172"/>
      <c r="C92" s="172"/>
      <c r="D92" s="172"/>
      <c r="E92" s="172"/>
      <c r="F92" s="173"/>
      <c r="G92" s="147"/>
      <c r="H92" s="147"/>
      <c r="I92" s="147"/>
      <c r="J92" s="147"/>
      <c r="K92" s="3"/>
      <c r="L92" s="3"/>
      <c r="M92" s="3"/>
      <c r="N92" s="3"/>
      <c r="O92" s="3"/>
      <c r="P92" s="3"/>
      <c r="Q92" s="3"/>
      <c r="R92" s="3"/>
      <c r="S92" s="3"/>
      <c r="T92" s="3"/>
      <c r="U92" s="3"/>
      <c r="V92" s="3"/>
      <c r="W92" s="3"/>
      <c r="X92" s="3"/>
      <c r="Y92" s="3"/>
      <c r="Z92" s="3"/>
    </row>
    <row r="93" spans="1:26" ht="22.5" customHeight="1" x14ac:dyDescent="0.85">
      <c r="A93" s="130" t="s">
        <v>409</v>
      </c>
      <c r="B93" s="130" t="s">
        <v>410</v>
      </c>
      <c r="C93" s="174" t="s">
        <v>362</v>
      </c>
      <c r="D93" s="174" t="s">
        <v>117</v>
      </c>
      <c r="E93" s="174" t="s">
        <v>251</v>
      </c>
      <c r="F93" s="174" t="s">
        <v>362</v>
      </c>
      <c r="G93" s="147"/>
      <c r="H93" s="147"/>
      <c r="I93" s="147"/>
      <c r="J93" s="147"/>
      <c r="K93" s="3"/>
      <c r="L93" s="3"/>
      <c r="M93" s="3"/>
      <c r="N93" s="3"/>
      <c r="O93" s="3"/>
      <c r="P93" s="3"/>
      <c r="Q93" s="3"/>
      <c r="R93" s="3"/>
      <c r="S93" s="3"/>
      <c r="T93" s="3"/>
      <c r="U93" s="3"/>
      <c r="V93" s="3"/>
      <c r="W93" s="3"/>
      <c r="X93" s="3"/>
      <c r="Y93" s="3"/>
      <c r="Z93" s="3"/>
    </row>
    <row r="94" spans="1:26" ht="22.5" customHeight="1" x14ac:dyDescent="0.85">
      <c r="A94" s="175" t="s">
        <v>445</v>
      </c>
      <c r="B94" s="150">
        <f>'Railways Data'!B6</f>
        <v>507.53775280040867</v>
      </c>
      <c r="C94" s="176" t="s">
        <v>412</v>
      </c>
      <c r="D94" s="176">
        <v>1</v>
      </c>
      <c r="E94" s="176" t="s">
        <v>106</v>
      </c>
      <c r="F94" s="176" t="s">
        <v>106</v>
      </c>
      <c r="G94" s="147"/>
      <c r="H94" s="147"/>
      <c r="I94" s="147"/>
      <c r="J94" s="147"/>
      <c r="K94" s="3"/>
      <c r="L94" s="3"/>
      <c r="M94" s="3"/>
      <c r="N94" s="3"/>
      <c r="O94" s="3"/>
      <c r="P94" s="3"/>
      <c r="Q94" s="3"/>
      <c r="R94" s="3"/>
      <c r="S94" s="3"/>
      <c r="T94" s="3"/>
      <c r="U94" s="3"/>
      <c r="V94" s="3"/>
      <c r="W94" s="3"/>
      <c r="X94" s="3"/>
      <c r="Y94" s="3"/>
      <c r="Z94" s="3"/>
    </row>
    <row r="95" spans="1:26" ht="22.5" customHeight="1" x14ac:dyDescent="0.85">
      <c r="A95" s="197" t="s">
        <v>446</v>
      </c>
      <c r="B95" s="198">
        <f>SUM(B78,B79,B80,B83,B84,B87,B88,B94,B91)</f>
        <v>726278.19225831667</v>
      </c>
      <c r="C95" s="199"/>
      <c r="D95" s="200"/>
      <c r="E95" s="200"/>
      <c r="F95" s="201"/>
      <c r="G95" s="147"/>
      <c r="H95" s="147"/>
      <c r="I95" s="147"/>
      <c r="J95" s="147"/>
      <c r="K95" s="3"/>
      <c r="L95" s="3"/>
      <c r="M95" s="3"/>
      <c r="N95" s="3"/>
      <c r="O95" s="3"/>
      <c r="P95" s="3"/>
      <c r="Q95" s="3"/>
      <c r="R95" s="3"/>
      <c r="S95" s="3"/>
      <c r="T95" s="3"/>
      <c r="U95" s="3"/>
      <c r="V95" s="3"/>
      <c r="W95" s="3"/>
      <c r="X95" s="3"/>
      <c r="Y95" s="3"/>
      <c r="Z95" s="3"/>
    </row>
    <row r="96" spans="1:26" ht="22.5" customHeight="1" x14ac:dyDescent="0.85">
      <c r="A96" s="168" t="s">
        <v>329</v>
      </c>
      <c r="B96" s="169"/>
      <c r="C96" s="202"/>
      <c r="D96" s="202"/>
      <c r="E96" s="202"/>
      <c r="F96" s="203"/>
      <c r="G96" s="147"/>
      <c r="H96" s="147"/>
      <c r="I96" s="147"/>
      <c r="J96" s="147"/>
      <c r="K96" s="147"/>
      <c r="L96" s="147"/>
      <c r="M96" s="3"/>
      <c r="N96" s="3"/>
      <c r="O96" s="3"/>
      <c r="P96" s="3"/>
      <c r="Q96" s="3"/>
      <c r="R96" s="3"/>
      <c r="S96" s="3"/>
      <c r="T96" s="3"/>
      <c r="U96" s="3"/>
      <c r="V96" s="3"/>
      <c r="W96" s="3"/>
      <c r="X96" s="3"/>
      <c r="Y96" s="3"/>
      <c r="Z96" s="3"/>
    </row>
    <row r="97" spans="1:26" ht="22.5" customHeight="1" x14ac:dyDescent="0.85">
      <c r="A97" s="171" t="s">
        <v>447</v>
      </c>
      <c r="B97" s="172"/>
      <c r="C97" s="172"/>
      <c r="D97" s="172"/>
      <c r="E97" s="172"/>
      <c r="F97" s="173"/>
      <c r="G97" s="147"/>
      <c r="H97" s="147"/>
      <c r="I97" s="147"/>
      <c r="J97" s="147"/>
      <c r="K97" s="3"/>
      <c r="L97" s="3"/>
      <c r="M97" s="3"/>
      <c r="N97" s="3"/>
      <c r="O97" s="3"/>
      <c r="P97" s="3"/>
      <c r="Q97" s="3"/>
      <c r="R97" s="3"/>
      <c r="S97" s="3"/>
      <c r="T97" s="3"/>
      <c r="U97" s="3"/>
      <c r="V97" s="3"/>
      <c r="W97" s="3"/>
      <c r="X97" s="3"/>
      <c r="Y97" s="3"/>
      <c r="Z97" s="3"/>
    </row>
    <row r="98" spans="1:26" ht="22.5" customHeight="1" x14ac:dyDescent="0.85">
      <c r="A98" s="148" t="s">
        <v>409</v>
      </c>
      <c r="B98" s="148" t="s">
        <v>410</v>
      </c>
      <c r="C98" s="204" t="s">
        <v>362</v>
      </c>
      <c r="D98" s="204" t="s">
        <v>117</v>
      </c>
      <c r="E98" s="204" t="s">
        <v>251</v>
      </c>
      <c r="F98" s="204" t="s">
        <v>362</v>
      </c>
      <c r="G98" s="147"/>
      <c r="H98" s="147"/>
      <c r="I98" s="147"/>
      <c r="J98" s="147"/>
      <c r="K98" s="3"/>
      <c r="L98" s="3"/>
      <c r="M98" s="3"/>
      <c r="N98" s="3"/>
      <c r="O98" s="3"/>
      <c r="P98" s="3"/>
      <c r="Q98" s="3"/>
      <c r="R98" s="3"/>
      <c r="S98" s="3"/>
      <c r="T98" s="3"/>
      <c r="U98" s="3"/>
      <c r="V98" s="3"/>
      <c r="W98" s="3"/>
      <c r="X98" s="3"/>
      <c r="Y98" s="3"/>
      <c r="Z98" s="3"/>
    </row>
    <row r="99" spans="1:26" ht="22.5" customHeight="1" x14ac:dyDescent="0.85">
      <c r="A99" s="175" t="s">
        <v>448</v>
      </c>
      <c r="B99" s="150">
        <f>'Waste_Recycling Data'!D80+'Waste_Recycling Data'!E80</f>
        <v>132798.02499013249</v>
      </c>
      <c r="C99" s="176" t="s">
        <v>412</v>
      </c>
      <c r="D99" s="176">
        <v>1</v>
      </c>
      <c r="E99" s="150">
        <f>SUM('Waste_Recycling Data'!D91,'Waste_Recycling Data'!D102,'Waste_Recycling Data'!E91,'Waste_Recycling Data'!E102)</f>
        <v>665473.53254759999</v>
      </c>
      <c r="F99" s="176" t="s">
        <v>449</v>
      </c>
      <c r="G99" s="147"/>
      <c r="H99" s="147"/>
      <c r="I99" s="147"/>
      <c r="J99" s="147"/>
      <c r="K99" s="3"/>
      <c r="L99" s="3"/>
      <c r="M99" s="3"/>
      <c r="N99" s="3"/>
      <c r="O99" s="3"/>
      <c r="P99" s="3"/>
      <c r="Q99" s="3"/>
      <c r="R99" s="3"/>
      <c r="S99" s="3"/>
      <c r="T99" s="3"/>
      <c r="U99" s="3"/>
      <c r="V99" s="3"/>
      <c r="W99" s="3"/>
      <c r="X99" s="3"/>
      <c r="Y99" s="3"/>
      <c r="Z99" s="3"/>
    </row>
    <row r="100" spans="1:26" ht="22.5" customHeight="1" x14ac:dyDescent="0.85">
      <c r="A100" s="175" t="s">
        <v>450</v>
      </c>
      <c r="B100" s="150">
        <f>'Waste_Recycling Data'!D81+'Waste_Recycling Data'!E81</f>
        <v>0</v>
      </c>
      <c r="C100" s="176" t="s">
        <v>412</v>
      </c>
      <c r="D100" s="176">
        <v>3</v>
      </c>
      <c r="E100" s="176">
        <v>0</v>
      </c>
      <c r="F100" s="176" t="s">
        <v>449</v>
      </c>
      <c r="G100" s="147"/>
      <c r="H100" s="147"/>
      <c r="I100" s="147"/>
      <c r="J100" s="147"/>
      <c r="K100" s="3"/>
      <c r="L100" s="3"/>
      <c r="M100" s="3"/>
      <c r="N100" s="3"/>
      <c r="O100" s="3"/>
      <c r="P100" s="3"/>
      <c r="Q100" s="3"/>
      <c r="R100" s="3"/>
      <c r="S100" s="3"/>
      <c r="T100" s="3"/>
      <c r="U100" s="3"/>
      <c r="V100" s="3"/>
      <c r="W100" s="3"/>
      <c r="X100" s="3"/>
      <c r="Y100" s="3"/>
      <c r="Z100" s="3"/>
    </row>
    <row r="101" spans="1:26" ht="22.5" customHeight="1" x14ac:dyDescent="0.85">
      <c r="A101" s="175" t="s">
        <v>451</v>
      </c>
      <c r="B101" s="150">
        <f>'Waste_Recycling Data'!D82+'Waste_Recycling Data'!E82</f>
        <v>0</v>
      </c>
      <c r="C101" s="176" t="s">
        <v>412</v>
      </c>
      <c r="D101" s="176">
        <v>1</v>
      </c>
      <c r="E101" s="176">
        <v>0</v>
      </c>
      <c r="F101" s="176" t="s">
        <v>449</v>
      </c>
      <c r="G101" s="147"/>
      <c r="H101" s="147"/>
      <c r="I101" s="147"/>
      <c r="J101" s="147"/>
      <c r="K101" s="3"/>
      <c r="L101" s="3"/>
      <c r="M101" s="3"/>
      <c r="N101" s="3"/>
      <c r="O101" s="3"/>
      <c r="P101" s="3"/>
      <c r="Q101" s="3"/>
      <c r="R101" s="3"/>
      <c r="S101" s="3"/>
      <c r="T101" s="3"/>
      <c r="U101" s="3"/>
      <c r="V101" s="3"/>
      <c r="W101" s="3"/>
      <c r="X101" s="3"/>
      <c r="Y101" s="3"/>
      <c r="Z101" s="3"/>
    </row>
    <row r="102" spans="1:26" ht="22.5" customHeight="1" x14ac:dyDescent="0.85">
      <c r="A102" s="175" t="s">
        <v>452</v>
      </c>
      <c r="B102" s="150">
        <f>'Waste_Recycling Data'!D83+'Waste_Recycling Data'!E83</f>
        <v>0</v>
      </c>
      <c r="C102" s="179" t="s">
        <v>412</v>
      </c>
      <c r="D102" s="179">
        <v>3</v>
      </c>
      <c r="E102" s="176">
        <v>0</v>
      </c>
      <c r="F102" s="179" t="s">
        <v>449</v>
      </c>
      <c r="G102" s="147"/>
      <c r="H102" s="147"/>
      <c r="I102" s="147"/>
      <c r="J102" s="147"/>
      <c r="K102" s="3"/>
      <c r="L102" s="3"/>
      <c r="M102" s="3"/>
      <c r="N102" s="3"/>
      <c r="O102" s="3"/>
      <c r="P102" s="3"/>
      <c r="Q102" s="3"/>
      <c r="R102" s="3"/>
      <c r="S102" s="3"/>
      <c r="T102" s="3"/>
      <c r="U102" s="3"/>
      <c r="V102" s="3"/>
      <c r="W102" s="3"/>
      <c r="X102" s="3"/>
      <c r="Y102" s="3"/>
      <c r="Z102" s="3"/>
    </row>
    <row r="103" spans="1:26" ht="22.5" customHeight="1" x14ac:dyDescent="0.85">
      <c r="A103" s="181" t="s">
        <v>453</v>
      </c>
      <c r="B103" s="182">
        <f>SUM(B99:B102)</f>
        <v>132798.02499013249</v>
      </c>
      <c r="C103" s="183"/>
      <c r="D103" s="184"/>
      <c r="E103" s="184"/>
      <c r="F103" s="185"/>
      <c r="G103" s="147"/>
      <c r="H103" s="147"/>
      <c r="I103" s="147"/>
      <c r="J103" s="147"/>
      <c r="K103" s="3"/>
      <c r="L103" s="3"/>
      <c r="M103" s="3"/>
      <c r="N103" s="3"/>
      <c r="O103" s="3"/>
      <c r="P103" s="3"/>
      <c r="Q103" s="3"/>
      <c r="R103" s="3"/>
      <c r="S103" s="3"/>
      <c r="T103" s="3"/>
      <c r="U103" s="3"/>
      <c r="V103" s="3"/>
      <c r="W103" s="3"/>
      <c r="X103" s="3"/>
      <c r="Y103" s="3"/>
      <c r="Z103" s="3"/>
    </row>
    <row r="104" spans="1:26" ht="22.5" customHeight="1" x14ac:dyDescent="0.85">
      <c r="A104" s="171" t="s">
        <v>454</v>
      </c>
      <c r="B104" s="172"/>
      <c r="C104" s="172"/>
      <c r="D104" s="172"/>
      <c r="E104" s="172"/>
      <c r="F104" s="173"/>
      <c r="G104" s="147"/>
      <c r="H104" s="147"/>
      <c r="I104" s="147"/>
      <c r="J104" s="147"/>
      <c r="K104" s="3"/>
      <c r="L104" s="3"/>
      <c r="M104" s="3"/>
      <c r="N104" s="3"/>
      <c r="O104" s="3"/>
      <c r="P104" s="3"/>
      <c r="Q104" s="3"/>
      <c r="R104" s="3"/>
      <c r="S104" s="3"/>
      <c r="T104" s="3"/>
      <c r="U104" s="3"/>
      <c r="V104" s="3"/>
      <c r="W104" s="3"/>
      <c r="X104" s="3"/>
      <c r="Y104" s="3"/>
      <c r="Z104" s="3"/>
    </row>
    <row r="105" spans="1:26" ht="22.5" customHeight="1" x14ac:dyDescent="0.85">
      <c r="A105" s="130" t="s">
        <v>409</v>
      </c>
      <c r="B105" s="130" t="s">
        <v>410</v>
      </c>
      <c r="C105" s="174" t="s">
        <v>362</v>
      </c>
      <c r="D105" s="174" t="s">
        <v>117</v>
      </c>
      <c r="E105" s="174" t="s">
        <v>251</v>
      </c>
      <c r="F105" s="174" t="s">
        <v>362</v>
      </c>
      <c r="G105" s="147"/>
      <c r="H105" s="147"/>
      <c r="I105" s="147"/>
      <c r="J105" s="147"/>
      <c r="K105" s="3"/>
      <c r="L105" s="3"/>
      <c r="M105" s="3"/>
      <c r="N105" s="3"/>
      <c r="O105" s="3"/>
      <c r="P105" s="3"/>
      <c r="Q105" s="3"/>
      <c r="R105" s="3"/>
      <c r="S105" s="3"/>
      <c r="T105" s="3"/>
      <c r="U105" s="3"/>
      <c r="V105" s="3"/>
      <c r="W105" s="3"/>
      <c r="X105" s="3"/>
      <c r="Y105" s="3"/>
      <c r="Z105" s="3"/>
    </row>
    <row r="106" spans="1:26" ht="22.5" customHeight="1" x14ac:dyDescent="0.85">
      <c r="A106" s="175" t="s">
        <v>455</v>
      </c>
      <c r="B106" s="150">
        <f>'Wastewater Data'!B6</f>
        <v>280.47688485153066</v>
      </c>
      <c r="C106" s="176" t="s">
        <v>412</v>
      </c>
      <c r="D106" s="176">
        <v>1</v>
      </c>
      <c r="E106" s="177">
        <v>0</v>
      </c>
      <c r="F106" s="176" t="s">
        <v>32</v>
      </c>
      <c r="G106" s="147"/>
      <c r="H106" s="147"/>
      <c r="I106" s="147"/>
      <c r="J106" s="147"/>
      <c r="K106" s="3"/>
      <c r="L106" s="3"/>
      <c r="M106" s="3"/>
      <c r="N106" s="3"/>
      <c r="O106" s="3"/>
      <c r="P106" s="3"/>
      <c r="Q106" s="3"/>
      <c r="R106" s="3"/>
      <c r="S106" s="3"/>
      <c r="T106" s="3"/>
      <c r="U106" s="3"/>
      <c r="V106" s="3"/>
      <c r="W106" s="3"/>
      <c r="X106" s="3"/>
      <c r="Y106" s="3"/>
      <c r="Z106" s="3"/>
    </row>
    <row r="107" spans="1:26" ht="22.5" customHeight="1" x14ac:dyDescent="0.85">
      <c r="A107" s="175" t="s">
        <v>456</v>
      </c>
      <c r="B107" s="150">
        <f>'Wastewater Data'!C6</f>
        <v>5339.5396084799986</v>
      </c>
      <c r="C107" s="179" t="s">
        <v>412</v>
      </c>
      <c r="D107" s="179">
        <v>1</v>
      </c>
      <c r="E107" s="180">
        <v>0</v>
      </c>
      <c r="F107" s="179" t="s">
        <v>32</v>
      </c>
      <c r="G107" s="147"/>
      <c r="H107" s="147"/>
      <c r="I107" s="147"/>
      <c r="J107" s="147"/>
      <c r="K107" s="3"/>
      <c r="L107" s="3"/>
      <c r="M107" s="3"/>
      <c r="N107" s="3"/>
      <c r="O107" s="3"/>
      <c r="P107" s="3"/>
      <c r="Q107" s="3"/>
      <c r="R107" s="3"/>
      <c r="S107" s="3"/>
      <c r="T107" s="3"/>
      <c r="U107" s="3"/>
      <c r="V107" s="3"/>
      <c r="W107" s="3"/>
      <c r="X107" s="3"/>
      <c r="Y107" s="3"/>
      <c r="Z107" s="3"/>
    </row>
    <row r="108" spans="1:26" ht="22.5" customHeight="1" x14ac:dyDescent="0.85">
      <c r="A108" s="181" t="s">
        <v>457</v>
      </c>
      <c r="B108" s="182">
        <f>SUM(B106:B107)</f>
        <v>5620.0164933315291</v>
      </c>
      <c r="C108" s="183"/>
      <c r="D108" s="184"/>
      <c r="E108" s="184"/>
      <c r="F108" s="185"/>
      <c r="G108" s="147"/>
      <c r="H108" s="147"/>
      <c r="I108" s="147"/>
      <c r="J108" s="147"/>
      <c r="K108" s="3"/>
      <c r="L108" s="3"/>
      <c r="M108" s="3"/>
      <c r="N108" s="3"/>
      <c r="O108" s="3"/>
      <c r="P108" s="3"/>
      <c r="Q108" s="3"/>
      <c r="R108" s="3"/>
      <c r="S108" s="3"/>
      <c r="T108" s="3"/>
      <c r="U108" s="3"/>
      <c r="V108" s="3"/>
      <c r="W108" s="3"/>
      <c r="X108" s="3"/>
      <c r="Y108" s="3"/>
      <c r="Z108" s="3"/>
    </row>
    <row r="109" spans="1:26" ht="22.5" customHeight="1" x14ac:dyDescent="0.85">
      <c r="A109" s="186" t="s">
        <v>453</v>
      </c>
      <c r="B109" s="187">
        <f>SUM(B103+B108)</f>
        <v>138418.04148346401</v>
      </c>
      <c r="C109" s="188"/>
      <c r="D109" s="189"/>
      <c r="E109" s="189"/>
      <c r="F109" s="190"/>
      <c r="G109" s="147"/>
      <c r="H109" s="147"/>
      <c r="I109" s="147"/>
      <c r="J109" s="147"/>
      <c r="K109" s="3"/>
      <c r="L109" s="3"/>
      <c r="M109" s="3"/>
      <c r="N109" s="3"/>
      <c r="O109" s="3"/>
      <c r="P109" s="3"/>
      <c r="Q109" s="3"/>
      <c r="R109" s="3"/>
      <c r="S109" s="3"/>
      <c r="T109" s="3"/>
      <c r="U109" s="3"/>
      <c r="V109" s="3"/>
      <c r="W109" s="3"/>
      <c r="X109" s="3"/>
      <c r="Y109" s="3"/>
      <c r="Z109" s="3"/>
    </row>
    <row r="110" spans="1:26" ht="22.5" customHeight="1" x14ac:dyDescent="0.85">
      <c r="A110" s="205" t="s">
        <v>458</v>
      </c>
      <c r="B110" s="169"/>
      <c r="C110" s="202"/>
      <c r="D110" s="202"/>
      <c r="E110" s="202"/>
      <c r="F110" s="203"/>
      <c r="G110" s="147"/>
      <c r="H110" s="147"/>
      <c r="I110" s="147"/>
      <c r="J110" s="147"/>
      <c r="K110" s="147"/>
      <c r="L110" s="147"/>
      <c r="M110" s="3"/>
      <c r="N110" s="3"/>
      <c r="O110" s="3"/>
      <c r="P110" s="3"/>
      <c r="Q110" s="3"/>
      <c r="R110" s="3"/>
      <c r="S110" s="3"/>
      <c r="T110" s="3"/>
      <c r="U110" s="3"/>
      <c r="V110" s="3"/>
      <c r="W110" s="3"/>
      <c r="X110" s="3"/>
      <c r="Y110" s="3"/>
      <c r="Z110" s="3"/>
    </row>
    <row r="111" spans="1:26" ht="22.5" customHeight="1" x14ac:dyDescent="0.85">
      <c r="A111" s="130" t="s">
        <v>409</v>
      </c>
      <c r="B111" s="130" t="s">
        <v>410</v>
      </c>
      <c r="C111" s="174" t="s">
        <v>362</v>
      </c>
      <c r="D111" s="174" t="s">
        <v>117</v>
      </c>
      <c r="E111" s="174" t="s">
        <v>251</v>
      </c>
      <c r="F111" s="174" t="s">
        <v>362</v>
      </c>
      <c r="G111" s="147"/>
      <c r="H111" s="147"/>
      <c r="I111" s="147"/>
      <c r="J111" s="147"/>
      <c r="K111" s="3"/>
      <c r="L111" s="3"/>
      <c r="M111" s="3"/>
      <c r="N111" s="3"/>
      <c r="O111" s="3"/>
      <c r="P111" s="3"/>
      <c r="Q111" s="3"/>
      <c r="R111" s="3"/>
      <c r="S111" s="3"/>
      <c r="T111" s="3"/>
      <c r="U111" s="3"/>
      <c r="V111" s="3"/>
      <c r="W111" s="3"/>
      <c r="X111" s="3"/>
      <c r="Y111" s="3"/>
      <c r="Z111" s="3"/>
    </row>
    <row r="112" spans="1:26" ht="22.5" customHeight="1" x14ac:dyDescent="0.85">
      <c r="A112" s="175" t="s">
        <v>459</v>
      </c>
      <c r="B112" s="150">
        <f>'Industrial Processes Data'!B6</f>
        <v>98640.52399999999</v>
      </c>
      <c r="C112" s="176" t="s">
        <v>412</v>
      </c>
      <c r="D112" s="176">
        <v>1</v>
      </c>
      <c r="E112" s="178" t="s">
        <v>106</v>
      </c>
      <c r="F112" s="176" t="s">
        <v>106</v>
      </c>
      <c r="G112" s="147"/>
      <c r="H112" s="147"/>
      <c r="I112" s="147"/>
      <c r="J112" s="147"/>
      <c r="K112" s="3"/>
      <c r="L112" s="3"/>
      <c r="M112" s="3"/>
      <c r="N112" s="3"/>
      <c r="O112" s="3"/>
      <c r="P112" s="3"/>
      <c r="Q112" s="3"/>
      <c r="R112" s="3"/>
      <c r="S112" s="3"/>
      <c r="T112" s="3"/>
      <c r="U112" s="3"/>
      <c r="V112" s="3"/>
      <c r="W112" s="3"/>
      <c r="X112" s="3"/>
      <c r="Y112" s="3"/>
      <c r="Z112" s="3"/>
    </row>
    <row r="113" spans="1:26" ht="22.5" customHeight="1" x14ac:dyDescent="0.85">
      <c r="A113" s="175" t="s">
        <v>460</v>
      </c>
      <c r="B113" s="150">
        <f>'Refrigerants Data'!B6</f>
        <v>47409.608328488859</v>
      </c>
      <c r="C113" s="179" t="s">
        <v>412</v>
      </c>
      <c r="D113" s="179">
        <v>1</v>
      </c>
      <c r="E113" s="206">
        <f>'Refrigerants Data'!B29+'Refrigerants Data'!B39</f>
        <v>297947543.60000002</v>
      </c>
      <c r="F113" s="179" t="s">
        <v>461</v>
      </c>
      <c r="G113" s="147"/>
      <c r="H113" s="147"/>
      <c r="I113" s="147"/>
      <c r="J113" s="147"/>
      <c r="K113" s="3"/>
      <c r="L113" s="3"/>
      <c r="M113" s="3"/>
      <c r="N113" s="3"/>
      <c r="O113" s="3"/>
      <c r="P113" s="3"/>
      <c r="Q113" s="3"/>
      <c r="R113" s="3"/>
      <c r="S113" s="3"/>
      <c r="T113" s="3"/>
      <c r="U113" s="3"/>
      <c r="V113" s="3"/>
      <c r="W113" s="3"/>
      <c r="X113" s="3"/>
      <c r="Y113" s="3"/>
      <c r="Z113" s="3"/>
    </row>
    <row r="114" spans="1:26" ht="22.5" customHeight="1" x14ac:dyDescent="0.85">
      <c r="A114" s="186" t="s">
        <v>462</v>
      </c>
      <c r="B114" s="187">
        <f>B112+B113</f>
        <v>146050.13232848886</v>
      </c>
      <c r="C114" s="188"/>
      <c r="D114" s="189"/>
      <c r="E114" s="189"/>
      <c r="F114" s="190"/>
      <c r="G114" s="147"/>
      <c r="H114" s="147"/>
      <c r="I114" s="147"/>
      <c r="J114" s="147"/>
      <c r="K114" s="3"/>
      <c r="L114" s="3"/>
      <c r="M114" s="3"/>
      <c r="N114" s="3"/>
      <c r="O114" s="3"/>
      <c r="P114" s="3"/>
      <c r="Q114" s="3"/>
      <c r="R114" s="3"/>
      <c r="S114" s="3"/>
      <c r="T114" s="3"/>
      <c r="U114" s="3"/>
      <c r="V114" s="3"/>
      <c r="W114" s="3"/>
      <c r="X114" s="3"/>
      <c r="Y114" s="3"/>
      <c r="Z114" s="3"/>
    </row>
    <row r="115" spans="1:26" ht="22.5" customHeight="1" x14ac:dyDescent="0.85">
      <c r="A115" s="205" t="s">
        <v>463</v>
      </c>
      <c r="B115" s="169"/>
      <c r="C115" s="202"/>
      <c r="D115" s="202"/>
      <c r="E115" s="202"/>
      <c r="F115" s="203"/>
      <c r="G115" s="147"/>
      <c r="H115" s="147"/>
      <c r="I115" s="147"/>
      <c r="J115" s="147"/>
      <c r="K115" s="147"/>
      <c r="L115" s="147"/>
      <c r="M115" s="3"/>
      <c r="N115" s="3"/>
      <c r="O115" s="3"/>
      <c r="P115" s="3"/>
      <c r="Q115" s="3"/>
      <c r="R115" s="3"/>
      <c r="S115" s="3"/>
      <c r="T115" s="3"/>
      <c r="U115" s="3"/>
      <c r="V115" s="3"/>
      <c r="W115" s="3"/>
      <c r="X115" s="3"/>
      <c r="Y115" s="3"/>
      <c r="Z115" s="3"/>
    </row>
    <row r="116" spans="1:26" ht="22.5" customHeight="1" x14ac:dyDescent="0.85">
      <c r="A116" s="130" t="s">
        <v>409</v>
      </c>
      <c r="B116" s="130" t="s">
        <v>410</v>
      </c>
      <c r="C116" s="174" t="s">
        <v>362</v>
      </c>
      <c r="D116" s="174" t="s">
        <v>117</v>
      </c>
      <c r="E116" s="174" t="s">
        <v>251</v>
      </c>
      <c r="F116" s="174" t="s">
        <v>362</v>
      </c>
      <c r="G116" s="147"/>
      <c r="H116" s="147"/>
      <c r="I116" s="147"/>
      <c r="J116" s="147"/>
      <c r="K116" s="3"/>
      <c r="L116" s="3"/>
      <c r="M116" s="3"/>
      <c r="N116" s="3"/>
      <c r="O116" s="3"/>
      <c r="P116" s="3"/>
      <c r="Q116" s="3"/>
      <c r="R116" s="3"/>
      <c r="S116" s="3"/>
      <c r="T116" s="3"/>
      <c r="U116" s="3"/>
      <c r="V116" s="3"/>
      <c r="W116" s="3"/>
      <c r="X116" s="3"/>
      <c r="Y116" s="3"/>
      <c r="Z116" s="3"/>
    </row>
    <row r="117" spans="1:26" ht="22.5" customHeight="1" x14ac:dyDescent="0.85">
      <c r="A117" s="175" t="s">
        <v>464</v>
      </c>
      <c r="B117" s="150">
        <f>SUM('AFOLU Data'!Q68+'AFOLU Data'!J91)</f>
        <v>64753.415889370975</v>
      </c>
      <c r="C117" s="176" t="s">
        <v>412</v>
      </c>
      <c r="D117" s="176">
        <v>1</v>
      </c>
      <c r="E117" s="178">
        <f>SUM('AFOLU Data'!C61:I61)</f>
        <v>13399</v>
      </c>
      <c r="F117" s="176" t="s">
        <v>465</v>
      </c>
      <c r="G117" s="147"/>
      <c r="H117" s="147"/>
      <c r="I117" s="147"/>
      <c r="J117" s="147"/>
      <c r="K117" s="3"/>
      <c r="L117" s="3"/>
      <c r="M117" s="3"/>
      <c r="N117" s="3"/>
      <c r="O117" s="3"/>
      <c r="P117" s="3"/>
      <c r="Q117" s="3"/>
      <c r="R117" s="3"/>
      <c r="S117" s="3"/>
      <c r="T117" s="3"/>
      <c r="U117" s="3"/>
      <c r="V117" s="3"/>
      <c r="W117" s="3"/>
      <c r="X117" s="3"/>
      <c r="Y117" s="3"/>
      <c r="Z117" s="3"/>
    </row>
    <row r="118" spans="1:26" ht="22.5" customHeight="1" x14ac:dyDescent="0.85">
      <c r="A118" s="175" t="s">
        <v>466</v>
      </c>
      <c r="B118" s="150">
        <f>SUM('AFOLU Data'!I137+'AFOLU Data'!E121)</f>
        <v>503.59876036821197</v>
      </c>
      <c r="C118" s="179" t="s">
        <v>412</v>
      </c>
      <c r="D118" s="179">
        <v>1</v>
      </c>
      <c r="E118" s="178">
        <f>'AFOLU Data'!G137</f>
        <v>4261</v>
      </c>
      <c r="F118" s="179" t="s">
        <v>467</v>
      </c>
      <c r="G118" s="147"/>
      <c r="H118" s="147"/>
      <c r="I118" s="147"/>
      <c r="J118" s="147"/>
      <c r="K118" s="3"/>
      <c r="L118" s="3"/>
      <c r="M118" s="3"/>
      <c r="N118" s="3"/>
      <c r="O118" s="3"/>
      <c r="P118" s="3"/>
      <c r="Q118" s="3"/>
      <c r="R118" s="3"/>
      <c r="S118" s="3"/>
      <c r="T118" s="3"/>
      <c r="U118" s="3"/>
      <c r="V118" s="3"/>
      <c r="W118" s="3"/>
      <c r="X118" s="3"/>
      <c r="Y118" s="3"/>
      <c r="Z118" s="3"/>
    </row>
    <row r="119" spans="1:26" ht="22.5" customHeight="1" x14ac:dyDescent="0.85">
      <c r="A119" s="175" t="s">
        <v>468</v>
      </c>
      <c r="B119" s="207">
        <f>Trees!B6</f>
        <v>-111269</v>
      </c>
      <c r="C119" s="179" t="s">
        <v>412</v>
      </c>
      <c r="D119" s="179">
        <v>1</v>
      </c>
      <c r="E119" s="178">
        <f>SUM(Trees!D53:D65)</f>
        <v>216876</v>
      </c>
      <c r="F119" s="179" t="s">
        <v>469</v>
      </c>
      <c r="G119" s="147"/>
      <c r="H119" s="147"/>
      <c r="I119" s="147"/>
      <c r="J119" s="147"/>
      <c r="K119" s="3"/>
      <c r="L119" s="3"/>
      <c r="M119" s="3"/>
      <c r="N119" s="3"/>
      <c r="O119" s="3"/>
      <c r="P119" s="3"/>
      <c r="Q119" s="3"/>
      <c r="R119" s="3"/>
      <c r="S119" s="3"/>
      <c r="T119" s="3"/>
      <c r="U119" s="3"/>
      <c r="V119" s="3"/>
      <c r="W119" s="3"/>
      <c r="X119" s="3"/>
      <c r="Y119" s="3"/>
      <c r="Z119" s="3"/>
    </row>
    <row r="120" spans="1:26" ht="22.5" customHeight="1" x14ac:dyDescent="0.85">
      <c r="A120" s="186" t="s">
        <v>470</v>
      </c>
      <c r="B120" s="208">
        <f>SUM(B117+B118+B119)</f>
        <v>-46011.985350260809</v>
      </c>
      <c r="C120" s="188"/>
      <c r="D120" s="189"/>
      <c r="E120" s="189"/>
      <c r="F120" s="190"/>
      <c r="G120" s="147"/>
      <c r="H120" s="147"/>
      <c r="I120" s="147"/>
      <c r="J120" s="147"/>
      <c r="K120" s="3"/>
      <c r="L120" s="3"/>
      <c r="M120" s="3"/>
      <c r="N120" s="3"/>
      <c r="O120" s="3"/>
      <c r="P120" s="3"/>
      <c r="Q120" s="3"/>
      <c r="R120" s="3"/>
      <c r="S120" s="3"/>
      <c r="T120" s="3"/>
      <c r="U120" s="3"/>
      <c r="V120" s="3"/>
      <c r="W120" s="3"/>
      <c r="X120" s="3"/>
      <c r="Y120" s="3"/>
      <c r="Z120" s="3"/>
    </row>
    <row r="121" spans="1:26" ht="22.5" customHeight="1" x14ac:dyDescent="0.85">
      <c r="A121" s="209" t="s">
        <v>101</v>
      </c>
      <c r="B121" s="210">
        <f>B114+B109+B95+B74+B117+B118</f>
        <v>1586226.7909026016</v>
      </c>
      <c r="C121" s="211"/>
      <c r="D121" s="212"/>
      <c r="E121" s="212"/>
      <c r="F121" s="213"/>
      <c r="G121" s="147"/>
      <c r="H121" s="147"/>
      <c r="I121" s="147"/>
      <c r="J121" s="147"/>
      <c r="K121" s="3"/>
      <c r="L121" s="3"/>
      <c r="M121" s="3"/>
      <c r="N121" s="3"/>
      <c r="O121" s="3"/>
      <c r="P121" s="3"/>
      <c r="Q121" s="3"/>
      <c r="R121" s="3"/>
      <c r="S121" s="3"/>
      <c r="T121" s="3"/>
      <c r="U121" s="3"/>
      <c r="V121" s="3"/>
      <c r="W121" s="3"/>
      <c r="X121" s="3"/>
      <c r="Y121" s="3"/>
      <c r="Z121" s="3"/>
    </row>
    <row r="122" spans="1:26" ht="22.5" customHeight="1" x14ac:dyDescent="0.85">
      <c r="A122" s="209" t="s">
        <v>136</v>
      </c>
      <c r="B122" s="214">
        <f>B119</f>
        <v>-111269</v>
      </c>
      <c r="C122" s="211"/>
      <c r="D122" s="212"/>
      <c r="E122" s="212"/>
      <c r="F122" s="213"/>
      <c r="G122" s="147"/>
      <c r="H122" s="147"/>
      <c r="I122" s="147"/>
      <c r="J122" s="147"/>
      <c r="K122" s="3"/>
      <c r="L122" s="3"/>
      <c r="M122" s="3"/>
      <c r="N122" s="3"/>
      <c r="O122" s="3"/>
      <c r="P122" s="3"/>
      <c r="Q122" s="3"/>
      <c r="R122" s="3"/>
      <c r="S122" s="3"/>
      <c r="T122" s="3"/>
      <c r="U122" s="3"/>
      <c r="V122" s="3"/>
      <c r="W122" s="3"/>
      <c r="X122" s="3"/>
      <c r="Y122" s="3"/>
      <c r="Z122" s="3"/>
    </row>
    <row r="123" spans="1:26" ht="22.5" customHeight="1" x14ac:dyDescent="0.85">
      <c r="A123" s="209" t="s">
        <v>123</v>
      </c>
      <c r="B123" s="210">
        <f>B121+B122</f>
        <v>1474957.7909026016</v>
      </c>
      <c r="C123" s="211"/>
      <c r="D123" s="212"/>
      <c r="E123" s="212"/>
      <c r="F123" s="213"/>
      <c r="G123" s="147"/>
      <c r="H123" s="147"/>
      <c r="I123" s="147"/>
      <c r="J123" s="147"/>
      <c r="K123" s="3"/>
      <c r="L123" s="3"/>
      <c r="M123" s="3"/>
      <c r="N123" s="3"/>
      <c r="O123" s="3"/>
      <c r="P123" s="3"/>
      <c r="Q123" s="3"/>
      <c r="R123" s="3"/>
      <c r="S123" s="3"/>
      <c r="T123" s="3"/>
      <c r="U123" s="3"/>
      <c r="V123" s="3"/>
      <c r="W123" s="3"/>
      <c r="X123" s="3"/>
      <c r="Y123" s="3"/>
      <c r="Z123" s="3"/>
    </row>
    <row r="124" spans="1:26" ht="22.5" customHeight="1" x14ac:dyDescent="0.85">
      <c r="A124" s="166"/>
      <c r="B124" s="167"/>
      <c r="C124" s="167"/>
      <c r="D124" s="147"/>
      <c r="E124" s="147"/>
      <c r="F124" s="147"/>
      <c r="G124" s="147"/>
      <c r="H124" s="147"/>
      <c r="I124" s="147"/>
      <c r="J124" s="147"/>
      <c r="K124" s="3"/>
      <c r="L124" s="3"/>
      <c r="M124" s="3"/>
      <c r="N124" s="3"/>
      <c r="O124" s="3"/>
      <c r="P124" s="3"/>
      <c r="Q124" s="3"/>
      <c r="R124" s="3"/>
      <c r="S124" s="3"/>
      <c r="T124" s="3"/>
      <c r="U124" s="3"/>
      <c r="V124" s="3"/>
      <c r="W124" s="3"/>
      <c r="X124" s="3"/>
      <c r="Y124" s="3"/>
      <c r="Z124" s="3"/>
    </row>
    <row r="125" spans="1:26" ht="22.5" customHeight="1" x14ac:dyDescent="0.85">
      <c r="A125" s="144" t="s">
        <v>471</v>
      </c>
      <c r="B125" s="145"/>
      <c r="C125" s="145"/>
      <c r="D125" s="145"/>
      <c r="E125" s="145"/>
      <c r="F125" s="145"/>
      <c r="G125" s="146"/>
      <c r="H125" s="147"/>
      <c r="I125" s="147"/>
      <c r="J125" s="147"/>
      <c r="K125" s="147"/>
      <c r="L125" s="147"/>
      <c r="M125" s="3"/>
      <c r="N125" s="3"/>
      <c r="O125" s="3"/>
      <c r="P125" s="3"/>
      <c r="Q125" s="3"/>
      <c r="R125" s="3"/>
      <c r="S125" s="3"/>
      <c r="T125" s="3"/>
      <c r="U125" s="3"/>
      <c r="V125" s="3"/>
      <c r="W125" s="3"/>
      <c r="X125" s="3"/>
      <c r="Y125" s="3"/>
      <c r="Z125" s="3"/>
    </row>
    <row r="126" spans="1:26" ht="22.5" customHeight="1" x14ac:dyDescent="0.85">
      <c r="A126" s="215" t="s">
        <v>472</v>
      </c>
      <c r="B126" s="216"/>
      <c r="C126" s="216"/>
      <c r="D126" s="216"/>
      <c r="E126" s="216"/>
      <c r="F126" s="216"/>
      <c r="G126" s="217"/>
      <c r="H126" s="147"/>
      <c r="I126" s="147"/>
      <c r="J126" s="147"/>
      <c r="K126" s="3"/>
      <c r="L126" s="3"/>
      <c r="M126" s="3"/>
      <c r="N126" s="3"/>
      <c r="O126" s="3"/>
      <c r="P126" s="3"/>
      <c r="Q126" s="3"/>
      <c r="R126" s="3"/>
      <c r="S126" s="3"/>
      <c r="T126" s="3"/>
      <c r="U126" s="3"/>
      <c r="V126" s="3"/>
      <c r="W126" s="3"/>
      <c r="X126" s="3"/>
      <c r="Y126" s="3"/>
      <c r="Z126" s="3"/>
    </row>
    <row r="127" spans="1:26" ht="22.5" customHeight="1" x14ac:dyDescent="0.85">
      <c r="A127" s="218" t="s">
        <v>473</v>
      </c>
      <c r="B127" s="148" t="s">
        <v>409</v>
      </c>
      <c r="C127" s="148" t="s">
        <v>410</v>
      </c>
      <c r="D127" s="204" t="s">
        <v>362</v>
      </c>
      <c r="E127" s="204" t="s">
        <v>117</v>
      </c>
      <c r="F127" s="204" t="s">
        <v>251</v>
      </c>
      <c r="G127" s="204" t="s">
        <v>362</v>
      </c>
      <c r="H127" s="147"/>
      <c r="I127" s="147"/>
      <c r="J127" s="147"/>
      <c r="K127" s="3"/>
      <c r="L127" s="3"/>
      <c r="M127" s="3"/>
      <c r="N127" s="3"/>
      <c r="O127" s="3"/>
      <c r="P127" s="3"/>
      <c r="Q127" s="3"/>
      <c r="R127" s="3"/>
      <c r="S127" s="3"/>
      <c r="T127" s="3"/>
      <c r="U127" s="3"/>
      <c r="V127" s="3"/>
      <c r="W127" s="3"/>
      <c r="X127" s="3"/>
      <c r="Y127" s="3"/>
      <c r="Z127" s="3"/>
    </row>
    <row r="128" spans="1:26" ht="22.5" customHeight="1" x14ac:dyDescent="0.85">
      <c r="A128" s="87" t="s">
        <v>474</v>
      </c>
      <c r="B128" s="175" t="s">
        <v>475</v>
      </c>
      <c r="C128" s="219">
        <v>0</v>
      </c>
      <c r="D128" s="176" t="s">
        <v>412</v>
      </c>
      <c r="E128" s="176" t="s">
        <v>106</v>
      </c>
      <c r="F128" s="178">
        <v>0</v>
      </c>
      <c r="G128" s="176" t="s">
        <v>476</v>
      </c>
      <c r="H128" s="147"/>
      <c r="I128" s="147"/>
      <c r="J128" s="147"/>
      <c r="K128" s="3"/>
      <c r="L128" s="3"/>
      <c r="M128" s="3"/>
      <c r="N128" s="3"/>
      <c r="O128" s="3"/>
      <c r="P128" s="3"/>
      <c r="Q128" s="3"/>
      <c r="R128" s="3"/>
      <c r="S128" s="3"/>
      <c r="T128" s="3"/>
      <c r="U128" s="3"/>
      <c r="V128" s="3"/>
      <c r="W128" s="3"/>
      <c r="X128" s="3"/>
      <c r="Y128" s="3"/>
      <c r="Z128" s="3"/>
    </row>
    <row r="129" spans="1:26" ht="22.5" customHeight="1" x14ac:dyDescent="0.85">
      <c r="A129" s="228"/>
      <c r="B129" s="175" t="s">
        <v>477</v>
      </c>
      <c r="C129" s="219">
        <f>'Renewable Energy Data '!G26</f>
        <v>-389.10392177596185</v>
      </c>
      <c r="D129" s="176" t="s">
        <v>412</v>
      </c>
      <c r="E129" s="229">
        <f>'Renewable Energy Data '!F26</f>
        <v>1503.5558040565847</v>
      </c>
      <c r="F129" s="178">
        <f>'Renewable Energy Data '!F26</f>
        <v>1503.5558040565847</v>
      </c>
      <c r="G129" s="176" t="s">
        <v>476</v>
      </c>
      <c r="H129" s="147"/>
      <c r="I129" s="147"/>
      <c r="J129" s="147"/>
      <c r="K129" s="3"/>
      <c r="L129" s="3"/>
      <c r="M129" s="3"/>
      <c r="N129" s="3"/>
      <c r="O129" s="3"/>
      <c r="P129" s="3"/>
      <c r="Q129" s="3"/>
      <c r="R129" s="3"/>
      <c r="S129" s="3"/>
      <c r="T129" s="3"/>
      <c r="U129" s="3"/>
      <c r="V129" s="3"/>
      <c r="W129" s="3"/>
      <c r="X129" s="3"/>
      <c r="Y129" s="3"/>
      <c r="Z129" s="3"/>
    </row>
    <row r="130" spans="1:26" ht="22.5" customHeight="1" x14ac:dyDescent="0.85">
      <c r="A130" s="86" t="s">
        <v>478</v>
      </c>
      <c r="B130" s="175" t="s">
        <v>495</v>
      </c>
      <c r="C130" s="219">
        <f>'Renewable Energy Data '!G28</f>
        <v>-244.71654286589074</v>
      </c>
      <c r="D130" s="176" t="s">
        <v>412</v>
      </c>
      <c r="E130" s="229">
        <f>'Renewable Energy Data '!F28</f>
        <v>376.15100000000001</v>
      </c>
      <c r="F130" s="178">
        <f>'Renewable Energy Data '!F28</f>
        <v>376.15100000000001</v>
      </c>
      <c r="G130" s="176" t="s">
        <v>476</v>
      </c>
      <c r="H130" s="147"/>
      <c r="I130" s="147"/>
      <c r="J130" s="147"/>
      <c r="K130" s="3"/>
      <c r="L130" s="3"/>
      <c r="M130" s="3"/>
      <c r="N130" s="3"/>
      <c r="O130" s="3"/>
      <c r="P130" s="3"/>
      <c r="Q130" s="3"/>
      <c r="R130" s="3"/>
      <c r="S130" s="3"/>
      <c r="T130" s="3"/>
      <c r="U130" s="3"/>
      <c r="V130" s="3"/>
      <c r="W130" s="3"/>
      <c r="X130" s="3"/>
      <c r="Y130" s="3"/>
      <c r="Z130" s="3"/>
    </row>
    <row r="131" spans="1:26" ht="22.5" customHeight="1" x14ac:dyDescent="0.85">
      <c r="A131" s="220" t="s">
        <v>480</v>
      </c>
      <c r="B131" s="221"/>
      <c r="C131" s="222"/>
      <c r="D131" s="223"/>
      <c r="E131" s="223"/>
      <c r="F131" s="224"/>
      <c r="G131" s="225"/>
      <c r="H131" s="147"/>
      <c r="I131" s="147"/>
      <c r="J131" s="147"/>
      <c r="K131" s="3"/>
      <c r="L131" s="3"/>
      <c r="M131" s="3"/>
      <c r="N131" s="3"/>
      <c r="O131" s="3"/>
      <c r="P131" s="3"/>
      <c r="Q131" s="3"/>
      <c r="R131" s="3"/>
      <c r="S131" s="3"/>
      <c r="T131" s="3"/>
      <c r="U131" s="3"/>
      <c r="V131" s="3"/>
      <c r="W131" s="3"/>
      <c r="X131" s="3"/>
      <c r="Y131" s="3"/>
      <c r="Z131" s="3"/>
    </row>
    <row r="132" spans="1:26" ht="22.5" customHeight="1" x14ac:dyDescent="0.85">
      <c r="A132" s="130" t="s">
        <v>409</v>
      </c>
      <c r="B132" s="130" t="s">
        <v>410</v>
      </c>
      <c r="C132" s="174" t="s">
        <v>362</v>
      </c>
      <c r="D132" s="174" t="s">
        <v>117</v>
      </c>
      <c r="E132" s="174" t="s">
        <v>251</v>
      </c>
      <c r="F132" s="174" t="s">
        <v>362</v>
      </c>
      <c r="G132" s="225"/>
      <c r="H132" s="147"/>
      <c r="I132" s="147"/>
      <c r="J132" s="147"/>
      <c r="K132" s="3"/>
      <c r="L132" s="3"/>
      <c r="M132" s="3"/>
      <c r="N132" s="3"/>
      <c r="O132" s="3"/>
      <c r="P132" s="3"/>
      <c r="Q132" s="3"/>
      <c r="R132" s="3"/>
      <c r="S132" s="3"/>
      <c r="T132" s="3"/>
      <c r="U132" s="3"/>
      <c r="V132" s="3"/>
      <c r="W132" s="3"/>
      <c r="X132" s="3"/>
      <c r="Y132" s="3"/>
      <c r="Z132" s="3"/>
    </row>
    <row r="133" spans="1:26" ht="22.5" customHeight="1" x14ac:dyDescent="0.85">
      <c r="A133" s="175" t="s">
        <v>481</v>
      </c>
      <c r="B133" s="178">
        <f>'Waste_Recycling Data'!D86+'Waste_Recycling Data'!D87</f>
        <v>0</v>
      </c>
      <c r="C133" s="179" t="s">
        <v>412</v>
      </c>
      <c r="D133" s="179" t="s">
        <v>106</v>
      </c>
      <c r="E133" s="98">
        <f>SUM('Waste_Recycling Data'!D97,'Waste_Recycling Data'!D98,'Waste_Recycling Data'!D106,'Waste_Recycling Data'!D107)</f>
        <v>0</v>
      </c>
      <c r="F133" s="179" t="s">
        <v>482</v>
      </c>
      <c r="G133" s="225"/>
      <c r="H133" s="147"/>
      <c r="I133" s="147"/>
      <c r="J133" s="147"/>
      <c r="K133" s="3"/>
      <c r="L133" s="3"/>
      <c r="M133" s="3"/>
      <c r="N133" s="3"/>
      <c r="O133" s="3"/>
      <c r="P133" s="3"/>
      <c r="Q133" s="3"/>
      <c r="R133" s="3"/>
      <c r="S133" s="3"/>
      <c r="T133" s="3"/>
      <c r="U133" s="3"/>
      <c r="V133" s="3"/>
      <c r="W133" s="3"/>
      <c r="X133" s="3"/>
      <c r="Y133" s="3"/>
      <c r="Z133" s="3"/>
    </row>
    <row r="134" spans="1:26" ht="22.5" customHeight="1" x14ac:dyDescent="0.85">
      <c r="A134" s="186" t="s">
        <v>483</v>
      </c>
      <c r="B134" s="226">
        <f>B133+SUM(C128:C130)</f>
        <v>-633.8204646418526</v>
      </c>
      <c r="C134" s="188"/>
      <c r="D134" s="189"/>
      <c r="E134" s="189"/>
      <c r="F134" s="190"/>
      <c r="G134" s="225"/>
      <c r="H134" s="147"/>
      <c r="I134" s="147"/>
      <c r="J134" s="147"/>
      <c r="K134" s="3"/>
      <c r="L134" s="3"/>
      <c r="M134" s="3"/>
      <c r="N134" s="3"/>
      <c r="O134" s="3"/>
      <c r="P134" s="3"/>
      <c r="Q134" s="3"/>
      <c r="R134" s="3"/>
      <c r="S134" s="3"/>
      <c r="T134" s="3"/>
      <c r="U134" s="3"/>
      <c r="V134" s="3"/>
      <c r="W134" s="3"/>
      <c r="X134" s="3"/>
      <c r="Y134" s="3"/>
      <c r="Z134" s="3"/>
    </row>
    <row r="135" spans="1:26" ht="22.5" customHeight="1" x14ac:dyDescent="0.85">
      <c r="A135" s="166"/>
      <c r="B135" s="167"/>
      <c r="C135" s="167"/>
      <c r="D135" s="147"/>
      <c r="E135" s="147"/>
      <c r="F135" s="147"/>
      <c r="G135" s="147"/>
      <c r="H135" s="147"/>
      <c r="I135" s="147"/>
      <c r="J135" s="147"/>
      <c r="K135" s="3"/>
      <c r="L135" s="3"/>
      <c r="M135" s="3"/>
      <c r="N135" s="3"/>
      <c r="O135" s="3"/>
      <c r="P135" s="3"/>
      <c r="Q135" s="3"/>
      <c r="R135" s="3"/>
      <c r="S135" s="3"/>
      <c r="T135" s="3"/>
      <c r="U135" s="3"/>
      <c r="V135" s="3"/>
      <c r="W135" s="3"/>
      <c r="X135" s="3"/>
      <c r="Y135" s="3"/>
      <c r="Z135" s="3"/>
    </row>
    <row r="136" spans="1:26" ht="22.5" customHeight="1" x14ac:dyDescent="0.85">
      <c r="A136" s="166"/>
      <c r="B136" s="167"/>
      <c r="C136" s="167"/>
      <c r="D136" s="147"/>
      <c r="E136" s="147"/>
      <c r="F136" s="147"/>
      <c r="G136" s="147"/>
      <c r="H136" s="147"/>
      <c r="I136" s="147"/>
      <c r="J136" s="147"/>
      <c r="K136" s="3"/>
      <c r="L136" s="3"/>
      <c r="M136" s="3"/>
      <c r="N136" s="3"/>
      <c r="O136" s="3"/>
      <c r="P136" s="3"/>
      <c r="Q136" s="3"/>
      <c r="R136" s="3"/>
      <c r="S136" s="3"/>
      <c r="T136" s="3"/>
      <c r="U136" s="3"/>
      <c r="V136" s="3"/>
      <c r="W136" s="3"/>
      <c r="X136" s="3"/>
      <c r="Y136" s="3"/>
      <c r="Z136" s="3"/>
    </row>
    <row r="137" spans="1:26" ht="22.5" customHeight="1" x14ac:dyDescent="0.85">
      <c r="A137" s="166"/>
      <c r="B137" s="167"/>
      <c r="C137" s="167"/>
      <c r="D137" s="147"/>
      <c r="E137" s="147"/>
      <c r="F137" s="147"/>
      <c r="G137" s="147"/>
      <c r="H137" s="147"/>
      <c r="I137" s="147"/>
      <c r="J137" s="147"/>
      <c r="K137" s="3"/>
      <c r="L137" s="3"/>
      <c r="M137" s="3"/>
      <c r="N137" s="3"/>
      <c r="O137" s="3"/>
      <c r="P137" s="3"/>
      <c r="Q137" s="3"/>
      <c r="R137" s="3"/>
      <c r="S137" s="3"/>
      <c r="T137" s="3"/>
      <c r="U137" s="3"/>
      <c r="V137" s="3"/>
      <c r="W137" s="3"/>
      <c r="X137" s="3"/>
      <c r="Y137" s="3"/>
      <c r="Z137" s="3"/>
    </row>
    <row r="138" spans="1:26" ht="22.5" customHeight="1" x14ac:dyDescent="0.85">
      <c r="A138" s="166"/>
      <c r="B138" s="167"/>
      <c r="C138" s="167"/>
      <c r="D138" s="147"/>
      <c r="E138" s="147"/>
      <c r="F138" s="147"/>
      <c r="G138" s="147"/>
      <c r="H138" s="147"/>
      <c r="I138" s="147"/>
      <c r="J138" s="147"/>
      <c r="K138" s="3"/>
      <c r="L138" s="3"/>
      <c r="M138" s="3"/>
      <c r="N138" s="3"/>
      <c r="O138" s="3"/>
      <c r="P138" s="3"/>
      <c r="Q138" s="3"/>
      <c r="R138" s="3"/>
      <c r="S138" s="3"/>
      <c r="T138" s="3"/>
      <c r="U138" s="3"/>
      <c r="V138" s="3"/>
      <c r="W138" s="3"/>
      <c r="X138" s="3"/>
      <c r="Y138" s="3"/>
      <c r="Z138" s="3"/>
    </row>
    <row r="139" spans="1:26" ht="22.5" customHeight="1" x14ac:dyDescent="0.85">
      <c r="A139" s="166"/>
      <c r="B139" s="167"/>
      <c r="C139" s="167"/>
      <c r="D139" s="147"/>
      <c r="E139" s="147"/>
      <c r="F139" s="147"/>
      <c r="G139" s="147"/>
      <c r="H139" s="147"/>
      <c r="I139" s="147"/>
      <c r="J139" s="147"/>
      <c r="K139" s="3"/>
      <c r="L139" s="3"/>
      <c r="M139" s="3"/>
      <c r="N139" s="3"/>
      <c r="O139" s="3"/>
      <c r="P139" s="3"/>
      <c r="Q139" s="3"/>
      <c r="R139" s="3"/>
      <c r="S139" s="3"/>
      <c r="T139" s="3"/>
      <c r="U139" s="3"/>
      <c r="V139" s="3"/>
      <c r="W139" s="3"/>
      <c r="X139" s="3"/>
      <c r="Y139" s="3"/>
      <c r="Z139" s="3"/>
    </row>
    <row r="140" spans="1:26" ht="22.5" customHeight="1" x14ac:dyDescent="0.85">
      <c r="A140" s="166"/>
      <c r="B140" s="167"/>
      <c r="C140" s="167"/>
      <c r="D140" s="147"/>
      <c r="E140" s="147"/>
      <c r="F140" s="147"/>
      <c r="G140" s="147"/>
      <c r="H140" s="147"/>
      <c r="I140" s="147"/>
      <c r="J140" s="147"/>
      <c r="K140" s="3"/>
      <c r="L140" s="3"/>
      <c r="M140" s="3"/>
      <c r="N140" s="3"/>
      <c r="O140" s="3"/>
      <c r="P140" s="3"/>
      <c r="Q140" s="3"/>
      <c r="R140" s="3"/>
      <c r="S140" s="3"/>
      <c r="T140" s="3"/>
      <c r="U140" s="3"/>
      <c r="V140" s="3"/>
      <c r="W140" s="3"/>
      <c r="X140" s="3"/>
      <c r="Y140" s="3"/>
      <c r="Z140" s="3"/>
    </row>
    <row r="141" spans="1:26" ht="22.5" customHeight="1" x14ac:dyDescent="0.85">
      <c r="A141" s="166"/>
      <c r="B141" s="167"/>
      <c r="C141" s="167"/>
      <c r="D141" s="147"/>
      <c r="E141" s="147"/>
      <c r="F141" s="147"/>
      <c r="G141" s="147"/>
      <c r="H141" s="147"/>
      <c r="I141" s="147"/>
      <c r="J141" s="147"/>
      <c r="K141" s="3"/>
      <c r="L141" s="3"/>
      <c r="M141" s="3"/>
      <c r="N141" s="3"/>
      <c r="O141" s="3"/>
      <c r="P141" s="3"/>
      <c r="Q141" s="3"/>
      <c r="R141" s="3"/>
      <c r="S141" s="3"/>
      <c r="T141" s="3"/>
      <c r="U141" s="3"/>
      <c r="V141" s="3"/>
      <c r="W141" s="3"/>
      <c r="X141" s="3"/>
      <c r="Y141" s="3"/>
      <c r="Z141" s="3"/>
    </row>
    <row r="142" spans="1:26" ht="22.5" customHeight="1" x14ac:dyDescent="0.85">
      <c r="A142" s="166"/>
      <c r="B142" s="167"/>
      <c r="C142" s="167"/>
      <c r="D142" s="147"/>
      <c r="E142" s="147"/>
      <c r="F142" s="147"/>
      <c r="G142" s="147"/>
      <c r="H142" s="147"/>
      <c r="I142" s="147"/>
      <c r="J142" s="147"/>
      <c r="K142" s="3"/>
      <c r="L142" s="3"/>
      <c r="M142" s="3"/>
      <c r="N142" s="3"/>
      <c r="O142" s="3"/>
      <c r="P142" s="3"/>
      <c r="Q142" s="3"/>
      <c r="R142" s="3"/>
      <c r="S142" s="3"/>
      <c r="T142" s="3"/>
      <c r="U142" s="3"/>
      <c r="V142" s="3"/>
      <c r="W142" s="3"/>
      <c r="X142" s="3"/>
      <c r="Y142" s="3"/>
      <c r="Z142" s="3"/>
    </row>
    <row r="143" spans="1:26" ht="22.5" customHeight="1" x14ac:dyDescent="0.85">
      <c r="A143" s="166"/>
      <c r="B143" s="167"/>
      <c r="C143" s="167"/>
      <c r="D143" s="147"/>
      <c r="E143" s="147"/>
      <c r="F143" s="147"/>
      <c r="G143" s="147"/>
      <c r="H143" s="147"/>
      <c r="I143" s="147"/>
      <c r="J143" s="147"/>
      <c r="K143" s="3"/>
      <c r="L143" s="3"/>
      <c r="M143" s="3"/>
      <c r="N143" s="3"/>
      <c r="O143" s="3"/>
      <c r="P143" s="3"/>
      <c r="Q143" s="3"/>
      <c r="R143" s="3"/>
      <c r="S143" s="3"/>
      <c r="T143" s="3"/>
      <c r="U143" s="3"/>
      <c r="V143" s="3"/>
      <c r="W143" s="3"/>
      <c r="X143" s="3"/>
      <c r="Y143" s="3"/>
      <c r="Z143" s="3"/>
    </row>
    <row r="144" spans="1:26" ht="22.5" customHeight="1" x14ac:dyDescent="0.85">
      <c r="A144" s="166"/>
      <c r="B144" s="167"/>
      <c r="C144" s="167"/>
      <c r="D144" s="147"/>
      <c r="E144" s="147"/>
      <c r="F144" s="147"/>
      <c r="G144" s="147"/>
      <c r="H144" s="147"/>
      <c r="I144" s="147"/>
      <c r="J144" s="147"/>
      <c r="K144" s="3"/>
      <c r="L144" s="3"/>
      <c r="M144" s="3"/>
      <c r="N144" s="3"/>
      <c r="O144" s="3"/>
      <c r="P144" s="3"/>
      <c r="Q144" s="3"/>
      <c r="R144" s="3"/>
      <c r="S144" s="3"/>
      <c r="T144" s="3"/>
      <c r="U144" s="3"/>
      <c r="V144" s="3"/>
      <c r="W144" s="3"/>
      <c r="X144" s="3"/>
      <c r="Y144" s="3"/>
      <c r="Z144" s="3"/>
    </row>
    <row r="145" spans="1:26" ht="22.5" customHeight="1" x14ac:dyDescent="0.85">
      <c r="A145" s="166"/>
      <c r="B145" s="167"/>
      <c r="C145" s="167"/>
      <c r="D145" s="147"/>
      <c r="E145" s="147"/>
      <c r="F145" s="147"/>
      <c r="G145" s="147"/>
      <c r="H145" s="147"/>
      <c r="I145" s="147"/>
      <c r="J145" s="147"/>
      <c r="K145" s="3"/>
      <c r="L145" s="3"/>
      <c r="M145" s="3"/>
      <c r="N145" s="3"/>
      <c r="O145" s="3"/>
      <c r="P145" s="3"/>
      <c r="Q145" s="3"/>
      <c r="R145" s="3"/>
      <c r="S145" s="3"/>
      <c r="T145" s="3"/>
      <c r="U145" s="3"/>
      <c r="V145" s="3"/>
      <c r="W145" s="3"/>
      <c r="X145" s="3"/>
      <c r="Y145" s="3"/>
      <c r="Z145" s="3"/>
    </row>
    <row r="146" spans="1:26" ht="22.5" customHeight="1" x14ac:dyDescent="0.85">
      <c r="A146" s="166"/>
      <c r="B146" s="167"/>
      <c r="C146" s="167"/>
      <c r="D146" s="147"/>
      <c r="E146" s="147"/>
      <c r="F146" s="147"/>
      <c r="G146" s="147"/>
      <c r="H146" s="147"/>
      <c r="I146" s="147"/>
      <c r="J146" s="147"/>
      <c r="K146" s="3"/>
      <c r="L146" s="3"/>
      <c r="M146" s="3"/>
      <c r="N146" s="3"/>
      <c r="O146" s="3"/>
      <c r="P146" s="3"/>
      <c r="Q146" s="3"/>
      <c r="R146" s="3"/>
      <c r="S146" s="3"/>
      <c r="T146" s="3"/>
      <c r="U146" s="3"/>
      <c r="V146" s="3"/>
      <c r="W146" s="3"/>
      <c r="X146" s="3"/>
      <c r="Y146" s="3"/>
      <c r="Z146" s="3"/>
    </row>
    <row r="147" spans="1:26" ht="22.5" customHeight="1" x14ac:dyDescent="0.85">
      <c r="A147" s="166"/>
      <c r="B147" s="167"/>
      <c r="C147" s="167"/>
      <c r="D147" s="147"/>
      <c r="E147" s="147"/>
      <c r="F147" s="147"/>
      <c r="G147" s="147"/>
      <c r="H147" s="147"/>
      <c r="I147" s="147"/>
      <c r="J147" s="147"/>
      <c r="K147" s="3"/>
      <c r="L147" s="3"/>
      <c r="M147" s="3"/>
      <c r="N147" s="3"/>
      <c r="O147" s="3"/>
      <c r="P147" s="3"/>
      <c r="Q147" s="3"/>
      <c r="R147" s="3"/>
      <c r="S147" s="3"/>
      <c r="T147" s="3"/>
      <c r="U147" s="3"/>
      <c r="V147" s="3"/>
      <c r="W147" s="3"/>
      <c r="X147" s="3"/>
      <c r="Y147" s="3"/>
      <c r="Z147" s="3"/>
    </row>
    <row r="148" spans="1:26" ht="22.5" customHeight="1" x14ac:dyDescent="0.85">
      <c r="A148" s="166"/>
      <c r="B148" s="167"/>
      <c r="C148" s="167"/>
      <c r="D148" s="147"/>
      <c r="E148" s="147"/>
      <c r="F148" s="147"/>
      <c r="G148" s="147"/>
      <c r="H148" s="147"/>
      <c r="I148" s="147"/>
      <c r="J148" s="147"/>
      <c r="K148" s="3"/>
      <c r="L148" s="3"/>
      <c r="M148" s="3"/>
      <c r="N148" s="3"/>
      <c r="O148" s="3"/>
      <c r="P148" s="3"/>
      <c r="Q148" s="3"/>
      <c r="R148" s="3"/>
      <c r="S148" s="3"/>
      <c r="T148" s="3"/>
      <c r="U148" s="3"/>
      <c r="V148" s="3"/>
      <c r="W148" s="3"/>
      <c r="X148" s="3"/>
      <c r="Y148" s="3"/>
      <c r="Z148" s="3"/>
    </row>
    <row r="149" spans="1:26" ht="22.5" customHeight="1" x14ac:dyDescent="0.85">
      <c r="A149" s="166"/>
      <c r="B149" s="167"/>
      <c r="C149" s="167"/>
      <c r="D149" s="147"/>
      <c r="E149" s="147"/>
      <c r="F149" s="147"/>
      <c r="G149" s="147"/>
      <c r="H149" s="147"/>
      <c r="I149" s="147"/>
      <c r="J149" s="147"/>
      <c r="K149" s="3"/>
      <c r="L149" s="3"/>
      <c r="M149" s="3"/>
      <c r="N149" s="3"/>
      <c r="O149" s="3"/>
      <c r="P149" s="3"/>
      <c r="Q149" s="3"/>
      <c r="R149" s="3"/>
      <c r="S149" s="3"/>
      <c r="T149" s="3"/>
      <c r="U149" s="3"/>
      <c r="V149" s="3"/>
      <c r="W149" s="3"/>
      <c r="X149" s="3"/>
      <c r="Y149" s="3"/>
      <c r="Z149" s="3"/>
    </row>
    <row r="150" spans="1:26" ht="22.5" customHeight="1" x14ac:dyDescent="0.85">
      <c r="A150" s="166"/>
      <c r="B150" s="167"/>
      <c r="C150" s="167"/>
      <c r="D150" s="147"/>
      <c r="E150" s="147"/>
      <c r="F150" s="147"/>
      <c r="G150" s="147"/>
      <c r="H150" s="147"/>
      <c r="I150" s="147"/>
      <c r="J150" s="147"/>
      <c r="K150" s="3"/>
      <c r="L150" s="3"/>
      <c r="M150" s="3"/>
      <c r="N150" s="3"/>
      <c r="O150" s="3"/>
      <c r="P150" s="3"/>
      <c r="Q150" s="3"/>
      <c r="R150" s="3"/>
      <c r="S150" s="3"/>
      <c r="T150" s="3"/>
      <c r="U150" s="3"/>
      <c r="V150" s="3"/>
      <c r="W150" s="3"/>
      <c r="X150" s="3"/>
      <c r="Y150" s="3"/>
      <c r="Z150" s="3"/>
    </row>
    <row r="151" spans="1:26" ht="22.5" customHeight="1" x14ac:dyDescent="0.85">
      <c r="A151" s="166"/>
      <c r="B151" s="167"/>
      <c r="C151" s="167"/>
      <c r="D151" s="147"/>
      <c r="E151" s="147"/>
      <c r="F151" s="147"/>
      <c r="G151" s="147"/>
      <c r="H151" s="147"/>
      <c r="I151" s="147"/>
      <c r="J151" s="147"/>
      <c r="K151" s="3"/>
      <c r="L151" s="3"/>
      <c r="M151" s="3"/>
      <c r="N151" s="3"/>
      <c r="O151" s="3"/>
      <c r="P151" s="3"/>
      <c r="Q151" s="3"/>
      <c r="R151" s="3"/>
      <c r="S151" s="3"/>
      <c r="T151" s="3"/>
      <c r="U151" s="3"/>
      <c r="V151" s="3"/>
      <c r="W151" s="3"/>
      <c r="X151" s="3"/>
      <c r="Y151" s="3"/>
      <c r="Z151" s="3"/>
    </row>
    <row r="152" spans="1:26" ht="22.5" customHeight="1" x14ac:dyDescent="0.85">
      <c r="A152" s="166"/>
      <c r="B152" s="167"/>
      <c r="C152" s="167"/>
      <c r="D152" s="147"/>
      <c r="E152" s="147"/>
      <c r="F152" s="147"/>
      <c r="G152" s="147"/>
      <c r="H152" s="147"/>
      <c r="I152" s="147"/>
      <c r="J152" s="147"/>
      <c r="K152" s="3"/>
      <c r="L152" s="3"/>
      <c r="M152" s="3"/>
      <c r="N152" s="3"/>
      <c r="O152" s="3"/>
      <c r="P152" s="3"/>
      <c r="Q152" s="3"/>
      <c r="R152" s="3"/>
      <c r="S152" s="3"/>
      <c r="T152" s="3"/>
      <c r="U152" s="3"/>
      <c r="V152" s="3"/>
      <c r="W152" s="3"/>
      <c r="X152" s="3"/>
      <c r="Y152" s="3"/>
      <c r="Z152" s="3"/>
    </row>
    <row r="153" spans="1:26" ht="22.5" customHeight="1" x14ac:dyDescent="0.85">
      <c r="A153" s="166"/>
      <c r="B153" s="167"/>
      <c r="C153" s="167"/>
      <c r="D153" s="147"/>
      <c r="E153" s="147"/>
      <c r="F153" s="147"/>
      <c r="G153" s="147"/>
      <c r="H153" s="147"/>
      <c r="I153" s="147"/>
      <c r="J153" s="147"/>
      <c r="K153" s="3"/>
      <c r="L153" s="3"/>
      <c r="M153" s="3"/>
      <c r="N153" s="3"/>
      <c r="O153" s="3"/>
      <c r="P153" s="3"/>
      <c r="Q153" s="3"/>
      <c r="R153" s="3"/>
      <c r="S153" s="3"/>
      <c r="T153" s="3"/>
      <c r="U153" s="3"/>
      <c r="V153" s="3"/>
      <c r="W153" s="3"/>
      <c r="X153" s="3"/>
      <c r="Y153" s="3"/>
      <c r="Z153" s="3"/>
    </row>
    <row r="154" spans="1:26" ht="22.5" customHeight="1" x14ac:dyDescent="0.85">
      <c r="A154" s="166"/>
      <c r="B154" s="167"/>
      <c r="C154" s="167"/>
      <c r="D154" s="147"/>
      <c r="E154" s="147"/>
      <c r="F154" s="147"/>
      <c r="G154" s="147"/>
      <c r="H154" s="147"/>
      <c r="I154" s="147"/>
      <c r="J154" s="147"/>
      <c r="K154" s="3"/>
      <c r="L154" s="3"/>
      <c r="M154" s="3"/>
      <c r="N154" s="3"/>
      <c r="O154" s="3"/>
      <c r="P154" s="3"/>
      <c r="Q154" s="3"/>
      <c r="R154" s="3"/>
      <c r="S154" s="3"/>
      <c r="T154" s="3"/>
      <c r="U154" s="3"/>
      <c r="V154" s="3"/>
      <c r="W154" s="3"/>
      <c r="X154" s="3"/>
      <c r="Y154" s="3"/>
      <c r="Z154" s="3"/>
    </row>
    <row r="155" spans="1:26" ht="22.5" customHeight="1" x14ac:dyDescent="0.85">
      <c r="A155" s="166"/>
      <c r="B155" s="167"/>
      <c r="C155" s="167"/>
      <c r="D155" s="147"/>
      <c r="E155" s="147"/>
      <c r="F155" s="147"/>
      <c r="G155" s="147"/>
      <c r="H155" s="147"/>
      <c r="I155" s="147"/>
      <c r="J155" s="147"/>
      <c r="K155" s="3"/>
      <c r="L155" s="3"/>
      <c r="M155" s="3"/>
      <c r="N155" s="3"/>
      <c r="O155" s="3"/>
      <c r="P155" s="3"/>
      <c r="Q155" s="3"/>
      <c r="R155" s="3"/>
      <c r="S155" s="3"/>
      <c r="T155" s="3"/>
      <c r="U155" s="3"/>
      <c r="V155" s="3"/>
      <c r="W155" s="3"/>
      <c r="X155" s="3"/>
      <c r="Y155" s="3"/>
      <c r="Z155" s="3"/>
    </row>
    <row r="156" spans="1:26" ht="22.5" customHeight="1" x14ac:dyDescent="0.85">
      <c r="A156" s="166"/>
      <c r="B156" s="167"/>
      <c r="C156" s="167"/>
      <c r="D156" s="147"/>
      <c r="E156" s="147"/>
      <c r="F156" s="147"/>
      <c r="G156" s="147"/>
      <c r="H156" s="147"/>
      <c r="I156" s="147"/>
      <c r="J156" s="147"/>
      <c r="K156" s="3"/>
      <c r="L156" s="3"/>
      <c r="M156" s="3"/>
      <c r="N156" s="3"/>
      <c r="O156" s="3"/>
      <c r="P156" s="3"/>
      <c r="Q156" s="3"/>
      <c r="R156" s="3"/>
      <c r="S156" s="3"/>
      <c r="T156" s="3"/>
      <c r="U156" s="3"/>
      <c r="V156" s="3"/>
      <c r="W156" s="3"/>
      <c r="X156" s="3"/>
      <c r="Y156" s="3"/>
      <c r="Z156" s="3"/>
    </row>
    <row r="157" spans="1:26" ht="22.5" customHeight="1" x14ac:dyDescent="0.85">
      <c r="A157" s="166"/>
      <c r="B157" s="167"/>
      <c r="C157" s="167"/>
      <c r="D157" s="147"/>
      <c r="E157" s="147"/>
      <c r="F157" s="147"/>
      <c r="G157" s="147"/>
      <c r="H157" s="147"/>
      <c r="I157" s="147"/>
      <c r="J157" s="147"/>
      <c r="K157" s="3"/>
      <c r="L157" s="3"/>
      <c r="M157" s="3"/>
      <c r="N157" s="3"/>
      <c r="O157" s="3"/>
      <c r="P157" s="3"/>
      <c r="Q157" s="3"/>
      <c r="R157" s="3"/>
      <c r="S157" s="3"/>
      <c r="T157" s="3"/>
      <c r="U157" s="3"/>
      <c r="V157" s="3"/>
      <c r="W157" s="3"/>
      <c r="X157" s="3"/>
      <c r="Y157" s="3"/>
      <c r="Z157" s="3"/>
    </row>
    <row r="158" spans="1:26" ht="22.5" customHeight="1" x14ac:dyDescent="0.85">
      <c r="A158" s="166"/>
      <c r="B158" s="167"/>
      <c r="C158" s="167"/>
      <c r="D158" s="147"/>
      <c r="E158" s="147"/>
      <c r="F158" s="147"/>
      <c r="G158" s="147"/>
      <c r="H158" s="147"/>
      <c r="I158" s="147"/>
      <c r="J158" s="147"/>
      <c r="K158" s="3"/>
      <c r="L158" s="3"/>
      <c r="M158" s="3"/>
      <c r="N158" s="3"/>
      <c r="O158" s="3"/>
      <c r="P158" s="3"/>
      <c r="Q158" s="3"/>
      <c r="R158" s="3"/>
      <c r="S158" s="3"/>
      <c r="T158" s="3"/>
      <c r="U158" s="3"/>
      <c r="V158" s="3"/>
      <c r="W158" s="3"/>
      <c r="X158" s="3"/>
      <c r="Y158" s="3"/>
      <c r="Z158" s="3"/>
    </row>
    <row r="159" spans="1:26" ht="22.5" customHeight="1" x14ac:dyDescent="0.85">
      <c r="A159" s="166"/>
      <c r="B159" s="167"/>
      <c r="C159" s="167"/>
      <c r="D159" s="147"/>
      <c r="E159" s="147"/>
      <c r="F159" s="147"/>
      <c r="G159" s="147"/>
      <c r="H159" s="147"/>
      <c r="I159" s="147"/>
      <c r="J159" s="147"/>
      <c r="K159" s="3"/>
      <c r="L159" s="3"/>
      <c r="M159" s="3"/>
      <c r="N159" s="3"/>
      <c r="O159" s="3"/>
      <c r="P159" s="3"/>
      <c r="Q159" s="3"/>
      <c r="R159" s="3"/>
      <c r="S159" s="3"/>
      <c r="T159" s="3"/>
      <c r="U159" s="3"/>
      <c r="V159" s="3"/>
      <c r="W159" s="3"/>
      <c r="X159" s="3"/>
      <c r="Y159" s="3"/>
      <c r="Z159" s="3"/>
    </row>
    <row r="160" spans="1:26" ht="22.5" customHeight="1" x14ac:dyDescent="0.85">
      <c r="A160" s="166"/>
      <c r="B160" s="167"/>
      <c r="C160" s="167"/>
      <c r="D160" s="147"/>
      <c r="E160" s="147"/>
      <c r="F160" s="147"/>
      <c r="G160" s="147"/>
      <c r="H160" s="147"/>
      <c r="I160" s="147"/>
      <c r="J160" s="147"/>
      <c r="K160" s="3"/>
      <c r="L160" s="3"/>
      <c r="M160" s="3"/>
      <c r="N160" s="3"/>
      <c r="O160" s="3"/>
      <c r="P160" s="3"/>
      <c r="Q160" s="3"/>
      <c r="R160" s="3"/>
      <c r="S160" s="3"/>
      <c r="T160" s="3"/>
      <c r="U160" s="3"/>
      <c r="V160" s="3"/>
      <c r="W160" s="3"/>
      <c r="X160" s="3"/>
      <c r="Y160" s="3"/>
      <c r="Z160" s="3"/>
    </row>
    <row r="161" spans="1:26" ht="22.5" customHeight="1" x14ac:dyDescent="0.85">
      <c r="A161" s="166"/>
      <c r="B161" s="167"/>
      <c r="C161" s="167"/>
      <c r="D161" s="147"/>
      <c r="E161" s="147"/>
      <c r="F161" s="147"/>
      <c r="G161" s="147"/>
      <c r="H161" s="147"/>
      <c r="I161" s="147"/>
      <c r="J161" s="147"/>
      <c r="K161" s="3"/>
      <c r="L161" s="3"/>
      <c r="M161" s="3"/>
      <c r="N161" s="3"/>
      <c r="O161" s="3"/>
      <c r="P161" s="3"/>
      <c r="Q161" s="3"/>
      <c r="R161" s="3"/>
      <c r="S161" s="3"/>
      <c r="T161" s="3"/>
      <c r="U161" s="3"/>
      <c r="V161" s="3"/>
      <c r="W161" s="3"/>
      <c r="X161" s="3"/>
      <c r="Y161" s="3"/>
      <c r="Z161" s="3"/>
    </row>
    <row r="162" spans="1:26" ht="22.5" customHeight="1" x14ac:dyDescent="0.85">
      <c r="A162" s="166"/>
      <c r="B162" s="167"/>
      <c r="C162" s="167"/>
      <c r="D162" s="147"/>
      <c r="E162" s="147"/>
      <c r="F162" s="147"/>
      <c r="G162" s="147"/>
      <c r="H162" s="147"/>
      <c r="I162" s="147"/>
      <c r="J162" s="147"/>
      <c r="K162" s="3"/>
      <c r="L162" s="3"/>
      <c r="M162" s="3"/>
      <c r="N162" s="3"/>
      <c r="O162" s="3"/>
      <c r="P162" s="3"/>
      <c r="Q162" s="3"/>
      <c r="R162" s="3"/>
      <c r="S162" s="3"/>
      <c r="T162" s="3"/>
      <c r="U162" s="3"/>
      <c r="V162" s="3"/>
      <c r="W162" s="3"/>
      <c r="X162" s="3"/>
      <c r="Y162" s="3"/>
      <c r="Z162" s="3"/>
    </row>
    <row r="163" spans="1:26" ht="22.5" customHeight="1" x14ac:dyDescent="0.85">
      <c r="A163" s="166"/>
      <c r="B163" s="167"/>
      <c r="C163" s="167"/>
      <c r="D163" s="147"/>
      <c r="E163" s="147"/>
      <c r="F163" s="147"/>
      <c r="G163" s="147"/>
      <c r="H163" s="147"/>
      <c r="I163" s="147"/>
      <c r="J163" s="147"/>
      <c r="K163" s="3"/>
      <c r="L163" s="3"/>
      <c r="M163" s="3"/>
      <c r="N163" s="3"/>
      <c r="O163" s="3"/>
      <c r="P163" s="3"/>
      <c r="Q163" s="3"/>
      <c r="R163" s="3"/>
      <c r="S163" s="3"/>
      <c r="T163" s="3"/>
      <c r="U163" s="3"/>
      <c r="V163" s="3"/>
      <c r="W163" s="3"/>
      <c r="X163" s="3"/>
      <c r="Y163" s="3"/>
      <c r="Z163" s="3"/>
    </row>
    <row r="164" spans="1:26" ht="22.5" customHeight="1" x14ac:dyDescent="0.85">
      <c r="A164" s="166"/>
      <c r="B164" s="167"/>
      <c r="C164" s="167"/>
      <c r="D164" s="147"/>
      <c r="E164" s="147"/>
      <c r="F164" s="147"/>
      <c r="G164" s="147"/>
      <c r="H164" s="147"/>
      <c r="I164" s="147"/>
      <c r="J164" s="147"/>
      <c r="K164" s="3"/>
      <c r="L164" s="3"/>
      <c r="M164" s="3"/>
      <c r="N164" s="3"/>
      <c r="O164" s="3"/>
      <c r="P164" s="3"/>
      <c r="Q164" s="3"/>
      <c r="R164" s="3"/>
      <c r="S164" s="3"/>
      <c r="T164" s="3"/>
      <c r="U164" s="3"/>
      <c r="V164" s="3"/>
      <c r="W164" s="3"/>
      <c r="X164" s="3"/>
      <c r="Y164" s="3"/>
      <c r="Z164" s="3"/>
    </row>
    <row r="165" spans="1:26" ht="22.5" customHeight="1" x14ac:dyDescent="0.85">
      <c r="A165" s="166"/>
      <c r="B165" s="167"/>
      <c r="C165" s="167"/>
      <c r="D165" s="147"/>
      <c r="E165" s="147"/>
      <c r="F165" s="147"/>
      <c r="G165" s="147"/>
      <c r="H165" s="147"/>
      <c r="I165" s="147"/>
      <c r="J165" s="147"/>
      <c r="K165" s="3"/>
      <c r="L165" s="3"/>
      <c r="M165" s="3"/>
      <c r="N165" s="3"/>
      <c r="O165" s="3"/>
      <c r="P165" s="3"/>
      <c r="Q165" s="3"/>
      <c r="R165" s="3"/>
      <c r="S165" s="3"/>
      <c r="T165" s="3"/>
      <c r="U165" s="3"/>
      <c r="V165" s="3"/>
      <c r="W165" s="3"/>
      <c r="X165" s="3"/>
      <c r="Y165" s="3"/>
      <c r="Z165" s="3"/>
    </row>
    <row r="166" spans="1:26" ht="22.5" customHeight="1" x14ac:dyDescent="0.85">
      <c r="A166" s="166"/>
      <c r="B166" s="167"/>
      <c r="C166" s="167"/>
      <c r="D166" s="147"/>
      <c r="E166" s="147"/>
      <c r="F166" s="147"/>
      <c r="G166" s="147"/>
      <c r="H166" s="147"/>
      <c r="I166" s="147"/>
      <c r="J166" s="147"/>
      <c r="K166" s="3"/>
      <c r="L166" s="3"/>
      <c r="M166" s="3"/>
      <c r="N166" s="3"/>
      <c r="O166" s="3"/>
      <c r="P166" s="3"/>
      <c r="Q166" s="3"/>
      <c r="R166" s="3"/>
      <c r="S166" s="3"/>
      <c r="T166" s="3"/>
      <c r="U166" s="3"/>
      <c r="V166" s="3"/>
      <c r="W166" s="3"/>
      <c r="X166" s="3"/>
      <c r="Y166" s="3"/>
      <c r="Z166" s="3"/>
    </row>
    <row r="167" spans="1:26" ht="22.5" customHeight="1" x14ac:dyDescent="0.85">
      <c r="A167" s="166"/>
      <c r="B167" s="167"/>
      <c r="C167" s="167"/>
      <c r="D167" s="147"/>
      <c r="E167" s="147"/>
      <c r="F167" s="147"/>
      <c r="G167" s="147"/>
      <c r="H167" s="147"/>
      <c r="I167" s="147"/>
      <c r="J167" s="147"/>
      <c r="K167" s="3"/>
      <c r="L167" s="3"/>
      <c r="M167" s="3"/>
      <c r="N167" s="3"/>
      <c r="O167" s="3"/>
      <c r="P167" s="3"/>
      <c r="Q167" s="3"/>
      <c r="R167" s="3"/>
      <c r="S167" s="3"/>
      <c r="T167" s="3"/>
      <c r="U167" s="3"/>
      <c r="V167" s="3"/>
      <c r="W167" s="3"/>
      <c r="X167" s="3"/>
      <c r="Y167" s="3"/>
      <c r="Z167" s="3"/>
    </row>
    <row r="168" spans="1:26" ht="22.5" customHeight="1" x14ac:dyDescent="0.85">
      <c r="A168" s="166"/>
      <c r="B168" s="167"/>
      <c r="C168" s="167"/>
      <c r="D168" s="147"/>
      <c r="E168" s="147"/>
      <c r="F168" s="147"/>
      <c r="G168" s="147"/>
      <c r="H168" s="147"/>
      <c r="I168" s="147"/>
      <c r="J168" s="147"/>
      <c r="K168" s="3"/>
      <c r="L168" s="3"/>
      <c r="M168" s="3"/>
      <c r="N168" s="3"/>
      <c r="O168" s="3"/>
      <c r="P168" s="3"/>
      <c r="Q168" s="3"/>
      <c r="R168" s="3"/>
      <c r="S168" s="3"/>
      <c r="T168" s="3"/>
      <c r="U168" s="3"/>
      <c r="V168" s="3"/>
      <c r="W168" s="3"/>
      <c r="X168" s="3"/>
      <c r="Y168" s="3"/>
      <c r="Z168" s="3"/>
    </row>
    <row r="169" spans="1:26" ht="22.5" customHeight="1" x14ac:dyDescent="0.85">
      <c r="A169" s="166"/>
      <c r="B169" s="167"/>
      <c r="C169" s="167"/>
      <c r="D169" s="147"/>
      <c r="E169" s="147"/>
      <c r="F169" s="147"/>
      <c r="G169" s="147"/>
      <c r="H169" s="147"/>
      <c r="I169" s="147"/>
      <c r="J169" s="147"/>
      <c r="K169" s="3"/>
      <c r="L169" s="3"/>
      <c r="M169" s="3"/>
      <c r="N169" s="3"/>
      <c r="O169" s="3"/>
      <c r="P169" s="3"/>
      <c r="Q169" s="3"/>
      <c r="R169" s="3"/>
      <c r="S169" s="3"/>
      <c r="T169" s="3"/>
      <c r="U169" s="3"/>
      <c r="V169" s="3"/>
      <c r="W169" s="3"/>
      <c r="X169" s="3"/>
      <c r="Y169" s="3"/>
      <c r="Z169" s="3"/>
    </row>
    <row r="170" spans="1:26" ht="22.5" customHeight="1" x14ac:dyDescent="0.85">
      <c r="A170" s="166"/>
      <c r="B170" s="167"/>
      <c r="C170" s="167"/>
      <c r="D170" s="147"/>
      <c r="E170" s="147"/>
      <c r="F170" s="147"/>
      <c r="G170" s="147"/>
      <c r="H170" s="147"/>
      <c r="I170" s="147"/>
      <c r="J170" s="147"/>
      <c r="K170" s="3"/>
      <c r="L170" s="3"/>
      <c r="M170" s="3"/>
      <c r="N170" s="3"/>
      <c r="O170" s="3"/>
      <c r="P170" s="3"/>
      <c r="Q170" s="3"/>
      <c r="R170" s="3"/>
      <c r="S170" s="3"/>
      <c r="T170" s="3"/>
      <c r="U170" s="3"/>
      <c r="V170" s="3"/>
      <c r="W170" s="3"/>
      <c r="X170" s="3"/>
      <c r="Y170" s="3"/>
      <c r="Z170" s="3"/>
    </row>
    <row r="171" spans="1:26" ht="22.5" customHeight="1" x14ac:dyDescent="0.85">
      <c r="A171" s="166"/>
      <c r="B171" s="167"/>
      <c r="C171" s="167"/>
      <c r="D171" s="147"/>
      <c r="E171" s="147"/>
      <c r="F171" s="147"/>
      <c r="G171" s="147"/>
      <c r="H171" s="147"/>
      <c r="I171" s="147"/>
      <c r="J171" s="147"/>
      <c r="K171" s="3"/>
      <c r="L171" s="3"/>
      <c r="M171" s="3"/>
      <c r="N171" s="3"/>
      <c r="O171" s="3"/>
      <c r="P171" s="3"/>
      <c r="Q171" s="3"/>
      <c r="R171" s="3"/>
      <c r="S171" s="3"/>
      <c r="T171" s="3"/>
      <c r="U171" s="3"/>
      <c r="V171" s="3"/>
      <c r="W171" s="3"/>
      <c r="X171" s="3"/>
      <c r="Y171" s="3"/>
      <c r="Z171" s="3"/>
    </row>
    <row r="172" spans="1:26" ht="22.5" customHeight="1" x14ac:dyDescent="0.85">
      <c r="A172" s="166"/>
      <c r="B172" s="167"/>
      <c r="C172" s="167"/>
      <c r="D172" s="147"/>
      <c r="E172" s="147"/>
      <c r="F172" s="147"/>
      <c r="G172" s="147"/>
      <c r="H172" s="147"/>
      <c r="I172" s="147"/>
      <c r="J172" s="147"/>
      <c r="K172" s="3"/>
      <c r="L172" s="3"/>
      <c r="M172" s="3"/>
      <c r="N172" s="3"/>
      <c r="O172" s="3"/>
      <c r="P172" s="3"/>
      <c r="Q172" s="3"/>
      <c r="R172" s="3"/>
      <c r="S172" s="3"/>
      <c r="T172" s="3"/>
      <c r="U172" s="3"/>
      <c r="V172" s="3"/>
      <c r="W172" s="3"/>
      <c r="X172" s="3"/>
      <c r="Y172" s="3"/>
      <c r="Z172" s="3"/>
    </row>
    <row r="173" spans="1:26" ht="22.5" customHeight="1" x14ac:dyDescent="0.85">
      <c r="A173" s="166"/>
      <c r="B173" s="167"/>
      <c r="C173" s="167"/>
      <c r="D173" s="147"/>
      <c r="E173" s="147"/>
      <c r="F173" s="147"/>
      <c r="G173" s="147"/>
      <c r="H173" s="147"/>
      <c r="I173" s="147"/>
      <c r="J173" s="147"/>
      <c r="K173" s="3"/>
      <c r="L173" s="3"/>
      <c r="M173" s="3"/>
      <c r="N173" s="3"/>
      <c r="O173" s="3"/>
      <c r="P173" s="3"/>
      <c r="Q173" s="3"/>
      <c r="R173" s="3"/>
      <c r="S173" s="3"/>
      <c r="T173" s="3"/>
      <c r="U173" s="3"/>
      <c r="V173" s="3"/>
      <c r="W173" s="3"/>
      <c r="X173" s="3"/>
      <c r="Y173" s="3"/>
      <c r="Z173" s="3"/>
    </row>
    <row r="174" spans="1:26" ht="22.5" customHeight="1" x14ac:dyDescent="0.85">
      <c r="A174" s="166"/>
      <c r="B174" s="167"/>
      <c r="C174" s="167"/>
      <c r="D174" s="147"/>
      <c r="E174" s="147"/>
      <c r="F174" s="147"/>
      <c r="G174" s="147"/>
      <c r="H174" s="147"/>
      <c r="I174" s="147"/>
      <c r="J174" s="147"/>
      <c r="K174" s="3"/>
      <c r="L174" s="3"/>
      <c r="M174" s="3"/>
      <c r="N174" s="3"/>
      <c r="O174" s="3"/>
      <c r="P174" s="3"/>
      <c r="Q174" s="3"/>
      <c r="R174" s="3"/>
      <c r="S174" s="3"/>
      <c r="T174" s="3"/>
      <c r="U174" s="3"/>
      <c r="V174" s="3"/>
      <c r="W174" s="3"/>
      <c r="X174" s="3"/>
      <c r="Y174" s="3"/>
      <c r="Z174" s="3"/>
    </row>
    <row r="175" spans="1:26" ht="22.5" customHeight="1" x14ac:dyDescent="0.85">
      <c r="A175" s="166"/>
      <c r="B175" s="167"/>
      <c r="C175" s="167"/>
      <c r="D175" s="147"/>
      <c r="E175" s="147"/>
      <c r="F175" s="147"/>
      <c r="G175" s="147"/>
      <c r="H175" s="147"/>
      <c r="I175" s="147"/>
      <c r="J175" s="147"/>
      <c r="K175" s="3"/>
      <c r="L175" s="3"/>
      <c r="M175" s="3"/>
      <c r="N175" s="3"/>
      <c r="O175" s="3"/>
      <c r="P175" s="3"/>
      <c r="Q175" s="3"/>
      <c r="R175" s="3"/>
      <c r="S175" s="3"/>
      <c r="T175" s="3"/>
      <c r="U175" s="3"/>
      <c r="V175" s="3"/>
      <c r="W175" s="3"/>
      <c r="X175" s="3"/>
      <c r="Y175" s="3"/>
      <c r="Z175" s="3"/>
    </row>
    <row r="176" spans="1:26" ht="22.5" customHeight="1" x14ac:dyDescent="0.85">
      <c r="A176" s="166"/>
      <c r="B176" s="167"/>
      <c r="C176" s="167"/>
      <c r="D176" s="147"/>
      <c r="E176" s="147"/>
      <c r="F176" s="147"/>
      <c r="G176" s="147"/>
      <c r="H176" s="147"/>
      <c r="I176" s="147"/>
      <c r="J176" s="147"/>
      <c r="K176" s="3"/>
      <c r="L176" s="3"/>
      <c r="M176" s="3"/>
      <c r="N176" s="3"/>
      <c r="O176" s="3"/>
      <c r="P176" s="3"/>
      <c r="Q176" s="3"/>
      <c r="R176" s="3"/>
      <c r="S176" s="3"/>
      <c r="T176" s="3"/>
      <c r="U176" s="3"/>
      <c r="V176" s="3"/>
      <c r="W176" s="3"/>
      <c r="X176" s="3"/>
      <c r="Y176" s="3"/>
      <c r="Z176" s="3"/>
    </row>
    <row r="177" spans="1:26" ht="22.5" customHeight="1" x14ac:dyDescent="0.85">
      <c r="A177" s="166"/>
      <c r="B177" s="167"/>
      <c r="C177" s="167"/>
      <c r="D177" s="147"/>
      <c r="E177" s="147"/>
      <c r="F177" s="147"/>
      <c r="G177" s="147"/>
      <c r="H177" s="147"/>
      <c r="I177" s="147"/>
      <c r="J177" s="147"/>
      <c r="K177" s="3"/>
      <c r="L177" s="3"/>
      <c r="M177" s="3"/>
      <c r="N177" s="3"/>
      <c r="O177" s="3"/>
      <c r="P177" s="3"/>
      <c r="Q177" s="3"/>
      <c r="R177" s="3"/>
      <c r="S177" s="3"/>
      <c r="T177" s="3"/>
      <c r="U177" s="3"/>
      <c r="V177" s="3"/>
      <c r="W177" s="3"/>
      <c r="X177" s="3"/>
      <c r="Y177" s="3"/>
      <c r="Z177" s="3"/>
    </row>
    <row r="178" spans="1:26" ht="22.5" customHeight="1" x14ac:dyDescent="0.85">
      <c r="A178" s="166"/>
      <c r="B178" s="167"/>
      <c r="C178" s="167"/>
      <c r="D178" s="147"/>
      <c r="E178" s="147"/>
      <c r="F178" s="147"/>
      <c r="G178" s="147"/>
      <c r="H178" s="147"/>
      <c r="I178" s="147"/>
      <c r="J178" s="147"/>
      <c r="K178" s="3"/>
      <c r="L178" s="3"/>
      <c r="M178" s="3"/>
      <c r="N178" s="3"/>
      <c r="O178" s="3"/>
      <c r="P178" s="3"/>
      <c r="Q178" s="3"/>
      <c r="R178" s="3"/>
      <c r="S178" s="3"/>
      <c r="T178" s="3"/>
      <c r="U178" s="3"/>
      <c r="V178" s="3"/>
      <c r="W178" s="3"/>
      <c r="X178" s="3"/>
      <c r="Y178" s="3"/>
      <c r="Z178" s="3"/>
    </row>
    <row r="179" spans="1:26" ht="22.5" customHeight="1" x14ac:dyDescent="0.85">
      <c r="A179" s="166"/>
      <c r="B179" s="167"/>
      <c r="C179" s="167"/>
      <c r="D179" s="147"/>
      <c r="E179" s="147"/>
      <c r="F179" s="147"/>
      <c r="G179" s="147"/>
      <c r="H179" s="147"/>
      <c r="I179" s="147"/>
      <c r="J179" s="147"/>
      <c r="K179" s="3"/>
      <c r="L179" s="3"/>
      <c r="M179" s="3"/>
      <c r="N179" s="3"/>
      <c r="O179" s="3"/>
      <c r="P179" s="3"/>
      <c r="Q179" s="3"/>
      <c r="R179" s="3"/>
      <c r="S179" s="3"/>
      <c r="T179" s="3"/>
      <c r="U179" s="3"/>
      <c r="V179" s="3"/>
      <c r="W179" s="3"/>
      <c r="X179" s="3"/>
      <c r="Y179" s="3"/>
      <c r="Z179" s="3"/>
    </row>
    <row r="180" spans="1:26" ht="22.5" customHeight="1" x14ac:dyDescent="0.85">
      <c r="A180" s="166"/>
      <c r="B180" s="167"/>
      <c r="C180" s="167"/>
      <c r="D180" s="147"/>
      <c r="E180" s="147"/>
      <c r="F180" s="147"/>
      <c r="G180" s="147"/>
      <c r="H180" s="147"/>
      <c r="I180" s="147"/>
      <c r="J180" s="147"/>
      <c r="K180" s="3"/>
      <c r="L180" s="3"/>
      <c r="M180" s="3"/>
      <c r="N180" s="3"/>
      <c r="O180" s="3"/>
      <c r="P180" s="3"/>
      <c r="Q180" s="3"/>
      <c r="R180" s="3"/>
      <c r="S180" s="3"/>
      <c r="T180" s="3"/>
      <c r="U180" s="3"/>
      <c r="V180" s="3"/>
      <c r="W180" s="3"/>
      <c r="X180" s="3"/>
      <c r="Y180" s="3"/>
      <c r="Z180" s="3"/>
    </row>
    <row r="181" spans="1:26" ht="22.5" customHeight="1" x14ac:dyDescent="0.85">
      <c r="A181" s="166"/>
      <c r="B181" s="167"/>
      <c r="C181" s="167"/>
      <c r="D181" s="147"/>
      <c r="E181" s="147"/>
      <c r="F181" s="147"/>
      <c r="G181" s="147"/>
      <c r="H181" s="147"/>
      <c r="I181" s="147"/>
      <c r="J181" s="147"/>
      <c r="K181" s="3"/>
      <c r="L181" s="3"/>
      <c r="M181" s="3"/>
      <c r="N181" s="3"/>
      <c r="O181" s="3"/>
      <c r="P181" s="3"/>
      <c r="Q181" s="3"/>
      <c r="R181" s="3"/>
      <c r="S181" s="3"/>
      <c r="T181" s="3"/>
      <c r="U181" s="3"/>
      <c r="V181" s="3"/>
      <c r="W181" s="3"/>
      <c r="X181" s="3"/>
      <c r="Y181" s="3"/>
      <c r="Z181" s="3"/>
    </row>
    <row r="182" spans="1:26" ht="22.5" customHeight="1" x14ac:dyDescent="0.85">
      <c r="A182" s="166"/>
      <c r="B182" s="167"/>
      <c r="C182" s="167"/>
      <c r="D182" s="147"/>
      <c r="E182" s="147"/>
      <c r="F182" s="147"/>
      <c r="G182" s="147"/>
      <c r="H182" s="147"/>
      <c r="I182" s="147"/>
      <c r="J182" s="147"/>
      <c r="K182" s="3"/>
      <c r="L182" s="3"/>
      <c r="M182" s="3"/>
      <c r="N182" s="3"/>
      <c r="O182" s="3"/>
      <c r="P182" s="3"/>
      <c r="Q182" s="3"/>
      <c r="R182" s="3"/>
      <c r="S182" s="3"/>
      <c r="T182" s="3"/>
      <c r="U182" s="3"/>
      <c r="V182" s="3"/>
      <c r="W182" s="3"/>
      <c r="X182" s="3"/>
      <c r="Y182" s="3"/>
      <c r="Z182" s="3"/>
    </row>
    <row r="183" spans="1:26" ht="22.5" customHeight="1" x14ac:dyDescent="0.85">
      <c r="A183" s="166"/>
      <c r="B183" s="167"/>
      <c r="C183" s="167"/>
      <c r="D183" s="147"/>
      <c r="E183" s="147"/>
      <c r="F183" s="147"/>
      <c r="G183" s="147"/>
      <c r="H183" s="147"/>
      <c r="I183" s="147"/>
      <c r="J183" s="147"/>
      <c r="K183" s="3"/>
      <c r="L183" s="3"/>
      <c r="M183" s="3"/>
      <c r="N183" s="3"/>
      <c r="O183" s="3"/>
      <c r="P183" s="3"/>
      <c r="Q183" s="3"/>
      <c r="R183" s="3"/>
      <c r="S183" s="3"/>
      <c r="T183" s="3"/>
      <c r="U183" s="3"/>
      <c r="V183" s="3"/>
      <c r="W183" s="3"/>
      <c r="X183" s="3"/>
      <c r="Y183" s="3"/>
      <c r="Z183" s="3"/>
    </row>
    <row r="184" spans="1:26" ht="22.5" customHeight="1" x14ac:dyDescent="0.85">
      <c r="A184" s="166"/>
      <c r="B184" s="167"/>
      <c r="C184" s="167"/>
      <c r="D184" s="147"/>
      <c r="E184" s="147"/>
      <c r="F184" s="147"/>
      <c r="G184" s="147"/>
      <c r="H184" s="147"/>
      <c r="I184" s="147"/>
      <c r="J184" s="147"/>
      <c r="K184" s="3"/>
      <c r="L184" s="3"/>
      <c r="M184" s="3"/>
      <c r="N184" s="3"/>
      <c r="O184" s="3"/>
      <c r="P184" s="3"/>
      <c r="Q184" s="3"/>
      <c r="R184" s="3"/>
      <c r="S184" s="3"/>
      <c r="T184" s="3"/>
      <c r="U184" s="3"/>
      <c r="V184" s="3"/>
      <c r="W184" s="3"/>
      <c r="X184" s="3"/>
      <c r="Y184" s="3"/>
      <c r="Z184" s="3"/>
    </row>
    <row r="185" spans="1:26" ht="22.5" customHeight="1" x14ac:dyDescent="0.85">
      <c r="A185" s="166"/>
      <c r="B185" s="167"/>
      <c r="C185" s="167"/>
      <c r="D185" s="147"/>
      <c r="E185" s="147"/>
      <c r="F185" s="147"/>
      <c r="G185" s="147"/>
      <c r="H185" s="147"/>
      <c r="I185" s="147"/>
      <c r="J185" s="147"/>
      <c r="K185" s="3"/>
      <c r="L185" s="3"/>
      <c r="M185" s="3"/>
      <c r="N185" s="3"/>
      <c r="O185" s="3"/>
      <c r="P185" s="3"/>
      <c r="Q185" s="3"/>
      <c r="R185" s="3"/>
      <c r="S185" s="3"/>
      <c r="T185" s="3"/>
      <c r="U185" s="3"/>
      <c r="V185" s="3"/>
      <c r="W185" s="3"/>
      <c r="X185" s="3"/>
      <c r="Y185" s="3"/>
      <c r="Z185" s="3"/>
    </row>
    <row r="186" spans="1:26" ht="22.5" customHeight="1" x14ac:dyDescent="0.85">
      <c r="A186" s="166"/>
      <c r="B186" s="167"/>
      <c r="C186" s="167"/>
      <c r="D186" s="147"/>
      <c r="E186" s="147"/>
      <c r="F186" s="147"/>
      <c r="G186" s="147"/>
      <c r="H186" s="147"/>
      <c r="I186" s="147"/>
      <c r="J186" s="147"/>
      <c r="K186" s="3"/>
      <c r="L186" s="3"/>
      <c r="M186" s="3"/>
      <c r="N186" s="3"/>
      <c r="O186" s="3"/>
      <c r="P186" s="3"/>
      <c r="Q186" s="3"/>
      <c r="R186" s="3"/>
      <c r="S186" s="3"/>
      <c r="T186" s="3"/>
      <c r="U186" s="3"/>
      <c r="V186" s="3"/>
      <c r="W186" s="3"/>
      <c r="X186" s="3"/>
      <c r="Y186" s="3"/>
      <c r="Z186" s="3"/>
    </row>
    <row r="187" spans="1:26" ht="22.5" customHeight="1" x14ac:dyDescent="0.85">
      <c r="A187" s="166"/>
      <c r="B187" s="167"/>
      <c r="C187" s="167"/>
      <c r="D187" s="147"/>
      <c r="E187" s="147"/>
      <c r="F187" s="147"/>
      <c r="G187" s="147"/>
      <c r="H187" s="147"/>
      <c r="I187" s="147"/>
      <c r="J187" s="147"/>
      <c r="K187" s="3"/>
      <c r="L187" s="3"/>
      <c r="M187" s="3"/>
      <c r="N187" s="3"/>
      <c r="O187" s="3"/>
      <c r="P187" s="3"/>
      <c r="Q187" s="3"/>
      <c r="R187" s="3"/>
      <c r="S187" s="3"/>
      <c r="T187" s="3"/>
      <c r="U187" s="3"/>
      <c r="V187" s="3"/>
      <c r="W187" s="3"/>
      <c r="X187" s="3"/>
      <c r="Y187" s="3"/>
      <c r="Z187" s="3"/>
    </row>
    <row r="188" spans="1:26" ht="22.5" customHeight="1" x14ac:dyDescent="0.85">
      <c r="A188" s="166"/>
      <c r="B188" s="167"/>
      <c r="C188" s="167"/>
      <c r="D188" s="147"/>
      <c r="E188" s="147"/>
      <c r="F188" s="147"/>
      <c r="G188" s="147"/>
      <c r="H188" s="147"/>
      <c r="I188" s="147"/>
      <c r="J188" s="147"/>
      <c r="K188" s="3"/>
      <c r="L188" s="3"/>
      <c r="M188" s="3"/>
      <c r="N188" s="3"/>
      <c r="O188" s="3"/>
      <c r="P188" s="3"/>
      <c r="Q188" s="3"/>
      <c r="R188" s="3"/>
      <c r="S188" s="3"/>
      <c r="T188" s="3"/>
      <c r="U188" s="3"/>
      <c r="V188" s="3"/>
      <c r="W188" s="3"/>
      <c r="X188" s="3"/>
      <c r="Y188" s="3"/>
      <c r="Z188" s="3"/>
    </row>
    <row r="189" spans="1:26" ht="22.5" customHeight="1" x14ac:dyDescent="0.85">
      <c r="A189" s="166"/>
      <c r="B189" s="167"/>
      <c r="C189" s="167"/>
      <c r="D189" s="147"/>
      <c r="E189" s="147"/>
      <c r="F189" s="147"/>
      <c r="G189" s="147"/>
      <c r="H189" s="147"/>
      <c r="I189" s="147"/>
      <c r="J189" s="147"/>
      <c r="K189" s="3"/>
      <c r="L189" s="3"/>
      <c r="M189" s="3"/>
      <c r="N189" s="3"/>
      <c r="O189" s="3"/>
      <c r="P189" s="3"/>
      <c r="Q189" s="3"/>
      <c r="R189" s="3"/>
      <c r="S189" s="3"/>
      <c r="T189" s="3"/>
      <c r="U189" s="3"/>
      <c r="V189" s="3"/>
      <c r="W189" s="3"/>
      <c r="X189" s="3"/>
      <c r="Y189" s="3"/>
      <c r="Z189" s="3"/>
    </row>
    <row r="190" spans="1:26" ht="22.5" customHeight="1" x14ac:dyDescent="0.85">
      <c r="A190" s="166"/>
      <c r="B190" s="167"/>
      <c r="C190" s="167"/>
      <c r="D190" s="147"/>
      <c r="E190" s="147"/>
      <c r="F190" s="147"/>
      <c r="G190" s="147"/>
      <c r="H190" s="147"/>
      <c r="I190" s="147"/>
      <c r="J190" s="147"/>
      <c r="K190" s="3"/>
      <c r="L190" s="3"/>
      <c r="M190" s="3"/>
      <c r="N190" s="3"/>
      <c r="O190" s="3"/>
      <c r="P190" s="3"/>
      <c r="Q190" s="3"/>
      <c r="R190" s="3"/>
      <c r="S190" s="3"/>
      <c r="T190" s="3"/>
      <c r="U190" s="3"/>
      <c r="V190" s="3"/>
      <c r="W190" s="3"/>
      <c r="X190" s="3"/>
      <c r="Y190" s="3"/>
      <c r="Z190" s="3"/>
    </row>
    <row r="191" spans="1:26" ht="22.5" customHeight="1" x14ac:dyDescent="0.85">
      <c r="A191" s="166"/>
      <c r="B191" s="167"/>
      <c r="C191" s="167"/>
      <c r="D191" s="147"/>
      <c r="E191" s="147"/>
      <c r="F191" s="147"/>
      <c r="G191" s="147"/>
      <c r="H191" s="147"/>
      <c r="I191" s="147"/>
      <c r="J191" s="147"/>
      <c r="K191" s="3"/>
      <c r="L191" s="3"/>
      <c r="M191" s="3"/>
      <c r="N191" s="3"/>
      <c r="O191" s="3"/>
      <c r="P191" s="3"/>
      <c r="Q191" s="3"/>
      <c r="R191" s="3"/>
      <c r="S191" s="3"/>
      <c r="T191" s="3"/>
      <c r="U191" s="3"/>
      <c r="V191" s="3"/>
      <c r="W191" s="3"/>
      <c r="X191" s="3"/>
      <c r="Y191" s="3"/>
      <c r="Z191" s="3"/>
    </row>
    <row r="192" spans="1:26" ht="22.5" customHeight="1" x14ac:dyDescent="0.85">
      <c r="A192" s="166"/>
      <c r="B192" s="167"/>
      <c r="C192" s="167"/>
      <c r="D192" s="147"/>
      <c r="E192" s="147"/>
      <c r="F192" s="147"/>
      <c r="G192" s="147"/>
      <c r="H192" s="147"/>
      <c r="I192" s="147"/>
      <c r="J192" s="147"/>
      <c r="K192" s="3"/>
      <c r="L192" s="3"/>
      <c r="M192" s="3"/>
      <c r="N192" s="3"/>
      <c r="O192" s="3"/>
      <c r="P192" s="3"/>
      <c r="Q192" s="3"/>
      <c r="R192" s="3"/>
      <c r="S192" s="3"/>
      <c r="T192" s="3"/>
      <c r="U192" s="3"/>
      <c r="V192" s="3"/>
      <c r="W192" s="3"/>
      <c r="X192" s="3"/>
      <c r="Y192" s="3"/>
      <c r="Z192" s="3"/>
    </row>
    <row r="193" spans="1:26" ht="22.5" customHeight="1" x14ac:dyDescent="0.85">
      <c r="A193" s="166"/>
      <c r="B193" s="167"/>
      <c r="C193" s="167"/>
      <c r="D193" s="147"/>
      <c r="E193" s="147"/>
      <c r="F193" s="147"/>
      <c r="G193" s="147"/>
      <c r="H193" s="147"/>
      <c r="I193" s="147"/>
      <c r="J193" s="147"/>
      <c r="K193" s="3"/>
      <c r="L193" s="3"/>
      <c r="M193" s="3"/>
      <c r="N193" s="3"/>
      <c r="O193" s="3"/>
      <c r="P193" s="3"/>
      <c r="Q193" s="3"/>
      <c r="R193" s="3"/>
      <c r="S193" s="3"/>
      <c r="T193" s="3"/>
      <c r="U193" s="3"/>
      <c r="V193" s="3"/>
      <c r="W193" s="3"/>
      <c r="X193" s="3"/>
      <c r="Y193" s="3"/>
      <c r="Z193" s="3"/>
    </row>
    <row r="194" spans="1:26" ht="22.5" customHeight="1" x14ac:dyDescent="0.85">
      <c r="A194" s="166"/>
      <c r="B194" s="167"/>
      <c r="C194" s="167"/>
      <c r="D194" s="147"/>
      <c r="E194" s="147"/>
      <c r="F194" s="147"/>
      <c r="G194" s="147"/>
      <c r="H194" s="147"/>
      <c r="I194" s="147"/>
      <c r="J194" s="147"/>
      <c r="K194" s="3"/>
      <c r="L194" s="3"/>
      <c r="M194" s="3"/>
      <c r="N194" s="3"/>
      <c r="O194" s="3"/>
      <c r="P194" s="3"/>
      <c r="Q194" s="3"/>
      <c r="R194" s="3"/>
      <c r="S194" s="3"/>
      <c r="T194" s="3"/>
      <c r="U194" s="3"/>
      <c r="V194" s="3"/>
      <c r="W194" s="3"/>
      <c r="X194" s="3"/>
      <c r="Y194" s="3"/>
      <c r="Z194" s="3"/>
    </row>
    <row r="195" spans="1:26" ht="22.5" customHeight="1" x14ac:dyDescent="0.85">
      <c r="A195" s="166"/>
      <c r="B195" s="167"/>
      <c r="C195" s="167"/>
      <c r="D195" s="147"/>
      <c r="E195" s="147"/>
      <c r="F195" s="147"/>
      <c r="G195" s="147"/>
      <c r="H195" s="147"/>
      <c r="I195" s="147"/>
      <c r="J195" s="147"/>
      <c r="K195" s="3"/>
      <c r="L195" s="3"/>
      <c r="M195" s="3"/>
      <c r="N195" s="3"/>
      <c r="O195" s="3"/>
      <c r="P195" s="3"/>
      <c r="Q195" s="3"/>
      <c r="R195" s="3"/>
      <c r="S195" s="3"/>
      <c r="T195" s="3"/>
      <c r="U195" s="3"/>
      <c r="V195" s="3"/>
      <c r="W195" s="3"/>
      <c r="X195" s="3"/>
      <c r="Y195" s="3"/>
      <c r="Z195" s="3"/>
    </row>
    <row r="196" spans="1:26" ht="22.5" customHeight="1" x14ac:dyDescent="0.85">
      <c r="A196" s="166"/>
      <c r="B196" s="167"/>
      <c r="C196" s="167"/>
      <c r="D196" s="147"/>
      <c r="E196" s="147"/>
      <c r="F196" s="147"/>
      <c r="G196" s="147"/>
      <c r="H196" s="147"/>
      <c r="I196" s="147"/>
      <c r="J196" s="147"/>
      <c r="K196" s="3"/>
      <c r="L196" s="3"/>
      <c r="M196" s="3"/>
      <c r="N196" s="3"/>
      <c r="O196" s="3"/>
      <c r="P196" s="3"/>
      <c r="Q196" s="3"/>
      <c r="R196" s="3"/>
      <c r="S196" s="3"/>
      <c r="T196" s="3"/>
      <c r="U196" s="3"/>
      <c r="V196" s="3"/>
      <c r="W196" s="3"/>
      <c r="X196" s="3"/>
      <c r="Y196" s="3"/>
      <c r="Z196" s="3"/>
    </row>
    <row r="197" spans="1:26" ht="22.5" customHeight="1" x14ac:dyDescent="0.85">
      <c r="A197" s="166"/>
      <c r="B197" s="167"/>
      <c r="C197" s="167"/>
      <c r="D197" s="147"/>
      <c r="E197" s="147"/>
      <c r="F197" s="147"/>
      <c r="G197" s="147"/>
      <c r="H197" s="147"/>
      <c r="I197" s="147"/>
      <c r="J197" s="147"/>
      <c r="K197" s="3"/>
      <c r="L197" s="3"/>
      <c r="M197" s="3"/>
      <c r="N197" s="3"/>
      <c r="O197" s="3"/>
      <c r="P197" s="3"/>
      <c r="Q197" s="3"/>
      <c r="R197" s="3"/>
      <c r="S197" s="3"/>
      <c r="T197" s="3"/>
      <c r="U197" s="3"/>
      <c r="V197" s="3"/>
      <c r="W197" s="3"/>
      <c r="X197" s="3"/>
      <c r="Y197" s="3"/>
      <c r="Z197" s="3"/>
    </row>
    <row r="198" spans="1:26" ht="22.5" customHeight="1" x14ac:dyDescent="0.85">
      <c r="A198" s="166"/>
      <c r="B198" s="167"/>
      <c r="C198" s="167"/>
      <c r="D198" s="147"/>
      <c r="E198" s="147"/>
      <c r="F198" s="147"/>
      <c r="G198" s="147"/>
      <c r="H198" s="147"/>
      <c r="I198" s="147"/>
      <c r="J198" s="147"/>
      <c r="K198" s="3"/>
      <c r="L198" s="3"/>
      <c r="M198" s="3"/>
      <c r="N198" s="3"/>
      <c r="O198" s="3"/>
      <c r="P198" s="3"/>
      <c r="Q198" s="3"/>
      <c r="R198" s="3"/>
      <c r="S198" s="3"/>
      <c r="T198" s="3"/>
      <c r="U198" s="3"/>
      <c r="V198" s="3"/>
      <c r="W198" s="3"/>
      <c r="X198" s="3"/>
      <c r="Y198" s="3"/>
      <c r="Z198" s="3"/>
    </row>
    <row r="199" spans="1:26" ht="22.5" customHeight="1" x14ac:dyDescent="0.85">
      <c r="A199" s="166"/>
      <c r="B199" s="167"/>
      <c r="C199" s="167"/>
      <c r="D199" s="147"/>
      <c r="E199" s="147"/>
      <c r="F199" s="147"/>
      <c r="G199" s="147"/>
      <c r="H199" s="147"/>
      <c r="I199" s="147"/>
      <c r="J199" s="147"/>
      <c r="K199" s="3"/>
      <c r="L199" s="3"/>
      <c r="M199" s="3"/>
      <c r="N199" s="3"/>
      <c r="O199" s="3"/>
      <c r="P199" s="3"/>
      <c r="Q199" s="3"/>
      <c r="R199" s="3"/>
      <c r="S199" s="3"/>
      <c r="T199" s="3"/>
      <c r="U199" s="3"/>
      <c r="V199" s="3"/>
      <c r="W199" s="3"/>
      <c r="X199" s="3"/>
      <c r="Y199" s="3"/>
      <c r="Z199" s="3"/>
    </row>
    <row r="200" spans="1:26" ht="22.5" customHeight="1" x14ac:dyDescent="0.85">
      <c r="A200" s="166"/>
      <c r="B200" s="167"/>
      <c r="C200" s="167"/>
      <c r="D200" s="147"/>
      <c r="E200" s="147"/>
      <c r="F200" s="147"/>
      <c r="G200" s="147"/>
      <c r="H200" s="147"/>
      <c r="I200" s="147"/>
      <c r="J200" s="147"/>
      <c r="K200" s="3"/>
      <c r="L200" s="3"/>
      <c r="M200" s="3"/>
      <c r="N200" s="3"/>
      <c r="O200" s="3"/>
      <c r="P200" s="3"/>
      <c r="Q200" s="3"/>
      <c r="R200" s="3"/>
      <c r="S200" s="3"/>
      <c r="T200" s="3"/>
      <c r="U200" s="3"/>
      <c r="V200" s="3"/>
      <c r="W200" s="3"/>
      <c r="X200" s="3"/>
      <c r="Y200" s="3"/>
      <c r="Z200" s="3"/>
    </row>
    <row r="201" spans="1:26" ht="22.5" customHeight="1" x14ac:dyDescent="0.85">
      <c r="A201" s="166"/>
      <c r="B201" s="167"/>
      <c r="C201" s="167"/>
      <c r="D201" s="147"/>
      <c r="E201" s="147"/>
      <c r="F201" s="147"/>
      <c r="G201" s="147"/>
      <c r="H201" s="147"/>
      <c r="I201" s="147"/>
      <c r="J201" s="147"/>
      <c r="K201" s="3"/>
      <c r="L201" s="3"/>
      <c r="M201" s="3"/>
      <c r="N201" s="3"/>
      <c r="O201" s="3"/>
      <c r="P201" s="3"/>
      <c r="Q201" s="3"/>
      <c r="R201" s="3"/>
      <c r="S201" s="3"/>
      <c r="T201" s="3"/>
      <c r="U201" s="3"/>
      <c r="V201" s="3"/>
      <c r="W201" s="3"/>
      <c r="X201" s="3"/>
      <c r="Y201" s="3"/>
      <c r="Z201" s="3"/>
    </row>
    <row r="202" spans="1:26" ht="22.5" customHeight="1" x14ac:dyDescent="0.85">
      <c r="A202" s="166"/>
      <c r="B202" s="167"/>
      <c r="C202" s="167"/>
      <c r="D202" s="147"/>
      <c r="E202" s="147"/>
      <c r="F202" s="147"/>
      <c r="G202" s="147"/>
      <c r="H202" s="147"/>
      <c r="I202" s="147"/>
      <c r="J202" s="147"/>
      <c r="K202" s="3"/>
      <c r="L202" s="3"/>
      <c r="M202" s="3"/>
      <c r="N202" s="3"/>
      <c r="O202" s="3"/>
      <c r="P202" s="3"/>
      <c r="Q202" s="3"/>
      <c r="R202" s="3"/>
      <c r="S202" s="3"/>
      <c r="T202" s="3"/>
      <c r="U202" s="3"/>
      <c r="V202" s="3"/>
      <c r="W202" s="3"/>
      <c r="X202" s="3"/>
      <c r="Y202" s="3"/>
      <c r="Z202" s="3"/>
    </row>
    <row r="203" spans="1:26" ht="22.5" customHeight="1" x14ac:dyDescent="0.85">
      <c r="A203" s="166"/>
      <c r="B203" s="167"/>
      <c r="C203" s="167"/>
      <c r="D203" s="147"/>
      <c r="E203" s="147"/>
      <c r="F203" s="147"/>
      <c r="G203" s="147"/>
      <c r="H203" s="147"/>
      <c r="I203" s="147"/>
      <c r="J203" s="147"/>
      <c r="K203" s="3"/>
      <c r="L203" s="3"/>
      <c r="M203" s="3"/>
      <c r="N203" s="3"/>
      <c r="O203" s="3"/>
      <c r="P203" s="3"/>
      <c r="Q203" s="3"/>
      <c r="R203" s="3"/>
      <c r="S203" s="3"/>
      <c r="T203" s="3"/>
      <c r="U203" s="3"/>
      <c r="V203" s="3"/>
      <c r="W203" s="3"/>
      <c r="X203" s="3"/>
      <c r="Y203" s="3"/>
      <c r="Z203" s="3"/>
    </row>
    <row r="204" spans="1:26" ht="22.5" customHeight="1" x14ac:dyDescent="0.85">
      <c r="A204" s="166"/>
      <c r="B204" s="167"/>
      <c r="C204" s="167"/>
      <c r="D204" s="147"/>
      <c r="E204" s="147"/>
      <c r="F204" s="147"/>
      <c r="G204" s="147"/>
      <c r="H204" s="147"/>
      <c r="I204" s="147"/>
      <c r="J204" s="147"/>
      <c r="K204" s="3"/>
      <c r="L204" s="3"/>
      <c r="M204" s="3"/>
      <c r="N204" s="3"/>
      <c r="O204" s="3"/>
      <c r="P204" s="3"/>
      <c r="Q204" s="3"/>
      <c r="R204" s="3"/>
      <c r="S204" s="3"/>
      <c r="T204" s="3"/>
      <c r="U204" s="3"/>
      <c r="V204" s="3"/>
      <c r="W204" s="3"/>
      <c r="X204" s="3"/>
      <c r="Y204" s="3"/>
      <c r="Z204" s="3"/>
    </row>
    <row r="205" spans="1:26" ht="22.5" customHeight="1" x14ac:dyDescent="0.85">
      <c r="A205" s="166"/>
      <c r="B205" s="167"/>
      <c r="C205" s="167"/>
      <c r="D205" s="147"/>
      <c r="E205" s="147"/>
      <c r="F205" s="147"/>
      <c r="G205" s="147"/>
      <c r="H205" s="147"/>
      <c r="I205" s="147"/>
      <c r="J205" s="147"/>
      <c r="K205" s="3"/>
      <c r="L205" s="3"/>
      <c r="M205" s="3"/>
      <c r="N205" s="3"/>
      <c r="O205" s="3"/>
      <c r="P205" s="3"/>
      <c r="Q205" s="3"/>
      <c r="R205" s="3"/>
      <c r="S205" s="3"/>
      <c r="T205" s="3"/>
      <c r="U205" s="3"/>
      <c r="V205" s="3"/>
      <c r="W205" s="3"/>
      <c r="X205" s="3"/>
      <c r="Y205" s="3"/>
      <c r="Z205" s="3"/>
    </row>
    <row r="206" spans="1:26" ht="22.5" customHeight="1" x14ac:dyDescent="0.85">
      <c r="A206" s="166"/>
      <c r="B206" s="167"/>
      <c r="C206" s="167"/>
      <c r="D206" s="147"/>
      <c r="E206" s="147"/>
      <c r="F206" s="147"/>
      <c r="G206" s="147"/>
      <c r="H206" s="147"/>
      <c r="I206" s="147"/>
      <c r="J206" s="147"/>
      <c r="K206" s="3"/>
      <c r="L206" s="3"/>
      <c r="M206" s="3"/>
      <c r="N206" s="3"/>
      <c r="O206" s="3"/>
      <c r="P206" s="3"/>
      <c r="Q206" s="3"/>
      <c r="R206" s="3"/>
      <c r="S206" s="3"/>
      <c r="T206" s="3"/>
      <c r="U206" s="3"/>
      <c r="V206" s="3"/>
      <c r="W206" s="3"/>
      <c r="X206" s="3"/>
      <c r="Y206" s="3"/>
      <c r="Z206" s="3"/>
    </row>
    <row r="207" spans="1:26" ht="22.5" customHeight="1" x14ac:dyDescent="0.85">
      <c r="A207" s="166"/>
      <c r="B207" s="167"/>
      <c r="C207" s="167"/>
      <c r="D207" s="147"/>
      <c r="E207" s="147"/>
      <c r="F207" s="147"/>
      <c r="G207" s="147"/>
      <c r="H207" s="147"/>
      <c r="I207" s="147"/>
      <c r="J207" s="147"/>
      <c r="K207" s="3"/>
      <c r="L207" s="3"/>
      <c r="M207" s="3"/>
      <c r="N207" s="3"/>
      <c r="O207" s="3"/>
      <c r="P207" s="3"/>
      <c r="Q207" s="3"/>
      <c r="R207" s="3"/>
      <c r="S207" s="3"/>
      <c r="T207" s="3"/>
      <c r="U207" s="3"/>
      <c r="V207" s="3"/>
      <c r="W207" s="3"/>
      <c r="X207" s="3"/>
      <c r="Y207" s="3"/>
      <c r="Z207" s="3"/>
    </row>
    <row r="208" spans="1:26" ht="22.5" customHeight="1" x14ac:dyDescent="0.85">
      <c r="A208" s="166"/>
      <c r="B208" s="167"/>
      <c r="C208" s="167"/>
      <c r="D208" s="147"/>
      <c r="E208" s="147"/>
      <c r="F208" s="147"/>
      <c r="G208" s="147"/>
      <c r="H208" s="147"/>
      <c r="I208" s="147"/>
      <c r="J208" s="147"/>
      <c r="K208" s="3"/>
      <c r="L208" s="3"/>
      <c r="M208" s="3"/>
      <c r="N208" s="3"/>
      <c r="O208" s="3"/>
      <c r="P208" s="3"/>
      <c r="Q208" s="3"/>
      <c r="R208" s="3"/>
      <c r="S208" s="3"/>
      <c r="T208" s="3"/>
      <c r="U208" s="3"/>
      <c r="V208" s="3"/>
      <c r="W208" s="3"/>
      <c r="X208" s="3"/>
      <c r="Y208" s="3"/>
      <c r="Z208" s="3"/>
    </row>
    <row r="209" spans="1:26" ht="22.5" customHeight="1" x14ac:dyDescent="0.85">
      <c r="A209" s="166"/>
      <c r="B209" s="167"/>
      <c r="C209" s="167"/>
      <c r="D209" s="147"/>
      <c r="E209" s="147"/>
      <c r="F209" s="147"/>
      <c r="G209" s="147"/>
      <c r="H209" s="147"/>
      <c r="I209" s="147"/>
      <c r="J209" s="147"/>
      <c r="K209" s="3"/>
      <c r="L209" s="3"/>
      <c r="M209" s="3"/>
      <c r="N209" s="3"/>
      <c r="O209" s="3"/>
      <c r="P209" s="3"/>
      <c r="Q209" s="3"/>
      <c r="R209" s="3"/>
      <c r="S209" s="3"/>
      <c r="T209" s="3"/>
      <c r="U209" s="3"/>
      <c r="V209" s="3"/>
      <c r="W209" s="3"/>
      <c r="X209" s="3"/>
      <c r="Y209" s="3"/>
      <c r="Z209" s="3"/>
    </row>
    <row r="210" spans="1:26" ht="22.5" customHeight="1" x14ac:dyDescent="0.85">
      <c r="A210" s="166"/>
      <c r="B210" s="167"/>
      <c r="C210" s="167"/>
      <c r="D210" s="147"/>
      <c r="E210" s="147"/>
      <c r="F210" s="147"/>
      <c r="G210" s="147"/>
      <c r="H210" s="147"/>
      <c r="I210" s="147"/>
      <c r="J210" s="147"/>
      <c r="K210" s="3"/>
      <c r="L210" s="3"/>
      <c r="M210" s="3"/>
      <c r="N210" s="3"/>
      <c r="O210" s="3"/>
      <c r="P210" s="3"/>
      <c r="Q210" s="3"/>
      <c r="R210" s="3"/>
      <c r="S210" s="3"/>
      <c r="T210" s="3"/>
      <c r="U210" s="3"/>
      <c r="V210" s="3"/>
      <c r="W210" s="3"/>
      <c r="X210" s="3"/>
      <c r="Y210" s="3"/>
      <c r="Z210" s="3"/>
    </row>
    <row r="211" spans="1:26" ht="22.5" customHeight="1" x14ac:dyDescent="0.85">
      <c r="A211" s="166"/>
      <c r="B211" s="167"/>
      <c r="C211" s="167"/>
      <c r="D211" s="147"/>
      <c r="E211" s="147"/>
      <c r="F211" s="147"/>
      <c r="G211" s="147"/>
      <c r="H211" s="147"/>
      <c r="I211" s="147"/>
      <c r="J211" s="147"/>
      <c r="K211" s="3"/>
      <c r="L211" s="3"/>
      <c r="M211" s="3"/>
      <c r="N211" s="3"/>
      <c r="O211" s="3"/>
      <c r="P211" s="3"/>
      <c r="Q211" s="3"/>
      <c r="R211" s="3"/>
      <c r="S211" s="3"/>
      <c r="T211" s="3"/>
      <c r="U211" s="3"/>
      <c r="V211" s="3"/>
      <c r="W211" s="3"/>
      <c r="X211" s="3"/>
      <c r="Y211" s="3"/>
      <c r="Z211" s="3"/>
    </row>
    <row r="212" spans="1:26" ht="22.5" customHeight="1" x14ac:dyDescent="0.85">
      <c r="A212" s="166"/>
      <c r="B212" s="167"/>
      <c r="C212" s="167"/>
      <c r="D212" s="147"/>
      <c r="E212" s="147"/>
      <c r="F212" s="147"/>
      <c r="G212" s="147"/>
      <c r="H212" s="147"/>
      <c r="I212" s="147"/>
      <c r="J212" s="147"/>
      <c r="K212" s="3"/>
      <c r="L212" s="3"/>
      <c r="M212" s="3"/>
      <c r="N212" s="3"/>
      <c r="O212" s="3"/>
      <c r="P212" s="3"/>
      <c r="Q212" s="3"/>
      <c r="R212" s="3"/>
      <c r="S212" s="3"/>
      <c r="T212" s="3"/>
      <c r="U212" s="3"/>
      <c r="V212" s="3"/>
      <c r="W212" s="3"/>
      <c r="X212" s="3"/>
      <c r="Y212" s="3"/>
      <c r="Z212" s="3"/>
    </row>
    <row r="213" spans="1:26" ht="22.5" customHeight="1" x14ac:dyDescent="0.85">
      <c r="A213" s="166"/>
      <c r="B213" s="167"/>
      <c r="C213" s="167"/>
      <c r="D213" s="147"/>
      <c r="E213" s="147"/>
      <c r="F213" s="147"/>
      <c r="G213" s="147"/>
      <c r="H213" s="147"/>
      <c r="I213" s="147"/>
      <c r="J213" s="147"/>
      <c r="K213" s="3"/>
      <c r="L213" s="3"/>
      <c r="M213" s="3"/>
      <c r="N213" s="3"/>
      <c r="O213" s="3"/>
      <c r="P213" s="3"/>
      <c r="Q213" s="3"/>
      <c r="R213" s="3"/>
      <c r="S213" s="3"/>
      <c r="T213" s="3"/>
      <c r="U213" s="3"/>
      <c r="V213" s="3"/>
      <c r="W213" s="3"/>
      <c r="X213" s="3"/>
      <c r="Y213" s="3"/>
      <c r="Z213" s="3"/>
    </row>
    <row r="214" spans="1:26" ht="22.5" customHeight="1" x14ac:dyDescent="0.85">
      <c r="A214" s="166"/>
      <c r="B214" s="167"/>
      <c r="C214" s="167"/>
      <c r="D214" s="147"/>
      <c r="E214" s="147"/>
      <c r="F214" s="147"/>
      <c r="G214" s="147"/>
      <c r="H214" s="147"/>
      <c r="I214" s="147"/>
      <c r="J214" s="147"/>
      <c r="K214" s="3"/>
      <c r="L214" s="3"/>
      <c r="M214" s="3"/>
      <c r="N214" s="3"/>
      <c r="O214" s="3"/>
      <c r="P214" s="3"/>
      <c r="Q214" s="3"/>
      <c r="R214" s="3"/>
      <c r="S214" s="3"/>
      <c r="T214" s="3"/>
      <c r="U214" s="3"/>
      <c r="V214" s="3"/>
      <c r="W214" s="3"/>
      <c r="X214" s="3"/>
      <c r="Y214" s="3"/>
      <c r="Z214" s="3"/>
    </row>
    <row r="215" spans="1:26" ht="22.5" customHeight="1" x14ac:dyDescent="0.85">
      <c r="A215" s="166"/>
      <c r="B215" s="167"/>
      <c r="C215" s="167"/>
      <c r="D215" s="147"/>
      <c r="E215" s="147"/>
      <c r="F215" s="147"/>
      <c r="G215" s="147"/>
      <c r="H215" s="147"/>
      <c r="I215" s="147"/>
      <c r="J215" s="147"/>
      <c r="K215" s="3"/>
      <c r="L215" s="3"/>
      <c r="M215" s="3"/>
      <c r="N215" s="3"/>
      <c r="O215" s="3"/>
      <c r="P215" s="3"/>
      <c r="Q215" s="3"/>
      <c r="R215" s="3"/>
      <c r="S215" s="3"/>
      <c r="T215" s="3"/>
      <c r="U215" s="3"/>
      <c r="V215" s="3"/>
      <c r="W215" s="3"/>
      <c r="X215" s="3"/>
      <c r="Y215" s="3"/>
      <c r="Z215" s="3"/>
    </row>
    <row r="216" spans="1:26" ht="22.5" customHeight="1" x14ac:dyDescent="0.85">
      <c r="A216" s="166"/>
      <c r="B216" s="167"/>
      <c r="C216" s="167"/>
      <c r="D216" s="147"/>
      <c r="E216" s="147"/>
      <c r="F216" s="147"/>
      <c r="G216" s="147"/>
      <c r="H216" s="147"/>
      <c r="I216" s="147"/>
      <c r="J216" s="147"/>
      <c r="K216" s="3"/>
      <c r="L216" s="3"/>
      <c r="M216" s="3"/>
      <c r="N216" s="3"/>
      <c r="O216" s="3"/>
      <c r="P216" s="3"/>
      <c r="Q216" s="3"/>
      <c r="R216" s="3"/>
      <c r="S216" s="3"/>
      <c r="T216" s="3"/>
      <c r="U216" s="3"/>
      <c r="V216" s="3"/>
      <c r="W216" s="3"/>
      <c r="X216" s="3"/>
      <c r="Y216" s="3"/>
      <c r="Z216" s="3"/>
    </row>
    <row r="217" spans="1:26" ht="22.5" customHeight="1" x14ac:dyDescent="0.85">
      <c r="A217" s="166"/>
      <c r="B217" s="167"/>
      <c r="C217" s="167"/>
      <c r="D217" s="147"/>
      <c r="E217" s="147"/>
      <c r="F217" s="147"/>
      <c r="G217" s="147"/>
      <c r="H217" s="147"/>
      <c r="I217" s="147"/>
      <c r="J217" s="147"/>
      <c r="K217" s="3"/>
      <c r="L217" s="3"/>
      <c r="M217" s="3"/>
      <c r="N217" s="3"/>
      <c r="O217" s="3"/>
      <c r="P217" s="3"/>
      <c r="Q217" s="3"/>
      <c r="R217" s="3"/>
      <c r="S217" s="3"/>
      <c r="T217" s="3"/>
      <c r="U217" s="3"/>
      <c r="V217" s="3"/>
      <c r="W217" s="3"/>
      <c r="X217" s="3"/>
      <c r="Y217" s="3"/>
      <c r="Z217" s="3"/>
    </row>
    <row r="218" spans="1:26" ht="22.5" customHeight="1" x14ac:dyDescent="0.85">
      <c r="A218" s="166"/>
      <c r="B218" s="167"/>
      <c r="C218" s="167"/>
      <c r="D218" s="147"/>
      <c r="E218" s="147"/>
      <c r="F218" s="147"/>
      <c r="G218" s="147"/>
      <c r="H218" s="147"/>
      <c r="I218" s="147"/>
      <c r="J218" s="147"/>
      <c r="K218" s="3"/>
      <c r="L218" s="3"/>
      <c r="M218" s="3"/>
      <c r="N218" s="3"/>
      <c r="O218" s="3"/>
      <c r="P218" s="3"/>
      <c r="Q218" s="3"/>
      <c r="R218" s="3"/>
      <c r="S218" s="3"/>
      <c r="T218" s="3"/>
      <c r="U218" s="3"/>
      <c r="V218" s="3"/>
      <c r="W218" s="3"/>
      <c r="X218" s="3"/>
      <c r="Y218" s="3"/>
      <c r="Z218" s="3"/>
    </row>
    <row r="219" spans="1:26" ht="22.5" customHeight="1" x14ac:dyDescent="0.85">
      <c r="A219" s="166"/>
      <c r="B219" s="167"/>
      <c r="C219" s="167"/>
      <c r="D219" s="147"/>
      <c r="E219" s="147"/>
      <c r="F219" s="147"/>
      <c r="G219" s="147"/>
      <c r="H219" s="147"/>
      <c r="I219" s="147"/>
      <c r="J219" s="147"/>
      <c r="K219" s="3"/>
      <c r="L219" s="3"/>
      <c r="M219" s="3"/>
      <c r="N219" s="3"/>
      <c r="O219" s="3"/>
      <c r="P219" s="3"/>
      <c r="Q219" s="3"/>
      <c r="R219" s="3"/>
      <c r="S219" s="3"/>
      <c r="T219" s="3"/>
      <c r="U219" s="3"/>
      <c r="V219" s="3"/>
      <c r="W219" s="3"/>
      <c r="X219" s="3"/>
      <c r="Y219" s="3"/>
      <c r="Z219" s="3"/>
    </row>
    <row r="220" spans="1:26" ht="22.5" customHeight="1" x14ac:dyDescent="0.85">
      <c r="A220" s="166"/>
      <c r="B220" s="167"/>
      <c r="C220" s="167"/>
      <c r="D220" s="147"/>
      <c r="E220" s="147"/>
      <c r="F220" s="147"/>
      <c r="G220" s="147"/>
      <c r="H220" s="147"/>
      <c r="I220" s="147"/>
      <c r="J220" s="147"/>
      <c r="K220" s="3"/>
      <c r="L220" s="3"/>
      <c r="M220" s="3"/>
      <c r="N220" s="3"/>
      <c r="O220" s="3"/>
      <c r="P220" s="3"/>
      <c r="Q220" s="3"/>
      <c r="R220" s="3"/>
      <c r="S220" s="3"/>
      <c r="T220" s="3"/>
      <c r="U220" s="3"/>
      <c r="V220" s="3"/>
      <c r="W220" s="3"/>
      <c r="X220" s="3"/>
      <c r="Y220" s="3"/>
      <c r="Z220" s="3"/>
    </row>
    <row r="221" spans="1:26" ht="22.5" customHeight="1" x14ac:dyDescent="0.85">
      <c r="A221" s="166"/>
      <c r="B221" s="167"/>
      <c r="C221" s="167"/>
      <c r="D221" s="147"/>
      <c r="E221" s="147"/>
      <c r="F221" s="147"/>
      <c r="G221" s="147"/>
      <c r="H221" s="147"/>
      <c r="I221" s="147"/>
      <c r="J221" s="147"/>
      <c r="K221" s="3"/>
      <c r="L221" s="3"/>
      <c r="M221" s="3"/>
      <c r="N221" s="3"/>
      <c r="O221" s="3"/>
      <c r="P221" s="3"/>
      <c r="Q221" s="3"/>
      <c r="R221" s="3"/>
      <c r="S221" s="3"/>
      <c r="T221" s="3"/>
      <c r="U221" s="3"/>
      <c r="V221" s="3"/>
      <c r="W221" s="3"/>
      <c r="X221" s="3"/>
      <c r="Y221" s="3"/>
      <c r="Z221" s="3"/>
    </row>
    <row r="222" spans="1:26" ht="22.5" customHeight="1" x14ac:dyDescent="0.85">
      <c r="A222" s="166"/>
      <c r="B222" s="167"/>
      <c r="C222" s="167"/>
      <c r="D222" s="147"/>
      <c r="E222" s="147"/>
      <c r="F222" s="147"/>
      <c r="G222" s="147"/>
      <c r="H222" s="147"/>
      <c r="I222" s="147"/>
      <c r="J222" s="147"/>
      <c r="K222" s="3"/>
      <c r="L222" s="3"/>
      <c r="M222" s="3"/>
      <c r="N222" s="3"/>
      <c r="O222" s="3"/>
      <c r="P222" s="3"/>
      <c r="Q222" s="3"/>
      <c r="R222" s="3"/>
      <c r="S222" s="3"/>
      <c r="T222" s="3"/>
      <c r="U222" s="3"/>
      <c r="V222" s="3"/>
      <c r="W222" s="3"/>
      <c r="X222" s="3"/>
      <c r="Y222" s="3"/>
      <c r="Z222" s="3"/>
    </row>
    <row r="223" spans="1:26" ht="22.5" customHeight="1" x14ac:dyDescent="0.85">
      <c r="A223" s="166"/>
      <c r="B223" s="167"/>
      <c r="C223" s="167"/>
      <c r="D223" s="147"/>
      <c r="E223" s="147"/>
      <c r="F223" s="147"/>
      <c r="G223" s="147"/>
      <c r="H223" s="147"/>
      <c r="I223" s="147"/>
      <c r="J223" s="147"/>
      <c r="K223" s="3"/>
      <c r="L223" s="3"/>
      <c r="M223" s="3"/>
      <c r="N223" s="3"/>
      <c r="O223" s="3"/>
      <c r="P223" s="3"/>
      <c r="Q223" s="3"/>
      <c r="R223" s="3"/>
      <c r="S223" s="3"/>
      <c r="T223" s="3"/>
      <c r="U223" s="3"/>
      <c r="V223" s="3"/>
      <c r="W223" s="3"/>
      <c r="X223" s="3"/>
      <c r="Y223" s="3"/>
      <c r="Z223" s="3"/>
    </row>
    <row r="224" spans="1:26" ht="22.5" customHeight="1" x14ac:dyDescent="0.85">
      <c r="A224" s="166"/>
      <c r="B224" s="167"/>
      <c r="C224" s="167"/>
      <c r="D224" s="147"/>
      <c r="E224" s="147"/>
      <c r="F224" s="147"/>
      <c r="G224" s="147"/>
      <c r="H224" s="147"/>
      <c r="I224" s="147"/>
      <c r="J224" s="147"/>
      <c r="K224" s="3"/>
      <c r="L224" s="3"/>
      <c r="M224" s="3"/>
      <c r="N224" s="3"/>
      <c r="O224" s="3"/>
      <c r="P224" s="3"/>
      <c r="Q224" s="3"/>
      <c r="R224" s="3"/>
      <c r="S224" s="3"/>
      <c r="T224" s="3"/>
      <c r="U224" s="3"/>
      <c r="V224" s="3"/>
      <c r="W224" s="3"/>
      <c r="X224" s="3"/>
      <c r="Y224" s="3"/>
      <c r="Z224" s="3"/>
    </row>
    <row r="225" spans="1:26" ht="22.5" customHeight="1" x14ac:dyDescent="0.85">
      <c r="A225" s="166"/>
      <c r="B225" s="167"/>
      <c r="C225" s="167"/>
      <c r="D225" s="147"/>
      <c r="E225" s="147"/>
      <c r="F225" s="147"/>
      <c r="G225" s="147"/>
      <c r="H225" s="147"/>
      <c r="I225" s="147"/>
      <c r="J225" s="147"/>
      <c r="K225" s="3"/>
      <c r="L225" s="3"/>
      <c r="M225" s="3"/>
      <c r="N225" s="3"/>
      <c r="O225" s="3"/>
      <c r="P225" s="3"/>
      <c r="Q225" s="3"/>
      <c r="R225" s="3"/>
      <c r="S225" s="3"/>
      <c r="T225" s="3"/>
      <c r="U225" s="3"/>
      <c r="V225" s="3"/>
      <c r="W225" s="3"/>
      <c r="X225" s="3"/>
      <c r="Y225" s="3"/>
      <c r="Z225" s="3"/>
    </row>
    <row r="226" spans="1:26" ht="22.5" customHeight="1" x14ac:dyDescent="0.85">
      <c r="A226" s="166"/>
      <c r="B226" s="167"/>
      <c r="C226" s="167"/>
      <c r="D226" s="147"/>
      <c r="E226" s="147"/>
      <c r="F226" s="147"/>
      <c r="G226" s="147"/>
      <c r="H226" s="147"/>
      <c r="I226" s="147"/>
      <c r="J226" s="147"/>
      <c r="K226" s="3"/>
      <c r="L226" s="3"/>
      <c r="M226" s="3"/>
      <c r="N226" s="3"/>
      <c r="O226" s="3"/>
      <c r="P226" s="3"/>
      <c r="Q226" s="3"/>
      <c r="R226" s="3"/>
      <c r="S226" s="3"/>
      <c r="T226" s="3"/>
      <c r="U226" s="3"/>
      <c r="V226" s="3"/>
      <c r="W226" s="3"/>
      <c r="X226" s="3"/>
      <c r="Y226" s="3"/>
      <c r="Z226" s="3"/>
    </row>
    <row r="227" spans="1:26" ht="22.5" customHeight="1" x14ac:dyDescent="0.85">
      <c r="A227" s="166"/>
      <c r="B227" s="167"/>
      <c r="C227" s="167"/>
      <c r="D227" s="147"/>
      <c r="E227" s="147"/>
      <c r="F227" s="147"/>
      <c r="G227" s="147"/>
      <c r="H227" s="147"/>
      <c r="I227" s="147"/>
      <c r="J227" s="147"/>
      <c r="K227" s="3"/>
      <c r="L227" s="3"/>
      <c r="M227" s="3"/>
      <c r="N227" s="3"/>
      <c r="O227" s="3"/>
      <c r="P227" s="3"/>
      <c r="Q227" s="3"/>
      <c r="R227" s="3"/>
      <c r="S227" s="3"/>
      <c r="T227" s="3"/>
      <c r="U227" s="3"/>
      <c r="V227" s="3"/>
      <c r="W227" s="3"/>
      <c r="X227" s="3"/>
      <c r="Y227" s="3"/>
      <c r="Z227" s="3"/>
    </row>
    <row r="228" spans="1:26" ht="22.5" customHeight="1" x14ac:dyDescent="0.85">
      <c r="A228" s="166"/>
      <c r="B228" s="167"/>
      <c r="C228" s="167"/>
      <c r="D228" s="147"/>
      <c r="E228" s="147"/>
      <c r="F228" s="147"/>
      <c r="G228" s="147"/>
      <c r="H228" s="147"/>
      <c r="I228" s="147"/>
      <c r="J228" s="147"/>
      <c r="K228" s="3"/>
      <c r="L228" s="3"/>
      <c r="M228" s="3"/>
      <c r="N228" s="3"/>
      <c r="O228" s="3"/>
      <c r="P228" s="3"/>
      <c r="Q228" s="3"/>
      <c r="R228" s="3"/>
      <c r="S228" s="3"/>
      <c r="T228" s="3"/>
      <c r="U228" s="3"/>
      <c r="V228" s="3"/>
      <c r="W228" s="3"/>
      <c r="X228" s="3"/>
      <c r="Y228" s="3"/>
      <c r="Z228" s="3"/>
    </row>
    <row r="229" spans="1:26" ht="22.5" customHeight="1" x14ac:dyDescent="0.85">
      <c r="A229" s="166"/>
      <c r="B229" s="167"/>
      <c r="C229" s="167"/>
      <c r="D229" s="147"/>
      <c r="E229" s="147"/>
      <c r="F229" s="147"/>
      <c r="G229" s="147"/>
      <c r="H229" s="147"/>
      <c r="I229" s="147"/>
      <c r="J229" s="147"/>
      <c r="K229" s="3"/>
      <c r="L229" s="3"/>
      <c r="M229" s="3"/>
      <c r="N229" s="3"/>
      <c r="O229" s="3"/>
      <c r="P229" s="3"/>
      <c r="Q229" s="3"/>
      <c r="R229" s="3"/>
      <c r="S229" s="3"/>
      <c r="T229" s="3"/>
      <c r="U229" s="3"/>
      <c r="V229" s="3"/>
      <c r="W229" s="3"/>
      <c r="X229" s="3"/>
      <c r="Y229" s="3"/>
      <c r="Z229" s="3"/>
    </row>
    <row r="230" spans="1:26" ht="22.5" customHeight="1" x14ac:dyDescent="0.85">
      <c r="A230" s="166"/>
      <c r="B230" s="167"/>
      <c r="C230" s="167"/>
      <c r="D230" s="147"/>
      <c r="E230" s="147"/>
      <c r="F230" s="147"/>
      <c r="G230" s="147"/>
      <c r="H230" s="147"/>
      <c r="I230" s="147"/>
      <c r="J230" s="147"/>
      <c r="K230" s="3"/>
      <c r="L230" s="3"/>
      <c r="M230" s="3"/>
      <c r="N230" s="3"/>
      <c r="O230" s="3"/>
      <c r="P230" s="3"/>
      <c r="Q230" s="3"/>
      <c r="R230" s="3"/>
      <c r="S230" s="3"/>
      <c r="T230" s="3"/>
      <c r="U230" s="3"/>
      <c r="V230" s="3"/>
      <c r="W230" s="3"/>
      <c r="X230" s="3"/>
      <c r="Y230" s="3"/>
      <c r="Z230" s="3"/>
    </row>
    <row r="231" spans="1:26" ht="22.5" customHeight="1" x14ac:dyDescent="0.85">
      <c r="A231" s="166"/>
      <c r="B231" s="167"/>
      <c r="C231" s="167"/>
      <c r="D231" s="147"/>
      <c r="E231" s="147"/>
      <c r="F231" s="147"/>
      <c r="G231" s="147"/>
      <c r="H231" s="147"/>
      <c r="I231" s="147"/>
      <c r="J231" s="147"/>
      <c r="K231" s="3"/>
      <c r="L231" s="3"/>
      <c r="M231" s="3"/>
      <c r="N231" s="3"/>
      <c r="O231" s="3"/>
      <c r="P231" s="3"/>
      <c r="Q231" s="3"/>
      <c r="R231" s="3"/>
      <c r="S231" s="3"/>
      <c r="T231" s="3"/>
      <c r="U231" s="3"/>
      <c r="V231" s="3"/>
      <c r="W231" s="3"/>
      <c r="X231" s="3"/>
      <c r="Y231" s="3"/>
      <c r="Z231" s="3"/>
    </row>
    <row r="232" spans="1:26" ht="22.5" customHeight="1" x14ac:dyDescent="0.85">
      <c r="A232" s="166"/>
      <c r="B232" s="167"/>
      <c r="C232" s="167"/>
      <c r="D232" s="147"/>
      <c r="E232" s="147"/>
      <c r="F232" s="147"/>
      <c r="G232" s="147"/>
      <c r="H232" s="147"/>
      <c r="I232" s="147"/>
      <c r="J232" s="147"/>
      <c r="K232" s="3"/>
      <c r="L232" s="3"/>
      <c r="M232" s="3"/>
      <c r="N232" s="3"/>
      <c r="O232" s="3"/>
      <c r="P232" s="3"/>
      <c r="Q232" s="3"/>
      <c r="R232" s="3"/>
      <c r="S232" s="3"/>
      <c r="T232" s="3"/>
      <c r="U232" s="3"/>
      <c r="V232" s="3"/>
      <c r="W232" s="3"/>
      <c r="X232" s="3"/>
      <c r="Y232" s="3"/>
      <c r="Z232" s="3"/>
    </row>
    <row r="233" spans="1:26" ht="22.5" customHeight="1" x14ac:dyDescent="0.85">
      <c r="A233" s="166"/>
      <c r="B233" s="167"/>
      <c r="C233" s="167"/>
      <c r="D233" s="147"/>
      <c r="E233" s="147"/>
      <c r="F233" s="147"/>
      <c r="G233" s="147"/>
      <c r="H233" s="147"/>
      <c r="I233" s="147"/>
      <c r="J233" s="147"/>
      <c r="K233" s="3"/>
      <c r="L233" s="3"/>
      <c r="M233" s="3"/>
      <c r="N233" s="3"/>
      <c r="O233" s="3"/>
      <c r="P233" s="3"/>
      <c r="Q233" s="3"/>
      <c r="R233" s="3"/>
      <c r="S233" s="3"/>
      <c r="T233" s="3"/>
      <c r="U233" s="3"/>
      <c r="V233" s="3"/>
      <c r="W233" s="3"/>
      <c r="X233" s="3"/>
      <c r="Y233" s="3"/>
      <c r="Z233" s="3"/>
    </row>
    <row r="234" spans="1:26" ht="22.5" customHeight="1" x14ac:dyDescent="0.85">
      <c r="A234" s="166"/>
      <c r="B234" s="167"/>
      <c r="C234" s="167"/>
      <c r="D234" s="147"/>
      <c r="E234" s="147"/>
      <c r="F234" s="147"/>
      <c r="G234" s="147"/>
      <c r="H234" s="147"/>
      <c r="I234" s="147"/>
      <c r="J234" s="147"/>
      <c r="K234" s="3"/>
      <c r="L234" s="3"/>
      <c r="M234" s="3"/>
      <c r="N234" s="3"/>
      <c r="O234" s="3"/>
      <c r="P234" s="3"/>
      <c r="Q234" s="3"/>
      <c r="R234" s="3"/>
      <c r="S234" s="3"/>
      <c r="T234" s="3"/>
      <c r="U234" s="3"/>
      <c r="V234" s="3"/>
      <c r="W234" s="3"/>
      <c r="X234" s="3"/>
      <c r="Y234" s="3"/>
      <c r="Z234" s="3"/>
    </row>
    <row r="235" spans="1:26" ht="22.5" customHeight="1" x14ac:dyDescent="0.85">
      <c r="A235" s="166"/>
      <c r="B235" s="167"/>
      <c r="C235" s="167"/>
      <c r="D235" s="147"/>
      <c r="E235" s="147"/>
      <c r="F235" s="147"/>
      <c r="G235" s="147"/>
      <c r="H235" s="147"/>
      <c r="I235" s="147"/>
      <c r="J235" s="147"/>
      <c r="K235" s="3"/>
      <c r="L235" s="3"/>
      <c r="M235" s="3"/>
      <c r="N235" s="3"/>
      <c r="O235" s="3"/>
      <c r="P235" s="3"/>
      <c r="Q235" s="3"/>
      <c r="R235" s="3"/>
      <c r="S235" s="3"/>
      <c r="T235" s="3"/>
      <c r="U235" s="3"/>
      <c r="V235" s="3"/>
      <c r="W235" s="3"/>
      <c r="X235" s="3"/>
      <c r="Y235" s="3"/>
      <c r="Z235" s="3"/>
    </row>
    <row r="236" spans="1:26" ht="22.5" customHeight="1" x14ac:dyDescent="0.85">
      <c r="A236" s="166"/>
      <c r="B236" s="167"/>
      <c r="C236" s="167"/>
      <c r="D236" s="147"/>
      <c r="E236" s="147"/>
      <c r="F236" s="147"/>
      <c r="G236" s="147"/>
      <c r="H236" s="147"/>
      <c r="I236" s="147"/>
      <c r="J236" s="147"/>
      <c r="K236" s="3"/>
      <c r="L236" s="3"/>
      <c r="M236" s="3"/>
      <c r="N236" s="3"/>
      <c r="O236" s="3"/>
      <c r="P236" s="3"/>
      <c r="Q236" s="3"/>
      <c r="R236" s="3"/>
      <c r="S236" s="3"/>
      <c r="T236" s="3"/>
      <c r="U236" s="3"/>
      <c r="V236" s="3"/>
      <c r="W236" s="3"/>
      <c r="X236" s="3"/>
      <c r="Y236" s="3"/>
      <c r="Z236" s="3"/>
    </row>
    <row r="237" spans="1:26" ht="22.5" customHeight="1" x14ac:dyDescent="0.85">
      <c r="A237" s="166"/>
      <c r="B237" s="167"/>
      <c r="C237" s="167"/>
      <c r="D237" s="147"/>
      <c r="E237" s="147"/>
      <c r="F237" s="147"/>
      <c r="G237" s="147"/>
      <c r="H237" s="147"/>
      <c r="I237" s="147"/>
      <c r="J237" s="147"/>
      <c r="K237" s="3"/>
      <c r="L237" s="3"/>
      <c r="M237" s="3"/>
      <c r="N237" s="3"/>
      <c r="O237" s="3"/>
      <c r="P237" s="3"/>
      <c r="Q237" s="3"/>
      <c r="R237" s="3"/>
      <c r="S237" s="3"/>
      <c r="T237" s="3"/>
      <c r="U237" s="3"/>
      <c r="V237" s="3"/>
      <c r="W237" s="3"/>
      <c r="X237" s="3"/>
      <c r="Y237" s="3"/>
      <c r="Z237" s="3"/>
    </row>
    <row r="238" spans="1:26" ht="22.5" customHeight="1" x14ac:dyDescent="0.85">
      <c r="A238" s="166"/>
      <c r="B238" s="167"/>
      <c r="C238" s="167"/>
      <c r="D238" s="147"/>
      <c r="E238" s="147"/>
      <c r="F238" s="147"/>
      <c r="G238" s="147"/>
      <c r="H238" s="147"/>
      <c r="I238" s="147"/>
      <c r="J238" s="147"/>
      <c r="K238" s="3"/>
      <c r="L238" s="3"/>
      <c r="M238" s="3"/>
      <c r="N238" s="3"/>
      <c r="O238" s="3"/>
      <c r="P238" s="3"/>
      <c r="Q238" s="3"/>
      <c r="R238" s="3"/>
      <c r="S238" s="3"/>
      <c r="T238" s="3"/>
      <c r="U238" s="3"/>
      <c r="V238" s="3"/>
      <c r="W238" s="3"/>
      <c r="X238" s="3"/>
      <c r="Y238" s="3"/>
      <c r="Z238" s="3"/>
    </row>
    <row r="239" spans="1:26" ht="22.5" customHeight="1" x14ac:dyDescent="0.85">
      <c r="A239" s="166"/>
      <c r="B239" s="167"/>
      <c r="C239" s="167"/>
      <c r="D239" s="147"/>
      <c r="E239" s="147"/>
      <c r="F239" s="147"/>
      <c r="G239" s="147"/>
      <c r="H239" s="147"/>
      <c r="I239" s="147"/>
      <c r="J239" s="147"/>
      <c r="K239" s="3"/>
      <c r="L239" s="3"/>
      <c r="M239" s="3"/>
      <c r="N239" s="3"/>
      <c r="O239" s="3"/>
      <c r="P239" s="3"/>
      <c r="Q239" s="3"/>
      <c r="R239" s="3"/>
      <c r="S239" s="3"/>
      <c r="T239" s="3"/>
      <c r="U239" s="3"/>
      <c r="V239" s="3"/>
      <c r="W239" s="3"/>
      <c r="X239" s="3"/>
      <c r="Y239" s="3"/>
      <c r="Z239" s="3"/>
    </row>
    <row r="240" spans="1:26" ht="22.5" customHeight="1" x14ac:dyDescent="0.85">
      <c r="A240" s="166"/>
      <c r="B240" s="167"/>
      <c r="C240" s="167"/>
      <c r="D240" s="147"/>
      <c r="E240" s="147"/>
      <c r="F240" s="147"/>
      <c r="G240" s="147"/>
      <c r="H240" s="147"/>
      <c r="I240" s="147"/>
      <c r="J240" s="147"/>
      <c r="K240" s="3"/>
      <c r="L240" s="3"/>
      <c r="M240" s="3"/>
      <c r="N240" s="3"/>
      <c r="O240" s="3"/>
      <c r="P240" s="3"/>
      <c r="Q240" s="3"/>
      <c r="R240" s="3"/>
      <c r="S240" s="3"/>
      <c r="T240" s="3"/>
      <c r="U240" s="3"/>
      <c r="V240" s="3"/>
      <c r="W240" s="3"/>
      <c r="X240" s="3"/>
      <c r="Y240" s="3"/>
      <c r="Z240" s="3"/>
    </row>
    <row r="241" spans="1:26" ht="22.5" customHeight="1" x14ac:dyDescent="0.85">
      <c r="A241" s="166"/>
      <c r="B241" s="167"/>
      <c r="C241" s="167"/>
      <c r="D241" s="147"/>
      <c r="E241" s="147"/>
      <c r="F241" s="147"/>
      <c r="G241" s="147"/>
      <c r="H241" s="147"/>
      <c r="I241" s="147"/>
      <c r="J241" s="147"/>
      <c r="K241" s="3"/>
      <c r="L241" s="3"/>
      <c r="M241" s="3"/>
      <c r="N241" s="3"/>
      <c r="O241" s="3"/>
      <c r="P241" s="3"/>
      <c r="Q241" s="3"/>
      <c r="R241" s="3"/>
      <c r="S241" s="3"/>
      <c r="T241" s="3"/>
      <c r="U241" s="3"/>
      <c r="V241" s="3"/>
      <c r="W241" s="3"/>
      <c r="X241" s="3"/>
      <c r="Y241" s="3"/>
      <c r="Z241" s="3"/>
    </row>
    <row r="242" spans="1:26" ht="22.5" customHeight="1" x14ac:dyDescent="0.85">
      <c r="A242" s="166"/>
      <c r="B242" s="167"/>
      <c r="C242" s="167"/>
      <c r="D242" s="147"/>
      <c r="E242" s="147"/>
      <c r="F242" s="147"/>
      <c r="G242" s="147"/>
      <c r="H242" s="147"/>
      <c r="I242" s="147"/>
      <c r="J242" s="147"/>
      <c r="K242" s="3"/>
      <c r="L242" s="3"/>
      <c r="M242" s="3"/>
      <c r="N242" s="3"/>
      <c r="O242" s="3"/>
      <c r="P242" s="3"/>
      <c r="Q242" s="3"/>
      <c r="R242" s="3"/>
      <c r="S242" s="3"/>
      <c r="T242" s="3"/>
      <c r="U242" s="3"/>
      <c r="V242" s="3"/>
      <c r="W242" s="3"/>
      <c r="X242" s="3"/>
      <c r="Y242" s="3"/>
      <c r="Z242" s="3"/>
    </row>
    <row r="243" spans="1:26" ht="22.5" customHeight="1" x14ac:dyDescent="0.85">
      <c r="A243" s="166"/>
      <c r="B243" s="167"/>
      <c r="C243" s="167"/>
      <c r="D243" s="147"/>
      <c r="E243" s="147"/>
      <c r="F243" s="147"/>
      <c r="G243" s="147"/>
      <c r="H243" s="147"/>
      <c r="I243" s="147"/>
      <c r="J243" s="147"/>
      <c r="K243" s="3"/>
      <c r="L243" s="3"/>
      <c r="M243" s="3"/>
      <c r="N243" s="3"/>
      <c r="O243" s="3"/>
      <c r="P243" s="3"/>
      <c r="Q243" s="3"/>
      <c r="R243" s="3"/>
      <c r="S243" s="3"/>
      <c r="T243" s="3"/>
      <c r="U243" s="3"/>
      <c r="V243" s="3"/>
      <c r="W243" s="3"/>
      <c r="X243" s="3"/>
      <c r="Y243" s="3"/>
      <c r="Z243" s="3"/>
    </row>
    <row r="244" spans="1:26" ht="22.5" customHeight="1" x14ac:dyDescent="0.85">
      <c r="A244" s="166"/>
      <c r="B244" s="167"/>
      <c r="C244" s="167"/>
      <c r="D244" s="147"/>
      <c r="E244" s="147"/>
      <c r="F244" s="147"/>
      <c r="G244" s="147"/>
      <c r="H244" s="147"/>
      <c r="I244" s="147"/>
      <c r="J244" s="147"/>
      <c r="K244" s="3"/>
      <c r="L244" s="3"/>
      <c r="M244" s="3"/>
      <c r="N244" s="3"/>
      <c r="O244" s="3"/>
      <c r="P244" s="3"/>
      <c r="Q244" s="3"/>
      <c r="R244" s="3"/>
      <c r="S244" s="3"/>
      <c r="T244" s="3"/>
      <c r="U244" s="3"/>
      <c r="V244" s="3"/>
      <c r="W244" s="3"/>
      <c r="X244" s="3"/>
      <c r="Y244" s="3"/>
      <c r="Z244" s="3"/>
    </row>
    <row r="245" spans="1:26" ht="22.5" customHeight="1" x14ac:dyDescent="0.85">
      <c r="A245" s="166"/>
      <c r="B245" s="167"/>
      <c r="C245" s="167"/>
      <c r="D245" s="147"/>
      <c r="E245" s="147"/>
      <c r="F245" s="147"/>
      <c r="G245" s="147"/>
      <c r="H245" s="147"/>
      <c r="I245" s="147"/>
      <c r="J245" s="147"/>
      <c r="K245" s="3"/>
      <c r="L245" s="3"/>
      <c r="M245" s="3"/>
      <c r="N245" s="3"/>
      <c r="O245" s="3"/>
      <c r="P245" s="3"/>
      <c r="Q245" s="3"/>
      <c r="R245" s="3"/>
      <c r="S245" s="3"/>
      <c r="T245" s="3"/>
      <c r="U245" s="3"/>
      <c r="V245" s="3"/>
      <c r="W245" s="3"/>
      <c r="X245" s="3"/>
      <c r="Y245" s="3"/>
      <c r="Z245" s="3"/>
    </row>
    <row r="246" spans="1:26" ht="22.5" customHeight="1" x14ac:dyDescent="0.85">
      <c r="A246" s="166"/>
      <c r="B246" s="167"/>
      <c r="C246" s="167"/>
      <c r="D246" s="147"/>
      <c r="E246" s="147"/>
      <c r="F246" s="147"/>
      <c r="G246" s="147"/>
      <c r="H246" s="147"/>
      <c r="I246" s="147"/>
      <c r="J246" s="147"/>
      <c r="K246" s="3"/>
      <c r="L246" s="3"/>
      <c r="M246" s="3"/>
      <c r="N246" s="3"/>
      <c r="O246" s="3"/>
      <c r="P246" s="3"/>
      <c r="Q246" s="3"/>
      <c r="R246" s="3"/>
      <c r="S246" s="3"/>
      <c r="T246" s="3"/>
      <c r="U246" s="3"/>
      <c r="V246" s="3"/>
      <c r="W246" s="3"/>
      <c r="X246" s="3"/>
      <c r="Y246" s="3"/>
      <c r="Z246" s="3"/>
    </row>
    <row r="247" spans="1:26" ht="22.5" customHeight="1" x14ac:dyDescent="0.85">
      <c r="A247" s="166"/>
      <c r="B247" s="167"/>
      <c r="C247" s="167"/>
      <c r="D247" s="147"/>
      <c r="E247" s="147"/>
      <c r="F247" s="147"/>
      <c r="G247" s="147"/>
      <c r="H247" s="147"/>
      <c r="I247" s="147"/>
      <c r="J247" s="147"/>
      <c r="K247" s="3"/>
      <c r="L247" s="3"/>
      <c r="M247" s="3"/>
      <c r="N247" s="3"/>
      <c r="O247" s="3"/>
      <c r="P247" s="3"/>
      <c r="Q247" s="3"/>
      <c r="R247" s="3"/>
      <c r="S247" s="3"/>
      <c r="T247" s="3"/>
      <c r="U247" s="3"/>
      <c r="V247" s="3"/>
      <c r="W247" s="3"/>
      <c r="X247" s="3"/>
      <c r="Y247" s="3"/>
      <c r="Z247" s="3"/>
    </row>
    <row r="248" spans="1:26" ht="22.5" customHeight="1" x14ac:dyDescent="0.85">
      <c r="A248" s="166"/>
      <c r="B248" s="167"/>
      <c r="C248" s="167"/>
      <c r="D248" s="147"/>
      <c r="E248" s="147"/>
      <c r="F248" s="147"/>
      <c r="G248" s="147"/>
      <c r="H248" s="147"/>
      <c r="I248" s="147"/>
      <c r="J248" s="147"/>
      <c r="K248" s="3"/>
      <c r="L248" s="3"/>
      <c r="M248" s="3"/>
      <c r="N248" s="3"/>
      <c r="O248" s="3"/>
      <c r="P248" s="3"/>
      <c r="Q248" s="3"/>
      <c r="R248" s="3"/>
      <c r="S248" s="3"/>
      <c r="T248" s="3"/>
      <c r="U248" s="3"/>
      <c r="V248" s="3"/>
      <c r="W248" s="3"/>
      <c r="X248" s="3"/>
      <c r="Y248" s="3"/>
      <c r="Z248" s="3"/>
    </row>
    <row r="249" spans="1:26" ht="22.5" customHeight="1" x14ac:dyDescent="0.85">
      <c r="A249" s="166"/>
      <c r="B249" s="167"/>
      <c r="C249" s="167"/>
      <c r="D249" s="147"/>
      <c r="E249" s="147"/>
      <c r="F249" s="147"/>
      <c r="G249" s="147"/>
      <c r="H249" s="147"/>
      <c r="I249" s="147"/>
      <c r="J249" s="147"/>
      <c r="K249" s="3"/>
      <c r="L249" s="3"/>
      <c r="M249" s="3"/>
      <c r="N249" s="3"/>
      <c r="O249" s="3"/>
      <c r="P249" s="3"/>
      <c r="Q249" s="3"/>
      <c r="R249" s="3"/>
      <c r="S249" s="3"/>
      <c r="T249" s="3"/>
      <c r="U249" s="3"/>
      <c r="V249" s="3"/>
      <c r="W249" s="3"/>
      <c r="X249" s="3"/>
      <c r="Y249" s="3"/>
      <c r="Z249" s="3"/>
    </row>
    <row r="250" spans="1:26" ht="22.5" customHeight="1" x14ac:dyDescent="0.85">
      <c r="A250" s="166"/>
      <c r="B250" s="167"/>
      <c r="C250" s="167"/>
      <c r="D250" s="147"/>
      <c r="E250" s="147"/>
      <c r="F250" s="147"/>
      <c r="G250" s="147"/>
      <c r="H250" s="147"/>
      <c r="I250" s="147"/>
      <c r="J250" s="147"/>
      <c r="K250" s="3"/>
      <c r="L250" s="3"/>
      <c r="M250" s="3"/>
      <c r="N250" s="3"/>
      <c r="O250" s="3"/>
      <c r="P250" s="3"/>
      <c r="Q250" s="3"/>
      <c r="R250" s="3"/>
      <c r="S250" s="3"/>
      <c r="T250" s="3"/>
      <c r="U250" s="3"/>
      <c r="V250" s="3"/>
      <c r="W250" s="3"/>
      <c r="X250" s="3"/>
      <c r="Y250" s="3"/>
      <c r="Z250" s="3"/>
    </row>
    <row r="251" spans="1:26" ht="22.5" customHeight="1" x14ac:dyDescent="0.85">
      <c r="A251" s="166"/>
      <c r="B251" s="167"/>
      <c r="C251" s="167"/>
      <c r="D251" s="147"/>
      <c r="E251" s="147"/>
      <c r="F251" s="147"/>
      <c r="G251" s="147"/>
      <c r="H251" s="147"/>
      <c r="I251" s="147"/>
      <c r="J251" s="147"/>
      <c r="K251" s="3"/>
      <c r="L251" s="3"/>
      <c r="M251" s="3"/>
      <c r="N251" s="3"/>
      <c r="O251" s="3"/>
      <c r="P251" s="3"/>
      <c r="Q251" s="3"/>
      <c r="R251" s="3"/>
      <c r="S251" s="3"/>
      <c r="T251" s="3"/>
      <c r="U251" s="3"/>
      <c r="V251" s="3"/>
      <c r="W251" s="3"/>
      <c r="X251" s="3"/>
      <c r="Y251" s="3"/>
      <c r="Z251" s="3"/>
    </row>
    <row r="252" spans="1:26" ht="22.5" customHeight="1" x14ac:dyDescent="0.85">
      <c r="A252" s="166"/>
      <c r="B252" s="167"/>
      <c r="C252" s="167"/>
      <c r="D252" s="147"/>
      <c r="E252" s="147"/>
      <c r="F252" s="147"/>
      <c r="G252" s="147"/>
      <c r="H252" s="147"/>
      <c r="I252" s="147"/>
      <c r="J252" s="147"/>
      <c r="K252" s="3"/>
      <c r="L252" s="3"/>
      <c r="M252" s="3"/>
      <c r="N252" s="3"/>
      <c r="O252" s="3"/>
      <c r="P252" s="3"/>
      <c r="Q252" s="3"/>
      <c r="R252" s="3"/>
      <c r="S252" s="3"/>
      <c r="T252" s="3"/>
      <c r="U252" s="3"/>
      <c r="V252" s="3"/>
      <c r="W252" s="3"/>
      <c r="X252" s="3"/>
      <c r="Y252" s="3"/>
      <c r="Z252" s="3"/>
    </row>
    <row r="253" spans="1:26" ht="22.5" customHeight="1" x14ac:dyDescent="0.85">
      <c r="A253" s="166"/>
      <c r="B253" s="167"/>
      <c r="C253" s="167"/>
      <c r="D253" s="147"/>
      <c r="E253" s="147"/>
      <c r="F253" s="147"/>
      <c r="G253" s="147"/>
      <c r="H253" s="147"/>
      <c r="I253" s="147"/>
      <c r="J253" s="147"/>
      <c r="K253" s="3"/>
      <c r="L253" s="3"/>
      <c r="M253" s="3"/>
      <c r="N253" s="3"/>
      <c r="O253" s="3"/>
      <c r="P253" s="3"/>
      <c r="Q253" s="3"/>
      <c r="R253" s="3"/>
      <c r="S253" s="3"/>
      <c r="T253" s="3"/>
      <c r="U253" s="3"/>
      <c r="V253" s="3"/>
      <c r="W253" s="3"/>
      <c r="X253" s="3"/>
      <c r="Y253" s="3"/>
      <c r="Z253" s="3"/>
    </row>
    <row r="254" spans="1:26" ht="22.5" customHeight="1" x14ac:dyDescent="0.85">
      <c r="A254" s="166"/>
      <c r="B254" s="167"/>
      <c r="C254" s="167"/>
      <c r="D254" s="147"/>
      <c r="E254" s="147"/>
      <c r="F254" s="147"/>
      <c r="G254" s="147"/>
      <c r="H254" s="147"/>
      <c r="I254" s="147"/>
      <c r="J254" s="147"/>
      <c r="K254" s="3"/>
      <c r="L254" s="3"/>
      <c r="M254" s="3"/>
      <c r="N254" s="3"/>
      <c r="O254" s="3"/>
      <c r="P254" s="3"/>
      <c r="Q254" s="3"/>
      <c r="R254" s="3"/>
      <c r="S254" s="3"/>
      <c r="T254" s="3"/>
      <c r="U254" s="3"/>
      <c r="V254" s="3"/>
      <c r="W254" s="3"/>
      <c r="X254" s="3"/>
      <c r="Y254" s="3"/>
      <c r="Z254" s="3"/>
    </row>
    <row r="255" spans="1:26" ht="22.5" customHeight="1" x14ac:dyDescent="0.85">
      <c r="A255" s="166"/>
      <c r="B255" s="167"/>
      <c r="C255" s="167"/>
      <c r="D255" s="147"/>
      <c r="E255" s="147"/>
      <c r="F255" s="147"/>
      <c r="G255" s="147"/>
      <c r="H255" s="147"/>
      <c r="I255" s="147"/>
      <c r="J255" s="147"/>
      <c r="K255" s="3"/>
      <c r="L255" s="3"/>
      <c r="M255" s="3"/>
      <c r="N255" s="3"/>
      <c r="O255" s="3"/>
      <c r="P255" s="3"/>
      <c r="Q255" s="3"/>
      <c r="R255" s="3"/>
      <c r="S255" s="3"/>
      <c r="T255" s="3"/>
      <c r="U255" s="3"/>
      <c r="V255" s="3"/>
      <c r="W255" s="3"/>
      <c r="X255" s="3"/>
      <c r="Y255" s="3"/>
      <c r="Z255" s="3"/>
    </row>
    <row r="256" spans="1:26" ht="22.5" customHeight="1" x14ac:dyDescent="0.85">
      <c r="A256" s="166"/>
      <c r="B256" s="167"/>
      <c r="C256" s="167"/>
      <c r="D256" s="147"/>
      <c r="E256" s="147"/>
      <c r="F256" s="147"/>
      <c r="G256" s="147"/>
      <c r="H256" s="147"/>
      <c r="I256" s="147"/>
      <c r="J256" s="147"/>
      <c r="K256" s="3"/>
      <c r="L256" s="3"/>
      <c r="M256" s="3"/>
      <c r="N256" s="3"/>
      <c r="O256" s="3"/>
      <c r="P256" s="3"/>
      <c r="Q256" s="3"/>
      <c r="R256" s="3"/>
      <c r="S256" s="3"/>
      <c r="T256" s="3"/>
      <c r="U256" s="3"/>
      <c r="V256" s="3"/>
      <c r="W256" s="3"/>
      <c r="X256" s="3"/>
      <c r="Y256" s="3"/>
      <c r="Z256" s="3"/>
    </row>
    <row r="257" spans="1:26" ht="22.5" customHeight="1" x14ac:dyDescent="0.85">
      <c r="A257" s="166"/>
      <c r="B257" s="167"/>
      <c r="C257" s="167"/>
      <c r="D257" s="147"/>
      <c r="E257" s="147"/>
      <c r="F257" s="147"/>
      <c r="G257" s="147"/>
      <c r="H257" s="147"/>
      <c r="I257" s="147"/>
      <c r="J257" s="147"/>
      <c r="K257" s="3"/>
      <c r="L257" s="3"/>
      <c r="M257" s="3"/>
      <c r="N257" s="3"/>
      <c r="O257" s="3"/>
      <c r="P257" s="3"/>
      <c r="Q257" s="3"/>
      <c r="R257" s="3"/>
      <c r="S257" s="3"/>
      <c r="T257" s="3"/>
      <c r="U257" s="3"/>
      <c r="V257" s="3"/>
      <c r="W257" s="3"/>
      <c r="X257" s="3"/>
      <c r="Y257" s="3"/>
      <c r="Z257" s="3"/>
    </row>
    <row r="258" spans="1:26" ht="22.5" customHeight="1" x14ac:dyDescent="0.85">
      <c r="A258" s="166"/>
      <c r="B258" s="167"/>
      <c r="C258" s="167"/>
      <c r="D258" s="147"/>
      <c r="E258" s="147"/>
      <c r="F258" s="147"/>
      <c r="G258" s="147"/>
      <c r="H258" s="147"/>
      <c r="I258" s="147"/>
      <c r="J258" s="147"/>
      <c r="K258" s="3"/>
      <c r="L258" s="3"/>
      <c r="M258" s="3"/>
      <c r="N258" s="3"/>
      <c r="O258" s="3"/>
      <c r="P258" s="3"/>
      <c r="Q258" s="3"/>
      <c r="R258" s="3"/>
      <c r="S258" s="3"/>
      <c r="T258" s="3"/>
      <c r="U258" s="3"/>
      <c r="V258" s="3"/>
      <c r="W258" s="3"/>
      <c r="X258" s="3"/>
      <c r="Y258" s="3"/>
      <c r="Z258" s="3"/>
    </row>
    <row r="259" spans="1:26" ht="22.5" customHeight="1" x14ac:dyDescent="0.85">
      <c r="A259" s="166"/>
      <c r="B259" s="167"/>
      <c r="C259" s="167"/>
      <c r="D259" s="147"/>
      <c r="E259" s="147"/>
      <c r="F259" s="147"/>
      <c r="G259" s="147"/>
      <c r="H259" s="147"/>
      <c r="I259" s="147"/>
      <c r="J259" s="147"/>
      <c r="K259" s="3"/>
      <c r="L259" s="3"/>
      <c r="M259" s="3"/>
      <c r="N259" s="3"/>
      <c r="O259" s="3"/>
      <c r="P259" s="3"/>
      <c r="Q259" s="3"/>
      <c r="R259" s="3"/>
      <c r="S259" s="3"/>
      <c r="T259" s="3"/>
      <c r="U259" s="3"/>
      <c r="V259" s="3"/>
      <c r="W259" s="3"/>
      <c r="X259" s="3"/>
      <c r="Y259" s="3"/>
      <c r="Z259" s="3"/>
    </row>
    <row r="260" spans="1:26" ht="22.5" customHeight="1" x14ac:dyDescent="0.85">
      <c r="A260" s="166"/>
      <c r="B260" s="167"/>
      <c r="C260" s="167"/>
      <c r="D260" s="147"/>
      <c r="E260" s="147"/>
      <c r="F260" s="147"/>
      <c r="G260" s="147"/>
      <c r="H260" s="147"/>
      <c r="I260" s="147"/>
      <c r="J260" s="147"/>
      <c r="K260" s="3"/>
      <c r="L260" s="3"/>
      <c r="M260" s="3"/>
      <c r="N260" s="3"/>
      <c r="O260" s="3"/>
      <c r="P260" s="3"/>
      <c r="Q260" s="3"/>
      <c r="R260" s="3"/>
      <c r="S260" s="3"/>
      <c r="T260" s="3"/>
      <c r="U260" s="3"/>
      <c r="V260" s="3"/>
      <c r="W260" s="3"/>
      <c r="X260" s="3"/>
      <c r="Y260" s="3"/>
      <c r="Z260" s="3"/>
    </row>
    <row r="261" spans="1:26" ht="22.5" customHeight="1" x14ac:dyDescent="0.85">
      <c r="A261" s="166"/>
      <c r="B261" s="167"/>
      <c r="C261" s="167"/>
      <c r="D261" s="147"/>
      <c r="E261" s="147"/>
      <c r="F261" s="147"/>
      <c r="G261" s="147"/>
      <c r="H261" s="147"/>
      <c r="I261" s="147"/>
      <c r="J261" s="147"/>
      <c r="K261" s="3"/>
      <c r="L261" s="3"/>
      <c r="M261" s="3"/>
      <c r="N261" s="3"/>
      <c r="O261" s="3"/>
      <c r="P261" s="3"/>
      <c r="Q261" s="3"/>
      <c r="R261" s="3"/>
      <c r="S261" s="3"/>
      <c r="T261" s="3"/>
      <c r="U261" s="3"/>
      <c r="V261" s="3"/>
      <c r="W261" s="3"/>
      <c r="X261" s="3"/>
      <c r="Y261" s="3"/>
      <c r="Z261" s="3"/>
    </row>
    <row r="262" spans="1:26" ht="22.5" customHeight="1" x14ac:dyDescent="0.85">
      <c r="A262" s="166"/>
      <c r="B262" s="167"/>
      <c r="C262" s="167"/>
      <c r="D262" s="147"/>
      <c r="E262" s="147"/>
      <c r="F262" s="147"/>
      <c r="G262" s="147"/>
      <c r="H262" s="147"/>
      <c r="I262" s="147"/>
      <c r="J262" s="147"/>
      <c r="K262" s="3"/>
      <c r="L262" s="3"/>
      <c r="M262" s="3"/>
      <c r="N262" s="3"/>
      <c r="O262" s="3"/>
      <c r="P262" s="3"/>
      <c r="Q262" s="3"/>
      <c r="R262" s="3"/>
      <c r="S262" s="3"/>
      <c r="T262" s="3"/>
      <c r="U262" s="3"/>
      <c r="V262" s="3"/>
      <c r="W262" s="3"/>
      <c r="X262" s="3"/>
      <c r="Y262" s="3"/>
      <c r="Z262" s="3"/>
    </row>
    <row r="263" spans="1:26" ht="22.5" customHeight="1" x14ac:dyDescent="0.85">
      <c r="A263" s="166"/>
      <c r="B263" s="167"/>
      <c r="C263" s="167"/>
      <c r="D263" s="147"/>
      <c r="E263" s="147"/>
      <c r="F263" s="147"/>
      <c r="G263" s="147"/>
      <c r="H263" s="147"/>
      <c r="I263" s="147"/>
      <c r="J263" s="147"/>
      <c r="K263" s="3"/>
      <c r="L263" s="3"/>
      <c r="M263" s="3"/>
      <c r="N263" s="3"/>
      <c r="O263" s="3"/>
      <c r="P263" s="3"/>
      <c r="Q263" s="3"/>
      <c r="R263" s="3"/>
      <c r="S263" s="3"/>
      <c r="T263" s="3"/>
      <c r="U263" s="3"/>
      <c r="V263" s="3"/>
      <c r="W263" s="3"/>
      <c r="X263" s="3"/>
      <c r="Y263" s="3"/>
      <c r="Z263" s="3"/>
    </row>
    <row r="264" spans="1:26" ht="22.5" customHeight="1" x14ac:dyDescent="0.85">
      <c r="A264" s="166"/>
      <c r="B264" s="167"/>
      <c r="C264" s="167"/>
      <c r="D264" s="147"/>
      <c r="E264" s="147"/>
      <c r="F264" s="147"/>
      <c r="G264" s="147"/>
      <c r="H264" s="147"/>
      <c r="I264" s="147"/>
      <c r="J264" s="147"/>
      <c r="K264" s="3"/>
      <c r="L264" s="3"/>
      <c r="M264" s="3"/>
      <c r="N264" s="3"/>
      <c r="O264" s="3"/>
      <c r="P264" s="3"/>
      <c r="Q264" s="3"/>
      <c r="R264" s="3"/>
      <c r="S264" s="3"/>
      <c r="T264" s="3"/>
      <c r="U264" s="3"/>
      <c r="V264" s="3"/>
      <c r="W264" s="3"/>
      <c r="X264" s="3"/>
      <c r="Y264" s="3"/>
      <c r="Z264" s="3"/>
    </row>
    <row r="265" spans="1:26" ht="22.5" customHeight="1" x14ac:dyDescent="0.85">
      <c r="A265" s="166"/>
      <c r="B265" s="167"/>
      <c r="C265" s="167"/>
      <c r="D265" s="147"/>
      <c r="E265" s="147"/>
      <c r="F265" s="147"/>
      <c r="G265" s="147"/>
      <c r="H265" s="147"/>
      <c r="I265" s="147"/>
      <c r="J265" s="147"/>
      <c r="K265" s="3"/>
      <c r="L265" s="3"/>
      <c r="M265" s="3"/>
      <c r="N265" s="3"/>
      <c r="O265" s="3"/>
      <c r="P265" s="3"/>
      <c r="Q265" s="3"/>
      <c r="R265" s="3"/>
      <c r="S265" s="3"/>
      <c r="T265" s="3"/>
      <c r="U265" s="3"/>
      <c r="V265" s="3"/>
      <c r="W265" s="3"/>
      <c r="X265" s="3"/>
      <c r="Y265" s="3"/>
      <c r="Z265" s="3"/>
    </row>
    <row r="266" spans="1:26" ht="22.5" customHeight="1" x14ac:dyDescent="0.85">
      <c r="A266" s="166"/>
      <c r="B266" s="167"/>
      <c r="C266" s="167"/>
      <c r="D266" s="147"/>
      <c r="E266" s="147"/>
      <c r="F266" s="147"/>
      <c r="G266" s="147"/>
      <c r="H266" s="147"/>
      <c r="I266" s="147"/>
      <c r="J266" s="147"/>
      <c r="K266" s="3"/>
      <c r="L266" s="3"/>
      <c r="M266" s="3"/>
      <c r="N266" s="3"/>
      <c r="O266" s="3"/>
      <c r="P266" s="3"/>
      <c r="Q266" s="3"/>
      <c r="R266" s="3"/>
      <c r="S266" s="3"/>
      <c r="T266" s="3"/>
      <c r="U266" s="3"/>
      <c r="V266" s="3"/>
      <c r="W266" s="3"/>
      <c r="X266" s="3"/>
      <c r="Y266" s="3"/>
      <c r="Z266" s="3"/>
    </row>
    <row r="267" spans="1:26" ht="22.5" customHeight="1" x14ac:dyDescent="0.85">
      <c r="A267" s="166"/>
      <c r="B267" s="167"/>
      <c r="C267" s="167"/>
      <c r="D267" s="147"/>
      <c r="E267" s="147"/>
      <c r="F267" s="147"/>
      <c r="G267" s="147"/>
      <c r="H267" s="147"/>
      <c r="I267" s="147"/>
      <c r="J267" s="147"/>
      <c r="K267" s="3"/>
      <c r="L267" s="3"/>
      <c r="M267" s="3"/>
      <c r="N267" s="3"/>
      <c r="O267" s="3"/>
      <c r="P267" s="3"/>
      <c r="Q267" s="3"/>
      <c r="R267" s="3"/>
      <c r="S267" s="3"/>
      <c r="T267" s="3"/>
      <c r="U267" s="3"/>
      <c r="V267" s="3"/>
      <c r="W267" s="3"/>
      <c r="X267" s="3"/>
      <c r="Y267" s="3"/>
      <c r="Z267" s="3"/>
    </row>
    <row r="268" spans="1:26" ht="22.5" customHeight="1" x14ac:dyDescent="0.85">
      <c r="A268" s="166"/>
      <c r="B268" s="167"/>
      <c r="C268" s="167"/>
      <c r="D268" s="147"/>
      <c r="E268" s="147"/>
      <c r="F268" s="147"/>
      <c r="G268" s="147"/>
      <c r="H268" s="147"/>
      <c r="I268" s="147"/>
      <c r="J268" s="147"/>
      <c r="K268" s="3"/>
      <c r="L268" s="3"/>
      <c r="M268" s="3"/>
      <c r="N268" s="3"/>
      <c r="O268" s="3"/>
      <c r="P268" s="3"/>
      <c r="Q268" s="3"/>
      <c r="R268" s="3"/>
      <c r="S268" s="3"/>
      <c r="T268" s="3"/>
      <c r="U268" s="3"/>
      <c r="V268" s="3"/>
      <c r="W268" s="3"/>
      <c r="X268" s="3"/>
      <c r="Y268" s="3"/>
      <c r="Z268" s="3"/>
    </row>
    <row r="269" spans="1:26" ht="22.5" customHeight="1" x14ac:dyDescent="0.85">
      <c r="A269" s="166"/>
      <c r="B269" s="167"/>
      <c r="C269" s="167"/>
      <c r="D269" s="147"/>
      <c r="E269" s="147"/>
      <c r="F269" s="147"/>
      <c r="G269" s="147"/>
      <c r="H269" s="147"/>
      <c r="I269" s="147"/>
      <c r="J269" s="147"/>
      <c r="K269" s="3"/>
      <c r="L269" s="3"/>
      <c r="M269" s="3"/>
      <c r="N269" s="3"/>
      <c r="O269" s="3"/>
      <c r="P269" s="3"/>
      <c r="Q269" s="3"/>
      <c r="R269" s="3"/>
      <c r="S269" s="3"/>
      <c r="T269" s="3"/>
      <c r="U269" s="3"/>
      <c r="V269" s="3"/>
      <c r="W269" s="3"/>
      <c r="X269" s="3"/>
      <c r="Y269" s="3"/>
      <c r="Z269" s="3"/>
    </row>
    <row r="270" spans="1:26" ht="22.5" customHeight="1" x14ac:dyDescent="0.85">
      <c r="A270" s="166"/>
      <c r="B270" s="167"/>
      <c r="C270" s="167"/>
      <c r="D270" s="147"/>
      <c r="E270" s="147"/>
      <c r="F270" s="147"/>
      <c r="G270" s="147"/>
      <c r="H270" s="147"/>
      <c r="I270" s="147"/>
      <c r="J270" s="147"/>
      <c r="K270" s="3"/>
      <c r="L270" s="3"/>
      <c r="M270" s="3"/>
      <c r="N270" s="3"/>
      <c r="O270" s="3"/>
      <c r="P270" s="3"/>
      <c r="Q270" s="3"/>
      <c r="R270" s="3"/>
      <c r="S270" s="3"/>
      <c r="T270" s="3"/>
      <c r="U270" s="3"/>
      <c r="V270" s="3"/>
      <c r="W270" s="3"/>
      <c r="X270" s="3"/>
      <c r="Y270" s="3"/>
      <c r="Z270" s="3"/>
    </row>
    <row r="271" spans="1:26" ht="22.5" customHeight="1" x14ac:dyDescent="0.85">
      <c r="A271" s="166"/>
      <c r="B271" s="167"/>
      <c r="C271" s="167"/>
      <c r="D271" s="147"/>
      <c r="E271" s="147"/>
      <c r="F271" s="147"/>
      <c r="G271" s="147"/>
      <c r="H271" s="147"/>
      <c r="I271" s="147"/>
      <c r="J271" s="147"/>
      <c r="K271" s="3"/>
      <c r="L271" s="3"/>
      <c r="M271" s="3"/>
      <c r="N271" s="3"/>
      <c r="O271" s="3"/>
      <c r="P271" s="3"/>
      <c r="Q271" s="3"/>
      <c r="R271" s="3"/>
      <c r="S271" s="3"/>
      <c r="T271" s="3"/>
      <c r="U271" s="3"/>
      <c r="V271" s="3"/>
      <c r="W271" s="3"/>
      <c r="X271" s="3"/>
      <c r="Y271" s="3"/>
      <c r="Z271" s="3"/>
    </row>
    <row r="272" spans="1:26" ht="22.5" customHeight="1" x14ac:dyDescent="0.85">
      <c r="A272" s="166"/>
      <c r="B272" s="167"/>
      <c r="C272" s="167"/>
      <c r="D272" s="147"/>
      <c r="E272" s="147"/>
      <c r="F272" s="147"/>
      <c r="G272" s="147"/>
      <c r="H272" s="147"/>
      <c r="I272" s="147"/>
      <c r="J272" s="147"/>
      <c r="K272" s="3"/>
      <c r="L272" s="3"/>
      <c r="M272" s="3"/>
      <c r="N272" s="3"/>
      <c r="O272" s="3"/>
      <c r="P272" s="3"/>
      <c r="Q272" s="3"/>
      <c r="R272" s="3"/>
      <c r="S272" s="3"/>
      <c r="T272" s="3"/>
      <c r="U272" s="3"/>
      <c r="V272" s="3"/>
      <c r="W272" s="3"/>
      <c r="X272" s="3"/>
      <c r="Y272" s="3"/>
      <c r="Z272" s="3"/>
    </row>
    <row r="273" spans="1:26" ht="22.5" customHeight="1" x14ac:dyDescent="0.85">
      <c r="A273" s="166"/>
      <c r="B273" s="167"/>
      <c r="C273" s="167"/>
      <c r="D273" s="147"/>
      <c r="E273" s="147"/>
      <c r="F273" s="147"/>
      <c r="G273" s="147"/>
      <c r="H273" s="147"/>
      <c r="I273" s="147"/>
      <c r="J273" s="147"/>
      <c r="K273" s="3"/>
      <c r="L273" s="3"/>
      <c r="M273" s="3"/>
      <c r="N273" s="3"/>
      <c r="O273" s="3"/>
      <c r="P273" s="3"/>
      <c r="Q273" s="3"/>
      <c r="R273" s="3"/>
      <c r="S273" s="3"/>
      <c r="T273" s="3"/>
      <c r="U273" s="3"/>
      <c r="V273" s="3"/>
      <c r="W273" s="3"/>
      <c r="X273" s="3"/>
      <c r="Y273" s="3"/>
      <c r="Z273" s="3"/>
    </row>
    <row r="274" spans="1:26" ht="22.5" customHeight="1" x14ac:dyDescent="0.85">
      <c r="A274" s="166"/>
      <c r="B274" s="167"/>
      <c r="C274" s="167"/>
      <c r="D274" s="147"/>
      <c r="E274" s="147"/>
      <c r="F274" s="147"/>
      <c r="G274" s="147"/>
      <c r="H274" s="147"/>
      <c r="I274" s="147"/>
      <c r="J274" s="147"/>
      <c r="K274" s="3"/>
      <c r="L274" s="3"/>
      <c r="M274" s="3"/>
      <c r="N274" s="3"/>
      <c r="O274" s="3"/>
      <c r="P274" s="3"/>
      <c r="Q274" s="3"/>
      <c r="R274" s="3"/>
      <c r="S274" s="3"/>
      <c r="T274" s="3"/>
      <c r="U274" s="3"/>
      <c r="V274" s="3"/>
      <c r="W274" s="3"/>
      <c r="X274" s="3"/>
      <c r="Y274" s="3"/>
      <c r="Z274" s="3"/>
    </row>
    <row r="275" spans="1:26" ht="22.5" customHeight="1" x14ac:dyDescent="0.85">
      <c r="A275" s="166"/>
      <c r="B275" s="167"/>
      <c r="C275" s="167"/>
      <c r="D275" s="147"/>
      <c r="E275" s="147"/>
      <c r="F275" s="147"/>
      <c r="G275" s="147"/>
      <c r="H275" s="147"/>
      <c r="I275" s="147"/>
      <c r="J275" s="147"/>
      <c r="K275" s="3"/>
      <c r="L275" s="3"/>
      <c r="M275" s="3"/>
      <c r="N275" s="3"/>
      <c r="O275" s="3"/>
      <c r="P275" s="3"/>
      <c r="Q275" s="3"/>
      <c r="R275" s="3"/>
      <c r="S275" s="3"/>
      <c r="T275" s="3"/>
      <c r="U275" s="3"/>
      <c r="V275" s="3"/>
      <c r="W275" s="3"/>
      <c r="X275" s="3"/>
      <c r="Y275" s="3"/>
      <c r="Z275" s="3"/>
    </row>
    <row r="276" spans="1:26" ht="22.5" customHeight="1" x14ac:dyDescent="0.85">
      <c r="A276" s="166"/>
      <c r="B276" s="167"/>
      <c r="C276" s="167"/>
      <c r="D276" s="147"/>
      <c r="E276" s="147"/>
      <c r="F276" s="147"/>
      <c r="G276" s="147"/>
      <c r="H276" s="147"/>
      <c r="I276" s="147"/>
      <c r="J276" s="147"/>
      <c r="K276" s="3"/>
      <c r="L276" s="3"/>
      <c r="M276" s="3"/>
      <c r="N276" s="3"/>
      <c r="O276" s="3"/>
      <c r="P276" s="3"/>
      <c r="Q276" s="3"/>
      <c r="R276" s="3"/>
      <c r="S276" s="3"/>
      <c r="T276" s="3"/>
      <c r="U276" s="3"/>
      <c r="V276" s="3"/>
      <c r="W276" s="3"/>
      <c r="X276" s="3"/>
      <c r="Y276" s="3"/>
      <c r="Z276" s="3"/>
    </row>
    <row r="277" spans="1:26" ht="22.5" customHeight="1" x14ac:dyDescent="0.85">
      <c r="A277" s="166"/>
      <c r="B277" s="167"/>
      <c r="C277" s="167"/>
      <c r="D277" s="147"/>
      <c r="E277" s="147"/>
      <c r="F277" s="147"/>
      <c r="G277" s="147"/>
      <c r="H277" s="147"/>
      <c r="I277" s="147"/>
      <c r="J277" s="147"/>
      <c r="K277" s="3"/>
      <c r="L277" s="3"/>
      <c r="M277" s="3"/>
      <c r="N277" s="3"/>
      <c r="O277" s="3"/>
      <c r="P277" s="3"/>
      <c r="Q277" s="3"/>
      <c r="R277" s="3"/>
      <c r="S277" s="3"/>
      <c r="T277" s="3"/>
      <c r="U277" s="3"/>
      <c r="V277" s="3"/>
      <c r="W277" s="3"/>
      <c r="X277" s="3"/>
      <c r="Y277" s="3"/>
      <c r="Z277" s="3"/>
    </row>
    <row r="278" spans="1:26" ht="22.5" customHeight="1" x14ac:dyDescent="0.85">
      <c r="A278" s="166"/>
      <c r="B278" s="167"/>
      <c r="C278" s="167"/>
      <c r="D278" s="147"/>
      <c r="E278" s="147"/>
      <c r="F278" s="147"/>
      <c r="G278" s="147"/>
      <c r="H278" s="147"/>
      <c r="I278" s="147"/>
      <c r="J278" s="147"/>
      <c r="K278" s="3"/>
      <c r="L278" s="3"/>
      <c r="M278" s="3"/>
      <c r="N278" s="3"/>
      <c r="O278" s="3"/>
      <c r="P278" s="3"/>
      <c r="Q278" s="3"/>
      <c r="R278" s="3"/>
      <c r="S278" s="3"/>
      <c r="T278" s="3"/>
      <c r="U278" s="3"/>
      <c r="V278" s="3"/>
      <c r="W278" s="3"/>
      <c r="X278" s="3"/>
      <c r="Y278" s="3"/>
      <c r="Z278" s="3"/>
    </row>
    <row r="279" spans="1:26" ht="22.5" customHeight="1" x14ac:dyDescent="0.85">
      <c r="A279" s="166"/>
      <c r="B279" s="167"/>
      <c r="C279" s="167"/>
      <c r="D279" s="147"/>
      <c r="E279" s="147"/>
      <c r="F279" s="147"/>
      <c r="G279" s="147"/>
      <c r="H279" s="147"/>
      <c r="I279" s="147"/>
      <c r="J279" s="147"/>
      <c r="K279" s="3"/>
      <c r="L279" s="3"/>
      <c r="M279" s="3"/>
      <c r="N279" s="3"/>
      <c r="O279" s="3"/>
      <c r="P279" s="3"/>
      <c r="Q279" s="3"/>
      <c r="R279" s="3"/>
      <c r="S279" s="3"/>
      <c r="T279" s="3"/>
      <c r="U279" s="3"/>
      <c r="V279" s="3"/>
      <c r="W279" s="3"/>
      <c r="X279" s="3"/>
      <c r="Y279" s="3"/>
      <c r="Z279" s="3"/>
    </row>
    <row r="280" spans="1:26" ht="22.5" customHeight="1" x14ac:dyDescent="0.85">
      <c r="A280" s="166"/>
      <c r="B280" s="167"/>
      <c r="C280" s="167"/>
      <c r="D280" s="147"/>
      <c r="E280" s="147"/>
      <c r="F280" s="147"/>
      <c r="G280" s="147"/>
      <c r="H280" s="147"/>
      <c r="I280" s="147"/>
      <c r="J280" s="147"/>
      <c r="K280" s="3"/>
      <c r="L280" s="3"/>
      <c r="M280" s="3"/>
      <c r="N280" s="3"/>
      <c r="O280" s="3"/>
      <c r="P280" s="3"/>
      <c r="Q280" s="3"/>
      <c r="R280" s="3"/>
      <c r="S280" s="3"/>
      <c r="T280" s="3"/>
      <c r="U280" s="3"/>
      <c r="V280" s="3"/>
      <c r="W280" s="3"/>
      <c r="X280" s="3"/>
      <c r="Y280" s="3"/>
      <c r="Z280" s="3"/>
    </row>
    <row r="281" spans="1:26" ht="22.5" customHeight="1" x14ac:dyDescent="0.85">
      <c r="A281" s="166"/>
      <c r="B281" s="167"/>
      <c r="C281" s="167"/>
      <c r="D281" s="147"/>
      <c r="E281" s="147"/>
      <c r="F281" s="147"/>
      <c r="G281" s="147"/>
      <c r="H281" s="147"/>
      <c r="I281" s="147"/>
      <c r="J281" s="147"/>
      <c r="K281" s="3"/>
      <c r="L281" s="3"/>
      <c r="M281" s="3"/>
      <c r="N281" s="3"/>
      <c r="O281" s="3"/>
      <c r="P281" s="3"/>
      <c r="Q281" s="3"/>
      <c r="R281" s="3"/>
      <c r="S281" s="3"/>
      <c r="T281" s="3"/>
      <c r="U281" s="3"/>
      <c r="V281" s="3"/>
      <c r="W281" s="3"/>
      <c r="X281" s="3"/>
      <c r="Y281" s="3"/>
      <c r="Z281" s="3"/>
    </row>
    <row r="282" spans="1:26" ht="22.5" customHeight="1" x14ac:dyDescent="0.85">
      <c r="A282" s="166"/>
      <c r="B282" s="167"/>
      <c r="C282" s="167"/>
      <c r="D282" s="147"/>
      <c r="E282" s="147"/>
      <c r="F282" s="147"/>
      <c r="G282" s="147"/>
      <c r="H282" s="147"/>
      <c r="I282" s="147"/>
      <c r="J282" s="147"/>
      <c r="K282" s="3"/>
      <c r="L282" s="3"/>
      <c r="M282" s="3"/>
      <c r="N282" s="3"/>
      <c r="O282" s="3"/>
      <c r="P282" s="3"/>
      <c r="Q282" s="3"/>
      <c r="R282" s="3"/>
      <c r="S282" s="3"/>
      <c r="T282" s="3"/>
      <c r="U282" s="3"/>
      <c r="V282" s="3"/>
      <c r="W282" s="3"/>
      <c r="X282" s="3"/>
      <c r="Y282" s="3"/>
      <c r="Z282" s="3"/>
    </row>
    <row r="283" spans="1:26" ht="22.5" customHeight="1" x14ac:dyDescent="0.85">
      <c r="A283" s="166"/>
      <c r="B283" s="167"/>
      <c r="C283" s="167"/>
      <c r="D283" s="147"/>
      <c r="E283" s="147"/>
      <c r="F283" s="147"/>
      <c r="G283" s="147"/>
      <c r="H283" s="147"/>
      <c r="I283" s="147"/>
      <c r="J283" s="147"/>
      <c r="K283" s="3"/>
      <c r="L283" s="3"/>
      <c r="M283" s="3"/>
      <c r="N283" s="3"/>
      <c r="O283" s="3"/>
      <c r="P283" s="3"/>
      <c r="Q283" s="3"/>
      <c r="R283" s="3"/>
      <c r="S283" s="3"/>
      <c r="T283" s="3"/>
      <c r="U283" s="3"/>
      <c r="V283" s="3"/>
      <c r="W283" s="3"/>
      <c r="X283" s="3"/>
      <c r="Y283" s="3"/>
      <c r="Z283" s="3"/>
    </row>
    <row r="284" spans="1:26" ht="22.5" customHeight="1" x14ac:dyDescent="0.85">
      <c r="A284" s="166"/>
      <c r="B284" s="167"/>
      <c r="C284" s="167"/>
      <c r="D284" s="147"/>
      <c r="E284" s="147"/>
      <c r="F284" s="147"/>
      <c r="G284" s="147"/>
      <c r="H284" s="147"/>
      <c r="I284" s="147"/>
      <c r="J284" s="147"/>
      <c r="K284" s="3"/>
      <c r="L284" s="3"/>
      <c r="M284" s="3"/>
      <c r="N284" s="3"/>
      <c r="O284" s="3"/>
      <c r="P284" s="3"/>
      <c r="Q284" s="3"/>
      <c r="R284" s="3"/>
      <c r="S284" s="3"/>
      <c r="T284" s="3"/>
      <c r="U284" s="3"/>
      <c r="V284" s="3"/>
      <c r="W284" s="3"/>
      <c r="X284" s="3"/>
      <c r="Y284" s="3"/>
      <c r="Z284" s="3"/>
    </row>
    <row r="285" spans="1:26" ht="22.5" customHeight="1" x14ac:dyDescent="0.85">
      <c r="A285" s="166"/>
      <c r="B285" s="167"/>
      <c r="C285" s="167"/>
      <c r="D285" s="147"/>
      <c r="E285" s="147"/>
      <c r="F285" s="147"/>
      <c r="G285" s="147"/>
      <c r="H285" s="147"/>
      <c r="I285" s="147"/>
      <c r="J285" s="147"/>
      <c r="K285" s="3"/>
      <c r="L285" s="3"/>
      <c r="M285" s="3"/>
      <c r="N285" s="3"/>
      <c r="O285" s="3"/>
      <c r="P285" s="3"/>
      <c r="Q285" s="3"/>
      <c r="R285" s="3"/>
      <c r="S285" s="3"/>
      <c r="T285" s="3"/>
      <c r="U285" s="3"/>
      <c r="V285" s="3"/>
      <c r="W285" s="3"/>
      <c r="X285" s="3"/>
      <c r="Y285" s="3"/>
      <c r="Z285" s="3"/>
    </row>
    <row r="286" spans="1:26" ht="22.5" customHeight="1" x14ac:dyDescent="0.85">
      <c r="A286" s="166"/>
      <c r="B286" s="167"/>
      <c r="C286" s="167"/>
      <c r="D286" s="147"/>
      <c r="E286" s="147"/>
      <c r="F286" s="147"/>
      <c r="G286" s="147"/>
      <c r="H286" s="147"/>
      <c r="I286" s="147"/>
      <c r="J286" s="147"/>
      <c r="K286" s="3"/>
      <c r="L286" s="3"/>
      <c r="M286" s="3"/>
      <c r="N286" s="3"/>
      <c r="O286" s="3"/>
      <c r="P286" s="3"/>
      <c r="Q286" s="3"/>
      <c r="R286" s="3"/>
      <c r="S286" s="3"/>
      <c r="T286" s="3"/>
      <c r="U286" s="3"/>
      <c r="V286" s="3"/>
      <c r="W286" s="3"/>
      <c r="X286" s="3"/>
      <c r="Y286" s="3"/>
      <c r="Z286" s="3"/>
    </row>
    <row r="287" spans="1:26" ht="22.5" customHeight="1" x14ac:dyDescent="0.85">
      <c r="A287" s="166"/>
      <c r="B287" s="167"/>
      <c r="C287" s="167"/>
      <c r="D287" s="147"/>
      <c r="E287" s="147"/>
      <c r="F287" s="147"/>
      <c r="G287" s="147"/>
      <c r="H287" s="147"/>
      <c r="I287" s="147"/>
      <c r="J287" s="147"/>
      <c r="K287" s="3"/>
      <c r="L287" s="3"/>
      <c r="M287" s="3"/>
      <c r="N287" s="3"/>
      <c r="O287" s="3"/>
      <c r="P287" s="3"/>
      <c r="Q287" s="3"/>
      <c r="R287" s="3"/>
      <c r="S287" s="3"/>
      <c r="T287" s="3"/>
      <c r="U287" s="3"/>
      <c r="V287" s="3"/>
      <c r="W287" s="3"/>
      <c r="X287" s="3"/>
      <c r="Y287" s="3"/>
      <c r="Z287" s="3"/>
    </row>
    <row r="288" spans="1:26" ht="22.5" customHeight="1" x14ac:dyDescent="0.85">
      <c r="A288" s="166"/>
      <c r="B288" s="167"/>
      <c r="C288" s="167"/>
      <c r="D288" s="147"/>
      <c r="E288" s="147"/>
      <c r="F288" s="147"/>
      <c r="G288" s="147"/>
      <c r="H288" s="147"/>
      <c r="I288" s="147"/>
      <c r="J288" s="147"/>
      <c r="K288" s="3"/>
      <c r="L288" s="3"/>
      <c r="M288" s="3"/>
      <c r="N288" s="3"/>
      <c r="O288" s="3"/>
      <c r="P288" s="3"/>
      <c r="Q288" s="3"/>
      <c r="R288" s="3"/>
      <c r="S288" s="3"/>
      <c r="T288" s="3"/>
      <c r="U288" s="3"/>
      <c r="V288" s="3"/>
      <c r="W288" s="3"/>
      <c r="X288" s="3"/>
      <c r="Y288" s="3"/>
      <c r="Z288" s="3"/>
    </row>
    <row r="289" spans="1:26" ht="22.5" customHeight="1" x14ac:dyDescent="0.85">
      <c r="A289" s="166"/>
      <c r="B289" s="167"/>
      <c r="C289" s="167"/>
      <c r="D289" s="147"/>
      <c r="E289" s="147"/>
      <c r="F289" s="147"/>
      <c r="G289" s="147"/>
      <c r="H289" s="147"/>
      <c r="I289" s="147"/>
      <c r="J289" s="147"/>
      <c r="K289" s="3"/>
      <c r="L289" s="3"/>
      <c r="M289" s="3"/>
      <c r="N289" s="3"/>
      <c r="O289" s="3"/>
      <c r="P289" s="3"/>
      <c r="Q289" s="3"/>
      <c r="R289" s="3"/>
      <c r="S289" s="3"/>
      <c r="T289" s="3"/>
      <c r="U289" s="3"/>
      <c r="V289" s="3"/>
      <c r="W289" s="3"/>
      <c r="X289" s="3"/>
      <c r="Y289" s="3"/>
      <c r="Z289" s="3"/>
    </row>
    <row r="290" spans="1:26" ht="22.5" customHeight="1" x14ac:dyDescent="0.85">
      <c r="A290" s="166"/>
      <c r="B290" s="167"/>
      <c r="C290" s="167"/>
      <c r="D290" s="147"/>
      <c r="E290" s="147"/>
      <c r="F290" s="147"/>
      <c r="G290" s="147"/>
      <c r="H290" s="147"/>
      <c r="I290" s="147"/>
      <c r="J290" s="147"/>
      <c r="K290" s="3"/>
      <c r="L290" s="3"/>
      <c r="M290" s="3"/>
      <c r="N290" s="3"/>
      <c r="O290" s="3"/>
      <c r="P290" s="3"/>
      <c r="Q290" s="3"/>
      <c r="R290" s="3"/>
      <c r="S290" s="3"/>
      <c r="T290" s="3"/>
      <c r="U290" s="3"/>
      <c r="V290" s="3"/>
      <c r="W290" s="3"/>
      <c r="X290" s="3"/>
      <c r="Y290" s="3"/>
      <c r="Z290" s="3"/>
    </row>
    <row r="291" spans="1:26" ht="22.5" customHeight="1" x14ac:dyDescent="0.85">
      <c r="A291" s="166"/>
      <c r="B291" s="167"/>
      <c r="C291" s="167"/>
      <c r="D291" s="147"/>
      <c r="E291" s="147"/>
      <c r="F291" s="147"/>
      <c r="G291" s="147"/>
      <c r="H291" s="147"/>
      <c r="I291" s="147"/>
      <c r="J291" s="147"/>
      <c r="K291" s="3"/>
      <c r="L291" s="3"/>
      <c r="M291" s="3"/>
      <c r="N291" s="3"/>
      <c r="O291" s="3"/>
      <c r="P291" s="3"/>
      <c r="Q291" s="3"/>
      <c r="R291" s="3"/>
      <c r="S291" s="3"/>
      <c r="T291" s="3"/>
      <c r="U291" s="3"/>
      <c r="V291" s="3"/>
      <c r="W291" s="3"/>
      <c r="X291" s="3"/>
      <c r="Y291" s="3"/>
      <c r="Z291" s="3"/>
    </row>
    <row r="292" spans="1:26" ht="22.5" customHeight="1" x14ac:dyDescent="0.85">
      <c r="A292" s="166"/>
      <c r="B292" s="167"/>
      <c r="C292" s="167"/>
      <c r="D292" s="147"/>
      <c r="E292" s="147"/>
      <c r="F292" s="147"/>
      <c r="G292" s="147"/>
      <c r="H292" s="147"/>
      <c r="I292" s="147"/>
      <c r="J292" s="147"/>
      <c r="K292" s="3"/>
      <c r="L292" s="3"/>
      <c r="M292" s="3"/>
      <c r="N292" s="3"/>
      <c r="O292" s="3"/>
      <c r="P292" s="3"/>
      <c r="Q292" s="3"/>
      <c r="R292" s="3"/>
      <c r="S292" s="3"/>
      <c r="T292" s="3"/>
      <c r="U292" s="3"/>
      <c r="V292" s="3"/>
      <c r="W292" s="3"/>
      <c r="X292" s="3"/>
      <c r="Y292" s="3"/>
      <c r="Z292" s="3"/>
    </row>
    <row r="293" spans="1:26" ht="22.5" customHeight="1" x14ac:dyDescent="0.85">
      <c r="A293" s="166"/>
      <c r="B293" s="167"/>
      <c r="C293" s="167"/>
      <c r="D293" s="147"/>
      <c r="E293" s="147"/>
      <c r="F293" s="147"/>
      <c r="G293" s="147"/>
      <c r="H293" s="147"/>
      <c r="I293" s="147"/>
      <c r="J293" s="147"/>
      <c r="K293" s="3"/>
      <c r="L293" s="3"/>
      <c r="M293" s="3"/>
      <c r="N293" s="3"/>
      <c r="O293" s="3"/>
      <c r="P293" s="3"/>
      <c r="Q293" s="3"/>
      <c r="R293" s="3"/>
      <c r="S293" s="3"/>
      <c r="T293" s="3"/>
      <c r="U293" s="3"/>
      <c r="V293" s="3"/>
      <c r="W293" s="3"/>
      <c r="X293" s="3"/>
      <c r="Y293" s="3"/>
      <c r="Z293" s="3"/>
    </row>
    <row r="294" spans="1:26" ht="22.5" customHeight="1" x14ac:dyDescent="0.85">
      <c r="A294" s="166"/>
      <c r="B294" s="167"/>
      <c r="C294" s="167"/>
      <c r="D294" s="147"/>
      <c r="E294" s="147"/>
      <c r="F294" s="147"/>
      <c r="G294" s="147"/>
      <c r="H294" s="147"/>
      <c r="I294" s="147"/>
      <c r="J294" s="147"/>
      <c r="K294" s="3"/>
      <c r="L294" s="3"/>
      <c r="M294" s="3"/>
      <c r="N294" s="3"/>
      <c r="O294" s="3"/>
      <c r="P294" s="3"/>
      <c r="Q294" s="3"/>
      <c r="R294" s="3"/>
      <c r="S294" s="3"/>
      <c r="T294" s="3"/>
      <c r="U294" s="3"/>
      <c r="V294" s="3"/>
      <c r="W294" s="3"/>
      <c r="X294" s="3"/>
      <c r="Y294" s="3"/>
      <c r="Z294" s="3"/>
    </row>
    <row r="295" spans="1:26" ht="22.5" customHeight="1" x14ac:dyDescent="0.85">
      <c r="A295" s="166"/>
      <c r="B295" s="167"/>
      <c r="C295" s="167"/>
      <c r="D295" s="147"/>
      <c r="E295" s="147"/>
      <c r="F295" s="147"/>
      <c r="G295" s="147"/>
      <c r="H295" s="147"/>
      <c r="I295" s="147"/>
      <c r="J295" s="147"/>
      <c r="K295" s="3"/>
      <c r="L295" s="3"/>
      <c r="M295" s="3"/>
      <c r="N295" s="3"/>
      <c r="O295" s="3"/>
      <c r="P295" s="3"/>
      <c r="Q295" s="3"/>
      <c r="R295" s="3"/>
      <c r="S295" s="3"/>
      <c r="T295" s="3"/>
      <c r="U295" s="3"/>
      <c r="V295" s="3"/>
      <c r="W295" s="3"/>
      <c r="X295" s="3"/>
      <c r="Y295" s="3"/>
      <c r="Z295" s="3"/>
    </row>
    <row r="296" spans="1:26" ht="22.5" customHeight="1" x14ac:dyDescent="0.85">
      <c r="A296" s="166"/>
      <c r="B296" s="167"/>
      <c r="C296" s="167"/>
      <c r="D296" s="147"/>
      <c r="E296" s="147"/>
      <c r="F296" s="147"/>
      <c r="G296" s="147"/>
      <c r="H296" s="147"/>
      <c r="I296" s="147"/>
      <c r="J296" s="147"/>
      <c r="K296" s="3"/>
      <c r="L296" s="3"/>
      <c r="M296" s="3"/>
      <c r="N296" s="3"/>
      <c r="O296" s="3"/>
      <c r="P296" s="3"/>
      <c r="Q296" s="3"/>
      <c r="R296" s="3"/>
      <c r="S296" s="3"/>
      <c r="T296" s="3"/>
      <c r="U296" s="3"/>
      <c r="V296" s="3"/>
      <c r="W296" s="3"/>
      <c r="X296" s="3"/>
      <c r="Y296" s="3"/>
      <c r="Z296" s="3"/>
    </row>
    <row r="297" spans="1:26" ht="22.5" customHeight="1" x14ac:dyDescent="0.85">
      <c r="A297" s="166"/>
      <c r="B297" s="167"/>
      <c r="C297" s="167"/>
      <c r="D297" s="147"/>
      <c r="E297" s="147"/>
      <c r="F297" s="147"/>
      <c r="G297" s="147"/>
      <c r="H297" s="147"/>
      <c r="I297" s="147"/>
      <c r="J297" s="147"/>
      <c r="K297" s="3"/>
      <c r="L297" s="3"/>
      <c r="M297" s="3"/>
      <c r="N297" s="3"/>
      <c r="O297" s="3"/>
      <c r="P297" s="3"/>
      <c r="Q297" s="3"/>
      <c r="R297" s="3"/>
      <c r="S297" s="3"/>
      <c r="T297" s="3"/>
      <c r="U297" s="3"/>
      <c r="V297" s="3"/>
      <c r="W297" s="3"/>
      <c r="X297" s="3"/>
      <c r="Y297" s="3"/>
      <c r="Z297" s="3"/>
    </row>
    <row r="298" spans="1:26" ht="22.5" customHeight="1" x14ac:dyDescent="0.85">
      <c r="A298" s="166"/>
      <c r="B298" s="167"/>
      <c r="C298" s="167"/>
      <c r="D298" s="147"/>
      <c r="E298" s="147"/>
      <c r="F298" s="147"/>
      <c r="G298" s="147"/>
      <c r="H298" s="147"/>
      <c r="I298" s="147"/>
      <c r="J298" s="147"/>
      <c r="K298" s="3"/>
      <c r="L298" s="3"/>
      <c r="M298" s="3"/>
      <c r="N298" s="3"/>
      <c r="O298" s="3"/>
      <c r="P298" s="3"/>
      <c r="Q298" s="3"/>
      <c r="R298" s="3"/>
      <c r="S298" s="3"/>
      <c r="T298" s="3"/>
      <c r="U298" s="3"/>
      <c r="V298" s="3"/>
      <c r="W298" s="3"/>
      <c r="X298" s="3"/>
      <c r="Y298" s="3"/>
      <c r="Z298" s="3"/>
    </row>
    <row r="299" spans="1:26" ht="22.5" customHeight="1" x14ac:dyDescent="0.85">
      <c r="A299" s="166"/>
      <c r="B299" s="167"/>
      <c r="C299" s="167"/>
      <c r="D299" s="147"/>
      <c r="E299" s="147"/>
      <c r="F299" s="147"/>
      <c r="G299" s="147"/>
      <c r="H299" s="147"/>
      <c r="I299" s="147"/>
      <c r="J299" s="147"/>
      <c r="K299" s="3"/>
      <c r="L299" s="3"/>
      <c r="M299" s="3"/>
      <c r="N299" s="3"/>
      <c r="O299" s="3"/>
      <c r="P299" s="3"/>
      <c r="Q299" s="3"/>
      <c r="R299" s="3"/>
      <c r="S299" s="3"/>
      <c r="T299" s="3"/>
      <c r="U299" s="3"/>
      <c r="V299" s="3"/>
      <c r="W299" s="3"/>
      <c r="X299" s="3"/>
      <c r="Y299" s="3"/>
      <c r="Z299" s="3"/>
    </row>
    <row r="300" spans="1:26" ht="22.5" customHeight="1" x14ac:dyDescent="0.85">
      <c r="A300" s="166"/>
      <c r="B300" s="167"/>
      <c r="C300" s="167"/>
      <c r="D300" s="147"/>
      <c r="E300" s="147"/>
      <c r="F300" s="147"/>
      <c r="G300" s="147"/>
      <c r="H300" s="147"/>
      <c r="I300" s="147"/>
      <c r="J300" s="147"/>
      <c r="K300" s="3"/>
      <c r="L300" s="3"/>
      <c r="M300" s="3"/>
      <c r="N300" s="3"/>
      <c r="O300" s="3"/>
      <c r="P300" s="3"/>
      <c r="Q300" s="3"/>
      <c r="R300" s="3"/>
      <c r="S300" s="3"/>
      <c r="T300" s="3"/>
      <c r="U300" s="3"/>
      <c r="V300" s="3"/>
      <c r="W300" s="3"/>
      <c r="X300" s="3"/>
      <c r="Y300" s="3"/>
      <c r="Z300" s="3"/>
    </row>
    <row r="301" spans="1:26" ht="22.5" customHeight="1" x14ac:dyDescent="0.85">
      <c r="A301" s="166"/>
      <c r="B301" s="167"/>
      <c r="C301" s="167"/>
      <c r="D301" s="147"/>
      <c r="E301" s="147"/>
      <c r="F301" s="147"/>
      <c r="G301" s="147"/>
      <c r="H301" s="147"/>
      <c r="I301" s="147"/>
      <c r="J301" s="147"/>
      <c r="K301" s="3"/>
      <c r="L301" s="3"/>
      <c r="M301" s="3"/>
      <c r="N301" s="3"/>
      <c r="O301" s="3"/>
      <c r="P301" s="3"/>
      <c r="Q301" s="3"/>
      <c r="R301" s="3"/>
      <c r="S301" s="3"/>
      <c r="T301" s="3"/>
      <c r="U301" s="3"/>
      <c r="V301" s="3"/>
      <c r="W301" s="3"/>
      <c r="X301" s="3"/>
      <c r="Y301" s="3"/>
      <c r="Z301" s="3"/>
    </row>
    <row r="302" spans="1:26" ht="22.5" customHeight="1" x14ac:dyDescent="0.85">
      <c r="A302" s="166"/>
      <c r="B302" s="167"/>
      <c r="C302" s="167"/>
      <c r="D302" s="147"/>
      <c r="E302" s="147"/>
      <c r="F302" s="147"/>
      <c r="G302" s="147"/>
      <c r="H302" s="147"/>
      <c r="I302" s="147"/>
      <c r="J302" s="147"/>
      <c r="K302" s="3"/>
      <c r="L302" s="3"/>
      <c r="M302" s="3"/>
      <c r="N302" s="3"/>
      <c r="O302" s="3"/>
      <c r="P302" s="3"/>
      <c r="Q302" s="3"/>
      <c r="R302" s="3"/>
      <c r="S302" s="3"/>
      <c r="T302" s="3"/>
      <c r="U302" s="3"/>
      <c r="V302" s="3"/>
      <c r="W302" s="3"/>
      <c r="X302" s="3"/>
      <c r="Y302" s="3"/>
      <c r="Z302" s="3"/>
    </row>
    <row r="303" spans="1:26" ht="22.5" customHeight="1" x14ac:dyDescent="0.85">
      <c r="A303" s="166"/>
      <c r="B303" s="167"/>
      <c r="C303" s="167"/>
      <c r="D303" s="147"/>
      <c r="E303" s="147"/>
      <c r="F303" s="147"/>
      <c r="G303" s="147"/>
      <c r="H303" s="147"/>
      <c r="I303" s="147"/>
      <c r="J303" s="147"/>
      <c r="K303" s="3"/>
      <c r="L303" s="3"/>
      <c r="M303" s="3"/>
      <c r="N303" s="3"/>
      <c r="O303" s="3"/>
      <c r="P303" s="3"/>
      <c r="Q303" s="3"/>
      <c r="R303" s="3"/>
      <c r="S303" s="3"/>
      <c r="T303" s="3"/>
      <c r="U303" s="3"/>
      <c r="V303" s="3"/>
      <c r="W303" s="3"/>
      <c r="X303" s="3"/>
      <c r="Y303" s="3"/>
      <c r="Z303" s="3"/>
    </row>
    <row r="304" spans="1:26" ht="22.5" customHeight="1" x14ac:dyDescent="0.85">
      <c r="A304" s="166"/>
      <c r="B304" s="167"/>
      <c r="C304" s="167"/>
      <c r="D304" s="147"/>
      <c r="E304" s="147"/>
      <c r="F304" s="147"/>
      <c r="G304" s="147"/>
      <c r="H304" s="147"/>
      <c r="I304" s="147"/>
      <c r="J304" s="147"/>
      <c r="K304" s="3"/>
      <c r="L304" s="3"/>
      <c r="M304" s="3"/>
      <c r="N304" s="3"/>
      <c r="O304" s="3"/>
      <c r="P304" s="3"/>
      <c r="Q304" s="3"/>
      <c r="R304" s="3"/>
      <c r="S304" s="3"/>
      <c r="T304" s="3"/>
      <c r="U304" s="3"/>
      <c r="V304" s="3"/>
      <c r="W304" s="3"/>
      <c r="X304" s="3"/>
      <c r="Y304" s="3"/>
      <c r="Z304" s="3"/>
    </row>
    <row r="305" spans="1:26" ht="22.5" customHeight="1" x14ac:dyDescent="0.85">
      <c r="A305" s="166"/>
      <c r="B305" s="167"/>
      <c r="C305" s="167"/>
      <c r="D305" s="147"/>
      <c r="E305" s="147"/>
      <c r="F305" s="147"/>
      <c r="G305" s="147"/>
      <c r="H305" s="147"/>
      <c r="I305" s="147"/>
      <c r="J305" s="147"/>
      <c r="K305" s="3"/>
      <c r="L305" s="3"/>
      <c r="M305" s="3"/>
      <c r="N305" s="3"/>
      <c r="O305" s="3"/>
      <c r="P305" s="3"/>
      <c r="Q305" s="3"/>
      <c r="R305" s="3"/>
      <c r="S305" s="3"/>
      <c r="T305" s="3"/>
      <c r="U305" s="3"/>
      <c r="V305" s="3"/>
      <c r="W305" s="3"/>
      <c r="X305" s="3"/>
      <c r="Y305" s="3"/>
      <c r="Z305" s="3"/>
    </row>
    <row r="306" spans="1:26" ht="22.5" customHeight="1" x14ac:dyDescent="0.85">
      <c r="A306" s="166"/>
      <c r="B306" s="167"/>
      <c r="C306" s="167"/>
      <c r="D306" s="147"/>
      <c r="E306" s="147"/>
      <c r="F306" s="147"/>
      <c r="G306" s="147"/>
      <c r="H306" s="147"/>
      <c r="I306" s="147"/>
      <c r="J306" s="147"/>
      <c r="K306" s="3"/>
      <c r="L306" s="3"/>
      <c r="M306" s="3"/>
      <c r="N306" s="3"/>
      <c r="O306" s="3"/>
      <c r="P306" s="3"/>
      <c r="Q306" s="3"/>
      <c r="R306" s="3"/>
      <c r="S306" s="3"/>
      <c r="T306" s="3"/>
      <c r="U306" s="3"/>
      <c r="V306" s="3"/>
      <c r="W306" s="3"/>
      <c r="X306" s="3"/>
      <c r="Y306" s="3"/>
      <c r="Z306" s="3"/>
    </row>
    <row r="307" spans="1:26" ht="22.5" customHeight="1" x14ac:dyDescent="0.85">
      <c r="A307" s="166"/>
      <c r="B307" s="167"/>
      <c r="C307" s="167"/>
      <c r="D307" s="147"/>
      <c r="E307" s="147"/>
      <c r="F307" s="147"/>
      <c r="G307" s="147"/>
      <c r="H307" s="147"/>
      <c r="I307" s="147"/>
      <c r="J307" s="147"/>
      <c r="K307" s="3"/>
      <c r="L307" s="3"/>
      <c r="M307" s="3"/>
      <c r="N307" s="3"/>
      <c r="O307" s="3"/>
      <c r="P307" s="3"/>
      <c r="Q307" s="3"/>
      <c r="R307" s="3"/>
      <c r="S307" s="3"/>
      <c r="T307" s="3"/>
      <c r="U307" s="3"/>
      <c r="V307" s="3"/>
      <c r="W307" s="3"/>
      <c r="X307" s="3"/>
      <c r="Y307" s="3"/>
      <c r="Z307" s="3"/>
    </row>
    <row r="308" spans="1:26" ht="22.5" customHeight="1" x14ac:dyDescent="0.85">
      <c r="A308" s="166"/>
      <c r="B308" s="167"/>
      <c r="C308" s="167"/>
      <c r="D308" s="147"/>
      <c r="E308" s="147"/>
      <c r="F308" s="147"/>
      <c r="G308" s="147"/>
      <c r="H308" s="147"/>
      <c r="I308" s="147"/>
      <c r="J308" s="147"/>
      <c r="K308" s="3"/>
      <c r="L308" s="3"/>
      <c r="M308" s="3"/>
      <c r="N308" s="3"/>
      <c r="O308" s="3"/>
      <c r="P308" s="3"/>
      <c r="Q308" s="3"/>
      <c r="R308" s="3"/>
      <c r="S308" s="3"/>
      <c r="T308" s="3"/>
      <c r="U308" s="3"/>
      <c r="V308" s="3"/>
      <c r="W308" s="3"/>
      <c r="X308" s="3"/>
      <c r="Y308" s="3"/>
      <c r="Z308" s="3"/>
    </row>
    <row r="309" spans="1:26" ht="22.5" customHeight="1" x14ac:dyDescent="0.85">
      <c r="A309" s="166"/>
      <c r="B309" s="167"/>
      <c r="C309" s="167"/>
      <c r="D309" s="147"/>
      <c r="E309" s="147"/>
      <c r="F309" s="147"/>
      <c r="G309" s="147"/>
      <c r="H309" s="147"/>
      <c r="I309" s="147"/>
      <c r="J309" s="147"/>
      <c r="K309" s="3"/>
      <c r="L309" s="3"/>
      <c r="M309" s="3"/>
      <c r="N309" s="3"/>
      <c r="O309" s="3"/>
      <c r="P309" s="3"/>
      <c r="Q309" s="3"/>
      <c r="R309" s="3"/>
      <c r="S309" s="3"/>
      <c r="T309" s="3"/>
      <c r="U309" s="3"/>
      <c r="V309" s="3"/>
      <c r="W309" s="3"/>
      <c r="X309" s="3"/>
      <c r="Y309" s="3"/>
      <c r="Z309" s="3"/>
    </row>
    <row r="310" spans="1:26" ht="22.5" customHeight="1" x14ac:dyDescent="0.85">
      <c r="A310" s="166"/>
      <c r="B310" s="167"/>
      <c r="C310" s="167"/>
      <c r="D310" s="147"/>
      <c r="E310" s="147"/>
      <c r="F310" s="147"/>
      <c r="G310" s="147"/>
      <c r="H310" s="147"/>
      <c r="I310" s="147"/>
      <c r="J310" s="147"/>
      <c r="K310" s="3"/>
      <c r="L310" s="3"/>
      <c r="M310" s="3"/>
      <c r="N310" s="3"/>
      <c r="O310" s="3"/>
      <c r="P310" s="3"/>
      <c r="Q310" s="3"/>
      <c r="R310" s="3"/>
      <c r="S310" s="3"/>
      <c r="T310" s="3"/>
      <c r="U310" s="3"/>
      <c r="V310" s="3"/>
      <c r="W310" s="3"/>
      <c r="X310" s="3"/>
      <c r="Y310" s="3"/>
      <c r="Z310" s="3"/>
    </row>
    <row r="311" spans="1:26" ht="22.5" customHeight="1" x14ac:dyDescent="0.85">
      <c r="A311" s="166"/>
      <c r="B311" s="167"/>
      <c r="C311" s="167"/>
      <c r="D311" s="147"/>
      <c r="E311" s="147"/>
      <c r="F311" s="147"/>
      <c r="G311" s="147"/>
      <c r="H311" s="147"/>
      <c r="I311" s="147"/>
      <c r="J311" s="147"/>
      <c r="K311" s="3"/>
      <c r="L311" s="3"/>
      <c r="M311" s="3"/>
      <c r="N311" s="3"/>
      <c r="O311" s="3"/>
      <c r="P311" s="3"/>
      <c r="Q311" s="3"/>
      <c r="R311" s="3"/>
      <c r="S311" s="3"/>
      <c r="T311" s="3"/>
      <c r="U311" s="3"/>
      <c r="V311" s="3"/>
      <c r="W311" s="3"/>
      <c r="X311" s="3"/>
      <c r="Y311" s="3"/>
      <c r="Z311" s="3"/>
    </row>
    <row r="312" spans="1:26" ht="22.5" customHeight="1" x14ac:dyDescent="0.85">
      <c r="A312" s="166"/>
      <c r="B312" s="167"/>
      <c r="C312" s="167"/>
      <c r="D312" s="147"/>
      <c r="E312" s="147"/>
      <c r="F312" s="147"/>
      <c r="G312" s="147"/>
      <c r="H312" s="147"/>
      <c r="I312" s="147"/>
      <c r="J312" s="147"/>
      <c r="K312" s="3"/>
      <c r="L312" s="3"/>
      <c r="M312" s="3"/>
      <c r="N312" s="3"/>
      <c r="O312" s="3"/>
      <c r="P312" s="3"/>
      <c r="Q312" s="3"/>
      <c r="R312" s="3"/>
      <c r="S312" s="3"/>
      <c r="T312" s="3"/>
      <c r="U312" s="3"/>
      <c r="V312" s="3"/>
      <c r="W312" s="3"/>
      <c r="X312" s="3"/>
      <c r="Y312" s="3"/>
      <c r="Z312" s="3"/>
    </row>
    <row r="313" spans="1:26" ht="22.5" customHeight="1" x14ac:dyDescent="0.85">
      <c r="A313" s="166"/>
      <c r="B313" s="167"/>
      <c r="C313" s="167"/>
      <c r="D313" s="147"/>
      <c r="E313" s="147"/>
      <c r="F313" s="147"/>
      <c r="G313" s="147"/>
      <c r="H313" s="147"/>
      <c r="I313" s="147"/>
      <c r="J313" s="147"/>
      <c r="K313" s="3"/>
      <c r="L313" s="3"/>
      <c r="M313" s="3"/>
      <c r="N313" s="3"/>
      <c r="O313" s="3"/>
      <c r="P313" s="3"/>
      <c r="Q313" s="3"/>
      <c r="R313" s="3"/>
      <c r="S313" s="3"/>
      <c r="T313" s="3"/>
      <c r="U313" s="3"/>
      <c r="V313" s="3"/>
      <c r="W313" s="3"/>
      <c r="X313" s="3"/>
      <c r="Y313" s="3"/>
      <c r="Z313" s="3"/>
    </row>
    <row r="314" spans="1:26" ht="22.5" customHeight="1" x14ac:dyDescent="0.85">
      <c r="A314" s="166"/>
      <c r="B314" s="167"/>
      <c r="C314" s="167"/>
      <c r="D314" s="147"/>
      <c r="E314" s="147"/>
      <c r="F314" s="147"/>
      <c r="G314" s="147"/>
      <c r="H314" s="147"/>
      <c r="I314" s="147"/>
      <c r="J314" s="147"/>
      <c r="K314" s="3"/>
      <c r="L314" s="3"/>
      <c r="M314" s="3"/>
      <c r="N314" s="3"/>
      <c r="O314" s="3"/>
      <c r="P314" s="3"/>
      <c r="Q314" s="3"/>
      <c r="R314" s="3"/>
      <c r="S314" s="3"/>
      <c r="T314" s="3"/>
      <c r="U314" s="3"/>
      <c r="V314" s="3"/>
      <c r="W314" s="3"/>
      <c r="X314" s="3"/>
      <c r="Y314" s="3"/>
      <c r="Z314" s="3"/>
    </row>
    <row r="315" spans="1:26" ht="22.5" customHeight="1" x14ac:dyDescent="0.85">
      <c r="A315" s="166"/>
      <c r="B315" s="167"/>
      <c r="C315" s="167"/>
      <c r="D315" s="147"/>
      <c r="E315" s="147"/>
      <c r="F315" s="147"/>
      <c r="G315" s="147"/>
      <c r="H315" s="147"/>
      <c r="I315" s="147"/>
      <c r="J315" s="147"/>
      <c r="K315" s="3"/>
      <c r="L315" s="3"/>
      <c r="M315" s="3"/>
      <c r="N315" s="3"/>
      <c r="O315" s="3"/>
      <c r="P315" s="3"/>
      <c r="Q315" s="3"/>
      <c r="R315" s="3"/>
      <c r="S315" s="3"/>
      <c r="T315" s="3"/>
      <c r="U315" s="3"/>
      <c r="V315" s="3"/>
      <c r="W315" s="3"/>
      <c r="X315" s="3"/>
      <c r="Y315" s="3"/>
      <c r="Z315" s="3"/>
    </row>
    <row r="316" spans="1:26" ht="22.5" customHeight="1" x14ac:dyDescent="0.85">
      <c r="A316" s="166"/>
      <c r="B316" s="167"/>
      <c r="C316" s="167"/>
      <c r="D316" s="147"/>
      <c r="E316" s="147"/>
      <c r="F316" s="147"/>
      <c r="G316" s="147"/>
      <c r="H316" s="147"/>
      <c r="I316" s="147"/>
      <c r="J316" s="147"/>
      <c r="K316" s="3"/>
      <c r="L316" s="3"/>
      <c r="M316" s="3"/>
      <c r="N316" s="3"/>
      <c r="O316" s="3"/>
      <c r="P316" s="3"/>
      <c r="Q316" s="3"/>
      <c r="R316" s="3"/>
      <c r="S316" s="3"/>
      <c r="T316" s="3"/>
      <c r="U316" s="3"/>
      <c r="V316" s="3"/>
      <c r="W316" s="3"/>
      <c r="X316" s="3"/>
      <c r="Y316" s="3"/>
      <c r="Z316" s="3"/>
    </row>
    <row r="317" spans="1:26" ht="22.5" customHeight="1" x14ac:dyDescent="0.85">
      <c r="A317" s="166"/>
      <c r="B317" s="167"/>
      <c r="C317" s="167"/>
      <c r="D317" s="147"/>
      <c r="E317" s="147"/>
      <c r="F317" s="147"/>
      <c r="G317" s="147"/>
      <c r="H317" s="147"/>
      <c r="I317" s="147"/>
      <c r="J317" s="147"/>
      <c r="K317" s="3"/>
      <c r="L317" s="3"/>
      <c r="M317" s="3"/>
      <c r="N317" s="3"/>
      <c r="O317" s="3"/>
      <c r="P317" s="3"/>
      <c r="Q317" s="3"/>
      <c r="R317" s="3"/>
      <c r="S317" s="3"/>
      <c r="T317" s="3"/>
      <c r="U317" s="3"/>
      <c r="V317" s="3"/>
      <c r="W317" s="3"/>
      <c r="X317" s="3"/>
      <c r="Y317" s="3"/>
      <c r="Z317" s="3"/>
    </row>
    <row r="318" spans="1:26" ht="22.5" customHeight="1" x14ac:dyDescent="0.85">
      <c r="A318" s="166"/>
      <c r="B318" s="167"/>
      <c r="C318" s="167"/>
      <c r="D318" s="147"/>
      <c r="E318" s="147"/>
      <c r="F318" s="147"/>
      <c r="G318" s="147"/>
      <c r="H318" s="147"/>
      <c r="I318" s="147"/>
      <c r="J318" s="147"/>
      <c r="K318" s="3"/>
      <c r="L318" s="3"/>
      <c r="M318" s="3"/>
      <c r="N318" s="3"/>
      <c r="O318" s="3"/>
      <c r="P318" s="3"/>
      <c r="Q318" s="3"/>
      <c r="R318" s="3"/>
      <c r="S318" s="3"/>
      <c r="T318" s="3"/>
      <c r="U318" s="3"/>
      <c r="V318" s="3"/>
      <c r="W318" s="3"/>
      <c r="X318" s="3"/>
      <c r="Y318" s="3"/>
      <c r="Z318" s="3"/>
    </row>
    <row r="319" spans="1:26" ht="22.5" customHeight="1" x14ac:dyDescent="0.85">
      <c r="A319" s="166"/>
      <c r="B319" s="167"/>
      <c r="C319" s="167"/>
      <c r="D319" s="147"/>
      <c r="E319" s="147"/>
      <c r="F319" s="147"/>
      <c r="G319" s="147"/>
      <c r="H319" s="147"/>
      <c r="I319" s="147"/>
      <c r="J319" s="147"/>
      <c r="K319" s="3"/>
      <c r="L319" s="3"/>
      <c r="M319" s="3"/>
      <c r="N319" s="3"/>
      <c r="O319" s="3"/>
      <c r="P319" s="3"/>
      <c r="Q319" s="3"/>
      <c r="R319" s="3"/>
      <c r="S319" s="3"/>
      <c r="T319" s="3"/>
      <c r="U319" s="3"/>
      <c r="V319" s="3"/>
      <c r="W319" s="3"/>
      <c r="X319" s="3"/>
      <c r="Y319" s="3"/>
      <c r="Z319" s="3"/>
    </row>
    <row r="320" spans="1:26" ht="22.5" customHeight="1" x14ac:dyDescent="0.85">
      <c r="A320" s="166"/>
      <c r="B320" s="167"/>
      <c r="C320" s="167"/>
      <c r="D320" s="147"/>
      <c r="E320" s="147"/>
      <c r="F320" s="147"/>
      <c r="G320" s="147"/>
      <c r="H320" s="147"/>
      <c r="I320" s="147"/>
      <c r="J320" s="147"/>
      <c r="K320" s="3"/>
      <c r="L320" s="3"/>
      <c r="M320" s="3"/>
      <c r="N320" s="3"/>
      <c r="O320" s="3"/>
      <c r="P320" s="3"/>
      <c r="Q320" s="3"/>
      <c r="R320" s="3"/>
      <c r="S320" s="3"/>
      <c r="T320" s="3"/>
      <c r="U320" s="3"/>
      <c r="V320" s="3"/>
      <c r="W320" s="3"/>
      <c r="X320" s="3"/>
      <c r="Y320" s="3"/>
      <c r="Z320" s="3"/>
    </row>
    <row r="321" spans="1:26" ht="22.5" customHeight="1" x14ac:dyDescent="0.85">
      <c r="A321" s="166"/>
      <c r="B321" s="167"/>
      <c r="C321" s="167"/>
      <c r="D321" s="147"/>
      <c r="E321" s="147"/>
      <c r="F321" s="147"/>
      <c r="G321" s="147"/>
      <c r="H321" s="147"/>
      <c r="I321" s="147"/>
      <c r="J321" s="147"/>
      <c r="K321" s="3"/>
      <c r="L321" s="3"/>
      <c r="M321" s="3"/>
      <c r="N321" s="3"/>
      <c r="O321" s="3"/>
      <c r="P321" s="3"/>
      <c r="Q321" s="3"/>
      <c r="R321" s="3"/>
      <c r="S321" s="3"/>
      <c r="T321" s="3"/>
      <c r="U321" s="3"/>
      <c r="V321" s="3"/>
      <c r="W321" s="3"/>
      <c r="X321" s="3"/>
      <c r="Y321" s="3"/>
      <c r="Z321" s="3"/>
    </row>
    <row r="322" spans="1:26" ht="22.5" customHeight="1" x14ac:dyDescent="0.85">
      <c r="A322" s="166"/>
      <c r="B322" s="167"/>
      <c r="C322" s="167"/>
      <c r="D322" s="147"/>
      <c r="E322" s="147"/>
      <c r="F322" s="147"/>
      <c r="G322" s="147"/>
      <c r="H322" s="147"/>
      <c r="I322" s="147"/>
      <c r="J322" s="147"/>
      <c r="K322" s="3"/>
      <c r="L322" s="3"/>
      <c r="M322" s="3"/>
      <c r="N322" s="3"/>
      <c r="O322" s="3"/>
      <c r="P322" s="3"/>
      <c r="Q322" s="3"/>
      <c r="R322" s="3"/>
      <c r="S322" s="3"/>
      <c r="T322" s="3"/>
      <c r="U322" s="3"/>
      <c r="V322" s="3"/>
      <c r="W322" s="3"/>
      <c r="X322" s="3"/>
      <c r="Y322" s="3"/>
      <c r="Z322" s="3"/>
    </row>
    <row r="323" spans="1:26" ht="22.5" customHeight="1" x14ac:dyDescent="0.85">
      <c r="A323" s="166"/>
      <c r="B323" s="167"/>
      <c r="C323" s="167"/>
      <c r="D323" s="147"/>
      <c r="E323" s="147"/>
      <c r="F323" s="147"/>
      <c r="G323" s="147"/>
      <c r="H323" s="147"/>
      <c r="I323" s="147"/>
      <c r="J323" s="147"/>
      <c r="K323" s="3"/>
      <c r="L323" s="3"/>
      <c r="M323" s="3"/>
      <c r="N323" s="3"/>
      <c r="O323" s="3"/>
      <c r="P323" s="3"/>
      <c r="Q323" s="3"/>
      <c r="R323" s="3"/>
      <c r="S323" s="3"/>
      <c r="T323" s="3"/>
      <c r="U323" s="3"/>
      <c r="V323" s="3"/>
      <c r="W323" s="3"/>
      <c r="X323" s="3"/>
      <c r="Y323" s="3"/>
      <c r="Z323" s="3"/>
    </row>
    <row r="324" spans="1:26" ht="22.5" customHeight="1" x14ac:dyDescent="0.85">
      <c r="A324" s="166"/>
      <c r="B324" s="167"/>
      <c r="C324" s="167"/>
      <c r="D324" s="147"/>
      <c r="E324" s="147"/>
      <c r="F324" s="147"/>
      <c r="G324" s="147"/>
      <c r="H324" s="147"/>
      <c r="I324" s="147"/>
      <c r="J324" s="147"/>
      <c r="K324" s="3"/>
      <c r="L324" s="3"/>
      <c r="M324" s="3"/>
      <c r="N324" s="3"/>
      <c r="O324" s="3"/>
      <c r="P324" s="3"/>
      <c r="Q324" s="3"/>
      <c r="R324" s="3"/>
      <c r="S324" s="3"/>
      <c r="T324" s="3"/>
      <c r="U324" s="3"/>
      <c r="V324" s="3"/>
      <c r="W324" s="3"/>
      <c r="X324" s="3"/>
      <c r="Y324" s="3"/>
      <c r="Z324" s="3"/>
    </row>
    <row r="325" spans="1:26" ht="22.5" customHeight="1" x14ac:dyDescent="0.85">
      <c r="A325" s="166"/>
      <c r="B325" s="167"/>
      <c r="C325" s="167"/>
      <c r="D325" s="147"/>
      <c r="E325" s="147"/>
      <c r="F325" s="147"/>
      <c r="G325" s="147"/>
      <c r="H325" s="147"/>
      <c r="I325" s="147"/>
      <c r="J325" s="147"/>
      <c r="K325" s="3"/>
      <c r="L325" s="3"/>
      <c r="M325" s="3"/>
      <c r="N325" s="3"/>
      <c r="O325" s="3"/>
      <c r="P325" s="3"/>
      <c r="Q325" s="3"/>
      <c r="R325" s="3"/>
      <c r="S325" s="3"/>
      <c r="T325" s="3"/>
      <c r="U325" s="3"/>
      <c r="V325" s="3"/>
      <c r="W325" s="3"/>
      <c r="X325" s="3"/>
      <c r="Y325" s="3"/>
      <c r="Z325" s="3"/>
    </row>
    <row r="326" spans="1:26" ht="22.5" customHeight="1" x14ac:dyDescent="0.85">
      <c r="A326" s="166"/>
      <c r="B326" s="167"/>
      <c r="C326" s="167"/>
      <c r="D326" s="147"/>
      <c r="E326" s="147"/>
      <c r="F326" s="147"/>
      <c r="G326" s="147"/>
      <c r="H326" s="147"/>
      <c r="I326" s="147"/>
      <c r="J326" s="147"/>
      <c r="K326" s="3"/>
      <c r="L326" s="3"/>
      <c r="M326" s="3"/>
      <c r="N326" s="3"/>
      <c r="O326" s="3"/>
      <c r="P326" s="3"/>
      <c r="Q326" s="3"/>
      <c r="R326" s="3"/>
      <c r="S326" s="3"/>
      <c r="T326" s="3"/>
      <c r="U326" s="3"/>
      <c r="V326" s="3"/>
      <c r="W326" s="3"/>
      <c r="X326" s="3"/>
      <c r="Y326" s="3"/>
      <c r="Z326" s="3"/>
    </row>
    <row r="327" spans="1:26" ht="22.5" customHeight="1" x14ac:dyDescent="0.85">
      <c r="A327" s="166"/>
      <c r="B327" s="167"/>
      <c r="C327" s="167"/>
      <c r="D327" s="147"/>
      <c r="E327" s="147"/>
      <c r="F327" s="147"/>
      <c r="G327" s="147"/>
      <c r="H327" s="147"/>
      <c r="I327" s="147"/>
      <c r="J327" s="147"/>
      <c r="K327" s="3"/>
      <c r="L327" s="3"/>
      <c r="M327" s="3"/>
      <c r="N327" s="3"/>
      <c r="O327" s="3"/>
      <c r="P327" s="3"/>
      <c r="Q327" s="3"/>
      <c r="R327" s="3"/>
      <c r="S327" s="3"/>
      <c r="T327" s="3"/>
      <c r="U327" s="3"/>
      <c r="V327" s="3"/>
      <c r="W327" s="3"/>
      <c r="X327" s="3"/>
      <c r="Y327" s="3"/>
      <c r="Z327" s="3"/>
    </row>
    <row r="328" spans="1:26" ht="22.5" customHeight="1" x14ac:dyDescent="0.85">
      <c r="A328" s="166"/>
      <c r="B328" s="167"/>
      <c r="C328" s="167"/>
      <c r="D328" s="147"/>
      <c r="E328" s="147"/>
      <c r="F328" s="147"/>
      <c r="G328" s="147"/>
      <c r="H328" s="147"/>
      <c r="I328" s="147"/>
      <c r="J328" s="147"/>
      <c r="K328" s="3"/>
      <c r="L328" s="3"/>
      <c r="M328" s="3"/>
      <c r="N328" s="3"/>
      <c r="O328" s="3"/>
      <c r="P328" s="3"/>
      <c r="Q328" s="3"/>
      <c r="R328" s="3"/>
      <c r="S328" s="3"/>
      <c r="T328" s="3"/>
      <c r="U328" s="3"/>
      <c r="V328" s="3"/>
      <c r="W328" s="3"/>
      <c r="X328" s="3"/>
      <c r="Y328" s="3"/>
      <c r="Z328" s="3"/>
    </row>
    <row r="329" spans="1:26" ht="22.5" customHeight="1" x14ac:dyDescent="0.85">
      <c r="A329" s="166"/>
      <c r="B329" s="167"/>
      <c r="C329" s="167"/>
      <c r="D329" s="147"/>
      <c r="E329" s="147"/>
      <c r="F329" s="147"/>
      <c r="G329" s="147"/>
      <c r="H329" s="147"/>
      <c r="I329" s="147"/>
      <c r="J329" s="147"/>
      <c r="K329" s="3"/>
      <c r="L329" s="3"/>
      <c r="M329" s="3"/>
      <c r="N329" s="3"/>
      <c r="O329" s="3"/>
      <c r="P329" s="3"/>
      <c r="Q329" s="3"/>
      <c r="R329" s="3"/>
      <c r="S329" s="3"/>
      <c r="T329" s="3"/>
      <c r="U329" s="3"/>
      <c r="V329" s="3"/>
      <c r="W329" s="3"/>
      <c r="X329" s="3"/>
      <c r="Y329" s="3"/>
      <c r="Z329" s="3"/>
    </row>
    <row r="330" spans="1:26" ht="22.5" customHeight="1" x14ac:dyDescent="0.85">
      <c r="A330" s="166"/>
      <c r="B330" s="167"/>
      <c r="C330" s="167"/>
      <c r="D330" s="147"/>
      <c r="E330" s="147"/>
      <c r="F330" s="147"/>
      <c r="G330" s="147"/>
      <c r="H330" s="147"/>
      <c r="I330" s="147"/>
      <c r="J330" s="147"/>
      <c r="K330" s="3"/>
      <c r="L330" s="3"/>
      <c r="M330" s="3"/>
      <c r="N330" s="3"/>
      <c r="O330" s="3"/>
      <c r="P330" s="3"/>
      <c r="Q330" s="3"/>
      <c r="R330" s="3"/>
      <c r="S330" s="3"/>
      <c r="T330" s="3"/>
      <c r="U330" s="3"/>
      <c r="V330" s="3"/>
      <c r="W330" s="3"/>
      <c r="X330" s="3"/>
      <c r="Y330" s="3"/>
      <c r="Z330" s="3"/>
    </row>
    <row r="331" spans="1:26" ht="22.5" customHeight="1" x14ac:dyDescent="0.85">
      <c r="A331" s="166"/>
      <c r="B331" s="167"/>
      <c r="C331" s="167"/>
      <c r="D331" s="147"/>
      <c r="E331" s="147"/>
      <c r="F331" s="147"/>
      <c r="G331" s="147"/>
      <c r="H331" s="147"/>
      <c r="I331" s="147"/>
      <c r="J331" s="147"/>
      <c r="K331" s="3"/>
      <c r="L331" s="3"/>
      <c r="M331" s="3"/>
      <c r="N331" s="3"/>
      <c r="O331" s="3"/>
      <c r="P331" s="3"/>
      <c r="Q331" s="3"/>
      <c r="R331" s="3"/>
      <c r="S331" s="3"/>
      <c r="T331" s="3"/>
      <c r="U331" s="3"/>
      <c r="V331" s="3"/>
      <c r="W331" s="3"/>
      <c r="X331" s="3"/>
      <c r="Y331" s="3"/>
      <c r="Z331" s="3"/>
    </row>
    <row r="332" spans="1:26" ht="22.5" customHeight="1" x14ac:dyDescent="0.85">
      <c r="A332" s="166"/>
      <c r="B332" s="167"/>
      <c r="C332" s="167"/>
      <c r="D332" s="147"/>
      <c r="E332" s="147"/>
      <c r="F332" s="147"/>
      <c r="G332" s="147"/>
      <c r="H332" s="147"/>
      <c r="I332" s="147"/>
      <c r="J332" s="147"/>
      <c r="K332" s="3"/>
      <c r="L332" s="3"/>
      <c r="M332" s="3"/>
      <c r="N332" s="3"/>
      <c r="O332" s="3"/>
      <c r="P332" s="3"/>
      <c r="Q332" s="3"/>
      <c r="R332" s="3"/>
      <c r="S332" s="3"/>
      <c r="T332" s="3"/>
      <c r="U332" s="3"/>
      <c r="V332" s="3"/>
      <c r="W332" s="3"/>
      <c r="X332" s="3"/>
      <c r="Y332" s="3"/>
      <c r="Z332" s="3"/>
    </row>
    <row r="333" spans="1:26" ht="22.5" customHeight="1" x14ac:dyDescent="0.85">
      <c r="A333" s="166"/>
      <c r="B333" s="167"/>
      <c r="C333" s="167"/>
      <c r="D333" s="147"/>
      <c r="E333" s="147"/>
      <c r="F333" s="147"/>
      <c r="G333" s="147"/>
      <c r="H333" s="147"/>
      <c r="I333" s="147"/>
      <c r="J333" s="147"/>
      <c r="K333" s="3"/>
      <c r="L333" s="3"/>
      <c r="M333" s="3"/>
      <c r="N333" s="3"/>
      <c r="O333" s="3"/>
      <c r="P333" s="3"/>
      <c r="Q333" s="3"/>
      <c r="R333" s="3"/>
      <c r="S333" s="3"/>
      <c r="T333" s="3"/>
      <c r="U333" s="3"/>
      <c r="V333" s="3"/>
      <c r="W333" s="3"/>
      <c r="X333" s="3"/>
      <c r="Y333" s="3"/>
      <c r="Z333" s="3"/>
    </row>
    <row r="334" spans="1:26" ht="22.5" customHeight="1" x14ac:dyDescent="0.85">
      <c r="A334" s="166"/>
      <c r="B334" s="167"/>
      <c r="C334" s="167"/>
      <c r="D334" s="147"/>
      <c r="E334" s="147"/>
      <c r="F334" s="147"/>
      <c r="G334" s="147"/>
      <c r="H334" s="147"/>
      <c r="I334" s="147"/>
      <c r="J334" s="147"/>
      <c r="K334" s="3"/>
      <c r="L334" s="3"/>
      <c r="M334" s="3"/>
      <c r="N334" s="3"/>
      <c r="O334" s="3"/>
      <c r="P334" s="3"/>
      <c r="Q334" s="3"/>
      <c r="R334" s="3"/>
      <c r="S334" s="3"/>
      <c r="T334" s="3"/>
      <c r="U334" s="3"/>
      <c r="V334" s="3"/>
      <c r="W334" s="3"/>
      <c r="X334" s="3"/>
      <c r="Y334" s="3"/>
      <c r="Z334" s="3"/>
    </row>
    <row r="335" spans="1:26" ht="22.5" customHeight="1" x14ac:dyDescent="0.85">
      <c r="A335" s="166"/>
      <c r="B335" s="167"/>
      <c r="C335" s="167"/>
      <c r="D335" s="147"/>
      <c r="E335" s="147"/>
      <c r="F335" s="147"/>
      <c r="G335" s="147"/>
      <c r="H335" s="147"/>
      <c r="I335" s="147"/>
      <c r="J335" s="147"/>
      <c r="K335" s="3"/>
      <c r="L335" s="3"/>
      <c r="M335" s="3"/>
      <c r="N335" s="3"/>
      <c r="O335" s="3"/>
      <c r="P335" s="3"/>
      <c r="Q335" s="3"/>
      <c r="R335" s="3"/>
      <c r="S335" s="3"/>
      <c r="T335" s="3"/>
      <c r="U335" s="3"/>
      <c r="V335" s="3"/>
      <c r="W335" s="3"/>
      <c r="X335" s="3"/>
      <c r="Y335" s="3"/>
      <c r="Z335" s="3"/>
    </row>
    <row r="336" spans="1:26" ht="22.5" customHeight="1" x14ac:dyDescent="0.85">
      <c r="A336" s="166"/>
      <c r="B336" s="167"/>
      <c r="C336" s="167"/>
      <c r="D336" s="147"/>
      <c r="E336" s="147"/>
      <c r="F336" s="147"/>
      <c r="G336" s="147"/>
      <c r="H336" s="147"/>
      <c r="I336" s="147"/>
      <c r="J336" s="147"/>
      <c r="K336" s="3"/>
      <c r="L336" s="3"/>
      <c r="M336" s="3"/>
      <c r="N336" s="3"/>
      <c r="O336" s="3"/>
      <c r="P336" s="3"/>
      <c r="Q336" s="3"/>
      <c r="R336" s="3"/>
      <c r="S336" s="3"/>
      <c r="T336" s="3"/>
      <c r="U336" s="3"/>
      <c r="V336" s="3"/>
      <c r="W336" s="3"/>
      <c r="X336" s="3"/>
      <c r="Y336" s="3"/>
      <c r="Z336" s="3"/>
    </row>
    <row r="337" spans="1:26" ht="22.5" customHeight="1" x14ac:dyDescent="0.85">
      <c r="A337" s="166"/>
      <c r="B337" s="167"/>
      <c r="C337" s="167"/>
      <c r="D337" s="147"/>
      <c r="E337" s="147"/>
      <c r="F337" s="147"/>
      <c r="G337" s="147"/>
      <c r="H337" s="147"/>
      <c r="I337" s="147"/>
      <c r="J337" s="147"/>
      <c r="K337" s="3"/>
      <c r="L337" s="3"/>
      <c r="M337" s="3"/>
      <c r="N337" s="3"/>
      <c r="O337" s="3"/>
      <c r="P337" s="3"/>
      <c r="Q337" s="3"/>
      <c r="R337" s="3"/>
      <c r="S337" s="3"/>
      <c r="T337" s="3"/>
      <c r="U337" s="3"/>
      <c r="V337" s="3"/>
      <c r="W337" s="3"/>
      <c r="X337" s="3"/>
      <c r="Y337" s="3"/>
      <c r="Z337" s="3"/>
    </row>
    <row r="338" spans="1:26" ht="22.5" customHeight="1" x14ac:dyDescent="0.85">
      <c r="A338" s="166"/>
      <c r="B338" s="167"/>
      <c r="C338" s="167"/>
      <c r="D338" s="147"/>
      <c r="E338" s="147"/>
      <c r="F338" s="147"/>
      <c r="G338" s="147"/>
      <c r="H338" s="147"/>
      <c r="I338" s="147"/>
      <c r="J338" s="147"/>
      <c r="K338" s="3"/>
      <c r="L338" s="3"/>
      <c r="M338" s="3"/>
      <c r="N338" s="3"/>
      <c r="O338" s="3"/>
      <c r="P338" s="3"/>
      <c r="Q338" s="3"/>
      <c r="R338" s="3"/>
      <c r="S338" s="3"/>
      <c r="T338" s="3"/>
      <c r="U338" s="3"/>
      <c r="V338" s="3"/>
      <c r="W338" s="3"/>
      <c r="X338" s="3"/>
      <c r="Y338" s="3"/>
      <c r="Z338" s="3"/>
    </row>
    <row r="339" spans="1:26" ht="22.5" customHeight="1" x14ac:dyDescent="0.85">
      <c r="A339" s="166"/>
      <c r="B339" s="167"/>
      <c r="C339" s="167"/>
      <c r="D339" s="147"/>
      <c r="E339" s="147"/>
      <c r="F339" s="147"/>
      <c r="G339" s="147"/>
      <c r="H339" s="147"/>
      <c r="I339" s="147"/>
      <c r="J339" s="147"/>
      <c r="K339" s="3"/>
      <c r="L339" s="3"/>
      <c r="M339" s="3"/>
      <c r="N339" s="3"/>
      <c r="O339" s="3"/>
      <c r="P339" s="3"/>
      <c r="Q339" s="3"/>
      <c r="R339" s="3"/>
      <c r="S339" s="3"/>
      <c r="T339" s="3"/>
      <c r="U339" s="3"/>
      <c r="V339" s="3"/>
      <c r="W339" s="3"/>
      <c r="X339" s="3"/>
      <c r="Y339" s="3"/>
      <c r="Z339" s="3"/>
    </row>
    <row r="340" spans="1:26" ht="22.5" customHeight="1" x14ac:dyDescent="0.85">
      <c r="A340" s="166"/>
      <c r="B340" s="167"/>
      <c r="C340" s="167"/>
      <c r="D340" s="147"/>
      <c r="E340" s="147"/>
      <c r="F340" s="147"/>
      <c r="G340" s="147"/>
      <c r="H340" s="147"/>
      <c r="I340" s="147"/>
      <c r="J340" s="147"/>
      <c r="K340" s="3"/>
      <c r="L340" s="3"/>
      <c r="M340" s="3"/>
      <c r="N340" s="3"/>
      <c r="O340" s="3"/>
      <c r="P340" s="3"/>
      <c r="Q340" s="3"/>
      <c r="R340" s="3"/>
      <c r="S340" s="3"/>
      <c r="T340" s="3"/>
      <c r="U340" s="3"/>
      <c r="V340" s="3"/>
      <c r="W340" s="3"/>
      <c r="X340" s="3"/>
      <c r="Y340" s="3"/>
      <c r="Z340" s="3"/>
    </row>
    <row r="341" spans="1:26" ht="22.5" customHeight="1" x14ac:dyDescent="0.85">
      <c r="A341" s="166"/>
      <c r="B341" s="167"/>
      <c r="C341" s="167"/>
      <c r="D341" s="147"/>
      <c r="E341" s="147"/>
      <c r="F341" s="147"/>
      <c r="G341" s="147"/>
      <c r="H341" s="147"/>
      <c r="I341" s="147"/>
      <c r="J341" s="147"/>
      <c r="K341" s="3"/>
      <c r="L341" s="3"/>
      <c r="M341" s="3"/>
      <c r="N341" s="3"/>
      <c r="O341" s="3"/>
      <c r="P341" s="3"/>
      <c r="Q341" s="3"/>
      <c r="R341" s="3"/>
      <c r="S341" s="3"/>
      <c r="T341" s="3"/>
      <c r="U341" s="3"/>
      <c r="V341" s="3"/>
      <c r="W341" s="3"/>
      <c r="X341" s="3"/>
      <c r="Y341" s="3"/>
      <c r="Z341" s="3"/>
    </row>
    <row r="342" spans="1:26" ht="22.5" customHeight="1" x14ac:dyDescent="0.85">
      <c r="A342" s="166"/>
      <c r="B342" s="167"/>
      <c r="C342" s="167"/>
      <c r="D342" s="147"/>
      <c r="E342" s="147"/>
      <c r="F342" s="147"/>
      <c r="G342" s="147"/>
      <c r="H342" s="147"/>
      <c r="I342" s="147"/>
      <c r="J342" s="147"/>
      <c r="K342" s="3"/>
      <c r="L342" s="3"/>
      <c r="M342" s="3"/>
      <c r="N342" s="3"/>
      <c r="O342" s="3"/>
      <c r="P342" s="3"/>
      <c r="Q342" s="3"/>
      <c r="R342" s="3"/>
      <c r="S342" s="3"/>
      <c r="T342" s="3"/>
      <c r="U342" s="3"/>
      <c r="V342" s="3"/>
      <c r="W342" s="3"/>
      <c r="X342" s="3"/>
      <c r="Y342" s="3"/>
      <c r="Z342" s="3"/>
    </row>
    <row r="343" spans="1:26" ht="22.5" customHeight="1" x14ac:dyDescent="0.85">
      <c r="A343" s="166"/>
      <c r="B343" s="167"/>
      <c r="C343" s="167"/>
      <c r="D343" s="147"/>
      <c r="E343" s="147"/>
      <c r="F343" s="147"/>
      <c r="G343" s="147"/>
      <c r="H343" s="147"/>
      <c r="I343" s="147"/>
      <c r="J343" s="147"/>
      <c r="K343" s="3"/>
      <c r="L343" s="3"/>
      <c r="M343" s="3"/>
      <c r="N343" s="3"/>
      <c r="O343" s="3"/>
      <c r="P343" s="3"/>
      <c r="Q343" s="3"/>
      <c r="R343" s="3"/>
      <c r="S343" s="3"/>
      <c r="T343" s="3"/>
      <c r="U343" s="3"/>
      <c r="V343" s="3"/>
      <c r="W343" s="3"/>
      <c r="X343" s="3"/>
      <c r="Y343" s="3"/>
      <c r="Z343" s="3"/>
    </row>
    <row r="344" spans="1:26" ht="22.5" customHeight="1" x14ac:dyDescent="0.85">
      <c r="A344" s="166"/>
      <c r="B344" s="167"/>
      <c r="C344" s="167"/>
      <c r="D344" s="147"/>
      <c r="E344" s="147"/>
      <c r="F344" s="147"/>
      <c r="G344" s="147"/>
      <c r="H344" s="147"/>
      <c r="I344" s="147"/>
      <c r="J344" s="147"/>
      <c r="K344" s="3"/>
      <c r="L344" s="3"/>
      <c r="M344" s="3"/>
      <c r="N344" s="3"/>
      <c r="O344" s="3"/>
      <c r="P344" s="3"/>
      <c r="Q344" s="3"/>
      <c r="R344" s="3"/>
      <c r="S344" s="3"/>
      <c r="T344" s="3"/>
      <c r="U344" s="3"/>
      <c r="V344" s="3"/>
      <c r="W344" s="3"/>
      <c r="X344" s="3"/>
      <c r="Y344" s="3"/>
      <c r="Z344" s="3"/>
    </row>
    <row r="345" spans="1:26" ht="22.5" customHeight="1" x14ac:dyDescent="0.85">
      <c r="A345" s="166"/>
      <c r="B345" s="167"/>
      <c r="C345" s="167"/>
      <c r="D345" s="147"/>
      <c r="E345" s="147"/>
      <c r="F345" s="147"/>
      <c r="G345" s="147"/>
      <c r="H345" s="147"/>
      <c r="I345" s="147"/>
      <c r="J345" s="147"/>
      <c r="K345" s="3"/>
      <c r="L345" s="3"/>
      <c r="M345" s="3"/>
      <c r="N345" s="3"/>
      <c r="O345" s="3"/>
      <c r="P345" s="3"/>
      <c r="Q345" s="3"/>
      <c r="R345" s="3"/>
      <c r="S345" s="3"/>
      <c r="T345" s="3"/>
      <c r="U345" s="3"/>
      <c r="V345" s="3"/>
      <c r="W345" s="3"/>
      <c r="X345" s="3"/>
      <c r="Y345" s="3"/>
      <c r="Z345" s="3"/>
    </row>
    <row r="346" spans="1:26" ht="22.5" customHeight="1" x14ac:dyDescent="0.85">
      <c r="A346" s="166"/>
      <c r="B346" s="167"/>
      <c r="C346" s="167"/>
      <c r="D346" s="147"/>
      <c r="E346" s="147"/>
      <c r="F346" s="147"/>
      <c r="G346" s="147"/>
      <c r="H346" s="147"/>
      <c r="I346" s="147"/>
      <c r="J346" s="147"/>
      <c r="K346" s="3"/>
      <c r="L346" s="3"/>
      <c r="M346" s="3"/>
      <c r="N346" s="3"/>
      <c r="O346" s="3"/>
      <c r="P346" s="3"/>
      <c r="Q346" s="3"/>
      <c r="R346" s="3"/>
      <c r="S346" s="3"/>
      <c r="T346" s="3"/>
      <c r="U346" s="3"/>
      <c r="V346" s="3"/>
      <c r="W346" s="3"/>
      <c r="X346" s="3"/>
      <c r="Y346" s="3"/>
      <c r="Z346" s="3"/>
    </row>
    <row r="347" spans="1:26" ht="22.5" customHeight="1" x14ac:dyDescent="0.85">
      <c r="A347" s="166"/>
      <c r="B347" s="167"/>
      <c r="C347" s="167"/>
      <c r="D347" s="147"/>
      <c r="E347" s="147"/>
      <c r="F347" s="147"/>
      <c r="G347" s="147"/>
      <c r="H347" s="147"/>
      <c r="I347" s="147"/>
      <c r="J347" s="147"/>
      <c r="K347" s="3"/>
      <c r="L347" s="3"/>
      <c r="M347" s="3"/>
      <c r="N347" s="3"/>
      <c r="O347" s="3"/>
      <c r="P347" s="3"/>
      <c r="Q347" s="3"/>
      <c r="R347" s="3"/>
      <c r="S347" s="3"/>
      <c r="T347" s="3"/>
      <c r="U347" s="3"/>
      <c r="V347" s="3"/>
      <c r="W347" s="3"/>
      <c r="X347" s="3"/>
      <c r="Y347" s="3"/>
      <c r="Z347" s="3"/>
    </row>
    <row r="348" spans="1:26" ht="22.5" customHeight="1" x14ac:dyDescent="0.85">
      <c r="A348" s="166"/>
      <c r="B348" s="167"/>
      <c r="C348" s="167"/>
      <c r="D348" s="147"/>
      <c r="E348" s="147"/>
      <c r="F348" s="147"/>
      <c r="G348" s="147"/>
      <c r="H348" s="147"/>
      <c r="I348" s="147"/>
      <c r="J348" s="147"/>
      <c r="K348" s="3"/>
      <c r="L348" s="3"/>
      <c r="M348" s="3"/>
      <c r="N348" s="3"/>
      <c r="O348" s="3"/>
      <c r="P348" s="3"/>
      <c r="Q348" s="3"/>
      <c r="R348" s="3"/>
      <c r="S348" s="3"/>
      <c r="T348" s="3"/>
      <c r="U348" s="3"/>
      <c r="V348" s="3"/>
      <c r="W348" s="3"/>
      <c r="X348" s="3"/>
      <c r="Y348" s="3"/>
      <c r="Z348" s="3"/>
    </row>
    <row r="349" spans="1:26" ht="22.5" customHeight="1" x14ac:dyDescent="0.85">
      <c r="A349" s="166"/>
      <c r="B349" s="167"/>
      <c r="C349" s="167"/>
      <c r="D349" s="147"/>
      <c r="E349" s="147"/>
      <c r="F349" s="147"/>
      <c r="G349" s="147"/>
      <c r="H349" s="147"/>
      <c r="I349" s="147"/>
      <c r="J349" s="147"/>
      <c r="K349" s="3"/>
      <c r="L349" s="3"/>
      <c r="M349" s="3"/>
      <c r="N349" s="3"/>
      <c r="O349" s="3"/>
      <c r="P349" s="3"/>
      <c r="Q349" s="3"/>
      <c r="R349" s="3"/>
      <c r="S349" s="3"/>
      <c r="T349" s="3"/>
      <c r="U349" s="3"/>
      <c r="V349" s="3"/>
      <c r="W349" s="3"/>
      <c r="X349" s="3"/>
      <c r="Y349" s="3"/>
      <c r="Z349" s="3"/>
    </row>
    <row r="350" spans="1:26" ht="22.5" customHeight="1" x14ac:dyDescent="0.85">
      <c r="A350" s="166"/>
      <c r="B350" s="167"/>
      <c r="C350" s="167"/>
      <c r="D350" s="147"/>
      <c r="E350" s="147"/>
      <c r="F350" s="147"/>
      <c r="G350" s="147"/>
      <c r="H350" s="147"/>
      <c r="I350" s="147"/>
      <c r="J350" s="147"/>
      <c r="K350" s="3"/>
      <c r="L350" s="3"/>
      <c r="M350" s="3"/>
      <c r="N350" s="3"/>
      <c r="O350" s="3"/>
      <c r="P350" s="3"/>
      <c r="Q350" s="3"/>
      <c r="R350" s="3"/>
      <c r="S350" s="3"/>
      <c r="T350" s="3"/>
      <c r="U350" s="3"/>
      <c r="V350" s="3"/>
      <c r="W350" s="3"/>
      <c r="X350" s="3"/>
      <c r="Y350" s="3"/>
      <c r="Z350" s="3"/>
    </row>
    <row r="351" spans="1:26" ht="22.5" customHeight="1" x14ac:dyDescent="0.85">
      <c r="A351" s="166"/>
      <c r="B351" s="167"/>
      <c r="C351" s="167"/>
      <c r="D351" s="147"/>
      <c r="E351" s="147"/>
      <c r="F351" s="147"/>
      <c r="G351" s="147"/>
      <c r="H351" s="147"/>
      <c r="I351" s="147"/>
      <c r="J351" s="147"/>
      <c r="K351" s="3"/>
      <c r="L351" s="3"/>
      <c r="M351" s="3"/>
      <c r="N351" s="3"/>
      <c r="O351" s="3"/>
      <c r="P351" s="3"/>
      <c r="Q351" s="3"/>
      <c r="R351" s="3"/>
      <c r="S351" s="3"/>
      <c r="T351" s="3"/>
      <c r="U351" s="3"/>
      <c r="V351" s="3"/>
      <c r="W351" s="3"/>
      <c r="X351" s="3"/>
      <c r="Y351" s="3"/>
      <c r="Z351" s="3"/>
    </row>
    <row r="352" spans="1:26" ht="22.5" customHeight="1" x14ac:dyDescent="0.85">
      <c r="A352" s="166"/>
      <c r="B352" s="167"/>
      <c r="C352" s="167"/>
      <c r="D352" s="147"/>
      <c r="E352" s="147"/>
      <c r="F352" s="147"/>
      <c r="G352" s="147"/>
      <c r="H352" s="147"/>
      <c r="I352" s="147"/>
      <c r="J352" s="147"/>
      <c r="K352" s="3"/>
      <c r="L352" s="3"/>
      <c r="M352" s="3"/>
      <c r="N352" s="3"/>
      <c r="O352" s="3"/>
      <c r="P352" s="3"/>
      <c r="Q352" s="3"/>
      <c r="R352" s="3"/>
      <c r="S352" s="3"/>
      <c r="T352" s="3"/>
      <c r="U352" s="3"/>
      <c r="V352" s="3"/>
      <c r="W352" s="3"/>
      <c r="X352" s="3"/>
      <c r="Y352" s="3"/>
      <c r="Z352" s="3"/>
    </row>
    <row r="353" spans="1:26" ht="22.5" customHeight="1" x14ac:dyDescent="0.85">
      <c r="A353" s="166"/>
      <c r="B353" s="167"/>
      <c r="C353" s="167"/>
      <c r="D353" s="147"/>
      <c r="E353" s="147"/>
      <c r="F353" s="147"/>
      <c r="G353" s="147"/>
      <c r="H353" s="147"/>
      <c r="I353" s="147"/>
      <c r="J353" s="147"/>
      <c r="K353" s="3"/>
      <c r="L353" s="3"/>
      <c r="M353" s="3"/>
      <c r="N353" s="3"/>
      <c r="O353" s="3"/>
      <c r="P353" s="3"/>
      <c r="Q353" s="3"/>
      <c r="R353" s="3"/>
      <c r="S353" s="3"/>
      <c r="T353" s="3"/>
      <c r="U353" s="3"/>
      <c r="V353" s="3"/>
      <c r="W353" s="3"/>
      <c r="X353" s="3"/>
      <c r="Y353" s="3"/>
      <c r="Z353" s="3"/>
    </row>
    <row r="354" spans="1:26" ht="22.5" customHeight="1" x14ac:dyDescent="0.85">
      <c r="A354" s="166"/>
      <c r="B354" s="167"/>
      <c r="C354" s="167"/>
      <c r="D354" s="147"/>
      <c r="E354" s="147"/>
      <c r="F354" s="147"/>
      <c r="G354" s="147"/>
      <c r="H354" s="147"/>
      <c r="I354" s="147"/>
      <c r="J354" s="147"/>
      <c r="K354" s="3"/>
      <c r="L354" s="3"/>
      <c r="M354" s="3"/>
      <c r="N354" s="3"/>
      <c r="O354" s="3"/>
      <c r="P354" s="3"/>
      <c r="Q354" s="3"/>
      <c r="R354" s="3"/>
      <c r="S354" s="3"/>
      <c r="T354" s="3"/>
      <c r="U354" s="3"/>
      <c r="V354" s="3"/>
      <c r="W354" s="3"/>
      <c r="X354" s="3"/>
      <c r="Y354" s="3"/>
      <c r="Z354" s="3"/>
    </row>
    <row r="355" spans="1:26" ht="22.5" customHeight="1" x14ac:dyDescent="0.85">
      <c r="A355" s="166"/>
      <c r="B355" s="167"/>
      <c r="C355" s="167"/>
      <c r="D355" s="147"/>
      <c r="E355" s="147"/>
      <c r="F355" s="147"/>
      <c r="G355" s="147"/>
      <c r="H355" s="147"/>
      <c r="I355" s="147"/>
      <c r="J355" s="147"/>
      <c r="K355" s="3"/>
      <c r="L355" s="3"/>
      <c r="M355" s="3"/>
      <c r="N355" s="3"/>
      <c r="O355" s="3"/>
      <c r="P355" s="3"/>
      <c r="Q355" s="3"/>
      <c r="R355" s="3"/>
      <c r="S355" s="3"/>
      <c r="T355" s="3"/>
      <c r="U355" s="3"/>
      <c r="V355" s="3"/>
      <c r="W355" s="3"/>
      <c r="X355" s="3"/>
      <c r="Y355" s="3"/>
      <c r="Z355" s="3"/>
    </row>
    <row r="356" spans="1:26" ht="22.5" customHeight="1" x14ac:dyDescent="0.85">
      <c r="A356" s="166"/>
      <c r="B356" s="167"/>
      <c r="C356" s="167"/>
      <c r="D356" s="147"/>
      <c r="E356" s="147"/>
      <c r="F356" s="147"/>
      <c r="G356" s="147"/>
      <c r="H356" s="147"/>
      <c r="I356" s="147"/>
      <c r="J356" s="147"/>
      <c r="K356" s="3"/>
      <c r="L356" s="3"/>
      <c r="M356" s="3"/>
      <c r="N356" s="3"/>
      <c r="O356" s="3"/>
      <c r="P356" s="3"/>
      <c r="Q356" s="3"/>
      <c r="R356" s="3"/>
      <c r="S356" s="3"/>
      <c r="T356" s="3"/>
      <c r="U356" s="3"/>
      <c r="V356" s="3"/>
      <c r="W356" s="3"/>
      <c r="X356" s="3"/>
      <c r="Y356" s="3"/>
      <c r="Z356" s="3"/>
    </row>
    <row r="357" spans="1:26" ht="22.5" customHeight="1" x14ac:dyDescent="0.85">
      <c r="A357" s="166"/>
      <c r="B357" s="167"/>
      <c r="C357" s="167"/>
      <c r="D357" s="147"/>
      <c r="E357" s="147"/>
      <c r="F357" s="147"/>
      <c r="G357" s="147"/>
      <c r="H357" s="147"/>
      <c r="I357" s="147"/>
      <c r="J357" s="147"/>
      <c r="K357" s="3"/>
      <c r="L357" s="3"/>
      <c r="M357" s="3"/>
      <c r="N357" s="3"/>
      <c r="O357" s="3"/>
      <c r="P357" s="3"/>
      <c r="Q357" s="3"/>
      <c r="R357" s="3"/>
      <c r="S357" s="3"/>
      <c r="T357" s="3"/>
      <c r="U357" s="3"/>
      <c r="V357" s="3"/>
      <c r="W357" s="3"/>
      <c r="X357" s="3"/>
      <c r="Y357" s="3"/>
      <c r="Z357" s="3"/>
    </row>
    <row r="358" spans="1:26" ht="22.5" customHeight="1" x14ac:dyDescent="0.85">
      <c r="A358" s="166"/>
      <c r="B358" s="167"/>
      <c r="C358" s="167"/>
      <c r="D358" s="147"/>
      <c r="E358" s="147"/>
      <c r="F358" s="147"/>
      <c r="G358" s="147"/>
      <c r="H358" s="147"/>
      <c r="I358" s="147"/>
      <c r="J358" s="147"/>
      <c r="K358" s="3"/>
      <c r="L358" s="3"/>
      <c r="M358" s="3"/>
      <c r="N358" s="3"/>
      <c r="O358" s="3"/>
      <c r="P358" s="3"/>
      <c r="Q358" s="3"/>
      <c r="R358" s="3"/>
      <c r="S358" s="3"/>
      <c r="T358" s="3"/>
      <c r="U358" s="3"/>
      <c r="V358" s="3"/>
      <c r="W358" s="3"/>
      <c r="X358" s="3"/>
      <c r="Y358" s="3"/>
      <c r="Z358" s="3"/>
    </row>
    <row r="359" spans="1:26" ht="22.5" customHeight="1" x14ac:dyDescent="0.85">
      <c r="A359" s="166"/>
      <c r="B359" s="167"/>
      <c r="C359" s="167"/>
      <c r="D359" s="147"/>
      <c r="E359" s="147"/>
      <c r="F359" s="147"/>
      <c r="G359" s="147"/>
      <c r="H359" s="147"/>
      <c r="I359" s="147"/>
      <c r="J359" s="147"/>
      <c r="K359" s="3"/>
      <c r="L359" s="3"/>
      <c r="M359" s="3"/>
      <c r="N359" s="3"/>
      <c r="O359" s="3"/>
      <c r="P359" s="3"/>
      <c r="Q359" s="3"/>
      <c r="R359" s="3"/>
      <c r="S359" s="3"/>
      <c r="T359" s="3"/>
      <c r="U359" s="3"/>
      <c r="V359" s="3"/>
      <c r="W359" s="3"/>
      <c r="X359" s="3"/>
      <c r="Y359" s="3"/>
      <c r="Z359" s="3"/>
    </row>
    <row r="360" spans="1:26" ht="22.5" customHeight="1" x14ac:dyDescent="0.85">
      <c r="A360" s="166"/>
      <c r="B360" s="167"/>
      <c r="C360" s="167"/>
      <c r="D360" s="147"/>
      <c r="E360" s="147"/>
      <c r="F360" s="147"/>
      <c r="G360" s="147"/>
      <c r="H360" s="147"/>
      <c r="I360" s="147"/>
      <c r="J360" s="147"/>
      <c r="K360" s="3"/>
      <c r="L360" s="3"/>
      <c r="M360" s="3"/>
      <c r="N360" s="3"/>
      <c r="O360" s="3"/>
      <c r="P360" s="3"/>
      <c r="Q360" s="3"/>
      <c r="R360" s="3"/>
      <c r="S360" s="3"/>
      <c r="T360" s="3"/>
      <c r="U360" s="3"/>
      <c r="V360" s="3"/>
      <c r="W360" s="3"/>
      <c r="X360" s="3"/>
      <c r="Y360" s="3"/>
      <c r="Z360" s="3"/>
    </row>
    <row r="361" spans="1:26" ht="22.5" customHeight="1" x14ac:dyDescent="0.85">
      <c r="A361" s="166"/>
      <c r="B361" s="167"/>
      <c r="C361" s="167"/>
      <c r="D361" s="147"/>
      <c r="E361" s="147"/>
      <c r="F361" s="147"/>
      <c r="G361" s="147"/>
      <c r="H361" s="147"/>
      <c r="I361" s="147"/>
      <c r="J361" s="147"/>
      <c r="K361" s="3"/>
      <c r="L361" s="3"/>
      <c r="M361" s="3"/>
      <c r="N361" s="3"/>
      <c r="O361" s="3"/>
      <c r="P361" s="3"/>
      <c r="Q361" s="3"/>
      <c r="R361" s="3"/>
      <c r="S361" s="3"/>
      <c r="T361" s="3"/>
      <c r="U361" s="3"/>
      <c r="V361" s="3"/>
      <c r="W361" s="3"/>
      <c r="X361" s="3"/>
      <c r="Y361" s="3"/>
      <c r="Z361" s="3"/>
    </row>
    <row r="362" spans="1:26" ht="22.5" customHeight="1" x14ac:dyDescent="0.85">
      <c r="A362" s="166"/>
      <c r="B362" s="167"/>
      <c r="C362" s="167"/>
      <c r="D362" s="147"/>
      <c r="E362" s="147"/>
      <c r="F362" s="147"/>
      <c r="G362" s="147"/>
      <c r="H362" s="147"/>
      <c r="I362" s="147"/>
      <c r="J362" s="147"/>
      <c r="K362" s="3"/>
      <c r="L362" s="3"/>
      <c r="M362" s="3"/>
      <c r="N362" s="3"/>
      <c r="O362" s="3"/>
      <c r="P362" s="3"/>
      <c r="Q362" s="3"/>
      <c r="R362" s="3"/>
      <c r="S362" s="3"/>
      <c r="T362" s="3"/>
      <c r="U362" s="3"/>
      <c r="V362" s="3"/>
      <c r="W362" s="3"/>
      <c r="X362" s="3"/>
      <c r="Y362" s="3"/>
      <c r="Z362" s="3"/>
    </row>
    <row r="363" spans="1:26" ht="22.5" customHeight="1" x14ac:dyDescent="0.85">
      <c r="A363" s="166"/>
      <c r="B363" s="167"/>
      <c r="C363" s="167"/>
      <c r="D363" s="147"/>
      <c r="E363" s="147"/>
      <c r="F363" s="147"/>
      <c r="G363" s="147"/>
      <c r="H363" s="147"/>
      <c r="I363" s="147"/>
      <c r="J363" s="147"/>
      <c r="K363" s="3"/>
      <c r="L363" s="3"/>
      <c r="M363" s="3"/>
      <c r="N363" s="3"/>
      <c r="O363" s="3"/>
      <c r="P363" s="3"/>
      <c r="Q363" s="3"/>
      <c r="R363" s="3"/>
      <c r="S363" s="3"/>
      <c r="T363" s="3"/>
      <c r="U363" s="3"/>
      <c r="V363" s="3"/>
      <c r="W363" s="3"/>
      <c r="X363" s="3"/>
      <c r="Y363" s="3"/>
      <c r="Z363" s="3"/>
    </row>
    <row r="364" spans="1:26" ht="22.5" customHeight="1" x14ac:dyDescent="0.85">
      <c r="A364" s="166"/>
      <c r="B364" s="167"/>
      <c r="C364" s="167"/>
      <c r="D364" s="147"/>
      <c r="E364" s="147"/>
      <c r="F364" s="147"/>
      <c r="G364" s="147"/>
      <c r="H364" s="147"/>
      <c r="I364" s="147"/>
      <c r="J364" s="147"/>
      <c r="K364" s="3"/>
      <c r="L364" s="3"/>
      <c r="M364" s="3"/>
      <c r="N364" s="3"/>
      <c r="O364" s="3"/>
      <c r="P364" s="3"/>
      <c r="Q364" s="3"/>
      <c r="R364" s="3"/>
      <c r="S364" s="3"/>
      <c r="T364" s="3"/>
      <c r="U364" s="3"/>
      <c r="V364" s="3"/>
      <c r="W364" s="3"/>
      <c r="X364" s="3"/>
      <c r="Y364" s="3"/>
      <c r="Z364" s="3"/>
    </row>
    <row r="365" spans="1:26" ht="22.5" customHeight="1" x14ac:dyDescent="0.85">
      <c r="A365" s="166"/>
      <c r="B365" s="167"/>
      <c r="C365" s="167"/>
      <c r="D365" s="147"/>
      <c r="E365" s="147"/>
      <c r="F365" s="147"/>
      <c r="G365" s="147"/>
      <c r="H365" s="147"/>
      <c r="I365" s="147"/>
      <c r="J365" s="147"/>
      <c r="K365" s="3"/>
      <c r="L365" s="3"/>
      <c r="M365" s="3"/>
      <c r="N365" s="3"/>
      <c r="O365" s="3"/>
      <c r="P365" s="3"/>
      <c r="Q365" s="3"/>
      <c r="R365" s="3"/>
      <c r="S365" s="3"/>
      <c r="T365" s="3"/>
      <c r="U365" s="3"/>
      <c r="V365" s="3"/>
      <c r="W365" s="3"/>
      <c r="X365" s="3"/>
      <c r="Y365" s="3"/>
      <c r="Z365" s="3"/>
    </row>
    <row r="366" spans="1:26" ht="22.5" customHeight="1" x14ac:dyDescent="0.85">
      <c r="A366" s="166"/>
      <c r="B366" s="167"/>
      <c r="C366" s="167"/>
      <c r="D366" s="147"/>
      <c r="E366" s="147"/>
      <c r="F366" s="147"/>
      <c r="G366" s="147"/>
      <c r="H366" s="147"/>
      <c r="I366" s="147"/>
      <c r="J366" s="147"/>
      <c r="K366" s="3"/>
      <c r="L366" s="3"/>
      <c r="M366" s="3"/>
      <c r="N366" s="3"/>
      <c r="O366" s="3"/>
      <c r="P366" s="3"/>
      <c r="Q366" s="3"/>
      <c r="R366" s="3"/>
      <c r="S366" s="3"/>
      <c r="T366" s="3"/>
      <c r="U366" s="3"/>
      <c r="V366" s="3"/>
      <c r="W366" s="3"/>
      <c r="X366" s="3"/>
      <c r="Y366" s="3"/>
      <c r="Z366" s="3"/>
    </row>
    <row r="367" spans="1:26" ht="22.5" customHeight="1" x14ac:dyDescent="0.85">
      <c r="A367" s="166"/>
      <c r="B367" s="167"/>
      <c r="C367" s="167"/>
      <c r="D367" s="147"/>
      <c r="E367" s="147"/>
      <c r="F367" s="147"/>
      <c r="G367" s="147"/>
      <c r="H367" s="147"/>
      <c r="I367" s="147"/>
      <c r="J367" s="147"/>
      <c r="K367" s="3"/>
      <c r="L367" s="3"/>
      <c r="M367" s="3"/>
      <c r="N367" s="3"/>
      <c r="O367" s="3"/>
      <c r="P367" s="3"/>
      <c r="Q367" s="3"/>
      <c r="R367" s="3"/>
      <c r="S367" s="3"/>
      <c r="T367" s="3"/>
      <c r="U367" s="3"/>
      <c r="V367" s="3"/>
      <c r="W367" s="3"/>
      <c r="X367" s="3"/>
      <c r="Y367" s="3"/>
      <c r="Z367" s="3"/>
    </row>
    <row r="368" spans="1:26" ht="22.5" customHeight="1" x14ac:dyDescent="0.85">
      <c r="A368" s="166"/>
      <c r="B368" s="167"/>
      <c r="C368" s="167"/>
      <c r="D368" s="147"/>
      <c r="E368" s="147"/>
      <c r="F368" s="147"/>
      <c r="G368" s="147"/>
      <c r="H368" s="147"/>
      <c r="I368" s="147"/>
      <c r="J368" s="147"/>
      <c r="K368" s="3"/>
      <c r="L368" s="3"/>
      <c r="M368" s="3"/>
      <c r="N368" s="3"/>
      <c r="O368" s="3"/>
      <c r="P368" s="3"/>
      <c r="Q368" s="3"/>
      <c r="R368" s="3"/>
      <c r="S368" s="3"/>
      <c r="T368" s="3"/>
      <c r="U368" s="3"/>
      <c r="V368" s="3"/>
      <c r="W368" s="3"/>
      <c r="X368" s="3"/>
      <c r="Y368" s="3"/>
      <c r="Z368" s="3"/>
    </row>
    <row r="369" spans="1:26" ht="22.5" customHeight="1" x14ac:dyDescent="0.85">
      <c r="A369" s="166"/>
      <c r="B369" s="167"/>
      <c r="C369" s="167"/>
      <c r="D369" s="147"/>
      <c r="E369" s="147"/>
      <c r="F369" s="147"/>
      <c r="G369" s="147"/>
      <c r="H369" s="147"/>
      <c r="I369" s="147"/>
      <c r="J369" s="147"/>
      <c r="K369" s="3"/>
      <c r="L369" s="3"/>
      <c r="M369" s="3"/>
      <c r="N369" s="3"/>
      <c r="O369" s="3"/>
      <c r="P369" s="3"/>
      <c r="Q369" s="3"/>
      <c r="R369" s="3"/>
      <c r="S369" s="3"/>
      <c r="T369" s="3"/>
      <c r="U369" s="3"/>
      <c r="V369" s="3"/>
      <c r="W369" s="3"/>
      <c r="X369" s="3"/>
      <c r="Y369" s="3"/>
      <c r="Z369" s="3"/>
    </row>
    <row r="370" spans="1:26" ht="22.5" customHeight="1" x14ac:dyDescent="0.85">
      <c r="A370" s="166"/>
      <c r="B370" s="167"/>
      <c r="C370" s="167"/>
      <c r="D370" s="147"/>
      <c r="E370" s="147"/>
      <c r="F370" s="147"/>
      <c r="G370" s="147"/>
      <c r="H370" s="147"/>
      <c r="I370" s="147"/>
      <c r="J370" s="147"/>
      <c r="K370" s="3"/>
      <c r="L370" s="3"/>
      <c r="M370" s="3"/>
      <c r="N370" s="3"/>
      <c r="O370" s="3"/>
      <c r="P370" s="3"/>
      <c r="Q370" s="3"/>
      <c r="R370" s="3"/>
      <c r="S370" s="3"/>
      <c r="T370" s="3"/>
      <c r="U370" s="3"/>
      <c r="V370" s="3"/>
      <c r="W370" s="3"/>
      <c r="X370" s="3"/>
      <c r="Y370" s="3"/>
      <c r="Z370" s="3"/>
    </row>
    <row r="371" spans="1:26" ht="22.5" customHeight="1" x14ac:dyDescent="0.85">
      <c r="A371" s="166"/>
      <c r="B371" s="167"/>
      <c r="C371" s="167"/>
      <c r="D371" s="147"/>
      <c r="E371" s="147"/>
      <c r="F371" s="147"/>
      <c r="G371" s="147"/>
      <c r="H371" s="147"/>
      <c r="I371" s="147"/>
      <c r="J371" s="147"/>
      <c r="K371" s="3"/>
      <c r="L371" s="3"/>
      <c r="M371" s="3"/>
      <c r="N371" s="3"/>
      <c r="O371" s="3"/>
      <c r="P371" s="3"/>
      <c r="Q371" s="3"/>
      <c r="R371" s="3"/>
      <c r="S371" s="3"/>
      <c r="T371" s="3"/>
      <c r="U371" s="3"/>
      <c r="V371" s="3"/>
      <c r="W371" s="3"/>
      <c r="X371" s="3"/>
      <c r="Y371" s="3"/>
      <c r="Z371" s="3"/>
    </row>
    <row r="372" spans="1:26" ht="22.5" customHeight="1" x14ac:dyDescent="0.85">
      <c r="A372" s="166"/>
      <c r="B372" s="167"/>
      <c r="C372" s="167"/>
      <c r="D372" s="147"/>
      <c r="E372" s="147"/>
      <c r="F372" s="147"/>
      <c r="G372" s="147"/>
      <c r="H372" s="147"/>
      <c r="I372" s="147"/>
      <c r="J372" s="147"/>
      <c r="K372" s="3"/>
      <c r="L372" s="3"/>
      <c r="M372" s="3"/>
      <c r="N372" s="3"/>
      <c r="O372" s="3"/>
      <c r="P372" s="3"/>
      <c r="Q372" s="3"/>
      <c r="R372" s="3"/>
      <c r="S372" s="3"/>
      <c r="T372" s="3"/>
      <c r="U372" s="3"/>
      <c r="V372" s="3"/>
      <c r="W372" s="3"/>
      <c r="X372" s="3"/>
      <c r="Y372" s="3"/>
      <c r="Z372" s="3"/>
    </row>
    <row r="373" spans="1:26" ht="22.5" customHeight="1" x14ac:dyDescent="0.85">
      <c r="A373" s="166"/>
      <c r="B373" s="167"/>
      <c r="C373" s="167"/>
      <c r="D373" s="147"/>
      <c r="E373" s="147"/>
      <c r="F373" s="147"/>
      <c r="G373" s="147"/>
      <c r="H373" s="147"/>
      <c r="I373" s="147"/>
      <c r="J373" s="147"/>
      <c r="K373" s="3"/>
      <c r="L373" s="3"/>
      <c r="M373" s="3"/>
      <c r="N373" s="3"/>
      <c r="O373" s="3"/>
      <c r="P373" s="3"/>
      <c r="Q373" s="3"/>
      <c r="R373" s="3"/>
      <c r="S373" s="3"/>
      <c r="T373" s="3"/>
      <c r="U373" s="3"/>
      <c r="V373" s="3"/>
      <c r="W373" s="3"/>
      <c r="X373" s="3"/>
      <c r="Y373" s="3"/>
      <c r="Z373" s="3"/>
    </row>
    <row r="374" spans="1:26" ht="22.5" customHeight="1" x14ac:dyDescent="0.85">
      <c r="A374" s="166"/>
      <c r="B374" s="167"/>
      <c r="C374" s="167"/>
      <c r="D374" s="147"/>
      <c r="E374" s="147"/>
      <c r="F374" s="147"/>
      <c r="G374" s="147"/>
      <c r="H374" s="147"/>
      <c r="I374" s="147"/>
      <c r="J374" s="147"/>
      <c r="K374" s="3"/>
      <c r="L374" s="3"/>
      <c r="M374" s="3"/>
      <c r="N374" s="3"/>
      <c r="O374" s="3"/>
      <c r="P374" s="3"/>
      <c r="Q374" s="3"/>
      <c r="R374" s="3"/>
      <c r="S374" s="3"/>
      <c r="T374" s="3"/>
      <c r="U374" s="3"/>
      <c r="V374" s="3"/>
      <c r="W374" s="3"/>
      <c r="X374" s="3"/>
      <c r="Y374" s="3"/>
      <c r="Z374" s="3"/>
    </row>
    <row r="375" spans="1:26" ht="22.5" customHeight="1" x14ac:dyDescent="0.85">
      <c r="A375" s="166"/>
      <c r="B375" s="167"/>
      <c r="C375" s="167"/>
      <c r="D375" s="147"/>
      <c r="E375" s="147"/>
      <c r="F375" s="147"/>
      <c r="G375" s="147"/>
      <c r="H375" s="147"/>
      <c r="I375" s="147"/>
      <c r="J375" s="147"/>
      <c r="K375" s="3"/>
      <c r="L375" s="3"/>
      <c r="M375" s="3"/>
      <c r="N375" s="3"/>
      <c r="O375" s="3"/>
      <c r="P375" s="3"/>
      <c r="Q375" s="3"/>
      <c r="R375" s="3"/>
      <c r="S375" s="3"/>
      <c r="T375" s="3"/>
      <c r="U375" s="3"/>
      <c r="V375" s="3"/>
      <c r="W375" s="3"/>
      <c r="X375" s="3"/>
      <c r="Y375" s="3"/>
      <c r="Z375" s="3"/>
    </row>
    <row r="376" spans="1:26" ht="22.5" customHeight="1" x14ac:dyDescent="0.85">
      <c r="A376" s="166"/>
      <c r="B376" s="167"/>
      <c r="C376" s="167"/>
      <c r="D376" s="147"/>
      <c r="E376" s="147"/>
      <c r="F376" s="147"/>
      <c r="G376" s="147"/>
      <c r="H376" s="147"/>
      <c r="I376" s="147"/>
      <c r="J376" s="147"/>
      <c r="K376" s="3"/>
      <c r="L376" s="3"/>
      <c r="M376" s="3"/>
      <c r="N376" s="3"/>
      <c r="O376" s="3"/>
      <c r="P376" s="3"/>
      <c r="Q376" s="3"/>
      <c r="R376" s="3"/>
      <c r="S376" s="3"/>
      <c r="T376" s="3"/>
      <c r="U376" s="3"/>
      <c r="V376" s="3"/>
      <c r="W376" s="3"/>
      <c r="X376" s="3"/>
      <c r="Y376" s="3"/>
      <c r="Z376" s="3"/>
    </row>
    <row r="377" spans="1:26" ht="22.5" customHeight="1" x14ac:dyDescent="0.85">
      <c r="A377" s="166"/>
      <c r="B377" s="167"/>
      <c r="C377" s="167"/>
      <c r="D377" s="147"/>
      <c r="E377" s="147"/>
      <c r="F377" s="147"/>
      <c r="G377" s="147"/>
      <c r="H377" s="147"/>
      <c r="I377" s="147"/>
      <c r="J377" s="147"/>
      <c r="K377" s="3"/>
      <c r="L377" s="3"/>
      <c r="M377" s="3"/>
      <c r="N377" s="3"/>
      <c r="O377" s="3"/>
      <c r="P377" s="3"/>
      <c r="Q377" s="3"/>
      <c r="R377" s="3"/>
      <c r="S377" s="3"/>
      <c r="T377" s="3"/>
      <c r="U377" s="3"/>
      <c r="V377" s="3"/>
      <c r="W377" s="3"/>
      <c r="X377" s="3"/>
      <c r="Y377" s="3"/>
      <c r="Z377" s="3"/>
    </row>
    <row r="378" spans="1:26" ht="22.5" customHeight="1" x14ac:dyDescent="0.85">
      <c r="A378" s="166"/>
      <c r="B378" s="167"/>
      <c r="C378" s="167"/>
      <c r="D378" s="147"/>
      <c r="E378" s="147"/>
      <c r="F378" s="147"/>
      <c r="G378" s="147"/>
      <c r="H378" s="147"/>
      <c r="I378" s="147"/>
      <c r="J378" s="147"/>
      <c r="K378" s="3"/>
      <c r="L378" s="3"/>
      <c r="M378" s="3"/>
      <c r="N378" s="3"/>
      <c r="O378" s="3"/>
      <c r="P378" s="3"/>
      <c r="Q378" s="3"/>
      <c r="R378" s="3"/>
      <c r="S378" s="3"/>
      <c r="T378" s="3"/>
      <c r="U378" s="3"/>
      <c r="V378" s="3"/>
      <c r="W378" s="3"/>
      <c r="X378" s="3"/>
      <c r="Y378" s="3"/>
      <c r="Z378" s="3"/>
    </row>
    <row r="379" spans="1:26" ht="22.5" customHeight="1" x14ac:dyDescent="0.85">
      <c r="A379" s="166"/>
      <c r="B379" s="167"/>
      <c r="C379" s="167"/>
      <c r="D379" s="147"/>
      <c r="E379" s="147"/>
      <c r="F379" s="147"/>
      <c r="G379" s="147"/>
      <c r="H379" s="147"/>
      <c r="I379" s="147"/>
      <c r="J379" s="147"/>
      <c r="K379" s="3"/>
      <c r="L379" s="3"/>
      <c r="M379" s="3"/>
      <c r="N379" s="3"/>
      <c r="O379" s="3"/>
      <c r="P379" s="3"/>
      <c r="Q379" s="3"/>
      <c r="R379" s="3"/>
      <c r="S379" s="3"/>
      <c r="T379" s="3"/>
      <c r="U379" s="3"/>
      <c r="V379" s="3"/>
      <c r="W379" s="3"/>
      <c r="X379" s="3"/>
      <c r="Y379" s="3"/>
      <c r="Z379" s="3"/>
    </row>
    <row r="380" spans="1:26" ht="22.5" customHeight="1" x14ac:dyDescent="0.85">
      <c r="A380" s="166"/>
      <c r="B380" s="167"/>
      <c r="C380" s="167"/>
      <c r="D380" s="147"/>
      <c r="E380" s="147"/>
      <c r="F380" s="147"/>
      <c r="G380" s="147"/>
      <c r="H380" s="147"/>
      <c r="I380" s="147"/>
      <c r="J380" s="147"/>
      <c r="K380" s="3"/>
      <c r="L380" s="3"/>
      <c r="M380" s="3"/>
      <c r="N380" s="3"/>
      <c r="O380" s="3"/>
      <c r="P380" s="3"/>
      <c r="Q380" s="3"/>
      <c r="R380" s="3"/>
      <c r="S380" s="3"/>
      <c r="T380" s="3"/>
      <c r="U380" s="3"/>
      <c r="V380" s="3"/>
      <c r="W380" s="3"/>
      <c r="X380" s="3"/>
      <c r="Y380" s="3"/>
      <c r="Z380" s="3"/>
    </row>
    <row r="381" spans="1:26" ht="22.5" customHeight="1" x14ac:dyDescent="0.85">
      <c r="A381" s="166"/>
      <c r="B381" s="167"/>
      <c r="C381" s="167"/>
      <c r="D381" s="147"/>
      <c r="E381" s="147"/>
      <c r="F381" s="147"/>
      <c r="G381" s="147"/>
      <c r="H381" s="147"/>
      <c r="I381" s="147"/>
      <c r="J381" s="147"/>
      <c r="K381" s="3"/>
      <c r="L381" s="3"/>
      <c r="M381" s="3"/>
      <c r="N381" s="3"/>
      <c r="O381" s="3"/>
      <c r="P381" s="3"/>
      <c r="Q381" s="3"/>
      <c r="R381" s="3"/>
      <c r="S381" s="3"/>
      <c r="T381" s="3"/>
      <c r="U381" s="3"/>
      <c r="V381" s="3"/>
      <c r="W381" s="3"/>
      <c r="X381" s="3"/>
      <c r="Y381" s="3"/>
      <c r="Z381" s="3"/>
    </row>
    <row r="382" spans="1:26" ht="22.5" customHeight="1" x14ac:dyDescent="0.85">
      <c r="A382" s="166"/>
      <c r="B382" s="167"/>
      <c r="C382" s="167"/>
      <c r="D382" s="147"/>
      <c r="E382" s="147"/>
      <c r="F382" s="147"/>
      <c r="G382" s="147"/>
      <c r="H382" s="147"/>
      <c r="I382" s="147"/>
      <c r="J382" s="147"/>
      <c r="K382" s="3"/>
      <c r="L382" s="3"/>
      <c r="M382" s="3"/>
      <c r="N382" s="3"/>
      <c r="O382" s="3"/>
      <c r="P382" s="3"/>
      <c r="Q382" s="3"/>
      <c r="R382" s="3"/>
      <c r="S382" s="3"/>
      <c r="T382" s="3"/>
      <c r="U382" s="3"/>
      <c r="V382" s="3"/>
      <c r="W382" s="3"/>
      <c r="X382" s="3"/>
      <c r="Y382" s="3"/>
      <c r="Z382" s="3"/>
    </row>
    <row r="383" spans="1:26" ht="22.5" customHeight="1" x14ac:dyDescent="0.85">
      <c r="A383" s="166"/>
      <c r="B383" s="167"/>
      <c r="C383" s="167"/>
      <c r="D383" s="147"/>
      <c r="E383" s="147"/>
      <c r="F383" s="147"/>
      <c r="G383" s="147"/>
      <c r="H383" s="147"/>
      <c r="I383" s="147"/>
      <c r="J383" s="147"/>
      <c r="K383" s="3"/>
      <c r="L383" s="3"/>
      <c r="M383" s="3"/>
      <c r="N383" s="3"/>
      <c r="O383" s="3"/>
      <c r="P383" s="3"/>
      <c r="Q383" s="3"/>
      <c r="R383" s="3"/>
      <c r="S383" s="3"/>
      <c r="T383" s="3"/>
      <c r="U383" s="3"/>
      <c r="V383" s="3"/>
      <c r="W383" s="3"/>
      <c r="X383" s="3"/>
      <c r="Y383" s="3"/>
      <c r="Z383" s="3"/>
    </row>
    <row r="384" spans="1:26" ht="22.5" customHeight="1" x14ac:dyDescent="0.85">
      <c r="A384" s="166"/>
      <c r="B384" s="167"/>
      <c r="C384" s="167"/>
      <c r="D384" s="147"/>
      <c r="E384" s="147"/>
      <c r="F384" s="147"/>
      <c r="G384" s="147"/>
      <c r="H384" s="147"/>
      <c r="I384" s="147"/>
      <c r="J384" s="147"/>
      <c r="K384" s="3"/>
      <c r="L384" s="3"/>
      <c r="M384" s="3"/>
      <c r="N384" s="3"/>
      <c r="O384" s="3"/>
      <c r="P384" s="3"/>
      <c r="Q384" s="3"/>
      <c r="R384" s="3"/>
      <c r="S384" s="3"/>
      <c r="T384" s="3"/>
      <c r="U384" s="3"/>
      <c r="V384" s="3"/>
      <c r="W384" s="3"/>
      <c r="X384" s="3"/>
      <c r="Y384" s="3"/>
      <c r="Z384" s="3"/>
    </row>
    <row r="385" spans="1:26" ht="22.5" customHeight="1" x14ac:dyDescent="0.85">
      <c r="A385" s="166"/>
      <c r="B385" s="167"/>
      <c r="C385" s="167"/>
      <c r="D385" s="147"/>
      <c r="E385" s="147"/>
      <c r="F385" s="147"/>
      <c r="G385" s="147"/>
      <c r="H385" s="147"/>
      <c r="I385" s="147"/>
      <c r="J385" s="147"/>
      <c r="K385" s="3"/>
      <c r="L385" s="3"/>
      <c r="M385" s="3"/>
      <c r="N385" s="3"/>
      <c r="O385" s="3"/>
      <c r="P385" s="3"/>
      <c r="Q385" s="3"/>
      <c r="R385" s="3"/>
      <c r="S385" s="3"/>
      <c r="T385" s="3"/>
      <c r="U385" s="3"/>
      <c r="V385" s="3"/>
      <c r="W385" s="3"/>
      <c r="X385" s="3"/>
      <c r="Y385" s="3"/>
      <c r="Z385" s="3"/>
    </row>
    <row r="386" spans="1:26" ht="22.5" customHeight="1" x14ac:dyDescent="0.85">
      <c r="A386" s="166"/>
      <c r="B386" s="167"/>
      <c r="C386" s="167"/>
      <c r="D386" s="147"/>
      <c r="E386" s="147"/>
      <c r="F386" s="147"/>
      <c r="G386" s="147"/>
      <c r="H386" s="147"/>
      <c r="I386" s="147"/>
      <c r="J386" s="147"/>
      <c r="K386" s="3"/>
      <c r="L386" s="3"/>
      <c r="M386" s="3"/>
      <c r="N386" s="3"/>
      <c r="O386" s="3"/>
      <c r="P386" s="3"/>
      <c r="Q386" s="3"/>
      <c r="R386" s="3"/>
      <c r="S386" s="3"/>
      <c r="T386" s="3"/>
      <c r="U386" s="3"/>
      <c r="V386" s="3"/>
      <c r="W386" s="3"/>
      <c r="X386" s="3"/>
      <c r="Y386" s="3"/>
      <c r="Z386" s="3"/>
    </row>
    <row r="387" spans="1:26" ht="22.5" customHeight="1" x14ac:dyDescent="0.85">
      <c r="A387" s="166"/>
      <c r="B387" s="167"/>
      <c r="C387" s="167"/>
      <c r="D387" s="147"/>
      <c r="E387" s="147"/>
      <c r="F387" s="147"/>
      <c r="G387" s="147"/>
      <c r="H387" s="147"/>
      <c r="I387" s="147"/>
      <c r="J387" s="147"/>
      <c r="K387" s="3"/>
      <c r="L387" s="3"/>
      <c r="M387" s="3"/>
      <c r="N387" s="3"/>
      <c r="O387" s="3"/>
      <c r="P387" s="3"/>
      <c r="Q387" s="3"/>
      <c r="R387" s="3"/>
      <c r="S387" s="3"/>
      <c r="T387" s="3"/>
      <c r="U387" s="3"/>
      <c r="V387" s="3"/>
      <c r="W387" s="3"/>
      <c r="X387" s="3"/>
      <c r="Y387" s="3"/>
      <c r="Z387" s="3"/>
    </row>
    <row r="388" spans="1:26" ht="22.5" customHeight="1" x14ac:dyDescent="0.85">
      <c r="A388" s="166"/>
      <c r="B388" s="167"/>
      <c r="C388" s="167"/>
      <c r="D388" s="147"/>
      <c r="E388" s="147"/>
      <c r="F388" s="147"/>
      <c r="G388" s="147"/>
      <c r="H388" s="147"/>
      <c r="I388" s="147"/>
      <c r="J388" s="147"/>
      <c r="K388" s="3"/>
      <c r="L388" s="3"/>
      <c r="M388" s="3"/>
      <c r="N388" s="3"/>
      <c r="O388" s="3"/>
      <c r="P388" s="3"/>
      <c r="Q388" s="3"/>
      <c r="R388" s="3"/>
      <c r="S388" s="3"/>
      <c r="T388" s="3"/>
      <c r="U388" s="3"/>
      <c r="V388" s="3"/>
      <c r="W388" s="3"/>
      <c r="X388" s="3"/>
      <c r="Y388" s="3"/>
      <c r="Z388" s="3"/>
    </row>
    <row r="389" spans="1:26" ht="22.5" customHeight="1" x14ac:dyDescent="0.85">
      <c r="A389" s="166"/>
      <c r="B389" s="167"/>
      <c r="C389" s="167"/>
      <c r="D389" s="147"/>
      <c r="E389" s="147"/>
      <c r="F389" s="147"/>
      <c r="G389" s="147"/>
      <c r="H389" s="147"/>
      <c r="I389" s="147"/>
      <c r="J389" s="147"/>
      <c r="K389" s="3"/>
      <c r="L389" s="3"/>
      <c r="M389" s="3"/>
      <c r="N389" s="3"/>
      <c r="O389" s="3"/>
      <c r="P389" s="3"/>
      <c r="Q389" s="3"/>
      <c r="R389" s="3"/>
      <c r="S389" s="3"/>
      <c r="T389" s="3"/>
      <c r="U389" s="3"/>
      <c r="V389" s="3"/>
      <c r="W389" s="3"/>
      <c r="X389" s="3"/>
      <c r="Y389" s="3"/>
      <c r="Z389" s="3"/>
    </row>
    <row r="390" spans="1:26" ht="22.5" customHeight="1" x14ac:dyDescent="0.85">
      <c r="A390" s="166"/>
      <c r="B390" s="167"/>
      <c r="C390" s="167"/>
      <c r="D390" s="147"/>
      <c r="E390" s="147"/>
      <c r="F390" s="147"/>
      <c r="G390" s="147"/>
      <c r="H390" s="147"/>
      <c r="I390" s="147"/>
      <c r="J390" s="147"/>
      <c r="K390" s="3"/>
      <c r="L390" s="3"/>
      <c r="M390" s="3"/>
      <c r="N390" s="3"/>
      <c r="O390" s="3"/>
      <c r="P390" s="3"/>
      <c r="Q390" s="3"/>
      <c r="R390" s="3"/>
      <c r="S390" s="3"/>
      <c r="T390" s="3"/>
      <c r="U390" s="3"/>
      <c r="V390" s="3"/>
      <c r="W390" s="3"/>
      <c r="X390" s="3"/>
      <c r="Y390" s="3"/>
      <c r="Z390" s="3"/>
    </row>
    <row r="391" spans="1:26" ht="22.5" customHeight="1" x14ac:dyDescent="0.85">
      <c r="A391" s="166"/>
      <c r="B391" s="167"/>
      <c r="C391" s="167"/>
      <c r="D391" s="147"/>
      <c r="E391" s="147"/>
      <c r="F391" s="147"/>
      <c r="G391" s="147"/>
      <c r="H391" s="147"/>
      <c r="I391" s="147"/>
      <c r="J391" s="147"/>
      <c r="K391" s="3"/>
      <c r="L391" s="3"/>
      <c r="M391" s="3"/>
      <c r="N391" s="3"/>
      <c r="O391" s="3"/>
      <c r="P391" s="3"/>
      <c r="Q391" s="3"/>
      <c r="R391" s="3"/>
      <c r="S391" s="3"/>
      <c r="T391" s="3"/>
      <c r="U391" s="3"/>
      <c r="V391" s="3"/>
      <c r="W391" s="3"/>
      <c r="X391" s="3"/>
      <c r="Y391" s="3"/>
      <c r="Z391" s="3"/>
    </row>
    <row r="392" spans="1:26" ht="22.5" customHeight="1" x14ac:dyDescent="0.85">
      <c r="A392" s="166"/>
      <c r="B392" s="167"/>
      <c r="C392" s="167"/>
      <c r="D392" s="147"/>
      <c r="E392" s="147"/>
      <c r="F392" s="147"/>
      <c r="G392" s="147"/>
      <c r="H392" s="147"/>
      <c r="I392" s="147"/>
      <c r="J392" s="147"/>
      <c r="K392" s="3"/>
      <c r="L392" s="3"/>
      <c r="M392" s="3"/>
      <c r="N392" s="3"/>
      <c r="O392" s="3"/>
      <c r="P392" s="3"/>
      <c r="Q392" s="3"/>
      <c r="R392" s="3"/>
      <c r="S392" s="3"/>
      <c r="T392" s="3"/>
      <c r="U392" s="3"/>
      <c r="V392" s="3"/>
      <c r="W392" s="3"/>
      <c r="X392" s="3"/>
      <c r="Y392" s="3"/>
      <c r="Z392" s="3"/>
    </row>
    <row r="393" spans="1:26" ht="22.5" customHeight="1" x14ac:dyDescent="0.85">
      <c r="A393" s="166"/>
      <c r="B393" s="167"/>
      <c r="C393" s="167"/>
      <c r="D393" s="147"/>
      <c r="E393" s="147"/>
      <c r="F393" s="147"/>
      <c r="G393" s="147"/>
      <c r="H393" s="147"/>
      <c r="I393" s="147"/>
      <c r="J393" s="147"/>
      <c r="K393" s="3"/>
      <c r="L393" s="3"/>
      <c r="M393" s="3"/>
      <c r="N393" s="3"/>
      <c r="O393" s="3"/>
      <c r="P393" s="3"/>
      <c r="Q393" s="3"/>
      <c r="R393" s="3"/>
      <c r="S393" s="3"/>
      <c r="T393" s="3"/>
      <c r="U393" s="3"/>
      <c r="V393" s="3"/>
      <c r="W393" s="3"/>
      <c r="X393" s="3"/>
      <c r="Y393" s="3"/>
      <c r="Z393" s="3"/>
    </row>
    <row r="394" spans="1:26" ht="22.5" customHeight="1" x14ac:dyDescent="0.85">
      <c r="A394" s="166"/>
      <c r="B394" s="167"/>
      <c r="C394" s="167"/>
      <c r="D394" s="147"/>
      <c r="E394" s="147"/>
      <c r="F394" s="147"/>
      <c r="G394" s="147"/>
      <c r="H394" s="147"/>
      <c r="I394" s="147"/>
      <c r="J394" s="147"/>
      <c r="K394" s="3"/>
      <c r="L394" s="3"/>
      <c r="M394" s="3"/>
      <c r="N394" s="3"/>
      <c r="O394" s="3"/>
      <c r="P394" s="3"/>
      <c r="Q394" s="3"/>
      <c r="R394" s="3"/>
      <c r="S394" s="3"/>
      <c r="T394" s="3"/>
      <c r="U394" s="3"/>
      <c r="V394" s="3"/>
      <c r="W394" s="3"/>
      <c r="X394" s="3"/>
      <c r="Y394" s="3"/>
      <c r="Z394" s="3"/>
    </row>
    <row r="395" spans="1:26" ht="22.5" customHeight="1" x14ac:dyDescent="0.85">
      <c r="A395" s="166"/>
      <c r="B395" s="167"/>
      <c r="C395" s="167"/>
      <c r="D395" s="147"/>
      <c r="E395" s="147"/>
      <c r="F395" s="147"/>
      <c r="G395" s="147"/>
      <c r="H395" s="147"/>
      <c r="I395" s="147"/>
      <c r="J395" s="147"/>
      <c r="K395" s="3"/>
      <c r="L395" s="3"/>
      <c r="M395" s="3"/>
      <c r="N395" s="3"/>
      <c r="O395" s="3"/>
      <c r="P395" s="3"/>
      <c r="Q395" s="3"/>
      <c r="R395" s="3"/>
      <c r="S395" s="3"/>
      <c r="T395" s="3"/>
      <c r="U395" s="3"/>
      <c r="V395" s="3"/>
      <c r="W395" s="3"/>
      <c r="X395" s="3"/>
      <c r="Y395" s="3"/>
      <c r="Z395" s="3"/>
    </row>
    <row r="396" spans="1:26" ht="22.5" customHeight="1" x14ac:dyDescent="0.85">
      <c r="A396" s="166"/>
      <c r="B396" s="167"/>
      <c r="C396" s="167"/>
      <c r="D396" s="147"/>
      <c r="E396" s="147"/>
      <c r="F396" s="147"/>
      <c r="G396" s="147"/>
      <c r="H396" s="147"/>
      <c r="I396" s="147"/>
      <c r="J396" s="147"/>
      <c r="K396" s="3"/>
      <c r="L396" s="3"/>
      <c r="M396" s="3"/>
      <c r="N396" s="3"/>
      <c r="O396" s="3"/>
      <c r="P396" s="3"/>
      <c r="Q396" s="3"/>
      <c r="R396" s="3"/>
      <c r="S396" s="3"/>
      <c r="T396" s="3"/>
      <c r="U396" s="3"/>
      <c r="V396" s="3"/>
      <c r="W396" s="3"/>
      <c r="X396" s="3"/>
      <c r="Y396" s="3"/>
      <c r="Z396" s="3"/>
    </row>
    <row r="397" spans="1:26" ht="22.5" customHeight="1" x14ac:dyDescent="0.85">
      <c r="A397" s="166"/>
      <c r="B397" s="167"/>
      <c r="C397" s="167"/>
      <c r="D397" s="147"/>
      <c r="E397" s="147"/>
      <c r="F397" s="147"/>
      <c r="G397" s="147"/>
      <c r="H397" s="147"/>
      <c r="I397" s="147"/>
      <c r="J397" s="147"/>
      <c r="K397" s="3"/>
      <c r="L397" s="3"/>
      <c r="M397" s="3"/>
      <c r="N397" s="3"/>
      <c r="O397" s="3"/>
      <c r="P397" s="3"/>
      <c r="Q397" s="3"/>
      <c r="R397" s="3"/>
      <c r="S397" s="3"/>
      <c r="T397" s="3"/>
      <c r="U397" s="3"/>
      <c r="V397" s="3"/>
      <c r="W397" s="3"/>
      <c r="X397" s="3"/>
      <c r="Y397" s="3"/>
      <c r="Z397" s="3"/>
    </row>
    <row r="398" spans="1:26" ht="22.5" customHeight="1" x14ac:dyDescent="0.85">
      <c r="A398" s="166"/>
      <c r="B398" s="167"/>
      <c r="C398" s="167"/>
      <c r="D398" s="147"/>
      <c r="E398" s="147"/>
      <c r="F398" s="147"/>
      <c r="G398" s="147"/>
      <c r="H398" s="147"/>
      <c r="I398" s="147"/>
      <c r="J398" s="147"/>
      <c r="K398" s="3"/>
      <c r="L398" s="3"/>
      <c r="M398" s="3"/>
      <c r="N398" s="3"/>
      <c r="O398" s="3"/>
      <c r="P398" s="3"/>
      <c r="Q398" s="3"/>
      <c r="R398" s="3"/>
      <c r="S398" s="3"/>
      <c r="T398" s="3"/>
      <c r="U398" s="3"/>
      <c r="V398" s="3"/>
      <c r="W398" s="3"/>
      <c r="X398" s="3"/>
      <c r="Y398" s="3"/>
      <c r="Z398" s="3"/>
    </row>
    <row r="399" spans="1:26" ht="22.5" customHeight="1" x14ac:dyDescent="0.85">
      <c r="A399" s="166"/>
      <c r="B399" s="167"/>
      <c r="C399" s="167"/>
      <c r="D399" s="147"/>
      <c r="E399" s="147"/>
      <c r="F399" s="147"/>
      <c r="G399" s="147"/>
      <c r="H399" s="147"/>
      <c r="I399" s="147"/>
      <c r="J399" s="147"/>
      <c r="K399" s="3"/>
      <c r="L399" s="3"/>
      <c r="M399" s="3"/>
      <c r="N399" s="3"/>
      <c r="O399" s="3"/>
      <c r="P399" s="3"/>
      <c r="Q399" s="3"/>
      <c r="R399" s="3"/>
      <c r="S399" s="3"/>
      <c r="T399" s="3"/>
      <c r="U399" s="3"/>
      <c r="V399" s="3"/>
      <c r="W399" s="3"/>
      <c r="X399" s="3"/>
      <c r="Y399" s="3"/>
      <c r="Z399" s="3"/>
    </row>
    <row r="400" spans="1:26" ht="22.5" customHeight="1" x14ac:dyDescent="0.85">
      <c r="A400" s="166"/>
      <c r="B400" s="167"/>
      <c r="C400" s="167"/>
      <c r="D400" s="147"/>
      <c r="E400" s="147"/>
      <c r="F400" s="147"/>
      <c r="G400" s="147"/>
      <c r="H400" s="147"/>
      <c r="I400" s="147"/>
      <c r="J400" s="147"/>
      <c r="K400" s="3"/>
      <c r="L400" s="3"/>
      <c r="M400" s="3"/>
      <c r="N400" s="3"/>
      <c r="O400" s="3"/>
      <c r="P400" s="3"/>
      <c r="Q400" s="3"/>
      <c r="R400" s="3"/>
      <c r="S400" s="3"/>
      <c r="T400" s="3"/>
      <c r="U400" s="3"/>
      <c r="V400" s="3"/>
      <c r="W400" s="3"/>
      <c r="X400" s="3"/>
      <c r="Y400" s="3"/>
      <c r="Z400" s="3"/>
    </row>
    <row r="401" spans="1:26" ht="22.5" customHeight="1" x14ac:dyDescent="0.85">
      <c r="A401" s="166"/>
      <c r="B401" s="167"/>
      <c r="C401" s="167"/>
      <c r="D401" s="147"/>
      <c r="E401" s="147"/>
      <c r="F401" s="147"/>
      <c r="G401" s="147"/>
      <c r="H401" s="147"/>
      <c r="I401" s="147"/>
      <c r="J401" s="147"/>
      <c r="K401" s="3"/>
      <c r="L401" s="3"/>
      <c r="M401" s="3"/>
      <c r="N401" s="3"/>
      <c r="O401" s="3"/>
      <c r="P401" s="3"/>
      <c r="Q401" s="3"/>
      <c r="R401" s="3"/>
      <c r="S401" s="3"/>
      <c r="T401" s="3"/>
      <c r="U401" s="3"/>
      <c r="V401" s="3"/>
      <c r="W401" s="3"/>
      <c r="X401" s="3"/>
      <c r="Y401" s="3"/>
      <c r="Z401" s="3"/>
    </row>
    <row r="402" spans="1:26" ht="22.5" customHeight="1" x14ac:dyDescent="0.85">
      <c r="A402" s="166"/>
      <c r="B402" s="167"/>
      <c r="C402" s="167"/>
      <c r="D402" s="147"/>
      <c r="E402" s="147"/>
      <c r="F402" s="147"/>
      <c r="G402" s="147"/>
      <c r="H402" s="147"/>
      <c r="I402" s="147"/>
      <c r="J402" s="147"/>
      <c r="K402" s="3"/>
      <c r="L402" s="3"/>
      <c r="M402" s="3"/>
      <c r="N402" s="3"/>
      <c r="O402" s="3"/>
      <c r="P402" s="3"/>
      <c r="Q402" s="3"/>
      <c r="R402" s="3"/>
      <c r="S402" s="3"/>
      <c r="T402" s="3"/>
      <c r="U402" s="3"/>
      <c r="V402" s="3"/>
      <c r="W402" s="3"/>
      <c r="X402" s="3"/>
      <c r="Y402" s="3"/>
      <c r="Z402" s="3"/>
    </row>
    <row r="403" spans="1:26" ht="22.5" customHeight="1" x14ac:dyDescent="0.85">
      <c r="A403" s="166"/>
      <c r="B403" s="167"/>
      <c r="C403" s="167"/>
      <c r="D403" s="147"/>
      <c r="E403" s="147"/>
      <c r="F403" s="147"/>
      <c r="G403" s="147"/>
      <c r="H403" s="147"/>
      <c r="I403" s="147"/>
      <c r="J403" s="147"/>
      <c r="K403" s="3"/>
      <c r="L403" s="3"/>
      <c r="M403" s="3"/>
      <c r="N403" s="3"/>
      <c r="O403" s="3"/>
      <c r="P403" s="3"/>
      <c r="Q403" s="3"/>
      <c r="R403" s="3"/>
      <c r="S403" s="3"/>
      <c r="T403" s="3"/>
      <c r="U403" s="3"/>
      <c r="V403" s="3"/>
      <c r="W403" s="3"/>
      <c r="X403" s="3"/>
      <c r="Y403" s="3"/>
      <c r="Z403" s="3"/>
    </row>
    <row r="404" spans="1:26" ht="22.5" customHeight="1" x14ac:dyDescent="0.85">
      <c r="A404" s="166"/>
      <c r="B404" s="167"/>
      <c r="C404" s="167"/>
      <c r="D404" s="147"/>
      <c r="E404" s="147"/>
      <c r="F404" s="147"/>
      <c r="G404" s="147"/>
      <c r="H404" s="147"/>
      <c r="I404" s="147"/>
      <c r="J404" s="147"/>
      <c r="K404" s="3"/>
      <c r="L404" s="3"/>
      <c r="M404" s="3"/>
      <c r="N404" s="3"/>
      <c r="O404" s="3"/>
      <c r="P404" s="3"/>
      <c r="Q404" s="3"/>
      <c r="R404" s="3"/>
      <c r="S404" s="3"/>
      <c r="T404" s="3"/>
      <c r="U404" s="3"/>
      <c r="V404" s="3"/>
      <c r="W404" s="3"/>
      <c r="X404" s="3"/>
      <c r="Y404" s="3"/>
      <c r="Z404" s="3"/>
    </row>
    <row r="405" spans="1:26" ht="22.5" customHeight="1" x14ac:dyDescent="0.85">
      <c r="A405" s="166"/>
      <c r="B405" s="167"/>
      <c r="C405" s="167"/>
      <c r="D405" s="147"/>
      <c r="E405" s="147"/>
      <c r="F405" s="147"/>
      <c r="G405" s="147"/>
      <c r="H405" s="147"/>
      <c r="I405" s="147"/>
      <c r="J405" s="147"/>
      <c r="K405" s="3"/>
      <c r="L405" s="3"/>
      <c r="M405" s="3"/>
      <c r="N405" s="3"/>
      <c r="O405" s="3"/>
      <c r="P405" s="3"/>
      <c r="Q405" s="3"/>
      <c r="R405" s="3"/>
      <c r="S405" s="3"/>
      <c r="T405" s="3"/>
      <c r="U405" s="3"/>
      <c r="V405" s="3"/>
      <c r="W405" s="3"/>
      <c r="X405" s="3"/>
      <c r="Y405" s="3"/>
      <c r="Z405" s="3"/>
    </row>
    <row r="406" spans="1:26" ht="22.5" customHeight="1" x14ac:dyDescent="0.85">
      <c r="A406" s="166"/>
      <c r="B406" s="167"/>
      <c r="C406" s="167"/>
      <c r="D406" s="147"/>
      <c r="E406" s="147"/>
      <c r="F406" s="147"/>
      <c r="G406" s="147"/>
      <c r="H406" s="147"/>
      <c r="I406" s="147"/>
      <c r="J406" s="147"/>
      <c r="K406" s="3"/>
      <c r="L406" s="3"/>
      <c r="M406" s="3"/>
      <c r="N406" s="3"/>
      <c r="O406" s="3"/>
      <c r="P406" s="3"/>
      <c r="Q406" s="3"/>
      <c r="R406" s="3"/>
      <c r="S406" s="3"/>
      <c r="T406" s="3"/>
      <c r="U406" s="3"/>
      <c r="V406" s="3"/>
      <c r="W406" s="3"/>
      <c r="X406" s="3"/>
      <c r="Y406" s="3"/>
      <c r="Z406" s="3"/>
    </row>
    <row r="407" spans="1:26" ht="22.5" customHeight="1" x14ac:dyDescent="0.85">
      <c r="A407" s="166"/>
      <c r="B407" s="167"/>
      <c r="C407" s="167"/>
      <c r="D407" s="147"/>
      <c r="E407" s="147"/>
      <c r="F407" s="147"/>
      <c r="G407" s="147"/>
      <c r="H407" s="147"/>
      <c r="I407" s="147"/>
      <c r="J407" s="147"/>
      <c r="K407" s="3"/>
      <c r="L407" s="3"/>
      <c r="M407" s="3"/>
      <c r="N407" s="3"/>
      <c r="O407" s="3"/>
      <c r="P407" s="3"/>
      <c r="Q407" s="3"/>
      <c r="R407" s="3"/>
      <c r="S407" s="3"/>
      <c r="T407" s="3"/>
      <c r="U407" s="3"/>
      <c r="V407" s="3"/>
      <c r="W407" s="3"/>
      <c r="X407" s="3"/>
      <c r="Y407" s="3"/>
      <c r="Z407" s="3"/>
    </row>
    <row r="408" spans="1:26" ht="22.5" customHeight="1" x14ac:dyDescent="0.85">
      <c r="A408" s="166"/>
      <c r="B408" s="167"/>
      <c r="C408" s="167"/>
      <c r="D408" s="147"/>
      <c r="E408" s="147"/>
      <c r="F408" s="147"/>
      <c r="G408" s="147"/>
      <c r="H408" s="147"/>
      <c r="I408" s="147"/>
      <c r="J408" s="147"/>
      <c r="K408" s="3"/>
      <c r="L408" s="3"/>
      <c r="M408" s="3"/>
      <c r="N408" s="3"/>
      <c r="O408" s="3"/>
      <c r="P408" s="3"/>
      <c r="Q408" s="3"/>
      <c r="R408" s="3"/>
      <c r="S408" s="3"/>
      <c r="T408" s="3"/>
      <c r="U408" s="3"/>
      <c r="V408" s="3"/>
      <c r="W408" s="3"/>
      <c r="X408" s="3"/>
      <c r="Y408" s="3"/>
      <c r="Z408" s="3"/>
    </row>
    <row r="409" spans="1:26" ht="22.5" customHeight="1" x14ac:dyDescent="0.85">
      <c r="A409" s="166"/>
      <c r="B409" s="167"/>
      <c r="C409" s="167"/>
      <c r="D409" s="147"/>
      <c r="E409" s="147"/>
      <c r="F409" s="147"/>
      <c r="G409" s="147"/>
      <c r="H409" s="147"/>
      <c r="I409" s="147"/>
      <c r="J409" s="147"/>
      <c r="K409" s="3"/>
      <c r="L409" s="3"/>
      <c r="M409" s="3"/>
      <c r="N409" s="3"/>
      <c r="O409" s="3"/>
      <c r="P409" s="3"/>
      <c r="Q409" s="3"/>
      <c r="R409" s="3"/>
      <c r="S409" s="3"/>
      <c r="T409" s="3"/>
      <c r="U409" s="3"/>
      <c r="V409" s="3"/>
      <c r="W409" s="3"/>
      <c r="X409" s="3"/>
      <c r="Y409" s="3"/>
      <c r="Z409" s="3"/>
    </row>
    <row r="410" spans="1:26" ht="22.5" customHeight="1" x14ac:dyDescent="0.85">
      <c r="A410" s="166"/>
      <c r="B410" s="167"/>
      <c r="C410" s="167"/>
      <c r="D410" s="147"/>
      <c r="E410" s="147"/>
      <c r="F410" s="147"/>
      <c r="G410" s="147"/>
      <c r="H410" s="147"/>
      <c r="I410" s="147"/>
      <c r="J410" s="147"/>
      <c r="K410" s="3"/>
      <c r="L410" s="3"/>
      <c r="M410" s="3"/>
      <c r="N410" s="3"/>
      <c r="O410" s="3"/>
      <c r="P410" s="3"/>
      <c r="Q410" s="3"/>
      <c r="R410" s="3"/>
      <c r="S410" s="3"/>
      <c r="T410" s="3"/>
      <c r="U410" s="3"/>
      <c r="V410" s="3"/>
      <c r="W410" s="3"/>
      <c r="X410" s="3"/>
      <c r="Y410" s="3"/>
      <c r="Z410" s="3"/>
    </row>
    <row r="411" spans="1:26" ht="22.5" customHeight="1" x14ac:dyDescent="0.85">
      <c r="A411" s="166"/>
      <c r="B411" s="167"/>
      <c r="C411" s="167"/>
      <c r="D411" s="147"/>
      <c r="E411" s="147"/>
      <c r="F411" s="147"/>
      <c r="G411" s="147"/>
      <c r="H411" s="147"/>
      <c r="I411" s="147"/>
      <c r="J411" s="147"/>
      <c r="K411" s="3"/>
      <c r="L411" s="3"/>
      <c r="M411" s="3"/>
      <c r="N411" s="3"/>
      <c r="O411" s="3"/>
      <c r="P411" s="3"/>
      <c r="Q411" s="3"/>
      <c r="R411" s="3"/>
      <c r="S411" s="3"/>
      <c r="T411" s="3"/>
      <c r="U411" s="3"/>
      <c r="V411" s="3"/>
      <c r="W411" s="3"/>
      <c r="X411" s="3"/>
      <c r="Y411" s="3"/>
      <c r="Z411" s="3"/>
    </row>
    <row r="412" spans="1:26" ht="22.5" customHeight="1" x14ac:dyDescent="0.85">
      <c r="A412" s="166"/>
      <c r="B412" s="167"/>
      <c r="C412" s="167"/>
      <c r="D412" s="147"/>
      <c r="E412" s="147"/>
      <c r="F412" s="147"/>
      <c r="G412" s="147"/>
      <c r="H412" s="147"/>
      <c r="I412" s="147"/>
      <c r="J412" s="147"/>
      <c r="K412" s="3"/>
      <c r="L412" s="3"/>
      <c r="M412" s="3"/>
      <c r="N412" s="3"/>
      <c r="O412" s="3"/>
      <c r="P412" s="3"/>
      <c r="Q412" s="3"/>
      <c r="R412" s="3"/>
      <c r="S412" s="3"/>
      <c r="T412" s="3"/>
      <c r="U412" s="3"/>
      <c r="V412" s="3"/>
      <c r="W412" s="3"/>
      <c r="X412" s="3"/>
      <c r="Y412" s="3"/>
      <c r="Z412" s="3"/>
    </row>
    <row r="413" spans="1:26" ht="22.5" customHeight="1" x14ac:dyDescent="0.85">
      <c r="A413" s="166"/>
      <c r="B413" s="167"/>
      <c r="C413" s="167"/>
      <c r="D413" s="147"/>
      <c r="E413" s="147"/>
      <c r="F413" s="147"/>
      <c r="G413" s="147"/>
      <c r="H413" s="147"/>
      <c r="I413" s="147"/>
      <c r="J413" s="147"/>
      <c r="K413" s="3"/>
      <c r="L413" s="3"/>
      <c r="M413" s="3"/>
      <c r="N413" s="3"/>
      <c r="O413" s="3"/>
      <c r="P413" s="3"/>
      <c r="Q413" s="3"/>
      <c r="R413" s="3"/>
      <c r="S413" s="3"/>
      <c r="T413" s="3"/>
      <c r="U413" s="3"/>
      <c r="V413" s="3"/>
      <c r="W413" s="3"/>
      <c r="X413" s="3"/>
      <c r="Y413" s="3"/>
      <c r="Z413" s="3"/>
    </row>
    <row r="414" spans="1:26" ht="22.5" customHeight="1" x14ac:dyDescent="0.85">
      <c r="A414" s="166"/>
      <c r="B414" s="167"/>
      <c r="C414" s="167"/>
      <c r="D414" s="147"/>
      <c r="E414" s="147"/>
      <c r="F414" s="147"/>
      <c r="G414" s="147"/>
      <c r="H414" s="147"/>
      <c r="I414" s="147"/>
      <c r="J414" s="147"/>
      <c r="K414" s="3"/>
      <c r="L414" s="3"/>
      <c r="M414" s="3"/>
      <c r="N414" s="3"/>
      <c r="O414" s="3"/>
      <c r="P414" s="3"/>
      <c r="Q414" s="3"/>
      <c r="R414" s="3"/>
      <c r="S414" s="3"/>
      <c r="T414" s="3"/>
      <c r="U414" s="3"/>
      <c r="V414" s="3"/>
      <c r="W414" s="3"/>
      <c r="X414" s="3"/>
      <c r="Y414" s="3"/>
      <c r="Z414" s="3"/>
    </row>
    <row r="415" spans="1:26" ht="22.5" customHeight="1" x14ac:dyDescent="0.85">
      <c r="A415" s="166"/>
      <c r="B415" s="167"/>
      <c r="C415" s="167"/>
      <c r="D415" s="147"/>
      <c r="E415" s="147"/>
      <c r="F415" s="147"/>
      <c r="G415" s="147"/>
      <c r="H415" s="147"/>
      <c r="I415" s="147"/>
      <c r="J415" s="147"/>
      <c r="K415" s="3"/>
      <c r="L415" s="3"/>
      <c r="M415" s="3"/>
      <c r="N415" s="3"/>
      <c r="O415" s="3"/>
      <c r="P415" s="3"/>
      <c r="Q415" s="3"/>
      <c r="R415" s="3"/>
      <c r="S415" s="3"/>
      <c r="T415" s="3"/>
      <c r="U415" s="3"/>
      <c r="V415" s="3"/>
      <c r="W415" s="3"/>
      <c r="X415" s="3"/>
      <c r="Y415" s="3"/>
      <c r="Z415" s="3"/>
    </row>
    <row r="416" spans="1:26" ht="22.5" customHeight="1" x14ac:dyDescent="0.85">
      <c r="A416" s="166"/>
      <c r="B416" s="167"/>
      <c r="C416" s="167"/>
      <c r="D416" s="147"/>
      <c r="E416" s="147"/>
      <c r="F416" s="147"/>
      <c r="G416" s="147"/>
      <c r="H416" s="147"/>
      <c r="I416" s="147"/>
      <c r="J416" s="147"/>
      <c r="K416" s="3"/>
      <c r="L416" s="3"/>
      <c r="M416" s="3"/>
      <c r="N416" s="3"/>
      <c r="O416" s="3"/>
      <c r="P416" s="3"/>
      <c r="Q416" s="3"/>
      <c r="R416" s="3"/>
      <c r="S416" s="3"/>
      <c r="T416" s="3"/>
      <c r="U416" s="3"/>
      <c r="V416" s="3"/>
      <c r="W416" s="3"/>
      <c r="X416" s="3"/>
      <c r="Y416" s="3"/>
      <c r="Z416" s="3"/>
    </row>
    <row r="417" spans="1:26" ht="22.5" customHeight="1" x14ac:dyDescent="0.85">
      <c r="A417" s="166"/>
      <c r="B417" s="167"/>
      <c r="C417" s="167"/>
      <c r="D417" s="147"/>
      <c r="E417" s="147"/>
      <c r="F417" s="147"/>
      <c r="G417" s="147"/>
      <c r="H417" s="147"/>
      <c r="I417" s="147"/>
      <c r="J417" s="147"/>
      <c r="K417" s="3"/>
      <c r="L417" s="3"/>
      <c r="M417" s="3"/>
      <c r="N417" s="3"/>
      <c r="O417" s="3"/>
      <c r="P417" s="3"/>
      <c r="Q417" s="3"/>
      <c r="R417" s="3"/>
      <c r="S417" s="3"/>
      <c r="T417" s="3"/>
      <c r="U417" s="3"/>
      <c r="V417" s="3"/>
      <c r="W417" s="3"/>
      <c r="X417" s="3"/>
      <c r="Y417" s="3"/>
      <c r="Z417" s="3"/>
    </row>
    <row r="418" spans="1:26" ht="22.5" customHeight="1" x14ac:dyDescent="0.85">
      <c r="A418" s="166"/>
      <c r="B418" s="167"/>
      <c r="C418" s="167"/>
      <c r="D418" s="147"/>
      <c r="E418" s="147"/>
      <c r="F418" s="147"/>
      <c r="G418" s="147"/>
      <c r="H418" s="147"/>
      <c r="I418" s="147"/>
      <c r="J418" s="147"/>
      <c r="K418" s="3"/>
      <c r="L418" s="3"/>
      <c r="M418" s="3"/>
      <c r="N418" s="3"/>
      <c r="O418" s="3"/>
      <c r="P418" s="3"/>
      <c r="Q418" s="3"/>
      <c r="R418" s="3"/>
      <c r="S418" s="3"/>
      <c r="T418" s="3"/>
      <c r="U418" s="3"/>
      <c r="V418" s="3"/>
      <c r="W418" s="3"/>
      <c r="X418" s="3"/>
      <c r="Y418" s="3"/>
      <c r="Z418" s="3"/>
    </row>
    <row r="419" spans="1:26" ht="22.5" customHeight="1" x14ac:dyDescent="0.85">
      <c r="A419" s="166"/>
      <c r="B419" s="167"/>
      <c r="C419" s="167"/>
      <c r="D419" s="147"/>
      <c r="E419" s="147"/>
      <c r="F419" s="147"/>
      <c r="G419" s="147"/>
      <c r="H419" s="147"/>
      <c r="I419" s="147"/>
      <c r="J419" s="147"/>
      <c r="K419" s="3"/>
      <c r="L419" s="3"/>
      <c r="M419" s="3"/>
      <c r="N419" s="3"/>
      <c r="O419" s="3"/>
      <c r="P419" s="3"/>
      <c r="Q419" s="3"/>
      <c r="R419" s="3"/>
      <c r="S419" s="3"/>
      <c r="T419" s="3"/>
      <c r="U419" s="3"/>
      <c r="V419" s="3"/>
      <c r="W419" s="3"/>
      <c r="X419" s="3"/>
      <c r="Y419" s="3"/>
      <c r="Z419" s="3"/>
    </row>
    <row r="420" spans="1:26" ht="22.5" customHeight="1" x14ac:dyDescent="0.85">
      <c r="A420" s="166"/>
      <c r="B420" s="167"/>
      <c r="C420" s="167"/>
      <c r="D420" s="147"/>
      <c r="E420" s="147"/>
      <c r="F420" s="147"/>
      <c r="G420" s="147"/>
      <c r="H420" s="147"/>
      <c r="I420" s="147"/>
      <c r="J420" s="147"/>
      <c r="K420" s="3"/>
      <c r="L420" s="3"/>
      <c r="M420" s="3"/>
      <c r="N420" s="3"/>
      <c r="O420" s="3"/>
      <c r="P420" s="3"/>
      <c r="Q420" s="3"/>
      <c r="R420" s="3"/>
      <c r="S420" s="3"/>
      <c r="T420" s="3"/>
      <c r="U420" s="3"/>
      <c r="V420" s="3"/>
      <c r="W420" s="3"/>
      <c r="X420" s="3"/>
      <c r="Y420" s="3"/>
      <c r="Z420" s="3"/>
    </row>
    <row r="421" spans="1:26" ht="22.5" customHeight="1" x14ac:dyDescent="0.85">
      <c r="A421" s="166"/>
      <c r="B421" s="167"/>
      <c r="C421" s="167"/>
      <c r="D421" s="147"/>
      <c r="E421" s="147"/>
      <c r="F421" s="147"/>
      <c r="G421" s="147"/>
      <c r="H421" s="147"/>
      <c r="I421" s="147"/>
      <c r="J421" s="147"/>
      <c r="K421" s="3"/>
      <c r="L421" s="3"/>
      <c r="M421" s="3"/>
      <c r="N421" s="3"/>
      <c r="O421" s="3"/>
      <c r="P421" s="3"/>
      <c r="Q421" s="3"/>
      <c r="R421" s="3"/>
      <c r="S421" s="3"/>
      <c r="T421" s="3"/>
      <c r="U421" s="3"/>
      <c r="V421" s="3"/>
      <c r="W421" s="3"/>
      <c r="X421" s="3"/>
      <c r="Y421" s="3"/>
      <c r="Z421" s="3"/>
    </row>
    <row r="422" spans="1:26" ht="22.5" customHeight="1" x14ac:dyDescent="0.85">
      <c r="A422" s="166"/>
      <c r="B422" s="167"/>
      <c r="C422" s="167"/>
      <c r="D422" s="147"/>
      <c r="E422" s="147"/>
      <c r="F422" s="147"/>
      <c r="G422" s="147"/>
      <c r="H422" s="147"/>
      <c r="I422" s="147"/>
      <c r="J422" s="147"/>
      <c r="K422" s="3"/>
      <c r="L422" s="3"/>
      <c r="M422" s="3"/>
      <c r="N422" s="3"/>
      <c r="O422" s="3"/>
      <c r="P422" s="3"/>
      <c r="Q422" s="3"/>
      <c r="R422" s="3"/>
      <c r="S422" s="3"/>
      <c r="T422" s="3"/>
      <c r="U422" s="3"/>
      <c r="V422" s="3"/>
      <c r="W422" s="3"/>
      <c r="X422" s="3"/>
      <c r="Y422" s="3"/>
      <c r="Z422" s="3"/>
    </row>
    <row r="423" spans="1:26" ht="22.5" customHeight="1" x14ac:dyDescent="0.85">
      <c r="A423" s="166"/>
      <c r="B423" s="167"/>
      <c r="C423" s="167"/>
      <c r="D423" s="147"/>
      <c r="E423" s="147"/>
      <c r="F423" s="147"/>
      <c r="G423" s="147"/>
      <c r="H423" s="147"/>
      <c r="I423" s="147"/>
      <c r="J423" s="147"/>
      <c r="K423" s="3"/>
      <c r="L423" s="3"/>
      <c r="M423" s="3"/>
      <c r="N423" s="3"/>
      <c r="O423" s="3"/>
      <c r="P423" s="3"/>
      <c r="Q423" s="3"/>
      <c r="R423" s="3"/>
      <c r="S423" s="3"/>
      <c r="T423" s="3"/>
      <c r="U423" s="3"/>
      <c r="V423" s="3"/>
      <c r="W423" s="3"/>
      <c r="X423" s="3"/>
      <c r="Y423" s="3"/>
      <c r="Z423" s="3"/>
    </row>
    <row r="424" spans="1:26" ht="22.5" customHeight="1" x14ac:dyDescent="0.85">
      <c r="A424" s="166"/>
      <c r="B424" s="167"/>
      <c r="C424" s="167"/>
      <c r="D424" s="147"/>
      <c r="E424" s="147"/>
      <c r="F424" s="147"/>
      <c r="G424" s="147"/>
      <c r="H424" s="147"/>
      <c r="I424" s="147"/>
      <c r="J424" s="147"/>
      <c r="K424" s="3"/>
      <c r="L424" s="3"/>
      <c r="M424" s="3"/>
      <c r="N424" s="3"/>
      <c r="O424" s="3"/>
      <c r="P424" s="3"/>
      <c r="Q424" s="3"/>
      <c r="R424" s="3"/>
      <c r="S424" s="3"/>
      <c r="T424" s="3"/>
      <c r="U424" s="3"/>
      <c r="V424" s="3"/>
      <c r="W424" s="3"/>
      <c r="X424" s="3"/>
      <c r="Y424" s="3"/>
      <c r="Z424" s="3"/>
    </row>
    <row r="425" spans="1:26" ht="22.5" customHeight="1" x14ac:dyDescent="0.85">
      <c r="A425" s="166"/>
      <c r="B425" s="167"/>
      <c r="C425" s="167"/>
      <c r="D425" s="147"/>
      <c r="E425" s="147"/>
      <c r="F425" s="147"/>
      <c r="G425" s="147"/>
      <c r="H425" s="147"/>
      <c r="I425" s="147"/>
      <c r="J425" s="147"/>
      <c r="K425" s="3"/>
      <c r="L425" s="3"/>
      <c r="M425" s="3"/>
      <c r="N425" s="3"/>
      <c r="O425" s="3"/>
      <c r="P425" s="3"/>
      <c r="Q425" s="3"/>
      <c r="R425" s="3"/>
      <c r="S425" s="3"/>
      <c r="T425" s="3"/>
      <c r="U425" s="3"/>
      <c r="V425" s="3"/>
      <c r="W425" s="3"/>
      <c r="X425" s="3"/>
      <c r="Y425" s="3"/>
      <c r="Z425" s="3"/>
    </row>
    <row r="426" spans="1:26" ht="22.5" customHeight="1" x14ac:dyDescent="0.85">
      <c r="A426" s="166"/>
      <c r="B426" s="167"/>
      <c r="C426" s="167"/>
      <c r="D426" s="147"/>
      <c r="E426" s="147"/>
      <c r="F426" s="147"/>
      <c r="G426" s="147"/>
      <c r="H426" s="147"/>
      <c r="I426" s="147"/>
      <c r="J426" s="147"/>
      <c r="K426" s="3"/>
      <c r="L426" s="3"/>
      <c r="M426" s="3"/>
      <c r="N426" s="3"/>
      <c r="O426" s="3"/>
      <c r="P426" s="3"/>
      <c r="Q426" s="3"/>
      <c r="R426" s="3"/>
      <c r="S426" s="3"/>
      <c r="T426" s="3"/>
      <c r="U426" s="3"/>
      <c r="V426" s="3"/>
      <c r="W426" s="3"/>
      <c r="X426" s="3"/>
      <c r="Y426" s="3"/>
      <c r="Z426" s="3"/>
    </row>
    <row r="427" spans="1:26" ht="22.5" customHeight="1" x14ac:dyDescent="0.85">
      <c r="A427" s="166"/>
      <c r="B427" s="167"/>
      <c r="C427" s="167"/>
      <c r="D427" s="147"/>
      <c r="E427" s="147"/>
      <c r="F427" s="147"/>
      <c r="G427" s="147"/>
      <c r="H427" s="147"/>
      <c r="I427" s="147"/>
      <c r="J427" s="147"/>
      <c r="K427" s="3"/>
      <c r="L427" s="3"/>
      <c r="M427" s="3"/>
      <c r="N427" s="3"/>
      <c r="O427" s="3"/>
      <c r="P427" s="3"/>
      <c r="Q427" s="3"/>
      <c r="R427" s="3"/>
      <c r="S427" s="3"/>
      <c r="T427" s="3"/>
      <c r="U427" s="3"/>
      <c r="V427" s="3"/>
      <c r="W427" s="3"/>
      <c r="X427" s="3"/>
      <c r="Y427" s="3"/>
      <c r="Z427" s="3"/>
    </row>
    <row r="428" spans="1:26" ht="22.5" customHeight="1" x14ac:dyDescent="0.85">
      <c r="A428" s="166"/>
      <c r="B428" s="167"/>
      <c r="C428" s="167"/>
      <c r="D428" s="147"/>
      <c r="E428" s="147"/>
      <c r="F428" s="147"/>
      <c r="G428" s="147"/>
      <c r="H428" s="147"/>
      <c r="I428" s="147"/>
      <c r="J428" s="147"/>
      <c r="K428" s="3"/>
      <c r="L428" s="3"/>
      <c r="M428" s="3"/>
      <c r="N428" s="3"/>
      <c r="O428" s="3"/>
      <c r="P428" s="3"/>
      <c r="Q428" s="3"/>
      <c r="R428" s="3"/>
      <c r="S428" s="3"/>
      <c r="T428" s="3"/>
      <c r="U428" s="3"/>
      <c r="V428" s="3"/>
      <c r="W428" s="3"/>
      <c r="X428" s="3"/>
      <c r="Y428" s="3"/>
      <c r="Z428" s="3"/>
    </row>
    <row r="429" spans="1:26" ht="22.5" customHeight="1" x14ac:dyDescent="0.85">
      <c r="A429" s="166"/>
      <c r="B429" s="167"/>
      <c r="C429" s="167"/>
      <c r="D429" s="147"/>
      <c r="E429" s="147"/>
      <c r="F429" s="147"/>
      <c r="G429" s="147"/>
      <c r="H429" s="147"/>
      <c r="I429" s="147"/>
      <c r="J429" s="147"/>
      <c r="K429" s="3"/>
      <c r="L429" s="3"/>
      <c r="M429" s="3"/>
      <c r="N429" s="3"/>
      <c r="O429" s="3"/>
      <c r="P429" s="3"/>
      <c r="Q429" s="3"/>
      <c r="R429" s="3"/>
      <c r="S429" s="3"/>
      <c r="T429" s="3"/>
      <c r="U429" s="3"/>
      <c r="V429" s="3"/>
      <c r="W429" s="3"/>
      <c r="X429" s="3"/>
      <c r="Y429" s="3"/>
      <c r="Z429" s="3"/>
    </row>
    <row r="430" spans="1:26" ht="22.5" customHeight="1" x14ac:dyDescent="0.85">
      <c r="A430" s="166"/>
      <c r="B430" s="167"/>
      <c r="C430" s="167"/>
      <c r="D430" s="147"/>
      <c r="E430" s="147"/>
      <c r="F430" s="147"/>
      <c r="G430" s="147"/>
      <c r="H430" s="147"/>
      <c r="I430" s="147"/>
      <c r="J430" s="147"/>
      <c r="K430" s="3"/>
      <c r="L430" s="3"/>
      <c r="M430" s="3"/>
      <c r="N430" s="3"/>
      <c r="O430" s="3"/>
      <c r="P430" s="3"/>
      <c r="Q430" s="3"/>
      <c r="R430" s="3"/>
      <c r="S430" s="3"/>
      <c r="T430" s="3"/>
      <c r="U430" s="3"/>
      <c r="V430" s="3"/>
      <c r="W430" s="3"/>
      <c r="X430" s="3"/>
      <c r="Y430" s="3"/>
      <c r="Z430" s="3"/>
    </row>
    <row r="431" spans="1:26" ht="22.5" customHeight="1" x14ac:dyDescent="0.85">
      <c r="A431" s="166"/>
      <c r="B431" s="167"/>
      <c r="C431" s="167"/>
      <c r="D431" s="147"/>
      <c r="E431" s="147"/>
      <c r="F431" s="147"/>
      <c r="G431" s="147"/>
      <c r="H431" s="147"/>
      <c r="I431" s="147"/>
      <c r="J431" s="147"/>
      <c r="K431" s="3"/>
      <c r="L431" s="3"/>
      <c r="M431" s="3"/>
      <c r="N431" s="3"/>
      <c r="O431" s="3"/>
      <c r="P431" s="3"/>
      <c r="Q431" s="3"/>
      <c r="R431" s="3"/>
      <c r="S431" s="3"/>
      <c r="T431" s="3"/>
      <c r="U431" s="3"/>
      <c r="V431" s="3"/>
      <c r="W431" s="3"/>
      <c r="X431" s="3"/>
      <c r="Y431" s="3"/>
      <c r="Z431" s="3"/>
    </row>
    <row r="432" spans="1:26" ht="22.5" customHeight="1" x14ac:dyDescent="0.85">
      <c r="A432" s="166"/>
      <c r="B432" s="167"/>
      <c r="C432" s="167"/>
      <c r="D432" s="147"/>
      <c r="E432" s="147"/>
      <c r="F432" s="147"/>
      <c r="G432" s="147"/>
      <c r="H432" s="147"/>
      <c r="I432" s="147"/>
      <c r="J432" s="147"/>
      <c r="K432" s="3"/>
      <c r="L432" s="3"/>
      <c r="M432" s="3"/>
      <c r="N432" s="3"/>
      <c r="O432" s="3"/>
      <c r="P432" s="3"/>
      <c r="Q432" s="3"/>
      <c r="R432" s="3"/>
      <c r="S432" s="3"/>
      <c r="T432" s="3"/>
      <c r="U432" s="3"/>
      <c r="V432" s="3"/>
      <c r="W432" s="3"/>
      <c r="X432" s="3"/>
      <c r="Y432" s="3"/>
      <c r="Z432" s="3"/>
    </row>
    <row r="433" spans="1:26" ht="22.5" customHeight="1" x14ac:dyDescent="0.85">
      <c r="A433" s="166"/>
      <c r="B433" s="167"/>
      <c r="C433" s="167"/>
      <c r="D433" s="147"/>
      <c r="E433" s="147"/>
      <c r="F433" s="147"/>
      <c r="G433" s="147"/>
      <c r="H433" s="147"/>
      <c r="I433" s="147"/>
      <c r="J433" s="147"/>
      <c r="K433" s="3"/>
      <c r="L433" s="3"/>
      <c r="M433" s="3"/>
      <c r="N433" s="3"/>
      <c r="O433" s="3"/>
      <c r="P433" s="3"/>
      <c r="Q433" s="3"/>
      <c r="R433" s="3"/>
      <c r="S433" s="3"/>
      <c r="T433" s="3"/>
      <c r="U433" s="3"/>
      <c r="V433" s="3"/>
      <c r="W433" s="3"/>
      <c r="X433" s="3"/>
      <c r="Y433" s="3"/>
      <c r="Z433" s="3"/>
    </row>
    <row r="434" spans="1:26" ht="22.5" customHeight="1" x14ac:dyDescent="0.85">
      <c r="A434" s="166"/>
      <c r="B434" s="167"/>
      <c r="C434" s="167"/>
      <c r="D434" s="147"/>
      <c r="E434" s="147"/>
      <c r="F434" s="147"/>
      <c r="G434" s="147"/>
      <c r="H434" s="147"/>
      <c r="I434" s="147"/>
      <c r="J434" s="147"/>
      <c r="K434" s="3"/>
      <c r="L434" s="3"/>
      <c r="M434" s="3"/>
      <c r="N434" s="3"/>
      <c r="O434" s="3"/>
      <c r="P434" s="3"/>
      <c r="Q434" s="3"/>
      <c r="R434" s="3"/>
      <c r="S434" s="3"/>
      <c r="T434" s="3"/>
      <c r="U434" s="3"/>
      <c r="V434" s="3"/>
      <c r="W434" s="3"/>
      <c r="X434" s="3"/>
      <c r="Y434" s="3"/>
      <c r="Z434" s="3"/>
    </row>
    <row r="435" spans="1:26" ht="22.5" customHeight="1" x14ac:dyDescent="0.85">
      <c r="A435" s="166"/>
      <c r="B435" s="167"/>
      <c r="C435" s="167"/>
      <c r="D435" s="147"/>
      <c r="E435" s="147"/>
      <c r="F435" s="147"/>
      <c r="G435" s="147"/>
      <c r="H435" s="147"/>
      <c r="I435" s="147"/>
      <c r="J435" s="147"/>
      <c r="K435" s="3"/>
      <c r="L435" s="3"/>
      <c r="M435" s="3"/>
      <c r="N435" s="3"/>
      <c r="O435" s="3"/>
      <c r="P435" s="3"/>
      <c r="Q435" s="3"/>
      <c r="R435" s="3"/>
      <c r="S435" s="3"/>
      <c r="T435" s="3"/>
      <c r="U435" s="3"/>
      <c r="V435" s="3"/>
      <c r="W435" s="3"/>
      <c r="X435" s="3"/>
      <c r="Y435" s="3"/>
      <c r="Z435" s="3"/>
    </row>
    <row r="436" spans="1:26" ht="22.5" customHeight="1" x14ac:dyDescent="0.85">
      <c r="A436" s="166"/>
      <c r="B436" s="167"/>
      <c r="C436" s="167"/>
      <c r="D436" s="147"/>
      <c r="E436" s="147"/>
      <c r="F436" s="147"/>
      <c r="G436" s="147"/>
      <c r="H436" s="147"/>
      <c r="I436" s="147"/>
      <c r="J436" s="147"/>
      <c r="K436" s="3"/>
      <c r="L436" s="3"/>
      <c r="M436" s="3"/>
      <c r="N436" s="3"/>
      <c r="O436" s="3"/>
      <c r="P436" s="3"/>
      <c r="Q436" s="3"/>
      <c r="R436" s="3"/>
      <c r="S436" s="3"/>
      <c r="T436" s="3"/>
      <c r="U436" s="3"/>
      <c r="V436" s="3"/>
      <c r="W436" s="3"/>
      <c r="X436" s="3"/>
      <c r="Y436" s="3"/>
      <c r="Z436" s="3"/>
    </row>
    <row r="437" spans="1:26" ht="22.5" customHeight="1" x14ac:dyDescent="0.85">
      <c r="A437" s="166"/>
      <c r="B437" s="167"/>
      <c r="C437" s="167"/>
      <c r="D437" s="147"/>
      <c r="E437" s="147"/>
      <c r="F437" s="147"/>
      <c r="G437" s="147"/>
      <c r="H437" s="147"/>
      <c r="I437" s="147"/>
      <c r="J437" s="147"/>
      <c r="K437" s="3"/>
      <c r="L437" s="3"/>
      <c r="M437" s="3"/>
      <c r="N437" s="3"/>
      <c r="O437" s="3"/>
      <c r="P437" s="3"/>
      <c r="Q437" s="3"/>
      <c r="R437" s="3"/>
      <c r="S437" s="3"/>
      <c r="T437" s="3"/>
      <c r="U437" s="3"/>
      <c r="V437" s="3"/>
      <c r="W437" s="3"/>
      <c r="X437" s="3"/>
      <c r="Y437" s="3"/>
      <c r="Z437" s="3"/>
    </row>
    <row r="438" spans="1:26" ht="22.5" customHeight="1" x14ac:dyDescent="0.85">
      <c r="A438" s="166"/>
      <c r="B438" s="167"/>
      <c r="C438" s="167"/>
      <c r="D438" s="147"/>
      <c r="E438" s="147"/>
      <c r="F438" s="147"/>
      <c r="G438" s="147"/>
      <c r="H438" s="147"/>
      <c r="I438" s="147"/>
      <c r="J438" s="147"/>
      <c r="K438" s="3"/>
      <c r="L438" s="3"/>
      <c r="M438" s="3"/>
      <c r="N438" s="3"/>
      <c r="O438" s="3"/>
      <c r="P438" s="3"/>
      <c r="Q438" s="3"/>
      <c r="R438" s="3"/>
      <c r="S438" s="3"/>
      <c r="T438" s="3"/>
      <c r="U438" s="3"/>
      <c r="V438" s="3"/>
      <c r="W438" s="3"/>
      <c r="X438" s="3"/>
      <c r="Y438" s="3"/>
      <c r="Z438" s="3"/>
    </row>
    <row r="439" spans="1:26" ht="22.5" customHeight="1" x14ac:dyDescent="0.85">
      <c r="A439" s="166"/>
      <c r="B439" s="167"/>
      <c r="C439" s="167"/>
      <c r="D439" s="147"/>
      <c r="E439" s="147"/>
      <c r="F439" s="147"/>
      <c r="G439" s="147"/>
      <c r="H439" s="147"/>
      <c r="I439" s="147"/>
      <c r="J439" s="147"/>
      <c r="K439" s="3"/>
      <c r="L439" s="3"/>
      <c r="M439" s="3"/>
      <c r="N439" s="3"/>
      <c r="O439" s="3"/>
      <c r="P439" s="3"/>
      <c r="Q439" s="3"/>
      <c r="R439" s="3"/>
      <c r="S439" s="3"/>
      <c r="T439" s="3"/>
      <c r="U439" s="3"/>
      <c r="V439" s="3"/>
      <c r="W439" s="3"/>
      <c r="X439" s="3"/>
      <c r="Y439" s="3"/>
      <c r="Z439" s="3"/>
    </row>
    <row r="440" spans="1:26" ht="22.5" customHeight="1" x14ac:dyDescent="0.85">
      <c r="A440" s="166"/>
      <c r="B440" s="167"/>
      <c r="C440" s="167"/>
      <c r="D440" s="147"/>
      <c r="E440" s="147"/>
      <c r="F440" s="147"/>
      <c r="G440" s="147"/>
      <c r="H440" s="147"/>
      <c r="I440" s="147"/>
      <c r="J440" s="147"/>
      <c r="K440" s="3"/>
      <c r="L440" s="3"/>
      <c r="M440" s="3"/>
      <c r="N440" s="3"/>
      <c r="O440" s="3"/>
      <c r="P440" s="3"/>
      <c r="Q440" s="3"/>
      <c r="R440" s="3"/>
      <c r="S440" s="3"/>
      <c r="T440" s="3"/>
      <c r="U440" s="3"/>
      <c r="V440" s="3"/>
      <c r="W440" s="3"/>
      <c r="X440" s="3"/>
      <c r="Y440" s="3"/>
      <c r="Z440" s="3"/>
    </row>
    <row r="441" spans="1:26" ht="22.5" customHeight="1" x14ac:dyDescent="0.85">
      <c r="A441" s="166"/>
      <c r="B441" s="167"/>
      <c r="C441" s="167"/>
      <c r="D441" s="147"/>
      <c r="E441" s="147"/>
      <c r="F441" s="147"/>
      <c r="G441" s="147"/>
      <c r="H441" s="147"/>
      <c r="I441" s="147"/>
      <c r="J441" s="147"/>
      <c r="K441" s="3"/>
      <c r="L441" s="3"/>
      <c r="M441" s="3"/>
      <c r="N441" s="3"/>
      <c r="O441" s="3"/>
      <c r="P441" s="3"/>
      <c r="Q441" s="3"/>
      <c r="R441" s="3"/>
      <c r="S441" s="3"/>
      <c r="T441" s="3"/>
      <c r="U441" s="3"/>
      <c r="V441" s="3"/>
      <c r="W441" s="3"/>
      <c r="X441" s="3"/>
      <c r="Y441" s="3"/>
      <c r="Z441" s="3"/>
    </row>
    <row r="442" spans="1:26" ht="22.5" customHeight="1" x14ac:dyDescent="0.85">
      <c r="A442" s="166"/>
      <c r="B442" s="167"/>
      <c r="C442" s="167"/>
      <c r="D442" s="147"/>
      <c r="E442" s="147"/>
      <c r="F442" s="147"/>
      <c r="G442" s="147"/>
      <c r="H442" s="147"/>
      <c r="I442" s="147"/>
      <c r="J442" s="147"/>
      <c r="K442" s="3"/>
      <c r="L442" s="3"/>
      <c r="M442" s="3"/>
      <c r="N442" s="3"/>
      <c r="O442" s="3"/>
      <c r="P442" s="3"/>
      <c r="Q442" s="3"/>
      <c r="R442" s="3"/>
      <c r="S442" s="3"/>
      <c r="T442" s="3"/>
      <c r="U442" s="3"/>
      <c r="V442" s="3"/>
      <c r="W442" s="3"/>
      <c r="X442" s="3"/>
      <c r="Y442" s="3"/>
      <c r="Z442" s="3"/>
    </row>
    <row r="443" spans="1:26" ht="22.5" customHeight="1" x14ac:dyDescent="0.85">
      <c r="A443" s="166"/>
      <c r="B443" s="167"/>
      <c r="C443" s="167"/>
      <c r="D443" s="147"/>
      <c r="E443" s="147"/>
      <c r="F443" s="147"/>
      <c r="G443" s="147"/>
      <c r="H443" s="147"/>
      <c r="I443" s="147"/>
      <c r="J443" s="147"/>
      <c r="K443" s="3"/>
      <c r="L443" s="3"/>
      <c r="M443" s="3"/>
      <c r="N443" s="3"/>
      <c r="O443" s="3"/>
      <c r="P443" s="3"/>
      <c r="Q443" s="3"/>
      <c r="R443" s="3"/>
      <c r="S443" s="3"/>
      <c r="T443" s="3"/>
      <c r="U443" s="3"/>
      <c r="V443" s="3"/>
      <c r="W443" s="3"/>
      <c r="X443" s="3"/>
      <c r="Y443" s="3"/>
      <c r="Z443" s="3"/>
    </row>
    <row r="444" spans="1:26" ht="22.5" customHeight="1" x14ac:dyDescent="0.85">
      <c r="A444" s="166"/>
      <c r="B444" s="167"/>
      <c r="C444" s="167"/>
      <c r="D444" s="147"/>
      <c r="E444" s="147"/>
      <c r="F444" s="147"/>
      <c r="G444" s="147"/>
      <c r="H444" s="147"/>
      <c r="I444" s="147"/>
      <c r="J444" s="147"/>
      <c r="K444" s="3"/>
      <c r="L444" s="3"/>
      <c r="M444" s="3"/>
      <c r="N444" s="3"/>
      <c r="O444" s="3"/>
      <c r="P444" s="3"/>
      <c r="Q444" s="3"/>
      <c r="R444" s="3"/>
      <c r="S444" s="3"/>
      <c r="T444" s="3"/>
      <c r="U444" s="3"/>
      <c r="V444" s="3"/>
      <c r="W444" s="3"/>
      <c r="X444" s="3"/>
      <c r="Y444" s="3"/>
      <c r="Z444" s="3"/>
    </row>
    <row r="445" spans="1:26" ht="22.5" customHeight="1" x14ac:dyDescent="0.85">
      <c r="A445" s="166"/>
      <c r="B445" s="167"/>
      <c r="C445" s="167"/>
      <c r="D445" s="147"/>
      <c r="E445" s="147"/>
      <c r="F445" s="147"/>
      <c r="G445" s="147"/>
      <c r="H445" s="147"/>
      <c r="I445" s="147"/>
      <c r="J445" s="147"/>
      <c r="K445" s="3"/>
      <c r="L445" s="3"/>
      <c r="M445" s="3"/>
      <c r="N445" s="3"/>
      <c r="O445" s="3"/>
      <c r="P445" s="3"/>
      <c r="Q445" s="3"/>
      <c r="R445" s="3"/>
      <c r="S445" s="3"/>
      <c r="T445" s="3"/>
      <c r="U445" s="3"/>
      <c r="V445" s="3"/>
      <c r="W445" s="3"/>
      <c r="X445" s="3"/>
      <c r="Y445" s="3"/>
      <c r="Z445" s="3"/>
    </row>
    <row r="446" spans="1:26" ht="22.5" customHeight="1" x14ac:dyDescent="0.85">
      <c r="A446" s="166"/>
      <c r="B446" s="167"/>
      <c r="C446" s="167"/>
      <c r="D446" s="147"/>
      <c r="E446" s="147"/>
      <c r="F446" s="147"/>
      <c r="G446" s="147"/>
      <c r="H446" s="147"/>
      <c r="I446" s="147"/>
      <c r="J446" s="147"/>
      <c r="K446" s="3"/>
      <c r="L446" s="3"/>
      <c r="M446" s="3"/>
      <c r="N446" s="3"/>
      <c r="O446" s="3"/>
      <c r="P446" s="3"/>
      <c r="Q446" s="3"/>
      <c r="R446" s="3"/>
      <c r="S446" s="3"/>
      <c r="T446" s="3"/>
      <c r="U446" s="3"/>
      <c r="V446" s="3"/>
      <c r="W446" s="3"/>
      <c r="X446" s="3"/>
      <c r="Y446" s="3"/>
      <c r="Z446" s="3"/>
    </row>
    <row r="447" spans="1:26" ht="22.5" customHeight="1" x14ac:dyDescent="0.85">
      <c r="A447" s="166"/>
      <c r="B447" s="167"/>
      <c r="C447" s="167"/>
      <c r="D447" s="147"/>
      <c r="E447" s="147"/>
      <c r="F447" s="147"/>
      <c r="G447" s="147"/>
      <c r="H447" s="147"/>
      <c r="I447" s="147"/>
      <c r="J447" s="147"/>
      <c r="K447" s="3"/>
      <c r="L447" s="3"/>
      <c r="M447" s="3"/>
      <c r="N447" s="3"/>
      <c r="O447" s="3"/>
      <c r="P447" s="3"/>
      <c r="Q447" s="3"/>
      <c r="R447" s="3"/>
      <c r="S447" s="3"/>
      <c r="T447" s="3"/>
      <c r="U447" s="3"/>
      <c r="V447" s="3"/>
      <c r="W447" s="3"/>
      <c r="X447" s="3"/>
      <c r="Y447" s="3"/>
      <c r="Z447" s="3"/>
    </row>
    <row r="448" spans="1:26" ht="22.5" customHeight="1" x14ac:dyDescent="0.85">
      <c r="A448" s="166"/>
      <c r="B448" s="167"/>
      <c r="C448" s="167"/>
      <c r="D448" s="147"/>
      <c r="E448" s="147"/>
      <c r="F448" s="147"/>
      <c r="G448" s="147"/>
      <c r="H448" s="147"/>
      <c r="I448" s="147"/>
      <c r="J448" s="147"/>
      <c r="K448" s="3"/>
      <c r="L448" s="3"/>
      <c r="M448" s="3"/>
      <c r="N448" s="3"/>
      <c r="O448" s="3"/>
      <c r="P448" s="3"/>
      <c r="Q448" s="3"/>
      <c r="R448" s="3"/>
      <c r="S448" s="3"/>
      <c r="T448" s="3"/>
      <c r="U448" s="3"/>
      <c r="V448" s="3"/>
      <c r="W448" s="3"/>
      <c r="X448" s="3"/>
      <c r="Y448" s="3"/>
      <c r="Z448" s="3"/>
    </row>
    <row r="449" spans="1:26" ht="22.5" customHeight="1" x14ac:dyDescent="0.85">
      <c r="A449" s="166"/>
      <c r="B449" s="167"/>
      <c r="C449" s="167"/>
      <c r="D449" s="147"/>
      <c r="E449" s="147"/>
      <c r="F449" s="147"/>
      <c r="G449" s="147"/>
      <c r="H449" s="147"/>
      <c r="I449" s="147"/>
      <c r="J449" s="147"/>
      <c r="K449" s="3"/>
      <c r="L449" s="3"/>
      <c r="M449" s="3"/>
      <c r="N449" s="3"/>
      <c r="O449" s="3"/>
      <c r="P449" s="3"/>
      <c r="Q449" s="3"/>
      <c r="R449" s="3"/>
      <c r="S449" s="3"/>
      <c r="T449" s="3"/>
      <c r="U449" s="3"/>
      <c r="V449" s="3"/>
      <c r="W449" s="3"/>
      <c r="X449" s="3"/>
      <c r="Y449" s="3"/>
      <c r="Z449" s="3"/>
    </row>
    <row r="450" spans="1:26" ht="22.5" customHeight="1" x14ac:dyDescent="0.85">
      <c r="A450" s="166"/>
      <c r="B450" s="167"/>
      <c r="C450" s="167"/>
      <c r="D450" s="147"/>
      <c r="E450" s="147"/>
      <c r="F450" s="147"/>
      <c r="G450" s="147"/>
      <c r="H450" s="147"/>
      <c r="I450" s="147"/>
      <c r="J450" s="147"/>
      <c r="K450" s="3"/>
      <c r="L450" s="3"/>
      <c r="M450" s="3"/>
      <c r="N450" s="3"/>
      <c r="O450" s="3"/>
      <c r="P450" s="3"/>
      <c r="Q450" s="3"/>
      <c r="R450" s="3"/>
      <c r="S450" s="3"/>
      <c r="T450" s="3"/>
      <c r="U450" s="3"/>
      <c r="V450" s="3"/>
      <c r="W450" s="3"/>
      <c r="X450" s="3"/>
      <c r="Y450" s="3"/>
      <c r="Z450" s="3"/>
    </row>
    <row r="451" spans="1:26" ht="22.5" customHeight="1" x14ac:dyDescent="0.85">
      <c r="A451" s="166"/>
      <c r="B451" s="167"/>
      <c r="C451" s="167"/>
      <c r="D451" s="147"/>
      <c r="E451" s="147"/>
      <c r="F451" s="147"/>
      <c r="G451" s="147"/>
      <c r="H451" s="147"/>
      <c r="I451" s="147"/>
      <c r="J451" s="147"/>
      <c r="K451" s="3"/>
      <c r="L451" s="3"/>
      <c r="M451" s="3"/>
      <c r="N451" s="3"/>
      <c r="O451" s="3"/>
      <c r="P451" s="3"/>
      <c r="Q451" s="3"/>
      <c r="R451" s="3"/>
      <c r="S451" s="3"/>
      <c r="T451" s="3"/>
      <c r="U451" s="3"/>
      <c r="V451" s="3"/>
      <c r="W451" s="3"/>
      <c r="X451" s="3"/>
      <c r="Y451" s="3"/>
      <c r="Z451" s="3"/>
    </row>
    <row r="452" spans="1:26" ht="22.5" customHeight="1" x14ac:dyDescent="0.85">
      <c r="A452" s="166"/>
      <c r="B452" s="167"/>
      <c r="C452" s="167"/>
      <c r="D452" s="147"/>
      <c r="E452" s="147"/>
      <c r="F452" s="147"/>
      <c r="G452" s="147"/>
      <c r="H452" s="147"/>
      <c r="I452" s="147"/>
      <c r="J452" s="147"/>
      <c r="K452" s="3"/>
      <c r="L452" s="3"/>
      <c r="M452" s="3"/>
      <c r="N452" s="3"/>
      <c r="O452" s="3"/>
      <c r="P452" s="3"/>
      <c r="Q452" s="3"/>
      <c r="R452" s="3"/>
      <c r="S452" s="3"/>
      <c r="T452" s="3"/>
      <c r="U452" s="3"/>
      <c r="V452" s="3"/>
      <c r="W452" s="3"/>
      <c r="X452" s="3"/>
      <c r="Y452" s="3"/>
      <c r="Z452" s="3"/>
    </row>
    <row r="453" spans="1:26" ht="22.5" customHeight="1" x14ac:dyDescent="0.85">
      <c r="A453" s="166"/>
      <c r="B453" s="167"/>
      <c r="C453" s="167"/>
      <c r="D453" s="147"/>
      <c r="E453" s="147"/>
      <c r="F453" s="147"/>
      <c r="G453" s="147"/>
      <c r="H453" s="147"/>
      <c r="I453" s="147"/>
      <c r="J453" s="147"/>
      <c r="K453" s="3"/>
      <c r="L453" s="3"/>
      <c r="M453" s="3"/>
      <c r="N453" s="3"/>
      <c r="O453" s="3"/>
      <c r="P453" s="3"/>
      <c r="Q453" s="3"/>
      <c r="R453" s="3"/>
      <c r="S453" s="3"/>
      <c r="T453" s="3"/>
      <c r="U453" s="3"/>
      <c r="V453" s="3"/>
      <c r="W453" s="3"/>
      <c r="X453" s="3"/>
      <c r="Y453" s="3"/>
      <c r="Z453" s="3"/>
    </row>
    <row r="454" spans="1:26" ht="22.5" customHeight="1" x14ac:dyDescent="0.85">
      <c r="A454" s="166"/>
      <c r="B454" s="167"/>
      <c r="C454" s="167"/>
      <c r="D454" s="147"/>
      <c r="E454" s="147"/>
      <c r="F454" s="147"/>
      <c r="G454" s="147"/>
      <c r="H454" s="147"/>
      <c r="I454" s="147"/>
      <c r="J454" s="147"/>
      <c r="K454" s="3"/>
      <c r="L454" s="3"/>
      <c r="M454" s="3"/>
      <c r="N454" s="3"/>
      <c r="O454" s="3"/>
      <c r="P454" s="3"/>
      <c r="Q454" s="3"/>
      <c r="R454" s="3"/>
      <c r="S454" s="3"/>
      <c r="T454" s="3"/>
      <c r="U454" s="3"/>
      <c r="V454" s="3"/>
      <c r="W454" s="3"/>
      <c r="X454" s="3"/>
      <c r="Y454" s="3"/>
      <c r="Z454" s="3"/>
    </row>
    <row r="455" spans="1:26" ht="22.5" customHeight="1" x14ac:dyDescent="0.85">
      <c r="A455" s="166"/>
      <c r="B455" s="167"/>
      <c r="C455" s="167"/>
      <c r="D455" s="147"/>
      <c r="E455" s="147"/>
      <c r="F455" s="147"/>
      <c r="G455" s="147"/>
      <c r="H455" s="147"/>
      <c r="I455" s="147"/>
      <c r="J455" s="147"/>
      <c r="K455" s="3"/>
      <c r="L455" s="3"/>
      <c r="M455" s="3"/>
      <c r="N455" s="3"/>
      <c r="O455" s="3"/>
      <c r="P455" s="3"/>
      <c r="Q455" s="3"/>
      <c r="R455" s="3"/>
      <c r="S455" s="3"/>
      <c r="T455" s="3"/>
      <c r="U455" s="3"/>
      <c r="V455" s="3"/>
      <c r="W455" s="3"/>
      <c r="X455" s="3"/>
      <c r="Y455" s="3"/>
      <c r="Z455" s="3"/>
    </row>
    <row r="456" spans="1:26" ht="22.5" customHeight="1" x14ac:dyDescent="0.85">
      <c r="A456" s="166"/>
      <c r="B456" s="167"/>
      <c r="C456" s="167"/>
      <c r="D456" s="147"/>
      <c r="E456" s="147"/>
      <c r="F456" s="147"/>
      <c r="G456" s="147"/>
      <c r="H456" s="147"/>
      <c r="I456" s="147"/>
      <c r="J456" s="147"/>
      <c r="K456" s="3"/>
      <c r="L456" s="3"/>
      <c r="M456" s="3"/>
      <c r="N456" s="3"/>
      <c r="O456" s="3"/>
      <c r="P456" s="3"/>
      <c r="Q456" s="3"/>
      <c r="R456" s="3"/>
      <c r="S456" s="3"/>
      <c r="T456" s="3"/>
      <c r="U456" s="3"/>
      <c r="V456" s="3"/>
      <c r="W456" s="3"/>
      <c r="X456" s="3"/>
      <c r="Y456" s="3"/>
      <c r="Z456" s="3"/>
    </row>
    <row r="457" spans="1:26" ht="22.5" customHeight="1" x14ac:dyDescent="0.85">
      <c r="A457" s="166"/>
      <c r="B457" s="167"/>
      <c r="C457" s="167"/>
      <c r="D457" s="147"/>
      <c r="E457" s="147"/>
      <c r="F457" s="147"/>
      <c r="G457" s="147"/>
      <c r="H457" s="147"/>
      <c r="I457" s="147"/>
      <c r="J457" s="147"/>
      <c r="K457" s="3"/>
      <c r="L457" s="3"/>
      <c r="M457" s="3"/>
      <c r="N457" s="3"/>
      <c r="O457" s="3"/>
      <c r="P457" s="3"/>
      <c r="Q457" s="3"/>
      <c r="R457" s="3"/>
      <c r="S457" s="3"/>
      <c r="T457" s="3"/>
      <c r="U457" s="3"/>
      <c r="V457" s="3"/>
      <c r="W457" s="3"/>
      <c r="X457" s="3"/>
      <c r="Y457" s="3"/>
      <c r="Z457" s="3"/>
    </row>
    <row r="458" spans="1:26" ht="22.5" customHeight="1" x14ac:dyDescent="0.85">
      <c r="A458" s="166"/>
      <c r="B458" s="167"/>
      <c r="C458" s="167"/>
      <c r="D458" s="147"/>
      <c r="E458" s="147"/>
      <c r="F458" s="147"/>
      <c r="G458" s="147"/>
      <c r="H458" s="147"/>
      <c r="I458" s="147"/>
      <c r="J458" s="147"/>
      <c r="K458" s="3"/>
      <c r="L458" s="3"/>
      <c r="M458" s="3"/>
      <c r="N458" s="3"/>
      <c r="O458" s="3"/>
      <c r="P458" s="3"/>
      <c r="Q458" s="3"/>
      <c r="R458" s="3"/>
      <c r="S458" s="3"/>
      <c r="T458" s="3"/>
      <c r="U458" s="3"/>
      <c r="V458" s="3"/>
      <c r="W458" s="3"/>
      <c r="X458" s="3"/>
      <c r="Y458" s="3"/>
      <c r="Z458" s="3"/>
    </row>
    <row r="459" spans="1:26" ht="22.5" customHeight="1" x14ac:dyDescent="0.85">
      <c r="A459" s="166"/>
      <c r="B459" s="167"/>
      <c r="C459" s="167"/>
      <c r="D459" s="147"/>
      <c r="E459" s="147"/>
      <c r="F459" s="147"/>
      <c r="G459" s="147"/>
      <c r="H459" s="147"/>
      <c r="I459" s="147"/>
      <c r="J459" s="147"/>
      <c r="K459" s="3"/>
      <c r="L459" s="3"/>
      <c r="M459" s="3"/>
      <c r="N459" s="3"/>
      <c r="O459" s="3"/>
      <c r="P459" s="3"/>
      <c r="Q459" s="3"/>
      <c r="R459" s="3"/>
      <c r="S459" s="3"/>
      <c r="T459" s="3"/>
      <c r="U459" s="3"/>
      <c r="V459" s="3"/>
      <c r="W459" s="3"/>
      <c r="X459" s="3"/>
      <c r="Y459" s="3"/>
      <c r="Z459" s="3"/>
    </row>
    <row r="460" spans="1:26" ht="22.5" customHeight="1" x14ac:dyDescent="0.85">
      <c r="A460" s="166"/>
      <c r="B460" s="167"/>
      <c r="C460" s="167"/>
      <c r="D460" s="147"/>
      <c r="E460" s="147"/>
      <c r="F460" s="147"/>
      <c r="G460" s="147"/>
      <c r="H460" s="147"/>
      <c r="I460" s="147"/>
      <c r="J460" s="147"/>
      <c r="K460" s="3"/>
      <c r="L460" s="3"/>
      <c r="M460" s="3"/>
      <c r="N460" s="3"/>
      <c r="O460" s="3"/>
      <c r="P460" s="3"/>
      <c r="Q460" s="3"/>
      <c r="R460" s="3"/>
      <c r="S460" s="3"/>
      <c r="T460" s="3"/>
      <c r="U460" s="3"/>
      <c r="V460" s="3"/>
      <c r="W460" s="3"/>
      <c r="X460" s="3"/>
      <c r="Y460" s="3"/>
      <c r="Z460" s="3"/>
    </row>
    <row r="461" spans="1:26" ht="22.5" customHeight="1" x14ac:dyDescent="0.85">
      <c r="A461" s="166"/>
      <c r="B461" s="167"/>
      <c r="C461" s="167"/>
      <c r="D461" s="147"/>
      <c r="E461" s="147"/>
      <c r="F461" s="147"/>
      <c r="G461" s="147"/>
      <c r="H461" s="147"/>
      <c r="I461" s="147"/>
      <c r="J461" s="147"/>
      <c r="K461" s="3"/>
      <c r="L461" s="3"/>
      <c r="M461" s="3"/>
      <c r="N461" s="3"/>
      <c r="O461" s="3"/>
      <c r="P461" s="3"/>
      <c r="Q461" s="3"/>
      <c r="R461" s="3"/>
      <c r="S461" s="3"/>
      <c r="T461" s="3"/>
      <c r="U461" s="3"/>
      <c r="V461" s="3"/>
      <c r="W461" s="3"/>
      <c r="X461" s="3"/>
      <c r="Y461" s="3"/>
      <c r="Z461" s="3"/>
    </row>
    <row r="462" spans="1:26" ht="22.5" customHeight="1" x14ac:dyDescent="0.85">
      <c r="A462" s="166"/>
      <c r="B462" s="167"/>
      <c r="C462" s="167"/>
      <c r="D462" s="147"/>
      <c r="E462" s="147"/>
      <c r="F462" s="147"/>
      <c r="G462" s="147"/>
      <c r="H462" s="147"/>
      <c r="I462" s="147"/>
      <c r="J462" s="147"/>
      <c r="K462" s="3"/>
      <c r="L462" s="3"/>
      <c r="M462" s="3"/>
      <c r="N462" s="3"/>
      <c r="O462" s="3"/>
      <c r="P462" s="3"/>
      <c r="Q462" s="3"/>
      <c r="R462" s="3"/>
      <c r="S462" s="3"/>
      <c r="T462" s="3"/>
      <c r="U462" s="3"/>
      <c r="V462" s="3"/>
      <c r="W462" s="3"/>
      <c r="X462" s="3"/>
      <c r="Y462" s="3"/>
      <c r="Z462" s="3"/>
    </row>
    <row r="463" spans="1:26" ht="22.5" customHeight="1" x14ac:dyDescent="0.85">
      <c r="A463" s="166"/>
      <c r="B463" s="167"/>
      <c r="C463" s="167"/>
      <c r="D463" s="147"/>
      <c r="E463" s="147"/>
      <c r="F463" s="147"/>
      <c r="G463" s="147"/>
      <c r="H463" s="147"/>
      <c r="I463" s="147"/>
      <c r="J463" s="147"/>
      <c r="K463" s="3"/>
      <c r="L463" s="3"/>
      <c r="M463" s="3"/>
      <c r="N463" s="3"/>
      <c r="O463" s="3"/>
      <c r="P463" s="3"/>
      <c r="Q463" s="3"/>
      <c r="R463" s="3"/>
      <c r="S463" s="3"/>
      <c r="T463" s="3"/>
      <c r="U463" s="3"/>
      <c r="V463" s="3"/>
      <c r="W463" s="3"/>
      <c r="X463" s="3"/>
      <c r="Y463" s="3"/>
      <c r="Z463" s="3"/>
    </row>
    <row r="464" spans="1:26" ht="22.5" customHeight="1" x14ac:dyDescent="0.85">
      <c r="A464" s="166"/>
      <c r="B464" s="167"/>
      <c r="C464" s="167"/>
      <c r="D464" s="147"/>
      <c r="E464" s="147"/>
      <c r="F464" s="147"/>
      <c r="G464" s="147"/>
      <c r="H464" s="147"/>
      <c r="I464" s="147"/>
      <c r="J464" s="147"/>
      <c r="K464" s="3"/>
      <c r="L464" s="3"/>
      <c r="M464" s="3"/>
      <c r="N464" s="3"/>
      <c r="O464" s="3"/>
      <c r="P464" s="3"/>
      <c r="Q464" s="3"/>
      <c r="R464" s="3"/>
      <c r="S464" s="3"/>
      <c r="T464" s="3"/>
      <c r="U464" s="3"/>
      <c r="V464" s="3"/>
      <c r="W464" s="3"/>
      <c r="X464" s="3"/>
      <c r="Y464" s="3"/>
      <c r="Z464" s="3"/>
    </row>
    <row r="465" spans="1:26" ht="22.5" customHeight="1" x14ac:dyDescent="0.85">
      <c r="A465" s="166"/>
      <c r="B465" s="167"/>
      <c r="C465" s="167"/>
      <c r="D465" s="147"/>
      <c r="E465" s="147"/>
      <c r="F465" s="147"/>
      <c r="G465" s="147"/>
      <c r="H465" s="147"/>
      <c r="I465" s="147"/>
      <c r="J465" s="147"/>
      <c r="K465" s="3"/>
      <c r="L465" s="3"/>
      <c r="M465" s="3"/>
      <c r="N465" s="3"/>
      <c r="O465" s="3"/>
      <c r="P465" s="3"/>
      <c r="Q465" s="3"/>
      <c r="R465" s="3"/>
      <c r="S465" s="3"/>
      <c r="T465" s="3"/>
      <c r="U465" s="3"/>
      <c r="V465" s="3"/>
      <c r="W465" s="3"/>
      <c r="X465" s="3"/>
      <c r="Y465" s="3"/>
      <c r="Z465" s="3"/>
    </row>
    <row r="466" spans="1:26" ht="22.5" customHeight="1" x14ac:dyDescent="0.85">
      <c r="A466" s="166"/>
      <c r="B466" s="167"/>
      <c r="C466" s="167"/>
      <c r="D466" s="147"/>
      <c r="E466" s="147"/>
      <c r="F466" s="147"/>
      <c r="G466" s="147"/>
      <c r="H466" s="147"/>
      <c r="I466" s="147"/>
      <c r="J466" s="147"/>
      <c r="K466" s="3"/>
      <c r="L466" s="3"/>
      <c r="M466" s="3"/>
      <c r="N466" s="3"/>
      <c r="O466" s="3"/>
      <c r="P466" s="3"/>
      <c r="Q466" s="3"/>
      <c r="R466" s="3"/>
      <c r="S466" s="3"/>
      <c r="T466" s="3"/>
      <c r="U466" s="3"/>
      <c r="V466" s="3"/>
      <c r="W466" s="3"/>
      <c r="X466" s="3"/>
      <c r="Y466" s="3"/>
      <c r="Z466" s="3"/>
    </row>
    <row r="467" spans="1:26" ht="22.5" customHeight="1" x14ac:dyDescent="0.85">
      <c r="A467" s="166"/>
      <c r="B467" s="167"/>
      <c r="C467" s="167"/>
      <c r="D467" s="147"/>
      <c r="E467" s="147"/>
      <c r="F467" s="147"/>
      <c r="G467" s="147"/>
      <c r="H467" s="147"/>
      <c r="I467" s="147"/>
      <c r="J467" s="147"/>
      <c r="K467" s="3"/>
      <c r="L467" s="3"/>
      <c r="M467" s="3"/>
      <c r="N467" s="3"/>
      <c r="O467" s="3"/>
      <c r="P467" s="3"/>
      <c r="Q467" s="3"/>
      <c r="R467" s="3"/>
      <c r="S467" s="3"/>
      <c r="T467" s="3"/>
      <c r="U467" s="3"/>
      <c r="V467" s="3"/>
      <c r="W467" s="3"/>
      <c r="X467" s="3"/>
      <c r="Y467" s="3"/>
      <c r="Z467" s="3"/>
    </row>
    <row r="468" spans="1:26" ht="22.5" customHeight="1" x14ac:dyDescent="0.85">
      <c r="A468" s="166"/>
      <c r="B468" s="167"/>
      <c r="C468" s="167"/>
      <c r="D468" s="147"/>
      <c r="E468" s="147"/>
      <c r="F468" s="147"/>
      <c r="G468" s="147"/>
      <c r="H468" s="147"/>
      <c r="I468" s="147"/>
      <c r="J468" s="147"/>
      <c r="K468" s="3"/>
      <c r="L468" s="3"/>
      <c r="M468" s="3"/>
      <c r="N468" s="3"/>
      <c r="O468" s="3"/>
      <c r="P468" s="3"/>
      <c r="Q468" s="3"/>
      <c r="R468" s="3"/>
      <c r="S468" s="3"/>
      <c r="T468" s="3"/>
      <c r="U468" s="3"/>
      <c r="V468" s="3"/>
      <c r="W468" s="3"/>
      <c r="X468" s="3"/>
      <c r="Y468" s="3"/>
      <c r="Z468" s="3"/>
    </row>
    <row r="469" spans="1:26" ht="22.5" customHeight="1" x14ac:dyDescent="0.85">
      <c r="A469" s="166"/>
      <c r="B469" s="167"/>
      <c r="C469" s="167"/>
      <c r="D469" s="147"/>
      <c r="E469" s="147"/>
      <c r="F469" s="147"/>
      <c r="G469" s="147"/>
      <c r="H469" s="147"/>
      <c r="I469" s="147"/>
      <c r="J469" s="147"/>
      <c r="K469" s="3"/>
      <c r="L469" s="3"/>
      <c r="M469" s="3"/>
      <c r="N469" s="3"/>
      <c r="O469" s="3"/>
      <c r="P469" s="3"/>
      <c r="Q469" s="3"/>
      <c r="R469" s="3"/>
      <c r="S469" s="3"/>
      <c r="T469" s="3"/>
      <c r="U469" s="3"/>
      <c r="V469" s="3"/>
      <c r="W469" s="3"/>
      <c r="X469" s="3"/>
      <c r="Y469" s="3"/>
      <c r="Z469" s="3"/>
    </row>
    <row r="470" spans="1:26" ht="22.5" customHeight="1" x14ac:dyDescent="0.85">
      <c r="A470" s="166"/>
      <c r="B470" s="167"/>
      <c r="C470" s="167"/>
      <c r="D470" s="147"/>
      <c r="E470" s="147"/>
      <c r="F470" s="147"/>
      <c r="G470" s="147"/>
      <c r="H470" s="147"/>
      <c r="I470" s="147"/>
      <c r="J470" s="147"/>
      <c r="K470" s="3"/>
      <c r="L470" s="3"/>
      <c r="M470" s="3"/>
      <c r="N470" s="3"/>
      <c r="O470" s="3"/>
      <c r="P470" s="3"/>
      <c r="Q470" s="3"/>
      <c r="R470" s="3"/>
      <c r="S470" s="3"/>
      <c r="T470" s="3"/>
      <c r="U470" s="3"/>
      <c r="V470" s="3"/>
      <c r="W470" s="3"/>
      <c r="X470" s="3"/>
      <c r="Y470" s="3"/>
      <c r="Z470" s="3"/>
    </row>
    <row r="471" spans="1:26" ht="22.5" customHeight="1" x14ac:dyDescent="0.85">
      <c r="A471" s="166"/>
      <c r="B471" s="167"/>
      <c r="C471" s="167"/>
      <c r="D471" s="147"/>
      <c r="E471" s="147"/>
      <c r="F471" s="147"/>
      <c r="G471" s="147"/>
      <c r="H471" s="147"/>
      <c r="I471" s="147"/>
      <c r="J471" s="147"/>
      <c r="K471" s="3"/>
      <c r="L471" s="3"/>
      <c r="M471" s="3"/>
      <c r="N471" s="3"/>
      <c r="O471" s="3"/>
      <c r="P471" s="3"/>
      <c r="Q471" s="3"/>
      <c r="R471" s="3"/>
      <c r="S471" s="3"/>
      <c r="T471" s="3"/>
      <c r="U471" s="3"/>
      <c r="V471" s="3"/>
      <c r="W471" s="3"/>
      <c r="X471" s="3"/>
      <c r="Y471" s="3"/>
      <c r="Z471" s="3"/>
    </row>
    <row r="472" spans="1:26" ht="22.5" customHeight="1" x14ac:dyDescent="0.85">
      <c r="A472" s="166"/>
      <c r="B472" s="167"/>
      <c r="C472" s="167"/>
      <c r="D472" s="147"/>
      <c r="E472" s="147"/>
      <c r="F472" s="147"/>
      <c r="G472" s="147"/>
      <c r="H472" s="147"/>
      <c r="I472" s="147"/>
      <c r="J472" s="147"/>
      <c r="K472" s="3"/>
      <c r="L472" s="3"/>
      <c r="M472" s="3"/>
      <c r="N472" s="3"/>
      <c r="O472" s="3"/>
      <c r="P472" s="3"/>
      <c r="Q472" s="3"/>
      <c r="R472" s="3"/>
      <c r="S472" s="3"/>
      <c r="T472" s="3"/>
      <c r="U472" s="3"/>
      <c r="V472" s="3"/>
      <c r="W472" s="3"/>
      <c r="X472" s="3"/>
      <c r="Y472" s="3"/>
      <c r="Z472" s="3"/>
    </row>
    <row r="473" spans="1:26" ht="22.5" customHeight="1" x14ac:dyDescent="0.85">
      <c r="A473" s="166"/>
      <c r="B473" s="167"/>
      <c r="C473" s="167"/>
      <c r="D473" s="147"/>
      <c r="E473" s="147"/>
      <c r="F473" s="147"/>
      <c r="G473" s="147"/>
      <c r="H473" s="147"/>
      <c r="I473" s="147"/>
      <c r="J473" s="147"/>
      <c r="K473" s="3"/>
      <c r="L473" s="3"/>
      <c r="M473" s="3"/>
      <c r="N473" s="3"/>
      <c r="O473" s="3"/>
      <c r="P473" s="3"/>
      <c r="Q473" s="3"/>
      <c r="R473" s="3"/>
      <c r="S473" s="3"/>
      <c r="T473" s="3"/>
      <c r="U473" s="3"/>
      <c r="V473" s="3"/>
      <c r="W473" s="3"/>
      <c r="X473" s="3"/>
      <c r="Y473" s="3"/>
      <c r="Z473" s="3"/>
    </row>
    <row r="474" spans="1:26" ht="22.5" customHeight="1" x14ac:dyDescent="0.85">
      <c r="A474" s="166"/>
      <c r="B474" s="167"/>
      <c r="C474" s="167"/>
      <c r="D474" s="147"/>
      <c r="E474" s="147"/>
      <c r="F474" s="147"/>
      <c r="G474" s="147"/>
      <c r="H474" s="147"/>
      <c r="I474" s="147"/>
      <c r="J474" s="147"/>
      <c r="K474" s="3"/>
      <c r="L474" s="3"/>
      <c r="M474" s="3"/>
      <c r="N474" s="3"/>
      <c r="O474" s="3"/>
      <c r="P474" s="3"/>
      <c r="Q474" s="3"/>
      <c r="R474" s="3"/>
      <c r="S474" s="3"/>
      <c r="T474" s="3"/>
      <c r="U474" s="3"/>
      <c r="V474" s="3"/>
      <c r="W474" s="3"/>
      <c r="X474" s="3"/>
      <c r="Y474" s="3"/>
      <c r="Z474" s="3"/>
    </row>
    <row r="475" spans="1:26" ht="22.5" customHeight="1" x14ac:dyDescent="0.85">
      <c r="A475" s="166"/>
      <c r="B475" s="167"/>
      <c r="C475" s="167"/>
      <c r="D475" s="147"/>
      <c r="E475" s="147"/>
      <c r="F475" s="147"/>
      <c r="G475" s="147"/>
      <c r="H475" s="147"/>
      <c r="I475" s="147"/>
      <c r="J475" s="147"/>
      <c r="K475" s="3"/>
      <c r="L475" s="3"/>
      <c r="M475" s="3"/>
      <c r="N475" s="3"/>
      <c r="O475" s="3"/>
      <c r="P475" s="3"/>
      <c r="Q475" s="3"/>
      <c r="R475" s="3"/>
      <c r="S475" s="3"/>
      <c r="T475" s="3"/>
      <c r="U475" s="3"/>
      <c r="V475" s="3"/>
      <c r="W475" s="3"/>
      <c r="X475" s="3"/>
      <c r="Y475" s="3"/>
      <c r="Z475" s="3"/>
    </row>
    <row r="476" spans="1:26" ht="22.5" customHeight="1" x14ac:dyDescent="0.85">
      <c r="A476" s="166"/>
      <c r="B476" s="167"/>
      <c r="C476" s="167"/>
      <c r="D476" s="147"/>
      <c r="E476" s="147"/>
      <c r="F476" s="147"/>
      <c r="G476" s="147"/>
      <c r="H476" s="147"/>
      <c r="I476" s="147"/>
      <c r="J476" s="147"/>
      <c r="K476" s="3"/>
      <c r="L476" s="3"/>
      <c r="M476" s="3"/>
      <c r="N476" s="3"/>
      <c r="O476" s="3"/>
      <c r="P476" s="3"/>
      <c r="Q476" s="3"/>
      <c r="R476" s="3"/>
      <c r="S476" s="3"/>
      <c r="T476" s="3"/>
      <c r="U476" s="3"/>
      <c r="V476" s="3"/>
      <c r="W476" s="3"/>
      <c r="X476" s="3"/>
      <c r="Y476" s="3"/>
      <c r="Z476" s="3"/>
    </row>
    <row r="477" spans="1:26" ht="22.5" customHeight="1" x14ac:dyDescent="0.85">
      <c r="A477" s="166"/>
      <c r="B477" s="167"/>
      <c r="C477" s="167"/>
      <c r="D477" s="147"/>
      <c r="E477" s="147"/>
      <c r="F477" s="147"/>
      <c r="G477" s="147"/>
      <c r="H477" s="147"/>
      <c r="I477" s="147"/>
      <c r="J477" s="147"/>
      <c r="K477" s="3"/>
      <c r="L477" s="3"/>
      <c r="M477" s="3"/>
      <c r="N477" s="3"/>
      <c r="O477" s="3"/>
      <c r="P477" s="3"/>
      <c r="Q477" s="3"/>
      <c r="R477" s="3"/>
      <c r="S477" s="3"/>
      <c r="T477" s="3"/>
      <c r="U477" s="3"/>
      <c r="V477" s="3"/>
      <c r="W477" s="3"/>
      <c r="X477" s="3"/>
      <c r="Y477" s="3"/>
      <c r="Z477" s="3"/>
    </row>
    <row r="478" spans="1:26" ht="22.5" customHeight="1" x14ac:dyDescent="0.85">
      <c r="A478" s="166"/>
      <c r="B478" s="167"/>
      <c r="C478" s="167"/>
      <c r="D478" s="147"/>
      <c r="E478" s="147"/>
      <c r="F478" s="147"/>
      <c r="G478" s="147"/>
      <c r="H478" s="147"/>
      <c r="I478" s="147"/>
      <c r="J478" s="147"/>
      <c r="K478" s="3"/>
      <c r="L478" s="3"/>
      <c r="M478" s="3"/>
      <c r="N478" s="3"/>
      <c r="O478" s="3"/>
      <c r="P478" s="3"/>
      <c r="Q478" s="3"/>
      <c r="R478" s="3"/>
      <c r="S478" s="3"/>
      <c r="T478" s="3"/>
      <c r="U478" s="3"/>
      <c r="V478" s="3"/>
      <c r="W478" s="3"/>
      <c r="X478" s="3"/>
      <c r="Y478" s="3"/>
      <c r="Z478" s="3"/>
    </row>
    <row r="479" spans="1:26" ht="22.5" customHeight="1" x14ac:dyDescent="0.85">
      <c r="A479" s="166"/>
      <c r="B479" s="167"/>
      <c r="C479" s="167"/>
      <c r="D479" s="147"/>
      <c r="E479" s="147"/>
      <c r="F479" s="147"/>
      <c r="G479" s="147"/>
      <c r="H479" s="147"/>
      <c r="I479" s="147"/>
      <c r="J479" s="147"/>
      <c r="K479" s="3"/>
      <c r="L479" s="3"/>
      <c r="M479" s="3"/>
      <c r="N479" s="3"/>
      <c r="O479" s="3"/>
      <c r="P479" s="3"/>
      <c r="Q479" s="3"/>
      <c r="R479" s="3"/>
      <c r="S479" s="3"/>
      <c r="T479" s="3"/>
      <c r="U479" s="3"/>
      <c r="V479" s="3"/>
      <c r="W479" s="3"/>
      <c r="X479" s="3"/>
      <c r="Y479" s="3"/>
      <c r="Z479" s="3"/>
    </row>
    <row r="480" spans="1:26" ht="22.5" customHeight="1" x14ac:dyDescent="0.85">
      <c r="A480" s="166"/>
      <c r="B480" s="167"/>
      <c r="C480" s="167"/>
      <c r="D480" s="147"/>
      <c r="E480" s="147"/>
      <c r="F480" s="147"/>
      <c r="G480" s="147"/>
      <c r="H480" s="147"/>
      <c r="I480" s="147"/>
      <c r="J480" s="147"/>
      <c r="K480" s="3"/>
      <c r="L480" s="3"/>
      <c r="M480" s="3"/>
      <c r="N480" s="3"/>
      <c r="O480" s="3"/>
      <c r="P480" s="3"/>
      <c r="Q480" s="3"/>
      <c r="R480" s="3"/>
      <c r="S480" s="3"/>
      <c r="T480" s="3"/>
      <c r="U480" s="3"/>
      <c r="V480" s="3"/>
      <c r="W480" s="3"/>
      <c r="X480" s="3"/>
      <c r="Y480" s="3"/>
      <c r="Z480" s="3"/>
    </row>
    <row r="481" spans="1:26" ht="22.5" customHeight="1" x14ac:dyDescent="0.85">
      <c r="A481" s="166"/>
      <c r="B481" s="167"/>
      <c r="C481" s="167"/>
      <c r="D481" s="147"/>
      <c r="E481" s="147"/>
      <c r="F481" s="147"/>
      <c r="G481" s="147"/>
      <c r="H481" s="147"/>
      <c r="I481" s="147"/>
      <c r="J481" s="147"/>
      <c r="K481" s="3"/>
      <c r="L481" s="3"/>
      <c r="M481" s="3"/>
      <c r="N481" s="3"/>
      <c r="O481" s="3"/>
      <c r="P481" s="3"/>
      <c r="Q481" s="3"/>
      <c r="R481" s="3"/>
      <c r="S481" s="3"/>
      <c r="T481" s="3"/>
      <c r="U481" s="3"/>
      <c r="V481" s="3"/>
      <c r="W481" s="3"/>
      <c r="X481" s="3"/>
      <c r="Y481" s="3"/>
      <c r="Z481" s="3"/>
    </row>
    <row r="482" spans="1:26" ht="22.5" customHeight="1" x14ac:dyDescent="0.85">
      <c r="A482" s="166"/>
      <c r="B482" s="167"/>
      <c r="C482" s="167"/>
      <c r="D482" s="147"/>
      <c r="E482" s="147"/>
      <c r="F482" s="147"/>
      <c r="G482" s="147"/>
      <c r="H482" s="147"/>
      <c r="I482" s="147"/>
      <c r="J482" s="147"/>
      <c r="K482" s="3"/>
      <c r="L482" s="3"/>
      <c r="M482" s="3"/>
      <c r="N482" s="3"/>
      <c r="O482" s="3"/>
      <c r="P482" s="3"/>
      <c r="Q482" s="3"/>
      <c r="R482" s="3"/>
      <c r="S482" s="3"/>
      <c r="T482" s="3"/>
      <c r="U482" s="3"/>
      <c r="V482" s="3"/>
      <c r="W482" s="3"/>
      <c r="X482" s="3"/>
      <c r="Y482" s="3"/>
      <c r="Z482" s="3"/>
    </row>
    <row r="483" spans="1:26" ht="22.5" customHeight="1" x14ac:dyDescent="0.85">
      <c r="A483" s="166"/>
      <c r="B483" s="167"/>
      <c r="C483" s="167"/>
      <c r="D483" s="147"/>
      <c r="E483" s="147"/>
      <c r="F483" s="147"/>
      <c r="G483" s="147"/>
      <c r="H483" s="147"/>
      <c r="I483" s="147"/>
      <c r="J483" s="147"/>
      <c r="K483" s="3"/>
      <c r="L483" s="3"/>
      <c r="M483" s="3"/>
      <c r="N483" s="3"/>
      <c r="O483" s="3"/>
      <c r="P483" s="3"/>
      <c r="Q483" s="3"/>
      <c r="R483" s="3"/>
      <c r="S483" s="3"/>
      <c r="T483" s="3"/>
      <c r="U483" s="3"/>
      <c r="V483" s="3"/>
      <c r="W483" s="3"/>
      <c r="X483" s="3"/>
      <c r="Y483" s="3"/>
      <c r="Z483" s="3"/>
    </row>
    <row r="484" spans="1:26" ht="22.5" customHeight="1" x14ac:dyDescent="0.85">
      <c r="A484" s="166"/>
      <c r="B484" s="167"/>
      <c r="C484" s="167"/>
      <c r="D484" s="147"/>
      <c r="E484" s="147"/>
      <c r="F484" s="147"/>
      <c r="G484" s="147"/>
      <c r="H484" s="147"/>
      <c r="I484" s="147"/>
      <c r="J484" s="147"/>
      <c r="K484" s="3"/>
      <c r="L484" s="3"/>
      <c r="M484" s="3"/>
      <c r="N484" s="3"/>
      <c r="O484" s="3"/>
      <c r="P484" s="3"/>
      <c r="Q484" s="3"/>
      <c r="R484" s="3"/>
      <c r="S484" s="3"/>
      <c r="T484" s="3"/>
      <c r="U484" s="3"/>
      <c r="V484" s="3"/>
      <c r="W484" s="3"/>
      <c r="X484" s="3"/>
      <c r="Y484" s="3"/>
      <c r="Z484" s="3"/>
    </row>
    <row r="485" spans="1:26" ht="22.5" customHeight="1" x14ac:dyDescent="0.85">
      <c r="A485" s="166"/>
      <c r="B485" s="167"/>
      <c r="C485" s="167"/>
      <c r="D485" s="147"/>
      <c r="E485" s="147"/>
      <c r="F485" s="147"/>
      <c r="G485" s="147"/>
      <c r="H485" s="147"/>
      <c r="I485" s="147"/>
      <c r="J485" s="147"/>
      <c r="K485" s="3"/>
      <c r="L485" s="3"/>
      <c r="M485" s="3"/>
      <c r="N485" s="3"/>
      <c r="O485" s="3"/>
      <c r="P485" s="3"/>
      <c r="Q485" s="3"/>
      <c r="R485" s="3"/>
      <c r="S485" s="3"/>
      <c r="T485" s="3"/>
      <c r="U485" s="3"/>
      <c r="V485" s="3"/>
      <c r="W485" s="3"/>
      <c r="X485" s="3"/>
      <c r="Y485" s="3"/>
      <c r="Z485" s="3"/>
    </row>
    <row r="486" spans="1:26" ht="22.5" customHeight="1" x14ac:dyDescent="0.85">
      <c r="A486" s="166"/>
      <c r="B486" s="167"/>
      <c r="C486" s="167"/>
      <c r="D486" s="147"/>
      <c r="E486" s="147"/>
      <c r="F486" s="147"/>
      <c r="G486" s="147"/>
      <c r="H486" s="147"/>
      <c r="I486" s="147"/>
      <c r="J486" s="147"/>
      <c r="K486" s="3"/>
      <c r="L486" s="3"/>
      <c r="M486" s="3"/>
      <c r="N486" s="3"/>
      <c r="O486" s="3"/>
      <c r="P486" s="3"/>
      <c r="Q486" s="3"/>
      <c r="R486" s="3"/>
      <c r="S486" s="3"/>
      <c r="T486" s="3"/>
      <c r="U486" s="3"/>
      <c r="V486" s="3"/>
      <c r="W486" s="3"/>
      <c r="X486" s="3"/>
      <c r="Y486" s="3"/>
      <c r="Z486" s="3"/>
    </row>
    <row r="487" spans="1:26" ht="22.5" customHeight="1" x14ac:dyDescent="0.85">
      <c r="A487" s="166"/>
      <c r="B487" s="167"/>
      <c r="C487" s="167"/>
      <c r="D487" s="147"/>
      <c r="E487" s="147"/>
      <c r="F487" s="147"/>
      <c r="G487" s="147"/>
      <c r="H487" s="147"/>
      <c r="I487" s="147"/>
      <c r="J487" s="147"/>
      <c r="K487" s="3"/>
      <c r="L487" s="3"/>
      <c r="M487" s="3"/>
      <c r="N487" s="3"/>
      <c r="O487" s="3"/>
      <c r="P487" s="3"/>
      <c r="Q487" s="3"/>
      <c r="R487" s="3"/>
      <c r="S487" s="3"/>
      <c r="T487" s="3"/>
      <c r="U487" s="3"/>
      <c r="V487" s="3"/>
      <c r="W487" s="3"/>
      <c r="X487" s="3"/>
      <c r="Y487" s="3"/>
      <c r="Z487" s="3"/>
    </row>
    <row r="488" spans="1:26" ht="22.5" customHeight="1" x14ac:dyDescent="0.85">
      <c r="A488" s="166"/>
      <c r="B488" s="167"/>
      <c r="C488" s="167"/>
      <c r="D488" s="147"/>
      <c r="E488" s="147"/>
      <c r="F488" s="147"/>
      <c r="G488" s="147"/>
      <c r="H488" s="147"/>
      <c r="I488" s="147"/>
      <c r="J488" s="147"/>
      <c r="K488" s="3"/>
      <c r="L488" s="3"/>
      <c r="M488" s="3"/>
      <c r="N488" s="3"/>
      <c r="O488" s="3"/>
      <c r="P488" s="3"/>
      <c r="Q488" s="3"/>
      <c r="R488" s="3"/>
      <c r="S488" s="3"/>
      <c r="T488" s="3"/>
      <c r="U488" s="3"/>
      <c r="V488" s="3"/>
      <c r="W488" s="3"/>
      <c r="X488" s="3"/>
      <c r="Y488" s="3"/>
      <c r="Z488" s="3"/>
    </row>
    <row r="489" spans="1:26" ht="22.5" customHeight="1" x14ac:dyDescent="0.85">
      <c r="A489" s="166"/>
      <c r="B489" s="167"/>
      <c r="C489" s="167"/>
      <c r="D489" s="147"/>
      <c r="E489" s="147"/>
      <c r="F489" s="147"/>
      <c r="G489" s="147"/>
      <c r="H489" s="147"/>
      <c r="I489" s="147"/>
      <c r="J489" s="147"/>
      <c r="K489" s="3"/>
      <c r="L489" s="3"/>
      <c r="M489" s="3"/>
      <c r="N489" s="3"/>
      <c r="O489" s="3"/>
      <c r="P489" s="3"/>
      <c r="Q489" s="3"/>
      <c r="R489" s="3"/>
      <c r="S489" s="3"/>
      <c r="T489" s="3"/>
      <c r="U489" s="3"/>
      <c r="V489" s="3"/>
      <c r="W489" s="3"/>
      <c r="X489" s="3"/>
      <c r="Y489" s="3"/>
      <c r="Z489" s="3"/>
    </row>
    <row r="490" spans="1:26" ht="22.5" customHeight="1" x14ac:dyDescent="0.85">
      <c r="A490" s="166"/>
      <c r="B490" s="167"/>
      <c r="C490" s="167"/>
      <c r="D490" s="147"/>
      <c r="E490" s="147"/>
      <c r="F490" s="147"/>
      <c r="G490" s="147"/>
      <c r="H490" s="147"/>
      <c r="I490" s="147"/>
      <c r="J490" s="147"/>
      <c r="K490" s="3"/>
      <c r="L490" s="3"/>
      <c r="M490" s="3"/>
      <c r="N490" s="3"/>
      <c r="O490" s="3"/>
      <c r="P490" s="3"/>
      <c r="Q490" s="3"/>
      <c r="R490" s="3"/>
      <c r="S490" s="3"/>
      <c r="T490" s="3"/>
      <c r="U490" s="3"/>
      <c r="V490" s="3"/>
      <c r="W490" s="3"/>
      <c r="X490" s="3"/>
      <c r="Y490" s="3"/>
      <c r="Z490" s="3"/>
    </row>
    <row r="491" spans="1:26" ht="22.5" customHeight="1" x14ac:dyDescent="0.85">
      <c r="A491" s="166"/>
      <c r="B491" s="167"/>
      <c r="C491" s="167"/>
      <c r="D491" s="147"/>
      <c r="E491" s="147"/>
      <c r="F491" s="147"/>
      <c r="G491" s="147"/>
      <c r="H491" s="147"/>
      <c r="I491" s="147"/>
      <c r="J491" s="147"/>
      <c r="K491" s="3"/>
      <c r="L491" s="3"/>
      <c r="M491" s="3"/>
      <c r="N491" s="3"/>
      <c r="O491" s="3"/>
      <c r="P491" s="3"/>
      <c r="Q491" s="3"/>
      <c r="R491" s="3"/>
      <c r="S491" s="3"/>
      <c r="T491" s="3"/>
      <c r="U491" s="3"/>
      <c r="V491" s="3"/>
      <c r="W491" s="3"/>
      <c r="X491" s="3"/>
      <c r="Y491" s="3"/>
      <c r="Z491" s="3"/>
    </row>
    <row r="492" spans="1:26" ht="22.5" customHeight="1" x14ac:dyDescent="0.85">
      <c r="A492" s="166"/>
      <c r="B492" s="167"/>
      <c r="C492" s="167"/>
      <c r="D492" s="147"/>
      <c r="E492" s="147"/>
      <c r="F492" s="147"/>
      <c r="G492" s="147"/>
      <c r="H492" s="147"/>
      <c r="I492" s="147"/>
      <c r="J492" s="147"/>
      <c r="K492" s="3"/>
      <c r="L492" s="3"/>
      <c r="M492" s="3"/>
      <c r="N492" s="3"/>
      <c r="O492" s="3"/>
      <c r="P492" s="3"/>
      <c r="Q492" s="3"/>
      <c r="R492" s="3"/>
      <c r="S492" s="3"/>
      <c r="T492" s="3"/>
      <c r="U492" s="3"/>
      <c r="V492" s="3"/>
      <c r="W492" s="3"/>
      <c r="X492" s="3"/>
      <c r="Y492" s="3"/>
      <c r="Z492" s="3"/>
    </row>
    <row r="493" spans="1:26" ht="22.5" customHeight="1" x14ac:dyDescent="0.85">
      <c r="A493" s="166"/>
      <c r="B493" s="167"/>
      <c r="C493" s="167"/>
      <c r="D493" s="147"/>
      <c r="E493" s="147"/>
      <c r="F493" s="147"/>
      <c r="G493" s="147"/>
      <c r="H493" s="147"/>
      <c r="I493" s="147"/>
      <c r="J493" s="147"/>
      <c r="K493" s="3"/>
      <c r="L493" s="3"/>
      <c r="M493" s="3"/>
      <c r="N493" s="3"/>
      <c r="O493" s="3"/>
      <c r="P493" s="3"/>
      <c r="Q493" s="3"/>
      <c r="R493" s="3"/>
      <c r="S493" s="3"/>
      <c r="T493" s="3"/>
      <c r="U493" s="3"/>
      <c r="V493" s="3"/>
      <c r="W493" s="3"/>
      <c r="X493" s="3"/>
      <c r="Y493" s="3"/>
      <c r="Z493" s="3"/>
    </row>
    <row r="494" spans="1:26" ht="22.5" customHeight="1" x14ac:dyDescent="0.85">
      <c r="A494" s="166"/>
      <c r="B494" s="167"/>
      <c r="C494" s="167"/>
      <c r="D494" s="147"/>
      <c r="E494" s="147"/>
      <c r="F494" s="147"/>
      <c r="G494" s="147"/>
      <c r="H494" s="147"/>
      <c r="I494" s="147"/>
      <c r="J494" s="147"/>
      <c r="K494" s="3"/>
      <c r="L494" s="3"/>
      <c r="M494" s="3"/>
      <c r="N494" s="3"/>
      <c r="O494" s="3"/>
      <c r="P494" s="3"/>
      <c r="Q494" s="3"/>
      <c r="R494" s="3"/>
      <c r="S494" s="3"/>
      <c r="T494" s="3"/>
      <c r="U494" s="3"/>
      <c r="V494" s="3"/>
      <c r="W494" s="3"/>
      <c r="X494" s="3"/>
      <c r="Y494" s="3"/>
      <c r="Z494" s="3"/>
    </row>
    <row r="495" spans="1:26" ht="22.5" customHeight="1" x14ac:dyDescent="0.85">
      <c r="A495" s="166"/>
      <c r="B495" s="167"/>
      <c r="C495" s="167"/>
      <c r="D495" s="147"/>
      <c r="E495" s="147"/>
      <c r="F495" s="147"/>
      <c r="G495" s="147"/>
      <c r="H495" s="147"/>
      <c r="I495" s="147"/>
      <c r="J495" s="147"/>
      <c r="K495" s="3"/>
      <c r="L495" s="3"/>
      <c r="M495" s="3"/>
      <c r="N495" s="3"/>
      <c r="O495" s="3"/>
      <c r="P495" s="3"/>
      <c r="Q495" s="3"/>
      <c r="R495" s="3"/>
      <c r="S495" s="3"/>
      <c r="T495" s="3"/>
      <c r="U495" s="3"/>
      <c r="V495" s="3"/>
      <c r="W495" s="3"/>
      <c r="X495" s="3"/>
      <c r="Y495" s="3"/>
      <c r="Z495" s="3"/>
    </row>
    <row r="496" spans="1:26" ht="22.5" customHeight="1" x14ac:dyDescent="0.85">
      <c r="A496" s="166"/>
      <c r="B496" s="167"/>
      <c r="C496" s="167"/>
      <c r="D496" s="147"/>
      <c r="E496" s="147"/>
      <c r="F496" s="147"/>
      <c r="G496" s="147"/>
      <c r="H496" s="147"/>
      <c r="I496" s="147"/>
      <c r="J496" s="147"/>
      <c r="K496" s="3"/>
      <c r="L496" s="3"/>
      <c r="M496" s="3"/>
      <c r="N496" s="3"/>
      <c r="O496" s="3"/>
      <c r="P496" s="3"/>
      <c r="Q496" s="3"/>
      <c r="R496" s="3"/>
      <c r="S496" s="3"/>
      <c r="T496" s="3"/>
      <c r="U496" s="3"/>
      <c r="V496" s="3"/>
      <c r="W496" s="3"/>
      <c r="X496" s="3"/>
      <c r="Y496" s="3"/>
      <c r="Z496" s="3"/>
    </row>
    <row r="497" spans="1:26" ht="22.5" customHeight="1" x14ac:dyDescent="0.85">
      <c r="A497" s="166"/>
      <c r="B497" s="167"/>
      <c r="C497" s="167"/>
      <c r="D497" s="147"/>
      <c r="E497" s="147"/>
      <c r="F497" s="147"/>
      <c r="G497" s="147"/>
      <c r="H497" s="147"/>
      <c r="I497" s="147"/>
      <c r="J497" s="147"/>
      <c r="K497" s="3"/>
      <c r="L497" s="3"/>
      <c r="M497" s="3"/>
      <c r="N497" s="3"/>
      <c r="O497" s="3"/>
      <c r="P497" s="3"/>
      <c r="Q497" s="3"/>
      <c r="R497" s="3"/>
      <c r="S497" s="3"/>
      <c r="T497" s="3"/>
      <c r="U497" s="3"/>
      <c r="V497" s="3"/>
      <c r="W497" s="3"/>
      <c r="X497" s="3"/>
      <c r="Y497" s="3"/>
      <c r="Z497" s="3"/>
    </row>
    <row r="498" spans="1:26" ht="22.5" customHeight="1" x14ac:dyDescent="0.85">
      <c r="A498" s="166"/>
      <c r="B498" s="167"/>
      <c r="C498" s="167"/>
      <c r="D498" s="147"/>
      <c r="E498" s="147"/>
      <c r="F498" s="147"/>
      <c r="G498" s="147"/>
      <c r="H498" s="147"/>
      <c r="I498" s="147"/>
      <c r="J498" s="147"/>
      <c r="K498" s="3"/>
      <c r="L498" s="3"/>
      <c r="M498" s="3"/>
      <c r="N498" s="3"/>
      <c r="O498" s="3"/>
      <c r="P498" s="3"/>
      <c r="Q498" s="3"/>
      <c r="R498" s="3"/>
      <c r="S498" s="3"/>
      <c r="T498" s="3"/>
      <c r="U498" s="3"/>
      <c r="V498" s="3"/>
      <c r="W498" s="3"/>
      <c r="X498" s="3"/>
      <c r="Y498" s="3"/>
      <c r="Z498" s="3"/>
    </row>
    <row r="499" spans="1:26" ht="22.5" customHeight="1" x14ac:dyDescent="0.85">
      <c r="A499" s="166"/>
      <c r="B499" s="167"/>
      <c r="C499" s="167"/>
      <c r="D499" s="147"/>
      <c r="E499" s="147"/>
      <c r="F499" s="147"/>
      <c r="G499" s="147"/>
      <c r="H499" s="147"/>
      <c r="I499" s="147"/>
      <c r="J499" s="147"/>
      <c r="K499" s="3"/>
      <c r="L499" s="3"/>
      <c r="M499" s="3"/>
      <c r="N499" s="3"/>
      <c r="O499" s="3"/>
      <c r="P499" s="3"/>
      <c r="Q499" s="3"/>
      <c r="R499" s="3"/>
      <c r="S499" s="3"/>
      <c r="T499" s="3"/>
      <c r="U499" s="3"/>
      <c r="V499" s="3"/>
      <c r="W499" s="3"/>
      <c r="X499" s="3"/>
      <c r="Y499" s="3"/>
      <c r="Z499" s="3"/>
    </row>
    <row r="500" spans="1:26" ht="22.5" customHeight="1" x14ac:dyDescent="0.85">
      <c r="A500" s="166"/>
      <c r="B500" s="167"/>
      <c r="C500" s="167"/>
      <c r="D500" s="147"/>
      <c r="E500" s="147"/>
      <c r="F500" s="147"/>
      <c r="G500" s="147"/>
      <c r="H500" s="147"/>
      <c r="I500" s="147"/>
      <c r="J500" s="147"/>
      <c r="K500" s="3"/>
      <c r="L500" s="3"/>
      <c r="M500" s="3"/>
      <c r="N500" s="3"/>
      <c r="O500" s="3"/>
      <c r="P500" s="3"/>
      <c r="Q500" s="3"/>
      <c r="R500" s="3"/>
      <c r="S500" s="3"/>
      <c r="T500" s="3"/>
      <c r="U500" s="3"/>
      <c r="V500" s="3"/>
      <c r="W500" s="3"/>
      <c r="X500" s="3"/>
      <c r="Y500" s="3"/>
      <c r="Z500" s="3"/>
    </row>
    <row r="501" spans="1:26" ht="22.5" customHeight="1" x14ac:dyDescent="0.85">
      <c r="A501" s="166"/>
      <c r="B501" s="167"/>
      <c r="C501" s="167"/>
      <c r="D501" s="147"/>
      <c r="E501" s="147"/>
      <c r="F501" s="147"/>
      <c r="G501" s="147"/>
      <c r="H501" s="147"/>
      <c r="I501" s="147"/>
      <c r="J501" s="147"/>
      <c r="K501" s="3"/>
      <c r="L501" s="3"/>
      <c r="M501" s="3"/>
      <c r="N501" s="3"/>
      <c r="O501" s="3"/>
      <c r="P501" s="3"/>
      <c r="Q501" s="3"/>
      <c r="R501" s="3"/>
      <c r="S501" s="3"/>
      <c r="T501" s="3"/>
      <c r="U501" s="3"/>
      <c r="V501" s="3"/>
      <c r="W501" s="3"/>
      <c r="X501" s="3"/>
      <c r="Y501" s="3"/>
      <c r="Z501" s="3"/>
    </row>
    <row r="502" spans="1:26" ht="22.5" customHeight="1" x14ac:dyDescent="0.85">
      <c r="A502" s="166"/>
      <c r="B502" s="167"/>
      <c r="C502" s="167"/>
      <c r="D502" s="147"/>
      <c r="E502" s="147"/>
      <c r="F502" s="147"/>
      <c r="G502" s="147"/>
      <c r="H502" s="147"/>
      <c r="I502" s="147"/>
      <c r="J502" s="147"/>
      <c r="K502" s="3"/>
      <c r="L502" s="3"/>
      <c r="M502" s="3"/>
      <c r="N502" s="3"/>
      <c r="O502" s="3"/>
      <c r="P502" s="3"/>
      <c r="Q502" s="3"/>
      <c r="R502" s="3"/>
      <c r="S502" s="3"/>
      <c r="T502" s="3"/>
      <c r="U502" s="3"/>
      <c r="V502" s="3"/>
      <c r="W502" s="3"/>
      <c r="X502" s="3"/>
      <c r="Y502" s="3"/>
      <c r="Z502" s="3"/>
    </row>
    <row r="503" spans="1:26" ht="22.5" customHeight="1" x14ac:dyDescent="0.85">
      <c r="A503" s="166"/>
      <c r="B503" s="167"/>
      <c r="C503" s="167"/>
      <c r="D503" s="147"/>
      <c r="E503" s="147"/>
      <c r="F503" s="147"/>
      <c r="G503" s="147"/>
      <c r="H503" s="147"/>
      <c r="I503" s="147"/>
      <c r="J503" s="147"/>
      <c r="K503" s="3"/>
      <c r="L503" s="3"/>
      <c r="M503" s="3"/>
      <c r="N503" s="3"/>
      <c r="O503" s="3"/>
      <c r="P503" s="3"/>
      <c r="Q503" s="3"/>
      <c r="R503" s="3"/>
      <c r="S503" s="3"/>
      <c r="T503" s="3"/>
      <c r="U503" s="3"/>
      <c r="V503" s="3"/>
      <c r="W503" s="3"/>
      <c r="X503" s="3"/>
      <c r="Y503" s="3"/>
      <c r="Z503" s="3"/>
    </row>
    <row r="504" spans="1:26" ht="22.5" customHeight="1" x14ac:dyDescent="0.85">
      <c r="A504" s="166"/>
      <c r="B504" s="167"/>
      <c r="C504" s="167"/>
      <c r="D504" s="147"/>
      <c r="E504" s="147"/>
      <c r="F504" s="147"/>
      <c r="G504" s="147"/>
      <c r="H504" s="147"/>
      <c r="I504" s="147"/>
      <c r="J504" s="147"/>
      <c r="K504" s="3"/>
      <c r="L504" s="3"/>
      <c r="M504" s="3"/>
      <c r="N504" s="3"/>
      <c r="O504" s="3"/>
      <c r="P504" s="3"/>
      <c r="Q504" s="3"/>
      <c r="R504" s="3"/>
      <c r="S504" s="3"/>
      <c r="T504" s="3"/>
      <c r="U504" s="3"/>
      <c r="V504" s="3"/>
      <c r="W504" s="3"/>
      <c r="X504" s="3"/>
      <c r="Y504" s="3"/>
      <c r="Z504" s="3"/>
    </row>
    <row r="505" spans="1:26" ht="22.5" customHeight="1" x14ac:dyDescent="0.85">
      <c r="A505" s="166"/>
      <c r="B505" s="167"/>
      <c r="C505" s="167"/>
      <c r="D505" s="147"/>
      <c r="E505" s="147"/>
      <c r="F505" s="147"/>
      <c r="G505" s="147"/>
      <c r="H505" s="147"/>
      <c r="I505" s="147"/>
      <c r="J505" s="147"/>
      <c r="K505" s="3"/>
      <c r="L505" s="3"/>
      <c r="M505" s="3"/>
      <c r="N505" s="3"/>
      <c r="O505" s="3"/>
      <c r="P505" s="3"/>
      <c r="Q505" s="3"/>
      <c r="R505" s="3"/>
      <c r="S505" s="3"/>
      <c r="T505" s="3"/>
      <c r="U505" s="3"/>
      <c r="V505" s="3"/>
      <c r="W505" s="3"/>
      <c r="X505" s="3"/>
      <c r="Y505" s="3"/>
      <c r="Z505" s="3"/>
    </row>
    <row r="506" spans="1:26" ht="22.5" customHeight="1" x14ac:dyDescent="0.85">
      <c r="A506" s="166"/>
      <c r="B506" s="167"/>
      <c r="C506" s="167"/>
      <c r="D506" s="147"/>
      <c r="E506" s="147"/>
      <c r="F506" s="147"/>
      <c r="G506" s="147"/>
      <c r="H506" s="147"/>
      <c r="I506" s="147"/>
      <c r="J506" s="147"/>
      <c r="K506" s="3"/>
      <c r="L506" s="3"/>
      <c r="M506" s="3"/>
      <c r="N506" s="3"/>
      <c r="O506" s="3"/>
      <c r="P506" s="3"/>
      <c r="Q506" s="3"/>
      <c r="R506" s="3"/>
      <c r="S506" s="3"/>
      <c r="T506" s="3"/>
      <c r="U506" s="3"/>
      <c r="V506" s="3"/>
      <c r="W506" s="3"/>
      <c r="X506" s="3"/>
      <c r="Y506" s="3"/>
      <c r="Z506" s="3"/>
    </row>
    <row r="507" spans="1:26" ht="22.5" customHeight="1" x14ac:dyDescent="0.85">
      <c r="A507" s="166"/>
      <c r="B507" s="167"/>
      <c r="C507" s="167"/>
      <c r="D507" s="147"/>
      <c r="E507" s="147"/>
      <c r="F507" s="147"/>
      <c r="G507" s="147"/>
      <c r="H507" s="147"/>
      <c r="I507" s="147"/>
      <c r="J507" s="147"/>
      <c r="K507" s="3"/>
      <c r="L507" s="3"/>
      <c r="M507" s="3"/>
      <c r="N507" s="3"/>
      <c r="O507" s="3"/>
      <c r="P507" s="3"/>
      <c r="Q507" s="3"/>
      <c r="R507" s="3"/>
      <c r="S507" s="3"/>
      <c r="T507" s="3"/>
      <c r="U507" s="3"/>
      <c r="V507" s="3"/>
      <c r="W507" s="3"/>
      <c r="X507" s="3"/>
      <c r="Y507" s="3"/>
      <c r="Z507" s="3"/>
    </row>
    <row r="508" spans="1:26" ht="22.5" customHeight="1" x14ac:dyDescent="0.85">
      <c r="A508" s="166"/>
      <c r="B508" s="167"/>
      <c r="C508" s="167"/>
      <c r="D508" s="147"/>
      <c r="E508" s="147"/>
      <c r="F508" s="147"/>
      <c r="G508" s="147"/>
      <c r="H508" s="147"/>
      <c r="I508" s="147"/>
      <c r="J508" s="147"/>
      <c r="K508" s="3"/>
      <c r="L508" s="3"/>
      <c r="M508" s="3"/>
      <c r="N508" s="3"/>
      <c r="O508" s="3"/>
      <c r="P508" s="3"/>
      <c r="Q508" s="3"/>
      <c r="R508" s="3"/>
      <c r="S508" s="3"/>
      <c r="T508" s="3"/>
      <c r="U508" s="3"/>
      <c r="V508" s="3"/>
      <c r="W508" s="3"/>
      <c r="X508" s="3"/>
      <c r="Y508" s="3"/>
      <c r="Z508" s="3"/>
    </row>
    <row r="509" spans="1:26" ht="22.5" customHeight="1" x14ac:dyDescent="0.85">
      <c r="A509" s="166"/>
      <c r="B509" s="167"/>
      <c r="C509" s="167"/>
      <c r="D509" s="147"/>
      <c r="E509" s="147"/>
      <c r="F509" s="147"/>
      <c r="G509" s="147"/>
      <c r="H509" s="147"/>
      <c r="I509" s="147"/>
      <c r="J509" s="147"/>
      <c r="K509" s="3"/>
      <c r="L509" s="3"/>
      <c r="M509" s="3"/>
      <c r="N509" s="3"/>
      <c r="O509" s="3"/>
      <c r="P509" s="3"/>
      <c r="Q509" s="3"/>
      <c r="R509" s="3"/>
      <c r="S509" s="3"/>
      <c r="T509" s="3"/>
      <c r="U509" s="3"/>
      <c r="V509" s="3"/>
      <c r="W509" s="3"/>
      <c r="X509" s="3"/>
      <c r="Y509" s="3"/>
      <c r="Z509" s="3"/>
    </row>
    <row r="510" spans="1:26" ht="22.5" customHeight="1" x14ac:dyDescent="0.85">
      <c r="A510" s="166"/>
      <c r="B510" s="167"/>
      <c r="C510" s="167"/>
      <c r="D510" s="147"/>
      <c r="E510" s="147"/>
      <c r="F510" s="147"/>
      <c r="G510" s="147"/>
      <c r="H510" s="147"/>
      <c r="I510" s="147"/>
      <c r="J510" s="147"/>
      <c r="K510" s="3"/>
      <c r="L510" s="3"/>
      <c r="M510" s="3"/>
      <c r="N510" s="3"/>
      <c r="O510" s="3"/>
      <c r="P510" s="3"/>
      <c r="Q510" s="3"/>
      <c r="R510" s="3"/>
      <c r="S510" s="3"/>
      <c r="T510" s="3"/>
      <c r="U510" s="3"/>
      <c r="V510" s="3"/>
      <c r="W510" s="3"/>
      <c r="X510" s="3"/>
      <c r="Y510" s="3"/>
      <c r="Z510" s="3"/>
    </row>
    <row r="511" spans="1:26" ht="22.5" customHeight="1" x14ac:dyDescent="0.85">
      <c r="A511" s="166"/>
      <c r="B511" s="167"/>
      <c r="C511" s="167"/>
      <c r="D511" s="147"/>
      <c r="E511" s="147"/>
      <c r="F511" s="147"/>
      <c r="G511" s="147"/>
      <c r="H511" s="147"/>
      <c r="I511" s="147"/>
      <c r="J511" s="147"/>
      <c r="K511" s="3"/>
      <c r="L511" s="3"/>
      <c r="M511" s="3"/>
      <c r="N511" s="3"/>
      <c r="O511" s="3"/>
      <c r="P511" s="3"/>
      <c r="Q511" s="3"/>
      <c r="R511" s="3"/>
      <c r="S511" s="3"/>
      <c r="T511" s="3"/>
      <c r="U511" s="3"/>
      <c r="V511" s="3"/>
      <c r="W511" s="3"/>
      <c r="X511" s="3"/>
      <c r="Y511" s="3"/>
      <c r="Z511" s="3"/>
    </row>
    <row r="512" spans="1:26" ht="22.5" customHeight="1" x14ac:dyDescent="0.85">
      <c r="A512" s="166"/>
      <c r="B512" s="167"/>
      <c r="C512" s="167"/>
      <c r="D512" s="147"/>
      <c r="E512" s="147"/>
      <c r="F512" s="147"/>
      <c r="G512" s="147"/>
      <c r="H512" s="147"/>
      <c r="I512" s="147"/>
      <c r="J512" s="147"/>
      <c r="K512" s="3"/>
      <c r="L512" s="3"/>
      <c r="M512" s="3"/>
      <c r="N512" s="3"/>
      <c r="O512" s="3"/>
      <c r="P512" s="3"/>
      <c r="Q512" s="3"/>
      <c r="R512" s="3"/>
      <c r="S512" s="3"/>
      <c r="T512" s="3"/>
      <c r="U512" s="3"/>
      <c r="V512" s="3"/>
      <c r="W512" s="3"/>
      <c r="X512" s="3"/>
      <c r="Y512" s="3"/>
      <c r="Z512" s="3"/>
    </row>
    <row r="513" spans="1:26" ht="22.5" customHeight="1" x14ac:dyDescent="0.85">
      <c r="A513" s="166"/>
      <c r="B513" s="167"/>
      <c r="C513" s="167"/>
      <c r="D513" s="147"/>
      <c r="E513" s="147"/>
      <c r="F513" s="147"/>
      <c r="G513" s="147"/>
      <c r="H513" s="147"/>
      <c r="I513" s="147"/>
      <c r="J513" s="147"/>
      <c r="K513" s="3"/>
      <c r="L513" s="3"/>
      <c r="M513" s="3"/>
      <c r="N513" s="3"/>
      <c r="O513" s="3"/>
      <c r="P513" s="3"/>
      <c r="Q513" s="3"/>
      <c r="R513" s="3"/>
      <c r="S513" s="3"/>
      <c r="T513" s="3"/>
      <c r="U513" s="3"/>
      <c r="V513" s="3"/>
      <c r="W513" s="3"/>
      <c r="X513" s="3"/>
      <c r="Y513" s="3"/>
      <c r="Z513" s="3"/>
    </row>
    <row r="514" spans="1:26" ht="22.5" customHeight="1" x14ac:dyDescent="0.85">
      <c r="A514" s="166"/>
      <c r="B514" s="167"/>
      <c r="C514" s="167"/>
      <c r="D514" s="147"/>
      <c r="E514" s="147"/>
      <c r="F514" s="147"/>
      <c r="G514" s="147"/>
      <c r="H514" s="147"/>
      <c r="I514" s="147"/>
      <c r="J514" s="147"/>
      <c r="K514" s="3"/>
      <c r="L514" s="3"/>
      <c r="M514" s="3"/>
      <c r="N514" s="3"/>
      <c r="O514" s="3"/>
      <c r="P514" s="3"/>
      <c r="Q514" s="3"/>
      <c r="R514" s="3"/>
      <c r="S514" s="3"/>
      <c r="T514" s="3"/>
      <c r="U514" s="3"/>
      <c r="V514" s="3"/>
      <c r="W514" s="3"/>
      <c r="X514" s="3"/>
      <c r="Y514" s="3"/>
      <c r="Z514" s="3"/>
    </row>
    <row r="515" spans="1:26" ht="22.5" customHeight="1" x14ac:dyDescent="0.85">
      <c r="A515" s="166"/>
      <c r="B515" s="167"/>
      <c r="C515" s="167"/>
      <c r="D515" s="147"/>
      <c r="E515" s="147"/>
      <c r="F515" s="147"/>
      <c r="G515" s="147"/>
      <c r="H515" s="147"/>
      <c r="I515" s="147"/>
      <c r="J515" s="147"/>
      <c r="K515" s="3"/>
      <c r="L515" s="3"/>
      <c r="M515" s="3"/>
      <c r="N515" s="3"/>
      <c r="O515" s="3"/>
      <c r="P515" s="3"/>
      <c r="Q515" s="3"/>
      <c r="R515" s="3"/>
      <c r="S515" s="3"/>
      <c r="T515" s="3"/>
      <c r="U515" s="3"/>
      <c r="V515" s="3"/>
      <c r="W515" s="3"/>
      <c r="X515" s="3"/>
      <c r="Y515" s="3"/>
      <c r="Z515" s="3"/>
    </row>
    <row r="516" spans="1:26" ht="22.5" customHeight="1" x14ac:dyDescent="0.85">
      <c r="A516" s="166"/>
      <c r="B516" s="167"/>
      <c r="C516" s="167"/>
      <c r="D516" s="147"/>
      <c r="E516" s="147"/>
      <c r="F516" s="147"/>
      <c r="G516" s="147"/>
      <c r="H516" s="147"/>
      <c r="I516" s="147"/>
      <c r="J516" s="147"/>
      <c r="K516" s="3"/>
      <c r="L516" s="3"/>
      <c r="M516" s="3"/>
      <c r="N516" s="3"/>
      <c r="O516" s="3"/>
      <c r="P516" s="3"/>
      <c r="Q516" s="3"/>
      <c r="R516" s="3"/>
      <c r="S516" s="3"/>
      <c r="T516" s="3"/>
      <c r="U516" s="3"/>
      <c r="V516" s="3"/>
      <c r="W516" s="3"/>
      <c r="X516" s="3"/>
      <c r="Y516" s="3"/>
      <c r="Z516" s="3"/>
    </row>
    <row r="517" spans="1:26" ht="22.5" customHeight="1" x14ac:dyDescent="0.85">
      <c r="A517" s="166"/>
      <c r="B517" s="167"/>
      <c r="C517" s="167"/>
      <c r="D517" s="147"/>
      <c r="E517" s="147"/>
      <c r="F517" s="147"/>
      <c r="G517" s="147"/>
      <c r="H517" s="147"/>
      <c r="I517" s="147"/>
      <c r="J517" s="147"/>
      <c r="K517" s="3"/>
      <c r="L517" s="3"/>
      <c r="M517" s="3"/>
      <c r="N517" s="3"/>
      <c r="O517" s="3"/>
      <c r="P517" s="3"/>
      <c r="Q517" s="3"/>
      <c r="R517" s="3"/>
      <c r="S517" s="3"/>
      <c r="T517" s="3"/>
      <c r="U517" s="3"/>
      <c r="V517" s="3"/>
      <c r="W517" s="3"/>
      <c r="X517" s="3"/>
      <c r="Y517" s="3"/>
      <c r="Z517" s="3"/>
    </row>
    <row r="518" spans="1:26" ht="22.5" customHeight="1" x14ac:dyDescent="0.85">
      <c r="A518" s="166"/>
      <c r="B518" s="167"/>
      <c r="C518" s="167"/>
      <c r="D518" s="147"/>
      <c r="E518" s="147"/>
      <c r="F518" s="147"/>
      <c r="G518" s="147"/>
      <c r="H518" s="147"/>
      <c r="I518" s="147"/>
      <c r="J518" s="147"/>
      <c r="K518" s="3"/>
      <c r="L518" s="3"/>
      <c r="M518" s="3"/>
      <c r="N518" s="3"/>
      <c r="O518" s="3"/>
      <c r="P518" s="3"/>
      <c r="Q518" s="3"/>
      <c r="R518" s="3"/>
      <c r="S518" s="3"/>
      <c r="T518" s="3"/>
      <c r="U518" s="3"/>
      <c r="V518" s="3"/>
      <c r="W518" s="3"/>
      <c r="X518" s="3"/>
      <c r="Y518" s="3"/>
      <c r="Z518" s="3"/>
    </row>
    <row r="519" spans="1:26" ht="22.5" customHeight="1" x14ac:dyDescent="0.85">
      <c r="A519" s="166"/>
      <c r="B519" s="167"/>
      <c r="C519" s="167"/>
      <c r="D519" s="147"/>
      <c r="E519" s="147"/>
      <c r="F519" s="147"/>
      <c r="G519" s="147"/>
      <c r="H519" s="147"/>
      <c r="I519" s="147"/>
      <c r="J519" s="147"/>
      <c r="K519" s="3"/>
      <c r="L519" s="3"/>
      <c r="M519" s="3"/>
      <c r="N519" s="3"/>
      <c r="O519" s="3"/>
      <c r="P519" s="3"/>
      <c r="Q519" s="3"/>
      <c r="R519" s="3"/>
      <c r="S519" s="3"/>
      <c r="T519" s="3"/>
      <c r="U519" s="3"/>
      <c r="V519" s="3"/>
      <c r="W519" s="3"/>
      <c r="X519" s="3"/>
      <c r="Y519" s="3"/>
      <c r="Z519" s="3"/>
    </row>
    <row r="520" spans="1:26" ht="22.5" customHeight="1" x14ac:dyDescent="0.85">
      <c r="A520" s="166"/>
      <c r="B520" s="167"/>
      <c r="C520" s="167"/>
      <c r="D520" s="147"/>
      <c r="E520" s="147"/>
      <c r="F520" s="147"/>
      <c r="G520" s="147"/>
      <c r="H520" s="147"/>
      <c r="I520" s="147"/>
      <c r="J520" s="147"/>
      <c r="K520" s="3"/>
      <c r="L520" s="3"/>
      <c r="M520" s="3"/>
      <c r="N520" s="3"/>
      <c r="O520" s="3"/>
      <c r="P520" s="3"/>
      <c r="Q520" s="3"/>
      <c r="R520" s="3"/>
      <c r="S520" s="3"/>
      <c r="T520" s="3"/>
      <c r="U520" s="3"/>
      <c r="V520" s="3"/>
      <c r="W520" s="3"/>
      <c r="X520" s="3"/>
      <c r="Y520" s="3"/>
      <c r="Z520" s="3"/>
    </row>
    <row r="521" spans="1:26" ht="22.5" customHeight="1" x14ac:dyDescent="0.85">
      <c r="A521" s="166"/>
      <c r="B521" s="167"/>
      <c r="C521" s="167"/>
      <c r="D521" s="147"/>
      <c r="E521" s="147"/>
      <c r="F521" s="147"/>
      <c r="G521" s="147"/>
      <c r="H521" s="147"/>
      <c r="I521" s="147"/>
      <c r="J521" s="147"/>
      <c r="K521" s="3"/>
      <c r="L521" s="3"/>
      <c r="M521" s="3"/>
      <c r="N521" s="3"/>
      <c r="O521" s="3"/>
      <c r="P521" s="3"/>
      <c r="Q521" s="3"/>
      <c r="R521" s="3"/>
      <c r="S521" s="3"/>
      <c r="T521" s="3"/>
      <c r="U521" s="3"/>
      <c r="V521" s="3"/>
      <c r="W521" s="3"/>
      <c r="X521" s="3"/>
      <c r="Y521" s="3"/>
      <c r="Z521" s="3"/>
    </row>
    <row r="522" spans="1:26" ht="22.5" customHeight="1" x14ac:dyDescent="0.85">
      <c r="A522" s="166"/>
      <c r="B522" s="167"/>
      <c r="C522" s="167"/>
      <c r="D522" s="147"/>
      <c r="E522" s="147"/>
      <c r="F522" s="147"/>
      <c r="G522" s="147"/>
      <c r="H522" s="147"/>
      <c r="I522" s="147"/>
      <c r="J522" s="147"/>
      <c r="K522" s="3"/>
      <c r="L522" s="3"/>
      <c r="M522" s="3"/>
      <c r="N522" s="3"/>
      <c r="O522" s="3"/>
      <c r="P522" s="3"/>
      <c r="Q522" s="3"/>
      <c r="R522" s="3"/>
      <c r="S522" s="3"/>
      <c r="T522" s="3"/>
      <c r="U522" s="3"/>
      <c r="V522" s="3"/>
      <c r="W522" s="3"/>
      <c r="X522" s="3"/>
      <c r="Y522" s="3"/>
      <c r="Z522" s="3"/>
    </row>
    <row r="523" spans="1:26" ht="22.5" customHeight="1" x14ac:dyDescent="0.85">
      <c r="A523" s="166"/>
      <c r="B523" s="167"/>
      <c r="C523" s="167"/>
      <c r="D523" s="147"/>
      <c r="E523" s="147"/>
      <c r="F523" s="147"/>
      <c r="G523" s="147"/>
      <c r="H523" s="147"/>
      <c r="I523" s="147"/>
      <c r="J523" s="147"/>
      <c r="K523" s="3"/>
      <c r="L523" s="3"/>
      <c r="M523" s="3"/>
      <c r="N523" s="3"/>
      <c r="O523" s="3"/>
      <c r="P523" s="3"/>
      <c r="Q523" s="3"/>
      <c r="R523" s="3"/>
      <c r="S523" s="3"/>
      <c r="T523" s="3"/>
      <c r="U523" s="3"/>
      <c r="V523" s="3"/>
      <c r="W523" s="3"/>
      <c r="X523" s="3"/>
      <c r="Y523" s="3"/>
      <c r="Z523" s="3"/>
    </row>
    <row r="524" spans="1:26" ht="22.5" customHeight="1" x14ac:dyDescent="0.85">
      <c r="A524" s="166"/>
      <c r="B524" s="167"/>
      <c r="C524" s="167"/>
      <c r="D524" s="147"/>
      <c r="E524" s="147"/>
      <c r="F524" s="147"/>
      <c r="G524" s="147"/>
      <c r="H524" s="147"/>
      <c r="I524" s="147"/>
      <c r="J524" s="147"/>
      <c r="K524" s="3"/>
      <c r="L524" s="3"/>
      <c r="M524" s="3"/>
      <c r="N524" s="3"/>
      <c r="O524" s="3"/>
      <c r="P524" s="3"/>
      <c r="Q524" s="3"/>
      <c r="R524" s="3"/>
      <c r="S524" s="3"/>
      <c r="T524" s="3"/>
      <c r="U524" s="3"/>
      <c r="V524" s="3"/>
      <c r="W524" s="3"/>
      <c r="X524" s="3"/>
      <c r="Y524" s="3"/>
      <c r="Z524" s="3"/>
    </row>
    <row r="525" spans="1:26" ht="22.5" customHeight="1" x14ac:dyDescent="0.85">
      <c r="A525" s="166"/>
      <c r="B525" s="167"/>
      <c r="C525" s="167"/>
      <c r="D525" s="147"/>
      <c r="E525" s="147"/>
      <c r="F525" s="147"/>
      <c r="G525" s="147"/>
      <c r="H525" s="147"/>
      <c r="I525" s="147"/>
      <c r="J525" s="147"/>
      <c r="K525" s="3"/>
      <c r="L525" s="3"/>
      <c r="M525" s="3"/>
      <c r="N525" s="3"/>
      <c r="O525" s="3"/>
      <c r="P525" s="3"/>
      <c r="Q525" s="3"/>
      <c r="R525" s="3"/>
      <c r="S525" s="3"/>
      <c r="T525" s="3"/>
      <c r="U525" s="3"/>
      <c r="V525" s="3"/>
      <c r="W525" s="3"/>
      <c r="X525" s="3"/>
      <c r="Y525" s="3"/>
      <c r="Z525" s="3"/>
    </row>
    <row r="526" spans="1:26" ht="22.5" customHeight="1" x14ac:dyDescent="0.85">
      <c r="A526" s="166"/>
      <c r="B526" s="167"/>
      <c r="C526" s="167"/>
      <c r="D526" s="147"/>
      <c r="E526" s="147"/>
      <c r="F526" s="147"/>
      <c r="G526" s="147"/>
      <c r="H526" s="147"/>
      <c r="I526" s="147"/>
      <c r="J526" s="147"/>
      <c r="K526" s="3"/>
      <c r="L526" s="3"/>
      <c r="M526" s="3"/>
      <c r="N526" s="3"/>
      <c r="O526" s="3"/>
      <c r="P526" s="3"/>
      <c r="Q526" s="3"/>
      <c r="R526" s="3"/>
      <c r="S526" s="3"/>
      <c r="T526" s="3"/>
      <c r="U526" s="3"/>
      <c r="V526" s="3"/>
      <c r="W526" s="3"/>
      <c r="X526" s="3"/>
      <c r="Y526" s="3"/>
      <c r="Z526" s="3"/>
    </row>
    <row r="527" spans="1:26" ht="22.5" customHeight="1" x14ac:dyDescent="0.85">
      <c r="A527" s="166"/>
      <c r="B527" s="167"/>
      <c r="C527" s="167"/>
      <c r="D527" s="147"/>
      <c r="E527" s="147"/>
      <c r="F527" s="147"/>
      <c r="G527" s="147"/>
      <c r="H527" s="147"/>
      <c r="I527" s="147"/>
      <c r="J527" s="147"/>
      <c r="K527" s="3"/>
      <c r="L527" s="3"/>
      <c r="M527" s="3"/>
      <c r="N527" s="3"/>
      <c r="O527" s="3"/>
      <c r="P527" s="3"/>
      <c r="Q527" s="3"/>
      <c r="R527" s="3"/>
      <c r="S527" s="3"/>
      <c r="T527" s="3"/>
      <c r="U527" s="3"/>
      <c r="V527" s="3"/>
      <c r="W527" s="3"/>
      <c r="X527" s="3"/>
      <c r="Y527" s="3"/>
      <c r="Z527" s="3"/>
    </row>
    <row r="528" spans="1:26" ht="22.5" customHeight="1" x14ac:dyDescent="0.85">
      <c r="A528" s="166"/>
      <c r="B528" s="167"/>
      <c r="C528" s="167"/>
      <c r="D528" s="147"/>
      <c r="E528" s="147"/>
      <c r="F528" s="147"/>
      <c r="G528" s="147"/>
      <c r="H528" s="147"/>
      <c r="I528" s="147"/>
      <c r="J528" s="147"/>
      <c r="K528" s="3"/>
      <c r="L528" s="3"/>
      <c r="M528" s="3"/>
      <c r="N528" s="3"/>
      <c r="O528" s="3"/>
      <c r="P528" s="3"/>
      <c r="Q528" s="3"/>
      <c r="R528" s="3"/>
      <c r="S528" s="3"/>
      <c r="T528" s="3"/>
      <c r="U528" s="3"/>
      <c r="V528" s="3"/>
      <c r="W528" s="3"/>
      <c r="X528" s="3"/>
      <c r="Y528" s="3"/>
      <c r="Z528" s="3"/>
    </row>
    <row r="529" spans="1:26" ht="22.5" customHeight="1" x14ac:dyDescent="0.85">
      <c r="A529" s="166"/>
      <c r="B529" s="167"/>
      <c r="C529" s="167"/>
      <c r="D529" s="147"/>
      <c r="E529" s="147"/>
      <c r="F529" s="147"/>
      <c r="G529" s="147"/>
      <c r="H529" s="147"/>
      <c r="I529" s="147"/>
      <c r="J529" s="147"/>
      <c r="K529" s="3"/>
      <c r="L529" s="3"/>
      <c r="M529" s="3"/>
      <c r="N529" s="3"/>
      <c r="O529" s="3"/>
      <c r="P529" s="3"/>
      <c r="Q529" s="3"/>
      <c r="R529" s="3"/>
      <c r="S529" s="3"/>
      <c r="T529" s="3"/>
      <c r="U529" s="3"/>
      <c r="V529" s="3"/>
      <c r="W529" s="3"/>
      <c r="X529" s="3"/>
      <c r="Y529" s="3"/>
      <c r="Z529" s="3"/>
    </row>
    <row r="530" spans="1:26" ht="22.5" customHeight="1" x14ac:dyDescent="0.85">
      <c r="A530" s="166"/>
      <c r="B530" s="167"/>
      <c r="C530" s="167"/>
      <c r="D530" s="147"/>
      <c r="E530" s="147"/>
      <c r="F530" s="147"/>
      <c r="G530" s="147"/>
      <c r="H530" s="147"/>
      <c r="I530" s="147"/>
      <c r="J530" s="147"/>
      <c r="K530" s="3"/>
      <c r="L530" s="3"/>
      <c r="M530" s="3"/>
      <c r="N530" s="3"/>
      <c r="O530" s="3"/>
      <c r="P530" s="3"/>
      <c r="Q530" s="3"/>
      <c r="R530" s="3"/>
      <c r="S530" s="3"/>
      <c r="T530" s="3"/>
      <c r="U530" s="3"/>
      <c r="V530" s="3"/>
      <c r="W530" s="3"/>
      <c r="X530" s="3"/>
      <c r="Y530" s="3"/>
      <c r="Z530" s="3"/>
    </row>
    <row r="531" spans="1:26" ht="22.5" customHeight="1" x14ac:dyDescent="0.85">
      <c r="A531" s="166"/>
      <c r="B531" s="167"/>
      <c r="C531" s="167"/>
      <c r="D531" s="147"/>
      <c r="E531" s="147"/>
      <c r="F531" s="147"/>
      <c r="G531" s="147"/>
      <c r="H531" s="147"/>
      <c r="I531" s="147"/>
      <c r="J531" s="147"/>
      <c r="K531" s="3"/>
      <c r="L531" s="3"/>
      <c r="M531" s="3"/>
      <c r="N531" s="3"/>
      <c r="O531" s="3"/>
      <c r="P531" s="3"/>
      <c r="Q531" s="3"/>
      <c r="R531" s="3"/>
      <c r="S531" s="3"/>
      <c r="T531" s="3"/>
      <c r="U531" s="3"/>
      <c r="V531" s="3"/>
      <c r="W531" s="3"/>
      <c r="X531" s="3"/>
      <c r="Y531" s="3"/>
      <c r="Z531" s="3"/>
    </row>
    <row r="532" spans="1:26" ht="22.5" customHeight="1" x14ac:dyDescent="0.85">
      <c r="A532" s="166"/>
      <c r="B532" s="167"/>
      <c r="C532" s="167"/>
      <c r="D532" s="147"/>
      <c r="E532" s="147"/>
      <c r="F532" s="147"/>
      <c r="G532" s="147"/>
      <c r="H532" s="147"/>
      <c r="I532" s="147"/>
      <c r="J532" s="147"/>
      <c r="K532" s="3"/>
      <c r="L532" s="3"/>
      <c r="M532" s="3"/>
      <c r="N532" s="3"/>
      <c r="O532" s="3"/>
      <c r="P532" s="3"/>
      <c r="Q532" s="3"/>
      <c r="R532" s="3"/>
      <c r="S532" s="3"/>
      <c r="T532" s="3"/>
      <c r="U532" s="3"/>
      <c r="V532" s="3"/>
      <c r="W532" s="3"/>
      <c r="X532" s="3"/>
      <c r="Y532" s="3"/>
      <c r="Z532" s="3"/>
    </row>
    <row r="533" spans="1:26" ht="22.5" customHeight="1" x14ac:dyDescent="0.85">
      <c r="A533" s="166"/>
      <c r="B533" s="167"/>
      <c r="C533" s="167"/>
      <c r="D533" s="147"/>
      <c r="E533" s="147"/>
      <c r="F533" s="147"/>
      <c r="G533" s="147"/>
      <c r="H533" s="147"/>
      <c r="I533" s="147"/>
      <c r="J533" s="147"/>
      <c r="K533" s="3"/>
      <c r="L533" s="3"/>
      <c r="M533" s="3"/>
      <c r="N533" s="3"/>
      <c r="O533" s="3"/>
      <c r="P533" s="3"/>
      <c r="Q533" s="3"/>
      <c r="R533" s="3"/>
      <c r="S533" s="3"/>
      <c r="T533" s="3"/>
      <c r="U533" s="3"/>
      <c r="V533" s="3"/>
      <c r="W533" s="3"/>
      <c r="X533" s="3"/>
      <c r="Y533" s="3"/>
      <c r="Z533" s="3"/>
    </row>
    <row r="534" spans="1:26" ht="22.5" customHeight="1" x14ac:dyDescent="0.85">
      <c r="A534" s="166"/>
      <c r="B534" s="167"/>
      <c r="C534" s="167"/>
      <c r="D534" s="147"/>
      <c r="E534" s="147"/>
      <c r="F534" s="147"/>
      <c r="G534" s="147"/>
      <c r="H534" s="147"/>
      <c r="I534" s="147"/>
      <c r="J534" s="147"/>
      <c r="K534" s="3"/>
      <c r="L534" s="3"/>
      <c r="M534" s="3"/>
      <c r="N534" s="3"/>
      <c r="O534" s="3"/>
      <c r="P534" s="3"/>
      <c r="Q534" s="3"/>
      <c r="R534" s="3"/>
      <c r="S534" s="3"/>
      <c r="T534" s="3"/>
      <c r="U534" s="3"/>
      <c r="V534" s="3"/>
      <c r="W534" s="3"/>
      <c r="X534" s="3"/>
      <c r="Y534" s="3"/>
      <c r="Z534" s="3"/>
    </row>
    <row r="535" spans="1:26" ht="22.5" customHeight="1" x14ac:dyDescent="0.85">
      <c r="A535" s="166"/>
      <c r="B535" s="167"/>
      <c r="C535" s="167"/>
      <c r="D535" s="147"/>
      <c r="E535" s="147"/>
      <c r="F535" s="147"/>
      <c r="G535" s="147"/>
      <c r="H535" s="147"/>
      <c r="I535" s="147"/>
      <c r="J535" s="147"/>
      <c r="K535" s="3"/>
      <c r="L535" s="3"/>
      <c r="M535" s="3"/>
      <c r="N535" s="3"/>
      <c r="O535" s="3"/>
      <c r="P535" s="3"/>
      <c r="Q535" s="3"/>
      <c r="R535" s="3"/>
      <c r="S535" s="3"/>
      <c r="T535" s="3"/>
      <c r="U535" s="3"/>
      <c r="V535" s="3"/>
      <c r="W535" s="3"/>
      <c r="X535" s="3"/>
      <c r="Y535" s="3"/>
      <c r="Z535" s="3"/>
    </row>
    <row r="536" spans="1:26" ht="22.5" customHeight="1" x14ac:dyDescent="0.85">
      <c r="A536" s="166"/>
      <c r="B536" s="167"/>
      <c r="C536" s="167"/>
      <c r="D536" s="147"/>
      <c r="E536" s="147"/>
      <c r="F536" s="147"/>
      <c r="G536" s="147"/>
      <c r="H536" s="147"/>
      <c r="I536" s="147"/>
      <c r="J536" s="147"/>
      <c r="K536" s="3"/>
      <c r="L536" s="3"/>
      <c r="M536" s="3"/>
      <c r="N536" s="3"/>
      <c r="O536" s="3"/>
      <c r="P536" s="3"/>
      <c r="Q536" s="3"/>
      <c r="R536" s="3"/>
      <c r="S536" s="3"/>
      <c r="T536" s="3"/>
      <c r="U536" s="3"/>
      <c r="V536" s="3"/>
      <c r="W536" s="3"/>
      <c r="X536" s="3"/>
      <c r="Y536" s="3"/>
      <c r="Z536" s="3"/>
    </row>
    <row r="537" spans="1:26" ht="22.5" customHeight="1" x14ac:dyDescent="0.85">
      <c r="A537" s="166"/>
      <c r="B537" s="167"/>
      <c r="C537" s="167"/>
      <c r="D537" s="147"/>
      <c r="E537" s="147"/>
      <c r="F537" s="147"/>
      <c r="G537" s="147"/>
      <c r="H537" s="147"/>
      <c r="I537" s="147"/>
      <c r="J537" s="147"/>
      <c r="K537" s="3"/>
      <c r="L537" s="3"/>
      <c r="M537" s="3"/>
      <c r="N537" s="3"/>
      <c r="O537" s="3"/>
      <c r="P537" s="3"/>
      <c r="Q537" s="3"/>
      <c r="R537" s="3"/>
      <c r="S537" s="3"/>
      <c r="T537" s="3"/>
      <c r="U537" s="3"/>
      <c r="V537" s="3"/>
      <c r="W537" s="3"/>
      <c r="X537" s="3"/>
      <c r="Y537" s="3"/>
      <c r="Z537" s="3"/>
    </row>
    <row r="538" spans="1:26" ht="22.5" customHeight="1" x14ac:dyDescent="0.85">
      <c r="A538" s="166"/>
      <c r="B538" s="167"/>
      <c r="C538" s="167"/>
      <c r="D538" s="147"/>
      <c r="E538" s="147"/>
      <c r="F538" s="147"/>
      <c r="G538" s="147"/>
      <c r="H538" s="147"/>
      <c r="I538" s="147"/>
      <c r="J538" s="147"/>
      <c r="K538" s="3"/>
      <c r="L538" s="3"/>
      <c r="M538" s="3"/>
      <c r="N538" s="3"/>
      <c r="O538" s="3"/>
      <c r="P538" s="3"/>
      <c r="Q538" s="3"/>
      <c r="R538" s="3"/>
      <c r="S538" s="3"/>
      <c r="T538" s="3"/>
      <c r="U538" s="3"/>
      <c r="V538" s="3"/>
      <c r="W538" s="3"/>
      <c r="X538" s="3"/>
      <c r="Y538" s="3"/>
      <c r="Z538" s="3"/>
    </row>
    <row r="539" spans="1:26" ht="22.5" customHeight="1" x14ac:dyDescent="0.85">
      <c r="A539" s="166"/>
      <c r="B539" s="167"/>
      <c r="C539" s="167"/>
      <c r="D539" s="147"/>
      <c r="E539" s="147"/>
      <c r="F539" s="147"/>
      <c r="G539" s="147"/>
      <c r="H539" s="147"/>
      <c r="I539" s="147"/>
      <c r="J539" s="147"/>
      <c r="K539" s="3"/>
      <c r="L539" s="3"/>
      <c r="M539" s="3"/>
      <c r="N539" s="3"/>
      <c r="O539" s="3"/>
      <c r="P539" s="3"/>
      <c r="Q539" s="3"/>
      <c r="R539" s="3"/>
      <c r="S539" s="3"/>
      <c r="T539" s="3"/>
      <c r="U539" s="3"/>
      <c r="V539" s="3"/>
      <c r="W539" s="3"/>
      <c r="X539" s="3"/>
      <c r="Y539" s="3"/>
      <c r="Z539" s="3"/>
    </row>
    <row r="540" spans="1:26" ht="22.5" customHeight="1" x14ac:dyDescent="0.85">
      <c r="A540" s="166"/>
      <c r="B540" s="167"/>
      <c r="C540" s="167"/>
      <c r="D540" s="147"/>
      <c r="E540" s="147"/>
      <c r="F540" s="147"/>
      <c r="G540" s="147"/>
      <c r="H540" s="147"/>
      <c r="I540" s="147"/>
      <c r="J540" s="147"/>
      <c r="K540" s="3"/>
      <c r="L540" s="3"/>
      <c r="M540" s="3"/>
      <c r="N540" s="3"/>
      <c r="O540" s="3"/>
      <c r="P540" s="3"/>
      <c r="Q540" s="3"/>
      <c r="R540" s="3"/>
      <c r="S540" s="3"/>
      <c r="T540" s="3"/>
      <c r="U540" s="3"/>
      <c r="V540" s="3"/>
      <c r="W540" s="3"/>
      <c r="X540" s="3"/>
      <c r="Y540" s="3"/>
      <c r="Z540" s="3"/>
    </row>
    <row r="541" spans="1:26" ht="22.5" customHeight="1" x14ac:dyDescent="0.85">
      <c r="A541" s="166"/>
      <c r="B541" s="167"/>
      <c r="C541" s="167"/>
      <c r="D541" s="147"/>
      <c r="E541" s="147"/>
      <c r="F541" s="147"/>
      <c r="G541" s="147"/>
      <c r="H541" s="147"/>
      <c r="I541" s="147"/>
      <c r="J541" s="147"/>
      <c r="K541" s="3"/>
      <c r="L541" s="3"/>
      <c r="M541" s="3"/>
      <c r="N541" s="3"/>
      <c r="O541" s="3"/>
      <c r="P541" s="3"/>
      <c r="Q541" s="3"/>
      <c r="R541" s="3"/>
      <c r="S541" s="3"/>
      <c r="T541" s="3"/>
      <c r="U541" s="3"/>
      <c r="V541" s="3"/>
      <c r="W541" s="3"/>
      <c r="X541" s="3"/>
      <c r="Y541" s="3"/>
      <c r="Z541" s="3"/>
    </row>
    <row r="542" spans="1:26" ht="22.5" customHeight="1" x14ac:dyDescent="0.85">
      <c r="A542" s="166"/>
      <c r="B542" s="167"/>
      <c r="C542" s="167"/>
      <c r="D542" s="147"/>
      <c r="E542" s="147"/>
      <c r="F542" s="147"/>
      <c r="G542" s="147"/>
      <c r="H542" s="147"/>
      <c r="I542" s="147"/>
      <c r="J542" s="147"/>
      <c r="K542" s="3"/>
      <c r="L542" s="3"/>
      <c r="M542" s="3"/>
      <c r="N542" s="3"/>
      <c r="O542" s="3"/>
      <c r="P542" s="3"/>
      <c r="Q542" s="3"/>
      <c r="R542" s="3"/>
      <c r="S542" s="3"/>
      <c r="T542" s="3"/>
      <c r="U542" s="3"/>
      <c r="V542" s="3"/>
      <c r="W542" s="3"/>
      <c r="X542" s="3"/>
      <c r="Y542" s="3"/>
      <c r="Z542" s="3"/>
    </row>
    <row r="543" spans="1:26" ht="22.5" customHeight="1" x14ac:dyDescent="0.85">
      <c r="A543" s="166"/>
      <c r="B543" s="167"/>
      <c r="C543" s="167"/>
      <c r="D543" s="147"/>
      <c r="E543" s="147"/>
      <c r="F543" s="147"/>
      <c r="G543" s="147"/>
      <c r="H543" s="147"/>
      <c r="I543" s="147"/>
      <c r="J543" s="147"/>
      <c r="K543" s="3"/>
      <c r="L543" s="3"/>
      <c r="M543" s="3"/>
      <c r="N543" s="3"/>
      <c r="O543" s="3"/>
      <c r="P543" s="3"/>
      <c r="Q543" s="3"/>
      <c r="R543" s="3"/>
      <c r="S543" s="3"/>
      <c r="T543" s="3"/>
      <c r="U543" s="3"/>
      <c r="V543" s="3"/>
      <c r="W543" s="3"/>
      <c r="X543" s="3"/>
      <c r="Y543" s="3"/>
      <c r="Z543" s="3"/>
    </row>
    <row r="544" spans="1:26" ht="22.5" customHeight="1" x14ac:dyDescent="0.85">
      <c r="A544" s="166"/>
      <c r="B544" s="167"/>
      <c r="C544" s="167"/>
      <c r="D544" s="147"/>
      <c r="E544" s="147"/>
      <c r="F544" s="147"/>
      <c r="G544" s="147"/>
      <c r="H544" s="147"/>
      <c r="I544" s="147"/>
      <c r="J544" s="147"/>
      <c r="K544" s="3"/>
      <c r="L544" s="3"/>
      <c r="M544" s="3"/>
      <c r="N544" s="3"/>
      <c r="O544" s="3"/>
      <c r="P544" s="3"/>
      <c r="Q544" s="3"/>
      <c r="R544" s="3"/>
      <c r="S544" s="3"/>
      <c r="T544" s="3"/>
      <c r="U544" s="3"/>
      <c r="V544" s="3"/>
      <c r="W544" s="3"/>
      <c r="X544" s="3"/>
      <c r="Y544" s="3"/>
      <c r="Z544" s="3"/>
    </row>
    <row r="545" spans="1:26" ht="22.5" customHeight="1" x14ac:dyDescent="0.85">
      <c r="A545" s="166"/>
      <c r="B545" s="167"/>
      <c r="C545" s="167"/>
      <c r="D545" s="147"/>
      <c r="E545" s="147"/>
      <c r="F545" s="147"/>
      <c r="G545" s="147"/>
      <c r="H545" s="147"/>
      <c r="I545" s="147"/>
      <c r="J545" s="147"/>
      <c r="K545" s="3"/>
      <c r="L545" s="3"/>
      <c r="M545" s="3"/>
      <c r="N545" s="3"/>
      <c r="O545" s="3"/>
      <c r="P545" s="3"/>
      <c r="Q545" s="3"/>
      <c r="R545" s="3"/>
      <c r="S545" s="3"/>
      <c r="T545" s="3"/>
      <c r="U545" s="3"/>
      <c r="V545" s="3"/>
      <c r="W545" s="3"/>
      <c r="X545" s="3"/>
      <c r="Y545" s="3"/>
      <c r="Z545" s="3"/>
    </row>
    <row r="546" spans="1:26" ht="22.5" customHeight="1" x14ac:dyDescent="0.85">
      <c r="A546" s="166"/>
      <c r="B546" s="167"/>
      <c r="C546" s="167"/>
      <c r="D546" s="147"/>
      <c r="E546" s="147"/>
      <c r="F546" s="147"/>
      <c r="G546" s="147"/>
      <c r="H546" s="147"/>
      <c r="I546" s="147"/>
      <c r="J546" s="147"/>
      <c r="K546" s="3"/>
      <c r="L546" s="3"/>
      <c r="M546" s="3"/>
      <c r="N546" s="3"/>
      <c r="O546" s="3"/>
      <c r="P546" s="3"/>
      <c r="Q546" s="3"/>
      <c r="R546" s="3"/>
      <c r="S546" s="3"/>
      <c r="T546" s="3"/>
      <c r="U546" s="3"/>
      <c r="V546" s="3"/>
      <c r="W546" s="3"/>
      <c r="X546" s="3"/>
      <c r="Y546" s="3"/>
      <c r="Z546" s="3"/>
    </row>
    <row r="547" spans="1:26" ht="22.5" customHeight="1" x14ac:dyDescent="0.85">
      <c r="A547" s="166"/>
      <c r="B547" s="167"/>
      <c r="C547" s="167"/>
      <c r="D547" s="147"/>
      <c r="E547" s="147"/>
      <c r="F547" s="147"/>
      <c r="G547" s="147"/>
      <c r="H547" s="147"/>
      <c r="I547" s="147"/>
      <c r="J547" s="147"/>
      <c r="K547" s="3"/>
      <c r="L547" s="3"/>
      <c r="M547" s="3"/>
      <c r="N547" s="3"/>
      <c r="O547" s="3"/>
      <c r="P547" s="3"/>
      <c r="Q547" s="3"/>
      <c r="R547" s="3"/>
      <c r="S547" s="3"/>
      <c r="T547" s="3"/>
      <c r="U547" s="3"/>
      <c r="V547" s="3"/>
      <c r="W547" s="3"/>
      <c r="X547" s="3"/>
      <c r="Y547" s="3"/>
      <c r="Z547" s="3"/>
    </row>
    <row r="548" spans="1:26" ht="22.5" customHeight="1" x14ac:dyDescent="0.85">
      <c r="A548" s="166"/>
      <c r="B548" s="167"/>
      <c r="C548" s="167"/>
      <c r="D548" s="147"/>
      <c r="E548" s="147"/>
      <c r="F548" s="147"/>
      <c r="G548" s="147"/>
      <c r="H548" s="147"/>
      <c r="I548" s="147"/>
      <c r="J548" s="147"/>
      <c r="K548" s="3"/>
      <c r="L548" s="3"/>
      <c r="M548" s="3"/>
      <c r="N548" s="3"/>
      <c r="O548" s="3"/>
      <c r="P548" s="3"/>
      <c r="Q548" s="3"/>
      <c r="R548" s="3"/>
      <c r="S548" s="3"/>
      <c r="T548" s="3"/>
      <c r="U548" s="3"/>
      <c r="V548" s="3"/>
      <c r="W548" s="3"/>
      <c r="X548" s="3"/>
      <c r="Y548" s="3"/>
      <c r="Z548" s="3"/>
    </row>
    <row r="549" spans="1:26" ht="22.5" customHeight="1" x14ac:dyDescent="0.85">
      <c r="A549" s="166"/>
      <c r="B549" s="167"/>
      <c r="C549" s="167"/>
      <c r="D549" s="147"/>
      <c r="E549" s="147"/>
      <c r="F549" s="147"/>
      <c r="G549" s="147"/>
      <c r="H549" s="147"/>
      <c r="I549" s="147"/>
      <c r="J549" s="147"/>
      <c r="K549" s="3"/>
      <c r="L549" s="3"/>
      <c r="M549" s="3"/>
      <c r="N549" s="3"/>
      <c r="O549" s="3"/>
      <c r="P549" s="3"/>
      <c r="Q549" s="3"/>
      <c r="R549" s="3"/>
      <c r="S549" s="3"/>
      <c r="T549" s="3"/>
      <c r="U549" s="3"/>
      <c r="V549" s="3"/>
      <c r="W549" s="3"/>
      <c r="X549" s="3"/>
      <c r="Y549" s="3"/>
      <c r="Z549" s="3"/>
    </row>
    <row r="550" spans="1:26" ht="22.5" customHeight="1" x14ac:dyDescent="0.85">
      <c r="A550" s="166"/>
      <c r="B550" s="167"/>
      <c r="C550" s="167"/>
      <c r="D550" s="147"/>
      <c r="E550" s="147"/>
      <c r="F550" s="147"/>
      <c r="G550" s="147"/>
      <c r="H550" s="147"/>
      <c r="I550" s="147"/>
      <c r="J550" s="147"/>
      <c r="K550" s="3"/>
      <c r="L550" s="3"/>
      <c r="M550" s="3"/>
      <c r="N550" s="3"/>
      <c r="O550" s="3"/>
      <c r="P550" s="3"/>
      <c r="Q550" s="3"/>
      <c r="R550" s="3"/>
      <c r="S550" s="3"/>
      <c r="T550" s="3"/>
      <c r="U550" s="3"/>
      <c r="V550" s="3"/>
      <c r="W550" s="3"/>
      <c r="X550" s="3"/>
      <c r="Y550" s="3"/>
      <c r="Z550" s="3"/>
    </row>
    <row r="551" spans="1:26" ht="22.5" customHeight="1" x14ac:dyDescent="0.85">
      <c r="A551" s="166"/>
      <c r="B551" s="167"/>
      <c r="C551" s="167"/>
      <c r="D551" s="147"/>
      <c r="E551" s="147"/>
      <c r="F551" s="147"/>
      <c r="G551" s="147"/>
      <c r="H551" s="147"/>
      <c r="I551" s="147"/>
      <c r="J551" s="147"/>
      <c r="K551" s="3"/>
      <c r="L551" s="3"/>
      <c r="M551" s="3"/>
      <c r="N551" s="3"/>
      <c r="O551" s="3"/>
      <c r="P551" s="3"/>
      <c r="Q551" s="3"/>
      <c r="R551" s="3"/>
      <c r="S551" s="3"/>
      <c r="T551" s="3"/>
      <c r="U551" s="3"/>
      <c r="V551" s="3"/>
      <c r="W551" s="3"/>
      <c r="X551" s="3"/>
      <c r="Y551" s="3"/>
      <c r="Z551" s="3"/>
    </row>
    <row r="552" spans="1:26" ht="22.5" customHeight="1" x14ac:dyDescent="0.85">
      <c r="A552" s="166"/>
      <c r="B552" s="167"/>
      <c r="C552" s="167"/>
      <c r="D552" s="147"/>
      <c r="E552" s="147"/>
      <c r="F552" s="147"/>
      <c r="G552" s="147"/>
      <c r="H552" s="147"/>
      <c r="I552" s="147"/>
      <c r="J552" s="147"/>
      <c r="K552" s="3"/>
      <c r="L552" s="3"/>
      <c r="M552" s="3"/>
      <c r="N552" s="3"/>
      <c r="O552" s="3"/>
      <c r="P552" s="3"/>
      <c r="Q552" s="3"/>
      <c r="R552" s="3"/>
      <c r="S552" s="3"/>
      <c r="T552" s="3"/>
      <c r="U552" s="3"/>
      <c r="V552" s="3"/>
      <c r="W552" s="3"/>
      <c r="X552" s="3"/>
      <c r="Y552" s="3"/>
      <c r="Z552" s="3"/>
    </row>
    <row r="553" spans="1:26" ht="22.5" customHeight="1" x14ac:dyDescent="0.85">
      <c r="A553" s="166"/>
      <c r="B553" s="167"/>
      <c r="C553" s="167"/>
      <c r="D553" s="147"/>
      <c r="E553" s="147"/>
      <c r="F553" s="147"/>
      <c r="G553" s="147"/>
      <c r="H553" s="147"/>
      <c r="I553" s="147"/>
      <c r="J553" s="147"/>
      <c r="K553" s="3"/>
      <c r="L553" s="3"/>
      <c r="M553" s="3"/>
      <c r="N553" s="3"/>
      <c r="O553" s="3"/>
      <c r="P553" s="3"/>
      <c r="Q553" s="3"/>
      <c r="R553" s="3"/>
      <c r="S553" s="3"/>
      <c r="T553" s="3"/>
      <c r="U553" s="3"/>
      <c r="V553" s="3"/>
      <c r="W553" s="3"/>
      <c r="X553" s="3"/>
      <c r="Y553" s="3"/>
      <c r="Z553" s="3"/>
    </row>
    <row r="554" spans="1:26" ht="22.5" customHeight="1" x14ac:dyDescent="0.85">
      <c r="A554" s="166"/>
      <c r="B554" s="167"/>
      <c r="C554" s="167"/>
      <c r="D554" s="147"/>
      <c r="E554" s="147"/>
      <c r="F554" s="147"/>
      <c r="G554" s="147"/>
      <c r="H554" s="147"/>
      <c r="I554" s="147"/>
      <c r="J554" s="147"/>
      <c r="K554" s="3"/>
      <c r="L554" s="3"/>
      <c r="M554" s="3"/>
      <c r="N554" s="3"/>
      <c r="O554" s="3"/>
      <c r="P554" s="3"/>
      <c r="Q554" s="3"/>
      <c r="R554" s="3"/>
      <c r="S554" s="3"/>
      <c r="T554" s="3"/>
      <c r="U554" s="3"/>
      <c r="V554" s="3"/>
      <c r="W554" s="3"/>
      <c r="X554" s="3"/>
      <c r="Y554" s="3"/>
      <c r="Z554" s="3"/>
    </row>
    <row r="555" spans="1:26" ht="22.5" customHeight="1" x14ac:dyDescent="0.85">
      <c r="A555" s="166"/>
      <c r="B555" s="167"/>
      <c r="C555" s="167"/>
      <c r="D555" s="147"/>
      <c r="E555" s="147"/>
      <c r="F555" s="147"/>
      <c r="G555" s="147"/>
      <c r="H555" s="147"/>
      <c r="I555" s="147"/>
      <c r="J555" s="147"/>
      <c r="K555" s="3"/>
      <c r="L555" s="3"/>
      <c r="M555" s="3"/>
      <c r="N555" s="3"/>
      <c r="O555" s="3"/>
      <c r="P555" s="3"/>
      <c r="Q555" s="3"/>
      <c r="R555" s="3"/>
      <c r="S555" s="3"/>
      <c r="T555" s="3"/>
      <c r="U555" s="3"/>
      <c r="V555" s="3"/>
      <c r="W555" s="3"/>
      <c r="X555" s="3"/>
      <c r="Y555" s="3"/>
      <c r="Z555" s="3"/>
    </row>
    <row r="556" spans="1:26" ht="22.5" customHeight="1" x14ac:dyDescent="0.85">
      <c r="A556" s="166"/>
      <c r="B556" s="167"/>
      <c r="C556" s="167"/>
      <c r="D556" s="147"/>
      <c r="E556" s="147"/>
      <c r="F556" s="147"/>
      <c r="G556" s="147"/>
      <c r="H556" s="147"/>
      <c r="I556" s="147"/>
      <c r="J556" s="147"/>
      <c r="K556" s="3"/>
      <c r="L556" s="3"/>
      <c r="M556" s="3"/>
      <c r="N556" s="3"/>
      <c r="O556" s="3"/>
      <c r="P556" s="3"/>
      <c r="Q556" s="3"/>
      <c r="R556" s="3"/>
      <c r="S556" s="3"/>
      <c r="T556" s="3"/>
      <c r="U556" s="3"/>
      <c r="V556" s="3"/>
      <c r="W556" s="3"/>
      <c r="X556" s="3"/>
      <c r="Y556" s="3"/>
      <c r="Z556" s="3"/>
    </row>
    <row r="557" spans="1:26" ht="22.5" customHeight="1" x14ac:dyDescent="0.85">
      <c r="A557" s="166"/>
      <c r="B557" s="167"/>
      <c r="C557" s="167"/>
      <c r="D557" s="147"/>
      <c r="E557" s="147"/>
      <c r="F557" s="147"/>
      <c r="G557" s="147"/>
      <c r="H557" s="147"/>
      <c r="I557" s="147"/>
      <c r="J557" s="147"/>
      <c r="K557" s="3"/>
      <c r="L557" s="3"/>
      <c r="M557" s="3"/>
      <c r="N557" s="3"/>
      <c r="O557" s="3"/>
      <c r="P557" s="3"/>
      <c r="Q557" s="3"/>
      <c r="R557" s="3"/>
      <c r="S557" s="3"/>
      <c r="T557" s="3"/>
      <c r="U557" s="3"/>
      <c r="V557" s="3"/>
      <c r="W557" s="3"/>
      <c r="X557" s="3"/>
      <c r="Y557" s="3"/>
      <c r="Z557" s="3"/>
    </row>
    <row r="558" spans="1:26" ht="22.5" customHeight="1" x14ac:dyDescent="0.85">
      <c r="A558" s="166"/>
      <c r="B558" s="167"/>
      <c r="C558" s="167"/>
      <c r="D558" s="147"/>
      <c r="E558" s="147"/>
      <c r="F558" s="147"/>
      <c r="G558" s="147"/>
      <c r="H558" s="147"/>
      <c r="I558" s="147"/>
      <c r="J558" s="147"/>
      <c r="K558" s="3"/>
      <c r="L558" s="3"/>
      <c r="M558" s="3"/>
      <c r="N558" s="3"/>
      <c r="O558" s="3"/>
      <c r="P558" s="3"/>
      <c r="Q558" s="3"/>
      <c r="R558" s="3"/>
      <c r="S558" s="3"/>
      <c r="T558" s="3"/>
      <c r="U558" s="3"/>
      <c r="V558" s="3"/>
      <c r="W558" s="3"/>
      <c r="X558" s="3"/>
      <c r="Y558" s="3"/>
      <c r="Z558" s="3"/>
    </row>
    <row r="559" spans="1:26" ht="22.5" customHeight="1" x14ac:dyDescent="0.85">
      <c r="A559" s="166"/>
      <c r="B559" s="167"/>
      <c r="C559" s="167"/>
      <c r="D559" s="147"/>
      <c r="E559" s="147"/>
      <c r="F559" s="147"/>
      <c r="G559" s="147"/>
      <c r="H559" s="147"/>
      <c r="I559" s="147"/>
      <c r="J559" s="147"/>
      <c r="K559" s="3"/>
      <c r="L559" s="3"/>
      <c r="M559" s="3"/>
      <c r="N559" s="3"/>
      <c r="O559" s="3"/>
      <c r="P559" s="3"/>
      <c r="Q559" s="3"/>
      <c r="R559" s="3"/>
      <c r="S559" s="3"/>
      <c r="T559" s="3"/>
      <c r="U559" s="3"/>
      <c r="V559" s="3"/>
      <c r="W559" s="3"/>
      <c r="X559" s="3"/>
      <c r="Y559" s="3"/>
      <c r="Z559" s="3"/>
    </row>
    <row r="560" spans="1:26" ht="22.5" customHeight="1" x14ac:dyDescent="0.85">
      <c r="A560" s="166"/>
      <c r="B560" s="167"/>
      <c r="C560" s="167"/>
      <c r="D560" s="147"/>
      <c r="E560" s="147"/>
      <c r="F560" s="147"/>
      <c r="G560" s="147"/>
      <c r="H560" s="147"/>
      <c r="I560" s="147"/>
      <c r="J560" s="147"/>
      <c r="K560" s="3"/>
      <c r="L560" s="3"/>
      <c r="M560" s="3"/>
      <c r="N560" s="3"/>
      <c r="O560" s="3"/>
      <c r="P560" s="3"/>
      <c r="Q560" s="3"/>
      <c r="R560" s="3"/>
      <c r="S560" s="3"/>
      <c r="T560" s="3"/>
      <c r="U560" s="3"/>
      <c r="V560" s="3"/>
      <c r="W560" s="3"/>
      <c r="X560" s="3"/>
      <c r="Y560" s="3"/>
      <c r="Z560" s="3"/>
    </row>
    <row r="561" spans="1:26" ht="22.5" customHeight="1" x14ac:dyDescent="0.85">
      <c r="A561" s="166"/>
      <c r="B561" s="167"/>
      <c r="C561" s="167"/>
      <c r="D561" s="147"/>
      <c r="E561" s="147"/>
      <c r="F561" s="147"/>
      <c r="G561" s="147"/>
      <c r="H561" s="147"/>
      <c r="I561" s="147"/>
      <c r="J561" s="147"/>
      <c r="K561" s="3"/>
      <c r="L561" s="3"/>
      <c r="M561" s="3"/>
      <c r="N561" s="3"/>
      <c r="O561" s="3"/>
      <c r="P561" s="3"/>
      <c r="Q561" s="3"/>
      <c r="R561" s="3"/>
      <c r="S561" s="3"/>
      <c r="T561" s="3"/>
      <c r="U561" s="3"/>
      <c r="V561" s="3"/>
      <c r="W561" s="3"/>
      <c r="X561" s="3"/>
      <c r="Y561" s="3"/>
      <c r="Z561" s="3"/>
    </row>
    <row r="562" spans="1:26" ht="22.5" customHeight="1" x14ac:dyDescent="0.85">
      <c r="A562" s="166"/>
      <c r="B562" s="167"/>
      <c r="C562" s="167"/>
      <c r="D562" s="147"/>
      <c r="E562" s="147"/>
      <c r="F562" s="147"/>
      <c r="G562" s="147"/>
      <c r="H562" s="147"/>
      <c r="I562" s="147"/>
      <c r="J562" s="147"/>
      <c r="K562" s="3"/>
      <c r="L562" s="3"/>
      <c r="M562" s="3"/>
      <c r="N562" s="3"/>
      <c r="O562" s="3"/>
      <c r="P562" s="3"/>
      <c r="Q562" s="3"/>
      <c r="R562" s="3"/>
      <c r="S562" s="3"/>
      <c r="T562" s="3"/>
      <c r="U562" s="3"/>
      <c r="V562" s="3"/>
      <c r="W562" s="3"/>
      <c r="X562" s="3"/>
      <c r="Y562" s="3"/>
      <c r="Z562" s="3"/>
    </row>
    <row r="563" spans="1:26" ht="22.5" customHeight="1" x14ac:dyDescent="0.85">
      <c r="A563" s="166"/>
      <c r="B563" s="167"/>
      <c r="C563" s="167"/>
      <c r="D563" s="147"/>
      <c r="E563" s="147"/>
      <c r="F563" s="147"/>
      <c r="G563" s="147"/>
      <c r="H563" s="147"/>
      <c r="I563" s="147"/>
      <c r="J563" s="147"/>
      <c r="K563" s="3"/>
      <c r="L563" s="3"/>
      <c r="M563" s="3"/>
      <c r="N563" s="3"/>
      <c r="O563" s="3"/>
      <c r="P563" s="3"/>
      <c r="Q563" s="3"/>
      <c r="R563" s="3"/>
      <c r="S563" s="3"/>
      <c r="T563" s="3"/>
      <c r="U563" s="3"/>
      <c r="V563" s="3"/>
      <c r="W563" s="3"/>
      <c r="X563" s="3"/>
      <c r="Y563" s="3"/>
      <c r="Z563" s="3"/>
    </row>
    <row r="564" spans="1:26" ht="22.5" customHeight="1" x14ac:dyDescent="0.85">
      <c r="A564" s="166"/>
      <c r="B564" s="167"/>
      <c r="C564" s="167"/>
      <c r="D564" s="147"/>
      <c r="E564" s="147"/>
      <c r="F564" s="147"/>
      <c r="G564" s="147"/>
      <c r="H564" s="147"/>
      <c r="I564" s="147"/>
      <c r="J564" s="147"/>
      <c r="K564" s="3"/>
      <c r="L564" s="3"/>
      <c r="M564" s="3"/>
      <c r="N564" s="3"/>
      <c r="O564" s="3"/>
      <c r="P564" s="3"/>
      <c r="Q564" s="3"/>
      <c r="R564" s="3"/>
      <c r="S564" s="3"/>
      <c r="T564" s="3"/>
      <c r="U564" s="3"/>
      <c r="V564" s="3"/>
      <c r="W564" s="3"/>
      <c r="X564" s="3"/>
      <c r="Y564" s="3"/>
      <c r="Z564" s="3"/>
    </row>
    <row r="565" spans="1:26" ht="22.5" customHeight="1" x14ac:dyDescent="0.85">
      <c r="A565" s="166"/>
      <c r="B565" s="167"/>
      <c r="C565" s="167"/>
      <c r="D565" s="147"/>
      <c r="E565" s="147"/>
      <c r="F565" s="147"/>
      <c r="G565" s="147"/>
      <c r="H565" s="147"/>
      <c r="I565" s="147"/>
      <c r="J565" s="147"/>
      <c r="K565" s="3"/>
      <c r="L565" s="3"/>
      <c r="M565" s="3"/>
      <c r="N565" s="3"/>
      <c r="O565" s="3"/>
      <c r="P565" s="3"/>
      <c r="Q565" s="3"/>
      <c r="R565" s="3"/>
      <c r="S565" s="3"/>
      <c r="T565" s="3"/>
      <c r="U565" s="3"/>
      <c r="V565" s="3"/>
      <c r="W565" s="3"/>
      <c r="X565" s="3"/>
      <c r="Y565" s="3"/>
      <c r="Z565" s="3"/>
    </row>
    <row r="566" spans="1:26" ht="22.5" customHeight="1" x14ac:dyDescent="0.85">
      <c r="A566" s="166"/>
      <c r="B566" s="167"/>
      <c r="C566" s="167"/>
      <c r="D566" s="147"/>
      <c r="E566" s="147"/>
      <c r="F566" s="147"/>
      <c r="G566" s="147"/>
      <c r="H566" s="147"/>
      <c r="I566" s="147"/>
      <c r="J566" s="147"/>
      <c r="K566" s="3"/>
      <c r="L566" s="3"/>
      <c r="M566" s="3"/>
      <c r="N566" s="3"/>
      <c r="O566" s="3"/>
      <c r="P566" s="3"/>
      <c r="Q566" s="3"/>
      <c r="R566" s="3"/>
      <c r="S566" s="3"/>
      <c r="T566" s="3"/>
      <c r="U566" s="3"/>
      <c r="V566" s="3"/>
      <c r="W566" s="3"/>
      <c r="X566" s="3"/>
      <c r="Y566" s="3"/>
      <c r="Z566" s="3"/>
    </row>
    <row r="567" spans="1:26" ht="22.5" customHeight="1" x14ac:dyDescent="0.85">
      <c r="A567" s="166"/>
      <c r="B567" s="167"/>
      <c r="C567" s="167"/>
      <c r="D567" s="147"/>
      <c r="E567" s="147"/>
      <c r="F567" s="147"/>
      <c r="G567" s="147"/>
      <c r="H567" s="147"/>
      <c r="I567" s="147"/>
      <c r="J567" s="147"/>
      <c r="K567" s="3"/>
      <c r="L567" s="3"/>
      <c r="M567" s="3"/>
      <c r="N567" s="3"/>
      <c r="O567" s="3"/>
      <c r="P567" s="3"/>
      <c r="Q567" s="3"/>
      <c r="R567" s="3"/>
      <c r="S567" s="3"/>
      <c r="T567" s="3"/>
      <c r="U567" s="3"/>
      <c r="V567" s="3"/>
      <c r="W567" s="3"/>
      <c r="X567" s="3"/>
      <c r="Y567" s="3"/>
      <c r="Z567" s="3"/>
    </row>
    <row r="568" spans="1:26" ht="22.5" customHeight="1" x14ac:dyDescent="0.85">
      <c r="A568" s="166"/>
      <c r="B568" s="167"/>
      <c r="C568" s="167"/>
      <c r="D568" s="147"/>
      <c r="E568" s="147"/>
      <c r="F568" s="147"/>
      <c r="G568" s="147"/>
      <c r="H568" s="147"/>
      <c r="I568" s="147"/>
      <c r="J568" s="147"/>
      <c r="K568" s="3"/>
      <c r="L568" s="3"/>
      <c r="M568" s="3"/>
      <c r="N568" s="3"/>
      <c r="O568" s="3"/>
      <c r="P568" s="3"/>
      <c r="Q568" s="3"/>
      <c r="R568" s="3"/>
      <c r="S568" s="3"/>
      <c r="T568" s="3"/>
      <c r="U568" s="3"/>
      <c r="V568" s="3"/>
      <c r="W568" s="3"/>
      <c r="X568" s="3"/>
      <c r="Y568" s="3"/>
      <c r="Z568" s="3"/>
    </row>
    <row r="569" spans="1:26" ht="22.5" customHeight="1" x14ac:dyDescent="0.85">
      <c r="A569" s="166"/>
      <c r="B569" s="167"/>
      <c r="C569" s="167"/>
      <c r="D569" s="147"/>
      <c r="E569" s="147"/>
      <c r="F569" s="147"/>
      <c r="G569" s="147"/>
      <c r="H569" s="147"/>
      <c r="I569" s="147"/>
      <c r="J569" s="147"/>
      <c r="K569" s="3"/>
      <c r="L569" s="3"/>
      <c r="M569" s="3"/>
      <c r="N569" s="3"/>
      <c r="O569" s="3"/>
      <c r="P569" s="3"/>
      <c r="Q569" s="3"/>
      <c r="R569" s="3"/>
      <c r="S569" s="3"/>
      <c r="T569" s="3"/>
      <c r="U569" s="3"/>
      <c r="V569" s="3"/>
      <c r="W569" s="3"/>
      <c r="X569" s="3"/>
      <c r="Y569" s="3"/>
      <c r="Z569" s="3"/>
    </row>
    <row r="570" spans="1:26" ht="22.5" customHeight="1" x14ac:dyDescent="0.85">
      <c r="A570" s="166"/>
      <c r="B570" s="167"/>
      <c r="C570" s="167"/>
      <c r="D570" s="147"/>
      <c r="E570" s="147"/>
      <c r="F570" s="147"/>
      <c r="G570" s="147"/>
      <c r="H570" s="147"/>
      <c r="I570" s="147"/>
      <c r="J570" s="147"/>
      <c r="K570" s="3"/>
      <c r="L570" s="3"/>
      <c r="M570" s="3"/>
      <c r="N570" s="3"/>
      <c r="O570" s="3"/>
      <c r="P570" s="3"/>
      <c r="Q570" s="3"/>
      <c r="R570" s="3"/>
      <c r="S570" s="3"/>
      <c r="T570" s="3"/>
      <c r="U570" s="3"/>
      <c r="V570" s="3"/>
      <c r="W570" s="3"/>
      <c r="X570" s="3"/>
      <c r="Y570" s="3"/>
      <c r="Z570" s="3"/>
    </row>
    <row r="571" spans="1:26" ht="22.5" customHeight="1" x14ac:dyDescent="0.85">
      <c r="A571" s="166"/>
      <c r="B571" s="167"/>
      <c r="C571" s="167"/>
      <c r="D571" s="147"/>
      <c r="E571" s="147"/>
      <c r="F571" s="147"/>
      <c r="G571" s="147"/>
      <c r="H571" s="147"/>
      <c r="I571" s="147"/>
      <c r="J571" s="147"/>
      <c r="K571" s="3"/>
      <c r="L571" s="3"/>
      <c r="M571" s="3"/>
      <c r="N571" s="3"/>
      <c r="O571" s="3"/>
      <c r="P571" s="3"/>
      <c r="Q571" s="3"/>
      <c r="R571" s="3"/>
      <c r="S571" s="3"/>
      <c r="T571" s="3"/>
      <c r="U571" s="3"/>
      <c r="V571" s="3"/>
      <c r="W571" s="3"/>
      <c r="X571" s="3"/>
      <c r="Y571" s="3"/>
      <c r="Z571" s="3"/>
    </row>
    <row r="572" spans="1:26" ht="22.5" customHeight="1" x14ac:dyDescent="0.85">
      <c r="A572" s="166"/>
      <c r="B572" s="167"/>
      <c r="C572" s="167"/>
      <c r="D572" s="147"/>
      <c r="E572" s="147"/>
      <c r="F572" s="147"/>
      <c r="G572" s="147"/>
      <c r="H572" s="147"/>
      <c r="I572" s="147"/>
      <c r="J572" s="147"/>
      <c r="K572" s="3"/>
      <c r="L572" s="3"/>
      <c r="M572" s="3"/>
      <c r="N572" s="3"/>
      <c r="O572" s="3"/>
      <c r="P572" s="3"/>
      <c r="Q572" s="3"/>
      <c r="R572" s="3"/>
      <c r="S572" s="3"/>
      <c r="T572" s="3"/>
      <c r="U572" s="3"/>
      <c r="V572" s="3"/>
      <c r="W572" s="3"/>
      <c r="X572" s="3"/>
      <c r="Y572" s="3"/>
      <c r="Z572" s="3"/>
    </row>
    <row r="573" spans="1:26" ht="22.5" customHeight="1" x14ac:dyDescent="0.85">
      <c r="A573" s="166"/>
      <c r="B573" s="167"/>
      <c r="C573" s="167"/>
      <c r="D573" s="147"/>
      <c r="E573" s="147"/>
      <c r="F573" s="147"/>
      <c r="G573" s="147"/>
      <c r="H573" s="147"/>
      <c r="I573" s="147"/>
      <c r="J573" s="147"/>
      <c r="K573" s="3"/>
      <c r="L573" s="3"/>
      <c r="M573" s="3"/>
      <c r="N573" s="3"/>
      <c r="O573" s="3"/>
      <c r="P573" s="3"/>
      <c r="Q573" s="3"/>
      <c r="R573" s="3"/>
      <c r="S573" s="3"/>
      <c r="T573" s="3"/>
      <c r="U573" s="3"/>
      <c r="V573" s="3"/>
      <c r="W573" s="3"/>
      <c r="X573" s="3"/>
      <c r="Y573" s="3"/>
      <c r="Z573" s="3"/>
    </row>
    <row r="574" spans="1:26" ht="22.5" customHeight="1" x14ac:dyDescent="0.85">
      <c r="A574" s="166"/>
      <c r="B574" s="167"/>
      <c r="C574" s="167"/>
      <c r="D574" s="147"/>
      <c r="E574" s="147"/>
      <c r="F574" s="147"/>
      <c r="G574" s="147"/>
      <c r="H574" s="147"/>
      <c r="I574" s="147"/>
      <c r="J574" s="147"/>
      <c r="K574" s="3"/>
      <c r="L574" s="3"/>
      <c r="M574" s="3"/>
      <c r="N574" s="3"/>
      <c r="O574" s="3"/>
      <c r="P574" s="3"/>
      <c r="Q574" s="3"/>
      <c r="R574" s="3"/>
      <c r="S574" s="3"/>
      <c r="T574" s="3"/>
      <c r="U574" s="3"/>
      <c r="V574" s="3"/>
      <c r="W574" s="3"/>
      <c r="X574" s="3"/>
      <c r="Y574" s="3"/>
      <c r="Z574" s="3"/>
    </row>
    <row r="575" spans="1:26" ht="22.5" customHeight="1" x14ac:dyDescent="0.85">
      <c r="A575" s="166"/>
      <c r="B575" s="167"/>
      <c r="C575" s="167"/>
      <c r="D575" s="147"/>
      <c r="E575" s="147"/>
      <c r="F575" s="147"/>
      <c r="G575" s="147"/>
      <c r="H575" s="147"/>
      <c r="I575" s="147"/>
      <c r="J575" s="147"/>
      <c r="K575" s="3"/>
      <c r="L575" s="3"/>
      <c r="M575" s="3"/>
      <c r="N575" s="3"/>
      <c r="O575" s="3"/>
      <c r="P575" s="3"/>
      <c r="Q575" s="3"/>
      <c r="R575" s="3"/>
      <c r="S575" s="3"/>
      <c r="T575" s="3"/>
      <c r="U575" s="3"/>
      <c r="V575" s="3"/>
      <c r="W575" s="3"/>
      <c r="X575" s="3"/>
      <c r="Y575" s="3"/>
      <c r="Z575" s="3"/>
    </row>
    <row r="576" spans="1:26" ht="22.5" customHeight="1" x14ac:dyDescent="0.85">
      <c r="A576" s="166"/>
      <c r="B576" s="167"/>
      <c r="C576" s="167"/>
      <c r="D576" s="147"/>
      <c r="E576" s="147"/>
      <c r="F576" s="147"/>
      <c r="G576" s="147"/>
      <c r="H576" s="147"/>
      <c r="I576" s="147"/>
      <c r="J576" s="147"/>
      <c r="K576" s="3"/>
      <c r="L576" s="3"/>
      <c r="M576" s="3"/>
      <c r="N576" s="3"/>
      <c r="O576" s="3"/>
      <c r="P576" s="3"/>
      <c r="Q576" s="3"/>
      <c r="R576" s="3"/>
      <c r="S576" s="3"/>
      <c r="T576" s="3"/>
      <c r="U576" s="3"/>
      <c r="V576" s="3"/>
      <c r="W576" s="3"/>
      <c r="X576" s="3"/>
      <c r="Y576" s="3"/>
      <c r="Z576" s="3"/>
    </row>
    <row r="577" spans="1:26" ht="22.5" customHeight="1" x14ac:dyDescent="0.85">
      <c r="A577" s="166"/>
      <c r="B577" s="167"/>
      <c r="C577" s="167"/>
      <c r="D577" s="147"/>
      <c r="E577" s="147"/>
      <c r="F577" s="147"/>
      <c r="G577" s="147"/>
      <c r="H577" s="147"/>
      <c r="I577" s="147"/>
      <c r="J577" s="147"/>
      <c r="K577" s="3"/>
      <c r="L577" s="3"/>
      <c r="M577" s="3"/>
      <c r="N577" s="3"/>
      <c r="O577" s="3"/>
      <c r="P577" s="3"/>
      <c r="Q577" s="3"/>
      <c r="R577" s="3"/>
      <c r="S577" s="3"/>
      <c r="T577" s="3"/>
      <c r="U577" s="3"/>
      <c r="V577" s="3"/>
      <c r="W577" s="3"/>
      <c r="X577" s="3"/>
      <c r="Y577" s="3"/>
      <c r="Z577" s="3"/>
    </row>
    <row r="578" spans="1:26" ht="22.5" customHeight="1" x14ac:dyDescent="0.85">
      <c r="A578" s="166"/>
      <c r="B578" s="167"/>
      <c r="C578" s="167"/>
      <c r="D578" s="147"/>
      <c r="E578" s="147"/>
      <c r="F578" s="147"/>
      <c r="G578" s="147"/>
      <c r="H578" s="147"/>
      <c r="I578" s="147"/>
      <c r="J578" s="147"/>
      <c r="K578" s="3"/>
      <c r="L578" s="3"/>
      <c r="M578" s="3"/>
      <c r="N578" s="3"/>
      <c r="O578" s="3"/>
      <c r="P578" s="3"/>
      <c r="Q578" s="3"/>
      <c r="R578" s="3"/>
      <c r="S578" s="3"/>
      <c r="T578" s="3"/>
      <c r="U578" s="3"/>
      <c r="V578" s="3"/>
      <c r="W578" s="3"/>
      <c r="X578" s="3"/>
      <c r="Y578" s="3"/>
      <c r="Z578" s="3"/>
    </row>
    <row r="579" spans="1:26" ht="22.5" customHeight="1" x14ac:dyDescent="0.85">
      <c r="A579" s="166"/>
      <c r="B579" s="167"/>
      <c r="C579" s="167"/>
      <c r="D579" s="147"/>
      <c r="E579" s="147"/>
      <c r="F579" s="147"/>
      <c r="G579" s="147"/>
      <c r="H579" s="147"/>
      <c r="I579" s="147"/>
      <c r="J579" s="147"/>
      <c r="K579" s="3"/>
      <c r="L579" s="3"/>
      <c r="M579" s="3"/>
      <c r="N579" s="3"/>
      <c r="O579" s="3"/>
      <c r="P579" s="3"/>
      <c r="Q579" s="3"/>
      <c r="R579" s="3"/>
      <c r="S579" s="3"/>
      <c r="T579" s="3"/>
      <c r="U579" s="3"/>
      <c r="V579" s="3"/>
      <c r="W579" s="3"/>
      <c r="X579" s="3"/>
      <c r="Y579" s="3"/>
      <c r="Z579" s="3"/>
    </row>
    <row r="580" spans="1:26" ht="22.5" customHeight="1" x14ac:dyDescent="0.85">
      <c r="A580" s="166"/>
      <c r="B580" s="167"/>
      <c r="C580" s="167"/>
      <c r="D580" s="147"/>
      <c r="E580" s="147"/>
      <c r="F580" s="147"/>
      <c r="G580" s="147"/>
      <c r="H580" s="147"/>
      <c r="I580" s="147"/>
      <c r="J580" s="147"/>
      <c r="K580" s="3"/>
      <c r="L580" s="3"/>
      <c r="M580" s="3"/>
      <c r="N580" s="3"/>
      <c r="O580" s="3"/>
      <c r="P580" s="3"/>
      <c r="Q580" s="3"/>
      <c r="R580" s="3"/>
      <c r="S580" s="3"/>
      <c r="T580" s="3"/>
      <c r="U580" s="3"/>
      <c r="V580" s="3"/>
      <c r="W580" s="3"/>
      <c r="X580" s="3"/>
      <c r="Y580" s="3"/>
      <c r="Z580" s="3"/>
    </row>
    <row r="581" spans="1:26" ht="22.5" customHeight="1" x14ac:dyDescent="0.85">
      <c r="A581" s="166"/>
      <c r="B581" s="167"/>
      <c r="C581" s="167"/>
      <c r="D581" s="147"/>
      <c r="E581" s="147"/>
      <c r="F581" s="147"/>
      <c r="G581" s="147"/>
      <c r="H581" s="147"/>
      <c r="I581" s="147"/>
      <c r="J581" s="147"/>
      <c r="K581" s="3"/>
      <c r="L581" s="3"/>
      <c r="M581" s="3"/>
      <c r="N581" s="3"/>
      <c r="O581" s="3"/>
      <c r="P581" s="3"/>
      <c r="Q581" s="3"/>
      <c r="R581" s="3"/>
      <c r="S581" s="3"/>
      <c r="T581" s="3"/>
      <c r="U581" s="3"/>
      <c r="V581" s="3"/>
      <c r="W581" s="3"/>
      <c r="X581" s="3"/>
      <c r="Y581" s="3"/>
      <c r="Z581" s="3"/>
    </row>
    <row r="582" spans="1:26" ht="22.5" customHeight="1" x14ac:dyDescent="0.85">
      <c r="A582" s="166"/>
      <c r="B582" s="167"/>
      <c r="C582" s="167"/>
      <c r="D582" s="147"/>
      <c r="E582" s="147"/>
      <c r="F582" s="147"/>
      <c r="G582" s="147"/>
      <c r="H582" s="147"/>
      <c r="I582" s="147"/>
      <c r="J582" s="147"/>
      <c r="K582" s="3"/>
      <c r="L582" s="3"/>
      <c r="M582" s="3"/>
      <c r="N582" s="3"/>
      <c r="O582" s="3"/>
      <c r="P582" s="3"/>
      <c r="Q582" s="3"/>
      <c r="R582" s="3"/>
      <c r="S582" s="3"/>
      <c r="T582" s="3"/>
      <c r="U582" s="3"/>
      <c r="V582" s="3"/>
      <c r="W582" s="3"/>
      <c r="X582" s="3"/>
      <c r="Y582" s="3"/>
      <c r="Z582" s="3"/>
    </row>
    <row r="583" spans="1:26" ht="22.5" customHeight="1" x14ac:dyDescent="0.85">
      <c r="A583" s="166"/>
      <c r="B583" s="167"/>
      <c r="C583" s="167"/>
      <c r="D583" s="147"/>
      <c r="E583" s="147"/>
      <c r="F583" s="147"/>
      <c r="G583" s="147"/>
      <c r="H583" s="147"/>
      <c r="I583" s="147"/>
      <c r="J583" s="147"/>
      <c r="K583" s="3"/>
      <c r="L583" s="3"/>
      <c r="M583" s="3"/>
      <c r="N583" s="3"/>
      <c r="O583" s="3"/>
      <c r="P583" s="3"/>
      <c r="Q583" s="3"/>
      <c r="R583" s="3"/>
      <c r="S583" s="3"/>
      <c r="T583" s="3"/>
      <c r="U583" s="3"/>
      <c r="V583" s="3"/>
      <c r="W583" s="3"/>
      <c r="X583" s="3"/>
      <c r="Y583" s="3"/>
      <c r="Z583" s="3"/>
    </row>
    <row r="584" spans="1:26" ht="22.5" customHeight="1" x14ac:dyDescent="0.85">
      <c r="A584" s="166"/>
      <c r="B584" s="167"/>
      <c r="C584" s="167"/>
      <c r="D584" s="147"/>
      <c r="E584" s="147"/>
      <c r="F584" s="147"/>
      <c r="G584" s="147"/>
      <c r="H584" s="147"/>
      <c r="I584" s="147"/>
      <c r="J584" s="147"/>
      <c r="K584" s="3"/>
      <c r="L584" s="3"/>
      <c r="M584" s="3"/>
      <c r="N584" s="3"/>
      <c r="O584" s="3"/>
      <c r="P584" s="3"/>
      <c r="Q584" s="3"/>
      <c r="R584" s="3"/>
      <c r="S584" s="3"/>
      <c r="T584" s="3"/>
      <c r="U584" s="3"/>
      <c r="V584" s="3"/>
      <c r="W584" s="3"/>
      <c r="X584" s="3"/>
      <c r="Y584" s="3"/>
      <c r="Z584" s="3"/>
    </row>
    <row r="585" spans="1:26" ht="22.5" customHeight="1" x14ac:dyDescent="0.85">
      <c r="A585" s="166"/>
      <c r="B585" s="167"/>
      <c r="C585" s="167"/>
      <c r="D585" s="147"/>
      <c r="E585" s="147"/>
      <c r="F585" s="147"/>
      <c r="G585" s="147"/>
      <c r="H585" s="147"/>
      <c r="I585" s="147"/>
      <c r="J585" s="147"/>
      <c r="K585" s="3"/>
      <c r="L585" s="3"/>
      <c r="M585" s="3"/>
      <c r="N585" s="3"/>
      <c r="O585" s="3"/>
      <c r="P585" s="3"/>
      <c r="Q585" s="3"/>
      <c r="R585" s="3"/>
      <c r="S585" s="3"/>
      <c r="T585" s="3"/>
      <c r="U585" s="3"/>
      <c r="V585" s="3"/>
      <c r="W585" s="3"/>
      <c r="X585" s="3"/>
      <c r="Y585" s="3"/>
      <c r="Z585" s="3"/>
    </row>
    <row r="586" spans="1:26" ht="22.5" customHeight="1" x14ac:dyDescent="0.85">
      <c r="A586" s="166"/>
      <c r="B586" s="167"/>
      <c r="C586" s="167"/>
      <c r="D586" s="147"/>
      <c r="E586" s="147"/>
      <c r="F586" s="147"/>
      <c r="G586" s="147"/>
      <c r="H586" s="147"/>
      <c r="I586" s="147"/>
      <c r="J586" s="147"/>
      <c r="K586" s="3"/>
      <c r="L586" s="3"/>
      <c r="M586" s="3"/>
      <c r="N586" s="3"/>
      <c r="O586" s="3"/>
      <c r="P586" s="3"/>
      <c r="Q586" s="3"/>
      <c r="R586" s="3"/>
      <c r="S586" s="3"/>
      <c r="T586" s="3"/>
      <c r="U586" s="3"/>
      <c r="V586" s="3"/>
      <c r="W586" s="3"/>
      <c r="X586" s="3"/>
      <c r="Y586" s="3"/>
      <c r="Z586" s="3"/>
    </row>
    <row r="587" spans="1:26" ht="22.5" customHeight="1" x14ac:dyDescent="0.85">
      <c r="A587" s="166"/>
      <c r="B587" s="167"/>
      <c r="C587" s="167"/>
      <c r="D587" s="147"/>
      <c r="E587" s="147"/>
      <c r="F587" s="147"/>
      <c r="G587" s="147"/>
      <c r="H587" s="147"/>
      <c r="I587" s="147"/>
      <c r="J587" s="147"/>
      <c r="K587" s="3"/>
      <c r="L587" s="3"/>
      <c r="M587" s="3"/>
      <c r="N587" s="3"/>
      <c r="O587" s="3"/>
      <c r="P587" s="3"/>
      <c r="Q587" s="3"/>
      <c r="R587" s="3"/>
      <c r="S587" s="3"/>
      <c r="T587" s="3"/>
      <c r="U587" s="3"/>
      <c r="V587" s="3"/>
      <c r="W587" s="3"/>
      <c r="X587" s="3"/>
      <c r="Y587" s="3"/>
      <c r="Z587" s="3"/>
    </row>
    <row r="588" spans="1:26" ht="22.5" customHeight="1" x14ac:dyDescent="0.85">
      <c r="A588" s="166"/>
      <c r="B588" s="167"/>
      <c r="C588" s="167"/>
      <c r="D588" s="147"/>
      <c r="E588" s="147"/>
      <c r="F588" s="147"/>
      <c r="G588" s="147"/>
      <c r="H588" s="147"/>
      <c r="I588" s="147"/>
      <c r="J588" s="147"/>
      <c r="K588" s="3"/>
      <c r="L588" s="3"/>
      <c r="M588" s="3"/>
      <c r="N588" s="3"/>
      <c r="O588" s="3"/>
      <c r="P588" s="3"/>
      <c r="Q588" s="3"/>
      <c r="R588" s="3"/>
      <c r="S588" s="3"/>
      <c r="T588" s="3"/>
      <c r="U588" s="3"/>
      <c r="V588" s="3"/>
      <c r="W588" s="3"/>
      <c r="X588" s="3"/>
      <c r="Y588" s="3"/>
      <c r="Z588" s="3"/>
    </row>
    <row r="589" spans="1:26" ht="22.5" customHeight="1" x14ac:dyDescent="0.85">
      <c r="A589" s="166"/>
      <c r="B589" s="167"/>
      <c r="C589" s="167"/>
      <c r="D589" s="147"/>
      <c r="E589" s="147"/>
      <c r="F589" s="147"/>
      <c r="G589" s="147"/>
      <c r="H589" s="147"/>
      <c r="I589" s="147"/>
      <c r="J589" s="147"/>
      <c r="K589" s="3"/>
      <c r="L589" s="3"/>
      <c r="M589" s="3"/>
      <c r="N589" s="3"/>
      <c r="O589" s="3"/>
      <c r="P589" s="3"/>
      <c r="Q589" s="3"/>
      <c r="R589" s="3"/>
      <c r="S589" s="3"/>
      <c r="T589" s="3"/>
      <c r="U589" s="3"/>
      <c r="V589" s="3"/>
      <c r="W589" s="3"/>
      <c r="X589" s="3"/>
      <c r="Y589" s="3"/>
      <c r="Z589" s="3"/>
    </row>
    <row r="590" spans="1:26" ht="22.5" customHeight="1" x14ac:dyDescent="0.85">
      <c r="A590" s="166"/>
      <c r="B590" s="167"/>
      <c r="C590" s="167"/>
      <c r="D590" s="147"/>
      <c r="E590" s="147"/>
      <c r="F590" s="147"/>
      <c r="G590" s="147"/>
      <c r="H590" s="147"/>
      <c r="I590" s="147"/>
      <c r="J590" s="147"/>
      <c r="K590" s="3"/>
      <c r="L590" s="3"/>
      <c r="M590" s="3"/>
      <c r="N590" s="3"/>
      <c r="O590" s="3"/>
      <c r="P590" s="3"/>
      <c r="Q590" s="3"/>
      <c r="R590" s="3"/>
      <c r="S590" s="3"/>
      <c r="T590" s="3"/>
      <c r="U590" s="3"/>
      <c r="V590" s="3"/>
      <c r="W590" s="3"/>
      <c r="X590" s="3"/>
      <c r="Y590" s="3"/>
      <c r="Z590" s="3"/>
    </row>
    <row r="591" spans="1:26" ht="22.5" customHeight="1" x14ac:dyDescent="0.85">
      <c r="A591" s="166"/>
      <c r="B591" s="167"/>
      <c r="C591" s="167"/>
      <c r="D591" s="147"/>
      <c r="E591" s="147"/>
      <c r="F591" s="147"/>
      <c r="G591" s="147"/>
      <c r="H591" s="147"/>
      <c r="I591" s="147"/>
      <c r="J591" s="147"/>
      <c r="K591" s="3"/>
      <c r="L591" s="3"/>
      <c r="M591" s="3"/>
      <c r="N591" s="3"/>
      <c r="O591" s="3"/>
      <c r="P591" s="3"/>
      <c r="Q591" s="3"/>
      <c r="R591" s="3"/>
      <c r="S591" s="3"/>
      <c r="T591" s="3"/>
      <c r="U591" s="3"/>
      <c r="V591" s="3"/>
      <c r="W591" s="3"/>
      <c r="X591" s="3"/>
      <c r="Y591" s="3"/>
      <c r="Z591" s="3"/>
    </row>
    <row r="592" spans="1:26" ht="22.5" customHeight="1" x14ac:dyDescent="0.85">
      <c r="A592" s="166"/>
      <c r="B592" s="167"/>
      <c r="C592" s="167"/>
      <c r="D592" s="147"/>
      <c r="E592" s="147"/>
      <c r="F592" s="147"/>
      <c r="G592" s="147"/>
      <c r="H592" s="147"/>
      <c r="I592" s="147"/>
      <c r="J592" s="147"/>
      <c r="K592" s="3"/>
      <c r="L592" s="3"/>
      <c r="M592" s="3"/>
      <c r="N592" s="3"/>
      <c r="O592" s="3"/>
      <c r="P592" s="3"/>
      <c r="Q592" s="3"/>
      <c r="R592" s="3"/>
      <c r="S592" s="3"/>
      <c r="T592" s="3"/>
      <c r="U592" s="3"/>
      <c r="V592" s="3"/>
      <c r="W592" s="3"/>
      <c r="X592" s="3"/>
      <c r="Y592" s="3"/>
      <c r="Z592" s="3"/>
    </row>
    <row r="593" spans="1:26" ht="22.5" customHeight="1" x14ac:dyDescent="0.85">
      <c r="A593" s="166"/>
      <c r="B593" s="167"/>
      <c r="C593" s="167"/>
      <c r="D593" s="147"/>
      <c r="E593" s="147"/>
      <c r="F593" s="147"/>
      <c r="G593" s="147"/>
      <c r="H593" s="147"/>
      <c r="I593" s="147"/>
      <c r="J593" s="147"/>
      <c r="K593" s="3"/>
      <c r="L593" s="3"/>
      <c r="M593" s="3"/>
      <c r="N593" s="3"/>
      <c r="O593" s="3"/>
      <c r="P593" s="3"/>
      <c r="Q593" s="3"/>
      <c r="R593" s="3"/>
      <c r="S593" s="3"/>
      <c r="T593" s="3"/>
      <c r="U593" s="3"/>
      <c r="V593" s="3"/>
      <c r="W593" s="3"/>
      <c r="X593" s="3"/>
      <c r="Y593" s="3"/>
      <c r="Z593" s="3"/>
    </row>
    <row r="594" spans="1:26" ht="22.5" customHeight="1" x14ac:dyDescent="0.85">
      <c r="A594" s="166"/>
      <c r="B594" s="167"/>
      <c r="C594" s="167"/>
      <c r="D594" s="147"/>
      <c r="E594" s="147"/>
      <c r="F594" s="147"/>
      <c r="G594" s="147"/>
      <c r="H594" s="147"/>
      <c r="I594" s="147"/>
      <c r="J594" s="147"/>
      <c r="K594" s="3"/>
      <c r="L594" s="3"/>
      <c r="M594" s="3"/>
      <c r="N594" s="3"/>
      <c r="O594" s="3"/>
      <c r="P594" s="3"/>
      <c r="Q594" s="3"/>
      <c r="R594" s="3"/>
      <c r="S594" s="3"/>
      <c r="T594" s="3"/>
      <c r="U594" s="3"/>
      <c r="V594" s="3"/>
      <c r="W594" s="3"/>
      <c r="X594" s="3"/>
      <c r="Y594" s="3"/>
      <c r="Z594" s="3"/>
    </row>
    <row r="595" spans="1:26" ht="22.5" customHeight="1" x14ac:dyDescent="0.85">
      <c r="A595" s="166"/>
      <c r="B595" s="167"/>
      <c r="C595" s="167"/>
      <c r="D595" s="147"/>
      <c r="E595" s="147"/>
      <c r="F595" s="147"/>
      <c r="G595" s="147"/>
      <c r="H595" s="147"/>
      <c r="I595" s="147"/>
      <c r="J595" s="147"/>
      <c r="K595" s="3"/>
      <c r="L595" s="3"/>
      <c r="M595" s="3"/>
      <c r="N595" s="3"/>
      <c r="O595" s="3"/>
      <c r="P595" s="3"/>
      <c r="Q595" s="3"/>
      <c r="R595" s="3"/>
      <c r="S595" s="3"/>
      <c r="T595" s="3"/>
      <c r="U595" s="3"/>
      <c r="V595" s="3"/>
      <c r="W595" s="3"/>
      <c r="X595" s="3"/>
      <c r="Y595" s="3"/>
      <c r="Z595" s="3"/>
    </row>
    <row r="596" spans="1:26" ht="22.5" customHeight="1" x14ac:dyDescent="0.85">
      <c r="A596" s="166"/>
      <c r="B596" s="167"/>
      <c r="C596" s="167"/>
      <c r="D596" s="147"/>
      <c r="E596" s="147"/>
      <c r="F596" s="147"/>
      <c r="G596" s="147"/>
      <c r="H596" s="147"/>
      <c r="I596" s="147"/>
      <c r="J596" s="147"/>
      <c r="K596" s="3"/>
      <c r="L596" s="3"/>
      <c r="M596" s="3"/>
      <c r="N596" s="3"/>
      <c r="O596" s="3"/>
      <c r="P596" s="3"/>
      <c r="Q596" s="3"/>
      <c r="R596" s="3"/>
      <c r="S596" s="3"/>
      <c r="T596" s="3"/>
      <c r="U596" s="3"/>
      <c r="V596" s="3"/>
      <c r="W596" s="3"/>
      <c r="X596" s="3"/>
      <c r="Y596" s="3"/>
      <c r="Z596" s="3"/>
    </row>
    <row r="597" spans="1:26" ht="22.5" customHeight="1" x14ac:dyDescent="0.85">
      <c r="A597" s="166"/>
      <c r="B597" s="167"/>
      <c r="C597" s="167"/>
      <c r="D597" s="147"/>
      <c r="E597" s="147"/>
      <c r="F597" s="147"/>
      <c r="G597" s="147"/>
      <c r="H597" s="147"/>
      <c r="I597" s="147"/>
      <c r="J597" s="147"/>
      <c r="K597" s="3"/>
      <c r="L597" s="3"/>
      <c r="M597" s="3"/>
      <c r="N597" s="3"/>
      <c r="O597" s="3"/>
      <c r="P597" s="3"/>
      <c r="Q597" s="3"/>
      <c r="R597" s="3"/>
      <c r="S597" s="3"/>
      <c r="T597" s="3"/>
      <c r="U597" s="3"/>
      <c r="V597" s="3"/>
      <c r="W597" s="3"/>
      <c r="X597" s="3"/>
      <c r="Y597" s="3"/>
      <c r="Z597" s="3"/>
    </row>
    <row r="598" spans="1:26" ht="22.5" customHeight="1" x14ac:dyDescent="0.85">
      <c r="A598" s="166"/>
      <c r="B598" s="167"/>
      <c r="C598" s="167"/>
      <c r="D598" s="147"/>
      <c r="E598" s="147"/>
      <c r="F598" s="147"/>
      <c r="G598" s="147"/>
      <c r="H598" s="147"/>
      <c r="I598" s="147"/>
      <c r="J598" s="147"/>
      <c r="K598" s="3"/>
      <c r="L598" s="3"/>
      <c r="M598" s="3"/>
      <c r="N598" s="3"/>
      <c r="O598" s="3"/>
      <c r="P598" s="3"/>
      <c r="Q598" s="3"/>
      <c r="R598" s="3"/>
      <c r="S598" s="3"/>
      <c r="T598" s="3"/>
      <c r="U598" s="3"/>
      <c r="V598" s="3"/>
      <c r="W598" s="3"/>
      <c r="X598" s="3"/>
      <c r="Y598" s="3"/>
      <c r="Z598" s="3"/>
    </row>
    <row r="599" spans="1:26" ht="22.5" customHeight="1" x14ac:dyDescent="0.85">
      <c r="A599" s="166"/>
      <c r="B599" s="167"/>
      <c r="C599" s="167"/>
      <c r="D599" s="147"/>
      <c r="E599" s="147"/>
      <c r="F599" s="147"/>
      <c r="G599" s="147"/>
      <c r="H599" s="147"/>
      <c r="I599" s="147"/>
      <c r="J599" s="147"/>
      <c r="K599" s="3"/>
      <c r="L599" s="3"/>
      <c r="M599" s="3"/>
      <c r="N599" s="3"/>
      <c r="O599" s="3"/>
      <c r="P599" s="3"/>
      <c r="Q599" s="3"/>
      <c r="R599" s="3"/>
      <c r="S599" s="3"/>
      <c r="T599" s="3"/>
      <c r="U599" s="3"/>
      <c r="V599" s="3"/>
      <c r="W599" s="3"/>
      <c r="X599" s="3"/>
      <c r="Y599" s="3"/>
      <c r="Z599" s="3"/>
    </row>
    <row r="600" spans="1:26" ht="22.5" customHeight="1" x14ac:dyDescent="0.85">
      <c r="A600" s="166"/>
      <c r="B600" s="167"/>
      <c r="C600" s="167"/>
      <c r="D600" s="147"/>
      <c r="E600" s="147"/>
      <c r="F600" s="147"/>
      <c r="G600" s="147"/>
      <c r="H600" s="147"/>
      <c r="I600" s="147"/>
      <c r="J600" s="147"/>
      <c r="K600" s="3"/>
      <c r="L600" s="3"/>
      <c r="M600" s="3"/>
      <c r="N600" s="3"/>
      <c r="O600" s="3"/>
      <c r="P600" s="3"/>
      <c r="Q600" s="3"/>
      <c r="R600" s="3"/>
      <c r="S600" s="3"/>
      <c r="T600" s="3"/>
      <c r="U600" s="3"/>
      <c r="V600" s="3"/>
      <c r="W600" s="3"/>
      <c r="X600" s="3"/>
      <c r="Y600" s="3"/>
      <c r="Z600" s="3"/>
    </row>
    <row r="601" spans="1:26" ht="22.5" customHeight="1" x14ac:dyDescent="0.85">
      <c r="A601" s="166"/>
      <c r="B601" s="167"/>
      <c r="C601" s="167"/>
      <c r="D601" s="147"/>
      <c r="E601" s="147"/>
      <c r="F601" s="147"/>
      <c r="G601" s="147"/>
      <c r="H601" s="147"/>
      <c r="I601" s="147"/>
      <c r="J601" s="147"/>
      <c r="K601" s="3"/>
      <c r="L601" s="3"/>
      <c r="M601" s="3"/>
      <c r="N601" s="3"/>
      <c r="O601" s="3"/>
      <c r="P601" s="3"/>
      <c r="Q601" s="3"/>
      <c r="R601" s="3"/>
      <c r="S601" s="3"/>
      <c r="T601" s="3"/>
      <c r="U601" s="3"/>
      <c r="V601" s="3"/>
      <c r="W601" s="3"/>
      <c r="X601" s="3"/>
      <c r="Y601" s="3"/>
      <c r="Z601" s="3"/>
    </row>
    <row r="602" spans="1:26" ht="22.5" customHeight="1" x14ac:dyDescent="0.85">
      <c r="A602" s="166"/>
      <c r="B602" s="167"/>
      <c r="C602" s="167"/>
      <c r="D602" s="147"/>
      <c r="E602" s="147"/>
      <c r="F602" s="147"/>
      <c r="G602" s="147"/>
      <c r="H602" s="147"/>
      <c r="I602" s="147"/>
      <c r="J602" s="147"/>
      <c r="K602" s="3"/>
      <c r="L602" s="3"/>
      <c r="M602" s="3"/>
      <c r="N602" s="3"/>
      <c r="O602" s="3"/>
      <c r="P602" s="3"/>
      <c r="Q602" s="3"/>
      <c r="R602" s="3"/>
      <c r="S602" s="3"/>
      <c r="T602" s="3"/>
      <c r="U602" s="3"/>
      <c r="V602" s="3"/>
      <c r="W602" s="3"/>
      <c r="X602" s="3"/>
      <c r="Y602" s="3"/>
      <c r="Z602" s="3"/>
    </row>
    <row r="603" spans="1:26" ht="22.5" customHeight="1" x14ac:dyDescent="0.85">
      <c r="A603" s="166"/>
      <c r="B603" s="167"/>
      <c r="C603" s="167"/>
      <c r="D603" s="147"/>
      <c r="E603" s="147"/>
      <c r="F603" s="147"/>
      <c r="G603" s="147"/>
      <c r="H603" s="147"/>
      <c r="I603" s="147"/>
      <c r="J603" s="147"/>
      <c r="K603" s="3"/>
      <c r="L603" s="3"/>
      <c r="M603" s="3"/>
      <c r="N603" s="3"/>
      <c r="O603" s="3"/>
      <c r="P603" s="3"/>
      <c r="Q603" s="3"/>
      <c r="R603" s="3"/>
      <c r="S603" s="3"/>
      <c r="T603" s="3"/>
      <c r="U603" s="3"/>
      <c r="V603" s="3"/>
      <c r="W603" s="3"/>
      <c r="X603" s="3"/>
      <c r="Y603" s="3"/>
      <c r="Z603" s="3"/>
    </row>
    <row r="604" spans="1:26" ht="22.5" customHeight="1" x14ac:dyDescent="0.85">
      <c r="A604" s="166"/>
      <c r="B604" s="167"/>
      <c r="C604" s="167"/>
      <c r="D604" s="147"/>
      <c r="E604" s="147"/>
      <c r="F604" s="147"/>
      <c r="G604" s="147"/>
      <c r="H604" s="147"/>
      <c r="I604" s="147"/>
      <c r="J604" s="147"/>
      <c r="K604" s="3"/>
      <c r="L604" s="3"/>
      <c r="M604" s="3"/>
      <c r="N604" s="3"/>
      <c r="O604" s="3"/>
      <c r="P604" s="3"/>
      <c r="Q604" s="3"/>
      <c r="R604" s="3"/>
      <c r="S604" s="3"/>
      <c r="T604" s="3"/>
      <c r="U604" s="3"/>
      <c r="V604" s="3"/>
      <c r="W604" s="3"/>
      <c r="X604" s="3"/>
      <c r="Y604" s="3"/>
      <c r="Z604" s="3"/>
    </row>
    <row r="605" spans="1:26" ht="22.5" customHeight="1" x14ac:dyDescent="0.85">
      <c r="A605" s="166"/>
      <c r="B605" s="167"/>
      <c r="C605" s="167"/>
      <c r="D605" s="147"/>
      <c r="E605" s="147"/>
      <c r="F605" s="147"/>
      <c r="G605" s="147"/>
      <c r="H605" s="147"/>
      <c r="I605" s="147"/>
      <c r="J605" s="147"/>
      <c r="K605" s="3"/>
      <c r="L605" s="3"/>
      <c r="M605" s="3"/>
      <c r="N605" s="3"/>
      <c r="O605" s="3"/>
      <c r="P605" s="3"/>
      <c r="Q605" s="3"/>
      <c r="R605" s="3"/>
      <c r="S605" s="3"/>
      <c r="T605" s="3"/>
      <c r="U605" s="3"/>
      <c r="V605" s="3"/>
      <c r="W605" s="3"/>
      <c r="X605" s="3"/>
      <c r="Y605" s="3"/>
      <c r="Z605" s="3"/>
    </row>
    <row r="606" spans="1:26" ht="22.5" customHeight="1" x14ac:dyDescent="0.85">
      <c r="A606" s="166"/>
      <c r="B606" s="167"/>
      <c r="C606" s="167"/>
      <c r="D606" s="147"/>
      <c r="E606" s="147"/>
      <c r="F606" s="147"/>
      <c r="G606" s="147"/>
      <c r="H606" s="147"/>
      <c r="I606" s="147"/>
      <c r="J606" s="147"/>
      <c r="K606" s="3"/>
      <c r="L606" s="3"/>
      <c r="M606" s="3"/>
      <c r="N606" s="3"/>
      <c r="O606" s="3"/>
      <c r="P606" s="3"/>
      <c r="Q606" s="3"/>
      <c r="R606" s="3"/>
      <c r="S606" s="3"/>
      <c r="T606" s="3"/>
      <c r="U606" s="3"/>
      <c r="V606" s="3"/>
      <c r="W606" s="3"/>
      <c r="X606" s="3"/>
      <c r="Y606" s="3"/>
      <c r="Z606" s="3"/>
    </row>
    <row r="607" spans="1:26" ht="22.5" customHeight="1" x14ac:dyDescent="0.85">
      <c r="A607" s="166"/>
      <c r="B607" s="167"/>
      <c r="C607" s="167"/>
      <c r="D607" s="147"/>
      <c r="E607" s="147"/>
      <c r="F607" s="147"/>
      <c r="G607" s="147"/>
      <c r="H607" s="147"/>
      <c r="I607" s="147"/>
      <c r="J607" s="147"/>
      <c r="K607" s="3"/>
      <c r="L607" s="3"/>
      <c r="M607" s="3"/>
      <c r="N607" s="3"/>
      <c r="O607" s="3"/>
      <c r="P607" s="3"/>
      <c r="Q607" s="3"/>
      <c r="R607" s="3"/>
      <c r="S607" s="3"/>
      <c r="T607" s="3"/>
      <c r="U607" s="3"/>
      <c r="V607" s="3"/>
      <c r="W607" s="3"/>
      <c r="X607" s="3"/>
      <c r="Y607" s="3"/>
      <c r="Z607" s="3"/>
    </row>
    <row r="608" spans="1:26" ht="22.5" customHeight="1" x14ac:dyDescent="0.85">
      <c r="A608" s="166"/>
      <c r="B608" s="167"/>
      <c r="C608" s="167"/>
      <c r="D608" s="147"/>
      <c r="E608" s="147"/>
      <c r="F608" s="147"/>
      <c r="G608" s="147"/>
      <c r="H608" s="147"/>
      <c r="I608" s="147"/>
      <c r="J608" s="147"/>
      <c r="K608" s="3"/>
      <c r="L608" s="3"/>
      <c r="M608" s="3"/>
      <c r="N608" s="3"/>
      <c r="O608" s="3"/>
      <c r="P608" s="3"/>
      <c r="Q608" s="3"/>
      <c r="R608" s="3"/>
      <c r="S608" s="3"/>
      <c r="T608" s="3"/>
      <c r="U608" s="3"/>
      <c r="V608" s="3"/>
      <c r="W608" s="3"/>
      <c r="X608" s="3"/>
      <c r="Y608" s="3"/>
      <c r="Z608" s="3"/>
    </row>
    <row r="609" spans="1:26" ht="22.5" customHeight="1" x14ac:dyDescent="0.85">
      <c r="A609" s="166"/>
      <c r="B609" s="167"/>
      <c r="C609" s="167"/>
      <c r="D609" s="147"/>
      <c r="E609" s="147"/>
      <c r="F609" s="147"/>
      <c r="G609" s="147"/>
      <c r="H609" s="147"/>
      <c r="I609" s="147"/>
      <c r="J609" s="147"/>
      <c r="K609" s="3"/>
      <c r="L609" s="3"/>
      <c r="M609" s="3"/>
      <c r="N609" s="3"/>
      <c r="O609" s="3"/>
      <c r="P609" s="3"/>
      <c r="Q609" s="3"/>
      <c r="R609" s="3"/>
      <c r="S609" s="3"/>
      <c r="T609" s="3"/>
      <c r="U609" s="3"/>
      <c r="V609" s="3"/>
      <c r="W609" s="3"/>
      <c r="X609" s="3"/>
      <c r="Y609" s="3"/>
      <c r="Z609" s="3"/>
    </row>
    <row r="610" spans="1:26" ht="22.5" customHeight="1" x14ac:dyDescent="0.85">
      <c r="A610" s="166"/>
      <c r="B610" s="167"/>
      <c r="C610" s="167"/>
      <c r="D610" s="147"/>
      <c r="E610" s="147"/>
      <c r="F610" s="147"/>
      <c r="G610" s="147"/>
      <c r="H610" s="147"/>
      <c r="I610" s="147"/>
      <c r="J610" s="147"/>
      <c r="K610" s="3"/>
      <c r="L610" s="3"/>
      <c r="M610" s="3"/>
      <c r="N610" s="3"/>
      <c r="O610" s="3"/>
      <c r="P610" s="3"/>
      <c r="Q610" s="3"/>
      <c r="R610" s="3"/>
      <c r="S610" s="3"/>
      <c r="T610" s="3"/>
      <c r="U610" s="3"/>
      <c r="V610" s="3"/>
      <c r="W610" s="3"/>
      <c r="X610" s="3"/>
      <c r="Y610" s="3"/>
      <c r="Z610" s="3"/>
    </row>
    <row r="611" spans="1:26" ht="22.5" customHeight="1" x14ac:dyDescent="0.85">
      <c r="A611" s="166"/>
      <c r="B611" s="167"/>
      <c r="C611" s="167"/>
      <c r="D611" s="147"/>
      <c r="E611" s="147"/>
      <c r="F611" s="147"/>
      <c r="G611" s="147"/>
      <c r="H611" s="147"/>
      <c r="I611" s="147"/>
      <c r="J611" s="147"/>
      <c r="K611" s="3"/>
      <c r="L611" s="3"/>
      <c r="M611" s="3"/>
      <c r="N611" s="3"/>
      <c r="O611" s="3"/>
      <c r="P611" s="3"/>
      <c r="Q611" s="3"/>
      <c r="R611" s="3"/>
      <c r="S611" s="3"/>
      <c r="T611" s="3"/>
      <c r="U611" s="3"/>
      <c r="V611" s="3"/>
      <c r="W611" s="3"/>
      <c r="X611" s="3"/>
      <c r="Y611" s="3"/>
      <c r="Z611" s="3"/>
    </row>
    <row r="612" spans="1:26" ht="22.5" customHeight="1" x14ac:dyDescent="0.85">
      <c r="A612" s="166"/>
      <c r="B612" s="167"/>
      <c r="C612" s="167"/>
      <c r="D612" s="147"/>
      <c r="E612" s="147"/>
      <c r="F612" s="147"/>
      <c r="G612" s="147"/>
      <c r="H612" s="147"/>
      <c r="I612" s="147"/>
      <c r="J612" s="147"/>
      <c r="K612" s="3"/>
      <c r="L612" s="3"/>
      <c r="M612" s="3"/>
      <c r="N612" s="3"/>
      <c r="O612" s="3"/>
      <c r="P612" s="3"/>
      <c r="Q612" s="3"/>
      <c r="R612" s="3"/>
      <c r="S612" s="3"/>
      <c r="T612" s="3"/>
      <c r="U612" s="3"/>
      <c r="V612" s="3"/>
      <c r="W612" s="3"/>
      <c r="X612" s="3"/>
      <c r="Y612" s="3"/>
      <c r="Z612" s="3"/>
    </row>
    <row r="613" spans="1:26" ht="22.5" customHeight="1" x14ac:dyDescent="0.85">
      <c r="A613" s="166"/>
      <c r="B613" s="167"/>
      <c r="C613" s="167"/>
      <c r="D613" s="147"/>
      <c r="E613" s="147"/>
      <c r="F613" s="147"/>
      <c r="G613" s="147"/>
      <c r="H613" s="147"/>
      <c r="I613" s="147"/>
      <c r="J613" s="147"/>
      <c r="K613" s="3"/>
      <c r="L613" s="3"/>
      <c r="M613" s="3"/>
      <c r="N613" s="3"/>
      <c r="O613" s="3"/>
      <c r="P613" s="3"/>
      <c r="Q613" s="3"/>
      <c r="R613" s="3"/>
      <c r="S613" s="3"/>
      <c r="T613" s="3"/>
      <c r="U613" s="3"/>
      <c r="V613" s="3"/>
      <c r="W613" s="3"/>
      <c r="X613" s="3"/>
      <c r="Y613" s="3"/>
      <c r="Z613" s="3"/>
    </row>
    <row r="614" spans="1:26" ht="22.5" customHeight="1" x14ac:dyDescent="0.85">
      <c r="A614" s="166"/>
      <c r="B614" s="167"/>
      <c r="C614" s="167"/>
      <c r="D614" s="147"/>
      <c r="E614" s="147"/>
      <c r="F614" s="147"/>
      <c r="G614" s="147"/>
      <c r="H614" s="147"/>
      <c r="I614" s="147"/>
      <c r="J614" s="147"/>
      <c r="K614" s="3"/>
      <c r="L614" s="3"/>
      <c r="M614" s="3"/>
      <c r="N614" s="3"/>
      <c r="O614" s="3"/>
      <c r="P614" s="3"/>
      <c r="Q614" s="3"/>
      <c r="R614" s="3"/>
      <c r="S614" s="3"/>
      <c r="T614" s="3"/>
      <c r="U614" s="3"/>
      <c r="V614" s="3"/>
      <c r="W614" s="3"/>
      <c r="X614" s="3"/>
      <c r="Y614" s="3"/>
      <c r="Z614" s="3"/>
    </row>
    <row r="615" spans="1:26" ht="22.5" customHeight="1" x14ac:dyDescent="0.85">
      <c r="A615" s="166"/>
      <c r="B615" s="167"/>
      <c r="C615" s="167"/>
      <c r="D615" s="147"/>
      <c r="E615" s="147"/>
      <c r="F615" s="147"/>
      <c r="G615" s="147"/>
      <c r="H615" s="147"/>
      <c r="I615" s="147"/>
      <c r="J615" s="147"/>
      <c r="K615" s="3"/>
      <c r="L615" s="3"/>
      <c r="M615" s="3"/>
      <c r="N615" s="3"/>
      <c r="O615" s="3"/>
      <c r="P615" s="3"/>
      <c r="Q615" s="3"/>
      <c r="R615" s="3"/>
      <c r="S615" s="3"/>
      <c r="T615" s="3"/>
      <c r="U615" s="3"/>
      <c r="V615" s="3"/>
      <c r="W615" s="3"/>
      <c r="X615" s="3"/>
      <c r="Y615" s="3"/>
      <c r="Z615" s="3"/>
    </row>
    <row r="616" spans="1:26" ht="22.5" customHeight="1" x14ac:dyDescent="0.85">
      <c r="A616" s="166"/>
      <c r="B616" s="167"/>
      <c r="C616" s="167"/>
      <c r="D616" s="147"/>
      <c r="E616" s="147"/>
      <c r="F616" s="147"/>
      <c r="G616" s="147"/>
      <c r="H616" s="147"/>
      <c r="I616" s="147"/>
      <c r="J616" s="147"/>
      <c r="K616" s="3"/>
      <c r="L616" s="3"/>
      <c r="M616" s="3"/>
      <c r="N616" s="3"/>
      <c r="O616" s="3"/>
      <c r="P616" s="3"/>
      <c r="Q616" s="3"/>
      <c r="R616" s="3"/>
      <c r="S616" s="3"/>
      <c r="T616" s="3"/>
      <c r="U616" s="3"/>
      <c r="V616" s="3"/>
      <c r="W616" s="3"/>
      <c r="X616" s="3"/>
      <c r="Y616" s="3"/>
      <c r="Z616" s="3"/>
    </row>
    <row r="617" spans="1:26" ht="22.5" customHeight="1" x14ac:dyDescent="0.85">
      <c r="A617" s="166"/>
      <c r="B617" s="167"/>
      <c r="C617" s="167"/>
      <c r="D617" s="147"/>
      <c r="E617" s="147"/>
      <c r="F617" s="147"/>
      <c r="G617" s="147"/>
      <c r="H617" s="147"/>
      <c r="I617" s="147"/>
      <c r="J617" s="147"/>
      <c r="K617" s="3"/>
      <c r="L617" s="3"/>
      <c r="M617" s="3"/>
      <c r="N617" s="3"/>
      <c r="O617" s="3"/>
      <c r="P617" s="3"/>
      <c r="Q617" s="3"/>
      <c r="R617" s="3"/>
      <c r="S617" s="3"/>
      <c r="T617" s="3"/>
      <c r="U617" s="3"/>
      <c r="V617" s="3"/>
      <c r="W617" s="3"/>
      <c r="X617" s="3"/>
      <c r="Y617" s="3"/>
      <c r="Z617" s="3"/>
    </row>
    <row r="618" spans="1:26" ht="22.5" customHeight="1" x14ac:dyDescent="0.85">
      <c r="A618" s="166"/>
      <c r="B618" s="167"/>
      <c r="C618" s="167"/>
      <c r="D618" s="147"/>
      <c r="E618" s="147"/>
      <c r="F618" s="147"/>
      <c r="G618" s="147"/>
      <c r="H618" s="147"/>
      <c r="I618" s="147"/>
      <c r="J618" s="147"/>
      <c r="K618" s="3"/>
      <c r="L618" s="3"/>
      <c r="M618" s="3"/>
      <c r="N618" s="3"/>
      <c r="O618" s="3"/>
      <c r="P618" s="3"/>
      <c r="Q618" s="3"/>
      <c r="R618" s="3"/>
      <c r="S618" s="3"/>
      <c r="T618" s="3"/>
      <c r="U618" s="3"/>
      <c r="V618" s="3"/>
      <c r="W618" s="3"/>
      <c r="X618" s="3"/>
      <c r="Y618" s="3"/>
      <c r="Z618" s="3"/>
    </row>
    <row r="619" spans="1:26" ht="22.5" customHeight="1" x14ac:dyDescent="0.85">
      <c r="A619" s="166"/>
      <c r="B619" s="167"/>
      <c r="C619" s="167"/>
      <c r="D619" s="147"/>
      <c r="E619" s="147"/>
      <c r="F619" s="147"/>
      <c r="G619" s="147"/>
      <c r="H619" s="147"/>
      <c r="I619" s="147"/>
      <c r="J619" s="147"/>
      <c r="K619" s="3"/>
      <c r="L619" s="3"/>
      <c r="M619" s="3"/>
      <c r="N619" s="3"/>
      <c r="O619" s="3"/>
      <c r="P619" s="3"/>
      <c r="Q619" s="3"/>
      <c r="R619" s="3"/>
      <c r="S619" s="3"/>
      <c r="T619" s="3"/>
      <c r="U619" s="3"/>
      <c r="V619" s="3"/>
      <c r="W619" s="3"/>
      <c r="X619" s="3"/>
      <c r="Y619" s="3"/>
      <c r="Z619" s="3"/>
    </row>
    <row r="620" spans="1:26" ht="22.5" customHeight="1" x14ac:dyDescent="0.85">
      <c r="A620" s="166"/>
      <c r="B620" s="167"/>
      <c r="C620" s="167"/>
      <c r="D620" s="147"/>
      <c r="E620" s="147"/>
      <c r="F620" s="147"/>
      <c r="G620" s="147"/>
      <c r="H620" s="147"/>
      <c r="I620" s="147"/>
      <c r="J620" s="147"/>
      <c r="K620" s="3"/>
      <c r="L620" s="3"/>
      <c r="M620" s="3"/>
      <c r="N620" s="3"/>
      <c r="O620" s="3"/>
      <c r="P620" s="3"/>
      <c r="Q620" s="3"/>
      <c r="R620" s="3"/>
      <c r="S620" s="3"/>
      <c r="T620" s="3"/>
      <c r="U620" s="3"/>
      <c r="V620" s="3"/>
      <c r="W620" s="3"/>
      <c r="X620" s="3"/>
      <c r="Y620" s="3"/>
      <c r="Z620" s="3"/>
    </row>
    <row r="621" spans="1:26" ht="22.5" customHeight="1" x14ac:dyDescent="0.85">
      <c r="A621" s="166"/>
      <c r="B621" s="167"/>
      <c r="C621" s="167"/>
      <c r="D621" s="147"/>
      <c r="E621" s="147"/>
      <c r="F621" s="147"/>
      <c r="G621" s="147"/>
      <c r="H621" s="147"/>
      <c r="I621" s="147"/>
      <c r="J621" s="147"/>
      <c r="K621" s="3"/>
      <c r="L621" s="3"/>
      <c r="M621" s="3"/>
      <c r="N621" s="3"/>
      <c r="O621" s="3"/>
      <c r="P621" s="3"/>
      <c r="Q621" s="3"/>
      <c r="R621" s="3"/>
      <c r="S621" s="3"/>
      <c r="T621" s="3"/>
      <c r="U621" s="3"/>
      <c r="V621" s="3"/>
      <c r="W621" s="3"/>
      <c r="X621" s="3"/>
      <c r="Y621" s="3"/>
      <c r="Z621" s="3"/>
    </row>
    <row r="622" spans="1:26" ht="22.5" customHeight="1" x14ac:dyDescent="0.85">
      <c r="A622" s="166"/>
      <c r="B622" s="167"/>
      <c r="C622" s="167"/>
      <c r="D622" s="147"/>
      <c r="E622" s="147"/>
      <c r="F622" s="147"/>
      <c r="G622" s="147"/>
      <c r="H622" s="147"/>
      <c r="I622" s="147"/>
      <c r="J622" s="147"/>
      <c r="K622" s="3"/>
      <c r="L622" s="3"/>
      <c r="M622" s="3"/>
      <c r="N622" s="3"/>
      <c r="O622" s="3"/>
      <c r="P622" s="3"/>
      <c r="Q622" s="3"/>
      <c r="R622" s="3"/>
      <c r="S622" s="3"/>
      <c r="T622" s="3"/>
      <c r="U622" s="3"/>
      <c r="V622" s="3"/>
      <c r="W622" s="3"/>
      <c r="X622" s="3"/>
      <c r="Y622" s="3"/>
      <c r="Z622" s="3"/>
    </row>
    <row r="623" spans="1:26" ht="22.5" customHeight="1" x14ac:dyDescent="0.85">
      <c r="A623" s="166"/>
      <c r="B623" s="167"/>
      <c r="C623" s="167"/>
      <c r="D623" s="147"/>
      <c r="E623" s="147"/>
      <c r="F623" s="147"/>
      <c r="G623" s="147"/>
      <c r="H623" s="147"/>
      <c r="I623" s="147"/>
      <c r="J623" s="147"/>
      <c r="K623" s="3"/>
      <c r="L623" s="3"/>
      <c r="M623" s="3"/>
      <c r="N623" s="3"/>
      <c r="O623" s="3"/>
      <c r="P623" s="3"/>
      <c r="Q623" s="3"/>
      <c r="R623" s="3"/>
      <c r="S623" s="3"/>
      <c r="T623" s="3"/>
      <c r="U623" s="3"/>
      <c r="V623" s="3"/>
      <c r="W623" s="3"/>
      <c r="X623" s="3"/>
      <c r="Y623" s="3"/>
      <c r="Z623" s="3"/>
    </row>
    <row r="624" spans="1:26" ht="22.5" customHeight="1" x14ac:dyDescent="0.85">
      <c r="A624" s="166"/>
      <c r="B624" s="167"/>
      <c r="C624" s="167"/>
      <c r="D624" s="147"/>
      <c r="E624" s="147"/>
      <c r="F624" s="147"/>
      <c r="G624" s="147"/>
      <c r="H624" s="147"/>
      <c r="I624" s="147"/>
      <c r="J624" s="147"/>
      <c r="K624" s="3"/>
      <c r="L624" s="3"/>
      <c r="M624" s="3"/>
      <c r="N624" s="3"/>
      <c r="O624" s="3"/>
      <c r="P624" s="3"/>
      <c r="Q624" s="3"/>
      <c r="R624" s="3"/>
      <c r="S624" s="3"/>
      <c r="T624" s="3"/>
      <c r="U624" s="3"/>
      <c r="V624" s="3"/>
      <c r="W624" s="3"/>
      <c r="X624" s="3"/>
      <c r="Y624" s="3"/>
      <c r="Z624" s="3"/>
    </row>
    <row r="625" spans="1:26" ht="22.5" customHeight="1" x14ac:dyDescent="0.85">
      <c r="A625" s="166"/>
      <c r="B625" s="167"/>
      <c r="C625" s="167"/>
      <c r="D625" s="147"/>
      <c r="E625" s="147"/>
      <c r="F625" s="147"/>
      <c r="G625" s="147"/>
      <c r="H625" s="147"/>
      <c r="I625" s="147"/>
      <c r="J625" s="147"/>
      <c r="K625" s="3"/>
      <c r="L625" s="3"/>
      <c r="M625" s="3"/>
      <c r="N625" s="3"/>
      <c r="O625" s="3"/>
      <c r="P625" s="3"/>
      <c r="Q625" s="3"/>
      <c r="R625" s="3"/>
      <c r="S625" s="3"/>
      <c r="T625" s="3"/>
      <c r="U625" s="3"/>
      <c r="V625" s="3"/>
      <c r="W625" s="3"/>
      <c r="X625" s="3"/>
      <c r="Y625" s="3"/>
      <c r="Z625" s="3"/>
    </row>
    <row r="626" spans="1:26" ht="22.5" customHeight="1" x14ac:dyDescent="0.85">
      <c r="A626" s="166"/>
      <c r="B626" s="167"/>
      <c r="C626" s="167"/>
      <c r="D626" s="147"/>
      <c r="E626" s="147"/>
      <c r="F626" s="147"/>
      <c r="G626" s="147"/>
      <c r="H626" s="147"/>
      <c r="I626" s="147"/>
      <c r="J626" s="147"/>
      <c r="K626" s="3"/>
      <c r="L626" s="3"/>
      <c r="M626" s="3"/>
      <c r="N626" s="3"/>
      <c r="O626" s="3"/>
      <c r="P626" s="3"/>
      <c r="Q626" s="3"/>
      <c r="R626" s="3"/>
      <c r="S626" s="3"/>
      <c r="T626" s="3"/>
      <c r="U626" s="3"/>
      <c r="V626" s="3"/>
      <c r="W626" s="3"/>
      <c r="X626" s="3"/>
      <c r="Y626" s="3"/>
      <c r="Z626" s="3"/>
    </row>
    <row r="627" spans="1:26" ht="22.5" customHeight="1" x14ac:dyDescent="0.85">
      <c r="A627" s="166"/>
      <c r="B627" s="167"/>
      <c r="C627" s="167"/>
      <c r="D627" s="147"/>
      <c r="E627" s="147"/>
      <c r="F627" s="147"/>
      <c r="G627" s="147"/>
      <c r="H627" s="147"/>
      <c r="I627" s="147"/>
      <c r="J627" s="147"/>
      <c r="K627" s="3"/>
      <c r="L627" s="3"/>
      <c r="M627" s="3"/>
      <c r="N627" s="3"/>
      <c r="O627" s="3"/>
      <c r="P627" s="3"/>
      <c r="Q627" s="3"/>
      <c r="R627" s="3"/>
      <c r="S627" s="3"/>
      <c r="T627" s="3"/>
      <c r="U627" s="3"/>
      <c r="V627" s="3"/>
      <c r="W627" s="3"/>
      <c r="X627" s="3"/>
      <c r="Y627" s="3"/>
      <c r="Z627" s="3"/>
    </row>
    <row r="628" spans="1:26" ht="22.5" customHeight="1" x14ac:dyDescent="0.85">
      <c r="A628" s="166"/>
      <c r="B628" s="167"/>
      <c r="C628" s="167"/>
      <c r="D628" s="147"/>
      <c r="E628" s="147"/>
      <c r="F628" s="147"/>
      <c r="G628" s="147"/>
      <c r="H628" s="147"/>
      <c r="I628" s="147"/>
      <c r="J628" s="147"/>
      <c r="K628" s="3"/>
      <c r="L628" s="3"/>
      <c r="M628" s="3"/>
      <c r="N628" s="3"/>
      <c r="O628" s="3"/>
      <c r="P628" s="3"/>
      <c r="Q628" s="3"/>
      <c r="R628" s="3"/>
      <c r="S628" s="3"/>
      <c r="T628" s="3"/>
      <c r="U628" s="3"/>
      <c r="V628" s="3"/>
      <c r="W628" s="3"/>
      <c r="X628" s="3"/>
      <c r="Y628" s="3"/>
      <c r="Z628" s="3"/>
    </row>
    <row r="629" spans="1:26" ht="22.5" customHeight="1" x14ac:dyDescent="0.85">
      <c r="A629" s="166"/>
      <c r="B629" s="167"/>
      <c r="C629" s="167"/>
      <c r="D629" s="147"/>
      <c r="E629" s="147"/>
      <c r="F629" s="147"/>
      <c r="G629" s="147"/>
      <c r="H629" s="147"/>
      <c r="I629" s="147"/>
      <c r="J629" s="147"/>
      <c r="K629" s="3"/>
      <c r="L629" s="3"/>
      <c r="M629" s="3"/>
      <c r="N629" s="3"/>
      <c r="O629" s="3"/>
      <c r="P629" s="3"/>
      <c r="Q629" s="3"/>
      <c r="R629" s="3"/>
      <c r="S629" s="3"/>
      <c r="T629" s="3"/>
      <c r="U629" s="3"/>
      <c r="V629" s="3"/>
      <c r="W629" s="3"/>
      <c r="X629" s="3"/>
      <c r="Y629" s="3"/>
      <c r="Z629" s="3"/>
    </row>
    <row r="630" spans="1:26" ht="22.5" customHeight="1" x14ac:dyDescent="0.85">
      <c r="A630" s="166"/>
      <c r="B630" s="167"/>
      <c r="C630" s="167"/>
      <c r="D630" s="147"/>
      <c r="E630" s="147"/>
      <c r="F630" s="147"/>
      <c r="G630" s="147"/>
      <c r="H630" s="147"/>
      <c r="I630" s="147"/>
      <c r="J630" s="147"/>
      <c r="K630" s="3"/>
      <c r="L630" s="3"/>
      <c r="M630" s="3"/>
      <c r="N630" s="3"/>
      <c r="O630" s="3"/>
      <c r="P630" s="3"/>
      <c r="Q630" s="3"/>
      <c r="R630" s="3"/>
      <c r="S630" s="3"/>
      <c r="T630" s="3"/>
      <c r="U630" s="3"/>
      <c r="V630" s="3"/>
      <c r="W630" s="3"/>
      <c r="X630" s="3"/>
      <c r="Y630" s="3"/>
      <c r="Z630" s="3"/>
    </row>
    <row r="631" spans="1:26" ht="22.5" customHeight="1" x14ac:dyDescent="0.85">
      <c r="A631" s="166"/>
      <c r="B631" s="167"/>
      <c r="C631" s="167"/>
      <c r="D631" s="147"/>
      <c r="E631" s="147"/>
      <c r="F631" s="147"/>
      <c r="G631" s="147"/>
      <c r="H631" s="147"/>
      <c r="I631" s="147"/>
      <c r="J631" s="147"/>
      <c r="K631" s="3"/>
      <c r="L631" s="3"/>
      <c r="M631" s="3"/>
      <c r="N631" s="3"/>
      <c r="O631" s="3"/>
      <c r="P631" s="3"/>
      <c r="Q631" s="3"/>
      <c r="R631" s="3"/>
      <c r="S631" s="3"/>
      <c r="T631" s="3"/>
      <c r="U631" s="3"/>
      <c r="V631" s="3"/>
      <c r="W631" s="3"/>
      <c r="X631" s="3"/>
      <c r="Y631" s="3"/>
      <c r="Z631" s="3"/>
    </row>
    <row r="632" spans="1:26" ht="22.5" customHeight="1" x14ac:dyDescent="0.85">
      <c r="A632" s="166"/>
      <c r="B632" s="167"/>
      <c r="C632" s="167"/>
      <c r="D632" s="147"/>
      <c r="E632" s="147"/>
      <c r="F632" s="147"/>
      <c r="G632" s="147"/>
      <c r="H632" s="147"/>
      <c r="I632" s="147"/>
      <c r="J632" s="147"/>
      <c r="K632" s="3"/>
      <c r="L632" s="3"/>
      <c r="M632" s="3"/>
      <c r="N632" s="3"/>
      <c r="O632" s="3"/>
      <c r="P632" s="3"/>
      <c r="Q632" s="3"/>
      <c r="R632" s="3"/>
      <c r="S632" s="3"/>
      <c r="T632" s="3"/>
      <c r="U632" s="3"/>
      <c r="V632" s="3"/>
      <c r="W632" s="3"/>
      <c r="X632" s="3"/>
      <c r="Y632" s="3"/>
      <c r="Z632" s="3"/>
    </row>
    <row r="633" spans="1:26" ht="22.5" customHeight="1" x14ac:dyDescent="0.85">
      <c r="A633" s="166"/>
      <c r="B633" s="167"/>
      <c r="C633" s="167"/>
      <c r="D633" s="147"/>
      <c r="E633" s="147"/>
      <c r="F633" s="147"/>
      <c r="G633" s="147"/>
      <c r="H633" s="147"/>
      <c r="I633" s="147"/>
      <c r="J633" s="147"/>
      <c r="K633" s="3"/>
      <c r="L633" s="3"/>
      <c r="M633" s="3"/>
      <c r="N633" s="3"/>
      <c r="O633" s="3"/>
      <c r="P633" s="3"/>
      <c r="Q633" s="3"/>
      <c r="R633" s="3"/>
      <c r="S633" s="3"/>
      <c r="T633" s="3"/>
      <c r="U633" s="3"/>
      <c r="V633" s="3"/>
      <c r="W633" s="3"/>
      <c r="X633" s="3"/>
      <c r="Y633" s="3"/>
      <c r="Z633" s="3"/>
    </row>
    <row r="634" spans="1:26" ht="22.5" customHeight="1" x14ac:dyDescent="0.85">
      <c r="A634" s="166"/>
      <c r="B634" s="167"/>
      <c r="C634" s="167"/>
      <c r="D634" s="147"/>
      <c r="E634" s="147"/>
      <c r="F634" s="147"/>
      <c r="G634" s="147"/>
      <c r="H634" s="147"/>
      <c r="I634" s="147"/>
      <c r="J634" s="147"/>
      <c r="K634" s="3"/>
      <c r="L634" s="3"/>
      <c r="M634" s="3"/>
      <c r="N634" s="3"/>
      <c r="O634" s="3"/>
      <c r="P634" s="3"/>
      <c r="Q634" s="3"/>
      <c r="R634" s="3"/>
      <c r="S634" s="3"/>
      <c r="T634" s="3"/>
      <c r="U634" s="3"/>
      <c r="V634" s="3"/>
      <c r="W634" s="3"/>
      <c r="X634" s="3"/>
      <c r="Y634" s="3"/>
      <c r="Z634" s="3"/>
    </row>
    <row r="635" spans="1:26" ht="22.5" customHeight="1" x14ac:dyDescent="0.85">
      <c r="A635" s="166"/>
      <c r="B635" s="167"/>
      <c r="C635" s="167"/>
      <c r="D635" s="147"/>
      <c r="E635" s="147"/>
      <c r="F635" s="147"/>
      <c r="G635" s="147"/>
      <c r="H635" s="147"/>
      <c r="I635" s="147"/>
      <c r="J635" s="147"/>
      <c r="K635" s="3"/>
      <c r="L635" s="3"/>
      <c r="M635" s="3"/>
      <c r="N635" s="3"/>
      <c r="O635" s="3"/>
      <c r="P635" s="3"/>
      <c r="Q635" s="3"/>
      <c r="R635" s="3"/>
      <c r="S635" s="3"/>
      <c r="T635" s="3"/>
      <c r="U635" s="3"/>
      <c r="V635" s="3"/>
      <c r="W635" s="3"/>
      <c r="X635" s="3"/>
      <c r="Y635" s="3"/>
      <c r="Z635" s="3"/>
    </row>
    <row r="636" spans="1:26" ht="22.5" customHeight="1" x14ac:dyDescent="0.85">
      <c r="A636" s="166"/>
      <c r="B636" s="167"/>
      <c r="C636" s="167"/>
      <c r="D636" s="147"/>
      <c r="E636" s="147"/>
      <c r="F636" s="147"/>
      <c r="G636" s="147"/>
      <c r="H636" s="147"/>
      <c r="I636" s="147"/>
      <c r="J636" s="147"/>
      <c r="K636" s="3"/>
      <c r="L636" s="3"/>
      <c r="M636" s="3"/>
      <c r="N636" s="3"/>
      <c r="O636" s="3"/>
      <c r="P636" s="3"/>
      <c r="Q636" s="3"/>
      <c r="R636" s="3"/>
      <c r="S636" s="3"/>
      <c r="T636" s="3"/>
      <c r="U636" s="3"/>
      <c r="V636" s="3"/>
      <c r="W636" s="3"/>
      <c r="X636" s="3"/>
      <c r="Y636" s="3"/>
      <c r="Z636" s="3"/>
    </row>
    <row r="637" spans="1:26" ht="22.5" customHeight="1" x14ac:dyDescent="0.85">
      <c r="A637" s="166"/>
      <c r="B637" s="167"/>
      <c r="C637" s="167"/>
      <c r="D637" s="147"/>
      <c r="E637" s="147"/>
      <c r="F637" s="147"/>
      <c r="G637" s="147"/>
      <c r="H637" s="147"/>
      <c r="I637" s="147"/>
      <c r="J637" s="147"/>
      <c r="K637" s="3"/>
      <c r="L637" s="3"/>
      <c r="M637" s="3"/>
      <c r="N637" s="3"/>
      <c r="O637" s="3"/>
      <c r="P637" s="3"/>
      <c r="Q637" s="3"/>
      <c r="R637" s="3"/>
      <c r="S637" s="3"/>
      <c r="T637" s="3"/>
      <c r="U637" s="3"/>
      <c r="V637" s="3"/>
      <c r="W637" s="3"/>
      <c r="X637" s="3"/>
      <c r="Y637" s="3"/>
      <c r="Z637" s="3"/>
    </row>
    <row r="638" spans="1:26" ht="22.5" customHeight="1" x14ac:dyDescent="0.85">
      <c r="A638" s="166"/>
      <c r="B638" s="167"/>
      <c r="C638" s="167"/>
      <c r="D638" s="147"/>
      <c r="E638" s="147"/>
      <c r="F638" s="147"/>
      <c r="G638" s="147"/>
      <c r="H638" s="147"/>
      <c r="I638" s="147"/>
      <c r="J638" s="147"/>
      <c r="K638" s="3"/>
      <c r="L638" s="3"/>
      <c r="M638" s="3"/>
      <c r="N638" s="3"/>
      <c r="O638" s="3"/>
      <c r="P638" s="3"/>
      <c r="Q638" s="3"/>
      <c r="R638" s="3"/>
      <c r="S638" s="3"/>
      <c r="T638" s="3"/>
      <c r="U638" s="3"/>
      <c r="V638" s="3"/>
      <c r="W638" s="3"/>
      <c r="X638" s="3"/>
      <c r="Y638" s="3"/>
      <c r="Z638" s="3"/>
    </row>
    <row r="639" spans="1:26" ht="22.5" customHeight="1" x14ac:dyDescent="0.85">
      <c r="A639" s="166"/>
      <c r="B639" s="167"/>
      <c r="C639" s="167"/>
      <c r="D639" s="147"/>
      <c r="E639" s="147"/>
      <c r="F639" s="147"/>
      <c r="G639" s="147"/>
      <c r="H639" s="147"/>
      <c r="I639" s="147"/>
      <c r="J639" s="147"/>
      <c r="K639" s="3"/>
      <c r="L639" s="3"/>
      <c r="M639" s="3"/>
      <c r="N639" s="3"/>
      <c r="O639" s="3"/>
      <c r="P639" s="3"/>
      <c r="Q639" s="3"/>
      <c r="R639" s="3"/>
      <c r="S639" s="3"/>
      <c r="T639" s="3"/>
      <c r="U639" s="3"/>
      <c r="V639" s="3"/>
      <c r="W639" s="3"/>
      <c r="X639" s="3"/>
      <c r="Y639" s="3"/>
      <c r="Z639" s="3"/>
    </row>
    <row r="640" spans="1:26" ht="22.5" customHeight="1" x14ac:dyDescent="0.85">
      <c r="A640" s="166"/>
      <c r="B640" s="167"/>
      <c r="C640" s="167"/>
      <c r="D640" s="147"/>
      <c r="E640" s="147"/>
      <c r="F640" s="147"/>
      <c r="G640" s="147"/>
      <c r="H640" s="147"/>
      <c r="I640" s="147"/>
      <c r="J640" s="147"/>
      <c r="K640" s="3"/>
      <c r="L640" s="3"/>
      <c r="M640" s="3"/>
      <c r="N640" s="3"/>
      <c r="O640" s="3"/>
      <c r="P640" s="3"/>
      <c r="Q640" s="3"/>
      <c r="R640" s="3"/>
      <c r="S640" s="3"/>
      <c r="T640" s="3"/>
      <c r="U640" s="3"/>
      <c r="V640" s="3"/>
      <c r="W640" s="3"/>
      <c r="X640" s="3"/>
      <c r="Y640" s="3"/>
      <c r="Z640" s="3"/>
    </row>
    <row r="641" spans="1:26" ht="22.5" customHeight="1" x14ac:dyDescent="0.85">
      <c r="A641" s="166"/>
      <c r="B641" s="167"/>
      <c r="C641" s="167"/>
      <c r="D641" s="147"/>
      <c r="E641" s="147"/>
      <c r="F641" s="147"/>
      <c r="G641" s="147"/>
      <c r="H641" s="147"/>
      <c r="I641" s="147"/>
      <c r="J641" s="147"/>
      <c r="K641" s="3"/>
      <c r="L641" s="3"/>
      <c r="M641" s="3"/>
      <c r="N641" s="3"/>
      <c r="O641" s="3"/>
      <c r="P641" s="3"/>
      <c r="Q641" s="3"/>
      <c r="R641" s="3"/>
      <c r="S641" s="3"/>
      <c r="T641" s="3"/>
      <c r="U641" s="3"/>
      <c r="V641" s="3"/>
      <c r="W641" s="3"/>
      <c r="X641" s="3"/>
      <c r="Y641" s="3"/>
      <c r="Z641" s="3"/>
    </row>
    <row r="642" spans="1:26" ht="22.5" customHeight="1" x14ac:dyDescent="0.85">
      <c r="A642" s="166"/>
      <c r="B642" s="167"/>
      <c r="C642" s="167"/>
      <c r="D642" s="147"/>
      <c r="E642" s="147"/>
      <c r="F642" s="147"/>
      <c r="G642" s="147"/>
      <c r="H642" s="147"/>
      <c r="I642" s="147"/>
      <c r="J642" s="147"/>
      <c r="K642" s="3"/>
      <c r="L642" s="3"/>
      <c r="M642" s="3"/>
      <c r="N642" s="3"/>
      <c r="O642" s="3"/>
      <c r="P642" s="3"/>
      <c r="Q642" s="3"/>
      <c r="R642" s="3"/>
      <c r="S642" s="3"/>
      <c r="T642" s="3"/>
      <c r="U642" s="3"/>
      <c r="V642" s="3"/>
      <c r="W642" s="3"/>
      <c r="X642" s="3"/>
      <c r="Y642" s="3"/>
      <c r="Z642" s="3"/>
    </row>
    <row r="643" spans="1:26" ht="22.5" customHeight="1" x14ac:dyDescent="0.85">
      <c r="A643" s="166"/>
      <c r="B643" s="167"/>
      <c r="C643" s="167"/>
      <c r="D643" s="147"/>
      <c r="E643" s="147"/>
      <c r="F643" s="147"/>
      <c r="G643" s="147"/>
      <c r="H643" s="147"/>
      <c r="I643" s="147"/>
      <c r="J643" s="147"/>
      <c r="K643" s="3"/>
      <c r="L643" s="3"/>
      <c r="M643" s="3"/>
      <c r="N643" s="3"/>
      <c r="O643" s="3"/>
      <c r="P643" s="3"/>
      <c r="Q643" s="3"/>
      <c r="R643" s="3"/>
      <c r="S643" s="3"/>
      <c r="T643" s="3"/>
      <c r="U643" s="3"/>
      <c r="V643" s="3"/>
      <c r="W643" s="3"/>
      <c r="X643" s="3"/>
      <c r="Y643" s="3"/>
      <c r="Z643" s="3"/>
    </row>
    <row r="644" spans="1:26" ht="22.5" customHeight="1" x14ac:dyDescent="0.85">
      <c r="A644" s="166"/>
      <c r="B644" s="167"/>
      <c r="C644" s="167"/>
      <c r="D644" s="147"/>
      <c r="E644" s="147"/>
      <c r="F644" s="147"/>
      <c r="G644" s="147"/>
      <c r="H644" s="147"/>
      <c r="I644" s="147"/>
      <c r="J644" s="147"/>
      <c r="K644" s="3"/>
      <c r="L644" s="3"/>
      <c r="M644" s="3"/>
      <c r="N644" s="3"/>
      <c r="O644" s="3"/>
      <c r="P644" s="3"/>
      <c r="Q644" s="3"/>
      <c r="R644" s="3"/>
      <c r="S644" s="3"/>
      <c r="T644" s="3"/>
      <c r="U644" s="3"/>
      <c r="V644" s="3"/>
      <c r="W644" s="3"/>
      <c r="X644" s="3"/>
      <c r="Y644" s="3"/>
      <c r="Z644" s="3"/>
    </row>
    <row r="645" spans="1:26" ht="22.5" customHeight="1" x14ac:dyDescent="0.85">
      <c r="A645" s="166"/>
      <c r="B645" s="167"/>
      <c r="C645" s="167"/>
      <c r="D645" s="147"/>
      <c r="E645" s="147"/>
      <c r="F645" s="147"/>
      <c r="G645" s="147"/>
      <c r="H645" s="147"/>
      <c r="I645" s="147"/>
      <c r="J645" s="147"/>
      <c r="K645" s="3"/>
      <c r="L645" s="3"/>
      <c r="M645" s="3"/>
      <c r="N645" s="3"/>
      <c r="O645" s="3"/>
      <c r="P645" s="3"/>
      <c r="Q645" s="3"/>
      <c r="R645" s="3"/>
      <c r="S645" s="3"/>
      <c r="T645" s="3"/>
      <c r="U645" s="3"/>
      <c r="V645" s="3"/>
      <c r="W645" s="3"/>
      <c r="X645" s="3"/>
      <c r="Y645" s="3"/>
      <c r="Z645" s="3"/>
    </row>
    <row r="646" spans="1:26" ht="22.5" customHeight="1" x14ac:dyDescent="0.85">
      <c r="A646" s="166"/>
      <c r="B646" s="167"/>
      <c r="C646" s="167"/>
      <c r="D646" s="147"/>
      <c r="E646" s="147"/>
      <c r="F646" s="147"/>
      <c r="G646" s="147"/>
      <c r="H646" s="147"/>
      <c r="I646" s="147"/>
      <c r="J646" s="147"/>
      <c r="K646" s="3"/>
      <c r="L646" s="3"/>
      <c r="M646" s="3"/>
      <c r="N646" s="3"/>
      <c r="O646" s="3"/>
      <c r="P646" s="3"/>
      <c r="Q646" s="3"/>
      <c r="R646" s="3"/>
      <c r="S646" s="3"/>
      <c r="T646" s="3"/>
      <c r="U646" s="3"/>
      <c r="V646" s="3"/>
      <c r="W646" s="3"/>
      <c r="X646" s="3"/>
      <c r="Y646" s="3"/>
      <c r="Z646" s="3"/>
    </row>
    <row r="647" spans="1:26" ht="22.5" customHeight="1" x14ac:dyDescent="0.85">
      <c r="A647" s="166"/>
      <c r="B647" s="167"/>
      <c r="C647" s="167"/>
      <c r="D647" s="147"/>
      <c r="E647" s="147"/>
      <c r="F647" s="147"/>
      <c r="G647" s="147"/>
      <c r="H647" s="147"/>
      <c r="I647" s="147"/>
      <c r="J647" s="147"/>
      <c r="K647" s="3"/>
      <c r="L647" s="3"/>
      <c r="M647" s="3"/>
      <c r="N647" s="3"/>
      <c r="O647" s="3"/>
      <c r="P647" s="3"/>
      <c r="Q647" s="3"/>
      <c r="R647" s="3"/>
      <c r="S647" s="3"/>
      <c r="T647" s="3"/>
      <c r="U647" s="3"/>
      <c r="V647" s="3"/>
      <c r="W647" s="3"/>
      <c r="X647" s="3"/>
      <c r="Y647" s="3"/>
      <c r="Z647" s="3"/>
    </row>
    <row r="648" spans="1:26" ht="22.5" customHeight="1" x14ac:dyDescent="0.85">
      <c r="A648" s="166"/>
      <c r="B648" s="167"/>
      <c r="C648" s="167"/>
      <c r="D648" s="147"/>
      <c r="E648" s="147"/>
      <c r="F648" s="147"/>
      <c r="G648" s="147"/>
      <c r="H648" s="147"/>
      <c r="I648" s="147"/>
      <c r="J648" s="147"/>
      <c r="K648" s="3"/>
      <c r="L648" s="3"/>
      <c r="M648" s="3"/>
      <c r="N648" s="3"/>
      <c r="O648" s="3"/>
      <c r="P648" s="3"/>
      <c r="Q648" s="3"/>
      <c r="R648" s="3"/>
      <c r="S648" s="3"/>
      <c r="T648" s="3"/>
      <c r="U648" s="3"/>
      <c r="V648" s="3"/>
      <c r="W648" s="3"/>
      <c r="X648" s="3"/>
      <c r="Y648" s="3"/>
      <c r="Z648" s="3"/>
    </row>
    <row r="649" spans="1:26" ht="22.5" customHeight="1" x14ac:dyDescent="0.85">
      <c r="A649" s="166"/>
      <c r="B649" s="167"/>
      <c r="C649" s="167"/>
      <c r="D649" s="147"/>
      <c r="E649" s="147"/>
      <c r="F649" s="147"/>
      <c r="G649" s="147"/>
      <c r="H649" s="147"/>
      <c r="I649" s="147"/>
      <c r="J649" s="147"/>
      <c r="K649" s="3"/>
      <c r="L649" s="3"/>
      <c r="M649" s="3"/>
      <c r="N649" s="3"/>
      <c r="O649" s="3"/>
      <c r="P649" s="3"/>
      <c r="Q649" s="3"/>
      <c r="R649" s="3"/>
      <c r="S649" s="3"/>
      <c r="T649" s="3"/>
      <c r="U649" s="3"/>
      <c r="V649" s="3"/>
      <c r="W649" s="3"/>
      <c r="X649" s="3"/>
      <c r="Y649" s="3"/>
      <c r="Z649" s="3"/>
    </row>
    <row r="650" spans="1:26" ht="22.5" customHeight="1" x14ac:dyDescent="0.85">
      <c r="A650" s="166"/>
      <c r="B650" s="167"/>
      <c r="C650" s="167"/>
      <c r="D650" s="147"/>
      <c r="E650" s="147"/>
      <c r="F650" s="147"/>
      <c r="G650" s="147"/>
      <c r="H650" s="147"/>
      <c r="I650" s="147"/>
      <c r="J650" s="147"/>
      <c r="K650" s="3"/>
      <c r="L650" s="3"/>
      <c r="M650" s="3"/>
      <c r="N650" s="3"/>
      <c r="O650" s="3"/>
      <c r="P650" s="3"/>
      <c r="Q650" s="3"/>
      <c r="R650" s="3"/>
      <c r="S650" s="3"/>
      <c r="T650" s="3"/>
      <c r="U650" s="3"/>
      <c r="V650" s="3"/>
      <c r="W650" s="3"/>
      <c r="X650" s="3"/>
      <c r="Y650" s="3"/>
      <c r="Z650" s="3"/>
    </row>
    <row r="651" spans="1:26" ht="22.5" customHeight="1" x14ac:dyDescent="0.85">
      <c r="A651" s="166"/>
      <c r="B651" s="167"/>
      <c r="C651" s="167"/>
      <c r="D651" s="147"/>
      <c r="E651" s="147"/>
      <c r="F651" s="147"/>
      <c r="G651" s="147"/>
      <c r="H651" s="147"/>
      <c r="I651" s="147"/>
      <c r="J651" s="147"/>
      <c r="K651" s="3"/>
      <c r="L651" s="3"/>
      <c r="M651" s="3"/>
      <c r="N651" s="3"/>
      <c r="O651" s="3"/>
      <c r="P651" s="3"/>
      <c r="Q651" s="3"/>
      <c r="R651" s="3"/>
      <c r="S651" s="3"/>
      <c r="T651" s="3"/>
      <c r="U651" s="3"/>
      <c r="V651" s="3"/>
      <c r="W651" s="3"/>
      <c r="X651" s="3"/>
      <c r="Y651" s="3"/>
      <c r="Z651" s="3"/>
    </row>
    <row r="652" spans="1:26" ht="22.5" customHeight="1" x14ac:dyDescent="0.85">
      <c r="A652" s="166"/>
      <c r="B652" s="167"/>
      <c r="C652" s="167"/>
      <c r="D652" s="147"/>
      <c r="E652" s="147"/>
      <c r="F652" s="147"/>
      <c r="G652" s="147"/>
      <c r="H652" s="147"/>
      <c r="I652" s="147"/>
      <c r="J652" s="147"/>
      <c r="K652" s="3"/>
      <c r="L652" s="3"/>
      <c r="M652" s="3"/>
      <c r="N652" s="3"/>
      <c r="O652" s="3"/>
      <c r="P652" s="3"/>
      <c r="Q652" s="3"/>
      <c r="R652" s="3"/>
      <c r="S652" s="3"/>
      <c r="T652" s="3"/>
      <c r="U652" s="3"/>
      <c r="V652" s="3"/>
      <c r="W652" s="3"/>
      <c r="X652" s="3"/>
      <c r="Y652" s="3"/>
      <c r="Z652" s="3"/>
    </row>
    <row r="653" spans="1:26" ht="22.5" customHeight="1" x14ac:dyDescent="0.85">
      <c r="A653" s="166"/>
      <c r="B653" s="167"/>
      <c r="C653" s="167"/>
      <c r="D653" s="147"/>
      <c r="E653" s="147"/>
      <c r="F653" s="147"/>
      <c r="G653" s="147"/>
      <c r="H653" s="147"/>
      <c r="I653" s="147"/>
      <c r="J653" s="147"/>
      <c r="K653" s="3"/>
      <c r="L653" s="3"/>
      <c r="M653" s="3"/>
      <c r="N653" s="3"/>
      <c r="O653" s="3"/>
      <c r="P653" s="3"/>
      <c r="Q653" s="3"/>
      <c r="R653" s="3"/>
      <c r="S653" s="3"/>
      <c r="T653" s="3"/>
      <c r="U653" s="3"/>
      <c r="V653" s="3"/>
      <c r="W653" s="3"/>
      <c r="X653" s="3"/>
      <c r="Y653" s="3"/>
      <c r="Z653" s="3"/>
    </row>
    <row r="654" spans="1:26" ht="22.5" customHeight="1" x14ac:dyDescent="0.85">
      <c r="A654" s="166"/>
      <c r="B654" s="167"/>
      <c r="C654" s="167"/>
      <c r="D654" s="147"/>
      <c r="E654" s="147"/>
      <c r="F654" s="147"/>
      <c r="G654" s="147"/>
      <c r="H654" s="147"/>
      <c r="I654" s="147"/>
      <c r="J654" s="147"/>
      <c r="K654" s="3"/>
      <c r="L654" s="3"/>
      <c r="M654" s="3"/>
      <c r="N654" s="3"/>
      <c r="O654" s="3"/>
      <c r="P654" s="3"/>
      <c r="Q654" s="3"/>
      <c r="R654" s="3"/>
      <c r="S654" s="3"/>
      <c r="T654" s="3"/>
      <c r="U654" s="3"/>
      <c r="V654" s="3"/>
      <c r="W654" s="3"/>
      <c r="X654" s="3"/>
      <c r="Y654" s="3"/>
      <c r="Z654" s="3"/>
    </row>
    <row r="655" spans="1:26" ht="22.5" customHeight="1" x14ac:dyDescent="0.85">
      <c r="A655" s="166"/>
      <c r="B655" s="167"/>
      <c r="C655" s="167"/>
      <c r="D655" s="147"/>
      <c r="E655" s="147"/>
      <c r="F655" s="147"/>
      <c r="G655" s="147"/>
      <c r="H655" s="147"/>
      <c r="I655" s="147"/>
      <c r="J655" s="147"/>
      <c r="K655" s="3"/>
      <c r="L655" s="3"/>
      <c r="M655" s="3"/>
      <c r="N655" s="3"/>
      <c r="O655" s="3"/>
      <c r="P655" s="3"/>
      <c r="Q655" s="3"/>
      <c r="R655" s="3"/>
      <c r="S655" s="3"/>
      <c r="T655" s="3"/>
      <c r="U655" s="3"/>
      <c r="V655" s="3"/>
      <c r="W655" s="3"/>
      <c r="X655" s="3"/>
      <c r="Y655" s="3"/>
      <c r="Z655" s="3"/>
    </row>
    <row r="656" spans="1:26" ht="22.5" customHeight="1" x14ac:dyDescent="0.85">
      <c r="A656" s="166"/>
      <c r="B656" s="167"/>
      <c r="C656" s="167"/>
      <c r="D656" s="147"/>
      <c r="E656" s="147"/>
      <c r="F656" s="147"/>
      <c r="G656" s="147"/>
      <c r="H656" s="147"/>
      <c r="I656" s="147"/>
      <c r="J656" s="147"/>
      <c r="K656" s="3"/>
      <c r="L656" s="3"/>
      <c r="M656" s="3"/>
      <c r="N656" s="3"/>
      <c r="O656" s="3"/>
      <c r="P656" s="3"/>
      <c r="Q656" s="3"/>
      <c r="R656" s="3"/>
      <c r="S656" s="3"/>
      <c r="T656" s="3"/>
      <c r="U656" s="3"/>
      <c r="V656" s="3"/>
      <c r="W656" s="3"/>
      <c r="X656" s="3"/>
      <c r="Y656" s="3"/>
      <c r="Z656" s="3"/>
    </row>
    <row r="657" spans="1:26" ht="22.5" customHeight="1" x14ac:dyDescent="0.85">
      <c r="A657" s="166"/>
      <c r="B657" s="167"/>
      <c r="C657" s="167"/>
      <c r="D657" s="147"/>
      <c r="E657" s="147"/>
      <c r="F657" s="147"/>
      <c r="G657" s="147"/>
      <c r="H657" s="147"/>
      <c r="I657" s="147"/>
      <c r="J657" s="147"/>
      <c r="K657" s="3"/>
      <c r="L657" s="3"/>
      <c r="M657" s="3"/>
      <c r="N657" s="3"/>
      <c r="O657" s="3"/>
      <c r="P657" s="3"/>
      <c r="Q657" s="3"/>
      <c r="R657" s="3"/>
      <c r="S657" s="3"/>
      <c r="T657" s="3"/>
      <c r="U657" s="3"/>
      <c r="V657" s="3"/>
      <c r="W657" s="3"/>
      <c r="X657" s="3"/>
      <c r="Y657" s="3"/>
      <c r="Z657" s="3"/>
    </row>
    <row r="658" spans="1:26" ht="22.5" customHeight="1" x14ac:dyDescent="0.85">
      <c r="A658" s="166"/>
      <c r="B658" s="167"/>
      <c r="C658" s="167"/>
      <c r="D658" s="147"/>
      <c r="E658" s="147"/>
      <c r="F658" s="147"/>
      <c r="G658" s="147"/>
      <c r="H658" s="147"/>
      <c r="I658" s="147"/>
      <c r="J658" s="147"/>
      <c r="K658" s="3"/>
      <c r="L658" s="3"/>
      <c r="M658" s="3"/>
      <c r="N658" s="3"/>
      <c r="O658" s="3"/>
      <c r="P658" s="3"/>
      <c r="Q658" s="3"/>
      <c r="R658" s="3"/>
      <c r="S658" s="3"/>
      <c r="T658" s="3"/>
      <c r="U658" s="3"/>
      <c r="V658" s="3"/>
      <c r="W658" s="3"/>
      <c r="X658" s="3"/>
      <c r="Y658" s="3"/>
      <c r="Z658" s="3"/>
    </row>
    <row r="659" spans="1:26" ht="22.5" customHeight="1" x14ac:dyDescent="0.85">
      <c r="A659" s="166"/>
      <c r="B659" s="167"/>
      <c r="C659" s="167"/>
      <c r="D659" s="147"/>
      <c r="E659" s="147"/>
      <c r="F659" s="147"/>
      <c r="G659" s="147"/>
      <c r="H659" s="147"/>
      <c r="I659" s="147"/>
      <c r="J659" s="147"/>
      <c r="K659" s="3"/>
      <c r="L659" s="3"/>
      <c r="M659" s="3"/>
      <c r="N659" s="3"/>
      <c r="O659" s="3"/>
      <c r="P659" s="3"/>
      <c r="Q659" s="3"/>
      <c r="R659" s="3"/>
      <c r="S659" s="3"/>
      <c r="T659" s="3"/>
      <c r="U659" s="3"/>
      <c r="V659" s="3"/>
      <c r="W659" s="3"/>
      <c r="X659" s="3"/>
      <c r="Y659" s="3"/>
      <c r="Z659" s="3"/>
    </row>
    <row r="660" spans="1:26" ht="22.5" customHeight="1" x14ac:dyDescent="0.85">
      <c r="A660" s="166"/>
      <c r="B660" s="167"/>
      <c r="C660" s="167"/>
      <c r="D660" s="147"/>
      <c r="E660" s="147"/>
      <c r="F660" s="147"/>
      <c r="G660" s="147"/>
      <c r="H660" s="147"/>
      <c r="I660" s="147"/>
      <c r="J660" s="147"/>
      <c r="K660" s="3"/>
      <c r="L660" s="3"/>
      <c r="M660" s="3"/>
      <c r="N660" s="3"/>
      <c r="O660" s="3"/>
      <c r="P660" s="3"/>
      <c r="Q660" s="3"/>
      <c r="R660" s="3"/>
      <c r="S660" s="3"/>
      <c r="T660" s="3"/>
      <c r="U660" s="3"/>
      <c r="V660" s="3"/>
      <c r="W660" s="3"/>
      <c r="X660" s="3"/>
      <c r="Y660" s="3"/>
      <c r="Z660" s="3"/>
    </row>
    <row r="661" spans="1:26" ht="22.5" customHeight="1" x14ac:dyDescent="0.85">
      <c r="A661" s="166"/>
      <c r="B661" s="167"/>
      <c r="C661" s="167"/>
      <c r="D661" s="147"/>
      <c r="E661" s="147"/>
      <c r="F661" s="147"/>
      <c r="G661" s="147"/>
      <c r="H661" s="147"/>
      <c r="I661" s="147"/>
      <c r="J661" s="147"/>
      <c r="K661" s="3"/>
      <c r="L661" s="3"/>
      <c r="M661" s="3"/>
      <c r="N661" s="3"/>
      <c r="O661" s="3"/>
      <c r="P661" s="3"/>
      <c r="Q661" s="3"/>
      <c r="R661" s="3"/>
      <c r="S661" s="3"/>
      <c r="T661" s="3"/>
      <c r="U661" s="3"/>
      <c r="V661" s="3"/>
      <c r="W661" s="3"/>
      <c r="X661" s="3"/>
      <c r="Y661" s="3"/>
      <c r="Z661" s="3"/>
    </row>
    <row r="662" spans="1:26" ht="22.5" customHeight="1" x14ac:dyDescent="0.85">
      <c r="A662" s="166"/>
      <c r="B662" s="167"/>
      <c r="C662" s="167"/>
      <c r="D662" s="147"/>
      <c r="E662" s="147"/>
      <c r="F662" s="147"/>
      <c r="G662" s="147"/>
      <c r="H662" s="147"/>
      <c r="I662" s="147"/>
      <c r="J662" s="147"/>
      <c r="K662" s="3"/>
      <c r="L662" s="3"/>
      <c r="M662" s="3"/>
      <c r="N662" s="3"/>
      <c r="O662" s="3"/>
      <c r="P662" s="3"/>
      <c r="Q662" s="3"/>
      <c r="R662" s="3"/>
      <c r="S662" s="3"/>
      <c r="T662" s="3"/>
      <c r="U662" s="3"/>
      <c r="V662" s="3"/>
      <c r="W662" s="3"/>
      <c r="X662" s="3"/>
      <c r="Y662" s="3"/>
      <c r="Z662" s="3"/>
    </row>
    <row r="663" spans="1:26" ht="22.5" customHeight="1" x14ac:dyDescent="0.85">
      <c r="A663" s="166"/>
      <c r="B663" s="167"/>
      <c r="C663" s="167"/>
      <c r="D663" s="147"/>
      <c r="E663" s="147"/>
      <c r="F663" s="147"/>
      <c r="G663" s="147"/>
      <c r="H663" s="147"/>
      <c r="I663" s="147"/>
      <c r="J663" s="147"/>
      <c r="K663" s="3"/>
      <c r="L663" s="3"/>
      <c r="M663" s="3"/>
      <c r="N663" s="3"/>
      <c r="O663" s="3"/>
      <c r="P663" s="3"/>
      <c r="Q663" s="3"/>
      <c r="R663" s="3"/>
      <c r="S663" s="3"/>
      <c r="T663" s="3"/>
      <c r="U663" s="3"/>
      <c r="V663" s="3"/>
      <c r="W663" s="3"/>
      <c r="X663" s="3"/>
      <c r="Y663" s="3"/>
      <c r="Z663" s="3"/>
    </row>
    <row r="664" spans="1:26" ht="22.5" customHeight="1" x14ac:dyDescent="0.85">
      <c r="A664" s="166"/>
      <c r="B664" s="167"/>
      <c r="C664" s="167"/>
      <c r="D664" s="147"/>
      <c r="E664" s="147"/>
      <c r="F664" s="147"/>
      <c r="G664" s="147"/>
      <c r="H664" s="147"/>
      <c r="I664" s="147"/>
      <c r="J664" s="147"/>
      <c r="K664" s="3"/>
      <c r="L664" s="3"/>
      <c r="M664" s="3"/>
      <c r="N664" s="3"/>
      <c r="O664" s="3"/>
      <c r="P664" s="3"/>
      <c r="Q664" s="3"/>
      <c r="R664" s="3"/>
      <c r="S664" s="3"/>
      <c r="T664" s="3"/>
      <c r="U664" s="3"/>
      <c r="V664" s="3"/>
      <c r="W664" s="3"/>
      <c r="X664" s="3"/>
      <c r="Y664" s="3"/>
      <c r="Z664" s="3"/>
    </row>
    <row r="665" spans="1:26" ht="22.5" customHeight="1" x14ac:dyDescent="0.85">
      <c r="A665" s="166"/>
      <c r="B665" s="167"/>
      <c r="C665" s="167"/>
      <c r="D665" s="147"/>
      <c r="E665" s="147"/>
      <c r="F665" s="147"/>
      <c r="G665" s="147"/>
      <c r="H665" s="147"/>
      <c r="I665" s="147"/>
      <c r="J665" s="147"/>
      <c r="K665" s="3"/>
      <c r="L665" s="3"/>
      <c r="M665" s="3"/>
      <c r="N665" s="3"/>
      <c r="O665" s="3"/>
      <c r="P665" s="3"/>
      <c r="Q665" s="3"/>
      <c r="R665" s="3"/>
      <c r="S665" s="3"/>
      <c r="T665" s="3"/>
      <c r="U665" s="3"/>
      <c r="V665" s="3"/>
      <c r="W665" s="3"/>
      <c r="X665" s="3"/>
      <c r="Y665" s="3"/>
      <c r="Z665" s="3"/>
    </row>
    <row r="666" spans="1:26" ht="22.5" customHeight="1" x14ac:dyDescent="0.85">
      <c r="A666" s="166"/>
      <c r="B666" s="167"/>
      <c r="C666" s="167"/>
      <c r="D666" s="147"/>
      <c r="E666" s="147"/>
      <c r="F666" s="147"/>
      <c r="G666" s="147"/>
      <c r="H666" s="147"/>
      <c r="I666" s="147"/>
      <c r="J666" s="147"/>
      <c r="K666" s="3"/>
      <c r="L666" s="3"/>
      <c r="M666" s="3"/>
      <c r="N666" s="3"/>
      <c r="O666" s="3"/>
      <c r="P666" s="3"/>
      <c r="Q666" s="3"/>
      <c r="R666" s="3"/>
      <c r="S666" s="3"/>
      <c r="T666" s="3"/>
      <c r="U666" s="3"/>
      <c r="V666" s="3"/>
      <c r="W666" s="3"/>
      <c r="X666" s="3"/>
      <c r="Y666" s="3"/>
      <c r="Z666" s="3"/>
    </row>
    <row r="667" spans="1:26" ht="22.5" customHeight="1" x14ac:dyDescent="0.85">
      <c r="A667" s="166"/>
      <c r="B667" s="167"/>
      <c r="C667" s="167"/>
      <c r="D667" s="147"/>
      <c r="E667" s="147"/>
      <c r="F667" s="147"/>
      <c r="G667" s="147"/>
      <c r="H667" s="147"/>
      <c r="I667" s="147"/>
      <c r="J667" s="147"/>
      <c r="K667" s="3"/>
      <c r="L667" s="3"/>
      <c r="M667" s="3"/>
      <c r="N667" s="3"/>
      <c r="O667" s="3"/>
      <c r="P667" s="3"/>
      <c r="Q667" s="3"/>
      <c r="R667" s="3"/>
      <c r="S667" s="3"/>
      <c r="T667" s="3"/>
      <c r="U667" s="3"/>
      <c r="V667" s="3"/>
      <c r="W667" s="3"/>
      <c r="X667" s="3"/>
      <c r="Y667" s="3"/>
      <c r="Z667" s="3"/>
    </row>
    <row r="668" spans="1:26" ht="22.5" customHeight="1" x14ac:dyDescent="0.85">
      <c r="A668" s="166"/>
      <c r="B668" s="167"/>
      <c r="C668" s="167"/>
      <c r="D668" s="147"/>
      <c r="E668" s="147"/>
      <c r="F668" s="147"/>
      <c r="G668" s="147"/>
      <c r="H668" s="147"/>
      <c r="I668" s="147"/>
      <c r="J668" s="147"/>
      <c r="K668" s="3"/>
      <c r="L668" s="3"/>
      <c r="M668" s="3"/>
      <c r="N668" s="3"/>
      <c r="O668" s="3"/>
      <c r="P668" s="3"/>
      <c r="Q668" s="3"/>
      <c r="R668" s="3"/>
      <c r="S668" s="3"/>
      <c r="T668" s="3"/>
      <c r="U668" s="3"/>
      <c r="V668" s="3"/>
      <c r="W668" s="3"/>
      <c r="X668" s="3"/>
      <c r="Y668" s="3"/>
      <c r="Z668" s="3"/>
    </row>
    <row r="669" spans="1:26" ht="22.5" customHeight="1" x14ac:dyDescent="0.85">
      <c r="A669" s="166"/>
      <c r="B669" s="167"/>
      <c r="C669" s="167"/>
      <c r="D669" s="147"/>
      <c r="E669" s="147"/>
      <c r="F669" s="147"/>
      <c r="G669" s="147"/>
      <c r="H669" s="147"/>
      <c r="I669" s="147"/>
      <c r="J669" s="147"/>
      <c r="K669" s="3"/>
      <c r="L669" s="3"/>
      <c r="M669" s="3"/>
      <c r="N669" s="3"/>
      <c r="O669" s="3"/>
      <c r="P669" s="3"/>
      <c r="Q669" s="3"/>
      <c r="R669" s="3"/>
      <c r="S669" s="3"/>
      <c r="T669" s="3"/>
      <c r="U669" s="3"/>
      <c r="V669" s="3"/>
      <c r="W669" s="3"/>
      <c r="X669" s="3"/>
      <c r="Y669" s="3"/>
      <c r="Z669" s="3"/>
    </row>
    <row r="670" spans="1:26" ht="22.5" customHeight="1" x14ac:dyDescent="0.85">
      <c r="A670" s="166"/>
      <c r="B670" s="167"/>
      <c r="C670" s="167"/>
      <c r="D670" s="147"/>
      <c r="E670" s="147"/>
      <c r="F670" s="147"/>
      <c r="G670" s="147"/>
      <c r="H670" s="147"/>
      <c r="I670" s="147"/>
      <c r="J670" s="147"/>
      <c r="K670" s="3"/>
      <c r="L670" s="3"/>
      <c r="M670" s="3"/>
      <c r="N670" s="3"/>
      <c r="O670" s="3"/>
      <c r="P670" s="3"/>
      <c r="Q670" s="3"/>
      <c r="R670" s="3"/>
      <c r="S670" s="3"/>
      <c r="T670" s="3"/>
      <c r="U670" s="3"/>
      <c r="V670" s="3"/>
      <c r="W670" s="3"/>
      <c r="X670" s="3"/>
      <c r="Y670" s="3"/>
      <c r="Z670" s="3"/>
    </row>
    <row r="671" spans="1:26" ht="22.5" customHeight="1" x14ac:dyDescent="0.85">
      <c r="A671" s="166"/>
      <c r="B671" s="167"/>
      <c r="C671" s="167"/>
      <c r="D671" s="147"/>
      <c r="E671" s="147"/>
      <c r="F671" s="147"/>
      <c r="G671" s="147"/>
      <c r="H671" s="147"/>
      <c r="I671" s="147"/>
      <c r="J671" s="147"/>
      <c r="K671" s="3"/>
      <c r="L671" s="3"/>
      <c r="M671" s="3"/>
      <c r="N671" s="3"/>
      <c r="O671" s="3"/>
      <c r="P671" s="3"/>
      <c r="Q671" s="3"/>
      <c r="R671" s="3"/>
      <c r="S671" s="3"/>
      <c r="T671" s="3"/>
      <c r="U671" s="3"/>
      <c r="V671" s="3"/>
      <c r="W671" s="3"/>
      <c r="X671" s="3"/>
      <c r="Y671" s="3"/>
      <c r="Z671" s="3"/>
    </row>
    <row r="672" spans="1:26" ht="22.5" customHeight="1" x14ac:dyDescent="0.85">
      <c r="A672" s="166"/>
      <c r="B672" s="167"/>
      <c r="C672" s="167"/>
      <c r="D672" s="147"/>
      <c r="E672" s="147"/>
      <c r="F672" s="147"/>
      <c r="G672" s="147"/>
      <c r="H672" s="147"/>
      <c r="I672" s="147"/>
      <c r="J672" s="147"/>
      <c r="K672" s="3"/>
      <c r="L672" s="3"/>
      <c r="M672" s="3"/>
      <c r="N672" s="3"/>
      <c r="O672" s="3"/>
      <c r="P672" s="3"/>
      <c r="Q672" s="3"/>
      <c r="R672" s="3"/>
      <c r="S672" s="3"/>
      <c r="T672" s="3"/>
      <c r="U672" s="3"/>
      <c r="V672" s="3"/>
      <c r="W672" s="3"/>
      <c r="X672" s="3"/>
      <c r="Y672" s="3"/>
      <c r="Z672" s="3"/>
    </row>
    <row r="673" spans="1:26" ht="22.5" customHeight="1" x14ac:dyDescent="0.85">
      <c r="A673" s="166"/>
      <c r="B673" s="167"/>
      <c r="C673" s="167"/>
      <c r="D673" s="147"/>
      <c r="E673" s="147"/>
      <c r="F673" s="147"/>
      <c r="G673" s="147"/>
      <c r="H673" s="147"/>
      <c r="I673" s="147"/>
      <c r="J673" s="147"/>
      <c r="K673" s="3"/>
      <c r="L673" s="3"/>
      <c r="M673" s="3"/>
      <c r="N673" s="3"/>
      <c r="O673" s="3"/>
      <c r="P673" s="3"/>
      <c r="Q673" s="3"/>
      <c r="R673" s="3"/>
      <c r="S673" s="3"/>
      <c r="T673" s="3"/>
      <c r="U673" s="3"/>
      <c r="V673" s="3"/>
      <c r="W673" s="3"/>
      <c r="X673" s="3"/>
      <c r="Y673" s="3"/>
      <c r="Z673" s="3"/>
    </row>
    <row r="674" spans="1:26" ht="22.5" customHeight="1" x14ac:dyDescent="0.85">
      <c r="A674" s="166"/>
      <c r="B674" s="167"/>
      <c r="C674" s="167"/>
      <c r="D674" s="147"/>
      <c r="E674" s="147"/>
      <c r="F674" s="147"/>
      <c r="G674" s="147"/>
      <c r="H674" s="147"/>
      <c r="I674" s="147"/>
      <c r="J674" s="147"/>
      <c r="K674" s="3"/>
      <c r="L674" s="3"/>
      <c r="M674" s="3"/>
      <c r="N674" s="3"/>
      <c r="O674" s="3"/>
      <c r="P674" s="3"/>
      <c r="Q674" s="3"/>
      <c r="R674" s="3"/>
      <c r="S674" s="3"/>
      <c r="T674" s="3"/>
      <c r="U674" s="3"/>
      <c r="V674" s="3"/>
      <c r="W674" s="3"/>
      <c r="X674" s="3"/>
      <c r="Y674" s="3"/>
      <c r="Z674" s="3"/>
    </row>
    <row r="675" spans="1:26" ht="22.5" customHeight="1" x14ac:dyDescent="0.85">
      <c r="A675" s="166"/>
      <c r="B675" s="167"/>
      <c r="C675" s="167"/>
      <c r="D675" s="147"/>
      <c r="E675" s="147"/>
      <c r="F675" s="147"/>
      <c r="G675" s="147"/>
      <c r="H675" s="147"/>
      <c r="I675" s="147"/>
      <c r="J675" s="147"/>
      <c r="K675" s="3"/>
      <c r="L675" s="3"/>
      <c r="M675" s="3"/>
      <c r="N675" s="3"/>
      <c r="O675" s="3"/>
      <c r="P675" s="3"/>
      <c r="Q675" s="3"/>
      <c r="R675" s="3"/>
      <c r="S675" s="3"/>
      <c r="T675" s="3"/>
      <c r="U675" s="3"/>
      <c r="V675" s="3"/>
      <c r="W675" s="3"/>
      <c r="X675" s="3"/>
      <c r="Y675" s="3"/>
      <c r="Z675" s="3"/>
    </row>
    <row r="676" spans="1:26" ht="22.5" customHeight="1" x14ac:dyDescent="0.85">
      <c r="A676" s="166"/>
      <c r="B676" s="167"/>
      <c r="C676" s="167"/>
      <c r="D676" s="147"/>
      <c r="E676" s="147"/>
      <c r="F676" s="147"/>
      <c r="G676" s="147"/>
      <c r="H676" s="147"/>
      <c r="I676" s="147"/>
      <c r="J676" s="147"/>
      <c r="K676" s="3"/>
      <c r="L676" s="3"/>
      <c r="M676" s="3"/>
      <c r="N676" s="3"/>
      <c r="O676" s="3"/>
      <c r="P676" s="3"/>
      <c r="Q676" s="3"/>
      <c r="R676" s="3"/>
      <c r="S676" s="3"/>
      <c r="T676" s="3"/>
      <c r="U676" s="3"/>
      <c r="V676" s="3"/>
      <c r="W676" s="3"/>
      <c r="X676" s="3"/>
      <c r="Y676" s="3"/>
      <c r="Z676" s="3"/>
    </row>
    <row r="677" spans="1:26" ht="22.5" customHeight="1" x14ac:dyDescent="0.85">
      <c r="A677" s="166"/>
      <c r="B677" s="167"/>
      <c r="C677" s="167"/>
      <c r="D677" s="147"/>
      <c r="E677" s="147"/>
      <c r="F677" s="147"/>
      <c r="G677" s="147"/>
      <c r="H677" s="147"/>
      <c r="I677" s="147"/>
      <c r="J677" s="147"/>
      <c r="K677" s="3"/>
      <c r="L677" s="3"/>
      <c r="M677" s="3"/>
      <c r="N677" s="3"/>
      <c r="O677" s="3"/>
      <c r="P677" s="3"/>
      <c r="Q677" s="3"/>
      <c r="R677" s="3"/>
      <c r="S677" s="3"/>
      <c r="T677" s="3"/>
      <c r="U677" s="3"/>
      <c r="V677" s="3"/>
      <c r="W677" s="3"/>
      <c r="X677" s="3"/>
      <c r="Y677" s="3"/>
      <c r="Z677" s="3"/>
    </row>
    <row r="678" spans="1:26" ht="22.5" customHeight="1" x14ac:dyDescent="0.85">
      <c r="A678" s="166"/>
      <c r="B678" s="167"/>
      <c r="C678" s="167"/>
      <c r="D678" s="147"/>
      <c r="E678" s="147"/>
      <c r="F678" s="147"/>
      <c r="G678" s="147"/>
      <c r="H678" s="147"/>
      <c r="I678" s="147"/>
      <c r="J678" s="147"/>
      <c r="K678" s="3"/>
      <c r="L678" s="3"/>
      <c r="M678" s="3"/>
      <c r="N678" s="3"/>
      <c r="O678" s="3"/>
      <c r="P678" s="3"/>
      <c r="Q678" s="3"/>
      <c r="R678" s="3"/>
      <c r="S678" s="3"/>
      <c r="T678" s="3"/>
      <c r="U678" s="3"/>
      <c r="V678" s="3"/>
      <c r="W678" s="3"/>
      <c r="X678" s="3"/>
      <c r="Y678" s="3"/>
      <c r="Z678" s="3"/>
    </row>
    <row r="679" spans="1:26" ht="22.5" customHeight="1" x14ac:dyDescent="0.85">
      <c r="A679" s="166"/>
      <c r="B679" s="167"/>
      <c r="C679" s="167"/>
      <c r="D679" s="147"/>
      <c r="E679" s="147"/>
      <c r="F679" s="147"/>
      <c r="G679" s="147"/>
      <c r="H679" s="147"/>
      <c r="I679" s="147"/>
      <c r="J679" s="147"/>
      <c r="K679" s="3"/>
      <c r="L679" s="3"/>
      <c r="M679" s="3"/>
      <c r="N679" s="3"/>
      <c r="O679" s="3"/>
      <c r="P679" s="3"/>
      <c r="Q679" s="3"/>
      <c r="R679" s="3"/>
      <c r="S679" s="3"/>
      <c r="T679" s="3"/>
      <c r="U679" s="3"/>
      <c r="V679" s="3"/>
      <c r="W679" s="3"/>
      <c r="X679" s="3"/>
      <c r="Y679" s="3"/>
      <c r="Z679" s="3"/>
    </row>
    <row r="680" spans="1:26" ht="22.5" customHeight="1" x14ac:dyDescent="0.85">
      <c r="A680" s="166"/>
      <c r="B680" s="167"/>
      <c r="C680" s="167"/>
      <c r="D680" s="147"/>
      <c r="E680" s="147"/>
      <c r="F680" s="147"/>
      <c r="G680" s="147"/>
      <c r="H680" s="147"/>
      <c r="I680" s="147"/>
      <c r="J680" s="147"/>
      <c r="K680" s="3"/>
      <c r="L680" s="3"/>
      <c r="M680" s="3"/>
      <c r="N680" s="3"/>
      <c r="O680" s="3"/>
      <c r="P680" s="3"/>
      <c r="Q680" s="3"/>
      <c r="R680" s="3"/>
      <c r="S680" s="3"/>
      <c r="T680" s="3"/>
      <c r="U680" s="3"/>
      <c r="V680" s="3"/>
      <c r="W680" s="3"/>
      <c r="X680" s="3"/>
      <c r="Y680" s="3"/>
      <c r="Z680" s="3"/>
    </row>
    <row r="681" spans="1:26" ht="22.5" customHeight="1" x14ac:dyDescent="0.85">
      <c r="A681" s="166"/>
      <c r="B681" s="167"/>
      <c r="C681" s="167"/>
      <c r="D681" s="147"/>
      <c r="E681" s="147"/>
      <c r="F681" s="147"/>
      <c r="G681" s="147"/>
      <c r="H681" s="147"/>
      <c r="I681" s="147"/>
      <c r="J681" s="147"/>
      <c r="K681" s="3"/>
      <c r="L681" s="3"/>
      <c r="M681" s="3"/>
      <c r="N681" s="3"/>
      <c r="O681" s="3"/>
      <c r="P681" s="3"/>
      <c r="Q681" s="3"/>
      <c r="R681" s="3"/>
      <c r="S681" s="3"/>
      <c r="T681" s="3"/>
      <c r="U681" s="3"/>
      <c r="V681" s="3"/>
      <c r="W681" s="3"/>
      <c r="X681" s="3"/>
      <c r="Y681" s="3"/>
      <c r="Z681" s="3"/>
    </row>
    <row r="682" spans="1:26" ht="22.5" customHeight="1" x14ac:dyDescent="0.85">
      <c r="A682" s="166"/>
      <c r="B682" s="167"/>
      <c r="C682" s="167"/>
      <c r="D682" s="147"/>
      <c r="E682" s="147"/>
      <c r="F682" s="147"/>
      <c r="G682" s="147"/>
      <c r="H682" s="147"/>
      <c r="I682" s="147"/>
      <c r="J682" s="147"/>
      <c r="K682" s="3"/>
      <c r="L682" s="3"/>
      <c r="M682" s="3"/>
      <c r="N682" s="3"/>
      <c r="O682" s="3"/>
      <c r="P682" s="3"/>
      <c r="Q682" s="3"/>
      <c r="R682" s="3"/>
      <c r="S682" s="3"/>
      <c r="T682" s="3"/>
      <c r="U682" s="3"/>
      <c r="V682" s="3"/>
      <c r="W682" s="3"/>
      <c r="X682" s="3"/>
      <c r="Y682" s="3"/>
      <c r="Z682" s="3"/>
    </row>
    <row r="683" spans="1:26" ht="22.5" customHeight="1" x14ac:dyDescent="0.85">
      <c r="A683" s="166"/>
      <c r="B683" s="167"/>
      <c r="C683" s="167"/>
      <c r="D683" s="147"/>
      <c r="E683" s="147"/>
      <c r="F683" s="147"/>
      <c r="G683" s="147"/>
      <c r="H683" s="147"/>
      <c r="I683" s="147"/>
      <c r="J683" s="147"/>
      <c r="K683" s="3"/>
      <c r="L683" s="3"/>
      <c r="M683" s="3"/>
      <c r="N683" s="3"/>
      <c r="O683" s="3"/>
      <c r="P683" s="3"/>
      <c r="Q683" s="3"/>
      <c r="R683" s="3"/>
      <c r="S683" s="3"/>
      <c r="T683" s="3"/>
      <c r="U683" s="3"/>
      <c r="V683" s="3"/>
      <c r="W683" s="3"/>
      <c r="X683" s="3"/>
      <c r="Y683" s="3"/>
      <c r="Z683" s="3"/>
    </row>
    <row r="684" spans="1:26" ht="22.5" customHeight="1" x14ac:dyDescent="0.85">
      <c r="A684" s="166"/>
      <c r="B684" s="167"/>
      <c r="C684" s="167"/>
      <c r="D684" s="147"/>
      <c r="E684" s="147"/>
      <c r="F684" s="147"/>
      <c r="G684" s="147"/>
      <c r="H684" s="147"/>
      <c r="I684" s="147"/>
      <c r="J684" s="147"/>
      <c r="K684" s="3"/>
      <c r="L684" s="3"/>
      <c r="M684" s="3"/>
      <c r="N684" s="3"/>
      <c r="O684" s="3"/>
      <c r="P684" s="3"/>
      <c r="Q684" s="3"/>
      <c r="R684" s="3"/>
      <c r="S684" s="3"/>
      <c r="T684" s="3"/>
      <c r="U684" s="3"/>
      <c r="V684" s="3"/>
      <c r="W684" s="3"/>
      <c r="X684" s="3"/>
      <c r="Y684" s="3"/>
      <c r="Z684" s="3"/>
    </row>
    <row r="685" spans="1:26" ht="22.5" customHeight="1" x14ac:dyDescent="0.85">
      <c r="A685" s="166"/>
      <c r="B685" s="167"/>
      <c r="C685" s="167"/>
      <c r="D685" s="147"/>
      <c r="E685" s="147"/>
      <c r="F685" s="147"/>
      <c r="G685" s="147"/>
      <c r="H685" s="147"/>
      <c r="I685" s="147"/>
      <c r="J685" s="147"/>
      <c r="K685" s="3"/>
      <c r="L685" s="3"/>
      <c r="M685" s="3"/>
      <c r="N685" s="3"/>
      <c r="O685" s="3"/>
      <c r="P685" s="3"/>
      <c r="Q685" s="3"/>
      <c r="R685" s="3"/>
      <c r="S685" s="3"/>
      <c r="T685" s="3"/>
      <c r="U685" s="3"/>
      <c r="V685" s="3"/>
      <c r="W685" s="3"/>
      <c r="X685" s="3"/>
      <c r="Y685" s="3"/>
      <c r="Z685" s="3"/>
    </row>
    <row r="686" spans="1:26" ht="22.5" customHeight="1" x14ac:dyDescent="0.85">
      <c r="A686" s="166"/>
      <c r="B686" s="167"/>
      <c r="C686" s="167"/>
      <c r="D686" s="147"/>
      <c r="E686" s="147"/>
      <c r="F686" s="147"/>
      <c r="G686" s="147"/>
      <c r="H686" s="147"/>
      <c r="I686" s="147"/>
      <c r="J686" s="147"/>
      <c r="K686" s="3"/>
      <c r="L686" s="3"/>
      <c r="M686" s="3"/>
      <c r="N686" s="3"/>
      <c r="O686" s="3"/>
      <c r="P686" s="3"/>
      <c r="Q686" s="3"/>
      <c r="R686" s="3"/>
      <c r="S686" s="3"/>
      <c r="T686" s="3"/>
      <c r="U686" s="3"/>
      <c r="V686" s="3"/>
      <c r="W686" s="3"/>
      <c r="X686" s="3"/>
      <c r="Y686" s="3"/>
      <c r="Z686" s="3"/>
    </row>
    <row r="687" spans="1:26" ht="22.5" customHeight="1" x14ac:dyDescent="0.85">
      <c r="A687" s="166"/>
      <c r="B687" s="167"/>
      <c r="C687" s="167"/>
      <c r="D687" s="147"/>
      <c r="E687" s="147"/>
      <c r="F687" s="147"/>
      <c r="G687" s="147"/>
      <c r="H687" s="147"/>
      <c r="I687" s="147"/>
      <c r="J687" s="147"/>
      <c r="K687" s="3"/>
      <c r="L687" s="3"/>
      <c r="M687" s="3"/>
      <c r="N687" s="3"/>
      <c r="O687" s="3"/>
      <c r="P687" s="3"/>
      <c r="Q687" s="3"/>
      <c r="R687" s="3"/>
      <c r="S687" s="3"/>
      <c r="T687" s="3"/>
      <c r="U687" s="3"/>
      <c r="V687" s="3"/>
      <c r="W687" s="3"/>
      <c r="X687" s="3"/>
      <c r="Y687" s="3"/>
      <c r="Z687" s="3"/>
    </row>
    <row r="688" spans="1:26" ht="22.5" customHeight="1" x14ac:dyDescent="0.85">
      <c r="A688" s="166"/>
      <c r="B688" s="167"/>
      <c r="C688" s="167"/>
      <c r="D688" s="147"/>
      <c r="E688" s="147"/>
      <c r="F688" s="147"/>
      <c r="G688" s="147"/>
      <c r="H688" s="147"/>
      <c r="I688" s="147"/>
      <c r="J688" s="147"/>
      <c r="K688" s="3"/>
      <c r="L688" s="3"/>
      <c r="M688" s="3"/>
      <c r="N688" s="3"/>
      <c r="O688" s="3"/>
      <c r="P688" s="3"/>
      <c r="Q688" s="3"/>
      <c r="R688" s="3"/>
      <c r="S688" s="3"/>
      <c r="T688" s="3"/>
      <c r="U688" s="3"/>
      <c r="V688" s="3"/>
      <c r="W688" s="3"/>
      <c r="X688" s="3"/>
      <c r="Y688" s="3"/>
      <c r="Z688" s="3"/>
    </row>
    <row r="689" spans="1:26" ht="22.5" customHeight="1" x14ac:dyDescent="0.85">
      <c r="A689" s="166"/>
      <c r="B689" s="167"/>
      <c r="C689" s="167"/>
      <c r="D689" s="147"/>
      <c r="E689" s="147"/>
      <c r="F689" s="147"/>
      <c r="G689" s="147"/>
      <c r="H689" s="147"/>
      <c r="I689" s="147"/>
      <c r="J689" s="147"/>
      <c r="K689" s="3"/>
      <c r="L689" s="3"/>
      <c r="M689" s="3"/>
      <c r="N689" s="3"/>
      <c r="O689" s="3"/>
      <c r="P689" s="3"/>
      <c r="Q689" s="3"/>
      <c r="R689" s="3"/>
      <c r="S689" s="3"/>
      <c r="T689" s="3"/>
      <c r="U689" s="3"/>
      <c r="V689" s="3"/>
      <c r="W689" s="3"/>
      <c r="X689" s="3"/>
      <c r="Y689" s="3"/>
      <c r="Z689" s="3"/>
    </row>
    <row r="690" spans="1:26" ht="22.5" customHeight="1" x14ac:dyDescent="0.85">
      <c r="A690" s="166"/>
      <c r="B690" s="167"/>
      <c r="C690" s="167"/>
      <c r="D690" s="147"/>
      <c r="E690" s="147"/>
      <c r="F690" s="147"/>
      <c r="G690" s="147"/>
      <c r="H690" s="147"/>
      <c r="I690" s="147"/>
      <c r="J690" s="147"/>
      <c r="K690" s="3"/>
      <c r="L690" s="3"/>
      <c r="M690" s="3"/>
      <c r="N690" s="3"/>
      <c r="O690" s="3"/>
      <c r="P690" s="3"/>
      <c r="Q690" s="3"/>
      <c r="R690" s="3"/>
      <c r="S690" s="3"/>
      <c r="T690" s="3"/>
      <c r="U690" s="3"/>
      <c r="V690" s="3"/>
      <c r="W690" s="3"/>
      <c r="X690" s="3"/>
      <c r="Y690" s="3"/>
      <c r="Z690" s="3"/>
    </row>
    <row r="691" spans="1:26" ht="22.5" customHeight="1" x14ac:dyDescent="0.85">
      <c r="A691" s="166"/>
      <c r="B691" s="167"/>
      <c r="C691" s="167"/>
      <c r="D691" s="147"/>
      <c r="E691" s="147"/>
      <c r="F691" s="147"/>
      <c r="G691" s="147"/>
      <c r="H691" s="147"/>
      <c r="I691" s="147"/>
      <c r="J691" s="147"/>
      <c r="K691" s="3"/>
      <c r="L691" s="3"/>
      <c r="M691" s="3"/>
      <c r="N691" s="3"/>
      <c r="O691" s="3"/>
      <c r="P691" s="3"/>
      <c r="Q691" s="3"/>
      <c r="R691" s="3"/>
      <c r="S691" s="3"/>
      <c r="T691" s="3"/>
      <c r="U691" s="3"/>
      <c r="V691" s="3"/>
      <c r="W691" s="3"/>
      <c r="X691" s="3"/>
      <c r="Y691" s="3"/>
      <c r="Z691" s="3"/>
    </row>
    <row r="692" spans="1:26" ht="22.5" customHeight="1" x14ac:dyDescent="0.85">
      <c r="A692" s="166"/>
      <c r="B692" s="167"/>
      <c r="C692" s="167"/>
      <c r="D692" s="147"/>
      <c r="E692" s="147"/>
      <c r="F692" s="147"/>
      <c r="G692" s="147"/>
      <c r="H692" s="147"/>
      <c r="I692" s="147"/>
      <c r="J692" s="147"/>
      <c r="K692" s="3"/>
      <c r="L692" s="3"/>
      <c r="M692" s="3"/>
      <c r="N692" s="3"/>
      <c r="O692" s="3"/>
      <c r="P692" s="3"/>
      <c r="Q692" s="3"/>
      <c r="R692" s="3"/>
      <c r="S692" s="3"/>
      <c r="T692" s="3"/>
      <c r="U692" s="3"/>
      <c r="V692" s="3"/>
      <c r="W692" s="3"/>
      <c r="X692" s="3"/>
      <c r="Y692" s="3"/>
      <c r="Z692" s="3"/>
    </row>
    <row r="693" spans="1:26" ht="22.5" customHeight="1" x14ac:dyDescent="0.85">
      <c r="A693" s="166"/>
      <c r="B693" s="167"/>
      <c r="C693" s="167"/>
      <c r="D693" s="147"/>
      <c r="E693" s="147"/>
      <c r="F693" s="147"/>
      <c r="G693" s="147"/>
      <c r="H693" s="147"/>
      <c r="I693" s="147"/>
      <c r="J693" s="147"/>
      <c r="K693" s="3"/>
      <c r="L693" s="3"/>
      <c r="M693" s="3"/>
      <c r="N693" s="3"/>
      <c r="O693" s="3"/>
      <c r="P693" s="3"/>
      <c r="Q693" s="3"/>
      <c r="R693" s="3"/>
      <c r="S693" s="3"/>
      <c r="T693" s="3"/>
      <c r="U693" s="3"/>
      <c r="V693" s="3"/>
      <c r="W693" s="3"/>
      <c r="X693" s="3"/>
      <c r="Y693" s="3"/>
      <c r="Z693" s="3"/>
    </row>
    <row r="694" spans="1:26" ht="22.5" customHeight="1" x14ac:dyDescent="0.85">
      <c r="A694" s="166"/>
      <c r="B694" s="167"/>
      <c r="C694" s="167"/>
      <c r="D694" s="147"/>
      <c r="E694" s="147"/>
      <c r="F694" s="147"/>
      <c r="G694" s="147"/>
      <c r="H694" s="147"/>
      <c r="I694" s="147"/>
      <c r="J694" s="147"/>
      <c r="K694" s="3"/>
      <c r="L694" s="3"/>
      <c r="M694" s="3"/>
      <c r="N694" s="3"/>
      <c r="O694" s="3"/>
      <c r="P694" s="3"/>
      <c r="Q694" s="3"/>
      <c r="R694" s="3"/>
      <c r="S694" s="3"/>
      <c r="T694" s="3"/>
      <c r="U694" s="3"/>
      <c r="V694" s="3"/>
      <c r="W694" s="3"/>
      <c r="X694" s="3"/>
      <c r="Y694" s="3"/>
      <c r="Z694" s="3"/>
    </row>
    <row r="695" spans="1:26" ht="22.5" customHeight="1" x14ac:dyDescent="0.85">
      <c r="A695" s="166"/>
      <c r="B695" s="167"/>
      <c r="C695" s="167"/>
      <c r="D695" s="147"/>
      <c r="E695" s="147"/>
      <c r="F695" s="147"/>
      <c r="G695" s="147"/>
      <c r="H695" s="147"/>
      <c r="I695" s="147"/>
      <c r="J695" s="147"/>
      <c r="K695" s="3"/>
      <c r="L695" s="3"/>
      <c r="M695" s="3"/>
      <c r="N695" s="3"/>
      <c r="O695" s="3"/>
      <c r="P695" s="3"/>
      <c r="Q695" s="3"/>
      <c r="R695" s="3"/>
      <c r="S695" s="3"/>
      <c r="T695" s="3"/>
      <c r="U695" s="3"/>
      <c r="V695" s="3"/>
      <c r="W695" s="3"/>
      <c r="X695" s="3"/>
      <c r="Y695" s="3"/>
      <c r="Z695" s="3"/>
    </row>
    <row r="696" spans="1:26" ht="22.5" customHeight="1" x14ac:dyDescent="0.85">
      <c r="A696" s="166"/>
      <c r="B696" s="167"/>
      <c r="C696" s="167"/>
      <c r="D696" s="147"/>
      <c r="E696" s="147"/>
      <c r="F696" s="147"/>
      <c r="G696" s="147"/>
      <c r="H696" s="147"/>
      <c r="I696" s="147"/>
      <c r="J696" s="147"/>
      <c r="K696" s="3"/>
      <c r="L696" s="3"/>
      <c r="M696" s="3"/>
      <c r="N696" s="3"/>
      <c r="O696" s="3"/>
      <c r="P696" s="3"/>
      <c r="Q696" s="3"/>
      <c r="R696" s="3"/>
      <c r="S696" s="3"/>
      <c r="T696" s="3"/>
      <c r="U696" s="3"/>
      <c r="V696" s="3"/>
      <c r="W696" s="3"/>
      <c r="X696" s="3"/>
      <c r="Y696" s="3"/>
      <c r="Z696" s="3"/>
    </row>
    <row r="697" spans="1:26" ht="22.5" customHeight="1" x14ac:dyDescent="0.85">
      <c r="A697" s="166"/>
      <c r="B697" s="167"/>
      <c r="C697" s="167"/>
      <c r="D697" s="147"/>
      <c r="E697" s="147"/>
      <c r="F697" s="147"/>
      <c r="G697" s="147"/>
      <c r="H697" s="147"/>
      <c r="I697" s="147"/>
      <c r="J697" s="147"/>
      <c r="K697" s="3"/>
      <c r="L697" s="3"/>
      <c r="M697" s="3"/>
      <c r="N697" s="3"/>
      <c r="O697" s="3"/>
      <c r="P697" s="3"/>
      <c r="Q697" s="3"/>
      <c r="R697" s="3"/>
      <c r="S697" s="3"/>
      <c r="T697" s="3"/>
      <c r="U697" s="3"/>
      <c r="V697" s="3"/>
      <c r="W697" s="3"/>
      <c r="X697" s="3"/>
      <c r="Y697" s="3"/>
      <c r="Z697" s="3"/>
    </row>
    <row r="698" spans="1:26" ht="22.5" customHeight="1" x14ac:dyDescent="0.85">
      <c r="A698" s="166"/>
      <c r="B698" s="167"/>
      <c r="C698" s="167"/>
      <c r="D698" s="147"/>
      <c r="E698" s="147"/>
      <c r="F698" s="147"/>
      <c r="G698" s="147"/>
      <c r="H698" s="147"/>
      <c r="I698" s="147"/>
      <c r="J698" s="147"/>
      <c r="K698" s="3"/>
      <c r="L698" s="3"/>
      <c r="M698" s="3"/>
      <c r="N698" s="3"/>
      <c r="O698" s="3"/>
      <c r="P698" s="3"/>
      <c r="Q698" s="3"/>
      <c r="R698" s="3"/>
      <c r="S698" s="3"/>
      <c r="T698" s="3"/>
      <c r="U698" s="3"/>
      <c r="V698" s="3"/>
      <c r="W698" s="3"/>
      <c r="X698" s="3"/>
      <c r="Y698" s="3"/>
      <c r="Z698" s="3"/>
    </row>
    <row r="699" spans="1:26" ht="22.5" customHeight="1" x14ac:dyDescent="0.85">
      <c r="A699" s="166"/>
      <c r="B699" s="167"/>
      <c r="C699" s="167"/>
      <c r="D699" s="147"/>
      <c r="E699" s="147"/>
      <c r="F699" s="147"/>
      <c r="G699" s="147"/>
      <c r="H699" s="147"/>
      <c r="I699" s="147"/>
      <c r="J699" s="147"/>
      <c r="K699" s="3"/>
      <c r="L699" s="3"/>
      <c r="M699" s="3"/>
      <c r="N699" s="3"/>
      <c r="O699" s="3"/>
      <c r="P699" s="3"/>
      <c r="Q699" s="3"/>
      <c r="R699" s="3"/>
      <c r="S699" s="3"/>
      <c r="T699" s="3"/>
      <c r="U699" s="3"/>
      <c r="V699" s="3"/>
      <c r="W699" s="3"/>
      <c r="X699" s="3"/>
      <c r="Y699" s="3"/>
      <c r="Z699" s="3"/>
    </row>
    <row r="700" spans="1:26" ht="22.5" customHeight="1" x14ac:dyDescent="0.85">
      <c r="A700" s="166"/>
      <c r="B700" s="167"/>
      <c r="C700" s="167"/>
      <c r="D700" s="147"/>
      <c r="E700" s="147"/>
      <c r="F700" s="147"/>
      <c r="G700" s="147"/>
      <c r="H700" s="147"/>
      <c r="I700" s="147"/>
      <c r="J700" s="147"/>
      <c r="K700" s="3"/>
      <c r="L700" s="3"/>
      <c r="M700" s="3"/>
      <c r="N700" s="3"/>
      <c r="O700" s="3"/>
      <c r="P700" s="3"/>
      <c r="Q700" s="3"/>
      <c r="R700" s="3"/>
      <c r="S700" s="3"/>
      <c r="T700" s="3"/>
      <c r="U700" s="3"/>
      <c r="V700" s="3"/>
      <c r="W700" s="3"/>
      <c r="X700" s="3"/>
      <c r="Y700" s="3"/>
      <c r="Z700" s="3"/>
    </row>
    <row r="701" spans="1:26" ht="22.5" customHeight="1" x14ac:dyDescent="0.85">
      <c r="A701" s="166"/>
      <c r="B701" s="167"/>
      <c r="C701" s="167"/>
      <c r="D701" s="147"/>
      <c r="E701" s="147"/>
      <c r="F701" s="147"/>
      <c r="G701" s="147"/>
      <c r="H701" s="147"/>
      <c r="I701" s="147"/>
      <c r="J701" s="147"/>
      <c r="K701" s="3"/>
      <c r="L701" s="3"/>
      <c r="M701" s="3"/>
      <c r="N701" s="3"/>
      <c r="O701" s="3"/>
      <c r="P701" s="3"/>
      <c r="Q701" s="3"/>
      <c r="R701" s="3"/>
      <c r="S701" s="3"/>
      <c r="T701" s="3"/>
      <c r="U701" s="3"/>
      <c r="V701" s="3"/>
      <c r="W701" s="3"/>
      <c r="X701" s="3"/>
      <c r="Y701" s="3"/>
      <c r="Z701" s="3"/>
    </row>
    <row r="702" spans="1:26" ht="22.5" customHeight="1" x14ac:dyDescent="0.85">
      <c r="A702" s="166"/>
      <c r="B702" s="167"/>
      <c r="C702" s="167"/>
      <c r="D702" s="147"/>
      <c r="E702" s="147"/>
      <c r="F702" s="147"/>
      <c r="G702" s="147"/>
      <c r="H702" s="147"/>
      <c r="I702" s="147"/>
      <c r="J702" s="147"/>
      <c r="K702" s="3"/>
      <c r="L702" s="3"/>
      <c r="M702" s="3"/>
      <c r="N702" s="3"/>
      <c r="O702" s="3"/>
      <c r="P702" s="3"/>
      <c r="Q702" s="3"/>
      <c r="R702" s="3"/>
      <c r="S702" s="3"/>
      <c r="T702" s="3"/>
      <c r="U702" s="3"/>
      <c r="V702" s="3"/>
      <c r="W702" s="3"/>
      <c r="X702" s="3"/>
      <c r="Y702" s="3"/>
      <c r="Z702" s="3"/>
    </row>
    <row r="703" spans="1:26" ht="22.5" customHeight="1" x14ac:dyDescent="0.85">
      <c r="A703" s="166"/>
      <c r="B703" s="167"/>
      <c r="C703" s="167"/>
      <c r="D703" s="147"/>
      <c r="E703" s="147"/>
      <c r="F703" s="147"/>
      <c r="G703" s="147"/>
      <c r="H703" s="147"/>
      <c r="I703" s="147"/>
      <c r="J703" s="147"/>
      <c r="K703" s="3"/>
      <c r="L703" s="3"/>
      <c r="M703" s="3"/>
      <c r="N703" s="3"/>
      <c r="O703" s="3"/>
      <c r="P703" s="3"/>
      <c r="Q703" s="3"/>
      <c r="R703" s="3"/>
      <c r="S703" s="3"/>
      <c r="T703" s="3"/>
      <c r="U703" s="3"/>
      <c r="V703" s="3"/>
      <c r="W703" s="3"/>
      <c r="X703" s="3"/>
      <c r="Y703" s="3"/>
      <c r="Z703" s="3"/>
    </row>
    <row r="704" spans="1:26" ht="22.5" customHeight="1" x14ac:dyDescent="0.85">
      <c r="A704" s="166"/>
      <c r="B704" s="167"/>
      <c r="C704" s="167"/>
      <c r="D704" s="147"/>
      <c r="E704" s="147"/>
      <c r="F704" s="147"/>
      <c r="G704" s="147"/>
      <c r="H704" s="147"/>
      <c r="I704" s="147"/>
      <c r="J704" s="147"/>
      <c r="K704" s="3"/>
      <c r="L704" s="3"/>
      <c r="M704" s="3"/>
      <c r="N704" s="3"/>
      <c r="O704" s="3"/>
      <c r="P704" s="3"/>
      <c r="Q704" s="3"/>
      <c r="R704" s="3"/>
      <c r="S704" s="3"/>
      <c r="T704" s="3"/>
      <c r="U704" s="3"/>
      <c r="V704" s="3"/>
      <c r="W704" s="3"/>
      <c r="X704" s="3"/>
      <c r="Y704" s="3"/>
      <c r="Z704" s="3"/>
    </row>
    <row r="705" spans="1:26" ht="22.5" customHeight="1" x14ac:dyDescent="0.85">
      <c r="A705" s="166"/>
      <c r="B705" s="167"/>
      <c r="C705" s="167"/>
      <c r="D705" s="147"/>
      <c r="E705" s="147"/>
      <c r="F705" s="147"/>
      <c r="G705" s="147"/>
      <c r="H705" s="147"/>
      <c r="I705" s="147"/>
      <c r="J705" s="147"/>
      <c r="K705" s="3"/>
      <c r="L705" s="3"/>
      <c r="M705" s="3"/>
      <c r="N705" s="3"/>
      <c r="O705" s="3"/>
      <c r="P705" s="3"/>
      <c r="Q705" s="3"/>
      <c r="R705" s="3"/>
      <c r="S705" s="3"/>
      <c r="T705" s="3"/>
      <c r="U705" s="3"/>
      <c r="V705" s="3"/>
      <c r="W705" s="3"/>
      <c r="X705" s="3"/>
      <c r="Y705" s="3"/>
      <c r="Z705" s="3"/>
    </row>
    <row r="706" spans="1:26" ht="22.5" customHeight="1" x14ac:dyDescent="0.85">
      <c r="A706" s="166"/>
      <c r="B706" s="167"/>
      <c r="C706" s="167"/>
      <c r="D706" s="147"/>
      <c r="E706" s="147"/>
      <c r="F706" s="147"/>
      <c r="G706" s="147"/>
      <c r="H706" s="147"/>
      <c r="I706" s="147"/>
      <c r="J706" s="147"/>
      <c r="K706" s="3"/>
      <c r="L706" s="3"/>
      <c r="M706" s="3"/>
      <c r="N706" s="3"/>
      <c r="O706" s="3"/>
      <c r="P706" s="3"/>
      <c r="Q706" s="3"/>
      <c r="R706" s="3"/>
      <c r="S706" s="3"/>
      <c r="T706" s="3"/>
      <c r="U706" s="3"/>
      <c r="V706" s="3"/>
      <c r="W706" s="3"/>
      <c r="X706" s="3"/>
      <c r="Y706" s="3"/>
      <c r="Z706" s="3"/>
    </row>
    <row r="707" spans="1:26" ht="22.5" customHeight="1" x14ac:dyDescent="0.85">
      <c r="A707" s="166"/>
      <c r="B707" s="167"/>
      <c r="C707" s="167"/>
      <c r="D707" s="147"/>
      <c r="E707" s="147"/>
      <c r="F707" s="147"/>
      <c r="G707" s="147"/>
      <c r="H707" s="147"/>
      <c r="I707" s="147"/>
      <c r="J707" s="147"/>
      <c r="K707" s="3"/>
      <c r="L707" s="3"/>
      <c r="M707" s="3"/>
      <c r="N707" s="3"/>
      <c r="O707" s="3"/>
      <c r="P707" s="3"/>
      <c r="Q707" s="3"/>
      <c r="R707" s="3"/>
      <c r="S707" s="3"/>
      <c r="T707" s="3"/>
      <c r="U707" s="3"/>
      <c r="V707" s="3"/>
      <c r="W707" s="3"/>
      <c r="X707" s="3"/>
      <c r="Y707" s="3"/>
      <c r="Z707" s="3"/>
    </row>
    <row r="708" spans="1:26" ht="22.5" customHeight="1" x14ac:dyDescent="0.85">
      <c r="A708" s="166"/>
      <c r="B708" s="167"/>
      <c r="C708" s="167"/>
      <c r="D708" s="147"/>
      <c r="E708" s="147"/>
      <c r="F708" s="147"/>
      <c r="G708" s="147"/>
      <c r="H708" s="147"/>
      <c r="I708" s="147"/>
      <c r="J708" s="147"/>
      <c r="K708" s="3"/>
      <c r="L708" s="3"/>
      <c r="M708" s="3"/>
      <c r="N708" s="3"/>
      <c r="O708" s="3"/>
      <c r="P708" s="3"/>
      <c r="Q708" s="3"/>
      <c r="R708" s="3"/>
      <c r="S708" s="3"/>
      <c r="T708" s="3"/>
      <c r="U708" s="3"/>
      <c r="V708" s="3"/>
      <c r="W708" s="3"/>
      <c r="X708" s="3"/>
      <c r="Y708" s="3"/>
      <c r="Z708" s="3"/>
    </row>
    <row r="709" spans="1:26" ht="22.5" customHeight="1" x14ac:dyDescent="0.85">
      <c r="A709" s="166"/>
      <c r="B709" s="167"/>
      <c r="C709" s="167"/>
      <c r="D709" s="147"/>
      <c r="E709" s="147"/>
      <c r="F709" s="147"/>
      <c r="G709" s="147"/>
      <c r="H709" s="147"/>
      <c r="I709" s="147"/>
      <c r="J709" s="147"/>
      <c r="K709" s="3"/>
      <c r="L709" s="3"/>
      <c r="M709" s="3"/>
      <c r="N709" s="3"/>
      <c r="O709" s="3"/>
      <c r="P709" s="3"/>
      <c r="Q709" s="3"/>
      <c r="R709" s="3"/>
      <c r="S709" s="3"/>
      <c r="T709" s="3"/>
      <c r="U709" s="3"/>
      <c r="V709" s="3"/>
      <c r="W709" s="3"/>
      <c r="X709" s="3"/>
      <c r="Y709" s="3"/>
      <c r="Z709" s="3"/>
    </row>
    <row r="710" spans="1:26" ht="22.5" customHeight="1" x14ac:dyDescent="0.85">
      <c r="A710" s="166"/>
      <c r="B710" s="167"/>
      <c r="C710" s="167"/>
      <c r="D710" s="147"/>
      <c r="E710" s="147"/>
      <c r="F710" s="147"/>
      <c r="G710" s="147"/>
      <c r="H710" s="147"/>
      <c r="I710" s="147"/>
      <c r="J710" s="147"/>
      <c r="K710" s="3"/>
      <c r="L710" s="3"/>
      <c r="M710" s="3"/>
      <c r="N710" s="3"/>
      <c r="O710" s="3"/>
      <c r="P710" s="3"/>
      <c r="Q710" s="3"/>
      <c r="R710" s="3"/>
      <c r="S710" s="3"/>
      <c r="T710" s="3"/>
      <c r="U710" s="3"/>
      <c r="V710" s="3"/>
      <c r="W710" s="3"/>
      <c r="X710" s="3"/>
      <c r="Y710" s="3"/>
      <c r="Z710" s="3"/>
    </row>
    <row r="711" spans="1:26" ht="22.5" customHeight="1" x14ac:dyDescent="0.85">
      <c r="A711" s="166"/>
      <c r="B711" s="167"/>
      <c r="C711" s="167"/>
      <c r="D711" s="147"/>
      <c r="E711" s="147"/>
      <c r="F711" s="147"/>
      <c r="G711" s="147"/>
      <c r="H711" s="147"/>
      <c r="I711" s="147"/>
      <c r="J711" s="147"/>
      <c r="K711" s="3"/>
      <c r="L711" s="3"/>
      <c r="M711" s="3"/>
      <c r="N711" s="3"/>
      <c r="O711" s="3"/>
      <c r="P711" s="3"/>
      <c r="Q711" s="3"/>
      <c r="R711" s="3"/>
      <c r="S711" s="3"/>
      <c r="T711" s="3"/>
      <c r="U711" s="3"/>
      <c r="V711" s="3"/>
      <c r="W711" s="3"/>
      <c r="X711" s="3"/>
      <c r="Y711" s="3"/>
      <c r="Z711" s="3"/>
    </row>
    <row r="712" spans="1:26" ht="22.5" customHeight="1" x14ac:dyDescent="0.85">
      <c r="A712" s="166"/>
      <c r="B712" s="167"/>
      <c r="C712" s="167"/>
      <c r="D712" s="147"/>
      <c r="E712" s="147"/>
      <c r="F712" s="147"/>
      <c r="G712" s="147"/>
      <c r="H712" s="147"/>
      <c r="I712" s="147"/>
      <c r="J712" s="147"/>
      <c r="K712" s="3"/>
      <c r="L712" s="3"/>
      <c r="M712" s="3"/>
      <c r="N712" s="3"/>
      <c r="O712" s="3"/>
      <c r="P712" s="3"/>
      <c r="Q712" s="3"/>
      <c r="R712" s="3"/>
      <c r="S712" s="3"/>
      <c r="T712" s="3"/>
      <c r="U712" s="3"/>
      <c r="V712" s="3"/>
      <c r="W712" s="3"/>
      <c r="X712" s="3"/>
      <c r="Y712" s="3"/>
      <c r="Z712" s="3"/>
    </row>
    <row r="713" spans="1:26" ht="22.5" customHeight="1" x14ac:dyDescent="0.85">
      <c r="A713" s="166"/>
      <c r="B713" s="167"/>
      <c r="C713" s="167"/>
      <c r="D713" s="147"/>
      <c r="E713" s="147"/>
      <c r="F713" s="147"/>
      <c r="G713" s="147"/>
      <c r="H713" s="147"/>
      <c r="I713" s="147"/>
      <c r="J713" s="147"/>
      <c r="K713" s="3"/>
      <c r="L713" s="3"/>
      <c r="M713" s="3"/>
      <c r="N713" s="3"/>
      <c r="O713" s="3"/>
      <c r="P713" s="3"/>
      <c r="Q713" s="3"/>
      <c r="R713" s="3"/>
      <c r="S713" s="3"/>
      <c r="T713" s="3"/>
      <c r="U713" s="3"/>
      <c r="V713" s="3"/>
      <c r="W713" s="3"/>
      <c r="X713" s="3"/>
      <c r="Y713" s="3"/>
      <c r="Z713" s="3"/>
    </row>
    <row r="714" spans="1:26" ht="22.5" customHeight="1" x14ac:dyDescent="0.85">
      <c r="A714" s="166"/>
      <c r="B714" s="167"/>
      <c r="C714" s="167"/>
      <c r="D714" s="147"/>
      <c r="E714" s="147"/>
      <c r="F714" s="147"/>
      <c r="G714" s="147"/>
      <c r="H714" s="147"/>
      <c r="I714" s="147"/>
      <c r="J714" s="147"/>
      <c r="K714" s="3"/>
      <c r="L714" s="3"/>
      <c r="M714" s="3"/>
      <c r="N714" s="3"/>
      <c r="O714" s="3"/>
      <c r="P714" s="3"/>
      <c r="Q714" s="3"/>
      <c r="R714" s="3"/>
      <c r="S714" s="3"/>
      <c r="T714" s="3"/>
      <c r="U714" s="3"/>
      <c r="V714" s="3"/>
      <c r="W714" s="3"/>
      <c r="X714" s="3"/>
      <c r="Y714" s="3"/>
      <c r="Z714" s="3"/>
    </row>
    <row r="715" spans="1:26" ht="22.5" customHeight="1" x14ac:dyDescent="0.85">
      <c r="A715" s="166"/>
      <c r="B715" s="167"/>
      <c r="C715" s="167"/>
      <c r="D715" s="147"/>
      <c r="E715" s="147"/>
      <c r="F715" s="147"/>
      <c r="G715" s="147"/>
      <c r="H715" s="147"/>
      <c r="I715" s="147"/>
      <c r="J715" s="147"/>
      <c r="K715" s="3"/>
      <c r="L715" s="3"/>
      <c r="M715" s="3"/>
      <c r="N715" s="3"/>
      <c r="O715" s="3"/>
      <c r="P715" s="3"/>
      <c r="Q715" s="3"/>
      <c r="R715" s="3"/>
      <c r="S715" s="3"/>
      <c r="T715" s="3"/>
      <c r="U715" s="3"/>
      <c r="V715" s="3"/>
      <c r="W715" s="3"/>
      <c r="X715" s="3"/>
      <c r="Y715" s="3"/>
      <c r="Z715" s="3"/>
    </row>
    <row r="716" spans="1:26" ht="22.5" customHeight="1" x14ac:dyDescent="0.85">
      <c r="A716" s="166"/>
      <c r="B716" s="167"/>
      <c r="C716" s="167"/>
      <c r="D716" s="147"/>
      <c r="E716" s="147"/>
      <c r="F716" s="147"/>
      <c r="G716" s="147"/>
      <c r="H716" s="147"/>
      <c r="I716" s="147"/>
      <c r="J716" s="147"/>
      <c r="K716" s="3"/>
      <c r="L716" s="3"/>
      <c r="M716" s="3"/>
      <c r="N716" s="3"/>
      <c r="O716" s="3"/>
      <c r="P716" s="3"/>
      <c r="Q716" s="3"/>
      <c r="R716" s="3"/>
      <c r="S716" s="3"/>
      <c r="T716" s="3"/>
      <c r="U716" s="3"/>
      <c r="V716" s="3"/>
      <c r="W716" s="3"/>
      <c r="X716" s="3"/>
      <c r="Y716" s="3"/>
      <c r="Z716" s="3"/>
    </row>
    <row r="717" spans="1:26" ht="22.5" customHeight="1" x14ac:dyDescent="0.85">
      <c r="A717" s="166"/>
      <c r="B717" s="167"/>
      <c r="C717" s="167"/>
      <c r="D717" s="147"/>
      <c r="E717" s="147"/>
      <c r="F717" s="147"/>
      <c r="G717" s="147"/>
      <c r="H717" s="147"/>
      <c r="I717" s="147"/>
      <c r="J717" s="147"/>
      <c r="K717" s="3"/>
      <c r="L717" s="3"/>
      <c r="M717" s="3"/>
      <c r="N717" s="3"/>
      <c r="O717" s="3"/>
      <c r="P717" s="3"/>
      <c r="Q717" s="3"/>
      <c r="R717" s="3"/>
      <c r="S717" s="3"/>
      <c r="T717" s="3"/>
      <c r="U717" s="3"/>
      <c r="V717" s="3"/>
      <c r="W717" s="3"/>
      <c r="X717" s="3"/>
      <c r="Y717" s="3"/>
      <c r="Z717" s="3"/>
    </row>
    <row r="718" spans="1:26" ht="22.5" customHeight="1" x14ac:dyDescent="0.85">
      <c r="A718" s="166"/>
      <c r="B718" s="167"/>
      <c r="C718" s="167"/>
      <c r="D718" s="147"/>
      <c r="E718" s="147"/>
      <c r="F718" s="147"/>
      <c r="G718" s="147"/>
      <c r="H718" s="147"/>
      <c r="I718" s="147"/>
      <c r="J718" s="147"/>
      <c r="K718" s="3"/>
      <c r="L718" s="3"/>
      <c r="M718" s="3"/>
      <c r="N718" s="3"/>
      <c r="O718" s="3"/>
      <c r="P718" s="3"/>
      <c r="Q718" s="3"/>
      <c r="R718" s="3"/>
      <c r="S718" s="3"/>
      <c r="T718" s="3"/>
      <c r="U718" s="3"/>
      <c r="V718" s="3"/>
      <c r="W718" s="3"/>
      <c r="X718" s="3"/>
      <c r="Y718" s="3"/>
      <c r="Z718" s="3"/>
    </row>
    <row r="719" spans="1:26" ht="22.5" customHeight="1" x14ac:dyDescent="0.85">
      <c r="A719" s="166"/>
      <c r="B719" s="167"/>
      <c r="C719" s="167"/>
      <c r="D719" s="147"/>
      <c r="E719" s="147"/>
      <c r="F719" s="147"/>
      <c r="G719" s="147"/>
      <c r="H719" s="147"/>
      <c r="I719" s="147"/>
      <c r="J719" s="147"/>
      <c r="K719" s="3"/>
      <c r="L719" s="3"/>
      <c r="M719" s="3"/>
      <c r="N719" s="3"/>
      <c r="O719" s="3"/>
      <c r="P719" s="3"/>
      <c r="Q719" s="3"/>
      <c r="R719" s="3"/>
      <c r="S719" s="3"/>
      <c r="T719" s="3"/>
      <c r="U719" s="3"/>
      <c r="V719" s="3"/>
      <c r="W719" s="3"/>
      <c r="X719" s="3"/>
      <c r="Y719" s="3"/>
      <c r="Z719" s="3"/>
    </row>
    <row r="720" spans="1:26" ht="22.5" customHeight="1" x14ac:dyDescent="0.85">
      <c r="A720" s="166"/>
      <c r="B720" s="167"/>
      <c r="C720" s="167"/>
      <c r="D720" s="147"/>
      <c r="E720" s="147"/>
      <c r="F720" s="147"/>
      <c r="G720" s="147"/>
      <c r="H720" s="147"/>
      <c r="I720" s="147"/>
      <c r="J720" s="147"/>
      <c r="K720" s="3"/>
      <c r="L720" s="3"/>
      <c r="M720" s="3"/>
      <c r="N720" s="3"/>
      <c r="O720" s="3"/>
      <c r="P720" s="3"/>
      <c r="Q720" s="3"/>
      <c r="R720" s="3"/>
      <c r="S720" s="3"/>
      <c r="T720" s="3"/>
      <c r="U720" s="3"/>
      <c r="V720" s="3"/>
      <c r="W720" s="3"/>
      <c r="X720" s="3"/>
      <c r="Y720" s="3"/>
      <c r="Z720" s="3"/>
    </row>
    <row r="721" spans="1:26" ht="22.5" customHeight="1" x14ac:dyDescent="0.85">
      <c r="A721" s="166"/>
      <c r="B721" s="167"/>
      <c r="C721" s="167"/>
      <c r="D721" s="147"/>
      <c r="E721" s="147"/>
      <c r="F721" s="147"/>
      <c r="G721" s="147"/>
      <c r="H721" s="147"/>
      <c r="I721" s="147"/>
      <c r="J721" s="147"/>
      <c r="K721" s="3"/>
      <c r="L721" s="3"/>
      <c r="M721" s="3"/>
      <c r="N721" s="3"/>
      <c r="O721" s="3"/>
      <c r="P721" s="3"/>
      <c r="Q721" s="3"/>
      <c r="R721" s="3"/>
      <c r="S721" s="3"/>
      <c r="T721" s="3"/>
      <c r="U721" s="3"/>
      <c r="V721" s="3"/>
      <c r="W721" s="3"/>
      <c r="X721" s="3"/>
      <c r="Y721" s="3"/>
      <c r="Z721" s="3"/>
    </row>
    <row r="722" spans="1:26" ht="22.5" customHeight="1" x14ac:dyDescent="0.85">
      <c r="A722" s="166"/>
      <c r="B722" s="167"/>
      <c r="C722" s="167"/>
      <c r="D722" s="147"/>
      <c r="E722" s="147"/>
      <c r="F722" s="147"/>
      <c r="G722" s="147"/>
      <c r="H722" s="147"/>
      <c r="I722" s="147"/>
      <c r="J722" s="147"/>
      <c r="K722" s="3"/>
      <c r="L722" s="3"/>
      <c r="M722" s="3"/>
      <c r="N722" s="3"/>
      <c r="O722" s="3"/>
      <c r="P722" s="3"/>
      <c r="Q722" s="3"/>
      <c r="R722" s="3"/>
      <c r="S722" s="3"/>
      <c r="T722" s="3"/>
      <c r="U722" s="3"/>
      <c r="V722" s="3"/>
      <c r="W722" s="3"/>
      <c r="X722" s="3"/>
      <c r="Y722" s="3"/>
      <c r="Z722" s="3"/>
    </row>
    <row r="723" spans="1:26" ht="22.5" customHeight="1" x14ac:dyDescent="0.85">
      <c r="A723" s="166"/>
      <c r="B723" s="167"/>
      <c r="C723" s="167"/>
      <c r="D723" s="147"/>
      <c r="E723" s="147"/>
      <c r="F723" s="147"/>
      <c r="G723" s="147"/>
      <c r="H723" s="147"/>
      <c r="I723" s="147"/>
      <c r="J723" s="147"/>
      <c r="K723" s="3"/>
      <c r="L723" s="3"/>
      <c r="M723" s="3"/>
      <c r="N723" s="3"/>
      <c r="O723" s="3"/>
      <c r="P723" s="3"/>
      <c r="Q723" s="3"/>
      <c r="R723" s="3"/>
      <c r="S723" s="3"/>
      <c r="T723" s="3"/>
      <c r="U723" s="3"/>
      <c r="V723" s="3"/>
      <c r="W723" s="3"/>
      <c r="X723" s="3"/>
      <c r="Y723" s="3"/>
      <c r="Z723" s="3"/>
    </row>
    <row r="724" spans="1:26" ht="22.5" customHeight="1" x14ac:dyDescent="0.85">
      <c r="A724" s="166"/>
      <c r="B724" s="167"/>
      <c r="C724" s="167"/>
      <c r="D724" s="147"/>
      <c r="E724" s="147"/>
      <c r="F724" s="147"/>
      <c r="G724" s="147"/>
      <c r="H724" s="147"/>
      <c r="I724" s="147"/>
      <c r="J724" s="147"/>
      <c r="K724" s="3"/>
      <c r="L724" s="3"/>
      <c r="M724" s="3"/>
      <c r="N724" s="3"/>
      <c r="O724" s="3"/>
      <c r="P724" s="3"/>
      <c r="Q724" s="3"/>
      <c r="R724" s="3"/>
      <c r="S724" s="3"/>
      <c r="T724" s="3"/>
      <c r="U724" s="3"/>
      <c r="V724" s="3"/>
      <c r="W724" s="3"/>
      <c r="X724" s="3"/>
      <c r="Y724" s="3"/>
      <c r="Z724" s="3"/>
    </row>
    <row r="725" spans="1:26" ht="22.5" customHeight="1" x14ac:dyDescent="0.85">
      <c r="A725" s="166"/>
      <c r="B725" s="167"/>
      <c r="C725" s="167"/>
      <c r="D725" s="147"/>
      <c r="E725" s="147"/>
      <c r="F725" s="147"/>
      <c r="G725" s="147"/>
      <c r="H725" s="147"/>
      <c r="I725" s="147"/>
      <c r="J725" s="147"/>
      <c r="K725" s="3"/>
      <c r="L725" s="3"/>
      <c r="M725" s="3"/>
      <c r="N725" s="3"/>
      <c r="O725" s="3"/>
      <c r="P725" s="3"/>
      <c r="Q725" s="3"/>
      <c r="R725" s="3"/>
      <c r="S725" s="3"/>
      <c r="T725" s="3"/>
      <c r="U725" s="3"/>
      <c r="V725" s="3"/>
      <c r="W725" s="3"/>
      <c r="X725" s="3"/>
      <c r="Y725" s="3"/>
      <c r="Z725" s="3"/>
    </row>
    <row r="726" spans="1:26" ht="22.5" customHeight="1" x14ac:dyDescent="0.85">
      <c r="A726" s="166"/>
      <c r="B726" s="167"/>
      <c r="C726" s="167"/>
      <c r="D726" s="147"/>
      <c r="E726" s="147"/>
      <c r="F726" s="147"/>
      <c r="G726" s="147"/>
      <c r="H726" s="147"/>
      <c r="I726" s="147"/>
      <c r="J726" s="147"/>
      <c r="K726" s="3"/>
      <c r="L726" s="3"/>
      <c r="M726" s="3"/>
      <c r="N726" s="3"/>
      <c r="O726" s="3"/>
      <c r="P726" s="3"/>
      <c r="Q726" s="3"/>
      <c r="R726" s="3"/>
      <c r="S726" s="3"/>
      <c r="T726" s="3"/>
      <c r="U726" s="3"/>
      <c r="V726" s="3"/>
      <c r="W726" s="3"/>
      <c r="X726" s="3"/>
      <c r="Y726" s="3"/>
      <c r="Z726" s="3"/>
    </row>
    <row r="727" spans="1:26" ht="22.5" customHeight="1" x14ac:dyDescent="0.85">
      <c r="A727" s="166"/>
      <c r="B727" s="167"/>
      <c r="C727" s="167"/>
      <c r="D727" s="147"/>
      <c r="E727" s="147"/>
      <c r="F727" s="147"/>
      <c r="G727" s="147"/>
      <c r="H727" s="147"/>
      <c r="I727" s="147"/>
      <c r="J727" s="147"/>
      <c r="K727" s="3"/>
      <c r="L727" s="3"/>
      <c r="M727" s="3"/>
      <c r="N727" s="3"/>
      <c r="O727" s="3"/>
      <c r="P727" s="3"/>
      <c r="Q727" s="3"/>
      <c r="R727" s="3"/>
      <c r="S727" s="3"/>
      <c r="T727" s="3"/>
      <c r="U727" s="3"/>
      <c r="V727" s="3"/>
      <c r="W727" s="3"/>
      <c r="X727" s="3"/>
      <c r="Y727" s="3"/>
      <c r="Z727" s="3"/>
    </row>
    <row r="728" spans="1:26" ht="22.5" customHeight="1" x14ac:dyDescent="0.85">
      <c r="A728" s="166"/>
      <c r="B728" s="167"/>
      <c r="C728" s="167"/>
      <c r="D728" s="147"/>
      <c r="E728" s="147"/>
      <c r="F728" s="147"/>
      <c r="G728" s="147"/>
      <c r="H728" s="147"/>
      <c r="I728" s="147"/>
      <c r="J728" s="147"/>
      <c r="K728" s="3"/>
      <c r="L728" s="3"/>
      <c r="M728" s="3"/>
      <c r="N728" s="3"/>
      <c r="O728" s="3"/>
      <c r="P728" s="3"/>
      <c r="Q728" s="3"/>
      <c r="R728" s="3"/>
      <c r="S728" s="3"/>
      <c r="T728" s="3"/>
      <c r="U728" s="3"/>
      <c r="V728" s="3"/>
      <c r="W728" s="3"/>
      <c r="X728" s="3"/>
      <c r="Y728" s="3"/>
      <c r="Z728" s="3"/>
    </row>
    <row r="729" spans="1:26" ht="22.5" customHeight="1" x14ac:dyDescent="0.85">
      <c r="A729" s="166"/>
      <c r="B729" s="167"/>
      <c r="C729" s="167"/>
      <c r="D729" s="147"/>
      <c r="E729" s="147"/>
      <c r="F729" s="147"/>
      <c r="G729" s="147"/>
      <c r="H729" s="147"/>
      <c r="I729" s="147"/>
      <c r="J729" s="147"/>
      <c r="K729" s="3"/>
      <c r="L729" s="3"/>
      <c r="M729" s="3"/>
      <c r="N729" s="3"/>
      <c r="O729" s="3"/>
      <c r="P729" s="3"/>
      <c r="Q729" s="3"/>
      <c r="R729" s="3"/>
      <c r="S729" s="3"/>
      <c r="T729" s="3"/>
      <c r="U729" s="3"/>
      <c r="V729" s="3"/>
      <c r="W729" s="3"/>
      <c r="X729" s="3"/>
      <c r="Y729" s="3"/>
      <c r="Z729" s="3"/>
    </row>
    <row r="730" spans="1:26" ht="22.5" customHeight="1" x14ac:dyDescent="0.85">
      <c r="A730" s="166"/>
      <c r="B730" s="167"/>
      <c r="C730" s="167"/>
      <c r="D730" s="147"/>
      <c r="E730" s="147"/>
      <c r="F730" s="147"/>
      <c r="G730" s="147"/>
      <c r="H730" s="147"/>
      <c r="I730" s="147"/>
      <c r="J730" s="147"/>
      <c r="K730" s="3"/>
      <c r="L730" s="3"/>
      <c r="M730" s="3"/>
      <c r="N730" s="3"/>
      <c r="O730" s="3"/>
      <c r="P730" s="3"/>
      <c r="Q730" s="3"/>
      <c r="R730" s="3"/>
      <c r="S730" s="3"/>
      <c r="T730" s="3"/>
      <c r="U730" s="3"/>
      <c r="V730" s="3"/>
      <c r="W730" s="3"/>
      <c r="X730" s="3"/>
      <c r="Y730" s="3"/>
      <c r="Z730" s="3"/>
    </row>
    <row r="731" spans="1:26" ht="22.5" customHeight="1" x14ac:dyDescent="0.85">
      <c r="A731" s="166"/>
      <c r="B731" s="167"/>
      <c r="C731" s="167"/>
      <c r="D731" s="147"/>
      <c r="E731" s="147"/>
      <c r="F731" s="147"/>
      <c r="G731" s="147"/>
      <c r="H731" s="147"/>
      <c r="I731" s="147"/>
      <c r="J731" s="147"/>
      <c r="K731" s="3"/>
      <c r="L731" s="3"/>
      <c r="M731" s="3"/>
      <c r="N731" s="3"/>
      <c r="O731" s="3"/>
      <c r="P731" s="3"/>
      <c r="Q731" s="3"/>
      <c r="R731" s="3"/>
      <c r="S731" s="3"/>
      <c r="T731" s="3"/>
      <c r="U731" s="3"/>
      <c r="V731" s="3"/>
      <c r="W731" s="3"/>
      <c r="X731" s="3"/>
      <c r="Y731" s="3"/>
      <c r="Z731" s="3"/>
    </row>
    <row r="732" spans="1:26" ht="22.5" customHeight="1" x14ac:dyDescent="0.85">
      <c r="A732" s="166"/>
      <c r="B732" s="167"/>
      <c r="C732" s="167"/>
      <c r="D732" s="147"/>
      <c r="E732" s="147"/>
      <c r="F732" s="147"/>
      <c r="G732" s="147"/>
      <c r="H732" s="147"/>
      <c r="I732" s="147"/>
      <c r="J732" s="147"/>
      <c r="K732" s="3"/>
      <c r="L732" s="3"/>
      <c r="M732" s="3"/>
      <c r="N732" s="3"/>
      <c r="O732" s="3"/>
      <c r="P732" s="3"/>
      <c r="Q732" s="3"/>
      <c r="R732" s="3"/>
      <c r="S732" s="3"/>
      <c r="T732" s="3"/>
      <c r="U732" s="3"/>
      <c r="V732" s="3"/>
      <c r="W732" s="3"/>
      <c r="X732" s="3"/>
      <c r="Y732" s="3"/>
      <c r="Z732" s="3"/>
    </row>
    <row r="733" spans="1:26" ht="22.5" customHeight="1" x14ac:dyDescent="0.85">
      <c r="A733" s="166"/>
      <c r="B733" s="167"/>
      <c r="C733" s="167"/>
      <c r="D733" s="147"/>
      <c r="E733" s="147"/>
      <c r="F733" s="147"/>
      <c r="G733" s="147"/>
      <c r="H733" s="147"/>
      <c r="I733" s="147"/>
      <c r="J733" s="147"/>
      <c r="K733" s="3"/>
      <c r="L733" s="3"/>
      <c r="M733" s="3"/>
      <c r="N733" s="3"/>
      <c r="O733" s="3"/>
      <c r="P733" s="3"/>
      <c r="Q733" s="3"/>
      <c r="R733" s="3"/>
      <c r="S733" s="3"/>
      <c r="T733" s="3"/>
      <c r="U733" s="3"/>
      <c r="V733" s="3"/>
      <c r="W733" s="3"/>
      <c r="X733" s="3"/>
      <c r="Y733" s="3"/>
      <c r="Z733" s="3"/>
    </row>
    <row r="734" spans="1:26" ht="22.5" customHeight="1" x14ac:dyDescent="0.85">
      <c r="A734" s="166"/>
      <c r="B734" s="167"/>
      <c r="C734" s="167"/>
      <c r="D734" s="147"/>
      <c r="E734" s="147"/>
      <c r="F734" s="147"/>
      <c r="G734" s="147"/>
      <c r="H734" s="147"/>
      <c r="I734" s="147"/>
      <c r="J734" s="147"/>
      <c r="K734" s="3"/>
      <c r="L734" s="3"/>
      <c r="M734" s="3"/>
      <c r="N734" s="3"/>
      <c r="O734" s="3"/>
      <c r="P734" s="3"/>
      <c r="Q734" s="3"/>
      <c r="R734" s="3"/>
      <c r="S734" s="3"/>
      <c r="T734" s="3"/>
      <c r="U734" s="3"/>
      <c r="V734" s="3"/>
      <c r="W734" s="3"/>
      <c r="X734" s="3"/>
      <c r="Y734" s="3"/>
      <c r="Z734" s="3"/>
    </row>
    <row r="735" spans="1:26" ht="22.5" customHeight="1" x14ac:dyDescent="0.85">
      <c r="A735" s="166"/>
      <c r="B735" s="167"/>
      <c r="C735" s="167"/>
      <c r="D735" s="147"/>
      <c r="E735" s="147"/>
      <c r="F735" s="147"/>
      <c r="G735" s="147"/>
      <c r="H735" s="147"/>
      <c r="I735" s="147"/>
      <c r="J735" s="147"/>
      <c r="K735" s="3"/>
      <c r="L735" s="3"/>
      <c r="M735" s="3"/>
      <c r="N735" s="3"/>
      <c r="O735" s="3"/>
      <c r="P735" s="3"/>
      <c r="Q735" s="3"/>
      <c r="R735" s="3"/>
      <c r="S735" s="3"/>
      <c r="T735" s="3"/>
      <c r="U735" s="3"/>
      <c r="V735" s="3"/>
      <c r="W735" s="3"/>
      <c r="X735" s="3"/>
      <c r="Y735" s="3"/>
      <c r="Z735" s="3"/>
    </row>
    <row r="736" spans="1:26" ht="22.5" customHeight="1" x14ac:dyDescent="0.85">
      <c r="A736" s="166"/>
      <c r="B736" s="167"/>
      <c r="C736" s="167"/>
      <c r="D736" s="147"/>
      <c r="E736" s="147"/>
      <c r="F736" s="147"/>
      <c r="G736" s="147"/>
      <c r="H736" s="147"/>
      <c r="I736" s="147"/>
      <c r="J736" s="147"/>
      <c r="K736" s="3"/>
      <c r="L736" s="3"/>
      <c r="M736" s="3"/>
      <c r="N736" s="3"/>
      <c r="O736" s="3"/>
      <c r="P736" s="3"/>
      <c r="Q736" s="3"/>
      <c r="R736" s="3"/>
      <c r="S736" s="3"/>
      <c r="T736" s="3"/>
      <c r="U736" s="3"/>
      <c r="V736" s="3"/>
      <c r="W736" s="3"/>
      <c r="X736" s="3"/>
      <c r="Y736" s="3"/>
      <c r="Z736" s="3"/>
    </row>
    <row r="737" spans="1:26" ht="22.5" customHeight="1" x14ac:dyDescent="0.85">
      <c r="A737" s="166"/>
      <c r="B737" s="167"/>
      <c r="C737" s="167"/>
      <c r="D737" s="147"/>
      <c r="E737" s="147"/>
      <c r="F737" s="147"/>
      <c r="G737" s="147"/>
      <c r="H737" s="147"/>
      <c r="I737" s="147"/>
      <c r="J737" s="147"/>
      <c r="K737" s="3"/>
      <c r="L737" s="3"/>
      <c r="M737" s="3"/>
      <c r="N737" s="3"/>
      <c r="O737" s="3"/>
      <c r="P737" s="3"/>
      <c r="Q737" s="3"/>
      <c r="R737" s="3"/>
      <c r="S737" s="3"/>
      <c r="T737" s="3"/>
      <c r="U737" s="3"/>
      <c r="V737" s="3"/>
      <c r="W737" s="3"/>
      <c r="X737" s="3"/>
      <c r="Y737" s="3"/>
      <c r="Z737" s="3"/>
    </row>
    <row r="738" spans="1:26" ht="22.5" customHeight="1" x14ac:dyDescent="0.85">
      <c r="A738" s="166"/>
      <c r="B738" s="167"/>
      <c r="C738" s="167"/>
      <c r="D738" s="147"/>
      <c r="E738" s="147"/>
      <c r="F738" s="147"/>
      <c r="G738" s="147"/>
      <c r="H738" s="147"/>
      <c r="I738" s="147"/>
      <c r="J738" s="147"/>
      <c r="K738" s="3"/>
      <c r="L738" s="3"/>
      <c r="M738" s="3"/>
      <c r="N738" s="3"/>
      <c r="O738" s="3"/>
      <c r="P738" s="3"/>
      <c r="Q738" s="3"/>
      <c r="R738" s="3"/>
      <c r="S738" s="3"/>
      <c r="T738" s="3"/>
      <c r="U738" s="3"/>
      <c r="V738" s="3"/>
      <c r="W738" s="3"/>
      <c r="X738" s="3"/>
      <c r="Y738" s="3"/>
      <c r="Z738" s="3"/>
    </row>
    <row r="739" spans="1:26" ht="22.5" customHeight="1" x14ac:dyDescent="0.85">
      <c r="A739" s="166"/>
      <c r="B739" s="167"/>
      <c r="C739" s="167"/>
      <c r="D739" s="147"/>
      <c r="E739" s="147"/>
      <c r="F739" s="147"/>
      <c r="G739" s="147"/>
      <c r="H739" s="147"/>
      <c r="I739" s="147"/>
      <c r="J739" s="147"/>
      <c r="K739" s="3"/>
      <c r="L739" s="3"/>
      <c r="M739" s="3"/>
      <c r="N739" s="3"/>
      <c r="O739" s="3"/>
      <c r="P739" s="3"/>
      <c r="Q739" s="3"/>
      <c r="R739" s="3"/>
      <c r="S739" s="3"/>
      <c r="T739" s="3"/>
      <c r="U739" s="3"/>
      <c r="V739" s="3"/>
      <c r="W739" s="3"/>
      <c r="X739" s="3"/>
      <c r="Y739" s="3"/>
      <c r="Z739" s="3"/>
    </row>
    <row r="740" spans="1:26" ht="22.5" customHeight="1" x14ac:dyDescent="0.85">
      <c r="A740" s="166"/>
      <c r="B740" s="167"/>
      <c r="C740" s="167"/>
      <c r="D740" s="147"/>
      <c r="E740" s="147"/>
      <c r="F740" s="147"/>
      <c r="G740" s="147"/>
      <c r="H740" s="147"/>
      <c r="I740" s="147"/>
      <c r="J740" s="147"/>
      <c r="K740" s="3"/>
      <c r="L740" s="3"/>
      <c r="M740" s="3"/>
      <c r="N740" s="3"/>
      <c r="O740" s="3"/>
      <c r="P740" s="3"/>
      <c r="Q740" s="3"/>
      <c r="R740" s="3"/>
      <c r="S740" s="3"/>
      <c r="T740" s="3"/>
      <c r="U740" s="3"/>
      <c r="V740" s="3"/>
      <c r="W740" s="3"/>
      <c r="X740" s="3"/>
      <c r="Y740" s="3"/>
      <c r="Z740" s="3"/>
    </row>
    <row r="741" spans="1:26" ht="22.5" customHeight="1" x14ac:dyDescent="0.85">
      <c r="A741" s="166"/>
      <c r="B741" s="167"/>
      <c r="C741" s="167"/>
      <c r="D741" s="147"/>
      <c r="E741" s="147"/>
      <c r="F741" s="147"/>
      <c r="G741" s="147"/>
      <c r="H741" s="147"/>
      <c r="I741" s="147"/>
      <c r="J741" s="147"/>
      <c r="K741" s="3"/>
      <c r="L741" s="3"/>
      <c r="M741" s="3"/>
      <c r="N741" s="3"/>
      <c r="O741" s="3"/>
      <c r="P741" s="3"/>
      <c r="Q741" s="3"/>
      <c r="R741" s="3"/>
      <c r="S741" s="3"/>
      <c r="T741" s="3"/>
      <c r="U741" s="3"/>
      <c r="V741" s="3"/>
      <c r="W741" s="3"/>
      <c r="X741" s="3"/>
      <c r="Y741" s="3"/>
      <c r="Z741" s="3"/>
    </row>
    <row r="742" spans="1:26" ht="22.5" customHeight="1" x14ac:dyDescent="0.85">
      <c r="A742" s="166"/>
      <c r="B742" s="167"/>
      <c r="C742" s="167"/>
      <c r="D742" s="147"/>
      <c r="E742" s="147"/>
      <c r="F742" s="147"/>
      <c r="G742" s="147"/>
      <c r="H742" s="147"/>
      <c r="I742" s="147"/>
      <c r="J742" s="147"/>
      <c r="K742" s="3"/>
      <c r="L742" s="3"/>
      <c r="M742" s="3"/>
      <c r="N742" s="3"/>
      <c r="O742" s="3"/>
      <c r="P742" s="3"/>
      <c r="Q742" s="3"/>
      <c r="R742" s="3"/>
      <c r="S742" s="3"/>
      <c r="T742" s="3"/>
      <c r="U742" s="3"/>
      <c r="V742" s="3"/>
      <c r="W742" s="3"/>
      <c r="X742" s="3"/>
      <c r="Y742" s="3"/>
      <c r="Z742" s="3"/>
    </row>
    <row r="743" spans="1:26" ht="22.5" customHeight="1" x14ac:dyDescent="0.85">
      <c r="A743" s="166"/>
      <c r="B743" s="167"/>
      <c r="C743" s="167"/>
      <c r="D743" s="147"/>
      <c r="E743" s="147"/>
      <c r="F743" s="147"/>
      <c r="G743" s="147"/>
      <c r="H743" s="147"/>
      <c r="I743" s="147"/>
      <c r="J743" s="147"/>
      <c r="K743" s="3"/>
      <c r="L743" s="3"/>
      <c r="M743" s="3"/>
      <c r="N743" s="3"/>
      <c r="O743" s="3"/>
      <c r="P743" s="3"/>
      <c r="Q743" s="3"/>
      <c r="R743" s="3"/>
      <c r="S743" s="3"/>
      <c r="T743" s="3"/>
      <c r="U743" s="3"/>
      <c r="V743" s="3"/>
      <c r="W743" s="3"/>
      <c r="X743" s="3"/>
      <c r="Y743" s="3"/>
      <c r="Z743" s="3"/>
    </row>
    <row r="744" spans="1:26" ht="22.5" customHeight="1" x14ac:dyDescent="0.85">
      <c r="A744" s="166"/>
      <c r="B744" s="167"/>
      <c r="C744" s="167"/>
      <c r="D744" s="147"/>
      <c r="E744" s="147"/>
      <c r="F744" s="147"/>
      <c r="G744" s="147"/>
      <c r="H744" s="147"/>
      <c r="I744" s="147"/>
      <c r="J744" s="147"/>
      <c r="K744" s="3"/>
      <c r="L744" s="3"/>
      <c r="M744" s="3"/>
      <c r="N744" s="3"/>
      <c r="O744" s="3"/>
      <c r="P744" s="3"/>
      <c r="Q744" s="3"/>
      <c r="R744" s="3"/>
      <c r="S744" s="3"/>
      <c r="T744" s="3"/>
      <c r="U744" s="3"/>
      <c r="V744" s="3"/>
      <c r="W744" s="3"/>
      <c r="X744" s="3"/>
      <c r="Y744" s="3"/>
      <c r="Z744" s="3"/>
    </row>
    <row r="745" spans="1:26" ht="22.5" customHeight="1" x14ac:dyDescent="0.85">
      <c r="A745" s="166"/>
      <c r="B745" s="167"/>
      <c r="C745" s="167"/>
      <c r="D745" s="147"/>
      <c r="E745" s="147"/>
      <c r="F745" s="147"/>
      <c r="G745" s="147"/>
      <c r="H745" s="147"/>
      <c r="I745" s="147"/>
      <c r="J745" s="147"/>
      <c r="K745" s="3"/>
      <c r="L745" s="3"/>
      <c r="M745" s="3"/>
      <c r="N745" s="3"/>
      <c r="O745" s="3"/>
      <c r="P745" s="3"/>
      <c r="Q745" s="3"/>
      <c r="R745" s="3"/>
      <c r="S745" s="3"/>
      <c r="T745" s="3"/>
      <c r="U745" s="3"/>
      <c r="V745" s="3"/>
      <c r="W745" s="3"/>
      <c r="X745" s="3"/>
      <c r="Y745" s="3"/>
      <c r="Z745" s="3"/>
    </row>
    <row r="746" spans="1:26" ht="22.5" customHeight="1" x14ac:dyDescent="0.85">
      <c r="A746" s="166"/>
      <c r="B746" s="167"/>
      <c r="C746" s="167"/>
      <c r="D746" s="147"/>
      <c r="E746" s="147"/>
      <c r="F746" s="147"/>
      <c r="G746" s="147"/>
      <c r="H746" s="147"/>
      <c r="I746" s="147"/>
      <c r="J746" s="147"/>
      <c r="K746" s="3"/>
      <c r="L746" s="3"/>
      <c r="M746" s="3"/>
      <c r="N746" s="3"/>
      <c r="O746" s="3"/>
      <c r="P746" s="3"/>
      <c r="Q746" s="3"/>
      <c r="R746" s="3"/>
      <c r="S746" s="3"/>
      <c r="T746" s="3"/>
      <c r="U746" s="3"/>
      <c r="V746" s="3"/>
      <c r="W746" s="3"/>
      <c r="X746" s="3"/>
      <c r="Y746" s="3"/>
      <c r="Z746" s="3"/>
    </row>
    <row r="747" spans="1:26" ht="22.5" customHeight="1" x14ac:dyDescent="0.85">
      <c r="A747" s="166"/>
      <c r="B747" s="167"/>
      <c r="C747" s="167"/>
      <c r="D747" s="147"/>
      <c r="E747" s="147"/>
      <c r="F747" s="147"/>
      <c r="G747" s="147"/>
      <c r="H747" s="147"/>
      <c r="I747" s="147"/>
      <c r="J747" s="147"/>
      <c r="K747" s="3"/>
      <c r="L747" s="3"/>
      <c r="M747" s="3"/>
      <c r="N747" s="3"/>
      <c r="O747" s="3"/>
      <c r="P747" s="3"/>
      <c r="Q747" s="3"/>
      <c r="R747" s="3"/>
      <c r="S747" s="3"/>
      <c r="T747" s="3"/>
      <c r="U747" s="3"/>
      <c r="V747" s="3"/>
      <c r="W747" s="3"/>
      <c r="X747" s="3"/>
      <c r="Y747" s="3"/>
      <c r="Z747" s="3"/>
    </row>
    <row r="748" spans="1:26" ht="22.5" customHeight="1" x14ac:dyDescent="0.85">
      <c r="A748" s="166"/>
      <c r="B748" s="167"/>
      <c r="C748" s="167"/>
      <c r="D748" s="147"/>
      <c r="E748" s="147"/>
      <c r="F748" s="147"/>
      <c r="G748" s="147"/>
      <c r="H748" s="147"/>
      <c r="I748" s="147"/>
      <c r="J748" s="147"/>
      <c r="K748" s="3"/>
      <c r="L748" s="3"/>
      <c r="M748" s="3"/>
      <c r="N748" s="3"/>
      <c r="O748" s="3"/>
      <c r="P748" s="3"/>
      <c r="Q748" s="3"/>
      <c r="R748" s="3"/>
      <c r="S748" s="3"/>
      <c r="T748" s="3"/>
      <c r="U748" s="3"/>
      <c r="V748" s="3"/>
      <c r="W748" s="3"/>
      <c r="X748" s="3"/>
      <c r="Y748" s="3"/>
      <c r="Z748" s="3"/>
    </row>
    <row r="749" spans="1:26" ht="22.5" customHeight="1" x14ac:dyDescent="0.85">
      <c r="A749" s="166"/>
      <c r="B749" s="167"/>
      <c r="C749" s="167"/>
      <c r="D749" s="147"/>
      <c r="E749" s="147"/>
      <c r="F749" s="147"/>
      <c r="G749" s="147"/>
      <c r="H749" s="147"/>
      <c r="I749" s="147"/>
      <c r="J749" s="147"/>
      <c r="K749" s="3"/>
      <c r="L749" s="3"/>
      <c r="M749" s="3"/>
      <c r="N749" s="3"/>
      <c r="O749" s="3"/>
      <c r="P749" s="3"/>
      <c r="Q749" s="3"/>
      <c r="R749" s="3"/>
      <c r="S749" s="3"/>
      <c r="T749" s="3"/>
      <c r="U749" s="3"/>
      <c r="V749" s="3"/>
      <c r="W749" s="3"/>
      <c r="X749" s="3"/>
      <c r="Y749" s="3"/>
      <c r="Z749" s="3"/>
    </row>
    <row r="750" spans="1:26" ht="22.5" customHeight="1" x14ac:dyDescent="0.85">
      <c r="A750" s="166"/>
      <c r="B750" s="167"/>
      <c r="C750" s="167"/>
      <c r="D750" s="147"/>
      <c r="E750" s="147"/>
      <c r="F750" s="147"/>
      <c r="G750" s="147"/>
      <c r="H750" s="147"/>
      <c r="I750" s="147"/>
      <c r="J750" s="147"/>
      <c r="K750" s="3"/>
      <c r="L750" s="3"/>
      <c r="M750" s="3"/>
      <c r="N750" s="3"/>
      <c r="O750" s="3"/>
      <c r="P750" s="3"/>
      <c r="Q750" s="3"/>
      <c r="R750" s="3"/>
      <c r="S750" s="3"/>
      <c r="T750" s="3"/>
      <c r="U750" s="3"/>
      <c r="V750" s="3"/>
      <c r="W750" s="3"/>
      <c r="X750" s="3"/>
      <c r="Y750" s="3"/>
      <c r="Z750" s="3"/>
    </row>
    <row r="751" spans="1:26" ht="22.5" customHeight="1" x14ac:dyDescent="0.85">
      <c r="A751" s="166"/>
      <c r="B751" s="167"/>
      <c r="C751" s="167"/>
      <c r="D751" s="147"/>
      <c r="E751" s="147"/>
      <c r="F751" s="147"/>
      <c r="G751" s="147"/>
      <c r="H751" s="147"/>
      <c r="I751" s="147"/>
      <c r="J751" s="147"/>
      <c r="K751" s="3"/>
      <c r="L751" s="3"/>
      <c r="M751" s="3"/>
      <c r="N751" s="3"/>
      <c r="O751" s="3"/>
      <c r="P751" s="3"/>
      <c r="Q751" s="3"/>
      <c r="R751" s="3"/>
      <c r="S751" s="3"/>
      <c r="T751" s="3"/>
      <c r="U751" s="3"/>
      <c r="V751" s="3"/>
      <c r="W751" s="3"/>
      <c r="X751" s="3"/>
      <c r="Y751" s="3"/>
      <c r="Z751" s="3"/>
    </row>
    <row r="752" spans="1:26" ht="22.5" customHeight="1" x14ac:dyDescent="0.85">
      <c r="A752" s="166"/>
      <c r="B752" s="167"/>
      <c r="C752" s="167"/>
      <c r="D752" s="147"/>
      <c r="E752" s="147"/>
      <c r="F752" s="147"/>
      <c r="G752" s="147"/>
      <c r="H752" s="147"/>
      <c r="I752" s="147"/>
      <c r="J752" s="147"/>
      <c r="K752" s="3"/>
      <c r="L752" s="3"/>
      <c r="M752" s="3"/>
      <c r="N752" s="3"/>
      <c r="O752" s="3"/>
      <c r="P752" s="3"/>
      <c r="Q752" s="3"/>
      <c r="R752" s="3"/>
      <c r="S752" s="3"/>
      <c r="T752" s="3"/>
      <c r="U752" s="3"/>
      <c r="V752" s="3"/>
      <c r="W752" s="3"/>
      <c r="X752" s="3"/>
      <c r="Y752" s="3"/>
      <c r="Z752" s="3"/>
    </row>
    <row r="753" spans="1:26" ht="22.5" customHeight="1" x14ac:dyDescent="0.85">
      <c r="A753" s="166"/>
      <c r="B753" s="167"/>
      <c r="C753" s="167"/>
      <c r="D753" s="147"/>
      <c r="E753" s="147"/>
      <c r="F753" s="147"/>
      <c r="G753" s="147"/>
      <c r="H753" s="147"/>
      <c r="I753" s="147"/>
      <c r="J753" s="147"/>
      <c r="K753" s="3"/>
      <c r="L753" s="3"/>
      <c r="M753" s="3"/>
      <c r="N753" s="3"/>
      <c r="O753" s="3"/>
      <c r="P753" s="3"/>
      <c r="Q753" s="3"/>
      <c r="R753" s="3"/>
      <c r="S753" s="3"/>
      <c r="T753" s="3"/>
      <c r="U753" s="3"/>
      <c r="V753" s="3"/>
      <c r="W753" s="3"/>
      <c r="X753" s="3"/>
      <c r="Y753" s="3"/>
      <c r="Z753" s="3"/>
    </row>
    <row r="754" spans="1:26" ht="22.5" customHeight="1" x14ac:dyDescent="0.85">
      <c r="A754" s="166"/>
      <c r="B754" s="167"/>
      <c r="C754" s="167"/>
      <c r="D754" s="147"/>
      <c r="E754" s="147"/>
      <c r="F754" s="147"/>
      <c r="G754" s="147"/>
      <c r="H754" s="147"/>
      <c r="I754" s="147"/>
      <c r="J754" s="147"/>
      <c r="K754" s="3"/>
      <c r="L754" s="3"/>
      <c r="M754" s="3"/>
      <c r="N754" s="3"/>
      <c r="O754" s="3"/>
      <c r="P754" s="3"/>
      <c r="Q754" s="3"/>
      <c r="R754" s="3"/>
      <c r="S754" s="3"/>
      <c r="T754" s="3"/>
      <c r="U754" s="3"/>
      <c r="V754" s="3"/>
      <c r="W754" s="3"/>
      <c r="X754" s="3"/>
      <c r="Y754" s="3"/>
      <c r="Z754" s="3"/>
    </row>
    <row r="755" spans="1:26" ht="22.5" customHeight="1" x14ac:dyDescent="0.85">
      <c r="A755" s="166"/>
      <c r="B755" s="167"/>
      <c r="C755" s="167"/>
      <c r="D755" s="147"/>
      <c r="E755" s="147"/>
      <c r="F755" s="147"/>
      <c r="G755" s="147"/>
      <c r="H755" s="147"/>
      <c r="I755" s="147"/>
      <c r="J755" s="147"/>
      <c r="K755" s="3"/>
      <c r="L755" s="3"/>
      <c r="M755" s="3"/>
      <c r="N755" s="3"/>
      <c r="O755" s="3"/>
      <c r="P755" s="3"/>
      <c r="Q755" s="3"/>
      <c r="R755" s="3"/>
      <c r="S755" s="3"/>
      <c r="T755" s="3"/>
      <c r="U755" s="3"/>
      <c r="V755" s="3"/>
      <c r="W755" s="3"/>
      <c r="X755" s="3"/>
      <c r="Y755" s="3"/>
      <c r="Z755" s="3"/>
    </row>
    <row r="756" spans="1:26" ht="22.5" customHeight="1" x14ac:dyDescent="0.85">
      <c r="A756" s="166"/>
      <c r="B756" s="167"/>
      <c r="C756" s="167"/>
      <c r="D756" s="147"/>
      <c r="E756" s="147"/>
      <c r="F756" s="147"/>
      <c r="G756" s="147"/>
      <c r="H756" s="147"/>
      <c r="I756" s="147"/>
      <c r="J756" s="147"/>
      <c r="K756" s="3"/>
      <c r="L756" s="3"/>
      <c r="M756" s="3"/>
      <c r="N756" s="3"/>
      <c r="O756" s="3"/>
      <c r="P756" s="3"/>
      <c r="Q756" s="3"/>
      <c r="R756" s="3"/>
      <c r="S756" s="3"/>
      <c r="T756" s="3"/>
      <c r="U756" s="3"/>
      <c r="V756" s="3"/>
      <c r="W756" s="3"/>
      <c r="X756" s="3"/>
      <c r="Y756" s="3"/>
      <c r="Z756" s="3"/>
    </row>
    <row r="757" spans="1:26" ht="22.5" customHeight="1" x14ac:dyDescent="0.85">
      <c r="A757" s="166"/>
      <c r="B757" s="167"/>
      <c r="C757" s="167"/>
      <c r="D757" s="147"/>
      <c r="E757" s="147"/>
      <c r="F757" s="147"/>
      <c r="G757" s="147"/>
      <c r="H757" s="147"/>
      <c r="I757" s="147"/>
      <c r="J757" s="147"/>
      <c r="K757" s="3"/>
      <c r="L757" s="3"/>
      <c r="M757" s="3"/>
      <c r="N757" s="3"/>
      <c r="O757" s="3"/>
      <c r="P757" s="3"/>
      <c r="Q757" s="3"/>
      <c r="R757" s="3"/>
      <c r="S757" s="3"/>
      <c r="T757" s="3"/>
      <c r="U757" s="3"/>
      <c r="V757" s="3"/>
      <c r="W757" s="3"/>
      <c r="X757" s="3"/>
      <c r="Y757" s="3"/>
      <c r="Z757" s="3"/>
    </row>
    <row r="758" spans="1:26" ht="22.5" customHeight="1" x14ac:dyDescent="0.85">
      <c r="A758" s="166"/>
      <c r="B758" s="167"/>
      <c r="C758" s="167"/>
      <c r="D758" s="147"/>
      <c r="E758" s="147"/>
      <c r="F758" s="147"/>
      <c r="G758" s="147"/>
      <c r="H758" s="147"/>
      <c r="I758" s="147"/>
      <c r="J758" s="147"/>
      <c r="K758" s="3"/>
      <c r="L758" s="3"/>
      <c r="M758" s="3"/>
      <c r="N758" s="3"/>
      <c r="O758" s="3"/>
      <c r="P758" s="3"/>
      <c r="Q758" s="3"/>
      <c r="R758" s="3"/>
      <c r="S758" s="3"/>
      <c r="T758" s="3"/>
      <c r="U758" s="3"/>
      <c r="V758" s="3"/>
      <c r="W758" s="3"/>
      <c r="X758" s="3"/>
      <c r="Y758" s="3"/>
      <c r="Z758" s="3"/>
    </row>
    <row r="759" spans="1:26" ht="22.5" customHeight="1" x14ac:dyDescent="0.85">
      <c r="A759" s="166"/>
      <c r="B759" s="167"/>
      <c r="C759" s="167"/>
      <c r="D759" s="147"/>
      <c r="E759" s="147"/>
      <c r="F759" s="147"/>
      <c r="G759" s="147"/>
      <c r="H759" s="147"/>
      <c r="I759" s="147"/>
      <c r="J759" s="147"/>
      <c r="K759" s="3"/>
      <c r="L759" s="3"/>
      <c r="M759" s="3"/>
      <c r="N759" s="3"/>
      <c r="O759" s="3"/>
      <c r="P759" s="3"/>
      <c r="Q759" s="3"/>
      <c r="R759" s="3"/>
      <c r="S759" s="3"/>
      <c r="T759" s="3"/>
      <c r="U759" s="3"/>
      <c r="V759" s="3"/>
      <c r="W759" s="3"/>
      <c r="X759" s="3"/>
      <c r="Y759" s="3"/>
      <c r="Z759" s="3"/>
    </row>
    <row r="760" spans="1:26" ht="22.5" customHeight="1" x14ac:dyDescent="0.85">
      <c r="A760" s="166"/>
      <c r="B760" s="167"/>
      <c r="C760" s="167"/>
      <c r="D760" s="147"/>
      <c r="E760" s="147"/>
      <c r="F760" s="147"/>
      <c r="G760" s="147"/>
      <c r="H760" s="147"/>
      <c r="I760" s="147"/>
      <c r="J760" s="147"/>
      <c r="K760" s="3"/>
      <c r="L760" s="3"/>
      <c r="M760" s="3"/>
      <c r="N760" s="3"/>
      <c r="O760" s="3"/>
      <c r="P760" s="3"/>
      <c r="Q760" s="3"/>
      <c r="R760" s="3"/>
      <c r="S760" s="3"/>
      <c r="T760" s="3"/>
      <c r="U760" s="3"/>
      <c r="V760" s="3"/>
      <c r="W760" s="3"/>
      <c r="X760" s="3"/>
      <c r="Y760" s="3"/>
      <c r="Z760" s="3"/>
    </row>
    <row r="761" spans="1:26" ht="22.5" customHeight="1" x14ac:dyDescent="0.85">
      <c r="A761" s="166"/>
      <c r="B761" s="167"/>
      <c r="C761" s="167"/>
      <c r="D761" s="147"/>
      <c r="E761" s="147"/>
      <c r="F761" s="147"/>
      <c r="G761" s="147"/>
      <c r="H761" s="147"/>
      <c r="I761" s="147"/>
      <c r="J761" s="147"/>
      <c r="K761" s="3"/>
      <c r="L761" s="3"/>
      <c r="M761" s="3"/>
      <c r="N761" s="3"/>
      <c r="O761" s="3"/>
      <c r="P761" s="3"/>
      <c r="Q761" s="3"/>
      <c r="R761" s="3"/>
      <c r="S761" s="3"/>
      <c r="T761" s="3"/>
      <c r="U761" s="3"/>
      <c r="V761" s="3"/>
      <c r="W761" s="3"/>
      <c r="X761" s="3"/>
      <c r="Y761" s="3"/>
      <c r="Z761" s="3"/>
    </row>
    <row r="762" spans="1:26" ht="22.5" customHeight="1" x14ac:dyDescent="0.85">
      <c r="A762" s="166"/>
      <c r="B762" s="167"/>
      <c r="C762" s="167"/>
      <c r="D762" s="147"/>
      <c r="E762" s="147"/>
      <c r="F762" s="147"/>
      <c r="G762" s="147"/>
      <c r="H762" s="147"/>
      <c r="I762" s="147"/>
      <c r="J762" s="147"/>
      <c r="K762" s="3"/>
      <c r="L762" s="3"/>
      <c r="M762" s="3"/>
      <c r="N762" s="3"/>
      <c r="O762" s="3"/>
      <c r="P762" s="3"/>
      <c r="Q762" s="3"/>
      <c r="R762" s="3"/>
      <c r="S762" s="3"/>
      <c r="T762" s="3"/>
      <c r="U762" s="3"/>
      <c r="V762" s="3"/>
      <c r="W762" s="3"/>
      <c r="X762" s="3"/>
      <c r="Y762" s="3"/>
      <c r="Z762" s="3"/>
    </row>
    <row r="763" spans="1:26" ht="22.5" customHeight="1" x14ac:dyDescent="0.85">
      <c r="A763" s="166"/>
      <c r="B763" s="167"/>
      <c r="C763" s="167"/>
      <c r="D763" s="147"/>
      <c r="E763" s="147"/>
      <c r="F763" s="147"/>
      <c r="G763" s="147"/>
      <c r="H763" s="147"/>
      <c r="I763" s="147"/>
      <c r="J763" s="147"/>
      <c r="K763" s="3"/>
      <c r="L763" s="3"/>
      <c r="M763" s="3"/>
      <c r="N763" s="3"/>
      <c r="O763" s="3"/>
      <c r="P763" s="3"/>
      <c r="Q763" s="3"/>
      <c r="R763" s="3"/>
      <c r="S763" s="3"/>
      <c r="T763" s="3"/>
      <c r="U763" s="3"/>
      <c r="V763" s="3"/>
      <c r="W763" s="3"/>
      <c r="X763" s="3"/>
      <c r="Y763" s="3"/>
      <c r="Z763" s="3"/>
    </row>
    <row r="764" spans="1:26" ht="22.5" customHeight="1" x14ac:dyDescent="0.85">
      <c r="A764" s="166"/>
      <c r="B764" s="167"/>
      <c r="C764" s="167"/>
      <c r="D764" s="147"/>
      <c r="E764" s="147"/>
      <c r="F764" s="147"/>
      <c r="G764" s="147"/>
      <c r="H764" s="147"/>
      <c r="I764" s="147"/>
      <c r="J764" s="147"/>
      <c r="K764" s="3"/>
      <c r="L764" s="3"/>
      <c r="M764" s="3"/>
      <c r="N764" s="3"/>
      <c r="O764" s="3"/>
      <c r="P764" s="3"/>
      <c r="Q764" s="3"/>
      <c r="R764" s="3"/>
      <c r="S764" s="3"/>
      <c r="T764" s="3"/>
      <c r="U764" s="3"/>
      <c r="V764" s="3"/>
      <c r="W764" s="3"/>
      <c r="X764" s="3"/>
      <c r="Y764" s="3"/>
      <c r="Z764" s="3"/>
    </row>
    <row r="765" spans="1:26" ht="22.5" customHeight="1" x14ac:dyDescent="0.85">
      <c r="A765" s="166"/>
      <c r="B765" s="167"/>
      <c r="C765" s="167"/>
      <c r="D765" s="147"/>
      <c r="E765" s="147"/>
      <c r="F765" s="147"/>
      <c r="G765" s="147"/>
      <c r="H765" s="147"/>
      <c r="I765" s="147"/>
      <c r="J765" s="147"/>
      <c r="K765" s="3"/>
      <c r="L765" s="3"/>
      <c r="M765" s="3"/>
      <c r="N765" s="3"/>
      <c r="O765" s="3"/>
      <c r="P765" s="3"/>
      <c r="Q765" s="3"/>
      <c r="R765" s="3"/>
      <c r="S765" s="3"/>
      <c r="T765" s="3"/>
      <c r="U765" s="3"/>
      <c r="V765" s="3"/>
      <c r="W765" s="3"/>
      <c r="X765" s="3"/>
      <c r="Y765" s="3"/>
      <c r="Z765" s="3"/>
    </row>
    <row r="766" spans="1:26" ht="22.5" customHeight="1" x14ac:dyDescent="0.85">
      <c r="A766" s="166"/>
      <c r="B766" s="167"/>
      <c r="C766" s="167"/>
      <c r="D766" s="147"/>
      <c r="E766" s="147"/>
      <c r="F766" s="147"/>
      <c r="G766" s="147"/>
      <c r="H766" s="147"/>
      <c r="I766" s="147"/>
      <c r="J766" s="147"/>
      <c r="K766" s="3"/>
      <c r="L766" s="3"/>
      <c r="M766" s="3"/>
      <c r="N766" s="3"/>
      <c r="O766" s="3"/>
      <c r="P766" s="3"/>
      <c r="Q766" s="3"/>
      <c r="R766" s="3"/>
      <c r="S766" s="3"/>
      <c r="T766" s="3"/>
      <c r="U766" s="3"/>
      <c r="V766" s="3"/>
      <c r="W766" s="3"/>
      <c r="X766" s="3"/>
      <c r="Y766" s="3"/>
      <c r="Z766" s="3"/>
    </row>
    <row r="767" spans="1:26" ht="22.5" customHeight="1" x14ac:dyDescent="0.85">
      <c r="A767" s="166"/>
      <c r="B767" s="167"/>
      <c r="C767" s="167"/>
      <c r="D767" s="147"/>
      <c r="E767" s="147"/>
      <c r="F767" s="147"/>
      <c r="G767" s="147"/>
      <c r="H767" s="147"/>
      <c r="I767" s="147"/>
      <c r="J767" s="147"/>
      <c r="K767" s="3"/>
      <c r="L767" s="3"/>
      <c r="M767" s="3"/>
      <c r="N767" s="3"/>
      <c r="O767" s="3"/>
      <c r="P767" s="3"/>
      <c r="Q767" s="3"/>
      <c r="R767" s="3"/>
      <c r="S767" s="3"/>
      <c r="T767" s="3"/>
      <c r="U767" s="3"/>
      <c r="V767" s="3"/>
      <c r="W767" s="3"/>
      <c r="X767" s="3"/>
      <c r="Y767" s="3"/>
      <c r="Z767" s="3"/>
    </row>
    <row r="768" spans="1:26" ht="22.5" customHeight="1" x14ac:dyDescent="0.85">
      <c r="A768" s="166"/>
      <c r="B768" s="167"/>
      <c r="C768" s="167"/>
      <c r="D768" s="147"/>
      <c r="E768" s="147"/>
      <c r="F768" s="147"/>
      <c r="G768" s="147"/>
      <c r="H768" s="147"/>
      <c r="I768" s="147"/>
      <c r="J768" s="147"/>
      <c r="K768" s="3"/>
      <c r="L768" s="3"/>
      <c r="M768" s="3"/>
      <c r="N768" s="3"/>
      <c r="O768" s="3"/>
      <c r="P768" s="3"/>
      <c r="Q768" s="3"/>
      <c r="R768" s="3"/>
      <c r="S768" s="3"/>
      <c r="T768" s="3"/>
      <c r="U768" s="3"/>
      <c r="V768" s="3"/>
      <c r="W768" s="3"/>
      <c r="X768" s="3"/>
      <c r="Y768" s="3"/>
      <c r="Z768" s="3"/>
    </row>
    <row r="769" spans="1:26" ht="22.5" customHeight="1" x14ac:dyDescent="0.85">
      <c r="A769" s="166"/>
      <c r="B769" s="167"/>
      <c r="C769" s="167"/>
      <c r="D769" s="147"/>
      <c r="E769" s="147"/>
      <c r="F769" s="147"/>
      <c r="G769" s="147"/>
      <c r="H769" s="147"/>
      <c r="I769" s="147"/>
      <c r="J769" s="147"/>
      <c r="K769" s="3"/>
      <c r="L769" s="3"/>
      <c r="M769" s="3"/>
      <c r="N769" s="3"/>
      <c r="O769" s="3"/>
      <c r="P769" s="3"/>
      <c r="Q769" s="3"/>
      <c r="R769" s="3"/>
      <c r="S769" s="3"/>
      <c r="T769" s="3"/>
      <c r="U769" s="3"/>
      <c r="V769" s="3"/>
      <c r="W769" s="3"/>
      <c r="X769" s="3"/>
      <c r="Y769" s="3"/>
      <c r="Z769" s="3"/>
    </row>
    <row r="770" spans="1:26" ht="22.5" customHeight="1" x14ac:dyDescent="0.85">
      <c r="A770" s="166"/>
      <c r="B770" s="167"/>
      <c r="C770" s="167"/>
      <c r="D770" s="147"/>
      <c r="E770" s="147"/>
      <c r="F770" s="147"/>
      <c r="G770" s="147"/>
      <c r="H770" s="147"/>
      <c r="I770" s="147"/>
      <c r="J770" s="147"/>
      <c r="K770" s="3"/>
      <c r="L770" s="3"/>
      <c r="M770" s="3"/>
      <c r="N770" s="3"/>
      <c r="O770" s="3"/>
      <c r="P770" s="3"/>
      <c r="Q770" s="3"/>
      <c r="R770" s="3"/>
      <c r="S770" s="3"/>
      <c r="T770" s="3"/>
      <c r="U770" s="3"/>
      <c r="V770" s="3"/>
      <c r="W770" s="3"/>
      <c r="X770" s="3"/>
      <c r="Y770" s="3"/>
      <c r="Z770" s="3"/>
    </row>
    <row r="771" spans="1:26" ht="22.5" customHeight="1" x14ac:dyDescent="0.85">
      <c r="A771" s="166"/>
      <c r="B771" s="167"/>
      <c r="C771" s="167"/>
      <c r="D771" s="147"/>
      <c r="E771" s="147"/>
      <c r="F771" s="147"/>
      <c r="G771" s="147"/>
      <c r="H771" s="147"/>
      <c r="I771" s="147"/>
      <c r="J771" s="147"/>
      <c r="K771" s="3"/>
      <c r="L771" s="3"/>
      <c r="M771" s="3"/>
      <c r="N771" s="3"/>
      <c r="O771" s="3"/>
      <c r="P771" s="3"/>
      <c r="Q771" s="3"/>
      <c r="R771" s="3"/>
      <c r="S771" s="3"/>
      <c r="T771" s="3"/>
      <c r="U771" s="3"/>
      <c r="V771" s="3"/>
      <c r="W771" s="3"/>
      <c r="X771" s="3"/>
      <c r="Y771" s="3"/>
      <c r="Z771" s="3"/>
    </row>
    <row r="772" spans="1:26" ht="22.5" customHeight="1" x14ac:dyDescent="0.85">
      <c r="A772" s="166"/>
      <c r="B772" s="167"/>
      <c r="C772" s="167"/>
      <c r="D772" s="147"/>
      <c r="E772" s="147"/>
      <c r="F772" s="147"/>
      <c r="G772" s="147"/>
      <c r="H772" s="147"/>
      <c r="I772" s="147"/>
      <c r="J772" s="147"/>
      <c r="K772" s="3"/>
      <c r="L772" s="3"/>
      <c r="M772" s="3"/>
      <c r="N772" s="3"/>
      <c r="O772" s="3"/>
      <c r="P772" s="3"/>
      <c r="Q772" s="3"/>
      <c r="R772" s="3"/>
      <c r="S772" s="3"/>
      <c r="T772" s="3"/>
      <c r="U772" s="3"/>
      <c r="V772" s="3"/>
      <c r="W772" s="3"/>
      <c r="X772" s="3"/>
      <c r="Y772" s="3"/>
      <c r="Z772" s="3"/>
    </row>
    <row r="773" spans="1:26" ht="22.5" customHeight="1" x14ac:dyDescent="0.85">
      <c r="A773" s="166"/>
      <c r="B773" s="167"/>
      <c r="C773" s="167"/>
      <c r="D773" s="147"/>
      <c r="E773" s="147"/>
      <c r="F773" s="147"/>
      <c r="G773" s="147"/>
      <c r="H773" s="147"/>
      <c r="I773" s="147"/>
      <c r="J773" s="147"/>
      <c r="K773" s="3"/>
      <c r="L773" s="3"/>
      <c r="M773" s="3"/>
      <c r="N773" s="3"/>
      <c r="O773" s="3"/>
      <c r="P773" s="3"/>
      <c r="Q773" s="3"/>
      <c r="R773" s="3"/>
      <c r="S773" s="3"/>
      <c r="T773" s="3"/>
      <c r="U773" s="3"/>
      <c r="V773" s="3"/>
      <c r="W773" s="3"/>
      <c r="X773" s="3"/>
      <c r="Y773" s="3"/>
      <c r="Z773" s="3"/>
    </row>
    <row r="774" spans="1:26" ht="22.5" customHeight="1" x14ac:dyDescent="0.85">
      <c r="A774" s="166"/>
      <c r="B774" s="167"/>
      <c r="C774" s="167"/>
      <c r="D774" s="147"/>
      <c r="E774" s="147"/>
      <c r="F774" s="147"/>
      <c r="G774" s="147"/>
      <c r="H774" s="147"/>
      <c r="I774" s="147"/>
      <c r="J774" s="147"/>
      <c r="K774" s="3"/>
      <c r="L774" s="3"/>
      <c r="M774" s="3"/>
      <c r="N774" s="3"/>
      <c r="O774" s="3"/>
      <c r="P774" s="3"/>
      <c r="Q774" s="3"/>
      <c r="R774" s="3"/>
      <c r="S774" s="3"/>
      <c r="T774" s="3"/>
      <c r="U774" s="3"/>
      <c r="V774" s="3"/>
      <c r="W774" s="3"/>
      <c r="X774" s="3"/>
      <c r="Y774" s="3"/>
      <c r="Z774" s="3"/>
    </row>
    <row r="775" spans="1:26" ht="22.5" customHeight="1" x14ac:dyDescent="0.85">
      <c r="A775" s="166"/>
      <c r="B775" s="167"/>
      <c r="C775" s="167"/>
      <c r="D775" s="147"/>
      <c r="E775" s="147"/>
      <c r="F775" s="147"/>
      <c r="G775" s="147"/>
      <c r="H775" s="147"/>
      <c r="I775" s="147"/>
      <c r="J775" s="147"/>
      <c r="K775" s="3"/>
      <c r="L775" s="3"/>
      <c r="M775" s="3"/>
      <c r="N775" s="3"/>
      <c r="O775" s="3"/>
      <c r="P775" s="3"/>
      <c r="Q775" s="3"/>
      <c r="R775" s="3"/>
      <c r="S775" s="3"/>
      <c r="T775" s="3"/>
      <c r="U775" s="3"/>
      <c r="V775" s="3"/>
      <c r="W775" s="3"/>
      <c r="X775" s="3"/>
      <c r="Y775" s="3"/>
      <c r="Z775" s="3"/>
    </row>
    <row r="776" spans="1:26" ht="22.5" customHeight="1" x14ac:dyDescent="0.85">
      <c r="A776" s="166"/>
      <c r="B776" s="167"/>
      <c r="C776" s="167"/>
      <c r="D776" s="147"/>
      <c r="E776" s="147"/>
      <c r="F776" s="147"/>
      <c r="G776" s="147"/>
      <c r="H776" s="147"/>
      <c r="I776" s="147"/>
      <c r="J776" s="147"/>
      <c r="K776" s="3"/>
      <c r="L776" s="3"/>
      <c r="M776" s="3"/>
      <c r="N776" s="3"/>
      <c r="O776" s="3"/>
      <c r="P776" s="3"/>
      <c r="Q776" s="3"/>
      <c r="R776" s="3"/>
      <c r="S776" s="3"/>
      <c r="T776" s="3"/>
      <c r="U776" s="3"/>
      <c r="V776" s="3"/>
      <c r="W776" s="3"/>
      <c r="X776" s="3"/>
      <c r="Y776" s="3"/>
      <c r="Z776" s="3"/>
    </row>
    <row r="777" spans="1:26" ht="22.5" customHeight="1" x14ac:dyDescent="0.85">
      <c r="A777" s="166"/>
      <c r="B777" s="167"/>
      <c r="C777" s="167"/>
      <c r="D777" s="147"/>
      <c r="E777" s="147"/>
      <c r="F777" s="147"/>
      <c r="G777" s="147"/>
      <c r="H777" s="147"/>
      <c r="I777" s="147"/>
      <c r="J777" s="147"/>
      <c r="K777" s="3"/>
      <c r="L777" s="3"/>
      <c r="M777" s="3"/>
      <c r="N777" s="3"/>
      <c r="O777" s="3"/>
      <c r="P777" s="3"/>
      <c r="Q777" s="3"/>
      <c r="R777" s="3"/>
      <c r="S777" s="3"/>
      <c r="T777" s="3"/>
      <c r="U777" s="3"/>
      <c r="V777" s="3"/>
      <c r="W777" s="3"/>
      <c r="X777" s="3"/>
      <c r="Y777" s="3"/>
      <c r="Z777" s="3"/>
    </row>
    <row r="778" spans="1:26" ht="22.5" customHeight="1" x14ac:dyDescent="0.85">
      <c r="A778" s="166"/>
      <c r="B778" s="167"/>
      <c r="C778" s="167"/>
      <c r="D778" s="147"/>
      <c r="E778" s="147"/>
      <c r="F778" s="147"/>
      <c r="G778" s="147"/>
      <c r="H778" s="147"/>
      <c r="I778" s="147"/>
      <c r="J778" s="147"/>
      <c r="K778" s="3"/>
      <c r="L778" s="3"/>
      <c r="M778" s="3"/>
      <c r="N778" s="3"/>
      <c r="O778" s="3"/>
      <c r="P778" s="3"/>
      <c r="Q778" s="3"/>
      <c r="R778" s="3"/>
      <c r="S778" s="3"/>
      <c r="T778" s="3"/>
      <c r="U778" s="3"/>
      <c r="V778" s="3"/>
      <c r="W778" s="3"/>
      <c r="X778" s="3"/>
      <c r="Y778" s="3"/>
      <c r="Z778" s="3"/>
    </row>
    <row r="779" spans="1:26" ht="22.5" customHeight="1" x14ac:dyDescent="0.85">
      <c r="A779" s="166"/>
      <c r="B779" s="167"/>
      <c r="C779" s="167"/>
      <c r="D779" s="147"/>
      <c r="E779" s="147"/>
      <c r="F779" s="147"/>
      <c r="G779" s="147"/>
      <c r="H779" s="147"/>
      <c r="I779" s="147"/>
      <c r="J779" s="147"/>
      <c r="K779" s="3"/>
      <c r="L779" s="3"/>
      <c r="M779" s="3"/>
      <c r="N779" s="3"/>
      <c r="O779" s="3"/>
      <c r="P779" s="3"/>
      <c r="Q779" s="3"/>
      <c r="R779" s="3"/>
      <c r="S779" s="3"/>
      <c r="T779" s="3"/>
      <c r="U779" s="3"/>
      <c r="V779" s="3"/>
      <c r="W779" s="3"/>
      <c r="X779" s="3"/>
      <c r="Y779" s="3"/>
      <c r="Z779" s="3"/>
    </row>
    <row r="780" spans="1:26" ht="22.5" customHeight="1" x14ac:dyDescent="0.85">
      <c r="A780" s="166"/>
      <c r="B780" s="167"/>
      <c r="C780" s="167"/>
      <c r="D780" s="147"/>
      <c r="E780" s="147"/>
      <c r="F780" s="147"/>
      <c r="G780" s="147"/>
      <c r="H780" s="147"/>
      <c r="I780" s="147"/>
      <c r="J780" s="147"/>
      <c r="K780" s="3"/>
      <c r="L780" s="3"/>
      <c r="M780" s="3"/>
      <c r="N780" s="3"/>
      <c r="O780" s="3"/>
      <c r="P780" s="3"/>
      <c r="Q780" s="3"/>
      <c r="R780" s="3"/>
      <c r="S780" s="3"/>
      <c r="T780" s="3"/>
      <c r="U780" s="3"/>
      <c r="V780" s="3"/>
      <c r="W780" s="3"/>
      <c r="X780" s="3"/>
      <c r="Y780" s="3"/>
      <c r="Z780" s="3"/>
    </row>
    <row r="781" spans="1:26" ht="22.5" customHeight="1" x14ac:dyDescent="0.85">
      <c r="A781" s="166"/>
      <c r="B781" s="167"/>
      <c r="C781" s="167"/>
      <c r="D781" s="147"/>
      <c r="E781" s="147"/>
      <c r="F781" s="147"/>
      <c r="G781" s="147"/>
      <c r="H781" s="147"/>
      <c r="I781" s="147"/>
      <c r="J781" s="147"/>
      <c r="K781" s="3"/>
      <c r="L781" s="3"/>
      <c r="M781" s="3"/>
      <c r="N781" s="3"/>
      <c r="O781" s="3"/>
      <c r="P781" s="3"/>
      <c r="Q781" s="3"/>
      <c r="R781" s="3"/>
      <c r="S781" s="3"/>
      <c r="T781" s="3"/>
      <c r="U781" s="3"/>
      <c r="V781" s="3"/>
      <c r="W781" s="3"/>
      <c r="X781" s="3"/>
      <c r="Y781" s="3"/>
      <c r="Z781" s="3"/>
    </row>
    <row r="782" spans="1:26" ht="22.5" customHeight="1" x14ac:dyDescent="0.85">
      <c r="A782" s="166"/>
      <c r="B782" s="167"/>
      <c r="C782" s="167"/>
      <c r="D782" s="147"/>
      <c r="E782" s="147"/>
      <c r="F782" s="147"/>
      <c r="G782" s="147"/>
      <c r="H782" s="147"/>
      <c r="I782" s="147"/>
      <c r="J782" s="147"/>
      <c r="K782" s="3"/>
      <c r="L782" s="3"/>
      <c r="M782" s="3"/>
      <c r="N782" s="3"/>
      <c r="O782" s="3"/>
      <c r="P782" s="3"/>
      <c r="Q782" s="3"/>
      <c r="R782" s="3"/>
      <c r="S782" s="3"/>
      <c r="T782" s="3"/>
      <c r="U782" s="3"/>
      <c r="V782" s="3"/>
      <c r="W782" s="3"/>
      <c r="X782" s="3"/>
      <c r="Y782" s="3"/>
      <c r="Z782" s="3"/>
    </row>
    <row r="783" spans="1:26" ht="22.5" customHeight="1" x14ac:dyDescent="0.85">
      <c r="A783" s="166"/>
      <c r="B783" s="167"/>
      <c r="C783" s="167"/>
      <c r="D783" s="147"/>
      <c r="E783" s="147"/>
      <c r="F783" s="147"/>
      <c r="G783" s="147"/>
      <c r="H783" s="147"/>
      <c r="I783" s="147"/>
      <c r="J783" s="147"/>
      <c r="K783" s="3"/>
      <c r="L783" s="3"/>
      <c r="M783" s="3"/>
      <c r="N783" s="3"/>
      <c r="O783" s="3"/>
      <c r="P783" s="3"/>
      <c r="Q783" s="3"/>
      <c r="R783" s="3"/>
      <c r="S783" s="3"/>
      <c r="T783" s="3"/>
      <c r="U783" s="3"/>
      <c r="V783" s="3"/>
      <c r="W783" s="3"/>
      <c r="X783" s="3"/>
      <c r="Y783" s="3"/>
      <c r="Z783" s="3"/>
    </row>
    <row r="784" spans="1:26" ht="22.5" customHeight="1" x14ac:dyDescent="0.85">
      <c r="A784" s="166"/>
      <c r="B784" s="167"/>
      <c r="C784" s="167"/>
      <c r="D784" s="147"/>
      <c r="E784" s="147"/>
      <c r="F784" s="147"/>
      <c r="G784" s="147"/>
      <c r="H784" s="147"/>
      <c r="I784" s="147"/>
      <c r="J784" s="147"/>
      <c r="K784" s="3"/>
      <c r="L784" s="3"/>
      <c r="M784" s="3"/>
      <c r="N784" s="3"/>
      <c r="O784" s="3"/>
      <c r="P784" s="3"/>
      <c r="Q784" s="3"/>
      <c r="R784" s="3"/>
      <c r="S784" s="3"/>
      <c r="T784" s="3"/>
      <c r="U784" s="3"/>
      <c r="V784" s="3"/>
      <c r="W784" s="3"/>
      <c r="X784" s="3"/>
      <c r="Y784" s="3"/>
      <c r="Z784" s="3"/>
    </row>
    <row r="785" spans="1:26" ht="22.5" customHeight="1" x14ac:dyDescent="0.85">
      <c r="A785" s="166"/>
      <c r="B785" s="167"/>
      <c r="C785" s="167"/>
      <c r="D785" s="147"/>
      <c r="E785" s="147"/>
      <c r="F785" s="147"/>
      <c r="G785" s="147"/>
      <c r="H785" s="147"/>
      <c r="I785" s="147"/>
      <c r="J785" s="147"/>
      <c r="K785" s="3"/>
      <c r="L785" s="3"/>
      <c r="M785" s="3"/>
      <c r="N785" s="3"/>
      <c r="O785" s="3"/>
      <c r="P785" s="3"/>
      <c r="Q785" s="3"/>
      <c r="R785" s="3"/>
      <c r="S785" s="3"/>
      <c r="T785" s="3"/>
      <c r="U785" s="3"/>
      <c r="V785" s="3"/>
      <c r="W785" s="3"/>
      <c r="X785" s="3"/>
      <c r="Y785" s="3"/>
      <c r="Z785" s="3"/>
    </row>
    <row r="786" spans="1:26" ht="22.5" customHeight="1" x14ac:dyDescent="0.85">
      <c r="A786" s="166"/>
      <c r="B786" s="167"/>
      <c r="C786" s="167"/>
      <c r="D786" s="147"/>
      <c r="E786" s="147"/>
      <c r="F786" s="147"/>
      <c r="G786" s="147"/>
      <c r="H786" s="147"/>
      <c r="I786" s="147"/>
      <c r="J786" s="147"/>
      <c r="K786" s="3"/>
      <c r="L786" s="3"/>
      <c r="M786" s="3"/>
      <c r="N786" s="3"/>
      <c r="O786" s="3"/>
      <c r="P786" s="3"/>
      <c r="Q786" s="3"/>
      <c r="R786" s="3"/>
      <c r="S786" s="3"/>
      <c r="T786" s="3"/>
      <c r="U786" s="3"/>
      <c r="V786" s="3"/>
      <c r="W786" s="3"/>
      <c r="X786" s="3"/>
      <c r="Y786" s="3"/>
      <c r="Z786" s="3"/>
    </row>
    <row r="787" spans="1:26" ht="22.5" customHeight="1" x14ac:dyDescent="0.85">
      <c r="A787" s="166"/>
      <c r="B787" s="167"/>
      <c r="C787" s="167"/>
      <c r="D787" s="147"/>
      <c r="E787" s="147"/>
      <c r="F787" s="147"/>
      <c r="G787" s="147"/>
      <c r="H787" s="147"/>
      <c r="I787" s="147"/>
      <c r="J787" s="147"/>
      <c r="K787" s="3"/>
      <c r="L787" s="3"/>
      <c r="M787" s="3"/>
      <c r="N787" s="3"/>
      <c r="O787" s="3"/>
      <c r="P787" s="3"/>
      <c r="Q787" s="3"/>
      <c r="R787" s="3"/>
      <c r="S787" s="3"/>
      <c r="T787" s="3"/>
      <c r="U787" s="3"/>
      <c r="V787" s="3"/>
      <c r="W787" s="3"/>
      <c r="X787" s="3"/>
      <c r="Y787" s="3"/>
      <c r="Z787" s="3"/>
    </row>
    <row r="788" spans="1:26" ht="22.5" customHeight="1" x14ac:dyDescent="0.85">
      <c r="A788" s="166"/>
      <c r="B788" s="167"/>
      <c r="C788" s="167"/>
      <c r="D788" s="147"/>
      <c r="E788" s="147"/>
      <c r="F788" s="147"/>
      <c r="G788" s="147"/>
      <c r="H788" s="147"/>
      <c r="I788" s="147"/>
      <c r="J788" s="147"/>
      <c r="K788" s="3"/>
      <c r="L788" s="3"/>
      <c r="M788" s="3"/>
      <c r="N788" s="3"/>
      <c r="O788" s="3"/>
      <c r="P788" s="3"/>
      <c r="Q788" s="3"/>
      <c r="R788" s="3"/>
      <c r="S788" s="3"/>
      <c r="T788" s="3"/>
      <c r="U788" s="3"/>
      <c r="V788" s="3"/>
      <c r="W788" s="3"/>
      <c r="X788" s="3"/>
      <c r="Y788" s="3"/>
      <c r="Z788" s="3"/>
    </row>
    <row r="789" spans="1:26" ht="22.5" customHeight="1" x14ac:dyDescent="0.85">
      <c r="A789" s="166"/>
      <c r="B789" s="167"/>
      <c r="C789" s="167"/>
      <c r="D789" s="147"/>
      <c r="E789" s="147"/>
      <c r="F789" s="147"/>
      <c r="G789" s="147"/>
      <c r="H789" s="147"/>
      <c r="I789" s="147"/>
      <c r="J789" s="147"/>
      <c r="K789" s="3"/>
      <c r="L789" s="3"/>
      <c r="M789" s="3"/>
      <c r="N789" s="3"/>
      <c r="O789" s="3"/>
      <c r="P789" s="3"/>
      <c r="Q789" s="3"/>
      <c r="R789" s="3"/>
      <c r="S789" s="3"/>
      <c r="T789" s="3"/>
      <c r="U789" s="3"/>
      <c r="V789" s="3"/>
      <c r="W789" s="3"/>
      <c r="X789" s="3"/>
      <c r="Y789" s="3"/>
      <c r="Z789" s="3"/>
    </row>
    <row r="790" spans="1:26" ht="22.5" customHeight="1" x14ac:dyDescent="0.85">
      <c r="A790" s="166"/>
      <c r="B790" s="167"/>
      <c r="C790" s="167"/>
      <c r="D790" s="147"/>
      <c r="E790" s="147"/>
      <c r="F790" s="147"/>
      <c r="G790" s="147"/>
      <c r="H790" s="147"/>
      <c r="I790" s="147"/>
      <c r="J790" s="147"/>
      <c r="K790" s="3"/>
      <c r="L790" s="3"/>
      <c r="M790" s="3"/>
      <c r="N790" s="3"/>
      <c r="O790" s="3"/>
      <c r="P790" s="3"/>
      <c r="Q790" s="3"/>
      <c r="R790" s="3"/>
      <c r="S790" s="3"/>
      <c r="T790" s="3"/>
      <c r="U790" s="3"/>
      <c r="V790" s="3"/>
      <c r="W790" s="3"/>
      <c r="X790" s="3"/>
      <c r="Y790" s="3"/>
      <c r="Z790" s="3"/>
    </row>
    <row r="791" spans="1:26" ht="22.5" customHeight="1" x14ac:dyDescent="0.85">
      <c r="A791" s="166"/>
      <c r="B791" s="167"/>
      <c r="C791" s="167"/>
      <c r="D791" s="147"/>
      <c r="E791" s="147"/>
      <c r="F791" s="147"/>
      <c r="G791" s="147"/>
      <c r="H791" s="147"/>
      <c r="I791" s="147"/>
      <c r="J791" s="147"/>
      <c r="K791" s="3"/>
      <c r="L791" s="3"/>
      <c r="M791" s="3"/>
      <c r="N791" s="3"/>
      <c r="O791" s="3"/>
      <c r="P791" s="3"/>
      <c r="Q791" s="3"/>
      <c r="R791" s="3"/>
      <c r="S791" s="3"/>
      <c r="T791" s="3"/>
      <c r="U791" s="3"/>
      <c r="V791" s="3"/>
      <c r="W791" s="3"/>
      <c r="X791" s="3"/>
      <c r="Y791" s="3"/>
      <c r="Z791" s="3"/>
    </row>
    <row r="792" spans="1:26" ht="22.5" customHeight="1" x14ac:dyDescent="0.85">
      <c r="A792" s="166"/>
      <c r="B792" s="167"/>
      <c r="C792" s="167"/>
      <c r="D792" s="147"/>
      <c r="E792" s="147"/>
      <c r="F792" s="147"/>
      <c r="G792" s="147"/>
      <c r="H792" s="147"/>
      <c r="I792" s="147"/>
      <c r="J792" s="147"/>
      <c r="K792" s="3"/>
      <c r="L792" s="3"/>
      <c r="M792" s="3"/>
      <c r="N792" s="3"/>
      <c r="O792" s="3"/>
      <c r="P792" s="3"/>
      <c r="Q792" s="3"/>
      <c r="R792" s="3"/>
      <c r="S792" s="3"/>
      <c r="T792" s="3"/>
      <c r="U792" s="3"/>
      <c r="V792" s="3"/>
      <c r="W792" s="3"/>
      <c r="X792" s="3"/>
      <c r="Y792" s="3"/>
      <c r="Z792" s="3"/>
    </row>
    <row r="793" spans="1:26" ht="22.5" customHeight="1" x14ac:dyDescent="0.85">
      <c r="A793" s="166"/>
      <c r="B793" s="167"/>
      <c r="C793" s="167"/>
      <c r="D793" s="147"/>
      <c r="E793" s="147"/>
      <c r="F793" s="147"/>
      <c r="G793" s="147"/>
      <c r="H793" s="147"/>
      <c r="I793" s="147"/>
      <c r="J793" s="147"/>
      <c r="K793" s="3"/>
      <c r="L793" s="3"/>
      <c r="M793" s="3"/>
      <c r="N793" s="3"/>
      <c r="O793" s="3"/>
      <c r="P793" s="3"/>
      <c r="Q793" s="3"/>
      <c r="R793" s="3"/>
      <c r="S793" s="3"/>
      <c r="T793" s="3"/>
      <c r="U793" s="3"/>
      <c r="V793" s="3"/>
      <c r="W793" s="3"/>
      <c r="X793" s="3"/>
      <c r="Y793" s="3"/>
      <c r="Z793" s="3"/>
    </row>
    <row r="794" spans="1:26" ht="22.5" customHeight="1" x14ac:dyDescent="0.85">
      <c r="A794" s="166"/>
      <c r="B794" s="167"/>
      <c r="C794" s="167"/>
      <c r="D794" s="147"/>
      <c r="E794" s="147"/>
      <c r="F794" s="147"/>
      <c r="G794" s="147"/>
      <c r="H794" s="147"/>
      <c r="I794" s="147"/>
      <c r="J794" s="147"/>
      <c r="K794" s="3"/>
      <c r="L794" s="3"/>
      <c r="M794" s="3"/>
      <c r="N794" s="3"/>
      <c r="O794" s="3"/>
      <c r="P794" s="3"/>
      <c r="Q794" s="3"/>
      <c r="R794" s="3"/>
      <c r="S794" s="3"/>
      <c r="T794" s="3"/>
      <c r="U794" s="3"/>
      <c r="V794" s="3"/>
      <c r="W794" s="3"/>
      <c r="X794" s="3"/>
      <c r="Y794" s="3"/>
      <c r="Z794" s="3"/>
    </row>
    <row r="795" spans="1:26" ht="22.5" customHeight="1" x14ac:dyDescent="0.85">
      <c r="A795" s="166"/>
      <c r="B795" s="167"/>
      <c r="C795" s="167"/>
      <c r="D795" s="147"/>
      <c r="E795" s="147"/>
      <c r="F795" s="147"/>
      <c r="G795" s="147"/>
      <c r="H795" s="147"/>
      <c r="I795" s="147"/>
      <c r="J795" s="147"/>
      <c r="K795" s="3"/>
      <c r="L795" s="3"/>
      <c r="M795" s="3"/>
      <c r="N795" s="3"/>
      <c r="O795" s="3"/>
      <c r="P795" s="3"/>
      <c r="Q795" s="3"/>
      <c r="R795" s="3"/>
      <c r="S795" s="3"/>
      <c r="T795" s="3"/>
      <c r="U795" s="3"/>
      <c r="V795" s="3"/>
      <c r="W795" s="3"/>
      <c r="X795" s="3"/>
      <c r="Y795" s="3"/>
      <c r="Z795" s="3"/>
    </row>
    <row r="796" spans="1:26" ht="22.5" customHeight="1" x14ac:dyDescent="0.85">
      <c r="A796" s="166"/>
      <c r="B796" s="167"/>
      <c r="C796" s="167"/>
      <c r="D796" s="147"/>
      <c r="E796" s="147"/>
      <c r="F796" s="147"/>
      <c r="G796" s="147"/>
      <c r="H796" s="147"/>
      <c r="I796" s="147"/>
      <c r="J796" s="147"/>
      <c r="K796" s="3"/>
      <c r="L796" s="3"/>
      <c r="M796" s="3"/>
      <c r="N796" s="3"/>
      <c r="O796" s="3"/>
      <c r="P796" s="3"/>
      <c r="Q796" s="3"/>
      <c r="R796" s="3"/>
      <c r="S796" s="3"/>
      <c r="T796" s="3"/>
      <c r="U796" s="3"/>
      <c r="V796" s="3"/>
      <c r="W796" s="3"/>
      <c r="X796" s="3"/>
      <c r="Y796" s="3"/>
      <c r="Z796" s="3"/>
    </row>
    <row r="797" spans="1:26" ht="22.5" customHeight="1" x14ac:dyDescent="0.85">
      <c r="A797" s="166"/>
      <c r="B797" s="167"/>
      <c r="C797" s="167"/>
      <c r="D797" s="147"/>
      <c r="E797" s="147"/>
      <c r="F797" s="147"/>
      <c r="G797" s="147"/>
      <c r="H797" s="147"/>
      <c r="I797" s="147"/>
      <c r="J797" s="147"/>
      <c r="K797" s="3"/>
      <c r="L797" s="3"/>
      <c r="M797" s="3"/>
      <c r="N797" s="3"/>
      <c r="O797" s="3"/>
      <c r="P797" s="3"/>
      <c r="Q797" s="3"/>
      <c r="R797" s="3"/>
      <c r="S797" s="3"/>
      <c r="T797" s="3"/>
      <c r="U797" s="3"/>
      <c r="V797" s="3"/>
      <c r="W797" s="3"/>
      <c r="X797" s="3"/>
      <c r="Y797" s="3"/>
      <c r="Z797" s="3"/>
    </row>
    <row r="798" spans="1:26" ht="22.5" customHeight="1" x14ac:dyDescent="0.85">
      <c r="A798" s="166"/>
      <c r="B798" s="167"/>
      <c r="C798" s="167"/>
      <c r="D798" s="147"/>
      <c r="E798" s="147"/>
      <c r="F798" s="147"/>
      <c r="G798" s="147"/>
      <c r="H798" s="147"/>
      <c r="I798" s="147"/>
      <c r="J798" s="147"/>
      <c r="K798" s="3"/>
      <c r="L798" s="3"/>
      <c r="M798" s="3"/>
      <c r="N798" s="3"/>
      <c r="O798" s="3"/>
      <c r="P798" s="3"/>
      <c r="Q798" s="3"/>
      <c r="R798" s="3"/>
      <c r="S798" s="3"/>
      <c r="T798" s="3"/>
      <c r="U798" s="3"/>
      <c r="V798" s="3"/>
      <c r="W798" s="3"/>
      <c r="X798" s="3"/>
      <c r="Y798" s="3"/>
      <c r="Z798" s="3"/>
    </row>
    <row r="799" spans="1:26" ht="22.5" customHeight="1" x14ac:dyDescent="0.85">
      <c r="A799" s="166"/>
      <c r="B799" s="167"/>
      <c r="C799" s="167"/>
      <c r="D799" s="147"/>
      <c r="E799" s="147"/>
      <c r="F799" s="147"/>
      <c r="G799" s="147"/>
      <c r="H799" s="147"/>
      <c r="I799" s="147"/>
      <c r="J799" s="147"/>
      <c r="K799" s="3"/>
      <c r="L799" s="3"/>
      <c r="M799" s="3"/>
      <c r="N799" s="3"/>
      <c r="O799" s="3"/>
      <c r="P799" s="3"/>
      <c r="Q799" s="3"/>
      <c r="R799" s="3"/>
      <c r="S799" s="3"/>
      <c r="T799" s="3"/>
      <c r="U799" s="3"/>
      <c r="V799" s="3"/>
      <c r="W799" s="3"/>
      <c r="X799" s="3"/>
      <c r="Y799" s="3"/>
      <c r="Z799" s="3"/>
    </row>
    <row r="800" spans="1:26" ht="22.5" customHeight="1" x14ac:dyDescent="0.85">
      <c r="A800" s="166"/>
      <c r="B800" s="167"/>
      <c r="C800" s="167"/>
      <c r="D800" s="147"/>
      <c r="E800" s="147"/>
      <c r="F800" s="147"/>
      <c r="G800" s="147"/>
      <c r="H800" s="147"/>
      <c r="I800" s="147"/>
      <c r="J800" s="147"/>
      <c r="K800" s="3"/>
      <c r="L800" s="3"/>
      <c r="M800" s="3"/>
      <c r="N800" s="3"/>
      <c r="O800" s="3"/>
      <c r="P800" s="3"/>
      <c r="Q800" s="3"/>
      <c r="R800" s="3"/>
      <c r="S800" s="3"/>
      <c r="T800" s="3"/>
      <c r="U800" s="3"/>
      <c r="V800" s="3"/>
      <c r="W800" s="3"/>
      <c r="X800" s="3"/>
      <c r="Y800" s="3"/>
      <c r="Z800" s="3"/>
    </row>
    <row r="801" spans="1:26" ht="22.5" customHeight="1" x14ac:dyDescent="0.85">
      <c r="A801" s="166"/>
      <c r="B801" s="167"/>
      <c r="C801" s="167"/>
      <c r="D801" s="147"/>
      <c r="E801" s="147"/>
      <c r="F801" s="147"/>
      <c r="G801" s="147"/>
      <c r="H801" s="147"/>
      <c r="I801" s="147"/>
      <c r="J801" s="147"/>
      <c r="K801" s="3"/>
      <c r="L801" s="3"/>
      <c r="M801" s="3"/>
      <c r="N801" s="3"/>
      <c r="O801" s="3"/>
      <c r="P801" s="3"/>
      <c r="Q801" s="3"/>
      <c r="R801" s="3"/>
      <c r="S801" s="3"/>
      <c r="T801" s="3"/>
      <c r="U801" s="3"/>
      <c r="V801" s="3"/>
      <c r="W801" s="3"/>
      <c r="X801" s="3"/>
      <c r="Y801" s="3"/>
      <c r="Z801" s="3"/>
    </row>
    <row r="802" spans="1:26" ht="22.5" customHeight="1" x14ac:dyDescent="0.85">
      <c r="A802" s="166"/>
      <c r="B802" s="167"/>
      <c r="C802" s="167"/>
      <c r="D802" s="147"/>
      <c r="E802" s="147"/>
      <c r="F802" s="147"/>
      <c r="G802" s="147"/>
      <c r="H802" s="147"/>
      <c r="I802" s="147"/>
      <c r="J802" s="147"/>
      <c r="K802" s="3"/>
      <c r="L802" s="3"/>
      <c r="M802" s="3"/>
      <c r="N802" s="3"/>
      <c r="O802" s="3"/>
      <c r="P802" s="3"/>
      <c r="Q802" s="3"/>
      <c r="R802" s="3"/>
      <c r="S802" s="3"/>
      <c r="T802" s="3"/>
      <c r="U802" s="3"/>
      <c r="V802" s="3"/>
      <c r="W802" s="3"/>
      <c r="X802" s="3"/>
      <c r="Y802" s="3"/>
      <c r="Z802" s="3"/>
    </row>
    <row r="803" spans="1:26" ht="22.5" customHeight="1" x14ac:dyDescent="0.85">
      <c r="A803" s="166"/>
      <c r="B803" s="167"/>
      <c r="C803" s="167"/>
      <c r="D803" s="147"/>
      <c r="E803" s="147"/>
      <c r="F803" s="147"/>
      <c r="G803" s="147"/>
      <c r="H803" s="147"/>
      <c r="I803" s="147"/>
      <c r="J803" s="147"/>
      <c r="K803" s="3"/>
      <c r="L803" s="3"/>
      <c r="M803" s="3"/>
      <c r="N803" s="3"/>
      <c r="O803" s="3"/>
      <c r="P803" s="3"/>
      <c r="Q803" s="3"/>
      <c r="R803" s="3"/>
      <c r="S803" s="3"/>
      <c r="T803" s="3"/>
      <c r="U803" s="3"/>
      <c r="V803" s="3"/>
      <c r="W803" s="3"/>
      <c r="X803" s="3"/>
      <c r="Y803" s="3"/>
      <c r="Z803" s="3"/>
    </row>
    <row r="804" spans="1:26" ht="22.5" customHeight="1" x14ac:dyDescent="0.85">
      <c r="A804" s="166"/>
      <c r="B804" s="167"/>
      <c r="C804" s="167"/>
      <c r="D804" s="147"/>
      <c r="E804" s="147"/>
      <c r="F804" s="147"/>
      <c r="G804" s="147"/>
      <c r="H804" s="147"/>
      <c r="I804" s="147"/>
      <c r="J804" s="147"/>
      <c r="K804" s="3"/>
      <c r="L804" s="3"/>
      <c r="M804" s="3"/>
      <c r="N804" s="3"/>
      <c r="O804" s="3"/>
      <c r="P804" s="3"/>
      <c r="Q804" s="3"/>
      <c r="R804" s="3"/>
      <c r="S804" s="3"/>
      <c r="T804" s="3"/>
      <c r="U804" s="3"/>
      <c r="V804" s="3"/>
      <c r="W804" s="3"/>
      <c r="X804" s="3"/>
      <c r="Y804" s="3"/>
      <c r="Z804" s="3"/>
    </row>
    <row r="805" spans="1:26" ht="22.5" customHeight="1" x14ac:dyDescent="0.85">
      <c r="A805" s="166"/>
      <c r="B805" s="167"/>
      <c r="C805" s="167"/>
      <c r="D805" s="147"/>
      <c r="E805" s="147"/>
      <c r="F805" s="147"/>
      <c r="G805" s="147"/>
      <c r="H805" s="147"/>
      <c r="I805" s="147"/>
      <c r="J805" s="147"/>
      <c r="K805" s="3"/>
      <c r="L805" s="3"/>
      <c r="M805" s="3"/>
      <c r="N805" s="3"/>
      <c r="O805" s="3"/>
      <c r="P805" s="3"/>
      <c r="Q805" s="3"/>
      <c r="R805" s="3"/>
      <c r="S805" s="3"/>
      <c r="T805" s="3"/>
      <c r="U805" s="3"/>
      <c r="V805" s="3"/>
      <c r="W805" s="3"/>
      <c r="X805" s="3"/>
      <c r="Y805" s="3"/>
      <c r="Z805" s="3"/>
    </row>
    <row r="806" spans="1:26" ht="22.5" customHeight="1" x14ac:dyDescent="0.85">
      <c r="A806" s="166"/>
      <c r="B806" s="167"/>
      <c r="C806" s="167"/>
      <c r="D806" s="147"/>
      <c r="E806" s="147"/>
      <c r="F806" s="147"/>
      <c r="G806" s="147"/>
      <c r="H806" s="147"/>
      <c r="I806" s="147"/>
      <c r="J806" s="147"/>
      <c r="K806" s="3"/>
      <c r="L806" s="3"/>
      <c r="M806" s="3"/>
      <c r="N806" s="3"/>
      <c r="O806" s="3"/>
      <c r="P806" s="3"/>
      <c r="Q806" s="3"/>
      <c r="R806" s="3"/>
      <c r="S806" s="3"/>
      <c r="T806" s="3"/>
      <c r="U806" s="3"/>
      <c r="V806" s="3"/>
      <c r="W806" s="3"/>
      <c r="X806" s="3"/>
      <c r="Y806" s="3"/>
      <c r="Z806" s="3"/>
    </row>
    <row r="807" spans="1:26" ht="22.5" customHeight="1" x14ac:dyDescent="0.85">
      <c r="A807" s="166"/>
      <c r="B807" s="167"/>
      <c r="C807" s="167"/>
      <c r="D807" s="147"/>
      <c r="E807" s="147"/>
      <c r="F807" s="147"/>
      <c r="G807" s="147"/>
      <c r="H807" s="147"/>
      <c r="I807" s="147"/>
      <c r="J807" s="147"/>
      <c r="K807" s="3"/>
      <c r="L807" s="3"/>
      <c r="M807" s="3"/>
      <c r="N807" s="3"/>
      <c r="O807" s="3"/>
      <c r="P807" s="3"/>
      <c r="Q807" s="3"/>
      <c r="R807" s="3"/>
      <c r="S807" s="3"/>
      <c r="T807" s="3"/>
      <c r="U807" s="3"/>
      <c r="V807" s="3"/>
      <c r="W807" s="3"/>
      <c r="X807" s="3"/>
      <c r="Y807" s="3"/>
      <c r="Z807" s="3"/>
    </row>
    <row r="808" spans="1:26" ht="22.5" customHeight="1" x14ac:dyDescent="0.85">
      <c r="A808" s="166"/>
      <c r="B808" s="167"/>
      <c r="C808" s="167"/>
      <c r="D808" s="147"/>
      <c r="E808" s="147"/>
      <c r="F808" s="147"/>
      <c r="G808" s="147"/>
      <c r="H808" s="147"/>
      <c r="I808" s="147"/>
      <c r="J808" s="147"/>
      <c r="K808" s="3"/>
      <c r="L808" s="3"/>
      <c r="M808" s="3"/>
      <c r="N808" s="3"/>
      <c r="O808" s="3"/>
      <c r="P808" s="3"/>
      <c r="Q808" s="3"/>
      <c r="R808" s="3"/>
      <c r="S808" s="3"/>
      <c r="T808" s="3"/>
      <c r="U808" s="3"/>
      <c r="V808" s="3"/>
      <c r="W808" s="3"/>
      <c r="X808" s="3"/>
      <c r="Y808" s="3"/>
      <c r="Z808" s="3"/>
    </row>
    <row r="809" spans="1:26" ht="22.5" customHeight="1" x14ac:dyDescent="0.85">
      <c r="A809" s="166"/>
      <c r="B809" s="167"/>
      <c r="C809" s="167"/>
      <c r="D809" s="147"/>
      <c r="E809" s="147"/>
      <c r="F809" s="147"/>
      <c r="G809" s="147"/>
      <c r="H809" s="147"/>
      <c r="I809" s="147"/>
      <c r="J809" s="147"/>
      <c r="K809" s="3"/>
      <c r="L809" s="3"/>
      <c r="M809" s="3"/>
      <c r="N809" s="3"/>
      <c r="O809" s="3"/>
      <c r="P809" s="3"/>
      <c r="Q809" s="3"/>
      <c r="R809" s="3"/>
      <c r="S809" s="3"/>
      <c r="T809" s="3"/>
      <c r="U809" s="3"/>
      <c r="V809" s="3"/>
      <c r="W809" s="3"/>
      <c r="X809" s="3"/>
      <c r="Y809" s="3"/>
      <c r="Z809" s="3"/>
    </row>
    <row r="810" spans="1:26" ht="22.5" customHeight="1" x14ac:dyDescent="0.85">
      <c r="A810" s="166"/>
      <c r="B810" s="167"/>
      <c r="C810" s="167"/>
      <c r="D810" s="147"/>
      <c r="E810" s="147"/>
      <c r="F810" s="147"/>
      <c r="G810" s="147"/>
      <c r="H810" s="147"/>
      <c r="I810" s="147"/>
      <c r="J810" s="147"/>
      <c r="K810" s="3"/>
      <c r="L810" s="3"/>
      <c r="M810" s="3"/>
      <c r="N810" s="3"/>
      <c r="O810" s="3"/>
      <c r="P810" s="3"/>
      <c r="Q810" s="3"/>
      <c r="R810" s="3"/>
      <c r="S810" s="3"/>
      <c r="T810" s="3"/>
      <c r="U810" s="3"/>
      <c r="V810" s="3"/>
      <c r="W810" s="3"/>
      <c r="X810" s="3"/>
      <c r="Y810" s="3"/>
      <c r="Z810" s="3"/>
    </row>
    <row r="811" spans="1:26" ht="22.5" customHeight="1" x14ac:dyDescent="0.85">
      <c r="A811" s="166"/>
      <c r="B811" s="167"/>
      <c r="C811" s="167"/>
      <c r="D811" s="147"/>
      <c r="E811" s="147"/>
      <c r="F811" s="147"/>
      <c r="G811" s="147"/>
      <c r="H811" s="147"/>
      <c r="I811" s="147"/>
      <c r="J811" s="147"/>
      <c r="K811" s="3"/>
      <c r="L811" s="3"/>
      <c r="M811" s="3"/>
      <c r="N811" s="3"/>
      <c r="O811" s="3"/>
      <c r="P811" s="3"/>
      <c r="Q811" s="3"/>
      <c r="R811" s="3"/>
      <c r="S811" s="3"/>
      <c r="T811" s="3"/>
      <c r="U811" s="3"/>
      <c r="V811" s="3"/>
      <c r="W811" s="3"/>
      <c r="X811" s="3"/>
      <c r="Y811" s="3"/>
      <c r="Z811" s="3"/>
    </row>
    <row r="812" spans="1:26" ht="22.5" customHeight="1" x14ac:dyDescent="0.85">
      <c r="A812" s="166"/>
      <c r="B812" s="167"/>
      <c r="C812" s="167"/>
      <c r="D812" s="147"/>
      <c r="E812" s="147"/>
      <c r="F812" s="147"/>
      <c r="G812" s="147"/>
      <c r="H812" s="147"/>
      <c r="I812" s="147"/>
      <c r="J812" s="147"/>
      <c r="K812" s="3"/>
      <c r="L812" s="3"/>
      <c r="M812" s="3"/>
      <c r="N812" s="3"/>
      <c r="O812" s="3"/>
      <c r="P812" s="3"/>
      <c r="Q812" s="3"/>
      <c r="R812" s="3"/>
      <c r="S812" s="3"/>
      <c r="T812" s="3"/>
      <c r="U812" s="3"/>
      <c r="V812" s="3"/>
      <c r="W812" s="3"/>
      <c r="X812" s="3"/>
      <c r="Y812" s="3"/>
      <c r="Z812" s="3"/>
    </row>
    <row r="813" spans="1:26" ht="22.5" customHeight="1" x14ac:dyDescent="0.85">
      <c r="A813" s="166"/>
      <c r="B813" s="167"/>
      <c r="C813" s="167"/>
      <c r="D813" s="147"/>
      <c r="E813" s="147"/>
      <c r="F813" s="147"/>
      <c r="G813" s="147"/>
      <c r="H813" s="147"/>
      <c r="I813" s="147"/>
      <c r="J813" s="147"/>
      <c r="K813" s="3"/>
      <c r="L813" s="3"/>
      <c r="M813" s="3"/>
      <c r="N813" s="3"/>
      <c r="O813" s="3"/>
      <c r="P813" s="3"/>
      <c r="Q813" s="3"/>
      <c r="R813" s="3"/>
      <c r="S813" s="3"/>
      <c r="T813" s="3"/>
      <c r="U813" s="3"/>
      <c r="V813" s="3"/>
      <c r="W813" s="3"/>
      <c r="X813" s="3"/>
      <c r="Y813" s="3"/>
      <c r="Z813" s="3"/>
    </row>
    <row r="814" spans="1:26" ht="22.5" customHeight="1" x14ac:dyDescent="0.85">
      <c r="A814" s="166"/>
      <c r="B814" s="167"/>
      <c r="C814" s="167"/>
      <c r="D814" s="147"/>
      <c r="E814" s="147"/>
      <c r="F814" s="147"/>
      <c r="G814" s="147"/>
      <c r="H814" s="147"/>
      <c r="I814" s="147"/>
      <c r="J814" s="147"/>
      <c r="K814" s="3"/>
      <c r="L814" s="3"/>
      <c r="M814" s="3"/>
      <c r="N814" s="3"/>
      <c r="O814" s="3"/>
      <c r="P814" s="3"/>
      <c r="Q814" s="3"/>
      <c r="R814" s="3"/>
      <c r="S814" s="3"/>
      <c r="T814" s="3"/>
      <c r="U814" s="3"/>
      <c r="V814" s="3"/>
      <c r="W814" s="3"/>
      <c r="X814" s="3"/>
      <c r="Y814" s="3"/>
      <c r="Z814" s="3"/>
    </row>
    <row r="815" spans="1:26" ht="22.5" customHeight="1" x14ac:dyDescent="0.85">
      <c r="A815" s="166"/>
      <c r="B815" s="167"/>
      <c r="C815" s="167"/>
      <c r="D815" s="147"/>
      <c r="E815" s="147"/>
      <c r="F815" s="147"/>
      <c r="G815" s="147"/>
      <c r="H815" s="147"/>
      <c r="I815" s="147"/>
      <c r="J815" s="147"/>
      <c r="K815" s="3"/>
      <c r="L815" s="3"/>
      <c r="M815" s="3"/>
      <c r="N815" s="3"/>
      <c r="O815" s="3"/>
      <c r="P815" s="3"/>
      <c r="Q815" s="3"/>
      <c r="R815" s="3"/>
      <c r="S815" s="3"/>
      <c r="T815" s="3"/>
      <c r="U815" s="3"/>
      <c r="V815" s="3"/>
      <c r="W815" s="3"/>
      <c r="X815" s="3"/>
      <c r="Y815" s="3"/>
      <c r="Z815" s="3"/>
    </row>
    <row r="816" spans="1:26" ht="22.5" customHeight="1" x14ac:dyDescent="0.85">
      <c r="A816" s="166"/>
      <c r="B816" s="167"/>
      <c r="C816" s="167"/>
      <c r="D816" s="147"/>
      <c r="E816" s="147"/>
      <c r="F816" s="147"/>
      <c r="G816" s="147"/>
      <c r="H816" s="147"/>
      <c r="I816" s="147"/>
      <c r="J816" s="147"/>
      <c r="K816" s="3"/>
      <c r="L816" s="3"/>
      <c r="M816" s="3"/>
      <c r="N816" s="3"/>
      <c r="O816" s="3"/>
      <c r="P816" s="3"/>
      <c r="Q816" s="3"/>
      <c r="R816" s="3"/>
      <c r="S816" s="3"/>
      <c r="T816" s="3"/>
      <c r="U816" s="3"/>
      <c r="V816" s="3"/>
      <c r="W816" s="3"/>
      <c r="X816" s="3"/>
      <c r="Y816" s="3"/>
      <c r="Z816" s="3"/>
    </row>
    <row r="817" spans="1:26" ht="22.5" customHeight="1" x14ac:dyDescent="0.85">
      <c r="A817" s="166"/>
      <c r="B817" s="167"/>
      <c r="C817" s="167"/>
      <c r="D817" s="147"/>
      <c r="E817" s="147"/>
      <c r="F817" s="147"/>
      <c r="G817" s="147"/>
      <c r="H817" s="147"/>
      <c r="I817" s="147"/>
      <c r="J817" s="147"/>
      <c r="K817" s="3"/>
      <c r="L817" s="3"/>
      <c r="M817" s="3"/>
      <c r="N817" s="3"/>
      <c r="O817" s="3"/>
      <c r="P817" s="3"/>
      <c r="Q817" s="3"/>
      <c r="R817" s="3"/>
      <c r="S817" s="3"/>
      <c r="T817" s="3"/>
      <c r="U817" s="3"/>
      <c r="V817" s="3"/>
      <c r="W817" s="3"/>
      <c r="X817" s="3"/>
      <c r="Y817" s="3"/>
      <c r="Z817" s="3"/>
    </row>
    <row r="818" spans="1:26" ht="22.5" customHeight="1" x14ac:dyDescent="0.85">
      <c r="A818" s="166"/>
      <c r="B818" s="167"/>
      <c r="C818" s="167"/>
      <c r="D818" s="147"/>
      <c r="E818" s="147"/>
      <c r="F818" s="147"/>
      <c r="G818" s="147"/>
      <c r="H818" s="147"/>
      <c r="I818" s="147"/>
      <c r="J818" s="147"/>
      <c r="K818" s="3"/>
      <c r="L818" s="3"/>
      <c r="M818" s="3"/>
      <c r="N818" s="3"/>
      <c r="O818" s="3"/>
      <c r="P818" s="3"/>
      <c r="Q818" s="3"/>
      <c r="R818" s="3"/>
      <c r="S818" s="3"/>
      <c r="T818" s="3"/>
      <c r="U818" s="3"/>
      <c r="V818" s="3"/>
      <c r="W818" s="3"/>
      <c r="X818" s="3"/>
      <c r="Y818" s="3"/>
      <c r="Z818" s="3"/>
    </row>
    <row r="819" spans="1:26" ht="22.5" customHeight="1" x14ac:dyDescent="0.85">
      <c r="A819" s="166"/>
      <c r="B819" s="167"/>
      <c r="C819" s="167"/>
      <c r="D819" s="147"/>
      <c r="E819" s="147"/>
      <c r="F819" s="147"/>
      <c r="G819" s="147"/>
      <c r="H819" s="147"/>
      <c r="I819" s="147"/>
      <c r="J819" s="147"/>
      <c r="K819" s="3"/>
      <c r="L819" s="3"/>
      <c r="M819" s="3"/>
      <c r="N819" s="3"/>
      <c r="O819" s="3"/>
      <c r="P819" s="3"/>
      <c r="Q819" s="3"/>
      <c r="R819" s="3"/>
      <c r="S819" s="3"/>
      <c r="T819" s="3"/>
      <c r="U819" s="3"/>
      <c r="V819" s="3"/>
      <c r="W819" s="3"/>
      <c r="X819" s="3"/>
      <c r="Y819" s="3"/>
      <c r="Z819" s="3"/>
    </row>
    <row r="820" spans="1:26" ht="22.5" customHeight="1" x14ac:dyDescent="0.85">
      <c r="A820" s="166"/>
      <c r="B820" s="167"/>
      <c r="C820" s="167"/>
      <c r="D820" s="147"/>
      <c r="E820" s="147"/>
      <c r="F820" s="147"/>
      <c r="G820" s="147"/>
      <c r="H820" s="147"/>
      <c r="I820" s="147"/>
      <c r="J820" s="147"/>
      <c r="K820" s="3"/>
      <c r="L820" s="3"/>
      <c r="M820" s="3"/>
      <c r="N820" s="3"/>
      <c r="O820" s="3"/>
      <c r="P820" s="3"/>
      <c r="Q820" s="3"/>
      <c r="R820" s="3"/>
      <c r="S820" s="3"/>
      <c r="T820" s="3"/>
      <c r="U820" s="3"/>
      <c r="V820" s="3"/>
      <c r="W820" s="3"/>
      <c r="X820" s="3"/>
      <c r="Y820" s="3"/>
      <c r="Z820" s="3"/>
    </row>
    <row r="821" spans="1:26" ht="22.5" customHeight="1" x14ac:dyDescent="0.85">
      <c r="A821" s="166"/>
      <c r="B821" s="167"/>
      <c r="C821" s="167"/>
      <c r="D821" s="147"/>
      <c r="E821" s="147"/>
      <c r="F821" s="147"/>
      <c r="G821" s="147"/>
      <c r="H821" s="147"/>
      <c r="I821" s="147"/>
      <c r="J821" s="147"/>
      <c r="K821" s="3"/>
      <c r="L821" s="3"/>
      <c r="M821" s="3"/>
      <c r="N821" s="3"/>
      <c r="O821" s="3"/>
      <c r="P821" s="3"/>
      <c r="Q821" s="3"/>
      <c r="R821" s="3"/>
      <c r="S821" s="3"/>
      <c r="T821" s="3"/>
      <c r="U821" s="3"/>
      <c r="V821" s="3"/>
      <c r="W821" s="3"/>
      <c r="X821" s="3"/>
      <c r="Y821" s="3"/>
      <c r="Z821" s="3"/>
    </row>
    <row r="822" spans="1:26" ht="22.5" customHeight="1" x14ac:dyDescent="0.85">
      <c r="A822" s="166"/>
      <c r="B822" s="167"/>
      <c r="C822" s="167"/>
      <c r="D822" s="147"/>
      <c r="E822" s="147"/>
      <c r="F822" s="147"/>
      <c r="G822" s="147"/>
      <c r="H822" s="147"/>
      <c r="I822" s="147"/>
      <c r="J822" s="147"/>
      <c r="K822" s="3"/>
      <c r="L822" s="3"/>
      <c r="M822" s="3"/>
      <c r="N822" s="3"/>
      <c r="O822" s="3"/>
      <c r="P822" s="3"/>
      <c r="Q822" s="3"/>
      <c r="R822" s="3"/>
      <c r="S822" s="3"/>
      <c r="T822" s="3"/>
      <c r="U822" s="3"/>
      <c r="V822" s="3"/>
      <c r="W822" s="3"/>
      <c r="X822" s="3"/>
      <c r="Y822" s="3"/>
      <c r="Z822" s="3"/>
    </row>
    <row r="823" spans="1:26" ht="22.5" customHeight="1" x14ac:dyDescent="0.85">
      <c r="A823" s="166"/>
      <c r="B823" s="167"/>
      <c r="C823" s="167"/>
      <c r="D823" s="147"/>
      <c r="E823" s="147"/>
      <c r="F823" s="147"/>
      <c r="G823" s="147"/>
      <c r="H823" s="147"/>
      <c r="I823" s="147"/>
      <c r="J823" s="147"/>
      <c r="K823" s="3"/>
      <c r="L823" s="3"/>
      <c r="M823" s="3"/>
      <c r="N823" s="3"/>
      <c r="O823" s="3"/>
      <c r="P823" s="3"/>
      <c r="Q823" s="3"/>
      <c r="R823" s="3"/>
      <c r="S823" s="3"/>
      <c r="T823" s="3"/>
      <c r="U823" s="3"/>
      <c r="V823" s="3"/>
      <c r="W823" s="3"/>
      <c r="X823" s="3"/>
      <c r="Y823" s="3"/>
      <c r="Z823" s="3"/>
    </row>
    <row r="824" spans="1:26" ht="22.5" customHeight="1" x14ac:dyDescent="0.85">
      <c r="A824" s="166"/>
      <c r="B824" s="167"/>
      <c r="C824" s="167"/>
      <c r="D824" s="147"/>
      <c r="E824" s="147"/>
      <c r="F824" s="147"/>
      <c r="G824" s="147"/>
      <c r="H824" s="147"/>
      <c r="I824" s="147"/>
      <c r="J824" s="147"/>
      <c r="K824" s="3"/>
      <c r="L824" s="3"/>
      <c r="M824" s="3"/>
      <c r="N824" s="3"/>
      <c r="O824" s="3"/>
      <c r="P824" s="3"/>
      <c r="Q824" s="3"/>
      <c r="R824" s="3"/>
      <c r="S824" s="3"/>
      <c r="T824" s="3"/>
      <c r="U824" s="3"/>
      <c r="V824" s="3"/>
      <c r="W824" s="3"/>
      <c r="X824" s="3"/>
      <c r="Y824" s="3"/>
      <c r="Z824" s="3"/>
    </row>
    <row r="825" spans="1:26" ht="22.5" customHeight="1" x14ac:dyDescent="0.85">
      <c r="A825" s="166"/>
      <c r="B825" s="167"/>
      <c r="C825" s="167"/>
      <c r="D825" s="147"/>
      <c r="E825" s="147"/>
      <c r="F825" s="147"/>
      <c r="G825" s="147"/>
      <c r="H825" s="147"/>
      <c r="I825" s="147"/>
      <c r="J825" s="147"/>
      <c r="K825" s="3"/>
      <c r="L825" s="3"/>
      <c r="M825" s="3"/>
      <c r="N825" s="3"/>
      <c r="O825" s="3"/>
      <c r="P825" s="3"/>
      <c r="Q825" s="3"/>
      <c r="R825" s="3"/>
      <c r="S825" s="3"/>
      <c r="T825" s="3"/>
      <c r="U825" s="3"/>
      <c r="V825" s="3"/>
      <c r="W825" s="3"/>
      <c r="X825" s="3"/>
      <c r="Y825" s="3"/>
      <c r="Z825" s="3"/>
    </row>
    <row r="826" spans="1:26" ht="22.5" customHeight="1" x14ac:dyDescent="0.85">
      <c r="A826" s="166"/>
      <c r="B826" s="167"/>
      <c r="C826" s="167"/>
      <c r="D826" s="147"/>
      <c r="E826" s="147"/>
      <c r="F826" s="147"/>
      <c r="G826" s="147"/>
      <c r="H826" s="147"/>
      <c r="I826" s="147"/>
      <c r="J826" s="147"/>
      <c r="K826" s="3"/>
      <c r="L826" s="3"/>
      <c r="M826" s="3"/>
      <c r="N826" s="3"/>
      <c r="O826" s="3"/>
      <c r="P826" s="3"/>
      <c r="Q826" s="3"/>
      <c r="R826" s="3"/>
      <c r="S826" s="3"/>
      <c r="T826" s="3"/>
      <c r="U826" s="3"/>
      <c r="V826" s="3"/>
      <c r="W826" s="3"/>
      <c r="X826" s="3"/>
      <c r="Y826" s="3"/>
      <c r="Z826" s="3"/>
    </row>
    <row r="827" spans="1:26" ht="22.5" customHeight="1" x14ac:dyDescent="0.85">
      <c r="A827" s="166"/>
      <c r="B827" s="167"/>
      <c r="C827" s="167"/>
      <c r="D827" s="147"/>
      <c r="E827" s="147"/>
      <c r="F827" s="147"/>
      <c r="G827" s="147"/>
      <c r="H827" s="147"/>
      <c r="I827" s="147"/>
      <c r="J827" s="147"/>
      <c r="K827" s="3"/>
      <c r="L827" s="3"/>
      <c r="M827" s="3"/>
      <c r="N827" s="3"/>
      <c r="O827" s="3"/>
      <c r="P827" s="3"/>
      <c r="Q827" s="3"/>
      <c r="R827" s="3"/>
      <c r="S827" s="3"/>
      <c r="T827" s="3"/>
      <c r="U827" s="3"/>
      <c r="V827" s="3"/>
      <c r="W827" s="3"/>
      <c r="X827" s="3"/>
      <c r="Y827" s="3"/>
      <c r="Z827" s="3"/>
    </row>
    <row r="828" spans="1:26" ht="22.5" customHeight="1" x14ac:dyDescent="0.85">
      <c r="A828" s="166"/>
      <c r="B828" s="167"/>
      <c r="C828" s="167"/>
      <c r="D828" s="147"/>
      <c r="E828" s="147"/>
      <c r="F828" s="147"/>
      <c r="G828" s="147"/>
      <c r="H828" s="147"/>
      <c r="I828" s="147"/>
      <c r="J828" s="147"/>
      <c r="K828" s="3"/>
      <c r="L828" s="3"/>
      <c r="M828" s="3"/>
      <c r="N828" s="3"/>
      <c r="O828" s="3"/>
      <c r="P828" s="3"/>
      <c r="Q828" s="3"/>
      <c r="R828" s="3"/>
      <c r="S828" s="3"/>
      <c r="T828" s="3"/>
      <c r="U828" s="3"/>
      <c r="V828" s="3"/>
      <c r="W828" s="3"/>
      <c r="X828" s="3"/>
      <c r="Y828" s="3"/>
      <c r="Z828" s="3"/>
    </row>
    <row r="829" spans="1:26" ht="22.5" customHeight="1" x14ac:dyDescent="0.85">
      <c r="A829" s="166"/>
      <c r="B829" s="167"/>
      <c r="C829" s="167"/>
      <c r="D829" s="147"/>
      <c r="E829" s="147"/>
      <c r="F829" s="147"/>
      <c r="G829" s="147"/>
      <c r="H829" s="147"/>
      <c r="I829" s="147"/>
      <c r="J829" s="147"/>
      <c r="K829" s="3"/>
      <c r="L829" s="3"/>
      <c r="M829" s="3"/>
      <c r="N829" s="3"/>
      <c r="O829" s="3"/>
      <c r="P829" s="3"/>
      <c r="Q829" s="3"/>
      <c r="R829" s="3"/>
      <c r="S829" s="3"/>
      <c r="T829" s="3"/>
      <c r="U829" s="3"/>
      <c r="V829" s="3"/>
      <c r="W829" s="3"/>
      <c r="X829" s="3"/>
      <c r="Y829" s="3"/>
      <c r="Z829" s="3"/>
    </row>
    <row r="830" spans="1:26" ht="22.5" customHeight="1" x14ac:dyDescent="0.85">
      <c r="A830" s="166"/>
      <c r="B830" s="167"/>
      <c r="C830" s="167"/>
      <c r="D830" s="147"/>
      <c r="E830" s="147"/>
      <c r="F830" s="147"/>
      <c r="G830" s="147"/>
      <c r="H830" s="147"/>
      <c r="I830" s="147"/>
      <c r="J830" s="147"/>
      <c r="K830" s="3"/>
      <c r="L830" s="3"/>
      <c r="M830" s="3"/>
      <c r="N830" s="3"/>
      <c r="O830" s="3"/>
      <c r="P830" s="3"/>
      <c r="Q830" s="3"/>
      <c r="R830" s="3"/>
      <c r="S830" s="3"/>
      <c r="T830" s="3"/>
      <c r="U830" s="3"/>
      <c r="V830" s="3"/>
      <c r="W830" s="3"/>
      <c r="X830" s="3"/>
      <c r="Y830" s="3"/>
      <c r="Z830" s="3"/>
    </row>
    <row r="831" spans="1:26" ht="22.5" customHeight="1" x14ac:dyDescent="0.85">
      <c r="A831" s="166"/>
      <c r="B831" s="167"/>
      <c r="C831" s="167"/>
      <c r="D831" s="147"/>
      <c r="E831" s="147"/>
      <c r="F831" s="147"/>
      <c r="G831" s="147"/>
      <c r="H831" s="147"/>
      <c r="I831" s="147"/>
      <c r="J831" s="147"/>
      <c r="K831" s="3"/>
      <c r="L831" s="3"/>
      <c r="M831" s="3"/>
      <c r="N831" s="3"/>
      <c r="O831" s="3"/>
      <c r="P831" s="3"/>
      <c r="Q831" s="3"/>
      <c r="R831" s="3"/>
      <c r="S831" s="3"/>
      <c r="T831" s="3"/>
      <c r="U831" s="3"/>
      <c r="V831" s="3"/>
      <c r="W831" s="3"/>
      <c r="X831" s="3"/>
      <c r="Y831" s="3"/>
      <c r="Z831" s="3"/>
    </row>
    <row r="832" spans="1:26" ht="22.5" customHeight="1" x14ac:dyDescent="0.85">
      <c r="A832" s="166"/>
      <c r="B832" s="167"/>
      <c r="C832" s="167"/>
      <c r="D832" s="147"/>
      <c r="E832" s="147"/>
      <c r="F832" s="147"/>
      <c r="G832" s="147"/>
      <c r="H832" s="147"/>
      <c r="I832" s="147"/>
      <c r="J832" s="147"/>
      <c r="K832" s="3"/>
      <c r="L832" s="3"/>
      <c r="M832" s="3"/>
      <c r="N832" s="3"/>
      <c r="O832" s="3"/>
      <c r="P832" s="3"/>
      <c r="Q832" s="3"/>
      <c r="R832" s="3"/>
      <c r="S832" s="3"/>
      <c r="T832" s="3"/>
      <c r="U832" s="3"/>
      <c r="V832" s="3"/>
      <c r="W832" s="3"/>
      <c r="X832" s="3"/>
      <c r="Y832" s="3"/>
      <c r="Z832" s="3"/>
    </row>
    <row r="833" spans="1:26" ht="22.5" customHeight="1" x14ac:dyDescent="0.85">
      <c r="A833" s="166"/>
      <c r="B833" s="167"/>
      <c r="C833" s="167"/>
      <c r="D833" s="147"/>
      <c r="E833" s="147"/>
      <c r="F833" s="147"/>
      <c r="G833" s="147"/>
      <c r="H833" s="147"/>
      <c r="I833" s="147"/>
      <c r="J833" s="147"/>
      <c r="K833" s="3"/>
      <c r="L833" s="3"/>
      <c r="M833" s="3"/>
      <c r="N833" s="3"/>
      <c r="O833" s="3"/>
      <c r="P833" s="3"/>
      <c r="Q833" s="3"/>
      <c r="R833" s="3"/>
      <c r="S833" s="3"/>
      <c r="T833" s="3"/>
      <c r="U833" s="3"/>
      <c r="V833" s="3"/>
      <c r="W833" s="3"/>
      <c r="X833" s="3"/>
      <c r="Y833" s="3"/>
      <c r="Z833" s="3"/>
    </row>
    <row r="834" spans="1:26" ht="22.5" customHeight="1" x14ac:dyDescent="0.85">
      <c r="A834" s="166"/>
      <c r="B834" s="167"/>
      <c r="C834" s="167"/>
      <c r="D834" s="147"/>
      <c r="E834" s="147"/>
      <c r="F834" s="147"/>
      <c r="G834" s="147"/>
      <c r="H834" s="147"/>
      <c r="I834" s="147"/>
      <c r="J834" s="147"/>
      <c r="K834" s="3"/>
      <c r="L834" s="3"/>
      <c r="M834" s="3"/>
      <c r="N834" s="3"/>
      <c r="O834" s="3"/>
      <c r="P834" s="3"/>
      <c r="Q834" s="3"/>
      <c r="R834" s="3"/>
      <c r="S834" s="3"/>
      <c r="T834" s="3"/>
      <c r="U834" s="3"/>
      <c r="V834" s="3"/>
      <c r="W834" s="3"/>
      <c r="X834" s="3"/>
      <c r="Y834" s="3"/>
      <c r="Z834" s="3"/>
    </row>
    <row r="835" spans="1:26" ht="22.5" customHeight="1" x14ac:dyDescent="0.85">
      <c r="A835" s="166"/>
      <c r="B835" s="167"/>
      <c r="C835" s="167"/>
      <c r="D835" s="147"/>
      <c r="E835" s="147"/>
      <c r="F835" s="147"/>
      <c r="G835" s="147"/>
      <c r="H835" s="147"/>
      <c r="I835" s="147"/>
      <c r="J835" s="147"/>
      <c r="K835" s="3"/>
      <c r="L835" s="3"/>
      <c r="M835" s="3"/>
      <c r="N835" s="3"/>
      <c r="O835" s="3"/>
      <c r="P835" s="3"/>
      <c r="Q835" s="3"/>
      <c r="R835" s="3"/>
      <c r="S835" s="3"/>
      <c r="T835" s="3"/>
      <c r="U835" s="3"/>
      <c r="V835" s="3"/>
      <c r="W835" s="3"/>
      <c r="X835" s="3"/>
      <c r="Y835" s="3"/>
      <c r="Z835" s="3"/>
    </row>
    <row r="836" spans="1:26" ht="22.5" customHeight="1" x14ac:dyDescent="0.85">
      <c r="A836" s="166"/>
      <c r="B836" s="167"/>
      <c r="C836" s="167"/>
      <c r="D836" s="147"/>
      <c r="E836" s="147"/>
      <c r="F836" s="147"/>
      <c r="G836" s="147"/>
      <c r="H836" s="147"/>
      <c r="I836" s="147"/>
      <c r="J836" s="147"/>
      <c r="K836" s="3"/>
      <c r="L836" s="3"/>
      <c r="M836" s="3"/>
      <c r="N836" s="3"/>
      <c r="O836" s="3"/>
      <c r="P836" s="3"/>
      <c r="Q836" s="3"/>
      <c r="R836" s="3"/>
      <c r="S836" s="3"/>
      <c r="T836" s="3"/>
      <c r="U836" s="3"/>
      <c r="V836" s="3"/>
      <c r="W836" s="3"/>
      <c r="X836" s="3"/>
      <c r="Y836" s="3"/>
      <c r="Z836" s="3"/>
    </row>
    <row r="837" spans="1:26" ht="22.5" customHeight="1" x14ac:dyDescent="0.85">
      <c r="A837" s="166"/>
      <c r="B837" s="167"/>
      <c r="C837" s="167"/>
      <c r="D837" s="147"/>
      <c r="E837" s="147"/>
      <c r="F837" s="147"/>
      <c r="G837" s="147"/>
      <c r="H837" s="147"/>
      <c r="I837" s="147"/>
      <c r="J837" s="147"/>
      <c r="K837" s="3"/>
      <c r="L837" s="3"/>
      <c r="M837" s="3"/>
      <c r="N837" s="3"/>
      <c r="O837" s="3"/>
      <c r="P837" s="3"/>
      <c r="Q837" s="3"/>
      <c r="R837" s="3"/>
      <c r="S837" s="3"/>
      <c r="T837" s="3"/>
      <c r="U837" s="3"/>
      <c r="V837" s="3"/>
      <c r="W837" s="3"/>
      <c r="X837" s="3"/>
      <c r="Y837" s="3"/>
      <c r="Z837" s="3"/>
    </row>
    <row r="838" spans="1:26" ht="22.5" customHeight="1" x14ac:dyDescent="0.85">
      <c r="A838" s="166"/>
      <c r="B838" s="167"/>
      <c r="C838" s="167"/>
      <c r="D838" s="147"/>
      <c r="E838" s="147"/>
      <c r="F838" s="147"/>
      <c r="G838" s="147"/>
      <c r="H838" s="147"/>
      <c r="I838" s="147"/>
      <c r="J838" s="147"/>
      <c r="K838" s="3"/>
      <c r="L838" s="3"/>
      <c r="M838" s="3"/>
      <c r="N838" s="3"/>
      <c r="O838" s="3"/>
      <c r="P838" s="3"/>
      <c r="Q838" s="3"/>
      <c r="R838" s="3"/>
      <c r="S838" s="3"/>
      <c r="T838" s="3"/>
      <c r="U838" s="3"/>
      <c r="V838" s="3"/>
      <c r="W838" s="3"/>
      <c r="X838" s="3"/>
      <c r="Y838" s="3"/>
      <c r="Z838" s="3"/>
    </row>
    <row r="839" spans="1:26" ht="22.5" customHeight="1" x14ac:dyDescent="0.85">
      <c r="A839" s="166"/>
      <c r="B839" s="167"/>
      <c r="C839" s="167"/>
      <c r="D839" s="147"/>
      <c r="E839" s="147"/>
      <c r="F839" s="147"/>
      <c r="G839" s="147"/>
      <c r="H839" s="147"/>
      <c r="I839" s="147"/>
      <c r="J839" s="147"/>
      <c r="K839" s="3"/>
      <c r="L839" s="3"/>
      <c r="M839" s="3"/>
      <c r="N839" s="3"/>
      <c r="O839" s="3"/>
      <c r="P839" s="3"/>
      <c r="Q839" s="3"/>
      <c r="R839" s="3"/>
      <c r="S839" s="3"/>
      <c r="T839" s="3"/>
      <c r="U839" s="3"/>
      <c r="V839" s="3"/>
      <c r="W839" s="3"/>
      <c r="X839" s="3"/>
      <c r="Y839" s="3"/>
      <c r="Z839" s="3"/>
    </row>
    <row r="840" spans="1:26" ht="22.5" customHeight="1" x14ac:dyDescent="0.85">
      <c r="A840" s="166"/>
      <c r="B840" s="167"/>
      <c r="C840" s="167"/>
      <c r="D840" s="147"/>
      <c r="E840" s="147"/>
      <c r="F840" s="147"/>
      <c r="G840" s="147"/>
      <c r="H840" s="147"/>
      <c r="I840" s="147"/>
      <c r="J840" s="147"/>
      <c r="K840" s="3"/>
      <c r="L840" s="3"/>
      <c r="M840" s="3"/>
      <c r="N840" s="3"/>
      <c r="O840" s="3"/>
      <c r="P840" s="3"/>
      <c r="Q840" s="3"/>
      <c r="R840" s="3"/>
      <c r="S840" s="3"/>
      <c r="T840" s="3"/>
      <c r="U840" s="3"/>
      <c r="V840" s="3"/>
      <c r="W840" s="3"/>
      <c r="X840" s="3"/>
      <c r="Y840" s="3"/>
      <c r="Z840" s="3"/>
    </row>
    <row r="841" spans="1:26" ht="22.5" customHeight="1" x14ac:dyDescent="0.85">
      <c r="A841" s="166"/>
      <c r="B841" s="167"/>
      <c r="C841" s="167"/>
      <c r="D841" s="147"/>
      <c r="E841" s="147"/>
      <c r="F841" s="147"/>
      <c r="G841" s="147"/>
      <c r="H841" s="147"/>
      <c r="I841" s="147"/>
      <c r="J841" s="147"/>
      <c r="K841" s="3"/>
      <c r="L841" s="3"/>
      <c r="M841" s="3"/>
      <c r="N841" s="3"/>
      <c r="O841" s="3"/>
      <c r="P841" s="3"/>
      <c r="Q841" s="3"/>
      <c r="R841" s="3"/>
      <c r="S841" s="3"/>
      <c r="T841" s="3"/>
      <c r="U841" s="3"/>
      <c r="V841" s="3"/>
      <c r="W841" s="3"/>
      <c r="X841" s="3"/>
      <c r="Y841" s="3"/>
      <c r="Z841" s="3"/>
    </row>
    <row r="842" spans="1:26" ht="22.5" customHeight="1" x14ac:dyDescent="0.85">
      <c r="A842" s="166"/>
      <c r="B842" s="167"/>
      <c r="C842" s="167"/>
      <c r="D842" s="147"/>
      <c r="E842" s="147"/>
      <c r="F842" s="147"/>
      <c r="G842" s="147"/>
      <c r="H842" s="147"/>
      <c r="I842" s="147"/>
      <c r="J842" s="147"/>
      <c r="K842" s="3"/>
      <c r="L842" s="3"/>
      <c r="M842" s="3"/>
      <c r="N842" s="3"/>
      <c r="O842" s="3"/>
      <c r="P842" s="3"/>
      <c r="Q842" s="3"/>
      <c r="R842" s="3"/>
      <c r="S842" s="3"/>
      <c r="T842" s="3"/>
      <c r="U842" s="3"/>
      <c r="V842" s="3"/>
      <c r="W842" s="3"/>
      <c r="X842" s="3"/>
      <c r="Y842" s="3"/>
      <c r="Z842" s="3"/>
    </row>
    <row r="843" spans="1:26" ht="22.5" customHeight="1" x14ac:dyDescent="0.85">
      <c r="A843" s="166"/>
      <c r="B843" s="167"/>
      <c r="C843" s="167"/>
      <c r="D843" s="147"/>
      <c r="E843" s="147"/>
      <c r="F843" s="147"/>
      <c r="G843" s="147"/>
      <c r="H843" s="147"/>
      <c r="I843" s="147"/>
      <c r="J843" s="147"/>
      <c r="K843" s="3"/>
      <c r="L843" s="3"/>
      <c r="M843" s="3"/>
      <c r="N843" s="3"/>
      <c r="O843" s="3"/>
      <c r="P843" s="3"/>
      <c r="Q843" s="3"/>
      <c r="R843" s="3"/>
      <c r="S843" s="3"/>
      <c r="T843" s="3"/>
      <c r="U843" s="3"/>
      <c r="V843" s="3"/>
      <c r="W843" s="3"/>
      <c r="X843" s="3"/>
      <c r="Y843" s="3"/>
      <c r="Z843" s="3"/>
    </row>
    <row r="844" spans="1:26" ht="22.5" customHeight="1" x14ac:dyDescent="0.85">
      <c r="A844" s="166"/>
      <c r="B844" s="167"/>
      <c r="C844" s="167"/>
      <c r="D844" s="147"/>
      <c r="E844" s="147"/>
      <c r="F844" s="147"/>
      <c r="G844" s="147"/>
      <c r="H844" s="147"/>
      <c r="I844" s="147"/>
      <c r="J844" s="147"/>
      <c r="K844" s="3"/>
      <c r="L844" s="3"/>
      <c r="M844" s="3"/>
      <c r="N844" s="3"/>
      <c r="O844" s="3"/>
      <c r="P844" s="3"/>
      <c r="Q844" s="3"/>
      <c r="R844" s="3"/>
      <c r="S844" s="3"/>
      <c r="T844" s="3"/>
      <c r="U844" s="3"/>
      <c r="V844" s="3"/>
      <c r="W844" s="3"/>
      <c r="X844" s="3"/>
      <c r="Y844" s="3"/>
      <c r="Z844" s="3"/>
    </row>
    <row r="845" spans="1:26" ht="22.5" customHeight="1" x14ac:dyDescent="0.85">
      <c r="A845" s="166"/>
      <c r="B845" s="167"/>
      <c r="C845" s="167"/>
      <c r="D845" s="147"/>
      <c r="E845" s="147"/>
      <c r="F845" s="147"/>
      <c r="G845" s="147"/>
      <c r="H845" s="147"/>
      <c r="I845" s="147"/>
      <c r="J845" s="147"/>
      <c r="K845" s="3"/>
      <c r="L845" s="3"/>
      <c r="M845" s="3"/>
      <c r="N845" s="3"/>
      <c r="O845" s="3"/>
      <c r="P845" s="3"/>
      <c r="Q845" s="3"/>
      <c r="R845" s="3"/>
      <c r="S845" s="3"/>
      <c r="T845" s="3"/>
      <c r="U845" s="3"/>
      <c r="V845" s="3"/>
      <c r="W845" s="3"/>
      <c r="X845" s="3"/>
      <c r="Y845" s="3"/>
      <c r="Z845" s="3"/>
    </row>
    <row r="846" spans="1:26" ht="22.5" customHeight="1" x14ac:dyDescent="0.85">
      <c r="A846" s="166"/>
      <c r="B846" s="167"/>
      <c r="C846" s="167"/>
      <c r="D846" s="147"/>
      <c r="E846" s="147"/>
      <c r="F846" s="147"/>
      <c r="G846" s="147"/>
      <c r="H846" s="147"/>
      <c r="I846" s="147"/>
      <c r="J846" s="147"/>
      <c r="K846" s="3"/>
      <c r="L846" s="3"/>
      <c r="M846" s="3"/>
      <c r="N846" s="3"/>
      <c r="O846" s="3"/>
      <c r="P846" s="3"/>
      <c r="Q846" s="3"/>
      <c r="R846" s="3"/>
      <c r="S846" s="3"/>
      <c r="T846" s="3"/>
      <c r="U846" s="3"/>
      <c r="V846" s="3"/>
      <c r="W846" s="3"/>
      <c r="X846" s="3"/>
      <c r="Y846" s="3"/>
      <c r="Z846" s="3"/>
    </row>
    <row r="847" spans="1:26" ht="22.5" customHeight="1" x14ac:dyDescent="0.85">
      <c r="A847" s="166"/>
      <c r="B847" s="167"/>
      <c r="C847" s="167"/>
      <c r="D847" s="147"/>
      <c r="E847" s="147"/>
      <c r="F847" s="147"/>
      <c r="G847" s="147"/>
      <c r="H847" s="147"/>
      <c r="I847" s="147"/>
      <c r="J847" s="147"/>
      <c r="K847" s="3"/>
      <c r="L847" s="3"/>
      <c r="M847" s="3"/>
      <c r="N847" s="3"/>
      <c r="O847" s="3"/>
      <c r="P847" s="3"/>
      <c r="Q847" s="3"/>
      <c r="R847" s="3"/>
      <c r="S847" s="3"/>
      <c r="T847" s="3"/>
      <c r="U847" s="3"/>
      <c r="V847" s="3"/>
      <c r="W847" s="3"/>
      <c r="X847" s="3"/>
      <c r="Y847" s="3"/>
      <c r="Z847" s="3"/>
    </row>
    <row r="848" spans="1:26" ht="22.5" customHeight="1" x14ac:dyDescent="0.85">
      <c r="A848" s="166"/>
      <c r="B848" s="167"/>
      <c r="C848" s="167"/>
      <c r="D848" s="147"/>
      <c r="E848" s="147"/>
      <c r="F848" s="147"/>
      <c r="G848" s="147"/>
      <c r="H848" s="147"/>
      <c r="I848" s="147"/>
      <c r="J848" s="147"/>
      <c r="K848" s="3"/>
      <c r="L848" s="3"/>
      <c r="M848" s="3"/>
      <c r="N848" s="3"/>
      <c r="O848" s="3"/>
      <c r="P848" s="3"/>
      <c r="Q848" s="3"/>
      <c r="R848" s="3"/>
      <c r="S848" s="3"/>
      <c r="T848" s="3"/>
      <c r="U848" s="3"/>
      <c r="V848" s="3"/>
      <c r="W848" s="3"/>
      <c r="X848" s="3"/>
      <c r="Y848" s="3"/>
      <c r="Z848" s="3"/>
    </row>
    <row r="849" spans="1:26" ht="22.5" customHeight="1" x14ac:dyDescent="0.85">
      <c r="A849" s="166"/>
      <c r="B849" s="167"/>
      <c r="C849" s="167"/>
      <c r="D849" s="147"/>
      <c r="E849" s="147"/>
      <c r="F849" s="147"/>
      <c r="G849" s="147"/>
      <c r="H849" s="147"/>
      <c r="I849" s="147"/>
      <c r="J849" s="147"/>
      <c r="K849" s="3"/>
      <c r="L849" s="3"/>
      <c r="M849" s="3"/>
      <c r="N849" s="3"/>
      <c r="O849" s="3"/>
      <c r="P849" s="3"/>
      <c r="Q849" s="3"/>
      <c r="R849" s="3"/>
      <c r="S849" s="3"/>
      <c r="T849" s="3"/>
      <c r="U849" s="3"/>
      <c r="V849" s="3"/>
      <c r="W849" s="3"/>
      <c r="X849" s="3"/>
      <c r="Y849" s="3"/>
      <c r="Z849" s="3"/>
    </row>
    <row r="850" spans="1:26" ht="22.5" customHeight="1" x14ac:dyDescent="0.85">
      <c r="A850" s="166"/>
      <c r="B850" s="167"/>
      <c r="C850" s="167"/>
      <c r="D850" s="147"/>
      <c r="E850" s="147"/>
      <c r="F850" s="147"/>
      <c r="G850" s="147"/>
      <c r="H850" s="147"/>
      <c r="I850" s="147"/>
      <c r="J850" s="147"/>
      <c r="K850" s="3"/>
      <c r="L850" s="3"/>
      <c r="M850" s="3"/>
      <c r="N850" s="3"/>
      <c r="O850" s="3"/>
      <c r="P850" s="3"/>
      <c r="Q850" s="3"/>
      <c r="R850" s="3"/>
      <c r="S850" s="3"/>
      <c r="T850" s="3"/>
      <c r="U850" s="3"/>
      <c r="V850" s="3"/>
      <c r="W850" s="3"/>
      <c r="X850" s="3"/>
      <c r="Y850" s="3"/>
      <c r="Z850" s="3"/>
    </row>
    <row r="851" spans="1:26" ht="22.5" customHeight="1" x14ac:dyDescent="0.85">
      <c r="A851" s="166"/>
      <c r="B851" s="167"/>
      <c r="C851" s="167"/>
      <c r="D851" s="147"/>
      <c r="E851" s="147"/>
      <c r="F851" s="147"/>
      <c r="G851" s="147"/>
      <c r="H851" s="147"/>
      <c r="I851" s="147"/>
      <c r="J851" s="147"/>
      <c r="K851" s="3"/>
      <c r="L851" s="3"/>
      <c r="M851" s="3"/>
      <c r="N851" s="3"/>
      <c r="O851" s="3"/>
      <c r="P851" s="3"/>
      <c r="Q851" s="3"/>
      <c r="R851" s="3"/>
      <c r="S851" s="3"/>
      <c r="T851" s="3"/>
      <c r="U851" s="3"/>
      <c r="V851" s="3"/>
      <c r="W851" s="3"/>
      <c r="X851" s="3"/>
      <c r="Y851" s="3"/>
      <c r="Z851" s="3"/>
    </row>
    <row r="852" spans="1:26" ht="22.5" customHeight="1" x14ac:dyDescent="0.85">
      <c r="A852" s="166"/>
      <c r="B852" s="167"/>
      <c r="C852" s="167"/>
      <c r="D852" s="147"/>
      <c r="E852" s="147"/>
      <c r="F852" s="147"/>
      <c r="G852" s="147"/>
      <c r="H852" s="147"/>
      <c r="I852" s="147"/>
      <c r="J852" s="147"/>
      <c r="K852" s="3"/>
      <c r="L852" s="3"/>
      <c r="M852" s="3"/>
      <c r="N852" s="3"/>
      <c r="O852" s="3"/>
      <c r="P852" s="3"/>
      <c r="Q852" s="3"/>
      <c r="R852" s="3"/>
      <c r="S852" s="3"/>
      <c r="T852" s="3"/>
      <c r="U852" s="3"/>
      <c r="V852" s="3"/>
      <c r="W852" s="3"/>
      <c r="X852" s="3"/>
      <c r="Y852" s="3"/>
      <c r="Z852" s="3"/>
    </row>
    <row r="853" spans="1:26" ht="22.5" customHeight="1" x14ac:dyDescent="0.85">
      <c r="A853" s="166"/>
      <c r="B853" s="167"/>
      <c r="C853" s="167"/>
      <c r="D853" s="147"/>
      <c r="E853" s="147"/>
      <c r="F853" s="147"/>
      <c r="G853" s="147"/>
      <c r="H853" s="147"/>
      <c r="I853" s="147"/>
      <c r="J853" s="147"/>
      <c r="K853" s="3"/>
      <c r="L853" s="3"/>
      <c r="M853" s="3"/>
      <c r="N853" s="3"/>
      <c r="O853" s="3"/>
      <c r="P853" s="3"/>
      <c r="Q853" s="3"/>
      <c r="R853" s="3"/>
      <c r="S853" s="3"/>
      <c r="T853" s="3"/>
      <c r="U853" s="3"/>
      <c r="V853" s="3"/>
      <c r="W853" s="3"/>
      <c r="X853" s="3"/>
      <c r="Y853" s="3"/>
      <c r="Z853" s="3"/>
    </row>
    <row r="854" spans="1:26" ht="22.5" customHeight="1" x14ac:dyDescent="0.85">
      <c r="A854" s="166"/>
      <c r="B854" s="167"/>
      <c r="C854" s="167"/>
      <c r="D854" s="147"/>
      <c r="E854" s="147"/>
      <c r="F854" s="147"/>
      <c r="G854" s="147"/>
      <c r="H854" s="147"/>
      <c r="I854" s="147"/>
      <c r="J854" s="147"/>
      <c r="K854" s="3"/>
      <c r="L854" s="3"/>
      <c r="M854" s="3"/>
      <c r="N854" s="3"/>
      <c r="O854" s="3"/>
      <c r="P854" s="3"/>
      <c r="Q854" s="3"/>
      <c r="R854" s="3"/>
      <c r="S854" s="3"/>
      <c r="T854" s="3"/>
      <c r="U854" s="3"/>
      <c r="V854" s="3"/>
      <c r="W854" s="3"/>
      <c r="X854" s="3"/>
      <c r="Y854" s="3"/>
      <c r="Z854" s="3"/>
    </row>
    <row r="855" spans="1:26" ht="22.5" customHeight="1" x14ac:dyDescent="0.85">
      <c r="A855" s="166"/>
      <c r="B855" s="167"/>
      <c r="C855" s="167"/>
      <c r="D855" s="147"/>
      <c r="E855" s="147"/>
      <c r="F855" s="147"/>
      <c r="G855" s="147"/>
      <c r="H855" s="147"/>
      <c r="I855" s="147"/>
      <c r="J855" s="147"/>
      <c r="K855" s="3"/>
      <c r="L855" s="3"/>
      <c r="M855" s="3"/>
      <c r="N855" s="3"/>
      <c r="O855" s="3"/>
      <c r="P855" s="3"/>
      <c r="Q855" s="3"/>
      <c r="R855" s="3"/>
      <c r="S855" s="3"/>
      <c r="T855" s="3"/>
      <c r="U855" s="3"/>
      <c r="V855" s="3"/>
      <c r="W855" s="3"/>
      <c r="X855" s="3"/>
      <c r="Y855" s="3"/>
      <c r="Z855" s="3"/>
    </row>
    <row r="856" spans="1:26" ht="22.5" customHeight="1" x14ac:dyDescent="0.85">
      <c r="A856" s="166"/>
      <c r="B856" s="167"/>
      <c r="C856" s="167"/>
      <c r="D856" s="147"/>
      <c r="E856" s="147"/>
      <c r="F856" s="147"/>
      <c r="G856" s="147"/>
      <c r="H856" s="147"/>
      <c r="I856" s="147"/>
      <c r="J856" s="147"/>
      <c r="K856" s="3"/>
      <c r="L856" s="3"/>
      <c r="M856" s="3"/>
      <c r="N856" s="3"/>
      <c r="O856" s="3"/>
      <c r="P856" s="3"/>
      <c r="Q856" s="3"/>
      <c r="R856" s="3"/>
      <c r="S856" s="3"/>
      <c r="T856" s="3"/>
      <c r="U856" s="3"/>
      <c r="V856" s="3"/>
      <c r="W856" s="3"/>
      <c r="X856" s="3"/>
      <c r="Y856" s="3"/>
      <c r="Z856" s="3"/>
    </row>
    <row r="857" spans="1:26" ht="22.5" customHeight="1" x14ac:dyDescent="0.85">
      <c r="A857" s="166"/>
      <c r="B857" s="167"/>
      <c r="C857" s="167"/>
      <c r="D857" s="147"/>
      <c r="E857" s="147"/>
      <c r="F857" s="147"/>
      <c r="G857" s="147"/>
      <c r="H857" s="147"/>
      <c r="I857" s="147"/>
      <c r="J857" s="147"/>
      <c r="K857" s="3"/>
      <c r="L857" s="3"/>
      <c r="M857" s="3"/>
      <c r="N857" s="3"/>
      <c r="O857" s="3"/>
      <c r="P857" s="3"/>
      <c r="Q857" s="3"/>
      <c r="R857" s="3"/>
      <c r="S857" s="3"/>
      <c r="T857" s="3"/>
      <c r="U857" s="3"/>
      <c r="V857" s="3"/>
      <c r="W857" s="3"/>
      <c r="X857" s="3"/>
      <c r="Y857" s="3"/>
      <c r="Z857" s="3"/>
    </row>
    <row r="858" spans="1:26" ht="22.5" customHeight="1" x14ac:dyDescent="0.85">
      <c r="A858" s="166"/>
      <c r="B858" s="167"/>
      <c r="C858" s="167"/>
      <c r="D858" s="147"/>
      <c r="E858" s="147"/>
      <c r="F858" s="147"/>
      <c r="G858" s="147"/>
      <c r="H858" s="147"/>
      <c r="I858" s="147"/>
      <c r="J858" s="147"/>
      <c r="K858" s="3"/>
      <c r="L858" s="3"/>
      <c r="M858" s="3"/>
      <c r="N858" s="3"/>
      <c r="O858" s="3"/>
      <c r="P858" s="3"/>
      <c r="Q858" s="3"/>
      <c r="R858" s="3"/>
      <c r="S858" s="3"/>
      <c r="T858" s="3"/>
      <c r="U858" s="3"/>
      <c r="V858" s="3"/>
      <c r="W858" s="3"/>
      <c r="X858" s="3"/>
      <c r="Y858" s="3"/>
      <c r="Z858" s="3"/>
    </row>
    <row r="859" spans="1:26" ht="22.5" customHeight="1" x14ac:dyDescent="0.85">
      <c r="A859" s="166"/>
      <c r="B859" s="167"/>
      <c r="C859" s="167"/>
      <c r="D859" s="147"/>
      <c r="E859" s="147"/>
      <c r="F859" s="147"/>
      <c r="G859" s="147"/>
      <c r="H859" s="147"/>
      <c r="I859" s="147"/>
      <c r="J859" s="147"/>
      <c r="K859" s="3"/>
      <c r="L859" s="3"/>
      <c r="M859" s="3"/>
      <c r="N859" s="3"/>
      <c r="O859" s="3"/>
      <c r="P859" s="3"/>
      <c r="Q859" s="3"/>
      <c r="R859" s="3"/>
      <c r="S859" s="3"/>
      <c r="T859" s="3"/>
      <c r="U859" s="3"/>
      <c r="V859" s="3"/>
      <c r="W859" s="3"/>
      <c r="X859" s="3"/>
      <c r="Y859" s="3"/>
      <c r="Z859" s="3"/>
    </row>
    <row r="860" spans="1:26" ht="22.5" customHeight="1" x14ac:dyDescent="0.85">
      <c r="A860" s="166"/>
      <c r="B860" s="167"/>
      <c r="C860" s="167"/>
      <c r="D860" s="147"/>
      <c r="E860" s="147"/>
      <c r="F860" s="147"/>
      <c r="G860" s="147"/>
      <c r="H860" s="147"/>
      <c r="I860" s="147"/>
      <c r="J860" s="147"/>
      <c r="K860" s="3"/>
      <c r="L860" s="3"/>
      <c r="M860" s="3"/>
      <c r="N860" s="3"/>
      <c r="O860" s="3"/>
      <c r="P860" s="3"/>
      <c r="Q860" s="3"/>
      <c r="R860" s="3"/>
      <c r="S860" s="3"/>
      <c r="T860" s="3"/>
      <c r="U860" s="3"/>
      <c r="V860" s="3"/>
      <c r="W860" s="3"/>
      <c r="X860" s="3"/>
      <c r="Y860" s="3"/>
      <c r="Z860" s="3"/>
    </row>
    <row r="861" spans="1:26" ht="22.5" customHeight="1" x14ac:dyDescent="0.85">
      <c r="A861" s="166"/>
      <c r="B861" s="167"/>
      <c r="C861" s="167"/>
      <c r="D861" s="147"/>
      <c r="E861" s="147"/>
      <c r="F861" s="147"/>
      <c r="G861" s="147"/>
      <c r="H861" s="147"/>
      <c r="I861" s="147"/>
      <c r="J861" s="147"/>
      <c r="K861" s="3"/>
      <c r="L861" s="3"/>
      <c r="M861" s="3"/>
      <c r="N861" s="3"/>
      <c r="O861" s="3"/>
      <c r="P861" s="3"/>
      <c r="Q861" s="3"/>
      <c r="R861" s="3"/>
      <c r="S861" s="3"/>
      <c r="T861" s="3"/>
      <c r="U861" s="3"/>
      <c r="V861" s="3"/>
      <c r="W861" s="3"/>
      <c r="X861" s="3"/>
      <c r="Y861" s="3"/>
      <c r="Z861" s="3"/>
    </row>
    <row r="862" spans="1:26" ht="22.5" customHeight="1" x14ac:dyDescent="0.85">
      <c r="A862" s="166"/>
      <c r="B862" s="167"/>
      <c r="C862" s="167"/>
      <c r="D862" s="147"/>
      <c r="E862" s="147"/>
      <c r="F862" s="147"/>
      <c r="G862" s="147"/>
      <c r="H862" s="147"/>
      <c r="I862" s="147"/>
      <c r="J862" s="147"/>
      <c r="K862" s="3"/>
      <c r="L862" s="3"/>
      <c r="M862" s="3"/>
      <c r="N862" s="3"/>
      <c r="O862" s="3"/>
      <c r="P862" s="3"/>
      <c r="Q862" s="3"/>
      <c r="R862" s="3"/>
      <c r="S862" s="3"/>
      <c r="T862" s="3"/>
      <c r="U862" s="3"/>
      <c r="V862" s="3"/>
      <c r="W862" s="3"/>
      <c r="X862" s="3"/>
      <c r="Y862" s="3"/>
      <c r="Z862" s="3"/>
    </row>
    <row r="863" spans="1:26" ht="22.5" customHeight="1" x14ac:dyDescent="0.85">
      <c r="A863" s="166"/>
      <c r="B863" s="167"/>
      <c r="C863" s="167"/>
      <c r="D863" s="147"/>
      <c r="E863" s="147"/>
      <c r="F863" s="147"/>
      <c r="G863" s="147"/>
      <c r="H863" s="147"/>
      <c r="I863" s="147"/>
      <c r="J863" s="147"/>
      <c r="K863" s="3"/>
      <c r="L863" s="3"/>
      <c r="M863" s="3"/>
      <c r="N863" s="3"/>
      <c r="O863" s="3"/>
      <c r="P863" s="3"/>
      <c r="Q863" s="3"/>
      <c r="R863" s="3"/>
      <c r="S863" s="3"/>
      <c r="T863" s="3"/>
      <c r="U863" s="3"/>
      <c r="V863" s="3"/>
      <c r="W863" s="3"/>
      <c r="X863" s="3"/>
      <c r="Y863" s="3"/>
      <c r="Z863" s="3"/>
    </row>
    <row r="864" spans="1:26" ht="22.5" customHeight="1" x14ac:dyDescent="0.85">
      <c r="A864" s="166"/>
      <c r="B864" s="167"/>
      <c r="C864" s="167"/>
      <c r="D864" s="147"/>
      <c r="E864" s="147"/>
      <c r="F864" s="147"/>
      <c r="G864" s="147"/>
      <c r="H864" s="147"/>
      <c r="I864" s="147"/>
      <c r="J864" s="147"/>
      <c r="K864" s="3"/>
      <c r="L864" s="3"/>
      <c r="M864" s="3"/>
      <c r="N864" s="3"/>
      <c r="O864" s="3"/>
      <c r="P864" s="3"/>
      <c r="Q864" s="3"/>
      <c r="R864" s="3"/>
      <c r="S864" s="3"/>
      <c r="T864" s="3"/>
      <c r="U864" s="3"/>
      <c r="V864" s="3"/>
      <c r="W864" s="3"/>
      <c r="X864" s="3"/>
      <c r="Y864" s="3"/>
      <c r="Z864" s="3"/>
    </row>
    <row r="865" spans="1:26" ht="22.5" customHeight="1" x14ac:dyDescent="0.85">
      <c r="A865" s="166"/>
      <c r="B865" s="167"/>
      <c r="C865" s="167"/>
      <c r="D865" s="147"/>
      <c r="E865" s="147"/>
      <c r="F865" s="147"/>
      <c r="G865" s="147"/>
      <c r="H865" s="147"/>
      <c r="I865" s="147"/>
      <c r="J865" s="147"/>
      <c r="K865" s="3"/>
      <c r="L865" s="3"/>
      <c r="M865" s="3"/>
      <c r="N865" s="3"/>
      <c r="O865" s="3"/>
      <c r="P865" s="3"/>
      <c r="Q865" s="3"/>
      <c r="R865" s="3"/>
      <c r="S865" s="3"/>
      <c r="T865" s="3"/>
      <c r="U865" s="3"/>
      <c r="V865" s="3"/>
      <c r="W865" s="3"/>
      <c r="X865" s="3"/>
      <c r="Y865" s="3"/>
      <c r="Z865" s="3"/>
    </row>
    <row r="866" spans="1:26" ht="22.5" customHeight="1" x14ac:dyDescent="0.85">
      <c r="A866" s="166"/>
      <c r="B866" s="167"/>
      <c r="C866" s="167"/>
      <c r="D866" s="147"/>
      <c r="E866" s="147"/>
      <c r="F866" s="147"/>
      <c r="G866" s="147"/>
      <c r="H866" s="147"/>
      <c r="I866" s="147"/>
      <c r="J866" s="147"/>
      <c r="K866" s="3"/>
      <c r="L866" s="3"/>
      <c r="M866" s="3"/>
      <c r="N866" s="3"/>
      <c r="O866" s="3"/>
      <c r="P866" s="3"/>
      <c r="Q866" s="3"/>
      <c r="R866" s="3"/>
      <c r="S866" s="3"/>
      <c r="T866" s="3"/>
      <c r="U866" s="3"/>
      <c r="V866" s="3"/>
      <c r="W866" s="3"/>
      <c r="X866" s="3"/>
      <c r="Y866" s="3"/>
      <c r="Z866" s="3"/>
    </row>
    <row r="867" spans="1:26" ht="22.5" customHeight="1" x14ac:dyDescent="0.85">
      <c r="A867" s="166"/>
      <c r="B867" s="167"/>
      <c r="C867" s="167"/>
      <c r="D867" s="147"/>
      <c r="E867" s="147"/>
      <c r="F867" s="147"/>
      <c r="G867" s="147"/>
      <c r="H867" s="147"/>
      <c r="I867" s="147"/>
      <c r="J867" s="147"/>
      <c r="K867" s="3"/>
      <c r="L867" s="3"/>
      <c r="M867" s="3"/>
      <c r="N867" s="3"/>
      <c r="O867" s="3"/>
      <c r="P867" s="3"/>
      <c r="Q867" s="3"/>
      <c r="R867" s="3"/>
      <c r="S867" s="3"/>
      <c r="T867" s="3"/>
      <c r="U867" s="3"/>
      <c r="V867" s="3"/>
      <c r="W867" s="3"/>
      <c r="X867" s="3"/>
      <c r="Y867" s="3"/>
      <c r="Z867" s="3"/>
    </row>
    <row r="868" spans="1:26" ht="22.5" customHeight="1" x14ac:dyDescent="0.85">
      <c r="A868" s="166"/>
      <c r="B868" s="167"/>
      <c r="C868" s="167"/>
      <c r="D868" s="147"/>
      <c r="E868" s="147"/>
      <c r="F868" s="147"/>
      <c r="G868" s="147"/>
      <c r="H868" s="147"/>
      <c r="I868" s="147"/>
      <c r="J868" s="147"/>
      <c r="K868" s="3"/>
      <c r="L868" s="3"/>
      <c r="M868" s="3"/>
      <c r="N868" s="3"/>
      <c r="O868" s="3"/>
      <c r="P868" s="3"/>
      <c r="Q868" s="3"/>
      <c r="R868" s="3"/>
      <c r="S868" s="3"/>
      <c r="T868" s="3"/>
      <c r="U868" s="3"/>
      <c r="V868" s="3"/>
      <c r="W868" s="3"/>
      <c r="X868" s="3"/>
      <c r="Y868" s="3"/>
      <c r="Z868" s="3"/>
    </row>
    <row r="869" spans="1:26" ht="22.5" customHeight="1" x14ac:dyDescent="0.85">
      <c r="A869" s="166"/>
      <c r="B869" s="167"/>
      <c r="C869" s="167"/>
      <c r="D869" s="147"/>
      <c r="E869" s="147"/>
      <c r="F869" s="147"/>
      <c r="G869" s="147"/>
      <c r="H869" s="147"/>
      <c r="I869" s="147"/>
      <c r="J869" s="147"/>
      <c r="K869" s="3"/>
      <c r="L869" s="3"/>
      <c r="M869" s="3"/>
      <c r="N869" s="3"/>
      <c r="O869" s="3"/>
      <c r="P869" s="3"/>
      <c r="Q869" s="3"/>
      <c r="R869" s="3"/>
      <c r="S869" s="3"/>
      <c r="T869" s="3"/>
      <c r="U869" s="3"/>
      <c r="V869" s="3"/>
      <c r="W869" s="3"/>
      <c r="X869" s="3"/>
      <c r="Y869" s="3"/>
      <c r="Z869" s="3"/>
    </row>
    <row r="870" spans="1:26" ht="22.5" customHeight="1" x14ac:dyDescent="0.85">
      <c r="A870" s="166"/>
      <c r="B870" s="167"/>
      <c r="C870" s="167"/>
      <c r="D870" s="147"/>
      <c r="E870" s="147"/>
      <c r="F870" s="147"/>
      <c r="G870" s="147"/>
      <c r="H870" s="147"/>
      <c r="I870" s="147"/>
      <c r="J870" s="147"/>
      <c r="K870" s="3"/>
      <c r="L870" s="3"/>
      <c r="M870" s="3"/>
      <c r="N870" s="3"/>
      <c r="O870" s="3"/>
      <c r="P870" s="3"/>
      <c r="Q870" s="3"/>
      <c r="R870" s="3"/>
      <c r="S870" s="3"/>
      <c r="T870" s="3"/>
      <c r="U870" s="3"/>
      <c r="V870" s="3"/>
      <c r="W870" s="3"/>
      <c r="X870" s="3"/>
      <c r="Y870" s="3"/>
      <c r="Z870" s="3"/>
    </row>
    <row r="871" spans="1:26" ht="22.5" customHeight="1" x14ac:dyDescent="0.85">
      <c r="A871" s="166"/>
      <c r="B871" s="167"/>
      <c r="C871" s="167"/>
      <c r="D871" s="147"/>
      <c r="E871" s="147"/>
      <c r="F871" s="147"/>
      <c r="G871" s="147"/>
      <c r="H871" s="147"/>
      <c r="I871" s="147"/>
      <c r="J871" s="147"/>
      <c r="K871" s="3"/>
      <c r="L871" s="3"/>
      <c r="M871" s="3"/>
      <c r="N871" s="3"/>
      <c r="O871" s="3"/>
      <c r="P871" s="3"/>
      <c r="Q871" s="3"/>
      <c r="R871" s="3"/>
      <c r="S871" s="3"/>
      <c r="T871" s="3"/>
      <c r="U871" s="3"/>
      <c r="V871" s="3"/>
      <c r="W871" s="3"/>
      <c r="X871" s="3"/>
      <c r="Y871" s="3"/>
      <c r="Z871" s="3"/>
    </row>
    <row r="872" spans="1:26" ht="22.5" customHeight="1" x14ac:dyDescent="0.85">
      <c r="A872" s="166"/>
      <c r="B872" s="167"/>
      <c r="C872" s="167"/>
      <c r="D872" s="147"/>
      <c r="E872" s="147"/>
      <c r="F872" s="147"/>
      <c r="G872" s="147"/>
      <c r="H872" s="147"/>
      <c r="I872" s="147"/>
      <c r="J872" s="147"/>
      <c r="K872" s="3"/>
      <c r="L872" s="3"/>
      <c r="M872" s="3"/>
      <c r="N872" s="3"/>
      <c r="O872" s="3"/>
      <c r="P872" s="3"/>
      <c r="Q872" s="3"/>
      <c r="R872" s="3"/>
      <c r="S872" s="3"/>
      <c r="T872" s="3"/>
      <c r="U872" s="3"/>
      <c r="V872" s="3"/>
      <c r="W872" s="3"/>
      <c r="X872" s="3"/>
      <c r="Y872" s="3"/>
      <c r="Z872" s="3"/>
    </row>
    <row r="873" spans="1:26" ht="22.5" customHeight="1" x14ac:dyDescent="0.85">
      <c r="A873" s="166"/>
      <c r="B873" s="167"/>
      <c r="C873" s="167"/>
      <c r="D873" s="147"/>
      <c r="E873" s="147"/>
      <c r="F873" s="147"/>
      <c r="G873" s="147"/>
      <c r="H873" s="147"/>
      <c r="I873" s="147"/>
      <c r="J873" s="147"/>
      <c r="K873" s="3"/>
      <c r="L873" s="3"/>
      <c r="M873" s="3"/>
      <c r="N873" s="3"/>
      <c r="O873" s="3"/>
      <c r="P873" s="3"/>
      <c r="Q873" s="3"/>
      <c r="R873" s="3"/>
      <c r="S873" s="3"/>
      <c r="T873" s="3"/>
      <c r="U873" s="3"/>
      <c r="V873" s="3"/>
      <c r="W873" s="3"/>
      <c r="X873" s="3"/>
      <c r="Y873" s="3"/>
      <c r="Z873" s="3"/>
    </row>
    <row r="874" spans="1:26" ht="22.5" customHeight="1" x14ac:dyDescent="0.85">
      <c r="A874" s="166"/>
      <c r="B874" s="167"/>
      <c r="C874" s="167"/>
      <c r="D874" s="147"/>
      <c r="E874" s="147"/>
      <c r="F874" s="147"/>
      <c r="G874" s="147"/>
      <c r="H874" s="147"/>
      <c r="I874" s="147"/>
      <c r="J874" s="147"/>
      <c r="K874" s="3"/>
      <c r="L874" s="3"/>
      <c r="M874" s="3"/>
      <c r="N874" s="3"/>
      <c r="O874" s="3"/>
      <c r="P874" s="3"/>
      <c r="Q874" s="3"/>
      <c r="R874" s="3"/>
      <c r="S874" s="3"/>
      <c r="T874" s="3"/>
      <c r="U874" s="3"/>
      <c r="V874" s="3"/>
      <c r="W874" s="3"/>
      <c r="X874" s="3"/>
      <c r="Y874" s="3"/>
      <c r="Z874" s="3"/>
    </row>
    <row r="875" spans="1:26" ht="22.5" customHeight="1" x14ac:dyDescent="0.85">
      <c r="A875" s="166"/>
      <c r="B875" s="167"/>
      <c r="C875" s="167"/>
      <c r="D875" s="147"/>
      <c r="E875" s="147"/>
      <c r="F875" s="147"/>
      <c r="G875" s="147"/>
      <c r="H875" s="147"/>
      <c r="I875" s="147"/>
      <c r="J875" s="147"/>
      <c r="K875" s="3"/>
      <c r="L875" s="3"/>
      <c r="M875" s="3"/>
      <c r="N875" s="3"/>
      <c r="O875" s="3"/>
      <c r="P875" s="3"/>
      <c r="Q875" s="3"/>
      <c r="R875" s="3"/>
      <c r="S875" s="3"/>
      <c r="T875" s="3"/>
      <c r="U875" s="3"/>
      <c r="V875" s="3"/>
      <c r="W875" s="3"/>
      <c r="X875" s="3"/>
      <c r="Y875" s="3"/>
      <c r="Z875" s="3"/>
    </row>
    <row r="876" spans="1:26" ht="22.5" customHeight="1" x14ac:dyDescent="0.85">
      <c r="A876" s="166"/>
      <c r="B876" s="167"/>
      <c r="C876" s="167"/>
      <c r="D876" s="147"/>
      <c r="E876" s="147"/>
      <c r="F876" s="147"/>
      <c r="G876" s="147"/>
      <c r="H876" s="147"/>
      <c r="I876" s="147"/>
      <c r="J876" s="147"/>
      <c r="K876" s="3"/>
      <c r="L876" s="3"/>
      <c r="M876" s="3"/>
      <c r="N876" s="3"/>
      <c r="O876" s="3"/>
      <c r="P876" s="3"/>
      <c r="Q876" s="3"/>
      <c r="R876" s="3"/>
      <c r="S876" s="3"/>
      <c r="T876" s="3"/>
      <c r="U876" s="3"/>
      <c r="V876" s="3"/>
      <c r="W876" s="3"/>
      <c r="X876" s="3"/>
      <c r="Y876" s="3"/>
      <c r="Z876" s="3"/>
    </row>
    <row r="877" spans="1:26" ht="22.5" customHeight="1" x14ac:dyDescent="0.85">
      <c r="A877" s="166"/>
      <c r="B877" s="167"/>
      <c r="C877" s="167"/>
      <c r="D877" s="147"/>
      <c r="E877" s="147"/>
      <c r="F877" s="147"/>
      <c r="G877" s="147"/>
      <c r="H877" s="147"/>
      <c r="I877" s="147"/>
      <c r="J877" s="147"/>
      <c r="K877" s="3"/>
      <c r="L877" s="3"/>
      <c r="M877" s="3"/>
      <c r="N877" s="3"/>
      <c r="O877" s="3"/>
      <c r="P877" s="3"/>
      <c r="Q877" s="3"/>
      <c r="R877" s="3"/>
      <c r="S877" s="3"/>
      <c r="T877" s="3"/>
      <c r="U877" s="3"/>
      <c r="V877" s="3"/>
      <c r="W877" s="3"/>
      <c r="X877" s="3"/>
      <c r="Y877" s="3"/>
      <c r="Z877" s="3"/>
    </row>
    <row r="878" spans="1:26" ht="22.5" customHeight="1" x14ac:dyDescent="0.85">
      <c r="A878" s="166"/>
      <c r="B878" s="167"/>
      <c r="C878" s="167"/>
      <c r="D878" s="147"/>
      <c r="E878" s="147"/>
      <c r="F878" s="147"/>
      <c r="G878" s="147"/>
      <c r="H878" s="147"/>
      <c r="I878" s="147"/>
      <c r="J878" s="147"/>
      <c r="K878" s="3"/>
      <c r="L878" s="3"/>
      <c r="M878" s="3"/>
      <c r="N878" s="3"/>
      <c r="O878" s="3"/>
      <c r="P878" s="3"/>
      <c r="Q878" s="3"/>
      <c r="R878" s="3"/>
      <c r="S878" s="3"/>
      <c r="T878" s="3"/>
      <c r="U878" s="3"/>
      <c r="V878" s="3"/>
      <c r="W878" s="3"/>
      <c r="X878" s="3"/>
      <c r="Y878" s="3"/>
      <c r="Z878" s="3"/>
    </row>
    <row r="879" spans="1:26" ht="22.5" customHeight="1" x14ac:dyDescent="0.85">
      <c r="A879" s="166"/>
      <c r="B879" s="167"/>
      <c r="C879" s="167"/>
      <c r="D879" s="147"/>
      <c r="E879" s="147"/>
      <c r="F879" s="147"/>
      <c r="G879" s="147"/>
      <c r="H879" s="147"/>
      <c r="I879" s="147"/>
      <c r="J879" s="147"/>
      <c r="K879" s="3"/>
      <c r="L879" s="3"/>
      <c r="M879" s="3"/>
      <c r="N879" s="3"/>
      <c r="O879" s="3"/>
      <c r="P879" s="3"/>
      <c r="Q879" s="3"/>
      <c r="R879" s="3"/>
      <c r="S879" s="3"/>
      <c r="T879" s="3"/>
      <c r="U879" s="3"/>
      <c r="V879" s="3"/>
      <c r="W879" s="3"/>
      <c r="X879" s="3"/>
      <c r="Y879" s="3"/>
      <c r="Z879" s="3"/>
    </row>
    <row r="880" spans="1:26" ht="22.5" customHeight="1" x14ac:dyDescent="0.85">
      <c r="A880" s="166"/>
      <c r="B880" s="167"/>
      <c r="C880" s="167"/>
      <c r="D880" s="147"/>
      <c r="E880" s="147"/>
      <c r="F880" s="147"/>
      <c r="G880" s="147"/>
      <c r="H880" s="147"/>
      <c r="I880" s="147"/>
      <c r="J880" s="147"/>
      <c r="K880" s="3"/>
      <c r="L880" s="3"/>
      <c r="M880" s="3"/>
      <c r="N880" s="3"/>
      <c r="O880" s="3"/>
      <c r="P880" s="3"/>
      <c r="Q880" s="3"/>
      <c r="R880" s="3"/>
      <c r="S880" s="3"/>
      <c r="T880" s="3"/>
      <c r="U880" s="3"/>
      <c r="V880" s="3"/>
      <c r="W880" s="3"/>
      <c r="X880" s="3"/>
      <c r="Y880" s="3"/>
      <c r="Z880" s="3"/>
    </row>
    <row r="881" spans="1:26" ht="22.5" customHeight="1" x14ac:dyDescent="0.85">
      <c r="A881" s="166"/>
      <c r="B881" s="167"/>
      <c r="C881" s="167"/>
      <c r="D881" s="147"/>
      <c r="E881" s="147"/>
      <c r="F881" s="147"/>
      <c r="G881" s="147"/>
      <c r="H881" s="147"/>
      <c r="I881" s="147"/>
      <c r="J881" s="147"/>
      <c r="K881" s="3"/>
      <c r="L881" s="3"/>
      <c r="M881" s="3"/>
      <c r="N881" s="3"/>
      <c r="O881" s="3"/>
      <c r="P881" s="3"/>
      <c r="Q881" s="3"/>
      <c r="R881" s="3"/>
      <c r="S881" s="3"/>
      <c r="T881" s="3"/>
      <c r="U881" s="3"/>
      <c r="V881" s="3"/>
      <c r="W881" s="3"/>
      <c r="X881" s="3"/>
      <c r="Y881" s="3"/>
      <c r="Z881" s="3"/>
    </row>
    <row r="882" spans="1:26" ht="22.5" customHeight="1" x14ac:dyDescent="0.85">
      <c r="A882" s="166"/>
      <c r="B882" s="167"/>
      <c r="C882" s="167"/>
      <c r="D882" s="147"/>
      <c r="E882" s="147"/>
      <c r="F882" s="147"/>
      <c r="G882" s="147"/>
      <c r="H882" s="147"/>
      <c r="I882" s="147"/>
      <c r="J882" s="147"/>
      <c r="K882" s="3"/>
      <c r="L882" s="3"/>
      <c r="M882" s="3"/>
      <c r="N882" s="3"/>
      <c r="O882" s="3"/>
      <c r="P882" s="3"/>
      <c r="Q882" s="3"/>
      <c r="R882" s="3"/>
      <c r="S882" s="3"/>
      <c r="T882" s="3"/>
      <c r="U882" s="3"/>
      <c r="V882" s="3"/>
      <c r="W882" s="3"/>
      <c r="X882" s="3"/>
      <c r="Y882" s="3"/>
      <c r="Z882" s="3"/>
    </row>
    <row r="883" spans="1:26" ht="22.5" customHeight="1" x14ac:dyDescent="0.85">
      <c r="A883" s="166"/>
      <c r="B883" s="167"/>
      <c r="C883" s="167"/>
      <c r="D883" s="147"/>
      <c r="E883" s="147"/>
      <c r="F883" s="147"/>
      <c r="G883" s="147"/>
      <c r="H883" s="147"/>
      <c r="I883" s="147"/>
      <c r="J883" s="147"/>
      <c r="K883" s="3"/>
      <c r="L883" s="3"/>
      <c r="M883" s="3"/>
      <c r="N883" s="3"/>
      <c r="O883" s="3"/>
      <c r="P883" s="3"/>
      <c r="Q883" s="3"/>
      <c r="R883" s="3"/>
      <c r="S883" s="3"/>
      <c r="T883" s="3"/>
      <c r="U883" s="3"/>
      <c r="V883" s="3"/>
      <c r="W883" s="3"/>
      <c r="X883" s="3"/>
      <c r="Y883" s="3"/>
      <c r="Z883" s="3"/>
    </row>
    <row r="884" spans="1:26" ht="22.5" customHeight="1" x14ac:dyDescent="0.85">
      <c r="A884" s="166"/>
      <c r="B884" s="167"/>
      <c r="C884" s="167"/>
      <c r="D884" s="147"/>
      <c r="E884" s="147"/>
      <c r="F884" s="147"/>
      <c r="G884" s="147"/>
      <c r="H884" s="147"/>
      <c r="I884" s="147"/>
      <c r="J884" s="147"/>
      <c r="K884" s="3"/>
      <c r="L884" s="3"/>
      <c r="M884" s="3"/>
      <c r="N884" s="3"/>
      <c r="O884" s="3"/>
      <c r="P884" s="3"/>
      <c r="Q884" s="3"/>
      <c r="R884" s="3"/>
      <c r="S884" s="3"/>
      <c r="T884" s="3"/>
      <c r="U884" s="3"/>
      <c r="V884" s="3"/>
      <c r="W884" s="3"/>
      <c r="X884" s="3"/>
      <c r="Y884" s="3"/>
      <c r="Z884" s="3"/>
    </row>
    <row r="885" spans="1:26" ht="22.5" customHeight="1" x14ac:dyDescent="0.85">
      <c r="A885" s="166"/>
      <c r="B885" s="167"/>
      <c r="C885" s="167"/>
      <c r="D885" s="147"/>
      <c r="E885" s="147"/>
      <c r="F885" s="147"/>
      <c r="G885" s="147"/>
      <c r="H885" s="147"/>
      <c r="I885" s="147"/>
      <c r="J885" s="147"/>
      <c r="K885" s="3"/>
      <c r="L885" s="3"/>
      <c r="M885" s="3"/>
      <c r="N885" s="3"/>
      <c r="O885" s="3"/>
      <c r="P885" s="3"/>
      <c r="Q885" s="3"/>
      <c r="R885" s="3"/>
      <c r="S885" s="3"/>
      <c r="T885" s="3"/>
      <c r="U885" s="3"/>
      <c r="V885" s="3"/>
      <c r="W885" s="3"/>
      <c r="X885" s="3"/>
      <c r="Y885" s="3"/>
      <c r="Z885" s="3"/>
    </row>
    <row r="886" spans="1:26" ht="22.5" customHeight="1" x14ac:dyDescent="0.85">
      <c r="A886" s="166"/>
      <c r="B886" s="167"/>
      <c r="C886" s="167"/>
      <c r="D886" s="147"/>
      <c r="E886" s="147"/>
      <c r="F886" s="147"/>
      <c r="G886" s="147"/>
      <c r="H886" s="147"/>
      <c r="I886" s="147"/>
      <c r="J886" s="147"/>
      <c r="K886" s="3"/>
      <c r="L886" s="3"/>
      <c r="M886" s="3"/>
      <c r="N886" s="3"/>
      <c r="O886" s="3"/>
      <c r="P886" s="3"/>
      <c r="Q886" s="3"/>
      <c r="R886" s="3"/>
      <c r="S886" s="3"/>
      <c r="T886" s="3"/>
      <c r="U886" s="3"/>
      <c r="V886" s="3"/>
      <c r="W886" s="3"/>
      <c r="X886" s="3"/>
      <c r="Y886" s="3"/>
      <c r="Z886" s="3"/>
    </row>
    <row r="887" spans="1:26" ht="22.5" customHeight="1" x14ac:dyDescent="0.85">
      <c r="A887" s="166"/>
      <c r="B887" s="167"/>
      <c r="C887" s="167"/>
      <c r="D887" s="147"/>
      <c r="E887" s="147"/>
      <c r="F887" s="147"/>
      <c r="G887" s="147"/>
      <c r="H887" s="147"/>
      <c r="I887" s="147"/>
      <c r="J887" s="147"/>
      <c r="K887" s="3"/>
      <c r="L887" s="3"/>
      <c r="M887" s="3"/>
      <c r="N887" s="3"/>
      <c r="O887" s="3"/>
      <c r="P887" s="3"/>
      <c r="Q887" s="3"/>
      <c r="R887" s="3"/>
      <c r="S887" s="3"/>
      <c r="T887" s="3"/>
      <c r="U887" s="3"/>
      <c r="V887" s="3"/>
      <c r="W887" s="3"/>
      <c r="X887" s="3"/>
      <c r="Y887" s="3"/>
      <c r="Z887" s="3"/>
    </row>
    <row r="888" spans="1:26" ht="22.5" customHeight="1" x14ac:dyDescent="0.85">
      <c r="A888" s="166"/>
      <c r="B888" s="167"/>
      <c r="C888" s="167"/>
      <c r="D888" s="147"/>
      <c r="E888" s="147"/>
      <c r="F888" s="147"/>
      <c r="G888" s="147"/>
      <c r="H888" s="147"/>
      <c r="I888" s="147"/>
      <c r="J888" s="147"/>
      <c r="K888" s="3"/>
      <c r="L888" s="3"/>
      <c r="M888" s="3"/>
      <c r="N888" s="3"/>
      <c r="O888" s="3"/>
      <c r="P888" s="3"/>
      <c r="Q888" s="3"/>
      <c r="R888" s="3"/>
      <c r="S888" s="3"/>
      <c r="T888" s="3"/>
      <c r="U888" s="3"/>
      <c r="V888" s="3"/>
      <c r="W888" s="3"/>
      <c r="X888" s="3"/>
      <c r="Y888" s="3"/>
      <c r="Z888" s="3"/>
    </row>
    <row r="889" spans="1:26" ht="22.5" customHeight="1" x14ac:dyDescent="0.85">
      <c r="A889" s="166"/>
      <c r="B889" s="167"/>
      <c r="C889" s="167"/>
      <c r="D889" s="147"/>
      <c r="E889" s="147"/>
      <c r="F889" s="147"/>
      <c r="G889" s="147"/>
      <c r="H889" s="147"/>
      <c r="I889" s="147"/>
      <c r="J889" s="147"/>
      <c r="K889" s="3"/>
      <c r="L889" s="3"/>
      <c r="M889" s="3"/>
      <c r="N889" s="3"/>
      <c r="O889" s="3"/>
      <c r="P889" s="3"/>
      <c r="Q889" s="3"/>
      <c r="R889" s="3"/>
      <c r="S889" s="3"/>
      <c r="T889" s="3"/>
      <c r="U889" s="3"/>
      <c r="V889" s="3"/>
      <c r="W889" s="3"/>
      <c r="X889" s="3"/>
      <c r="Y889" s="3"/>
      <c r="Z889" s="3"/>
    </row>
    <row r="890" spans="1:26" ht="22.5" customHeight="1" x14ac:dyDescent="0.85">
      <c r="A890" s="166"/>
      <c r="B890" s="167"/>
      <c r="C890" s="167"/>
      <c r="D890" s="147"/>
      <c r="E890" s="147"/>
      <c r="F890" s="147"/>
      <c r="G890" s="147"/>
      <c r="H890" s="147"/>
      <c r="I890" s="147"/>
      <c r="J890" s="147"/>
      <c r="K890" s="3"/>
      <c r="L890" s="3"/>
      <c r="M890" s="3"/>
      <c r="N890" s="3"/>
      <c r="O890" s="3"/>
      <c r="P890" s="3"/>
      <c r="Q890" s="3"/>
      <c r="R890" s="3"/>
      <c r="S890" s="3"/>
      <c r="T890" s="3"/>
      <c r="U890" s="3"/>
      <c r="V890" s="3"/>
      <c r="W890" s="3"/>
      <c r="X890" s="3"/>
      <c r="Y890" s="3"/>
      <c r="Z890" s="3"/>
    </row>
    <row r="891" spans="1:26" ht="22.5" customHeight="1" x14ac:dyDescent="0.85">
      <c r="A891" s="166"/>
      <c r="B891" s="167"/>
      <c r="C891" s="167"/>
      <c r="D891" s="147"/>
      <c r="E891" s="147"/>
      <c r="F891" s="147"/>
      <c r="G891" s="147"/>
      <c r="H891" s="147"/>
      <c r="I891" s="147"/>
      <c r="J891" s="147"/>
      <c r="K891" s="3"/>
      <c r="L891" s="3"/>
      <c r="M891" s="3"/>
      <c r="N891" s="3"/>
      <c r="O891" s="3"/>
      <c r="P891" s="3"/>
      <c r="Q891" s="3"/>
      <c r="R891" s="3"/>
      <c r="S891" s="3"/>
      <c r="T891" s="3"/>
      <c r="U891" s="3"/>
      <c r="V891" s="3"/>
      <c r="W891" s="3"/>
      <c r="X891" s="3"/>
      <c r="Y891" s="3"/>
      <c r="Z891" s="3"/>
    </row>
    <row r="892" spans="1:26" ht="22.5" customHeight="1" x14ac:dyDescent="0.85">
      <c r="A892" s="166"/>
      <c r="B892" s="167"/>
      <c r="C892" s="167"/>
      <c r="D892" s="147"/>
      <c r="E892" s="147"/>
      <c r="F892" s="147"/>
      <c r="G892" s="147"/>
      <c r="H892" s="147"/>
      <c r="I892" s="147"/>
      <c r="J892" s="147"/>
      <c r="K892" s="3"/>
      <c r="L892" s="3"/>
      <c r="M892" s="3"/>
      <c r="N892" s="3"/>
      <c r="O892" s="3"/>
      <c r="P892" s="3"/>
      <c r="Q892" s="3"/>
      <c r="R892" s="3"/>
      <c r="S892" s="3"/>
      <c r="T892" s="3"/>
      <c r="U892" s="3"/>
      <c r="V892" s="3"/>
      <c r="W892" s="3"/>
      <c r="X892" s="3"/>
      <c r="Y892" s="3"/>
      <c r="Z892" s="3"/>
    </row>
    <row r="893" spans="1:26" ht="22.5" customHeight="1" x14ac:dyDescent="0.85">
      <c r="A893" s="166"/>
      <c r="B893" s="167"/>
      <c r="C893" s="167"/>
      <c r="D893" s="147"/>
      <c r="E893" s="147"/>
      <c r="F893" s="147"/>
      <c r="G893" s="147"/>
      <c r="H893" s="147"/>
      <c r="I893" s="147"/>
      <c r="J893" s="147"/>
      <c r="K893" s="3"/>
      <c r="L893" s="3"/>
      <c r="M893" s="3"/>
      <c r="N893" s="3"/>
      <c r="O893" s="3"/>
      <c r="P893" s="3"/>
      <c r="Q893" s="3"/>
      <c r="R893" s="3"/>
      <c r="S893" s="3"/>
      <c r="T893" s="3"/>
      <c r="U893" s="3"/>
      <c r="V893" s="3"/>
      <c r="W893" s="3"/>
      <c r="X893" s="3"/>
      <c r="Y893" s="3"/>
      <c r="Z893" s="3"/>
    </row>
    <row r="894" spans="1:26" ht="22.5" customHeight="1" x14ac:dyDescent="0.85">
      <c r="A894" s="166"/>
      <c r="B894" s="167"/>
      <c r="C894" s="167"/>
      <c r="D894" s="147"/>
      <c r="E894" s="147"/>
      <c r="F894" s="147"/>
      <c r="G894" s="147"/>
      <c r="H894" s="147"/>
      <c r="I894" s="147"/>
      <c r="J894" s="147"/>
      <c r="K894" s="3"/>
      <c r="L894" s="3"/>
      <c r="M894" s="3"/>
      <c r="N894" s="3"/>
      <c r="O894" s="3"/>
      <c r="P894" s="3"/>
      <c r="Q894" s="3"/>
      <c r="R894" s="3"/>
      <c r="S894" s="3"/>
      <c r="T894" s="3"/>
      <c r="U894" s="3"/>
      <c r="V894" s="3"/>
      <c r="W894" s="3"/>
      <c r="X894" s="3"/>
      <c r="Y894" s="3"/>
      <c r="Z894" s="3"/>
    </row>
    <row r="895" spans="1:26" ht="22.5" customHeight="1" x14ac:dyDescent="0.85">
      <c r="A895" s="166"/>
      <c r="B895" s="167"/>
      <c r="C895" s="167"/>
      <c r="D895" s="147"/>
      <c r="E895" s="147"/>
      <c r="F895" s="147"/>
      <c r="G895" s="147"/>
      <c r="H895" s="147"/>
      <c r="I895" s="147"/>
      <c r="J895" s="147"/>
      <c r="K895" s="3"/>
      <c r="L895" s="3"/>
      <c r="M895" s="3"/>
      <c r="N895" s="3"/>
      <c r="O895" s="3"/>
      <c r="P895" s="3"/>
      <c r="Q895" s="3"/>
      <c r="R895" s="3"/>
      <c r="S895" s="3"/>
      <c r="T895" s="3"/>
      <c r="U895" s="3"/>
      <c r="V895" s="3"/>
      <c r="W895" s="3"/>
      <c r="X895" s="3"/>
      <c r="Y895" s="3"/>
      <c r="Z895" s="3"/>
    </row>
    <row r="896" spans="1:26" ht="22.5" customHeight="1" x14ac:dyDescent="0.85">
      <c r="A896" s="166"/>
      <c r="B896" s="167"/>
      <c r="C896" s="167"/>
      <c r="D896" s="147"/>
      <c r="E896" s="147"/>
      <c r="F896" s="147"/>
      <c r="G896" s="147"/>
      <c r="H896" s="147"/>
      <c r="I896" s="147"/>
      <c r="J896" s="147"/>
      <c r="K896" s="3"/>
      <c r="L896" s="3"/>
      <c r="M896" s="3"/>
      <c r="N896" s="3"/>
      <c r="O896" s="3"/>
      <c r="P896" s="3"/>
      <c r="Q896" s="3"/>
      <c r="R896" s="3"/>
      <c r="S896" s="3"/>
      <c r="T896" s="3"/>
      <c r="U896" s="3"/>
      <c r="V896" s="3"/>
      <c r="W896" s="3"/>
      <c r="X896" s="3"/>
      <c r="Y896" s="3"/>
      <c r="Z896" s="3"/>
    </row>
    <row r="897" spans="1:26" ht="22.5" customHeight="1" x14ac:dyDescent="0.85">
      <c r="A897" s="166"/>
      <c r="B897" s="167"/>
      <c r="C897" s="167"/>
      <c r="D897" s="147"/>
      <c r="E897" s="147"/>
      <c r="F897" s="147"/>
      <c r="G897" s="147"/>
      <c r="H897" s="147"/>
      <c r="I897" s="147"/>
      <c r="J897" s="147"/>
      <c r="K897" s="3"/>
      <c r="L897" s="3"/>
      <c r="M897" s="3"/>
      <c r="N897" s="3"/>
      <c r="O897" s="3"/>
      <c r="P897" s="3"/>
      <c r="Q897" s="3"/>
      <c r="R897" s="3"/>
      <c r="S897" s="3"/>
      <c r="T897" s="3"/>
      <c r="U897" s="3"/>
      <c r="V897" s="3"/>
      <c r="W897" s="3"/>
      <c r="X897" s="3"/>
      <c r="Y897" s="3"/>
      <c r="Z897" s="3"/>
    </row>
    <row r="898" spans="1:26" ht="22.5" customHeight="1" x14ac:dyDescent="0.85">
      <c r="A898" s="166"/>
      <c r="B898" s="167"/>
      <c r="C898" s="167"/>
      <c r="D898" s="147"/>
      <c r="E898" s="147"/>
      <c r="F898" s="147"/>
      <c r="G898" s="147"/>
      <c r="H898" s="147"/>
      <c r="I898" s="147"/>
      <c r="J898" s="147"/>
      <c r="K898" s="3"/>
      <c r="L898" s="3"/>
      <c r="M898" s="3"/>
      <c r="N898" s="3"/>
      <c r="O898" s="3"/>
      <c r="P898" s="3"/>
      <c r="Q898" s="3"/>
      <c r="R898" s="3"/>
      <c r="S898" s="3"/>
      <c r="T898" s="3"/>
      <c r="U898" s="3"/>
      <c r="V898" s="3"/>
      <c r="W898" s="3"/>
      <c r="X898" s="3"/>
      <c r="Y898" s="3"/>
      <c r="Z898" s="3"/>
    </row>
    <row r="899" spans="1:26" ht="22.5" customHeight="1" x14ac:dyDescent="0.85">
      <c r="A899" s="166"/>
      <c r="B899" s="167"/>
      <c r="C899" s="167"/>
      <c r="D899" s="147"/>
      <c r="E899" s="147"/>
      <c r="F899" s="147"/>
      <c r="G899" s="147"/>
      <c r="H899" s="147"/>
      <c r="I899" s="147"/>
      <c r="J899" s="147"/>
      <c r="K899" s="3"/>
      <c r="L899" s="3"/>
      <c r="M899" s="3"/>
      <c r="N899" s="3"/>
      <c r="O899" s="3"/>
      <c r="P899" s="3"/>
      <c r="Q899" s="3"/>
      <c r="R899" s="3"/>
      <c r="S899" s="3"/>
      <c r="T899" s="3"/>
      <c r="U899" s="3"/>
      <c r="V899" s="3"/>
      <c r="W899" s="3"/>
      <c r="X899" s="3"/>
      <c r="Y899" s="3"/>
      <c r="Z899" s="3"/>
    </row>
    <row r="900" spans="1:26" ht="22.5" customHeight="1" x14ac:dyDescent="0.85">
      <c r="A900" s="166"/>
      <c r="B900" s="167"/>
      <c r="C900" s="167"/>
      <c r="D900" s="147"/>
      <c r="E900" s="147"/>
      <c r="F900" s="147"/>
      <c r="G900" s="147"/>
      <c r="H900" s="147"/>
      <c r="I900" s="147"/>
      <c r="J900" s="147"/>
      <c r="K900" s="3"/>
      <c r="L900" s="3"/>
      <c r="M900" s="3"/>
      <c r="N900" s="3"/>
      <c r="O900" s="3"/>
      <c r="P900" s="3"/>
      <c r="Q900" s="3"/>
      <c r="R900" s="3"/>
      <c r="S900" s="3"/>
      <c r="T900" s="3"/>
      <c r="U900" s="3"/>
      <c r="V900" s="3"/>
      <c r="W900" s="3"/>
      <c r="X900" s="3"/>
      <c r="Y900" s="3"/>
      <c r="Z900" s="3"/>
    </row>
    <row r="901" spans="1:26" ht="22.5" customHeight="1" x14ac:dyDescent="0.85">
      <c r="A901" s="166"/>
      <c r="B901" s="167"/>
      <c r="C901" s="167"/>
      <c r="D901" s="147"/>
      <c r="E901" s="147"/>
      <c r="F901" s="147"/>
      <c r="G901" s="147"/>
      <c r="H901" s="147"/>
      <c r="I901" s="147"/>
      <c r="J901" s="147"/>
      <c r="K901" s="3"/>
      <c r="L901" s="3"/>
      <c r="M901" s="3"/>
      <c r="N901" s="3"/>
      <c r="O901" s="3"/>
      <c r="P901" s="3"/>
      <c r="Q901" s="3"/>
      <c r="R901" s="3"/>
      <c r="S901" s="3"/>
      <c r="T901" s="3"/>
      <c r="U901" s="3"/>
      <c r="V901" s="3"/>
      <c r="W901" s="3"/>
      <c r="X901" s="3"/>
      <c r="Y901" s="3"/>
      <c r="Z901" s="3"/>
    </row>
    <row r="902" spans="1:26" ht="22.5" customHeight="1" x14ac:dyDescent="0.85">
      <c r="A902" s="166"/>
      <c r="B902" s="167"/>
      <c r="C902" s="167"/>
      <c r="D902" s="147"/>
      <c r="E902" s="147"/>
      <c r="F902" s="147"/>
      <c r="G902" s="147"/>
      <c r="H902" s="147"/>
      <c r="I902" s="147"/>
      <c r="J902" s="147"/>
      <c r="K902" s="3"/>
      <c r="L902" s="3"/>
      <c r="M902" s="3"/>
      <c r="N902" s="3"/>
      <c r="O902" s="3"/>
      <c r="P902" s="3"/>
      <c r="Q902" s="3"/>
      <c r="R902" s="3"/>
      <c r="S902" s="3"/>
      <c r="T902" s="3"/>
      <c r="U902" s="3"/>
      <c r="V902" s="3"/>
      <c r="W902" s="3"/>
      <c r="X902" s="3"/>
      <c r="Y902" s="3"/>
      <c r="Z902" s="3"/>
    </row>
    <row r="903" spans="1:26" ht="22.5" customHeight="1" x14ac:dyDescent="0.85">
      <c r="A903" s="166"/>
      <c r="B903" s="167"/>
      <c r="C903" s="167"/>
      <c r="D903" s="147"/>
      <c r="E903" s="147"/>
      <c r="F903" s="147"/>
      <c r="G903" s="147"/>
      <c r="H903" s="147"/>
      <c r="I903" s="147"/>
      <c r="J903" s="147"/>
      <c r="K903" s="3"/>
      <c r="L903" s="3"/>
      <c r="M903" s="3"/>
      <c r="N903" s="3"/>
      <c r="O903" s="3"/>
      <c r="P903" s="3"/>
      <c r="Q903" s="3"/>
      <c r="R903" s="3"/>
      <c r="S903" s="3"/>
      <c r="T903" s="3"/>
      <c r="U903" s="3"/>
      <c r="V903" s="3"/>
      <c r="W903" s="3"/>
      <c r="X903" s="3"/>
      <c r="Y903" s="3"/>
      <c r="Z903" s="3"/>
    </row>
    <row r="904" spans="1:26" ht="22.5" customHeight="1" x14ac:dyDescent="0.85">
      <c r="A904" s="166"/>
      <c r="B904" s="167"/>
      <c r="C904" s="167"/>
      <c r="D904" s="147"/>
      <c r="E904" s="147"/>
      <c r="F904" s="147"/>
      <c r="G904" s="147"/>
      <c r="H904" s="147"/>
      <c r="I904" s="147"/>
      <c r="J904" s="147"/>
      <c r="K904" s="3"/>
      <c r="L904" s="3"/>
      <c r="M904" s="3"/>
      <c r="N904" s="3"/>
      <c r="O904" s="3"/>
      <c r="P904" s="3"/>
      <c r="Q904" s="3"/>
      <c r="R904" s="3"/>
      <c r="S904" s="3"/>
      <c r="T904" s="3"/>
      <c r="U904" s="3"/>
      <c r="V904" s="3"/>
      <c r="W904" s="3"/>
      <c r="X904" s="3"/>
      <c r="Y904" s="3"/>
      <c r="Z904" s="3"/>
    </row>
    <row r="905" spans="1:26" ht="22.5" customHeight="1" x14ac:dyDescent="0.85">
      <c r="A905" s="166"/>
      <c r="B905" s="167"/>
      <c r="C905" s="167"/>
      <c r="D905" s="147"/>
      <c r="E905" s="147"/>
      <c r="F905" s="147"/>
      <c r="G905" s="147"/>
      <c r="H905" s="147"/>
      <c r="I905" s="147"/>
      <c r="J905" s="147"/>
      <c r="K905" s="3"/>
      <c r="L905" s="3"/>
      <c r="M905" s="3"/>
      <c r="N905" s="3"/>
      <c r="O905" s="3"/>
      <c r="P905" s="3"/>
      <c r="Q905" s="3"/>
      <c r="R905" s="3"/>
      <c r="S905" s="3"/>
      <c r="T905" s="3"/>
      <c r="U905" s="3"/>
      <c r="V905" s="3"/>
      <c r="W905" s="3"/>
      <c r="X905" s="3"/>
      <c r="Y905" s="3"/>
      <c r="Z905" s="3"/>
    </row>
    <row r="906" spans="1:26" ht="22.5" customHeight="1" x14ac:dyDescent="0.85">
      <c r="A906" s="166"/>
      <c r="B906" s="167"/>
      <c r="C906" s="167"/>
      <c r="D906" s="147"/>
      <c r="E906" s="147"/>
      <c r="F906" s="147"/>
      <c r="G906" s="147"/>
      <c r="H906" s="147"/>
      <c r="I906" s="147"/>
      <c r="J906" s="147"/>
      <c r="K906" s="3"/>
      <c r="L906" s="3"/>
      <c r="M906" s="3"/>
      <c r="N906" s="3"/>
      <c r="O906" s="3"/>
      <c r="P906" s="3"/>
      <c r="Q906" s="3"/>
      <c r="R906" s="3"/>
      <c r="S906" s="3"/>
      <c r="T906" s="3"/>
      <c r="U906" s="3"/>
      <c r="V906" s="3"/>
      <c r="W906" s="3"/>
      <c r="X906" s="3"/>
      <c r="Y906" s="3"/>
      <c r="Z906" s="3"/>
    </row>
    <row r="907" spans="1:26" ht="22.5" customHeight="1" x14ac:dyDescent="0.85">
      <c r="A907" s="166"/>
      <c r="B907" s="167"/>
      <c r="C907" s="167"/>
      <c r="D907" s="147"/>
      <c r="E907" s="147"/>
      <c r="F907" s="147"/>
      <c r="G907" s="147"/>
      <c r="H907" s="147"/>
      <c r="I907" s="147"/>
      <c r="J907" s="147"/>
      <c r="K907" s="3"/>
      <c r="L907" s="3"/>
      <c r="M907" s="3"/>
      <c r="N907" s="3"/>
      <c r="O907" s="3"/>
      <c r="P907" s="3"/>
      <c r="Q907" s="3"/>
      <c r="R907" s="3"/>
      <c r="S907" s="3"/>
      <c r="T907" s="3"/>
      <c r="U907" s="3"/>
      <c r="V907" s="3"/>
      <c r="W907" s="3"/>
      <c r="X907" s="3"/>
      <c r="Y907" s="3"/>
      <c r="Z907" s="3"/>
    </row>
    <row r="908" spans="1:26" ht="22.5" customHeight="1" x14ac:dyDescent="0.85">
      <c r="A908" s="166"/>
      <c r="B908" s="167"/>
      <c r="C908" s="167"/>
      <c r="D908" s="147"/>
      <c r="E908" s="147"/>
      <c r="F908" s="147"/>
      <c r="G908" s="147"/>
      <c r="H908" s="147"/>
      <c r="I908" s="147"/>
      <c r="J908" s="147"/>
      <c r="K908" s="3"/>
      <c r="L908" s="3"/>
      <c r="M908" s="3"/>
      <c r="N908" s="3"/>
      <c r="O908" s="3"/>
      <c r="P908" s="3"/>
      <c r="Q908" s="3"/>
      <c r="R908" s="3"/>
      <c r="S908" s="3"/>
      <c r="T908" s="3"/>
      <c r="U908" s="3"/>
      <c r="V908" s="3"/>
      <c r="W908" s="3"/>
      <c r="X908" s="3"/>
      <c r="Y908" s="3"/>
      <c r="Z908" s="3"/>
    </row>
    <row r="909" spans="1:26" ht="22.5" customHeight="1" x14ac:dyDescent="0.85">
      <c r="A909" s="166"/>
      <c r="B909" s="167"/>
      <c r="C909" s="167"/>
      <c r="D909" s="147"/>
      <c r="E909" s="147"/>
      <c r="F909" s="147"/>
      <c r="G909" s="147"/>
      <c r="H909" s="147"/>
      <c r="I909" s="147"/>
      <c r="J909" s="147"/>
      <c r="K909" s="3"/>
      <c r="L909" s="3"/>
      <c r="M909" s="3"/>
      <c r="N909" s="3"/>
      <c r="O909" s="3"/>
      <c r="P909" s="3"/>
      <c r="Q909" s="3"/>
      <c r="R909" s="3"/>
      <c r="S909" s="3"/>
      <c r="T909" s="3"/>
      <c r="U909" s="3"/>
      <c r="V909" s="3"/>
      <c r="W909" s="3"/>
      <c r="X909" s="3"/>
      <c r="Y909" s="3"/>
      <c r="Z909" s="3"/>
    </row>
    <row r="910" spans="1:26" ht="22.5" customHeight="1" x14ac:dyDescent="0.85">
      <c r="A910" s="166"/>
      <c r="B910" s="167"/>
      <c r="C910" s="167"/>
      <c r="D910" s="147"/>
      <c r="E910" s="147"/>
      <c r="F910" s="147"/>
      <c r="G910" s="147"/>
      <c r="H910" s="147"/>
      <c r="I910" s="147"/>
      <c r="J910" s="147"/>
      <c r="K910" s="3"/>
      <c r="L910" s="3"/>
      <c r="M910" s="3"/>
      <c r="N910" s="3"/>
      <c r="O910" s="3"/>
      <c r="P910" s="3"/>
      <c r="Q910" s="3"/>
      <c r="R910" s="3"/>
      <c r="S910" s="3"/>
      <c r="T910" s="3"/>
      <c r="U910" s="3"/>
      <c r="V910" s="3"/>
      <c r="W910" s="3"/>
      <c r="X910" s="3"/>
      <c r="Y910" s="3"/>
      <c r="Z910" s="3"/>
    </row>
    <row r="911" spans="1:26" ht="22.5" customHeight="1" x14ac:dyDescent="0.85">
      <c r="A911" s="166"/>
      <c r="B911" s="167"/>
      <c r="C911" s="167"/>
      <c r="D911" s="147"/>
      <c r="E911" s="147"/>
      <c r="F911" s="147"/>
      <c r="G911" s="147"/>
      <c r="H911" s="147"/>
      <c r="I911" s="147"/>
      <c r="J911" s="147"/>
      <c r="K911" s="3"/>
      <c r="L911" s="3"/>
      <c r="M911" s="3"/>
      <c r="N911" s="3"/>
      <c r="O911" s="3"/>
      <c r="P911" s="3"/>
      <c r="Q911" s="3"/>
      <c r="R911" s="3"/>
      <c r="S911" s="3"/>
      <c r="T911" s="3"/>
      <c r="U911" s="3"/>
      <c r="V911" s="3"/>
      <c r="W911" s="3"/>
      <c r="X911" s="3"/>
      <c r="Y911" s="3"/>
      <c r="Z911" s="3"/>
    </row>
    <row r="912" spans="1:26" ht="22.5" customHeight="1" x14ac:dyDescent="0.85">
      <c r="A912" s="166"/>
      <c r="B912" s="167"/>
      <c r="C912" s="167"/>
      <c r="D912" s="147"/>
      <c r="E912" s="147"/>
      <c r="F912" s="147"/>
      <c r="G912" s="147"/>
      <c r="H912" s="147"/>
      <c r="I912" s="147"/>
      <c r="J912" s="147"/>
      <c r="K912" s="3"/>
      <c r="L912" s="3"/>
      <c r="M912" s="3"/>
      <c r="N912" s="3"/>
      <c r="O912" s="3"/>
      <c r="P912" s="3"/>
      <c r="Q912" s="3"/>
      <c r="R912" s="3"/>
      <c r="S912" s="3"/>
      <c r="T912" s="3"/>
      <c r="U912" s="3"/>
      <c r="V912" s="3"/>
      <c r="W912" s="3"/>
      <c r="X912" s="3"/>
      <c r="Y912" s="3"/>
      <c r="Z912" s="3"/>
    </row>
    <row r="913" spans="1:26" ht="22.5" customHeight="1" x14ac:dyDescent="0.85">
      <c r="A913" s="166"/>
      <c r="B913" s="167"/>
      <c r="C913" s="167"/>
      <c r="D913" s="147"/>
      <c r="E913" s="147"/>
      <c r="F913" s="147"/>
      <c r="G913" s="147"/>
      <c r="H913" s="147"/>
      <c r="I913" s="147"/>
      <c r="J913" s="147"/>
      <c r="K913" s="3"/>
      <c r="L913" s="3"/>
      <c r="M913" s="3"/>
      <c r="N913" s="3"/>
      <c r="O913" s="3"/>
      <c r="P913" s="3"/>
      <c r="Q913" s="3"/>
      <c r="R913" s="3"/>
      <c r="S913" s="3"/>
      <c r="T913" s="3"/>
      <c r="U913" s="3"/>
      <c r="V913" s="3"/>
      <c r="W913" s="3"/>
      <c r="X913" s="3"/>
      <c r="Y913" s="3"/>
      <c r="Z913" s="3"/>
    </row>
    <row r="914" spans="1:26" ht="22.5" customHeight="1" x14ac:dyDescent="0.85">
      <c r="A914" s="166"/>
      <c r="B914" s="167"/>
      <c r="C914" s="167"/>
      <c r="D914" s="147"/>
      <c r="E914" s="147"/>
      <c r="F914" s="147"/>
      <c r="G914" s="147"/>
      <c r="H914" s="147"/>
      <c r="I914" s="147"/>
      <c r="J914" s="147"/>
      <c r="K914" s="3"/>
      <c r="L914" s="3"/>
      <c r="M914" s="3"/>
      <c r="N914" s="3"/>
      <c r="O914" s="3"/>
      <c r="P914" s="3"/>
      <c r="Q914" s="3"/>
      <c r="R914" s="3"/>
      <c r="S914" s="3"/>
      <c r="T914" s="3"/>
      <c r="U914" s="3"/>
      <c r="V914" s="3"/>
      <c r="W914" s="3"/>
      <c r="X914" s="3"/>
      <c r="Y914" s="3"/>
      <c r="Z914" s="3"/>
    </row>
    <row r="915" spans="1:26" ht="22.5" customHeight="1" x14ac:dyDescent="0.85">
      <c r="A915" s="166"/>
      <c r="B915" s="167"/>
      <c r="C915" s="167"/>
      <c r="D915" s="147"/>
      <c r="E915" s="147"/>
      <c r="F915" s="147"/>
      <c r="G915" s="147"/>
      <c r="H915" s="147"/>
      <c r="I915" s="147"/>
      <c r="J915" s="147"/>
      <c r="K915" s="3"/>
      <c r="L915" s="3"/>
      <c r="M915" s="3"/>
      <c r="N915" s="3"/>
      <c r="O915" s="3"/>
      <c r="P915" s="3"/>
      <c r="Q915" s="3"/>
      <c r="R915" s="3"/>
      <c r="S915" s="3"/>
      <c r="T915" s="3"/>
      <c r="U915" s="3"/>
      <c r="V915" s="3"/>
      <c r="W915" s="3"/>
      <c r="X915" s="3"/>
      <c r="Y915" s="3"/>
      <c r="Z915" s="3"/>
    </row>
    <row r="916" spans="1:26" ht="22.5" customHeight="1" x14ac:dyDescent="0.85">
      <c r="A916" s="166"/>
      <c r="B916" s="167"/>
      <c r="C916" s="167"/>
      <c r="D916" s="147"/>
      <c r="E916" s="147"/>
      <c r="F916" s="147"/>
      <c r="G916" s="147"/>
      <c r="H916" s="147"/>
      <c r="I916" s="147"/>
      <c r="J916" s="147"/>
      <c r="K916" s="3"/>
      <c r="L916" s="3"/>
      <c r="M916" s="3"/>
      <c r="N916" s="3"/>
      <c r="O916" s="3"/>
      <c r="P916" s="3"/>
      <c r="Q916" s="3"/>
      <c r="R916" s="3"/>
      <c r="S916" s="3"/>
      <c r="T916" s="3"/>
      <c r="U916" s="3"/>
      <c r="V916" s="3"/>
      <c r="W916" s="3"/>
      <c r="X916" s="3"/>
      <c r="Y916" s="3"/>
      <c r="Z916" s="3"/>
    </row>
    <row r="917" spans="1:26" ht="22.5" customHeight="1" x14ac:dyDescent="0.85">
      <c r="A917" s="166"/>
      <c r="B917" s="167"/>
      <c r="C917" s="167"/>
      <c r="D917" s="147"/>
      <c r="E917" s="147"/>
      <c r="F917" s="147"/>
      <c r="G917" s="147"/>
      <c r="H917" s="147"/>
      <c r="I917" s="147"/>
      <c r="J917" s="147"/>
      <c r="K917" s="3"/>
      <c r="L917" s="3"/>
      <c r="M917" s="3"/>
      <c r="N917" s="3"/>
      <c r="O917" s="3"/>
      <c r="P917" s="3"/>
      <c r="Q917" s="3"/>
      <c r="R917" s="3"/>
      <c r="S917" s="3"/>
      <c r="T917" s="3"/>
      <c r="U917" s="3"/>
      <c r="V917" s="3"/>
      <c r="W917" s="3"/>
      <c r="X917" s="3"/>
      <c r="Y917" s="3"/>
      <c r="Z917" s="3"/>
    </row>
    <row r="918" spans="1:26" ht="22.5" customHeight="1" x14ac:dyDescent="0.85">
      <c r="A918" s="166"/>
      <c r="B918" s="167"/>
      <c r="C918" s="167"/>
      <c r="D918" s="147"/>
      <c r="E918" s="147"/>
      <c r="F918" s="147"/>
      <c r="G918" s="147"/>
      <c r="H918" s="147"/>
      <c r="I918" s="147"/>
      <c r="J918" s="147"/>
      <c r="K918" s="3"/>
      <c r="L918" s="3"/>
      <c r="M918" s="3"/>
      <c r="N918" s="3"/>
      <c r="O918" s="3"/>
      <c r="P918" s="3"/>
      <c r="Q918" s="3"/>
      <c r="R918" s="3"/>
      <c r="S918" s="3"/>
      <c r="T918" s="3"/>
      <c r="U918" s="3"/>
      <c r="V918" s="3"/>
      <c r="W918" s="3"/>
      <c r="X918" s="3"/>
      <c r="Y918" s="3"/>
      <c r="Z918" s="3"/>
    </row>
    <row r="919" spans="1:26" ht="22.5" customHeight="1" x14ac:dyDescent="0.85">
      <c r="A919" s="166"/>
      <c r="B919" s="167"/>
      <c r="C919" s="167"/>
      <c r="D919" s="147"/>
      <c r="E919" s="147"/>
      <c r="F919" s="147"/>
      <c r="G919" s="147"/>
      <c r="H919" s="147"/>
      <c r="I919" s="147"/>
      <c r="J919" s="147"/>
      <c r="K919" s="3"/>
      <c r="L919" s="3"/>
      <c r="M919" s="3"/>
      <c r="N919" s="3"/>
      <c r="O919" s="3"/>
      <c r="P919" s="3"/>
      <c r="Q919" s="3"/>
      <c r="R919" s="3"/>
      <c r="S919" s="3"/>
      <c r="T919" s="3"/>
      <c r="U919" s="3"/>
      <c r="V919" s="3"/>
      <c r="W919" s="3"/>
      <c r="X919" s="3"/>
      <c r="Y919" s="3"/>
      <c r="Z919" s="3"/>
    </row>
    <row r="920" spans="1:26" ht="22.5" customHeight="1" x14ac:dyDescent="0.85">
      <c r="A920" s="166"/>
      <c r="B920" s="167"/>
      <c r="C920" s="167"/>
      <c r="D920" s="147"/>
      <c r="E920" s="147"/>
      <c r="F920" s="147"/>
      <c r="G920" s="147"/>
      <c r="H920" s="147"/>
      <c r="I920" s="147"/>
      <c r="J920" s="147"/>
      <c r="K920" s="3"/>
      <c r="L920" s="3"/>
      <c r="M920" s="3"/>
      <c r="N920" s="3"/>
      <c r="O920" s="3"/>
      <c r="P920" s="3"/>
      <c r="Q920" s="3"/>
      <c r="R920" s="3"/>
      <c r="S920" s="3"/>
      <c r="T920" s="3"/>
      <c r="U920" s="3"/>
      <c r="V920" s="3"/>
      <c r="W920" s="3"/>
      <c r="X920" s="3"/>
      <c r="Y920" s="3"/>
      <c r="Z920" s="3"/>
    </row>
    <row r="921" spans="1:26" ht="22.5" customHeight="1" x14ac:dyDescent="0.85">
      <c r="A921" s="166"/>
      <c r="B921" s="167"/>
      <c r="C921" s="167"/>
      <c r="D921" s="147"/>
      <c r="E921" s="147"/>
      <c r="F921" s="147"/>
      <c r="G921" s="147"/>
      <c r="H921" s="147"/>
      <c r="I921" s="147"/>
      <c r="J921" s="147"/>
      <c r="K921" s="3"/>
      <c r="L921" s="3"/>
      <c r="M921" s="3"/>
      <c r="N921" s="3"/>
      <c r="O921" s="3"/>
      <c r="P921" s="3"/>
      <c r="Q921" s="3"/>
      <c r="R921" s="3"/>
      <c r="S921" s="3"/>
      <c r="T921" s="3"/>
      <c r="U921" s="3"/>
      <c r="V921" s="3"/>
      <c r="W921" s="3"/>
      <c r="X921" s="3"/>
      <c r="Y921" s="3"/>
      <c r="Z921" s="3"/>
    </row>
    <row r="922" spans="1:26" ht="22.5" customHeight="1" x14ac:dyDescent="0.85">
      <c r="A922" s="166"/>
      <c r="B922" s="167"/>
      <c r="C922" s="167"/>
      <c r="D922" s="147"/>
      <c r="E922" s="147"/>
      <c r="F922" s="147"/>
      <c r="G922" s="147"/>
      <c r="H922" s="147"/>
      <c r="I922" s="147"/>
      <c r="J922" s="147"/>
      <c r="K922" s="3"/>
      <c r="L922" s="3"/>
      <c r="M922" s="3"/>
      <c r="N922" s="3"/>
      <c r="O922" s="3"/>
      <c r="P922" s="3"/>
      <c r="Q922" s="3"/>
      <c r="R922" s="3"/>
      <c r="S922" s="3"/>
      <c r="T922" s="3"/>
      <c r="U922" s="3"/>
      <c r="V922" s="3"/>
      <c r="W922" s="3"/>
      <c r="X922" s="3"/>
      <c r="Y922" s="3"/>
      <c r="Z922" s="3"/>
    </row>
    <row r="923" spans="1:26" ht="22.5" customHeight="1" x14ac:dyDescent="0.85">
      <c r="A923" s="166"/>
      <c r="B923" s="167"/>
      <c r="C923" s="167"/>
      <c r="D923" s="147"/>
      <c r="E923" s="147"/>
      <c r="F923" s="147"/>
      <c r="G923" s="147"/>
      <c r="H923" s="147"/>
      <c r="I923" s="147"/>
      <c r="J923" s="147"/>
      <c r="K923" s="3"/>
      <c r="L923" s="3"/>
      <c r="M923" s="3"/>
      <c r="N923" s="3"/>
      <c r="O923" s="3"/>
      <c r="P923" s="3"/>
      <c r="Q923" s="3"/>
      <c r="R923" s="3"/>
      <c r="S923" s="3"/>
      <c r="T923" s="3"/>
      <c r="U923" s="3"/>
      <c r="V923" s="3"/>
      <c r="W923" s="3"/>
      <c r="X923" s="3"/>
      <c r="Y923" s="3"/>
      <c r="Z923" s="3"/>
    </row>
    <row r="924" spans="1:26" ht="22.5" customHeight="1" x14ac:dyDescent="0.85">
      <c r="A924" s="166"/>
      <c r="B924" s="167"/>
      <c r="C924" s="167"/>
      <c r="D924" s="147"/>
      <c r="E924" s="147"/>
      <c r="F924" s="147"/>
      <c r="G924" s="147"/>
      <c r="H924" s="147"/>
      <c r="I924" s="147"/>
      <c r="J924" s="147"/>
      <c r="K924" s="3"/>
      <c r="L924" s="3"/>
      <c r="M924" s="3"/>
      <c r="N924" s="3"/>
      <c r="O924" s="3"/>
      <c r="P924" s="3"/>
      <c r="Q924" s="3"/>
      <c r="R924" s="3"/>
      <c r="S924" s="3"/>
      <c r="T924" s="3"/>
      <c r="U924" s="3"/>
      <c r="V924" s="3"/>
      <c r="W924" s="3"/>
      <c r="X924" s="3"/>
      <c r="Y924" s="3"/>
      <c r="Z924" s="3"/>
    </row>
    <row r="925" spans="1:26" ht="22.5" customHeight="1" x14ac:dyDescent="0.85">
      <c r="A925" s="166"/>
      <c r="B925" s="167"/>
      <c r="C925" s="167"/>
      <c r="D925" s="147"/>
      <c r="E925" s="147"/>
      <c r="F925" s="147"/>
      <c r="G925" s="147"/>
      <c r="H925" s="147"/>
      <c r="I925" s="147"/>
      <c r="J925" s="147"/>
      <c r="K925" s="3"/>
      <c r="L925" s="3"/>
      <c r="M925" s="3"/>
      <c r="N925" s="3"/>
      <c r="O925" s="3"/>
      <c r="P925" s="3"/>
      <c r="Q925" s="3"/>
      <c r="R925" s="3"/>
      <c r="S925" s="3"/>
      <c r="T925" s="3"/>
      <c r="U925" s="3"/>
      <c r="V925" s="3"/>
      <c r="W925" s="3"/>
      <c r="X925" s="3"/>
      <c r="Y925" s="3"/>
      <c r="Z925" s="3"/>
    </row>
    <row r="926" spans="1:26" ht="22.5" customHeight="1" x14ac:dyDescent="0.85">
      <c r="A926" s="166"/>
      <c r="B926" s="167"/>
      <c r="C926" s="167"/>
      <c r="D926" s="147"/>
      <c r="E926" s="147"/>
      <c r="F926" s="147"/>
      <c r="G926" s="147"/>
      <c r="H926" s="147"/>
      <c r="I926" s="147"/>
      <c r="J926" s="147"/>
      <c r="K926" s="3"/>
      <c r="L926" s="3"/>
      <c r="M926" s="3"/>
      <c r="N926" s="3"/>
      <c r="O926" s="3"/>
      <c r="P926" s="3"/>
      <c r="Q926" s="3"/>
      <c r="R926" s="3"/>
      <c r="S926" s="3"/>
      <c r="T926" s="3"/>
      <c r="U926" s="3"/>
      <c r="V926" s="3"/>
      <c r="W926" s="3"/>
      <c r="X926" s="3"/>
      <c r="Y926" s="3"/>
      <c r="Z926" s="3"/>
    </row>
    <row r="927" spans="1:26" ht="22.5" customHeight="1" x14ac:dyDescent="0.85">
      <c r="A927" s="166"/>
      <c r="B927" s="167"/>
      <c r="C927" s="167"/>
      <c r="D927" s="147"/>
      <c r="E927" s="147"/>
      <c r="F927" s="147"/>
      <c r="G927" s="147"/>
      <c r="H927" s="147"/>
      <c r="I927" s="147"/>
      <c r="J927" s="147"/>
      <c r="K927" s="3"/>
      <c r="L927" s="3"/>
      <c r="M927" s="3"/>
      <c r="N927" s="3"/>
      <c r="O927" s="3"/>
      <c r="P927" s="3"/>
      <c r="Q927" s="3"/>
      <c r="R927" s="3"/>
      <c r="S927" s="3"/>
      <c r="T927" s="3"/>
      <c r="U927" s="3"/>
      <c r="V927" s="3"/>
      <c r="W927" s="3"/>
      <c r="X927" s="3"/>
      <c r="Y927" s="3"/>
      <c r="Z927" s="3"/>
    </row>
    <row r="928" spans="1:26" ht="22.5" customHeight="1" x14ac:dyDescent="0.85">
      <c r="A928" s="166"/>
      <c r="B928" s="167"/>
      <c r="C928" s="167"/>
      <c r="D928" s="147"/>
      <c r="E928" s="147"/>
      <c r="F928" s="147"/>
      <c r="G928" s="147"/>
      <c r="H928" s="147"/>
      <c r="I928" s="147"/>
      <c r="J928" s="147"/>
      <c r="K928" s="3"/>
      <c r="L928" s="3"/>
      <c r="M928" s="3"/>
      <c r="N928" s="3"/>
      <c r="O928" s="3"/>
      <c r="P928" s="3"/>
      <c r="Q928" s="3"/>
      <c r="R928" s="3"/>
      <c r="S928" s="3"/>
      <c r="T928" s="3"/>
      <c r="U928" s="3"/>
      <c r="V928" s="3"/>
      <c r="W928" s="3"/>
      <c r="X928" s="3"/>
      <c r="Y928" s="3"/>
      <c r="Z928" s="3"/>
    </row>
    <row r="929" spans="1:26" ht="22.5" customHeight="1" x14ac:dyDescent="0.85">
      <c r="A929" s="166"/>
      <c r="B929" s="167"/>
      <c r="C929" s="167"/>
      <c r="D929" s="147"/>
      <c r="E929" s="147"/>
      <c r="F929" s="147"/>
      <c r="G929" s="147"/>
      <c r="H929" s="147"/>
      <c r="I929" s="147"/>
      <c r="J929" s="147"/>
      <c r="K929" s="3"/>
      <c r="L929" s="3"/>
      <c r="M929" s="3"/>
      <c r="N929" s="3"/>
      <c r="O929" s="3"/>
      <c r="P929" s="3"/>
      <c r="Q929" s="3"/>
      <c r="R929" s="3"/>
      <c r="S929" s="3"/>
      <c r="T929" s="3"/>
      <c r="U929" s="3"/>
      <c r="V929" s="3"/>
      <c r="W929" s="3"/>
      <c r="X929" s="3"/>
      <c r="Y929" s="3"/>
      <c r="Z929" s="3"/>
    </row>
    <row r="930" spans="1:26" ht="22.5" customHeight="1" x14ac:dyDescent="0.85">
      <c r="A930" s="166"/>
      <c r="B930" s="167"/>
      <c r="C930" s="167"/>
      <c r="D930" s="147"/>
      <c r="E930" s="147"/>
      <c r="F930" s="147"/>
      <c r="G930" s="147"/>
      <c r="H930" s="147"/>
      <c r="I930" s="147"/>
      <c r="J930" s="147"/>
      <c r="K930" s="3"/>
      <c r="L930" s="3"/>
      <c r="M930" s="3"/>
      <c r="N930" s="3"/>
      <c r="O930" s="3"/>
      <c r="P930" s="3"/>
      <c r="Q930" s="3"/>
      <c r="R930" s="3"/>
      <c r="S930" s="3"/>
      <c r="T930" s="3"/>
      <c r="U930" s="3"/>
      <c r="V930" s="3"/>
      <c r="W930" s="3"/>
      <c r="X930" s="3"/>
      <c r="Y930" s="3"/>
      <c r="Z930" s="3"/>
    </row>
    <row r="931" spans="1:26" ht="22.5" customHeight="1" x14ac:dyDescent="0.85">
      <c r="A931" s="166"/>
      <c r="B931" s="167"/>
      <c r="C931" s="167"/>
      <c r="D931" s="147"/>
      <c r="E931" s="147"/>
      <c r="F931" s="147"/>
      <c r="G931" s="147"/>
      <c r="H931" s="147"/>
      <c r="I931" s="147"/>
      <c r="J931" s="147"/>
      <c r="K931" s="3"/>
      <c r="L931" s="3"/>
      <c r="M931" s="3"/>
      <c r="N931" s="3"/>
      <c r="O931" s="3"/>
      <c r="P931" s="3"/>
      <c r="Q931" s="3"/>
      <c r="R931" s="3"/>
      <c r="S931" s="3"/>
      <c r="T931" s="3"/>
      <c r="U931" s="3"/>
      <c r="V931" s="3"/>
      <c r="W931" s="3"/>
      <c r="X931" s="3"/>
      <c r="Y931" s="3"/>
      <c r="Z931" s="3"/>
    </row>
    <row r="932" spans="1:26" ht="22.5" customHeight="1" x14ac:dyDescent="0.85">
      <c r="A932" s="166"/>
      <c r="B932" s="167"/>
      <c r="C932" s="167"/>
      <c r="D932" s="147"/>
      <c r="E932" s="147"/>
      <c r="F932" s="147"/>
      <c r="G932" s="147"/>
      <c r="H932" s="147"/>
      <c r="I932" s="147"/>
      <c r="J932" s="147"/>
      <c r="K932" s="3"/>
      <c r="L932" s="3"/>
      <c r="M932" s="3"/>
      <c r="N932" s="3"/>
      <c r="O932" s="3"/>
      <c r="P932" s="3"/>
      <c r="Q932" s="3"/>
      <c r="R932" s="3"/>
      <c r="S932" s="3"/>
      <c r="T932" s="3"/>
      <c r="U932" s="3"/>
      <c r="V932" s="3"/>
      <c r="W932" s="3"/>
      <c r="X932" s="3"/>
      <c r="Y932" s="3"/>
      <c r="Z932" s="3"/>
    </row>
    <row r="933" spans="1:26" ht="22.5" customHeight="1" x14ac:dyDescent="0.85">
      <c r="A933" s="166"/>
      <c r="B933" s="167"/>
      <c r="C933" s="167"/>
      <c r="D933" s="147"/>
      <c r="E933" s="147"/>
      <c r="F933" s="147"/>
      <c r="G933" s="147"/>
      <c r="H933" s="147"/>
      <c r="I933" s="147"/>
      <c r="J933" s="147"/>
      <c r="K933" s="3"/>
      <c r="L933" s="3"/>
      <c r="M933" s="3"/>
      <c r="N933" s="3"/>
      <c r="O933" s="3"/>
      <c r="P933" s="3"/>
      <c r="Q933" s="3"/>
      <c r="R933" s="3"/>
      <c r="S933" s="3"/>
      <c r="T933" s="3"/>
      <c r="U933" s="3"/>
      <c r="V933" s="3"/>
      <c r="W933" s="3"/>
      <c r="X933" s="3"/>
      <c r="Y933" s="3"/>
      <c r="Z933" s="3"/>
    </row>
    <row r="934" spans="1:26" ht="22.5" customHeight="1" x14ac:dyDescent="0.85">
      <c r="A934" s="166"/>
      <c r="B934" s="167"/>
      <c r="C934" s="167"/>
      <c r="D934" s="147"/>
      <c r="E934" s="147"/>
      <c r="F934" s="147"/>
      <c r="G934" s="147"/>
      <c r="H934" s="147"/>
      <c r="I934" s="147"/>
      <c r="J934" s="147"/>
      <c r="K934" s="3"/>
      <c r="L934" s="3"/>
      <c r="M934" s="3"/>
      <c r="N934" s="3"/>
      <c r="O934" s="3"/>
      <c r="P934" s="3"/>
      <c r="Q934" s="3"/>
      <c r="R934" s="3"/>
      <c r="S934" s="3"/>
      <c r="T934" s="3"/>
      <c r="U934" s="3"/>
      <c r="V934" s="3"/>
      <c r="W934" s="3"/>
      <c r="X934" s="3"/>
      <c r="Y934" s="3"/>
      <c r="Z934" s="3"/>
    </row>
    <row r="935" spans="1:26" ht="22.5" customHeight="1" x14ac:dyDescent="0.85">
      <c r="A935" s="166"/>
      <c r="B935" s="167"/>
      <c r="C935" s="167"/>
      <c r="D935" s="147"/>
      <c r="E935" s="147"/>
      <c r="F935" s="147"/>
      <c r="G935" s="147"/>
      <c r="H935" s="147"/>
      <c r="I935" s="147"/>
      <c r="J935" s="147"/>
      <c r="K935" s="3"/>
      <c r="L935" s="3"/>
      <c r="M935" s="3"/>
      <c r="N935" s="3"/>
      <c r="O935" s="3"/>
      <c r="P935" s="3"/>
      <c r="Q935" s="3"/>
      <c r="R935" s="3"/>
      <c r="S935" s="3"/>
      <c r="T935" s="3"/>
      <c r="U935" s="3"/>
      <c r="V935" s="3"/>
      <c r="W935" s="3"/>
      <c r="X935" s="3"/>
      <c r="Y935" s="3"/>
      <c r="Z935" s="3"/>
    </row>
    <row r="936" spans="1:26" ht="22.5" customHeight="1" x14ac:dyDescent="0.85">
      <c r="A936" s="166"/>
      <c r="B936" s="167"/>
      <c r="C936" s="167"/>
      <c r="D936" s="147"/>
      <c r="E936" s="147"/>
      <c r="F936" s="147"/>
      <c r="G936" s="147"/>
      <c r="H936" s="147"/>
      <c r="I936" s="147"/>
      <c r="J936" s="147"/>
      <c r="K936" s="3"/>
      <c r="L936" s="3"/>
      <c r="M936" s="3"/>
      <c r="N936" s="3"/>
      <c r="O936" s="3"/>
      <c r="P936" s="3"/>
      <c r="Q936" s="3"/>
      <c r="R936" s="3"/>
      <c r="S936" s="3"/>
      <c r="T936" s="3"/>
      <c r="U936" s="3"/>
      <c r="V936" s="3"/>
      <c r="W936" s="3"/>
      <c r="X936" s="3"/>
      <c r="Y936" s="3"/>
      <c r="Z936" s="3"/>
    </row>
    <row r="937" spans="1:26" ht="22.5" customHeight="1" x14ac:dyDescent="0.85">
      <c r="A937" s="166"/>
      <c r="B937" s="167"/>
      <c r="C937" s="167"/>
      <c r="D937" s="147"/>
      <c r="E937" s="147"/>
      <c r="F937" s="147"/>
      <c r="G937" s="147"/>
      <c r="H937" s="147"/>
      <c r="I937" s="147"/>
      <c r="J937" s="147"/>
      <c r="K937" s="3"/>
      <c r="L937" s="3"/>
      <c r="M937" s="3"/>
      <c r="N937" s="3"/>
      <c r="O937" s="3"/>
      <c r="P937" s="3"/>
      <c r="Q937" s="3"/>
      <c r="R937" s="3"/>
      <c r="S937" s="3"/>
      <c r="T937" s="3"/>
      <c r="U937" s="3"/>
      <c r="V937" s="3"/>
      <c r="W937" s="3"/>
      <c r="X937" s="3"/>
      <c r="Y937" s="3"/>
      <c r="Z937" s="3"/>
    </row>
    <row r="938" spans="1:26" ht="22.5" customHeight="1" x14ac:dyDescent="0.85">
      <c r="A938" s="166"/>
      <c r="B938" s="167"/>
      <c r="C938" s="167"/>
      <c r="D938" s="147"/>
      <c r="E938" s="147"/>
      <c r="F938" s="147"/>
      <c r="G938" s="147"/>
      <c r="H938" s="147"/>
      <c r="I938" s="147"/>
      <c r="J938" s="147"/>
      <c r="K938" s="3"/>
      <c r="L938" s="3"/>
      <c r="M938" s="3"/>
      <c r="N938" s="3"/>
      <c r="O938" s="3"/>
      <c r="P938" s="3"/>
      <c r="Q938" s="3"/>
      <c r="R938" s="3"/>
      <c r="S938" s="3"/>
      <c r="T938" s="3"/>
      <c r="U938" s="3"/>
      <c r="V938" s="3"/>
      <c r="W938" s="3"/>
      <c r="X938" s="3"/>
      <c r="Y938" s="3"/>
      <c r="Z938" s="3"/>
    </row>
    <row r="939" spans="1:26" ht="22.5" customHeight="1" x14ac:dyDescent="0.85">
      <c r="A939" s="166"/>
      <c r="B939" s="167"/>
      <c r="C939" s="167"/>
      <c r="D939" s="147"/>
      <c r="E939" s="147"/>
      <c r="F939" s="147"/>
      <c r="G939" s="147"/>
      <c r="H939" s="147"/>
      <c r="I939" s="147"/>
      <c r="J939" s="147"/>
      <c r="K939" s="3"/>
      <c r="L939" s="3"/>
      <c r="M939" s="3"/>
      <c r="N939" s="3"/>
      <c r="O939" s="3"/>
      <c r="P939" s="3"/>
      <c r="Q939" s="3"/>
      <c r="R939" s="3"/>
      <c r="S939" s="3"/>
      <c r="T939" s="3"/>
      <c r="U939" s="3"/>
      <c r="V939" s="3"/>
      <c r="W939" s="3"/>
      <c r="X939" s="3"/>
      <c r="Y939" s="3"/>
      <c r="Z939" s="3"/>
    </row>
    <row r="940" spans="1:26" ht="22.5" customHeight="1" x14ac:dyDescent="0.85">
      <c r="A940" s="166"/>
      <c r="B940" s="167"/>
      <c r="C940" s="167"/>
      <c r="D940" s="147"/>
      <c r="E940" s="147"/>
      <c r="F940" s="147"/>
      <c r="G940" s="147"/>
      <c r="H940" s="147"/>
      <c r="I940" s="147"/>
      <c r="J940" s="147"/>
      <c r="K940" s="3"/>
      <c r="L940" s="3"/>
      <c r="M940" s="3"/>
      <c r="N940" s="3"/>
      <c r="O940" s="3"/>
      <c r="P940" s="3"/>
      <c r="Q940" s="3"/>
      <c r="R940" s="3"/>
      <c r="S940" s="3"/>
      <c r="T940" s="3"/>
      <c r="U940" s="3"/>
      <c r="V940" s="3"/>
      <c r="W940" s="3"/>
      <c r="X940" s="3"/>
      <c r="Y940" s="3"/>
      <c r="Z940" s="3"/>
    </row>
    <row r="941" spans="1:26" ht="22.5" customHeight="1" x14ac:dyDescent="0.85">
      <c r="A941" s="166"/>
      <c r="B941" s="167"/>
      <c r="C941" s="167"/>
      <c r="D941" s="147"/>
      <c r="E941" s="147"/>
      <c r="F941" s="147"/>
      <c r="G941" s="147"/>
      <c r="H941" s="147"/>
      <c r="I941" s="147"/>
      <c r="J941" s="147"/>
      <c r="K941" s="3"/>
      <c r="L941" s="3"/>
      <c r="M941" s="3"/>
      <c r="N941" s="3"/>
      <c r="O941" s="3"/>
      <c r="P941" s="3"/>
      <c r="Q941" s="3"/>
      <c r="R941" s="3"/>
      <c r="S941" s="3"/>
      <c r="T941" s="3"/>
      <c r="U941" s="3"/>
      <c r="V941" s="3"/>
      <c r="W941" s="3"/>
      <c r="X941" s="3"/>
      <c r="Y941" s="3"/>
      <c r="Z941" s="3"/>
    </row>
    <row r="942" spans="1:26" ht="22.5" customHeight="1" x14ac:dyDescent="0.85">
      <c r="A942" s="166"/>
      <c r="B942" s="167"/>
      <c r="C942" s="167"/>
      <c r="D942" s="147"/>
      <c r="E942" s="147"/>
      <c r="F942" s="147"/>
      <c r="G942" s="147"/>
      <c r="H942" s="147"/>
      <c r="I942" s="147"/>
      <c r="J942" s="147"/>
      <c r="K942" s="3"/>
      <c r="L942" s="3"/>
      <c r="M942" s="3"/>
      <c r="N942" s="3"/>
      <c r="O942" s="3"/>
      <c r="P942" s="3"/>
      <c r="Q942" s="3"/>
      <c r="R942" s="3"/>
      <c r="S942" s="3"/>
      <c r="T942" s="3"/>
      <c r="U942" s="3"/>
      <c r="V942" s="3"/>
      <c r="W942" s="3"/>
      <c r="X942" s="3"/>
      <c r="Y942" s="3"/>
      <c r="Z942" s="3"/>
    </row>
    <row r="943" spans="1:26" ht="22.5" customHeight="1" x14ac:dyDescent="0.85">
      <c r="A943" s="166"/>
      <c r="B943" s="167"/>
      <c r="C943" s="167"/>
      <c r="D943" s="147"/>
      <c r="E943" s="147"/>
      <c r="F943" s="147"/>
      <c r="G943" s="147"/>
      <c r="H943" s="147"/>
      <c r="I943" s="147"/>
      <c r="J943" s="147"/>
      <c r="K943" s="3"/>
      <c r="L943" s="3"/>
      <c r="M943" s="3"/>
      <c r="N943" s="3"/>
      <c r="O943" s="3"/>
      <c r="P943" s="3"/>
      <c r="Q943" s="3"/>
      <c r="R943" s="3"/>
      <c r="S943" s="3"/>
      <c r="T943" s="3"/>
      <c r="U943" s="3"/>
      <c r="V943" s="3"/>
      <c r="W943" s="3"/>
      <c r="X943" s="3"/>
      <c r="Y943" s="3"/>
      <c r="Z943" s="3"/>
    </row>
    <row r="944" spans="1:26" ht="22.5" customHeight="1" x14ac:dyDescent="0.85">
      <c r="A944" s="166"/>
      <c r="B944" s="167"/>
      <c r="C944" s="167"/>
      <c r="D944" s="147"/>
      <c r="E944" s="147"/>
      <c r="F944" s="147"/>
      <c r="G944" s="147"/>
      <c r="H944" s="147"/>
      <c r="I944" s="147"/>
      <c r="J944" s="147"/>
      <c r="K944" s="3"/>
      <c r="L944" s="3"/>
      <c r="M944" s="3"/>
      <c r="N944" s="3"/>
      <c r="O944" s="3"/>
      <c r="P944" s="3"/>
      <c r="Q944" s="3"/>
      <c r="R944" s="3"/>
      <c r="S944" s="3"/>
      <c r="T944" s="3"/>
      <c r="U944" s="3"/>
      <c r="V944" s="3"/>
      <c r="W944" s="3"/>
      <c r="X944" s="3"/>
      <c r="Y944" s="3"/>
      <c r="Z944" s="3"/>
    </row>
    <row r="945" spans="1:26" ht="22.5" customHeight="1" x14ac:dyDescent="0.85">
      <c r="A945" s="166"/>
      <c r="B945" s="167"/>
      <c r="C945" s="167"/>
      <c r="D945" s="147"/>
      <c r="E945" s="147"/>
      <c r="F945" s="147"/>
      <c r="G945" s="147"/>
      <c r="H945" s="147"/>
      <c r="I945" s="147"/>
      <c r="J945" s="147"/>
      <c r="K945" s="3"/>
      <c r="L945" s="3"/>
      <c r="M945" s="3"/>
      <c r="N945" s="3"/>
      <c r="O945" s="3"/>
      <c r="P945" s="3"/>
      <c r="Q945" s="3"/>
      <c r="R945" s="3"/>
      <c r="S945" s="3"/>
      <c r="T945" s="3"/>
      <c r="U945" s="3"/>
      <c r="V945" s="3"/>
      <c r="W945" s="3"/>
      <c r="X945" s="3"/>
      <c r="Y945" s="3"/>
      <c r="Z945" s="3"/>
    </row>
    <row r="946" spans="1:26" ht="22.5" customHeight="1" x14ac:dyDescent="0.85">
      <c r="A946" s="166"/>
      <c r="B946" s="167"/>
      <c r="C946" s="167"/>
      <c r="D946" s="147"/>
      <c r="E946" s="147"/>
      <c r="F946" s="147"/>
      <c r="G946" s="147"/>
      <c r="H946" s="147"/>
      <c r="I946" s="147"/>
      <c r="J946" s="147"/>
      <c r="K946" s="3"/>
      <c r="L946" s="3"/>
      <c r="M946" s="3"/>
      <c r="N946" s="3"/>
      <c r="O946" s="3"/>
      <c r="P946" s="3"/>
      <c r="Q946" s="3"/>
      <c r="R946" s="3"/>
      <c r="S946" s="3"/>
      <c r="T946" s="3"/>
      <c r="U946" s="3"/>
      <c r="V946" s="3"/>
      <c r="W946" s="3"/>
      <c r="X946" s="3"/>
      <c r="Y946" s="3"/>
      <c r="Z946" s="3"/>
    </row>
    <row r="947" spans="1:26" ht="22.5" customHeight="1" x14ac:dyDescent="0.85">
      <c r="A947" s="166"/>
      <c r="B947" s="167"/>
      <c r="C947" s="167"/>
      <c r="D947" s="147"/>
      <c r="E947" s="147"/>
      <c r="F947" s="147"/>
      <c r="G947" s="147"/>
      <c r="H947" s="147"/>
      <c r="I947" s="147"/>
      <c r="J947" s="147"/>
      <c r="K947" s="3"/>
      <c r="L947" s="3"/>
      <c r="M947" s="3"/>
      <c r="N947" s="3"/>
      <c r="O947" s="3"/>
      <c r="P947" s="3"/>
      <c r="Q947" s="3"/>
      <c r="R947" s="3"/>
      <c r="S947" s="3"/>
      <c r="T947" s="3"/>
      <c r="U947" s="3"/>
      <c r="V947" s="3"/>
      <c r="W947" s="3"/>
      <c r="X947" s="3"/>
      <c r="Y947" s="3"/>
      <c r="Z947" s="3"/>
    </row>
    <row r="948" spans="1:26" ht="22.5" customHeight="1" x14ac:dyDescent="0.85">
      <c r="A948" s="166"/>
      <c r="B948" s="167"/>
      <c r="C948" s="167"/>
      <c r="D948" s="147"/>
      <c r="E948" s="147"/>
      <c r="F948" s="147"/>
      <c r="G948" s="147"/>
      <c r="H948" s="147"/>
      <c r="I948" s="147"/>
      <c r="J948" s="147"/>
      <c r="K948" s="3"/>
      <c r="L948" s="3"/>
      <c r="M948" s="3"/>
      <c r="N948" s="3"/>
      <c r="O948" s="3"/>
      <c r="P948" s="3"/>
      <c r="Q948" s="3"/>
      <c r="R948" s="3"/>
      <c r="S948" s="3"/>
      <c r="T948" s="3"/>
      <c r="U948" s="3"/>
      <c r="V948" s="3"/>
      <c r="W948" s="3"/>
      <c r="X948" s="3"/>
      <c r="Y948" s="3"/>
      <c r="Z948" s="3"/>
    </row>
    <row r="949" spans="1:26" ht="22.5" customHeight="1" x14ac:dyDescent="0.85">
      <c r="A949" s="166"/>
      <c r="B949" s="167"/>
      <c r="C949" s="167"/>
      <c r="D949" s="147"/>
      <c r="E949" s="147"/>
      <c r="F949" s="147"/>
      <c r="G949" s="147"/>
      <c r="H949" s="147"/>
      <c r="I949" s="147"/>
      <c r="J949" s="147"/>
      <c r="K949" s="3"/>
      <c r="L949" s="3"/>
      <c r="M949" s="3"/>
      <c r="N949" s="3"/>
      <c r="O949" s="3"/>
      <c r="P949" s="3"/>
      <c r="Q949" s="3"/>
      <c r="R949" s="3"/>
      <c r="S949" s="3"/>
      <c r="T949" s="3"/>
      <c r="U949" s="3"/>
      <c r="V949" s="3"/>
      <c r="W949" s="3"/>
      <c r="X949" s="3"/>
      <c r="Y949" s="3"/>
      <c r="Z949" s="3"/>
    </row>
    <row r="950" spans="1:26" ht="22.5" customHeight="1" x14ac:dyDescent="0.85">
      <c r="A950" s="166"/>
      <c r="B950" s="167"/>
      <c r="C950" s="167"/>
      <c r="D950" s="147"/>
      <c r="E950" s="147"/>
      <c r="F950" s="147"/>
      <c r="G950" s="147"/>
      <c r="H950" s="147"/>
      <c r="I950" s="147"/>
      <c r="J950" s="147"/>
      <c r="K950" s="3"/>
      <c r="L950" s="3"/>
      <c r="M950" s="3"/>
      <c r="N950" s="3"/>
      <c r="O950" s="3"/>
      <c r="P950" s="3"/>
      <c r="Q950" s="3"/>
      <c r="R950" s="3"/>
      <c r="S950" s="3"/>
      <c r="T950" s="3"/>
      <c r="U950" s="3"/>
      <c r="V950" s="3"/>
      <c r="W950" s="3"/>
      <c r="X950" s="3"/>
      <c r="Y950" s="3"/>
      <c r="Z950" s="3"/>
    </row>
    <row r="951" spans="1:26" ht="22.5" customHeight="1" x14ac:dyDescent="0.85">
      <c r="A951" s="166"/>
      <c r="B951" s="167"/>
      <c r="C951" s="167"/>
      <c r="D951" s="147"/>
      <c r="E951" s="147"/>
      <c r="F951" s="147"/>
      <c r="G951" s="147"/>
      <c r="H951" s="147"/>
      <c r="I951" s="147"/>
      <c r="J951" s="147"/>
      <c r="K951" s="3"/>
      <c r="L951" s="3"/>
      <c r="M951" s="3"/>
      <c r="N951" s="3"/>
      <c r="O951" s="3"/>
      <c r="P951" s="3"/>
      <c r="Q951" s="3"/>
      <c r="R951" s="3"/>
      <c r="S951" s="3"/>
      <c r="T951" s="3"/>
      <c r="U951" s="3"/>
      <c r="V951" s="3"/>
      <c r="W951" s="3"/>
      <c r="X951" s="3"/>
      <c r="Y951" s="3"/>
      <c r="Z951" s="3"/>
    </row>
    <row r="952" spans="1:26" ht="22.5" customHeight="1" x14ac:dyDescent="0.85">
      <c r="A952" s="166"/>
      <c r="B952" s="167"/>
      <c r="C952" s="167"/>
      <c r="D952" s="147"/>
      <c r="E952" s="147"/>
      <c r="F952" s="147"/>
      <c r="G952" s="147"/>
      <c r="H952" s="147"/>
      <c r="I952" s="147"/>
      <c r="J952" s="147"/>
      <c r="K952" s="3"/>
      <c r="L952" s="3"/>
      <c r="M952" s="3"/>
      <c r="N952" s="3"/>
      <c r="O952" s="3"/>
      <c r="P952" s="3"/>
      <c r="Q952" s="3"/>
      <c r="R952" s="3"/>
      <c r="S952" s="3"/>
      <c r="T952" s="3"/>
      <c r="U952" s="3"/>
      <c r="V952" s="3"/>
      <c r="W952" s="3"/>
      <c r="X952" s="3"/>
      <c r="Y952" s="3"/>
      <c r="Z952" s="3"/>
    </row>
    <row r="953" spans="1:26" ht="22.5" customHeight="1" x14ac:dyDescent="0.85">
      <c r="A953" s="166"/>
      <c r="B953" s="167"/>
      <c r="C953" s="167"/>
      <c r="D953" s="147"/>
      <c r="E953" s="147"/>
      <c r="F953" s="147"/>
      <c r="G953" s="147"/>
      <c r="H953" s="147"/>
      <c r="I953" s="147"/>
      <c r="J953" s="147"/>
      <c r="K953" s="3"/>
      <c r="L953" s="3"/>
      <c r="M953" s="3"/>
      <c r="N953" s="3"/>
      <c r="O953" s="3"/>
      <c r="P953" s="3"/>
      <c r="Q953" s="3"/>
      <c r="R953" s="3"/>
      <c r="S953" s="3"/>
      <c r="T953" s="3"/>
      <c r="U953" s="3"/>
      <c r="V953" s="3"/>
      <c r="W953" s="3"/>
      <c r="X953" s="3"/>
      <c r="Y953" s="3"/>
      <c r="Z953" s="3"/>
    </row>
    <row r="954" spans="1:26" ht="22.5" customHeight="1" x14ac:dyDescent="0.85">
      <c r="A954" s="166"/>
      <c r="B954" s="167"/>
      <c r="C954" s="167"/>
      <c r="D954" s="147"/>
      <c r="E954" s="147"/>
      <c r="F954" s="147"/>
      <c r="G954" s="147"/>
      <c r="H954" s="147"/>
      <c r="I954" s="147"/>
      <c r="J954" s="147"/>
      <c r="K954" s="3"/>
      <c r="L954" s="3"/>
      <c r="M954" s="3"/>
      <c r="N954" s="3"/>
      <c r="O954" s="3"/>
      <c r="P954" s="3"/>
      <c r="Q954" s="3"/>
      <c r="R954" s="3"/>
      <c r="S954" s="3"/>
      <c r="T954" s="3"/>
      <c r="U954" s="3"/>
      <c r="V954" s="3"/>
      <c r="W954" s="3"/>
      <c r="X954" s="3"/>
      <c r="Y954" s="3"/>
      <c r="Z954" s="3"/>
    </row>
    <row r="955" spans="1:26" ht="22.5" customHeight="1" x14ac:dyDescent="0.85">
      <c r="A955" s="166"/>
      <c r="B955" s="167"/>
      <c r="C955" s="167"/>
      <c r="D955" s="147"/>
      <c r="E955" s="147"/>
      <c r="F955" s="147"/>
      <c r="G955" s="147"/>
      <c r="H955" s="147"/>
      <c r="I955" s="147"/>
      <c r="J955" s="147"/>
      <c r="K955" s="3"/>
      <c r="L955" s="3"/>
      <c r="M955" s="3"/>
      <c r="N955" s="3"/>
      <c r="O955" s="3"/>
      <c r="P955" s="3"/>
      <c r="Q955" s="3"/>
      <c r="R955" s="3"/>
      <c r="S955" s="3"/>
      <c r="T955" s="3"/>
      <c r="U955" s="3"/>
      <c r="V955" s="3"/>
      <c r="W955" s="3"/>
      <c r="X955" s="3"/>
      <c r="Y955" s="3"/>
      <c r="Z955" s="3"/>
    </row>
    <row r="956" spans="1:26" ht="22.5" customHeight="1" x14ac:dyDescent="0.85">
      <c r="A956" s="166"/>
      <c r="B956" s="167"/>
      <c r="C956" s="167"/>
      <c r="D956" s="147"/>
      <c r="E956" s="147"/>
      <c r="F956" s="147"/>
      <c r="G956" s="147"/>
      <c r="H956" s="147"/>
      <c r="I956" s="147"/>
      <c r="J956" s="147"/>
      <c r="K956" s="3"/>
      <c r="L956" s="3"/>
      <c r="M956" s="3"/>
      <c r="N956" s="3"/>
      <c r="O956" s="3"/>
      <c r="P956" s="3"/>
      <c r="Q956" s="3"/>
      <c r="R956" s="3"/>
      <c r="S956" s="3"/>
      <c r="T956" s="3"/>
      <c r="U956" s="3"/>
      <c r="V956" s="3"/>
      <c r="W956" s="3"/>
      <c r="X956" s="3"/>
      <c r="Y956" s="3"/>
      <c r="Z956" s="3"/>
    </row>
    <row r="957" spans="1:26" ht="22.5" customHeight="1" x14ac:dyDescent="0.85">
      <c r="A957" s="166"/>
      <c r="B957" s="167"/>
      <c r="C957" s="167"/>
      <c r="D957" s="147"/>
      <c r="E957" s="147"/>
      <c r="F957" s="147"/>
      <c r="G957" s="147"/>
      <c r="H957" s="147"/>
      <c r="I957" s="147"/>
      <c r="J957" s="147"/>
      <c r="K957" s="3"/>
      <c r="L957" s="3"/>
      <c r="M957" s="3"/>
      <c r="N957" s="3"/>
      <c r="O957" s="3"/>
      <c r="P957" s="3"/>
      <c r="Q957" s="3"/>
      <c r="R957" s="3"/>
      <c r="S957" s="3"/>
      <c r="T957" s="3"/>
      <c r="U957" s="3"/>
      <c r="V957" s="3"/>
      <c r="W957" s="3"/>
      <c r="X957" s="3"/>
      <c r="Y957" s="3"/>
      <c r="Z957" s="3"/>
    </row>
    <row r="958" spans="1:26" ht="22.5" customHeight="1" x14ac:dyDescent="0.85">
      <c r="A958" s="166"/>
      <c r="B958" s="167"/>
      <c r="C958" s="167"/>
      <c r="D958" s="147"/>
      <c r="E958" s="147"/>
      <c r="F958" s="147"/>
      <c r="G958" s="147"/>
      <c r="H958" s="147"/>
      <c r="I958" s="147"/>
      <c r="J958" s="147"/>
      <c r="K958" s="3"/>
      <c r="L958" s="3"/>
      <c r="M958" s="3"/>
      <c r="N958" s="3"/>
      <c r="O958" s="3"/>
      <c r="P958" s="3"/>
      <c r="Q958" s="3"/>
      <c r="R958" s="3"/>
      <c r="S958" s="3"/>
      <c r="T958" s="3"/>
      <c r="U958" s="3"/>
      <c r="V958" s="3"/>
      <c r="W958" s="3"/>
      <c r="X958" s="3"/>
      <c r="Y958" s="3"/>
      <c r="Z958" s="3"/>
    </row>
    <row r="959" spans="1:26" ht="22.5" customHeight="1" x14ac:dyDescent="0.85">
      <c r="A959" s="166"/>
      <c r="B959" s="167"/>
      <c r="C959" s="167"/>
      <c r="D959" s="147"/>
      <c r="E959" s="147"/>
      <c r="F959" s="147"/>
      <c r="G959" s="147"/>
      <c r="H959" s="147"/>
      <c r="I959" s="147"/>
      <c r="J959" s="147"/>
      <c r="K959" s="3"/>
      <c r="L959" s="3"/>
      <c r="M959" s="3"/>
      <c r="N959" s="3"/>
      <c r="O959" s="3"/>
      <c r="P959" s="3"/>
      <c r="Q959" s="3"/>
      <c r="R959" s="3"/>
      <c r="S959" s="3"/>
      <c r="T959" s="3"/>
      <c r="U959" s="3"/>
      <c r="V959" s="3"/>
      <c r="W959" s="3"/>
      <c r="X959" s="3"/>
      <c r="Y959" s="3"/>
      <c r="Z959" s="3"/>
    </row>
    <row r="960" spans="1:26" ht="22.5" customHeight="1" x14ac:dyDescent="0.85">
      <c r="A960" s="166"/>
      <c r="B960" s="167"/>
      <c r="C960" s="167"/>
      <c r="D960" s="147"/>
      <c r="E960" s="147"/>
      <c r="F960" s="147"/>
      <c r="G960" s="147"/>
      <c r="H960" s="147"/>
      <c r="I960" s="147"/>
      <c r="J960" s="147"/>
      <c r="K960" s="3"/>
      <c r="L960" s="3"/>
      <c r="M960" s="3"/>
      <c r="N960" s="3"/>
      <c r="O960" s="3"/>
      <c r="P960" s="3"/>
      <c r="Q960" s="3"/>
      <c r="R960" s="3"/>
      <c r="S960" s="3"/>
      <c r="T960" s="3"/>
      <c r="U960" s="3"/>
      <c r="V960" s="3"/>
      <c r="W960" s="3"/>
      <c r="X960" s="3"/>
      <c r="Y960" s="3"/>
      <c r="Z960" s="3"/>
    </row>
    <row r="961" spans="1:26" ht="22.5" customHeight="1" x14ac:dyDescent="0.85">
      <c r="A961" s="166"/>
      <c r="B961" s="167"/>
      <c r="C961" s="167"/>
      <c r="D961" s="147"/>
      <c r="E961" s="147"/>
      <c r="F961" s="147"/>
      <c r="G961" s="147"/>
      <c r="H961" s="147"/>
      <c r="I961" s="147"/>
      <c r="J961" s="147"/>
      <c r="K961" s="3"/>
      <c r="L961" s="3"/>
      <c r="M961" s="3"/>
      <c r="N961" s="3"/>
      <c r="O961" s="3"/>
      <c r="P961" s="3"/>
      <c r="Q961" s="3"/>
      <c r="R961" s="3"/>
      <c r="S961" s="3"/>
      <c r="T961" s="3"/>
      <c r="U961" s="3"/>
      <c r="V961" s="3"/>
      <c r="W961" s="3"/>
      <c r="X961" s="3"/>
      <c r="Y961" s="3"/>
      <c r="Z961" s="3"/>
    </row>
    <row r="962" spans="1:26" ht="22.5" customHeight="1" x14ac:dyDescent="0.85">
      <c r="A962" s="166"/>
      <c r="B962" s="167"/>
      <c r="C962" s="167"/>
      <c r="D962" s="147"/>
      <c r="E962" s="147"/>
      <c r="F962" s="147"/>
      <c r="G962" s="147"/>
      <c r="H962" s="147"/>
      <c r="I962" s="147"/>
      <c r="J962" s="147"/>
      <c r="K962" s="3"/>
      <c r="L962" s="3"/>
      <c r="M962" s="3"/>
      <c r="N962" s="3"/>
      <c r="O962" s="3"/>
      <c r="P962" s="3"/>
      <c r="Q962" s="3"/>
      <c r="R962" s="3"/>
      <c r="S962" s="3"/>
      <c r="T962" s="3"/>
      <c r="U962" s="3"/>
      <c r="V962" s="3"/>
      <c r="W962" s="3"/>
      <c r="X962" s="3"/>
      <c r="Y962" s="3"/>
      <c r="Z962" s="3"/>
    </row>
    <row r="963" spans="1:26" ht="22.5" customHeight="1" x14ac:dyDescent="0.85">
      <c r="A963" s="166"/>
      <c r="B963" s="167"/>
      <c r="C963" s="167"/>
      <c r="D963" s="147"/>
      <c r="E963" s="147"/>
      <c r="F963" s="147"/>
      <c r="G963" s="147"/>
      <c r="H963" s="147"/>
      <c r="I963" s="147"/>
      <c r="J963" s="147"/>
      <c r="K963" s="3"/>
      <c r="L963" s="3"/>
      <c r="M963" s="3"/>
      <c r="N963" s="3"/>
      <c r="O963" s="3"/>
      <c r="P963" s="3"/>
      <c r="Q963" s="3"/>
      <c r="R963" s="3"/>
      <c r="S963" s="3"/>
      <c r="T963" s="3"/>
      <c r="U963" s="3"/>
      <c r="V963" s="3"/>
      <c r="W963" s="3"/>
      <c r="X963" s="3"/>
      <c r="Y963" s="3"/>
      <c r="Z963" s="3"/>
    </row>
    <row r="964" spans="1:26" ht="22.5" customHeight="1" x14ac:dyDescent="0.85">
      <c r="A964" s="166"/>
      <c r="B964" s="167"/>
      <c r="C964" s="167"/>
      <c r="D964" s="147"/>
      <c r="E964" s="147"/>
      <c r="F964" s="147"/>
      <c r="G964" s="147"/>
      <c r="H964" s="147"/>
      <c r="I964" s="147"/>
      <c r="J964" s="147"/>
      <c r="K964" s="3"/>
      <c r="L964" s="3"/>
      <c r="M964" s="3"/>
      <c r="N964" s="3"/>
      <c r="O964" s="3"/>
      <c r="P964" s="3"/>
      <c r="Q964" s="3"/>
      <c r="R964" s="3"/>
      <c r="S964" s="3"/>
      <c r="T964" s="3"/>
      <c r="U964" s="3"/>
      <c r="V964" s="3"/>
      <c r="W964" s="3"/>
      <c r="X964" s="3"/>
      <c r="Y964" s="3"/>
      <c r="Z964" s="3"/>
    </row>
    <row r="965" spans="1:26" ht="22.5" customHeight="1" x14ac:dyDescent="0.85">
      <c r="A965" s="166"/>
      <c r="B965" s="167"/>
      <c r="C965" s="167"/>
      <c r="D965" s="147"/>
      <c r="E965" s="147"/>
      <c r="F965" s="147"/>
      <c r="G965" s="147"/>
      <c r="H965" s="147"/>
      <c r="I965" s="147"/>
      <c r="J965" s="147"/>
      <c r="K965" s="3"/>
      <c r="L965" s="3"/>
      <c r="M965" s="3"/>
      <c r="N965" s="3"/>
      <c r="O965" s="3"/>
      <c r="P965" s="3"/>
      <c r="Q965" s="3"/>
      <c r="R965" s="3"/>
      <c r="S965" s="3"/>
      <c r="T965" s="3"/>
      <c r="U965" s="3"/>
      <c r="V965" s="3"/>
      <c r="W965" s="3"/>
      <c r="X965" s="3"/>
      <c r="Y965" s="3"/>
      <c r="Z965" s="3"/>
    </row>
    <row r="966" spans="1:26" ht="22.5" customHeight="1" x14ac:dyDescent="0.85">
      <c r="A966" s="166"/>
      <c r="B966" s="167"/>
      <c r="C966" s="167"/>
      <c r="D966" s="147"/>
      <c r="E966" s="147"/>
      <c r="F966" s="147"/>
      <c r="G966" s="147"/>
      <c r="H966" s="147"/>
      <c r="I966" s="147"/>
      <c r="J966" s="147"/>
      <c r="K966" s="3"/>
      <c r="L966" s="3"/>
      <c r="M966" s="3"/>
      <c r="N966" s="3"/>
      <c r="O966" s="3"/>
      <c r="P966" s="3"/>
      <c r="Q966" s="3"/>
      <c r="R966" s="3"/>
      <c r="S966" s="3"/>
      <c r="T966" s="3"/>
      <c r="U966" s="3"/>
      <c r="V966" s="3"/>
      <c r="W966" s="3"/>
      <c r="X966" s="3"/>
      <c r="Y966" s="3"/>
      <c r="Z966" s="3"/>
    </row>
    <row r="967" spans="1:26" ht="22.5" customHeight="1" x14ac:dyDescent="0.85">
      <c r="A967" s="166"/>
      <c r="B967" s="167"/>
      <c r="C967" s="167"/>
      <c r="D967" s="147"/>
      <c r="E967" s="147"/>
      <c r="F967" s="147"/>
      <c r="G967" s="147"/>
      <c r="H967" s="147"/>
      <c r="I967" s="147"/>
      <c r="J967" s="147"/>
      <c r="K967" s="3"/>
      <c r="L967" s="3"/>
      <c r="M967" s="3"/>
      <c r="N967" s="3"/>
      <c r="O967" s="3"/>
      <c r="P967" s="3"/>
      <c r="Q967" s="3"/>
      <c r="R967" s="3"/>
      <c r="S967" s="3"/>
      <c r="T967" s="3"/>
      <c r="U967" s="3"/>
      <c r="V967" s="3"/>
      <c r="W967" s="3"/>
      <c r="X967" s="3"/>
      <c r="Y967" s="3"/>
      <c r="Z967" s="3"/>
    </row>
    <row r="968" spans="1:26" ht="22.5" customHeight="1" x14ac:dyDescent="0.85">
      <c r="A968" s="166"/>
      <c r="B968" s="167"/>
      <c r="C968" s="167"/>
      <c r="D968" s="147"/>
      <c r="E968" s="147"/>
      <c r="F968" s="147"/>
      <c r="G968" s="147"/>
      <c r="H968" s="147"/>
      <c r="I968" s="147"/>
      <c r="J968" s="147"/>
      <c r="K968" s="3"/>
      <c r="L968" s="3"/>
      <c r="M968" s="3"/>
      <c r="N968" s="3"/>
      <c r="O968" s="3"/>
      <c r="P968" s="3"/>
      <c r="Q968" s="3"/>
      <c r="R968" s="3"/>
      <c r="S968" s="3"/>
      <c r="T968" s="3"/>
      <c r="U968" s="3"/>
      <c r="V968" s="3"/>
      <c r="W968" s="3"/>
      <c r="X968" s="3"/>
      <c r="Y968" s="3"/>
      <c r="Z968" s="3"/>
    </row>
    <row r="969" spans="1:26" ht="22.5" customHeight="1" x14ac:dyDescent="0.85">
      <c r="A969" s="166"/>
      <c r="B969" s="167"/>
      <c r="C969" s="167"/>
      <c r="D969" s="147"/>
      <c r="E969" s="147"/>
      <c r="F969" s="147"/>
      <c r="G969" s="147"/>
      <c r="H969" s="147"/>
      <c r="I969" s="147"/>
      <c r="J969" s="147"/>
      <c r="K969" s="3"/>
      <c r="L969" s="3"/>
      <c r="M969" s="3"/>
      <c r="N969" s="3"/>
      <c r="O969" s="3"/>
      <c r="P969" s="3"/>
      <c r="Q969" s="3"/>
      <c r="R969" s="3"/>
      <c r="S969" s="3"/>
      <c r="T969" s="3"/>
      <c r="U969" s="3"/>
      <c r="V969" s="3"/>
      <c r="W969" s="3"/>
      <c r="X969" s="3"/>
      <c r="Y969" s="3"/>
      <c r="Z969" s="3"/>
    </row>
    <row r="970" spans="1:26" ht="22.5" customHeight="1" x14ac:dyDescent="0.85">
      <c r="A970" s="166"/>
      <c r="B970" s="167"/>
      <c r="C970" s="167"/>
      <c r="D970" s="147"/>
      <c r="E970" s="147"/>
      <c r="F970" s="147"/>
      <c r="G970" s="147"/>
      <c r="H970" s="147"/>
      <c r="I970" s="147"/>
      <c r="J970" s="147"/>
      <c r="K970" s="3"/>
      <c r="L970" s="3"/>
      <c r="M970" s="3"/>
      <c r="N970" s="3"/>
      <c r="O970" s="3"/>
      <c r="P970" s="3"/>
      <c r="Q970" s="3"/>
      <c r="R970" s="3"/>
      <c r="S970" s="3"/>
      <c r="T970" s="3"/>
      <c r="U970" s="3"/>
      <c r="V970" s="3"/>
      <c r="W970" s="3"/>
      <c r="X970" s="3"/>
      <c r="Y970" s="3"/>
      <c r="Z970" s="3"/>
    </row>
    <row r="971" spans="1:26" ht="22.5" customHeight="1" x14ac:dyDescent="0.85">
      <c r="A971" s="166"/>
      <c r="B971" s="167"/>
      <c r="C971" s="167"/>
      <c r="D971" s="147"/>
      <c r="E971" s="147"/>
      <c r="F971" s="147"/>
      <c r="G971" s="147"/>
      <c r="H971" s="147"/>
      <c r="I971" s="147"/>
      <c r="J971" s="147"/>
      <c r="K971" s="3"/>
      <c r="L971" s="3"/>
      <c r="M971" s="3"/>
      <c r="N971" s="3"/>
      <c r="O971" s="3"/>
      <c r="P971" s="3"/>
      <c r="Q971" s="3"/>
      <c r="R971" s="3"/>
      <c r="S971" s="3"/>
      <c r="T971" s="3"/>
      <c r="U971" s="3"/>
      <c r="V971" s="3"/>
      <c r="W971" s="3"/>
      <c r="X971" s="3"/>
      <c r="Y971" s="3"/>
      <c r="Z971" s="3"/>
    </row>
    <row r="972" spans="1:26" ht="22.5" customHeight="1" x14ac:dyDescent="0.85">
      <c r="A972" s="166"/>
      <c r="B972" s="167"/>
      <c r="C972" s="167"/>
      <c r="D972" s="147"/>
      <c r="E972" s="147"/>
      <c r="F972" s="147"/>
      <c r="G972" s="147"/>
      <c r="H972" s="147"/>
      <c r="I972" s="147"/>
      <c r="J972" s="147"/>
      <c r="K972" s="3"/>
      <c r="L972" s="3"/>
      <c r="M972" s="3"/>
      <c r="N972" s="3"/>
      <c r="O972" s="3"/>
      <c r="P972" s="3"/>
      <c r="Q972" s="3"/>
      <c r="R972" s="3"/>
      <c r="S972" s="3"/>
      <c r="T972" s="3"/>
      <c r="U972" s="3"/>
      <c r="V972" s="3"/>
      <c r="W972" s="3"/>
      <c r="X972" s="3"/>
      <c r="Y972" s="3"/>
      <c r="Z972" s="3"/>
    </row>
    <row r="973" spans="1:26" ht="22.5" customHeight="1" x14ac:dyDescent="0.85">
      <c r="A973" s="166"/>
      <c r="B973" s="167"/>
      <c r="C973" s="167"/>
      <c r="D973" s="147"/>
      <c r="E973" s="147"/>
      <c r="F973" s="147"/>
      <c r="G973" s="147"/>
      <c r="H973" s="147"/>
      <c r="I973" s="147"/>
      <c r="J973" s="147"/>
      <c r="K973" s="3"/>
      <c r="L973" s="3"/>
      <c r="M973" s="3"/>
      <c r="N973" s="3"/>
      <c r="O973" s="3"/>
      <c r="P973" s="3"/>
      <c r="Q973" s="3"/>
      <c r="R973" s="3"/>
      <c r="S973" s="3"/>
      <c r="T973" s="3"/>
      <c r="U973" s="3"/>
      <c r="V973" s="3"/>
      <c r="W973" s="3"/>
      <c r="X973" s="3"/>
      <c r="Y973" s="3"/>
      <c r="Z973" s="3"/>
    </row>
    <row r="974" spans="1:26" ht="22.5" customHeight="1" x14ac:dyDescent="0.85">
      <c r="A974" s="166"/>
      <c r="B974" s="167"/>
      <c r="C974" s="167"/>
      <c r="D974" s="147"/>
      <c r="E974" s="147"/>
      <c r="F974" s="147"/>
      <c r="G974" s="147"/>
      <c r="H974" s="147"/>
      <c r="I974" s="147"/>
      <c r="J974" s="147"/>
      <c r="K974" s="3"/>
      <c r="L974" s="3"/>
      <c r="M974" s="3"/>
      <c r="N974" s="3"/>
      <c r="O974" s="3"/>
      <c r="P974" s="3"/>
      <c r="Q974" s="3"/>
      <c r="R974" s="3"/>
      <c r="S974" s="3"/>
      <c r="T974" s="3"/>
      <c r="U974" s="3"/>
      <c r="V974" s="3"/>
      <c r="W974" s="3"/>
      <c r="X974" s="3"/>
      <c r="Y974" s="3"/>
      <c r="Z974" s="3"/>
    </row>
    <row r="975" spans="1:26" ht="22.5" customHeight="1" x14ac:dyDescent="0.85">
      <c r="A975" s="166"/>
      <c r="B975" s="167"/>
      <c r="C975" s="167"/>
      <c r="D975" s="147"/>
      <c r="E975" s="147"/>
      <c r="F975" s="147"/>
      <c r="G975" s="147"/>
      <c r="H975" s="147"/>
      <c r="I975" s="147"/>
      <c r="J975" s="147"/>
      <c r="K975" s="3"/>
      <c r="L975" s="3"/>
      <c r="M975" s="3"/>
      <c r="N975" s="3"/>
      <c r="O975" s="3"/>
      <c r="P975" s="3"/>
      <c r="Q975" s="3"/>
      <c r="R975" s="3"/>
      <c r="S975" s="3"/>
      <c r="T975" s="3"/>
      <c r="U975" s="3"/>
      <c r="V975" s="3"/>
      <c r="W975" s="3"/>
      <c r="X975" s="3"/>
      <c r="Y975" s="3"/>
      <c r="Z975" s="3"/>
    </row>
    <row r="976" spans="1:26" ht="22.5" customHeight="1" x14ac:dyDescent="0.85">
      <c r="A976" s="166"/>
      <c r="B976" s="167"/>
      <c r="C976" s="167"/>
      <c r="D976" s="147"/>
      <c r="E976" s="147"/>
      <c r="F976" s="147"/>
      <c r="G976" s="147"/>
      <c r="H976" s="147"/>
      <c r="I976" s="147"/>
      <c r="J976" s="147"/>
      <c r="K976" s="3"/>
      <c r="L976" s="3"/>
      <c r="M976" s="3"/>
      <c r="N976" s="3"/>
      <c r="O976" s="3"/>
      <c r="P976" s="3"/>
      <c r="Q976" s="3"/>
      <c r="R976" s="3"/>
      <c r="S976" s="3"/>
      <c r="T976" s="3"/>
      <c r="U976" s="3"/>
      <c r="V976" s="3"/>
      <c r="W976" s="3"/>
      <c r="X976" s="3"/>
      <c r="Y976" s="3"/>
      <c r="Z976" s="3"/>
    </row>
    <row r="977" spans="1:26" ht="22.5" customHeight="1" x14ac:dyDescent="0.85">
      <c r="A977" s="166"/>
      <c r="B977" s="167"/>
      <c r="C977" s="167"/>
      <c r="D977" s="147"/>
      <c r="E977" s="147"/>
      <c r="F977" s="147"/>
      <c r="G977" s="147"/>
      <c r="H977" s="147"/>
      <c r="I977" s="147"/>
      <c r="J977" s="147"/>
      <c r="K977" s="3"/>
      <c r="L977" s="3"/>
      <c r="M977" s="3"/>
      <c r="N977" s="3"/>
      <c r="O977" s="3"/>
      <c r="P977" s="3"/>
      <c r="Q977" s="3"/>
      <c r="R977" s="3"/>
      <c r="S977" s="3"/>
      <c r="T977" s="3"/>
      <c r="U977" s="3"/>
      <c r="V977" s="3"/>
      <c r="W977" s="3"/>
      <c r="X977" s="3"/>
      <c r="Y977" s="3"/>
      <c r="Z977" s="3"/>
    </row>
    <row r="978" spans="1:26" ht="22.5" customHeight="1" x14ac:dyDescent="0.85">
      <c r="A978" s="166"/>
      <c r="B978" s="167"/>
      <c r="C978" s="167"/>
      <c r="D978" s="147"/>
      <c r="E978" s="147"/>
      <c r="F978" s="147"/>
      <c r="G978" s="147"/>
      <c r="H978" s="147"/>
      <c r="I978" s="147"/>
      <c r="J978" s="147"/>
      <c r="K978" s="3"/>
      <c r="L978" s="3"/>
      <c r="M978" s="3"/>
      <c r="N978" s="3"/>
      <c r="O978" s="3"/>
      <c r="P978" s="3"/>
      <c r="Q978" s="3"/>
      <c r="R978" s="3"/>
      <c r="S978" s="3"/>
      <c r="T978" s="3"/>
      <c r="U978" s="3"/>
      <c r="V978" s="3"/>
      <c r="W978" s="3"/>
      <c r="X978" s="3"/>
      <c r="Y978" s="3"/>
      <c r="Z978" s="3"/>
    </row>
    <row r="979" spans="1:26" ht="22.5" customHeight="1" x14ac:dyDescent="0.85">
      <c r="A979" s="166"/>
      <c r="B979" s="167"/>
      <c r="C979" s="167"/>
      <c r="D979" s="147"/>
      <c r="E979" s="147"/>
      <c r="F979" s="147"/>
      <c r="G979" s="147"/>
      <c r="H979" s="147"/>
      <c r="I979" s="147"/>
      <c r="J979" s="147"/>
      <c r="K979" s="3"/>
      <c r="L979" s="3"/>
      <c r="M979" s="3"/>
      <c r="N979" s="3"/>
      <c r="O979" s="3"/>
      <c r="P979" s="3"/>
      <c r="Q979" s="3"/>
      <c r="R979" s="3"/>
      <c r="S979" s="3"/>
      <c r="T979" s="3"/>
      <c r="U979" s="3"/>
      <c r="V979" s="3"/>
      <c r="W979" s="3"/>
      <c r="X979" s="3"/>
      <c r="Y979" s="3"/>
      <c r="Z979" s="3"/>
    </row>
    <row r="980" spans="1:26" ht="22.5" customHeight="1" x14ac:dyDescent="0.85">
      <c r="A980" s="166"/>
      <c r="B980" s="167"/>
      <c r="C980" s="167"/>
      <c r="D980" s="147"/>
      <c r="E980" s="147"/>
      <c r="F980" s="147"/>
      <c r="G980" s="147"/>
      <c r="H980" s="147"/>
      <c r="I980" s="147"/>
      <c r="J980" s="147"/>
      <c r="K980" s="3"/>
      <c r="L980" s="3"/>
      <c r="M980" s="3"/>
      <c r="N980" s="3"/>
      <c r="O980" s="3"/>
      <c r="P980" s="3"/>
      <c r="Q980" s="3"/>
      <c r="R980" s="3"/>
      <c r="S980" s="3"/>
      <c r="T980" s="3"/>
      <c r="U980" s="3"/>
      <c r="V980" s="3"/>
      <c r="W980" s="3"/>
      <c r="X980" s="3"/>
      <c r="Y980" s="3"/>
      <c r="Z980" s="3"/>
    </row>
    <row r="981" spans="1:26" ht="22.5" customHeight="1" x14ac:dyDescent="0.85">
      <c r="A981" s="166"/>
      <c r="B981" s="167"/>
      <c r="C981" s="167"/>
      <c r="D981" s="147"/>
      <c r="E981" s="147"/>
      <c r="F981" s="147"/>
      <c r="G981" s="147"/>
      <c r="H981" s="147"/>
      <c r="I981" s="147"/>
      <c r="J981" s="147"/>
      <c r="K981" s="3"/>
      <c r="L981" s="3"/>
      <c r="M981" s="3"/>
      <c r="N981" s="3"/>
      <c r="O981" s="3"/>
      <c r="P981" s="3"/>
      <c r="Q981" s="3"/>
      <c r="R981" s="3"/>
      <c r="S981" s="3"/>
      <c r="T981" s="3"/>
      <c r="U981" s="3"/>
      <c r="V981" s="3"/>
      <c r="W981" s="3"/>
      <c r="X981" s="3"/>
      <c r="Y981" s="3"/>
      <c r="Z981" s="3"/>
    </row>
    <row r="982" spans="1:26" ht="22.5" customHeight="1" x14ac:dyDescent="0.85">
      <c r="A982" s="166"/>
      <c r="B982" s="167"/>
      <c r="C982" s="167"/>
      <c r="D982" s="147"/>
      <c r="E982" s="147"/>
      <c r="F982" s="147"/>
      <c r="G982" s="147"/>
      <c r="H982" s="147"/>
      <c r="I982" s="147"/>
      <c r="J982" s="147"/>
      <c r="K982" s="3"/>
      <c r="L982" s="3"/>
      <c r="M982" s="3"/>
      <c r="N982" s="3"/>
      <c r="O982" s="3"/>
      <c r="P982" s="3"/>
      <c r="Q982" s="3"/>
      <c r="R982" s="3"/>
      <c r="S982" s="3"/>
      <c r="T982" s="3"/>
      <c r="U982" s="3"/>
      <c r="V982" s="3"/>
      <c r="W982" s="3"/>
      <c r="X982" s="3"/>
      <c r="Y982" s="3"/>
      <c r="Z982" s="3"/>
    </row>
    <row r="983" spans="1:26" ht="22.5" customHeight="1" x14ac:dyDescent="0.85">
      <c r="A983" s="166"/>
      <c r="B983" s="167"/>
      <c r="C983" s="167"/>
      <c r="D983" s="147"/>
      <c r="E983" s="147"/>
      <c r="F983" s="147"/>
      <c r="G983" s="147"/>
      <c r="H983" s="147"/>
      <c r="I983" s="147"/>
      <c r="J983" s="147"/>
      <c r="K983" s="3"/>
      <c r="L983" s="3"/>
      <c r="M983" s="3"/>
      <c r="N983" s="3"/>
      <c r="O983" s="3"/>
      <c r="P983" s="3"/>
      <c r="Q983" s="3"/>
      <c r="R983" s="3"/>
      <c r="S983" s="3"/>
      <c r="T983" s="3"/>
      <c r="U983" s="3"/>
      <c r="V983" s="3"/>
      <c r="W983" s="3"/>
      <c r="X983" s="3"/>
      <c r="Y983" s="3"/>
      <c r="Z983" s="3"/>
    </row>
    <row r="984" spans="1:26" ht="22.5" customHeight="1" x14ac:dyDescent="0.85">
      <c r="A984" s="166"/>
      <c r="B984" s="167"/>
      <c r="C984" s="167"/>
      <c r="D984" s="147"/>
      <c r="E984" s="147"/>
      <c r="F984" s="147"/>
      <c r="G984" s="147"/>
      <c r="H984" s="147"/>
      <c r="I984" s="147"/>
      <c r="J984" s="147"/>
      <c r="K984" s="3"/>
      <c r="L984" s="3"/>
      <c r="M984" s="3"/>
      <c r="N984" s="3"/>
      <c r="O984" s="3"/>
      <c r="P984" s="3"/>
      <c r="Q984" s="3"/>
      <c r="R984" s="3"/>
      <c r="S984" s="3"/>
      <c r="T984" s="3"/>
      <c r="U984" s="3"/>
      <c r="V984" s="3"/>
      <c r="W984" s="3"/>
      <c r="X984" s="3"/>
      <c r="Y984" s="3"/>
      <c r="Z984" s="3"/>
    </row>
    <row r="985" spans="1:26" ht="22.5" customHeight="1" x14ac:dyDescent="0.85">
      <c r="A985" s="166"/>
      <c r="B985" s="167"/>
      <c r="C985" s="167"/>
      <c r="D985" s="147"/>
      <c r="E985" s="147"/>
      <c r="F985" s="147"/>
      <c r="G985" s="147"/>
      <c r="H985" s="147"/>
      <c r="I985" s="147"/>
      <c r="J985" s="147"/>
      <c r="K985" s="3"/>
      <c r="L985" s="3"/>
      <c r="M985" s="3"/>
      <c r="N985" s="3"/>
      <c r="O985" s="3"/>
      <c r="P985" s="3"/>
      <c r="Q985" s="3"/>
      <c r="R985" s="3"/>
      <c r="S985" s="3"/>
      <c r="T985" s="3"/>
      <c r="U985" s="3"/>
      <c r="V985" s="3"/>
      <c r="W985" s="3"/>
      <c r="X985" s="3"/>
      <c r="Y985" s="3"/>
      <c r="Z985" s="3"/>
    </row>
    <row r="986" spans="1:26" ht="22.5" customHeight="1" x14ac:dyDescent="0.85">
      <c r="A986" s="166"/>
      <c r="B986" s="167"/>
      <c r="C986" s="167"/>
      <c r="D986" s="147"/>
      <c r="E986" s="147"/>
      <c r="F986" s="147"/>
      <c r="G986" s="147"/>
      <c r="H986" s="147"/>
      <c r="I986" s="147"/>
      <c r="J986" s="147"/>
      <c r="K986" s="3"/>
      <c r="L986" s="3"/>
      <c r="M986" s="3"/>
      <c r="N986" s="3"/>
      <c r="O986" s="3"/>
      <c r="P986" s="3"/>
      <c r="Q986" s="3"/>
      <c r="R986" s="3"/>
      <c r="S986" s="3"/>
      <c r="T986" s="3"/>
      <c r="U986" s="3"/>
      <c r="V986" s="3"/>
      <c r="W986" s="3"/>
      <c r="X986" s="3"/>
      <c r="Y986" s="3"/>
      <c r="Z986" s="3"/>
    </row>
    <row r="987" spans="1:26" ht="22.5" customHeight="1" x14ac:dyDescent="0.85">
      <c r="A987" s="166"/>
      <c r="B987" s="167"/>
      <c r="C987" s="167"/>
      <c r="D987" s="147"/>
      <c r="E987" s="147"/>
      <c r="F987" s="147"/>
      <c r="G987" s="147"/>
      <c r="H987" s="147"/>
      <c r="I987" s="147"/>
      <c r="J987" s="147"/>
      <c r="K987" s="3"/>
      <c r="L987" s="3"/>
      <c r="M987" s="3"/>
      <c r="N987" s="3"/>
      <c r="O987" s="3"/>
      <c r="P987" s="3"/>
      <c r="Q987" s="3"/>
      <c r="R987" s="3"/>
      <c r="S987" s="3"/>
      <c r="T987" s="3"/>
      <c r="U987" s="3"/>
      <c r="V987" s="3"/>
      <c r="W987" s="3"/>
      <c r="X987" s="3"/>
      <c r="Y987" s="3"/>
      <c r="Z987" s="3"/>
    </row>
    <row r="988" spans="1:26" ht="22.5" customHeight="1" x14ac:dyDescent="0.85">
      <c r="A988" s="166"/>
      <c r="B988" s="167"/>
      <c r="C988" s="167"/>
      <c r="D988" s="147"/>
      <c r="E988" s="147"/>
      <c r="F988" s="147"/>
      <c r="G988" s="147"/>
      <c r="H988" s="147"/>
      <c r="I988" s="147"/>
      <c r="J988" s="147"/>
      <c r="K988" s="3"/>
      <c r="L988" s="3"/>
      <c r="M988" s="3"/>
      <c r="N988" s="3"/>
      <c r="O988" s="3"/>
      <c r="P988" s="3"/>
      <c r="Q988" s="3"/>
      <c r="R988" s="3"/>
      <c r="S988" s="3"/>
      <c r="T988" s="3"/>
      <c r="U988" s="3"/>
      <c r="V988" s="3"/>
      <c r="W988" s="3"/>
      <c r="X988" s="3"/>
      <c r="Y988" s="3"/>
      <c r="Z988" s="3"/>
    </row>
    <row r="989" spans="1:26" ht="22.5" customHeight="1" x14ac:dyDescent="0.85">
      <c r="A989" s="166"/>
      <c r="B989" s="167"/>
      <c r="C989" s="167"/>
      <c r="D989" s="147"/>
      <c r="E989" s="147"/>
      <c r="F989" s="147"/>
      <c r="G989" s="147"/>
      <c r="H989" s="147"/>
      <c r="I989" s="147"/>
      <c r="J989" s="147"/>
      <c r="K989" s="3"/>
      <c r="L989" s="3"/>
      <c r="M989" s="3"/>
      <c r="N989" s="3"/>
      <c r="O989" s="3"/>
      <c r="P989" s="3"/>
      <c r="Q989" s="3"/>
      <c r="R989" s="3"/>
      <c r="S989" s="3"/>
      <c r="T989" s="3"/>
      <c r="U989" s="3"/>
      <c r="V989" s="3"/>
      <c r="W989" s="3"/>
      <c r="X989" s="3"/>
      <c r="Y989" s="3"/>
      <c r="Z989" s="3"/>
    </row>
    <row r="990" spans="1:26" ht="22.5" customHeight="1" x14ac:dyDescent="0.85">
      <c r="A990" s="166"/>
      <c r="B990" s="167"/>
      <c r="C990" s="167"/>
      <c r="D990" s="147"/>
      <c r="E990" s="147"/>
      <c r="F990" s="147"/>
      <c r="G990" s="147"/>
      <c r="H990" s="147"/>
      <c r="I990" s="147"/>
      <c r="J990" s="147"/>
      <c r="K990" s="3"/>
      <c r="L990" s="3"/>
      <c r="M990" s="3"/>
      <c r="N990" s="3"/>
      <c r="O990" s="3"/>
      <c r="P990" s="3"/>
      <c r="Q990" s="3"/>
      <c r="R990" s="3"/>
      <c r="S990" s="3"/>
      <c r="T990" s="3"/>
      <c r="U990" s="3"/>
      <c r="V990" s="3"/>
      <c r="W990" s="3"/>
      <c r="X990" s="3"/>
      <c r="Y990" s="3"/>
      <c r="Z990" s="3"/>
    </row>
    <row r="991" spans="1:26" ht="22.5" customHeight="1" x14ac:dyDescent="0.85">
      <c r="A991" s="166"/>
      <c r="B991" s="167"/>
      <c r="C991" s="167"/>
      <c r="D991" s="147"/>
      <c r="E991" s="147"/>
      <c r="F991" s="147"/>
      <c r="G991" s="147"/>
      <c r="H991" s="147"/>
      <c r="I991" s="147"/>
      <c r="J991" s="147"/>
      <c r="K991" s="3"/>
      <c r="L991" s="3"/>
      <c r="M991" s="3"/>
      <c r="N991" s="3"/>
      <c r="O991" s="3"/>
      <c r="P991" s="3"/>
      <c r="Q991" s="3"/>
      <c r="R991" s="3"/>
      <c r="S991" s="3"/>
      <c r="T991" s="3"/>
      <c r="U991" s="3"/>
      <c r="V991" s="3"/>
      <c r="W991" s="3"/>
      <c r="X991" s="3"/>
      <c r="Y991" s="3"/>
      <c r="Z991" s="3"/>
    </row>
    <row r="992" spans="1:26" ht="22.5" customHeight="1" x14ac:dyDescent="0.85">
      <c r="A992" s="166"/>
      <c r="B992" s="167"/>
      <c r="C992" s="167"/>
      <c r="D992" s="147"/>
      <c r="E992" s="147"/>
      <c r="F992" s="147"/>
      <c r="G992" s="147"/>
      <c r="H992" s="147"/>
      <c r="I992" s="147"/>
      <c r="J992" s="147"/>
      <c r="K992" s="3"/>
      <c r="L992" s="3"/>
      <c r="M992" s="3"/>
      <c r="N992" s="3"/>
      <c r="O992" s="3"/>
      <c r="P992" s="3"/>
      <c r="Q992" s="3"/>
      <c r="R992" s="3"/>
      <c r="S992" s="3"/>
      <c r="T992" s="3"/>
      <c r="U992" s="3"/>
      <c r="V992" s="3"/>
      <c r="W992" s="3"/>
      <c r="X992" s="3"/>
      <c r="Y992" s="3"/>
      <c r="Z992" s="3"/>
    </row>
    <row r="993" spans="1:26" ht="22.5" customHeight="1" x14ac:dyDescent="0.85">
      <c r="A993" s="166"/>
      <c r="B993" s="167"/>
      <c r="C993" s="167"/>
      <c r="D993" s="147"/>
      <c r="E993" s="147"/>
      <c r="F993" s="147"/>
      <c r="G993" s="147"/>
      <c r="H993" s="147"/>
      <c r="I993" s="147"/>
      <c r="J993" s="147"/>
      <c r="K993" s="3"/>
      <c r="L993" s="3"/>
      <c r="M993" s="3"/>
      <c r="N993" s="3"/>
      <c r="O993" s="3"/>
      <c r="P993" s="3"/>
      <c r="Q993" s="3"/>
      <c r="R993" s="3"/>
      <c r="S993" s="3"/>
      <c r="T993" s="3"/>
      <c r="U993" s="3"/>
      <c r="V993" s="3"/>
      <c r="W993" s="3"/>
      <c r="X993" s="3"/>
      <c r="Y993" s="3"/>
      <c r="Z993" s="3"/>
    </row>
    <row r="994" spans="1:26" ht="22.5" customHeight="1" x14ac:dyDescent="0.85">
      <c r="A994" s="166"/>
      <c r="B994" s="167"/>
      <c r="C994" s="167"/>
      <c r="D994" s="147"/>
      <c r="E994" s="147"/>
      <c r="F994" s="147"/>
      <c r="G994" s="147"/>
      <c r="H994" s="147"/>
      <c r="I994" s="147"/>
      <c r="J994" s="147"/>
      <c r="K994" s="3"/>
      <c r="L994" s="3"/>
      <c r="M994" s="3"/>
      <c r="N994" s="3"/>
      <c r="O994" s="3"/>
      <c r="P994" s="3"/>
      <c r="Q994" s="3"/>
      <c r="R994" s="3"/>
      <c r="S994" s="3"/>
      <c r="T994" s="3"/>
      <c r="U994" s="3"/>
      <c r="V994" s="3"/>
      <c r="W994" s="3"/>
      <c r="X994" s="3"/>
      <c r="Y994" s="3"/>
      <c r="Z994" s="3"/>
    </row>
    <row r="995" spans="1:26" ht="22.5" customHeight="1" x14ac:dyDescent="0.85">
      <c r="A995" s="166"/>
      <c r="B995" s="167"/>
      <c r="C995" s="167"/>
      <c r="D995" s="147"/>
      <c r="E995" s="147"/>
      <c r="F995" s="147"/>
      <c r="G995" s="147"/>
      <c r="H995" s="147"/>
      <c r="I995" s="147"/>
      <c r="J995" s="147"/>
      <c r="K995" s="3"/>
      <c r="L995" s="3"/>
      <c r="M995" s="3"/>
      <c r="N995" s="3"/>
      <c r="O995" s="3"/>
      <c r="P995" s="3"/>
      <c r="Q995" s="3"/>
      <c r="R995" s="3"/>
      <c r="S995" s="3"/>
      <c r="T995" s="3"/>
      <c r="U995" s="3"/>
      <c r="V995" s="3"/>
      <c r="W995" s="3"/>
      <c r="X995" s="3"/>
      <c r="Y995" s="3"/>
      <c r="Z995" s="3"/>
    </row>
    <row r="996" spans="1:26" ht="22.5" customHeight="1" x14ac:dyDescent="0.85">
      <c r="A996" s="166"/>
      <c r="B996" s="167"/>
      <c r="C996" s="167"/>
      <c r="D996" s="147"/>
      <c r="E996" s="147"/>
      <c r="F996" s="147"/>
      <c r="G996" s="147"/>
      <c r="H996" s="147"/>
      <c r="I996" s="147"/>
      <c r="J996" s="147"/>
      <c r="K996" s="3"/>
      <c r="L996" s="3"/>
      <c r="M996" s="3"/>
      <c r="N996" s="3"/>
      <c r="O996" s="3"/>
      <c r="P996" s="3"/>
      <c r="Q996" s="3"/>
      <c r="R996" s="3"/>
      <c r="S996" s="3"/>
      <c r="T996" s="3"/>
      <c r="U996" s="3"/>
      <c r="V996" s="3"/>
      <c r="W996" s="3"/>
      <c r="X996" s="3"/>
      <c r="Y996" s="3"/>
      <c r="Z996" s="3"/>
    </row>
    <row r="997" spans="1:26" ht="22.5" customHeight="1" x14ac:dyDescent="0.85">
      <c r="A997" s="166"/>
      <c r="B997" s="167"/>
      <c r="C997" s="167"/>
      <c r="D997" s="147"/>
      <c r="E997" s="147"/>
      <c r="F997" s="147"/>
      <c r="G997" s="147"/>
      <c r="H997" s="147"/>
      <c r="I997" s="147"/>
      <c r="J997" s="147"/>
      <c r="K997" s="3"/>
      <c r="L997" s="3"/>
      <c r="M997" s="3"/>
      <c r="N997" s="3"/>
      <c r="O997" s="3"/>
      <c r="P997" s="3"/>
      <c r="Q997" s="3"/>
      <c r="R997" s="3"/>
      <c r="S997" s="3"/>
      <c r="T997" s="3"/>
      <c r="U997" s="3"/>
      <c r="V997" s="3"/>
      <c r="W997" s="3"/>
      <c r="X997" s="3"/>
      <c r="Y997" s="3"/>
      <c r="Z997" s="3"/>
    </row>
    <row r="998" spans="1:26" ht="22.5" customHeight="1" x14ac:dyDescent="0.85">
      <c r="A998" s="166"/>
      <c r="B998" s="167"/>
      <c r="C998" s="167"/>
      <c r="D998" s="147"/>
      <c r="E998" s="147"/>
      <c r="F998" s="147"/>
      <c r="G998" s="147"/>
      <c r="H998" s="147"/>
      <c r="I998" s="147"/>
      <c r="J998" s="147"/>
      <c r="K998" s="3"/>
      <c r="L998" s="3"/>
      <c r="M998" s="3"/>
      <c r="N998" s="3"/>
      <c r="O998" s="3"/>
      <c r="P998" s="3"/>
      <c r="Q998" s="3"/>
      <c r="R998" s="3"/>
      <c r="S998" s="3"/>
      <c r="T998" s="3"/>
      <c r="U998" s="3"/>
      <c r="V998" s="3"/>
      <c r="W998" s="3"/>
      <c r="X998" s="3"/>
      <c r="Y998" s="3"/>
      <c r="Z998" s="3"/>
    </row>
    <row r="999" spans="1:26" ht="22.5" customHeight="1" x14ac:dyDescent="0.85">
      <c r="A999" s="166"/>
      <c r="B999" s="167"/>
      <c r="C999" s="167"/>
      <c r="D999" s="147"/>
      <c r="E999" s="147"/>
      <c r="F999" s="147"/>
      <c r="G999" s="147"/>
      <c r="H999" s="147"/>
      <c r="I999" s="147"/>
      <c r="J999" s="147"/>
      <c r="K999" s="3"/>
      <c r="L999" s="3"/>
      <c r="M999" s="3"/>
      <c r="N999" s="3"/>
      <c r="O999" s="3"/>
      <c r="P999" s="3"/>
      <c r="Q999" s="3"/>
      <c r="R999" s="3"/>
      <c r="S999" s="3"/>
      <c r="T999" s="3"/>
      <c r="U999" s="3"/>
      <c r="V999" s="3"/>
      <c r="W999" s="3"/>
      <c r="X999" s="3"/>
      <c r="Y999" s="3"/>
      <c r="Z999" s="3"/>
    </row>
    <row r="1000" spans="1:26" ht="22.5" customHeight="1" x14ac:dyDescent="0.85">
      <c r="A1000" s="166"/>
      <c r="B1000" s="167"/>
      <c r="C1000" s="167"/>
      <c r="D1000" s="147"/>
      <c r="E1000" s="147"/>
      <c r="F1000" s="147"/>
      <c r="G1000" s="147"/>
      <c r="H1000" s="147"/>
      <c r="I1000" s="147"/>
      <c r="J1000" s="147"/>
      <c r="K1000" s="3"/>
      <c r="L1000" s="3"/>
      <c r="M1000" s="3"/>
      <c r="N1000" s="3"/>
      <c r="O1000" s="3"/>
      <c r="P1000" s="3"/>
      <c r="Q1000" s="3"/>
      <c r="R1000" s="3"/>
      <c r="S1000" s="3"/>
      <c r="T1000" s="3"/>
      <c r="U1000" s="3"/>
      <c r="V1000" s="3"/>
      <c r="W1000" s="3"/>
      <c r="X1000" s="3"/>
      <c r="Y1000" s="3"/>
      <c r="Z1000" s="3"/>
    </row>
  </sheetData>
  <mergeCells count="13">
    <mergeCell ref="D14:M14"/>
    <mergeCell ref="A1:M1"/>
    <mergeCell ref="A2:M2"/>
    <mergeCell ref="D3:M3"/>
    <mergeCell ref="D4:M4"/>
    <mergeCell ref="D5:M5"/>
    <mergeCell ref="D6:M6"/>
    <mergeCell ref="D7:M7"/>
    <mergeCell ref="D8:M8"/>
    <mergeCell ref="D9:M9"/>
    <mergeCell ref="D10:M10"/>
    <mergeCell ref="D11:M11"/>
    <mergeCell ref="D12:M13"/>
  </mergeCells>
  <pageMargins left="0.7" right="0.7" top="0.75" bottom="0.75" header="0" footer="0"/>
  <pageSetup orientation="portrait"/>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574B"/>
  </sheetPr>
  <dimension ref="A1:Z1000"/>
  <sheetViews>
    <sheetView workbookViewId="0">
      <selection sqref="A1:M1"/>
    </sheetView>
  </sheetViews>
  <sheetFormatPr defaultColWidth="11.23046875" defaultRowHeight="15" customHeight="1" x14ac:dyDescent="0.85"/>
  <cols>
    <col min="1" max="1" width="42.07421875" customWidth="1"/>
    <col min="2" max="13" width="20.61328125" customWidth="1"/>
    <col min="14" max="26" width="11" customWidth="1"/>
  </cols>
  <sheetData>
    <row r="1" spans="1:26" ht="22.5" customHeight="1" x14ac:dyDescent="0.85">
      <c r="A1" s="847" t="s">
        <v>128</v>
      </c>
      <c r="B1" s="765"/>
      <c r="C1" s="765"/>
      <c r="D1" s="765"/>
      <c r="E1" s="765"/>
      <c r="F1" s="765"/>
      <c r="G1" s="765"/>
      <c r="H1" s="765"/>
      <c r="I1" s="765"/>
      <c r="J1" s="765"/>
      <c r="K1" s="765"/>
      <c r="L1" s="765"/>
      <c r="M1" s="762"/>
      <c r="N1" s="3"/>
      <c r="O1" s="3"/>
      <c r="P1" s="3"/>
      <c r="Q1" s="3"/>
      <c r="R1" s="3"/>
      <c r="S1" s="3"/>
      <c r="T1" s="3"/>
      <c r="U1" s="3"/>
      <c r="V1" s="3"/>
      <c r="W1" s="3"/>
      <c r="X1" s="3"/>
      <c r="Y1" s="3"/>
      <c r="Z1" s="3"/>
    </row>
    <row r="2" spans="1:26" ht="22.5" customHeight="1" x14ac:dyDescent="0.85">
      <c r="A2" s="848" t="s">
        <v>361</v>
      </c>
      <c r="B2" s="765"/>
      <c r="C2" s="765"/>
      <c r="D2" s="765"/>
      <c r="E2" s="765"/>
      <c r="F2" s="765"/>
      <c r="G2" s="765"/>
      <c r="H2" s="765"/>
      <c r="I2" s="765"/>
      <c r="J2" s="765"/>
      <c r="K2" s="765"/>
      <c r="L2" s="765"/>
      <c r="M2" s="762"/>
      <c r="N2" s="3"/>
      <c r="O2" s="3"/>
      <c r="P2" s="3"/>
      <c r="Q2" s="3"/>
      <c r="R2" s="3"/>
      <c r="S2" s="3"/>
      <c r="T2" s="3"/>
      <c r="U2" s="3"/>
      <c r="V2" s="3"/>
      <c r="W2" s="3"/>
      <c r="X2" s="3"/>
      <c r="Y2" s="3"/>
      <c r="Z2" s="3"/>
    </row>
    <row r="3" spans="1:26" ht="22.5" customHeight="1" x14ac:dyDescent="0.85">
      <c r="A3" s="130" t="s">
        <v>361</v>
      </c>
      <c r="B3" s="130" t="s">
        <v>251</v>
      </c>
      <c r="C3" s="130" t="s">
        <v>362</v>
      </c>
      <c r="D3" s="849" t="s">
        <v>138</v>
      </c>
      <c r="E3" s="765"/>
      <c r="F3" s="765"/>
      <c r="G3" s="765"/>
      <c r="H3" s="765"/>
      <c r="I3" s="765"/>
      <c r="J3" s="765"/>
      <c r="K3" s="765"/>
      <c r="L3" s="765"/>
      <c r="M3" s="762"/>
      <c r="N3" s="3"/>
      <c r="O3" s="3"/>
      <c r="P3" s="3"/>
      <c r="Q3" s="3"/>
      <c r="R3" s="3"/>
      <c r="S3" s="3"/>
      <c r="T3" s="3"/>
      <c r="U3" s="3"/>
      <c r="V3" s="3"/>
      <c r="W3" s="3"/>
      <c r="X3" s="3"/>
      <c r="Y3" s="3"/>
      <c r="Z3" s="3"/>
    </row>
    <row r="4" spans="1:26" ht="20.25" customHeight="1" x14ac:dyDescent="0.85">
      <c r="A4" s="131" t="s">
        <v>363</v>
      </c>
      <c r="B4" s="132">
        <v>3345.21</v>
      </c>
      <c r="C4" s="133" t="s">
        <v>364</v>
      </c>
      <c r="D4" s="850" t="s">
        <v>496</v>
      </c>
      <c r="E4" s="765"/>
      <c r="F4" s="765"/>
      <c r="G4" s="765"/>
      <c r="H4" s="765"/>
      <c r="I4" s="765"/>
      <c r="J4" s="765"/>
      <c r="K4" s="765"/>
      <c r="L4" s="765"/>
      <c r="M4" s="762"/>
      <c r="N4" s="15"/>
      <c r="O4" s="15"/>
      <c r="P4" s="15"/>
      <c r="Q4" s="15"/>
      <c r="R4" s="15"/>
      <c r="S4" s="15"/>
      <c r="T4" s="15"/>
      <c r="U4" s="15"/>
      <c r="V4" s="15"/>
      <c r="W4" s="15"/>
      <c r="X4" s="15"/>
      <c r="Y4" s="15"/>
      <c r="Z4" s="15"/>
    </row>
    <row r="5" spans="1:26" ht="20.25" customHeight="1" x14ac:dyDescent="0.85">
      <c r="A5" s="131" t="s">
        <v>366</v>
      </c>
      <c r="B5" s="136">
        <v>15203</v>
      </c>
      <c r="C5" s="133" t="s">
        <v>367</v>
      </c>
      <c r="D5" s="850" t="s">
        <v>368</v>
      </c>
      <c r="E5" s="765"/>
      <c r="F5" s="765"/>
      <c r="G5" s="765"/>
      <c r="H5" s="765"/>
      <c r="I5" s="765"/>
      <c r="J5" s="765"/>
      <c r="K5" s="765"/>
      <c r="L5" s="765"/>
      <c r="M5" s="762"/>
      <c r="N5" s="15"/>
      <c r="O5" s="15"/>
      <c r="P5" s="15"/>
      <c r="Q5" s="15"/>
      <c r="R5" s="15"/>
      <c r="S5" s="15"/>
      <c r="T5" s="15"/>
      <c r="U5" s="15"/>
      <c r="V5" s="15"/>
      <c r="W5" s="15"/>
      <c r="X5" s="15"/>
      <c r="Y5" s="15"/>
      <c r="Z5" s="15"/>
    </row>
    <row r="6" spans="1:26" ht="20.25" customHeight="1" x14ac:dyDescent="0.85">
      <c r="A6" s="131" t="s">
        <v>369</v>
      </c>
      <c r="B6" s="135">
        <v>653166377.24000001</v>
      </c>
      <c r="C6" s="133" t="s">
        <v>370</v>
      </c>
      <c r="D6" s="850" t="s">
        <v>485</v>
      </c>
      <c r="E6" s="765"/>
      <c r="F6" s="765"/>
      <c r="G6" s="765"/>
      <c r="H6" s="765"/>
      <c r="I6" s="765"/>
      <c r="J6" s="765"/>
      <c r="K6" s="765"/>
      <c r="L6" s="765"/>
      <c r="M6" s="762"/>
      <c r="N6" s="15"/>
      <c r="O6" s="15"/>
      <c r="P6" s="15"/>
      <c r="Q6" s="15"/>
      <c r="R6" s="15"/>
      <c r="S6" s="15"/>
      <c r="T6" s="15"/>
      <c r="U6" s="15"/>
      <c r="V6" s="15"/>
      <c r="W6" s="15"/>
      <c r="X6" s="15"/>
      <c r="Y6" s="15"/>
      <c r="Z6" s="15"/>
    </row>
    <row r="7" spans="1:26" ht="20.25" customHeight="1" x14ac:dyDescent="0.85">
      <c r="A7" s="131" t="s">
        <v>372</v>
      </c>
      <c r="B7" s="136">
        <v>7230</v>
      </c>
      <c r="C7" s="133" t="s">
        <v>373</v>
      </c>
      <c r="D7" s="850" t="s">
        <v>374</v>
      </c>
      <c r="E7" s="765"/>
      <c r="F7" s="765"/>
      <c r="G7" s="765"/>
      <c r="H7" s="765"/>
      <c r="I7" s="765"/>
      <c r="J7" s="765"/>
      <c r="K7" s="765"/>
      <c r="L7" s="765"/>
      <c r="M7" s="762"/>
      <c r="N7" s="15"/>
      <c r="O7" s="15"/>
      <c r="P7" s="15"/>
      <c r="Q7" s="15"/>
      <c r="R7" s="15"/>
      <c r="S7" s="15"/>
      <c r="T7" s="15"/>
      <c r="U7" s="15"/>
      <c r="V7" s="15"/>
      <c r="W7" s="15"/>
      <c r="X7" s="15"/>
      <c r="Y7" s="15"/>
      <c r="Z7" s="15"/>
    </row>
    <row r="8" spans="1:26" ht="20.25" customHeight="1" x14ac:dyDescent="0.85">
      <c r="A8" s="131" t="s">
        <v>375</v>
      </c>
      <c r="B8" s="136">
        <v>5599</v>
      </c>
      <c r="C8" s="133" t="s">
        <v>373</v>
      </c>
      <c r="D8" s="850" t="s">
        <v>376</v>
      </c>
      <c r="E8" s="765"/>
      <c r="F8" s="765"/>
      <c r="G8" s="765"/>
      <c r="H8" s="765"/>
      <c r="I8" s="765"/>
      <c r="J8" s="765"/>
      <c r="K8" s="765"/>
      <c r="L8" s="765"/>
      <c r="M8" s="762"/>
      <c r="N8" s="15"/>
      <c r="O8" s="15"/>
      <c r="P8" s="15"/>
      <c r="Q8" s="15"/>
      <c r="R8" s="15"/>
      <c r="S8" s="15"/>
      <c r="T8" s="15"/>
      <c r="U8" s="15"/>
      <c r="V8" s="15"/>
      <c r="W8" s="15"/>
      <c r="X8" s="15"/>
      <c r="Y8" s="15"/>
      <c r="Z8" s="15"/>
    </row>
    <row r="9" spans="1:26" ht="20.25" customHeight="1" x14ac:dyDescent="0.85">
      <c r="A9" s="131" t="s">
        <v>377</v>
      </c>
      <c r="B9" s="136">
        <v>4206930</v>
      </c>
      <c r="C9" s="133" t="s">
        <v>378</v>
      </c>
      <c r="D9" s="850" t="s">
        <v>486</v>
      </c>
      <c r="E9" s="765"/>
      <c r="F9" s="765"/>
      <c r="G9" s="765"/>
      <c r="H9" s="765"/>
      <c r="I9" s="765"/>
      <c r="J9" s="765"/>
      <c r="K9" s="765"/>
      <c r="L9" s="765"/>
      <c r="M9" s="762"/>
      <c r="N9" s="15"/>
      <c r="O9" s="15"/>
      <c r="P9" s="15"/>
      <c r="Q9" s="15"/>
      <c r="R9" s="15"/>
      <c r="S9" s="15"/>
      <c r="T9" s="15"/>
      <c r="U9" s="15"/>
      <c r="V9" s="15"/>
      <c r="W9" s="15"/>
      <c r="X9" s="15"/>
      <c r="Y9" s="15"/>
      <c r="Z9" s="15"/>
    </row>
    <row r="10" spans="1:26" ht="20.25" customHeight="1" x14ac:dyDescent="0.85">
      <c r="A10" s="131" t="s">
        <v>380</v>
      </c>
      <c r="B10" s="136">
        <v>24123333.457546853</v>
      </c>
      <c r="C10" s="133" t="s">
        <v>378</v>
      </c>
      <c r="D10" s="850"/>
      <c r="E10" s="765"/>
      <c r="F10" s="765"/>
      <c r="G10" s="765"/>
      <c r="H10" s="765"/>
      <c r="I10" s="765"/>
      <c r="J10" s="765"/>
      <c r="K10" s="765"/>
      <c r="L10" s="765"/>
      <c r="M10" s="762"/>
      <c r="N10" s="15"/>
      <c r="O10" s="15"/>
      <c r="P10" s="15"/>
      <c r="Q10" s="15"/>
      <c r="R10" s="15"/>
      <c r="S10" s="15"/>
      <c r="T10" s="15"/>
      <c r="U10" s="15"/>
      <c r="V10" s="15"/>
      <c r="W10" s="15"/>
      <c r="X10" s="15"/>
      <c r="Y10" s="15"/>
      <c r="Z10" s="15"/>
    </row>
    <row r="11" spans="1:26" ht="20.25" customHeight="1" x14ac:dyDescent="0.85">
      <c r="A11" s="131" t="s">
        <v>487</v>
      </c>
      <c r="B11" s="136">
        <v>5544</v>
      </c>
      <c r="C11" s="133" t="s">
        <v>383</v>
      </c>
      <c r="D11" s="850" t="s">
        <v>384</v>
      </c>
      <c r="E11" s="765"/>
      <c r="F11" s="765"/>
      <c r="G11" s="765"/>
      <c r="H11" s="765"/>
      <c r="I11" s="765"/>
      <c r="J11" s="765"/>
      <c r="K11" s="765"/>
      <c r="L11" s="765"/>
      <c r="M11" s="762"/>
      <c r="N11" s="15"/>
      <c r="O11" s="15"/>
      <c r="P11" s="15"/>
      <c r="Q11" s="15"/>
      <c r="R11" s="15"/>
      <c r="S11" s="15"/>
      <c r="T11" s="15"/>
      <c r="U11" s="15"/>
      <c r="V11" s="15"/>
      <c r="W11" s="15"/>
      <c r="X11" s="15"/>
      <c r="Y11" s="15"/>
      <c r="Z11" s="15"/>
    </row>
    <row r="12" spans="1:26" ht="20.25" customHeight="1" x14ac:dyDescent="0.85">
      <c r="A12" s="131" t="s">
        <v>385</v>
      </c>
      <c r="B12" s="136">
        <v>3896</v>
      </c>
      <c r="C12" s="133" t="s">
        <v>386</v>
      </c>
      <c r="D12" s="851" t="s">
        <v>497</v>
      </c>
      <c r="E12" s="828"/>
      <c r="F12" s="828"/>
      <c r="G12" s="828"/>
      <c r="H12" s="828"/>
      <c r="I12" s="828"/>
      <c r="J12" s="828"/>
      <c r="K12" s="828"/>
      <c r="L12" s="828"/>
      <c r="M12" s="825"/>
      <c r="N12" s="15"/>
      <c r="O12" s="15"/>
      <c r="P12" s="15"/>
      <c r="Q12" s="15"/>
      <c r="R12" s="15"/>
      <c r="S12" s="15"/>
      <c r="T12" s="15"/>
      <c r="U12" s="15"/>
      <c r="V12" s="15"/>
      <c r="W12" s="15"/>
      <c r="X12" s="15"/>
      <c r="Y12" s="15"/>
      <c r="Z12" s="15"/>
    </row>
    <row r="13" spans="1:26" ht="22.5" customHeight="1" x14ac:dyDescent="0.85">
      <c r="A13" s="137" t="s">
        <v>388</v>
      </c>
      <c r="B13" s="138">
        <v>1355</v>
      </c>
      <c r="C13" s="139" t="s">
        <v>389</v>
      </c>
      <c r="D13" s="810"/>
      <c r="E13" s="830"/>
      <c r="F13" s="830"/>
      <c r="G13" s="830"/>
      <c r="H13" s="830"/>
      <c r="I13" s="830"/>
      <c r="J13" s="830"/>
      <c r="K13" s="830"/>
      <c r="L13" s="830"/>
      <c r="M13" s="767"/>
      <c r="N13" s="15"/>
      <c r="O13" s="15"/>
      <c r="P13" s="15"/>
      <c r="Q13" s="15"/>
      <c r="R13" s="15"/>
      <c r="S13" s="15"/>
      <c r="T13" s="15"/>
      <c r="U13" s="15"/>
      <c r="V13" s="15"/>
      <c r="W13" s="15"/>
      <c r="X13" s="15"/>
      <c r="Y13" s="15"/>
      <c r="Z13" s="15"/>
    </row>
    <row r="14" spans="1:26" ht="22.5" customHeight="1" x14ac:dyDescent="0.85">
      <c r="A14" s="140" t="s">
        <v>498</v>
      </c>
      <c r="B14" s="141">
        <f>B5/'Albuquerque MSA Data'!B5</f>
        <v>1.6537726859365685E-2</v>
      </c>
      <c r="C14" s="133" t="s">
        <v>391</v>
      </c>
      <c r="D14" s="850"/>
      <c r="E14" s="765"/>
      <c r="F14" s="765"/>
      <c r="G14" s="765"/>
      <c r="H14" s="765"/>
      <c r="I14" s="765"/>
      <c r="J14" s="765"/>
      <c r="K14" s="765"/>
      <c r="L14" s="765"/>
      <c r="M14" s="762"/>
      <c r="N14" s="15"/>
      <c r="O14" s="15"/>
      <c r="P14" s="15"/>
      <c r="Q14" s="15"/>
      <c r="R14" s="15"/>
      <c r="S14" s="15"/>
      <c r="T14" s="15"/>
      <c r="U14" s="15"/>
      <c r="V14" s="15"/>
      <c r="W14" s="15"/>
      <c r="X14" s="15"/>
      <c r="Y14" s="15"/>
      <c r="Z14" s="15"/>
    </row>
    <row r="15" spans="1:26" ht="22.5" customHeight="1" x14ac:dyDescent="0.85">
      <c r="A15" s="142"/>
      <c r="B15" s="76"/>
      <c r="C15" s="76"/>
      <c r="D15" s="143"/>
      <c r="E15" s="143"/>
      <c r="F15" s="143"/>
      <c r="G15" s="143"/>
      <c r="H15" s="143"/>
      <c r="I15" s="143"/>
      <c r="J15" s="143"/>
      <c r="K15" s="15"/>
      <c r="L15" s="15"/>
      <c r="M15" s="15"/>
      <c r="N15" s="15"/>
      <c r="O15" s="15"/>
      <c r="P15" s="15"/>
      <c r="Q15" s="15"/>
      <c r="R15" s="15"/>
      <c r="S15" s="15"/>
      <c r="T15" s="15"/>
      <c r="U15" s="15"/>
      <c r="V15" s="15"/>
      <c r="W15" s="15"/>
      <c r="X15" s="15"/>
      <c r="Y15" s="15"/>
      <c r="Z15" s="15"/>
    </row>
    <row r="16" spans="1:26" ht="22.5" customHeight="1" x14ac:dyDescent="0.85">
      <c r="A16" s="144" t="s">
        <v>393</v>
      </c>
      <c r="B16" s="145"/>
      <c r="C16" s="145"/>
      <c r="D16" s="145"/>
      <c r="E16" s="145"/>
      <c r="F16" s="145"/>
      <c r="G16" s="145"/>
      <c r="H16" s="145"/>
      <c r="I16" s="145"/>
      <c r="J16" s="145"/>
      <c r="K16" s="145"/>
      <c r="L16" s="146"/>
      <c r="M16" s="3"/>
      <c r="N16" s="3"/>
      <c r="O16" s="3"/>
      <c r="P16" s="3"/>
      <c r="Q16" s="3"/>
      <c r="R16" s="3"/>
      <c r="S16" s="3"/>
      <c r="T16" s="3"/>
      <c r="U16" s="3"/>
      <c r="V16" s="3"/>
      <c r="W16" s="3"/>
      <c r="X16" s="3"/>
      <c r="Y16" s="3"/>
      <c r="Z16" s="3"/>
    </row>
    <row r="17" spans="1:26" ht="22.5" customHeight="1" x14ac:dyDescent="0.85">
      <c r="A17" s="227" t="s">
        <v>137</v>
      </c>
      <c r="B17" s="202"/>
      <c r="C17" s="203"/>
      <c r="D17" s="227" t="s">
        <v>124</v>
      </c>
      <c r="E17" s="202"/>
      <c r="F17" s="203"/>
      <c r="G17" s="227" t="s">
        <v>116</v>
      </c>
      <c r="H17" s="202"/>
      <c r="I17" s="203"/>
      <c r="J17" s="227" t="s">
        <v>394</v>
      </c>
      <c r="K17" s="202"/>
      <c r="L17" s="203"/>
      <c r="M17" s="3"/>
      <c r="N17" s="3"/>
      <c r="O17" s="3"/>
      <c r="P17" s="3"/>
      <c r="Q17" s="3"/>
      <c r="R17" s="3"/>
      <c r="S17" s="3"/>
      <c r="T17" s="3"/>
      <c r="U17" s="3"/>
      <c r="V17" s="3"/>
      <c r="W17" s="3"/>
      <c r="X17" s="3"/>
      <c r="Y17" s="3"/>
      <c r="Z17" s="3"/>
    </row>
    <row r="18" spans="1:26" ht="22.5" customHeight="1" x14ac:dyDescent="0.85">
      <c r="A18" s="148" t="s">
        <v>138</v>
      </c>
      <c r="B18" s="148" t="s">
        <v>118</v>
      </c>
      <c r="C18" s="148" t="s">
        <v>395</v>
      </c>
      <c r="D18" s="148" t="s">
        <v>125</v>
      </c>
      <c r="E18" s="148" t="s">
        <v>118</v>
      </c>
      <c r="F18" s="148" t="s">
        <v>395</v>
      </c>
      <c r="G18" s="148" t="s">
        <v>117</v>
      </c>
      <c r="H18" s="148" t="s">
        <v>118</v>
      </c>
      <c r="I18" s="148" t="s">
        <v>395</v>
      </c>
      <c r="J18" s="148" t="s">
        <v>396</v>
      </c>
      <c r="K18" s="148" t="s">
        <v>118</v>
      </c>
      <c r="L18" s="148" t="s">
        <v>397</v>
      </c>
      <c r="M18" s="3"/>
      <c r="N18" s="3"/>
      <c r="O18" s="3"/>
      <c r="P18" s="3"/>
      <c r="Q18" s="3"/>
      <c r="R18" s="3"/>
      <c r="S18" s="3"/>
      <c r="T18" s="3"/>
      <c r="U18" s="3"/>
      <c r="V18" s="3"/>
      <c r="W18" s="3"/>
      <c r="X18" s="3"/>
      <c r="Y18" s="3"/>
      <c r="Z18" s="3"/>
    </row>
    <row r="19" spans="1:26" ht="22.5" customHeight="1" x14ac:dyDescent="0.85">
      <c r="A19" s="149" t="s">
        <v>139</v>
      </c>
      <c r="B19" s="150">
        <f>B64</f>
        <v>129954.64500862057</v>
      </c>
      <c r="C19" s="151">
        <f t="shared" ref="C19:C43" si="0">B19/$B$45</f>
        <v>0.16713072378861671</v>
      </c>
      <c r="D19" s="149" t="s">
        <v>130</v>
      </c>
      <c r="E19" s="150">
        <f>SUM(B19:B25)</f>
        <v>161216.68966536983</v>
      </c>
      <c r="F19" s="151">
        <f t="shared" ref="F19:F25" si="1">E19/$E$26</f>
        <v>0.33561718170964416</v>
      </c>
      <c r="G19" s="150" t="s">
        <v>120</v>
      </c>
      <c r="H19" s="150">
        <f>B53+B54+B55+B56+B57+B71+B72+B78+B83+B87+B91+B94+B99+B101+B106+B107+B112+B113+B117+B118+B119</f>
        <v>345697.433504991</v>
      </c>
      <c r="I19" s="152">
        <f t="shared" ref="I19:I21" si="2">H19/$H$22</f>
        <v>0.71966493418283051</v>
      </c>
      <c r="J19" s="150">
        <f>B5</f>
        <v>15203</v>
      </c>
      <c r="K19" s="150">
        <f>B47</f>
        <v>480358.86853029113</v>
      </c>
      <c r="L19" s="133">
        <f>K19/J19</f>
        <v>31.596321024159121</v>
      </c>
      <c r="M19" s="3"/>
      <c r="N19" s="3"/>
      <c r="O19" s="3"/>
      <c r="P19" s="3"/>
      <c r="Q19" s="3"/>
      <c r="R19" s="3"/>
      <c r="S19" s="3"/>
      <c r="T19" s="3"/>
      <c r="U19" s="3"/>
      <c r="V19" s="3"/>
      <c r="W19" s="3"/>
      <c r="X19" s="3"/>
      <c r="Y19" s="3"/>
      <c r="Z19" s="3"/>
    </row>
    <row r="20" spans="1:26" ht="22.5" customHeight="1" x14ac:dyDescent="0.85">
      <c r="A20" s="149" t="s">
        <v>140</v>
      </c>
      <c r="B20" s="150">
        <f>B53+B54</f>
        <v>24712.40569067925</v>
      </c>
      <c r="C20" s="151">
        <f t="shared" si="0"/>
        <v>3.1781874740738784E-2</v>
      </c>
      <c r="D20" s="149" t="s">
        <v>131</v>
      </c>
      <c r="E20" s="150">
        <f>SUM(B26:B34)</f>
        <v>422830.48464846879</v>
      </c>
      <c r="F20" s="151">
        <f t="shared" si="1"/>
        <v>0.88023873888737258</v>
      </c>
      <c r="G20" s="150" t="s">
        <v>121</v>
      </c>
      <c r="H20" s="150">
        <f>B61+B62+B63+B79+B84</f>
        <v>129991.55706511979</v>
      </c>
      <c r="I20" s="152">
        <f t="shared" si="2"/>
        <v>0.27061342171706482</v>
      </c>
      <c r="J20" s="147"/>
      <c r="K20" s="147"/>
      <c r="L20" s="147"/>
      <c r="M20" s="3"/>
      <c r="N20" s="3"/>
      <c r="O20" s="3"/>
      <c r="P20" s="3"/>
      <c r="Q20" s="3"/>
      <c r="R20" s="3"/>
      <c r="S20" s="3"/>
      <c r="T20" s="3"/>
      <c r="U20" s="3"/>
      <c r="V20" s="3"/>
      <c r="W20" s="3"/>
      <c r="X20" s="3"/>
      <c r="Y20" s="3"/>
      <c r="Z20" s="3"/>
    </row>
    <row r="21" spans="1:26" ht="22.5" customHeight="1" x14ac:dyDescent="0.85">
      <c r="A21" s="149" t="s">
        <v>266</v>
      </c>
      <c r="B21" s="150">
        <f t="shared" ref="B21:B23" si="3">B55</f>
        <v>0</v>
      </c>
      <c r="C21" s="151">
        <f t="shared" si="0"/>
        <v>0</v>
      </c>
      <c r="D21" s="149" t="s">
        <v>132</v>
      </c>
      <c r="E21" s="150">
        <f>SUM(B35,B36)</f>
        <v>13289.891456744601</v>
      </c>
      <c r="F21" s="151">
        <f t="shared" si="1"/>
        <v>2.7666589142834874E-2</v>
      </c>
      <c r="G21" s="150" t="s">
        <v>122</v>
      </c>
      <c r="H21" s="150">
        <f>B67+B80+B88+B100+B102</f>
        <v>4669.8779601804399</v>
      </c>
      <c r="I21" s="152">
        <f t="shared" si="2"/>
        <v>9.7216441001046257E-3</v>
      </c>
      <c r="J21" s="147"/>
      <c r="K21" s="147"/>
      <c r="L21" s="147"/>
      <c r="M21" s="3"/>
      <c r="N21" s="3"/>
      <c r="O21" s="3"/>
      <c r="P21" s="3"/>
      <c r="Q21" s="3"/>
      <c r="R21" s="3"/>
      <c r="S21" s="3"/>
      <c r="T21" s="3"/>
      <c r="U21" s="3"/>
      <c r="V21" s="3"/>
      <c r="W21" s="3"/>
      <c r="X21" s="3"/>
      <c r="Y21" s="3"/>
      <c r="Z21" s="3"/>
    </row>
    <row r="22" spans="1:26" ht="22.5" customHeight="1" x14ac:dyDescent="0.85">
      <c r="A22" s="149" t="s">
        <v>141</v>
      </c>
      <c r="B22" s="150">
        <f t="shared" si="3"/>
        <v>1063.4741440049183</v>
      </c>
      <c r="C22" s="151">
        <f t="shared" si="0"/>
        <v>1.3677018117069322E-3</v>
      </c>
      <c r="D22" s="149" t="s">
        <v>340</v>
      </c>
      <c r="E22" s="150">
        <f>B37</f>
        <v>1847.1152422799998</v>
      </c>
      <c r="F22" s="151">
        <f t="shared" si="1"/>
        <v>3.8452818575650414E-3</v>
      </c>
      <c r="G22" s="154" t="s">
        <v>398</v>
      </c>
      <c r="H22" s="155">
        <f t="shared" ref="H22:I22" si="4">SUM(H16:H21)</f>
        <v>480358.86853029125</v>
      </c>
      <c r="I22" s="156">
        <f t="shared" si="4"/>
        <v>1</v>
      </c>
      <c r="J22" s="147"/>
      <c r="K22" s="147"/>
      <c r="L22" s="147"/>
      <c r="M22" s="3"/>
      <c r="N22" s="3"/>
      <c r="O22" s="3"/>
      <c r="P22" s="3"/>
      <c r="Q22" s="3"/>
      <c r="R22" s="3"/>
      <c r="S22" s="3"/>
      <c r="T22" s="3"/>
      <c r="U22" s="3"/>
      <c r="V22" s="3"/>
      <c r="W22" s="3"/>
      <c r="X22" s="3"/>
      <c r="Y22" s="3"/>
      <c r="Z22" s="3"/>
    </row>
    <row r="23" spans="1:26" ht="22.5" customHeight="1" x14ac:dyDescent="0.85">
      <c r="A23" s="149" t="s">
        <v>142</v>
      </c>
      <c r="B23" s="150">
        <f t="shared" si="3"/>
        <v>12.819806999999999</v>
      </c>
      <c r="C23" s="160">
        <f t="shared" si="0"/>
        <v>1.6487164599605084E-5</v>
      </c>
      <c r="D23" s="149" t="s">
        <v>133</v>
      </c>
      <c r="E23" s="150">
        <f>SUM(B38,B39)</f>
        <v>5810.9391485375436</v>
      </c>
      <c r="F23" s="151">
        <f t="shared" si="1"/>
        <v>1.2097078932500458E-2</v>
      </c>
      <c r="G23" s="147"/>
      <c r="H23" s="147"/>
      <c r="I23" s="147"/>
      <c r="J23" s="147"/>
      <c r="K23" s="147"/>
      <c r="L23" s="147"/>
      <c r="M23" s="3"/>
      <c r="N23" s="3"/>
      <c r="O23" s="3"/>
      <c r="P23" s="3"/>
      <c r="Q23" s="3"/>
      <c r="R23" s="3"/>
      <c r="S23" s="3"/>
      <c r="T23" s="3"/>
      <c r="U23" s="3"/>
      <c r="V23" s="3"/>
      <c r="W23" s="3"/>
      <c r="X23" s="3"/>
      <c r="Y23" s="3"/>
      <c r="Z23" s="3"/>
    </row>
    <row r="24" spans="1:26" ht="22.5" customHeight="1" x14ac:dyDescent="0.85">
      <c r="A24" s="149" t="s">
        <v>143</v>
      </c>
      <c r="B24" s="150">
        <f>B73</f>
        <v>804.79310099878001</v>
      </c>
      <c r="C24" s="151">
        <f t="shared" si="0"/>
        <v>1.0350199753236134E-3</v>
      </c>
      <c r="D24" s="149" t="s">
        <v>399</v>
      </c>
      <c r="E24" s="158">
        <f>SUM(B40:B43)</f>
        <v>172567.74836889049</v>
      </c>
      <c r="F24" s="151">
        <f t="shared" si="1"/>
        <v>0.35924755359858301</v>
      </c>
      <c r="G24" s="147"/>
      <c r="H24" s="147"/>
      <c r="I24" s="147"/>
      <c r="J24" s="147"/>
      <c r="K24" s="147"/>
      <c r="L24" s="147"/>
      <c r="M24" s="3"/>
      <c r="N24" s="3"/>
      <c r="O24" s="3"/>
      <c r="P24" s="3"/>
      <c r="Q24" s="3"/>
      <c r="R24" s="3"/>
      <c r="S24" s="3"/>
      <c r="T24" s="3"/>
      <c r="U24" s="3"/>
      <c r="V24" s="3"/>
      <c r="W24" s="3"/>
      <c r="X24" s="3"/>
      <c r="Y24" s="3"/>
      <c r="Z24" s="3"/>
    </row>
    <row r="25" spans="1:26" ht="22.5" customHeight="1" x14ac:dyDescent="0.85">
      <c r="A25" s="149" t="s">
        <v>400</v>
      </c>
      <c r="B25" s="150">
        <f>B68</f>
        <v>4668.5519140663509</v>
      </c>
      <c r="C25" s="151">
        <f t="shared" si="0"/>
        <v>6.004082889002409E-3</v>
      </c>
      <c r="D25" s="149" t="s">
        <v>401</v>
      </c>
      <c r="E25" s="158">
        <f>B44</f>
        <v>-297204</v>
      </c>
      <c r="F25" s="151">
        <f t="shared" si="1"/>
        <v>-0.61871242412850014</v>
      </c>
      <c r="G25" s="147"/>
      <c r="H25" s="147"/>
      <c r="I25" s="147"/>
      <c r="J25" s="147"/>
      <c r="K25" s="147"/>
      <c r="L25" s="147"/>
      <c r="M25" s="3"/>
      <c r="N25" s="3"/>
      <c r="O25" s="3"/>
      <c r="P25" s="3"/>
      <c r="Q25" s="3"/>
      <c r="R25" s="3"/>
      <c r="S25" s="3"/>
      <c r="T25" s="3"/>
      <c r="U25" s="3"/>
      <c r="V25" s="3"/>
      <c r="W25" s="3"/>
      <c r="X25" s="3"/>
      <c r="Y25" s="3"/>
      <c r="Z25" s="3"/>
    </row>
    <row r="26" spans="1:26" ht="22.5" customHeight="1" x14ac:dyDescent="0.85">
      <c r="A26" s="149" t="s">
        <v>145</v>
      </c>
      <c r="B26" s="150">
        <f t="shared" ref="B26:B28" si="5">B78</f>
        <v>261263.02352377659</v>
      </c>
      <c r="C26" s="153">
        <f t="shared" si="0"/>
        <v>0.33600244314341082</v>
      </c>
      <c r="D26" s="154" t="s">
        <v>398</v>
      </c>
      <c r="E26" s="155">
        <f t="shared" ref="E26:F26" si="6">SUM(E19:E25)</f>
        <v>480358.86853029125</v>
      </c>
      <c r="F26" s="156">
        <f t="shared" si="6"/>
        <v>1</v>
      </c>
      <c r="G26" s="147"/>
      <c r="H26" s="147"/>
      <c r="I26" s="147"/>
      <c r="J26" s="147"/>
      <c r="K26" s="147"/>
      <c r="L26" s="147"/>
      <c r="M26" s="3"/>
      <c r="N26" s="3"/>
      <c r="O26" s="3"/>
      <c r="P26" s="3"/>
      <c r="Q26" s="3"/>
      <c r="R26" s="3"/>
      <c r="S26" s="3"/>
      <c r="T26" s="3"/>
      <c r="U26" s="3"/>
      <c r="V26" s="3"/>
      <c r="W26" s="3"/>
      <c r="X26" s="3"/>
      <c r="Y26" s="3"/>
      <c r="Z26" s="3"/>
    </row>
    <row r="27" spans="1:26" ht="22.5" customHeight="1" x14ac:dyDescent="0.85">
      <c r="A27" s="149" t="s">
        <v>146</v>
      </c>
      <c r="B27" s="150">
        <f t="shared" si="5"/>
        <v>36.912056499215289</v>
      </c>
      <c r="C27" s="160">
        <f t="shared" si="0"/>
        <v>4.7471475289174412E-5</v>
      </c>
      <c r="D27" s="147"/>
      <c r="E27" s="147"/>
      <c r="F27" s="147"/>
      <c r="G27" s="147"/>
      <c r="H27" s="147"/>
      <c r="I27" s="147"/>
      <c r="J27" s="147"/>
      <c r="K27" s="147"/>
      <c r="L27" s="147"/>
      <c r="M27" s="3"/>
      <c r="N27" s="3"/>
      <c r="O27" s="3"/>
      <c r="P27" s="3"/>
      <c r="Q27" s="3"/>
      <c r="R27" s="3"/>
      <c r="S27" s="3"/>
      <c r="T27" s="3"/>
      <c r="U27" s="3"/>
      <c r="V27" s="3"/>
      <c r="W27" s="3"/>
      <c r="X27" s="3"/>
      <c r="Y27" s="3"/>
      <c r="Z27" s="3"/>
    </row>
    <row r="28" spans="1:26" ht="22.5" customHeight="1" x14ac:dyDescent="0.85">
      <c r="A28" s="149" t="s">
        <v>147</v>
      </c>
      <c r="B28" s="133">
        <f t="shared" si="5"/>
        <v>1.3260461140893085</v>
      </c>
      <c r="C28" s="230">
        <f t="shared" si="0"/>
        <v>1.7053876512850103E-6</v>
      </c>
      <c r="D28" s="147"/>
      <c r="E28" s="147"/>
      <c r="F28" s="147"/>
      <c r="G28" s="147"/>
      <c r="H28" s="147"/>
      <c r="I28" s="147"/>
      <c r="J28" s="147"/>
      <c r="K28" s="147"/>
      <c r="L28" s="147"/>
      <c r="M28" s="3"/>
      <c r="N28" s="3"/>
      <c r="O28" s="3"/>
      <c r="P28" s="3"/>
      <c r="Q28" s="3"/>
      <c r="R28" s="3"/>
      <c r="S28" s="3"/>
      <c r="T28" s="3"/>
      <c r="U28" s="3"/>
      <c r="V28" s="3"/>
      <c r="W28" s="3"/>
      <c r="X28" s="3"/>
      <c r="Y28" s="3"/>
      <c r="Z28" s="3"/>
    </row>
    <row r="29" spans="1:26" ht="22.5" customHeight="1" x14ac:dyDescent="0.85">
      <c r="A29" s="149" t="s">
        <v>148</v>
      </c>
      <c r="B29" s="150">
        <f t="shared" ref="B29:B30" si="7">B83</f>
        <v>0</v>
      </c>
      <c r="C29" s="151">
        <f t="shared" si="0"/>
        <v>0</v>
      </c>
      <c r="D29" s="147"/>
      <c r="E29" s="147"/>
      <c r="F29" s="147"/>
      <c r="G29" s="147"/>
      <c r="H29" s="147"/>
      <c r="I29" s="147"/>
      <c r="J29" s="147"/>
      <c r="K29" s="147"/>
      <c r="L29" s="147"/>
      <c r="M29" s="3"/>
      <c r="N29" s="3"/>
      <c r="O29" s="3"/>
      <c r="P29" s="3"/>
      <c r="Q29" s="3"/>
      <c r="R29" s="3"/>
      <c r="S29" s="3"/>
      <c r="T29" s="3"/>
      <c r="U29" s="3"/>
      <c r="V29" s="3"/>
      <c r="W29" s="3"/>
      <c r="X29" s="3"/>
      <c r="Y29" s="3"/>
      <c r="Z29" s="3"/>
    </row>
    <row r="30" spans="1:26" ht="22.5" customHeight="1" x14ac:dyDescent="0.85">
      <c r="A30" s="149" t="s">
        <v>149</v>
      </c>
      <c r="B30" s="150">
        <f t="shared" si="7"/>
        <v>0</v>
      </c>
      <c r="C30" s="151">
        <f t="shared" si="0"/>
        <v>0</v>
      </c>
      <c r="D30" s="147"/>
      <c r="E30" s="147"/>
      <c r="F30" s="147"/>
      <c r="G30" s="147"/>
      <c r="H30" s="147"/>
      <c r="I30" s="147"/>
      <c r="J30" s="147"/>
      <c r="K30" s="147"/>
      <c r="L30" s="147"/>
      <c r="M30" s="3"/>
      <c r="N30" s="3"/>
      <c r="O30" s="3"/>
      <c r="P30" s="3"/>
      <c r="Q30" s="3"/>
      <c r="R30" s="3"/>
      <c r="S30" s="3"/>
      <c r="T30" s="3"/>
      <c r="U30" s="3"/>
      <c r="V30" s="3"/>
      <c r="W30" s="3"/>
      <c r="X30" s="3"/>
      <c r="Y30" s="3"/>
      <c r="Z30" s="3"/>
    </row>
    <row r="31" spans="1:26" ht="22.5" customHeight="1" x14ac:dyDescent="0.85">
      <c r="A31" s="149" t="s">
        <v>150</v>
      </c>
      <c r="B31" s="150">
        <f t="shared" ref="B31:B32" si="8">B87</f>
        <v>0</v>
      </c>
      <c r="C31" s="151">
        <f t="shared" si="0"/>
        <v>0</v>
      </c>
      <c r="D31" s="147"/>
      <c r="E31" s="147"/>
      <c r="F31" s="147"/>
      <c r="G31" s="147"/>
      <c r="H31" s="147"/>
      <c r="I31" s="147"/>
      <c r="J31" s="147"/>
      <c r="K31" s="147"/>
      <c r="L31" s="147"/>
      <c r="M31" s="3"/>
      <c r="N31" s="3"/>
      <c r="O31" s="3"/>
      <c r="P31" s="3"/>
      <c r="Q31" s="3"/>
      <c r="R31" s="3"/>
      <c r="S31" s="3"/>
      <c r="T31" s="3"/>
      <c r="U31" s="3"/>
      <c r="V31" s="3"/>
      <c r="W31" s="3"/>
      <c r="X31" s="3"/>
      <c r="Y31" s="3"/>
      <c r="Z31" s="3"/>
    </row>
    <row r="32" spans="1:26" ht="22.5" customHeight="1" x14ac:dyDescent="0.85">
      <c r="A32" s="149" t="s">
        <v>151</v>
      </c>
      <c r="B32" s="150">
        <f t="shared" si="8"/>
        <v>0</v>
      </c>
      <c r="C32" s="151">
        <f t="shared" si="0"/>
        <v>0</v>
      </c>
      <c r="D32" s="147"/>
      <c r="E32" s="147"/>
      <c r="F32" s="147"/>
      <c r="G32" s="147"/>
      <c r="H32" s="147"/>
      <c r="I32" s="147"/>
      <c r="J32" s="147"/>
      <c r="K32" s="147"/>
      <c r="L32" s="147"/>
      <c r="M32" s="3"/>
      <c r="N32" s="3"/>
      <c r="O32" s="3"/>
      <c r="P32" s="3"/>
      <c r="Q32" s="3"/>
      <c r="R32" s="3"/>
      <c r="S32" s="3"/>
      <c r="T32" s="3"/>
      <c r="U32" s="3"/>
      <c r="V32" s="3"/>
      <c r="W32" s="3"/>
      <c r="X32" s="3"/>
      <c r="Y32" s="3"/>
      <c r="Z32" s="3"/>
    </row>
    <row r="33" spans="1:26" ht="22.5" customHeight="1" x14ac:dyDescent="0.85">
      <c r="A33" s="149" t="s">
        <v>152</v>
      </c>
      <c r="B33" s="150">
        <f>B91</f>
        <v>16681.795604508501</v>
      </c>
      <c r="C33" s="151">
        <f t="shared" si="0"/>
        <v>2.1453950901795971E-2</v>
      </c>
      <c r="D33" s="147"/>
      <c r="E33" s="147"/>
      <c r="F33" s="147"/>
      <c r="G33" s="147"/>
      <c r="H33" s="147"/>
      <c r="I33" s="147"/>
      <c r="J33" s="147"/>
      <c r="K33" s="147"/>
      <c r="L33" s="147"/>
      <c r="M33" s="3"/>
      <c r="N33" s="3"/>
      <c r="O33" s="3"/>
      <c r="P33" s="3"/>
      <c r="Q33" s="3"/>
      <c r="R33" s="3"/>
      <c r="S33" s="3"/>
      <c r="T33" s="3"/>
      <c r="U33" s="3"/>
      <c r="V33" s="3"/>
      <c r="W33" s="3"/>
      <c r="X33" s="3"/>
      <c r="Y33" s="3"/>
      <c r="Z33" s="3"/>
    </row>
    <row r="34" spans="1:26" ht="22.5" customHeight="1" x14ac:dyDescent="0.85">
      <c r="A34" s="149" t="s">
        <v>153</v>
      </c>
      <c r="B34" s="150">
        <f>B94</f>
        <v>144847.42741757038</v>
      </c>
      <c r="C34" s="151">
        <f t="shared" si="0"/>
        <v>0.18628387913038266</v>
      </c>
      <c r="D34" s="147"/>
      <c r="E34" s="147"/>
      <c r="F34" s="147"/>
      <c r="G34" s="147"/>
      <c r="H34" s="147"/>
      <c r="I34" s="147"/>
      <c r="J34" s="147"/>
      <c r="K34" s="147"/>
      <c r="L34" s="147"/>
      <c r="M34" s="3"/>
      <c r="N34" s="3"/>
      <c r="O34" s="3"/>
      <c r="P34" s="3"/>
      <c r="Q34" s="3"/>
      <c r="R34" s="3"/>
      <c r="S34" s="3"/>
      <c r="T34" s="3"/>
      <c r="U34" s="3"/>
      <c r="V34" s="3"/>
      <c r="W34" s="3"/>
      <c r="X34" s="3"/>
      <c r="Y34" s="3"/>
      <c r="Z34" s="3"/>
    </row>
    <row r="35" spans="1:26" ht="22.5" customHeight="1" x14ac:dyDescent="0.85">
      <c r="A35" s="149" t="s">
        <v>154</v>
      </c>
      <c r="B35" s="150">
        <f>B99+B100</f>
        <v>11479.950052449298</v>
      </c>
      <c r="C35" s="151">
        <f t="shared" si="0"/>
        <v>1.4764015254674008E-2</v>
      </c>
      <c r="D35" s="147"/>
      <c r="E35" s="147"/>
      <c r="F35" s="147"/>
      <c r="G35" s="147"/>
      <c r="H35" s="147"/>
      <c r="I35" s="147"/>
      <c r="J35" s="147"/>
      <c r="K35" s="147"/>
      <c r="L35" s="147"/>
      <c r="M35" s="3"/>
      <c r="N35" s="3"/>
      <c r="O35" s="3"/>
      <c r="P35" s="3"/>
      <c r="Q35" s="3"/>
      <c r="R35" s="3"/>
      <c r="S35" s="3"/>
      <c r="T35" s="3"/>
      <c r="U35" s="3"/>
      <c r="V35" s="3"/>
      <c r="W35" s="3"/>
      <c r="X35" s="3"/>
      <c r="Y35" s="3"/>
      <c r="Z35" s="3"/>
    </row>
    <row r="36" spans="1:26" ht="22.5" customHeight="1" x14ac:dyDescent="0.85">
      <c r="A36" s="149" t="s">
        <v>155</v>
      </c>
      <c r="B36" s="150">
        <f>B101+B102</f>
        <v>1809.9414042953022</v>
      </c>
      <c r="C36" s="151">
        <f t="shared" si="0"/>
        <v>2.3277106939485924E-3</v>
      </c>
      <c r="D36" s="147"/>
      <c r="E36" s="147"/>
      <c r="F36" s="147"/>
      <c r="G36" s="147"/>
      <c r="H36" s="147"/>
      <c r="I36" s="147"/>
      <c r="J36" s="147"/>
      <c r="K36" s="147"/>
      <c r="L36" s="147"/>
      <c r="M36" s="3"/>
      <c r="N36" s="3"/>
      <c r="O36" s="3"/>
      <c r="P36" s="3"/>
      <c r="Q36" s="3"/>
      <c r="R36" s="3"/>
      <c r="S36" s="3"/>
      <c r="T36" s="3"/>
      <c r="U36" s="3"/>
      <c r="V36" s="3"/>
      <c r="W36" s="3"/>
      <c r="X36" s="3"/>
      <c r="Y36" s="3"/>
      <c r="Z36" s="3"/>
    </row>
    <row r="37" spans="1:26" ht="22.5" customHeight="1" x14ac:dyDescent="0.85">
      <c r="A37" s="149" t="s">
        <v>156</v>
      </c>
      <c r="B37" s="150">
        <f>B108</f>
        <v>1847.1152422799998</v>
      </c>
      <c r="C37" s="151">
        <f t="shared" si="0"/>
        <v>2.3755188384590961E-3</v>
      </c>
      <c r="D37" s="147"/>
      <c r="E37" s="147"/>
      <c r="F37" s="147"/>
      <c r="G37" s="147"/>
      <c r="H37" s="147"/>
      <c r="I37" s="147"/>
      <c r="J37" s="147"/>
      <c r="K37" s="147"/>
      <c r="L37" s="147"/>
      <c r="M37" s="3"/>
      <c r="N37" s="3"/>
      <c r="O37" s="3"/>
      <c r="P37" s="3"/>
      <c r="Q37" s="3"/>
      <c r="R37" s="3"/>
      <c r="S37" s="3"/>
      <c r="T37" s="3"/>
      <c r="U37" s="3"/>
      <c r="V37" s="3"/>
      <c r="W37" s="3"/>
      <c r="X37" s="3"/>
      <c r="Y37" s="3"/>
      <c r="Z37" s="3"/>
    </row>
    <row r="38" spans="1:26" ht="22.5" customHeight="1" x14ac:dyDescent="0.85">
      <c r="A38" s="149" t="s">
        <v>346</v>
      </c>
      <c r="B38" s="150">
        <f t="shared" ref="B38:B39" si="9">B112</f>
        <v>1325.48</v>
      </c>
      <c r="C38" s="151">
        <f t="shared" si="0"/>
        <v>1.7046595891408154E-3</v>
      </c>
      <c r="D38" s="147"/>
      <c r="E38" s="147"/>
      <c r="F38" s="147"/>
      <c r="G38" s="147"/>
      <c r="H38" s="147"/>
      <c r="I38" s="147"/>
      <c r="J38" s="147"/>
      <c r="K38" s="147"/>
      <c r="L38" s="147"/>
      <c r="M38" s="3"/>
      <c r="N38" s="3"/>
      <c r="O38" s="3"/>
      <c r="P38" s="3"/>
      <c r="Q38" s="3"/>
      <c r="R38" s="3"/>
      <c r="S38" s="3"/>
      <c r="T38" s="3"/>
      <c r="U38" s="3"/>
      <c r="V38" s="3"/>
      <c r="W38" s="3"/>
      <c r="X38" s="3"/>
      <c r="Y38" s="3"/>
      <c r="Z38" s="3"/>
    </row>
    <row r="39" spans="1:26" ht="22.5" customHeight="1" x14ac:dyDescent="0.85">
      <c r="A39" s="149" t="s">
        <v>158</v>
      </c>
      <c r="B39" s="150">
        <f t="shared" si="9"/>
        <v>4485.459148537544</v>
      </c>
      <c r="C39" s="159">
        <f t="shared" si="0"/>
        <v>5.7686128415773315E-3</v>
      </c>
      <c r="D39" s="147"/>
      <c r="E39" s="147"/>
      <c r="F39" s="147"/>
      <c r="G39" s="147"/>
      <c r="H39" s="147"/>
      <c r="I39" s="147"/>
      <c r="J39" s="147"/>
      <c r="K39" s="147"/>
      <c r="L39" s="147"/>
      <c r="M39" s="3"/>
      <c r="N39" s="3"/>
      <c r="O39" s="3"/>
      <c r="P39" s="3"/>
      <c r="Q39" s="3"/>
      <c r="R39" s="3"/>
      <c r="S39" s="3"/>
      <c r="T39" s="3"/>
      <c r="U39" s="3"/>
      <c r="V39" s="3"/>
      <c r="W39" s="3"/>
      <c r="X39" s="3"/>
      <c r="Y39" s="3"/>
      <c r="Z39" s="3"/>
    </row>
    <row r="40" spans="1:26" ht="22.5" customHeight="1" x14ac:dyDescent="0.85">
      <c r="A40" s="149" t="s">
        <v>402</v>
      </c>
      <c r="B40" s="150">
        <f>'AFOLU Data'!Q69</f>
        <v>102142.77829776876</v>
      </c>
      <c r="C40" s="153">
        <f t="shared" si="0"/>
        <v>0.13136272632312512</v>
      </c>
      <c r="D40" s="147"/>
      <c r="E40" s="147"/>
      <c r="F40" s="147"/>
      <c r="G40" s="147"/>
      <c r="H40" s="147"/>
      <c r="I40" s="147"/>
      <c r="J40" s="147"/>
      <c r="K40" s="3"/>
      <c r="L40" s="3"/>
      <c r="M40" s="3"/>
      <c r="N40" s="3"/>
      <c r="O40" s="3"/>
      <c r="P40" s="3"/>
      <c r="Q40" s="3"/>
      <c r="R40" s="3"/>
      <c r="S40" s="3"/>
      <c r="T40" s="3"/>
      <c r="U40" s="3"/>
      <c r="V40" s="3"/>
      <c r="W40" s="3"/>
      <c r="X40" s="3"/>
      <c r="Y40" s="3"/>
      <c r="Z40" s="3"/>
    </row>
    <row r="41" spans="1:26" ht="22.5" customHeight="1" x14ac:dyDescent="0.85">
      <c r="A41" s="149" t="s">
        <v>403</v>
      </c>
      <c r="B41" s="150">
        <f>'AFOLU Data'!J101</f>
        <v>68728.382367510902</v>
      </c>
      <c r="C41" s="151">
        <f t="shared" si="0"/>
        <v>8.8389486109872656E-2</v>
      </c>
      <c r="D41" s="147"/>
      <c r="E41" s="147"/>
      <c r="F41" s="147"/>
      <c r="G41" s="147"/>
      <c r="H41" s="147"/>
      <c r="I41" s="147"/>
      <c r="J41" s="147"/>
      <c r="K41" s="3"/>
      <c r="L41" s="3"/>
      <c r="M41" s="3"/>
      <c r="N41" s="3"/>
      <c r="O41" s="3"/>
      <c r="P41" s="3"/>
      <c r="Q41" s="3"/>
      <c r="R41" s="3"/>
      <c r="S41" s="3"/>
      <c r="T41" s="3"/>
      <c r="U41" s="3"/>
      <c r="V41" s="3"/>
      <c r="W41" s="3"/>
      <c r="X41" s="3"/>
      <c r="Y41" s="3"/>
      <c r="Z41" s="3"/>
    </row>
    <row r="42" spans="1:26" ht="22.5" customHeight="1" x14ac:dyDescent="0.85">
      <c r="A42" s="149" t="s">
        <v>404</v>
      </c>
      <c r="B42" s="150">
        <f>'AFOLU Data'!E124</f>
        <v>323.62968249341213</v>
      </c>
      <c r="C42" s="153">
        <f t="shared" si="0"/>
        <v>4.1621030992017419E-4</v>
      </c>
      <c r="D42" s="147"/>
      <c r="E42" s="147"/>
      <c r="F42" s="147"/>
      <c r="G42" s="147"/>
      <c r="H42" s="147"/>
      <c r="I42" s="147"/>
      <c r="J42" s="147"/>
      <c r="K42" s="3"/>
      <c r="L42" s="3"/>
      <c r="M42" s="3"/>
      <c r="N42" s="3"/>
      <c r="O42" s="3"/>
      <c r="P42" s="3"/>
      <c r="Q42" s="3"/>
      <c r="R42" s="3"/>
      <c r="S42" s="3"/>
      <c r="T42" s="3"/>
      <c r="U42" s="3"/>
      <c r="V42" s="3"/>
      <c r="W42" s="3"/>
      <c r="X42" s="3"/>
      <c r="Y42" s="3"/>
      <c r="Z42" s="3"/>
    </row>
    <row r="43" spans="1:26" ht="22.5" customHeight="1" x14ac:dyDescent="0.85">
      <c r="A43" s="149" t="s">
        <v>405</v>
      </c>
      <c r="B43" s="150">
        <f>'AFOLU Data'!I140</f>
        <v>1372.958021117403</v>
      </c>
      <c r="C43" s="153">
        <f t="shared" si="0"/>
        <v>1.7657196307643867E-3</v>
      </c>
      <c r="D43" s="147"/>
      <c r="E43" s="147"/>
      <c r="F43" s="147"/>
      <c r="G43" s="147"/>
      <c r="H43" s="147"/>
      <c r="I43" s="147"/>
      <c r="J43" s="147"/>
      <c r="K43" s="3"/>
      <c r="L43" s="3"/>
      <c r="M43" s="3"/>
      <c r="N43" s="3"/>
      <c r="O43" s="3"/>
      <c r="P43" s="3"/>
      <c r="Q43" s="3"/>
      <c r="R43" s="3"/>
      <c r="S43" s="3"/>
      <c r="T43" s="3"/>
      <c r="U43" s="3"/>
      <c r="V43" s="3"/>
      <c r="W43" s="3"/>
      <c r="X43" s="3"/>
      <c r="Y43" s="3"/>
      <c r="Z43" s="3"/>
    </row>
    <row r="44" spans="1:26" ht="22.5" customHeight="1" x14ac:dyDescent="0.85">
      <c r="A44" s="162" t="s">
        <v>406</v>
      </c>
      <c r="B44" s="158">
        <f>B119</f>
        <v>-297204</v>
      </c>
      <c r="C44" s="163" t="s">
        <v>106</v>
      </c>
      <c r="D44" s="147"/>
      <c r="E44" s="147"/>
      <c r="F44" s="147"/>
      <c r="G44" s="147"/>
      <c r="H44" s="147"/>
      <c r="I44" s="147"/>
      <c r="J44" s="147"/>
      <c r="K44" s="3"/>
      <c r="L44" s="3"/>
      <c r="M44" s="3"/>
      <c r="N44" s="3"/>
      <c r="O44" s="3"/>
      <c r="P44" s="3"/>
      <c r="Q44" s="3"/>
      <c r="R44" s="3"/>
      <c r="S44" s="3"/>
      <c r="T44" s="3"/>
      <c r="U44" s="3"/>
      <c r="V44" s="3"/>
      <c r="W44" s="3"/>
      <c r="X44" s="3"/>
      <c r="Y44" s="3"/>
      <c r="Z44" s="3"/>
    </row>
    <row r="45" spans="1:26" ht="22.5" customHeight="1" x14ac:dyDescent="0.85">
      <c r="A45" s="164" t="s">
        <v>101</v>
      </c>
      <c r="B45" s="155">
        <f t="shared" ref="B45:C45" si="10">SUM(B19:B43)</f>
        <v>777562.86853029113</v>
      </c>
      <c r="C45" s="156">
        <f t="shared" si="10"/>
        <v>1.0000000000000002</v>
      </c>
      <c r="D45" s="147"/>
      <c r="E45" s="147"/>
      <c r="F45" s="147"/>
      <c r="G45" s="147"/>
      <c r="H45" s="147"/>
      <c r="I45" s="147"/>
      <c r="J45" s="147"/>
      <c r="K45" s="3"/>
      <c r="L45" s="3"/>
      <c r="M45" s="3"/>
      <c r="N45" s="3"/>
      <c r="O45" s="3"/>
      <c r="P45" s="3"/>
      <c r="Q45" s="3"/>
      <c r="R45" s="3"/>
      <c r="S45" s="3"/>
      <c r="T45" s="3"/>
      <c r="U45" s="3"/>
      <c r="V45" s="3"/>
      <c r="W45" s="3"/>
      <c r="X45" s="3"/>
      <c r="Y45" s="3"/>
      <c r="Z45" s="3"/>
    </row>
    <row r="46" spans="1:26" ht="22.5" customHeight="1" x14ac:dyDescent="0.85">
      <c r="A46" s="164" t="s">
        <v>136</v>
      </c>
      <c r="B46" s="165">
        <f>B44</f>
        <v>-297204</v>
      </c>
      <c r="C46" s="156" t="s">
        <v>106</v>
      </c>
      <c r="D46" s="147"/>
      <c r="E46" s="147"/>
      <c r="F46" s="147"/>
      <c r="G46" s="147"/>
      <c r="H46" s="147"/>
      <c r="I46" s="147"/>
      <c r="J46" s="147"/>
      <c r="K46" s="3"/>
      <c r="L46" s="3"/>
      <c r="M46" s="3"/>
      <c r="N46" s="3"/>
      <c r="O46" s="3"/>
      <c r="P46" s="3"/>
      <c r="Q46" s="3"/>
      <c r="R46" s="3"/>
      <c r="S46" s="3"/>
      <c r="T46" s="3"/>
      <c r="U46" s="3"/>
      <c r="V46" s="3"/>
      <c r="W46" s="3"/>
      <c r="X46" s="3"/>
      <c r="Y46" s="3"/>
      <c r="Z46" s="3"/>
    </row>
    <row r="47" spans="1:26" ht="22.5" customHeight="1" x14ac:dyDescent="0.85">
      <c r="A47" s="164" t="s">
        <v>123</v>
      </c>
      <c r="B47" s="155">
        <f>B45+B46</f>
        <v>480358.86853029113</v>
      </c>
      <c r="C47" s="156" t="s">
        <v>106</v>
      </c>
      <c r="D47" s="147"/>
      <c r="E47" s="147"/>
      <c r="F47" s="147"/>
      <c r="G47" s="147"/>
      <c r="H47" s="147"/>
      <c r="I47" s="147"/>
      <c r="J47" s="147"/>
      <c r="K47" s="3"/>
      <c r="L47" s="3"/>
      <c r="M47" s="3"/>
      <c r="N47" s="3"/>
      <c r="O47" s="3"/>
      <c r="P47" s="3"/>
      <c r="Q47" s="3"/>
      <c r="R47" s="3"/>
      <c r="S47" s="3"/>
      <c r="T47" s="3"/>
      <c r="U47" s="3"/>
      <c r="V47" s="3"/>
      <c r="W47" s="3"/>
      <c r="X47" s="3"/>
      <c r="Y47" s="3"/>
      <c r="Z47" s="3"/>
    </row>
    <row r="48" spans="1:26" ht="22.5" customHeight="1" x14ac:dyDescent="0.85">
      <c r="A48" s="166"/>
      <c r="B48" s="167"/>
      <c r="C48" s="167"/>
      <c r="D48" s="147"/>
      <c r="E48" s="147"/>
      <c r="F48" s="147"/>
      <c r="G48" s="147"/>
      <c r="H48" s="147"/>
      <c r="I48" s="147"/>
      <c r="J48" s="147"/>
      <c r="K48" s="3"/>
      <c r="L48" s="3"/>
      <c r="M48" s="3"/>
      <c r="N48" s="3"/>
      <c r="O48" s="3"/>
      <c r="P48" s="3"/>
      <c r="Q48" s="3"/>
      <c r="R48" s="3"/>
      <c r="S48" s="3"/>
      <c r="T48" s="3"/>
      <c r="U48" s="3"/>
      <c r="V48" s="3"/>
      <c r="W48" s="3"/>
      <c r="X48" s="3"/>
      <c r="Y48" s="3"/>
      <c r="Z48" s="3"/>
    </row>
    <row r="49" spans="1:26" ht="22.5" customHeight="1" x14ac:dyDescent="0.85">
      <c r="A49" s="144" t="s">
        <v>407</v>
      </c>
      <c r="B49" s="145"/>
      <c r="C49" s="145"/>
      <c r="D49" s="145"/>
      <c r="E49" s="145"/>
      <c r="F49" s="146"/>
      <c r="G49" s="147"/>
      <c r="H49" s="147"/>
      <c r="I49" s="147"/>
      <c r="J49" s="147"/>
      <c r="K49" s="147"/>
      <c r="L49" s="147"/>
      <c r="M49" s="3"/>
      <c r="N49" s="3"/>
      <c r="O49" s="3"/>
      <c r="P49" s="3"/>
      <c r="Q49" s="3"/>
      <c r="R49" s="3"/>
      <c r="S49" s="3"/>
      <c r="T49" s="3"/>
      <c r="U49" s="3"/>
      <c r="V49" s="3"/>
      <c r="W49" s="3"/>
      <c r="X49" s="3"/>
      <c r="Y49" s="3"/>
      <c r="Z49" s="3"/>
    </row>
    <row r="50" spans="1:26" ht="22.5" customHeight="1" x14ac:dyDescent="0.85">
      <c r="A50" s="168" t="s">
        <v>184</v>
      </c>
      <c r="B50" s="169"/>
      <c r="C50" s="169"/>
      <c r="D50" s="169"/>
      <c r="E50" s="169"/>
      <c r="F50" s="170"/>
      <c r="G50" s="147"/>
      <c r="H50" s="147"/>
      <c r="I50" s="147"/>
      <c r="J50" s="147"/>
      <c r="K50" s="147"/>
      <c r="L50" s="147"/>
      <c r="M50" s="3"/>
      <c r="N50" s="3"/>
      <c r="O50" s="3"/>
      <c r="P50" s="3"/>
      <c r="Q50" s="3"/>
      <c r="R50" s="3"/>
      <c r="S50" s="3"/>
      <c r="T50" s="3"/>
      <c r="U50" s="3"/>
      <c r="V50" s="3"/>
      <c r="W50" s="3"/>
      <c r="X50" s="3"/>
      <c r="Y50" s="3"/>
      <c r="Z50" s="3"/>
    </row>
    <row r="51" spans="1:26" ht="22.5" customHeight="1" x14ac:dyDescent="0.85">
      <c r="A51" s="171" t="s">
        <v>408</v>
      </c>
      <c r="B51" s="172"/>
      <c r="C51" s="172"/>
      <c r="D51" s="172"/>
      <c r="E51" s="172"/>
      <c r="F51" s="173"/>
      <c r="G51" s="147"/>
      <c r="H51" s="147"/>
      <c r="I51" s="147"/>
      <c r="J51" s="147"/>
      <c r="K51" s="3"/>
      <c r="L51" s="3"/>
      <c r="M51" s="3"/>
      <c r="N51" s="3"/>
      <c r="O51" s="3"/>
      <c r="P51" s="3"/>
      <c r="Q51" s="3"/>
      <c r="R51" s="3"/>
      <c r="S51" s="3"/>
      <c r="T51" s="3"/>
      <c r="U51" s="3"/>
      <c r="V51" s="3"/>
      <c r="W51" s="3"/>
      <c r="X51" s="3"/>
      <c r="Y51" s="3"/>
      <c r="Z51" s="3"/>
    </row>
    <row r="52" spans="1:26" ht="22.5" customHeight="1" x14ac:dyDescent="0.85">
      <c r="A52" s="130" t="s">
        <v>409</v>
      </c>
      <c r="B52" s="130" t="s">
        <v>410</v>
      </c>
      <c r="C52" s="174" t="s">
        <v>362</v>
      </c>
      <c r="D52" s="174" t="s">
        <v>117</v>
      </c>
      <c r="E52" s="174" t="s">
        <v>251</v>
      </c>
      <c r="F52" s="174" t="s">
        <v>362</v>
      </c>
      <c r="G52" s="147"/>
      <c r="H52" s="147"/>
      <c r="I52" s="147"/>
      <c r="J52" s="147"/>
      <c r="K52" s="3"/>
      <c r="L52" s="3"/>
      <c r="M52" s="3"/>
      <c r="N52" s="3"/>
      <c r="O52" s="3"/>
      <c r="P52" s="3"/>
      <c r="Q52" s="3"/>
      <c r="R52" s="3"/>
      <c r="S52" s="3"/>
      <c r="T52" s="3"/>
      <c r="U52" s="3"/>
      <c r="V52" s="3"/>
      <c r="W52" s="3"/>
      <c r="X52" s="3"/>
      <c r="Y52" s="3"/>
      <c r="Z52" s="3"/>
    </row>
    <row r="53" spans="1:26" ht="22.5" customHeight="1" x14ac:dyDescent="0.85">
      <c r="A53" s="175" t="s">
        <v>411</v>
      </c>
      <c r="B53" s="150">
        <f>'Energy Data'!E231</f>
        <v>16276.108676986152</v>
      </c>
      <c r="C53" s="176" t="s">
        <v>412</v>
      </c>
      <c r="D53" s="177">
        <v>1</v>
      </c>
      <c r="E53" s="178">
        <f>'Energy Data'!E227</f>
        <v>3064343.7624351447</v>
      </c>
      <c r="F53" s="176" t="s">
        <v>413</v>
      </c>
      <c r="G53" s="147"/>
      <c r="H53" s="147"/>
      <c r="I53" s="147"/>
      <c r="J53" s="147"/>
      <c r="K53" s="3"/>
      <c r="L53" s="3"/>
      <c r="M53" s="3"/>
      <c r="N53" s="3"/>
      <c r="O53" s="3"/>
      <c r="P53" s="3"/>
      <c r="Q53" s="3"/>
      <c r="R53" s="3"/>
      <c r="S53" s="3"/>
      <c r="T53" s="3"/>
      <c r="U53" s="3"/>
      <c r="V53" s="3"/>
      <c r="W53" s="3"/>
      <c r="X53" s="3"/>
      <c r="Y53" s="3"/>
      <c r="Z53" s="3"/>
    </row>
    <row r="54" spans="1:26" ht="22.5" customHeight="1" x14ac:dyDescent="0.85">
      <c r="A54" s="13" t="s">
        <v>414</v>
      </c>
      <c r="B54" s="150">
        <f>'Energy Data'!E223</f>
        <v>8436.2970136930981</v>
      </c>
      <c r="C54" s="176" t="s">
        <v>412</v>
      </c>
      <c r="D54" s="177">
        <v>1</v>
      </c>
      <c r="E54" s="178">
        <f>'Energy Data'!E219</f>
        <v>1588322.7769616765</v>
      </c>
      <c r="F54" s="176" t="s">
        <v>413</v>
      </c>
      <c r="G54" s="147"/>
      <c r="H54" s="147"/>
      <c r="I54" s="147"/>
      <c r="J54" s="147"/>
      <c r="K54" s="3"/>
      <c r="L54" s="3"/>
      <c r="M54" s="3"/>
      <c r="N54" s="3"/>
      <c r="O54" s="3"/>
      <c r="P54" s="3"/>
      <c r="Q54" s="3"/>
      <c r="R54" s="3"/>
      <c r="S54" s="3"/>
      <c r="T54" s="3"/>
      <c r="U54" s="3"/>
      <c r="V54" s="3"/>
      <c r="W54" s="3"/>
      <c r="X54" s="3"/>
      <c r="Y54" s="3"/>
      <c r="Z54" s="3"/>
    </row>
    <row r="55" spans="1:26" ht="22.5" customHeight="1" x14ac:dyDescent="0.85">
      <c r="A55" s="13" t="s">
        <v>266</v>
      </c>
      <c r="B55" s="150">
        <f>'Energy Data'!E240</f>
        <v>0</v>
      </c>
      <c r="C55" s="176" t="s">
        <v>412</v>
      </c>
      <c r="D55" s="177">
        <v>1</v>
      </c>
      <c r="E55" s="178">
        <f>'Energy Data'!E236</f>
        <v>0</v>
      </c>
      <c r="F55" s="176" t="s">
        <v>415</v>
      </c>
      <c r="G55" s="147"/>
      <c r="H55" s="147"/>
      <c r="I55" s="147"/>
      <c r="J55" s="147"/>
      <c r="K55" s="3"/>
      <c r="L55" s="3"/>
      <c r="M55" s="3"/>
      <c r="N55" s="3"/>
      <c r="O55" s="3"/>
      <c r="P55" s="3"/>
      <c r="Q55" s="3"/>
      <c r="R55" s="3"/>
      <c r="S55" s="3"/>
      <c r="T55" s="3"/>
      <c r="U55" s="3"/>
      <c r="V55" s="3"/>
      <c r="W55" s="3"/>
      <c r="X55" s="3"/>
      <c r="Y55" s="3"/>
      <c r="Z55" s="3"/>
    </row>
    <row r="56" spans="1:26" ht="22.5" customHeight="1" x14ac:dyDescent="0.85">
      <c r="A56" s="13" t="s">
        <v>141</v>
      </c>
      <c r="B56" s="150">
        <f>'Energy Data'!E248+'Energy Data'!E256</f>
        <v>1063.4741440049183</v>
      </c>
      <c r="C56" s="176" t="s">
        <v>412</v>
      </c>
      <c r="D56" s="177">
        <v>1</v>
      </c>
      <c r="E56" s="178">
        <f>'Energy Data'!E244+'Energy Data'!E252</f>
        <v>188408.91912568308</v>
      </c>
      <c r="F56" s="176" t="s">
        <v>416</v>
      </c>
      <c r="G56" s="147"/>
      <c r="H56" s="147"/>
      <c r="I56" s="147"/>
      <c r="J56" s="147"/>
      <c r="K56" s="3"/>
      <c r="L56" s="3"/>
      <c r="M56" s="3"/>
      <c r="N56" s="3"/>
      <c r="O56" s="3"/>
      <c r="P56" s="3"/>
      <c r="Q56" s="3"/>
      <c r="R56" s="3"/>
      <c r="S56" s="3"/>
      <c r="T56" s="3"/>
      <c r="U56" s="3"/>
      <c r="V56" s="3"/>
      <c r="W56" s="3"/>
      <c r="X56" s="3"/>
      <c r="Y56" s="3"/>
      <c r="Z56" s="3"/>
    </row>
    <row r="57" spans="1:26" ht="22.5" customHeight="1" x14ac:dyDescent="0.85">
      <c r="A57" s="13" t="s">
        <v>142</v>
      </c>
      <c r="B57" s="150">
        <f>'Energy Data'!E265</f>
        <v>12.819806999999999</v>
      </c>
      <c r="C57" s="179" t="s">
        <v>412</v>
      </c>
      <c r="D57" s="180">
        <v>1</v>
      </c>
      <c r="E57" s="178">
        <f>'Energy Data'!E261</f>
        <v>89575.2</v>
      </c>
      <c r="F57" s="179" t="s">
        <v>417</v>
      </c>
      <c r="G57" s="147"/>
      <c r="H57" s="147"/>
      <c r="I57" s="147"/>
      <c r="J57" s="147"/>
      <c r="K57" s="3"/>
      <c r="L57" s="3"/>
      <c r="M57" s="3"/>
      <c r="N57" s="3"/>
      <c r="O57" s="3"/>
      <c r="P57" s="3"/>
      <c r="Q57" s="3"/>
      <c r="R57" s="3"/>
      <c r="S57" s="3"/>
      <c r="T57" s="3"/>
      <c r="U57" s="3"/>
      <c r="V57" s="3"/>
      <c r="W57" s="3"/>
      <c r="X57" s="3"/>
      <c r="Y57" s="3"/>
      <c r="Z57" s="3"/>
    </row>
    <row r="58" spans="1:26" ht="22.5" customHeight="1" x14ac:dyDescent="0.85">
      <c r="A58" s="181" t="s">
        <v>418</v>
      </c>
      <c r="B58" s="182">
        <f>SUM(B53:B57)</f>
        <v>25788.699641684168</v>
      </c>
      <c r="C58" s="183"/>
      <c r="D58" s="184"/>
      <c r="E58" s="184"/>
      <c r="F58" s="185"/>
      <c r="G58" s="147"/>
      <c r="H58" s="147"/>
      <c r="I58" s="147"/>
      <c r="J58" s="147"/>
      <c r="K58" s="3"/>
      <c r="L58" s="3"/>
      <c r="M58" s="3"/>
      <c r="N58" s="3"/>
      <c r="O58" s="3"/>
      <c r="P58" s="3"/>
      <c r="Q58" s="3"/>
      <c r="R58" s="3"/>
      <c r="S58" s="3"/>
      <c r="T58" s="3"/>
      <c r="U58" s="3"/>
      <c r="V58" s="3"/>
      <c r="W58" s="3"/>
      <c r="X58" s="3"/>
      <c r="Y58" s="3"/>
      <c r="Z58" s="3"/>
    </row>
    <row r="59" spans="1:26" ht="22.5" customHeight="1" x14ac:dyDescent="0.85">
      <c r="A59" s="171" t="s">
        <v>419</v>
      </c>
      <c r="B59" s="172"/>
      <c r="C59" s="172"/>
      <c r="D59" s="172"/>
      <c r="E59" s="172"/>
      <c r="F59" s="173"/>
      <c r="G59" s="147"/>
      <c r="H59" s="147"/>
      <c r="I59" s="147"/>
      <c r="J59" s="147"/>
      <c r="K59" s="3"/>
      <c r="L59" s="3"/>
      <c r="M59" s="3"/>
      <c r="N59" s="3"/>
      <c r="O59" s="3"/>
      <c r="P59" s="3"/>
      <c r="Q59" s="3"/>
      <c r="R59" s="3"/>
      <c r="S59" s="3"/>
      <c r="T59" s="3"/>
      <c r="U59" s="3"/>
      <c r="V59" s="3"/>
      <c r="W59" s="3"/>
      <c r="X59" s="3"/>
      <c r="Y59" s="3"/>
      <c r="Z59" s="3"/>
    </row>
    <row r="60" spans="1:26" ht="22.5" customHeight="1" x14ac:dyDescent="0.85">
      <c r="A60" s="130" t="s">
        <v>409</v>
      </c>
      <c r="B60" s="130" t="s">
        <v>410</v>
      </c>
      <c r="C60" s="174" t="s">
        <v>362</v>
      </c>
      <c r="D60" s="174" t="s">
        <v>117</v>
      </c>
      <c r="E60" s="174" t="s">
        <v>251</v>
      </c>
      <c r="F60" s="174" t="s">
        <v>362</v>
      </c>
      <c r="G60" s="147"/>
      <c r="H60" s="147"/>
      <c r="I60" s="147"/>
      <c r="J60" s="147"/>
      <c r="K60" s="3"/>
      <c r="L60" s="3"/>
      <c r="M60" s="3"/>
      <c r="N60" s="3"/>
      <c r="O60" s="3"/>
      <c r="P60" s="3"/>
      <c r="Q60" s="3"/>
      <c r="R60" s="3"/>
      <c r="S60" s="3"/>
      <c r="T60" s="3"/>
      <c r="U60" s="3"/>
      <c r="V60" s="3"/>
      <c r="W60" s="3"/>
      <c r="X60" s="3"/>
      <c r="Y60" s="3"/>
      <c r="Z60" s="3"/>
    </row>
    <row r="61" spans="1:26" ht="22.5" customHeight="1" x14ac:dyDescent="0.85">
      <c r="A61" s="13" t="s">
        <v>420</v>
      </c>
      <c r="B61" s="150">
        <f>SUM('Energy Data'!E140,'Energy Data'!E200)</f>
        <v>25219.42490026095</v>
      </c>
      <c r="C61" s="176" t="s">
        <v>412</v>
      </c>
      <c r="D61" s="177">
        <v>2</v>
      </c>
      <c r="E61" s="150">
        <f>'Energy Data'!E136+'Energy Data'!E196</f>
        <v>38764489.660417989</v>
      </c>
      <c r="F61" s="176" t="s">
        <v>421</v>
      </c>
      <c r="G61" s="147"/>
      <c r="H61" s="147"/>
      <c r="I61" s="147"/>
      <c r="J61" s="147"/>
      <c r="K61" s="3"/>
      <c r="L61" s="3"/>
      <c r="M61" s="3"/>
      <c r="N61" s="3"/>
      <c r="O61" s="3"/>
      <c r="P61" s="3"/>
      <c r="Q61" s="3"/>
      <c r="R61" s="3"/>
      <c r="S61" s="3"/>
      <c r="T61" s="3"/>
      <c r="U61" s="3"/>
      <c r="V61" s="3"/>
      <c r="W61" s="3"/>
      <c r="X61" s="3"/>
      <c r="Y61" s="3"/>
      <c r="Z61" s="3"/>
    </row>
    <row r="62" spans="1:26" ht="22.5" customHeight="1" x14ac:dyDescent="0.85">
      <c r="A62" s="13" t="s">
        <v>422</v>
      </c>
      <c r="B62" s="150">
        <f>'Energy Data'!E133+'Energy Data'!E193</f>
        <v>67966.37092218714</v>
      </c>
      <c r="C62" s="176" t="s">
        <v>412</v>
      </c>
      <c r="D62" s="177">
        <v>2</v>
      </c>
      <c r="E62" s="150">
        <f>'Energy Data'!E189+'Energy Data'!E129</f>
        <v>104470331.63083729</v>
      </c>
      <c r="F62" s="176" t="s">
        <v>421</v>
      </c>
      <c r="G62" s="147"/>
      <c r="H62" s="147"/>
      <c r="I62" s="147"/>
      <c r="J62" s="147"/>
      <c r="K62" s="3"/>
      <c r="L62" s="3"/>
      <c r="M62" s="3"/>
      <c r="N62" s="3"/>
      <c r="O62" s="3"/>
      <c r="P62" s="3"/>
      <c r="Q62" s="3"/>
      <c r="R62" s="3"/>
      <c r="S62" s="3"/>
      <c r="T62" s="3"/>
      <c r="U62" s="3"/>
      <c r="V62" s="3"/>
      <c r="W62" s="3"/>
      <c r="X62" s="3"/>
      <c r="Y62" s="3"/>
      <c r="Z62" s="3"/>
    </row>
    <row r="63" spans="1:26" ht="22.5" customHeight="1" x14ac:dyDescent="0.85">
      <c r="A63" s="13" t="s">
        <v>423</v>
      </c>
      <c r="B63" s="150">
        <f>'Energy Data'!E147+'Energy Data'!E207</f>
        <v>36768.849186172469</v>
      </c>
      <c r="C63" s="179" t="s">
        <v>412</v>
      </c>
      <c r="D63" s="180">
        <v>2</v>
      </c>
      <c r="E63" s="150">
        <f>'Energy Data'!E203+'Energy Data'!E143</f>
        <v>56516977.676525161</v>
      </c>
      <c r="F63" s="179" t="s">
        <v>421</v>
      </c>
      <c r="G63" s="147"/>
      <c r="H63" s="147"/>
      <c r="I63" s="147"/>
      <c r="J63" s="147"/>
      <c r="K63" s="3"/>
      <c r="L63" s="3"/>
      <c r="M63" s="3"/>
      <c r="N63" s="3"/>
      <c r="O63" s="3"/>
      <c r="P63" s="3"/>
      <c r="Q63" s="3"/>
      <c r="R63" s="3"/>
      <c r="S63" s="3"/>
      <c r="T63" s="3"/>
      <c r="U63" s="3"/>
      <c r="V63" s="3"/>
      <c r="W63" s="3"/>
      <c r="X63" s="3"/>
      <c r="Y63" s="3"/>
      <c r="Z63" s="3"/>
    </row>
    <row r="64" spans="1:26" ht="22.5" customHeight="1" x14ac:dyDescent="0.85">
      <c r="A64" s="181" t="s">
        <v>424</v>
      </c>
      <c r="B64" s="182">
        <f>SUM(B61:B63)</f>
        <v>129954.64500862057</v>
      </c>
      <c r="C64" s="183"/>
      <c r="D64" s="184"/>
      <c r="E64" s="184"/>
      <c r="F64" s="185"/>
      <c r="G64" s="147"/>
      <c r="H64" s="147"/>
      <c r="I64" s="147"/>
      <c r="J64" s="147"/>
      <c r="K64" s="3"/>
      <c r="L64" s="3"/>
      <c r="M64" s="3"/>
      <c r="N64" s="3"/>
      <c r="O64" s="3"/>
      <c r="P64" s="3"/>
      <c r="Q64" s="3"/>
      <c r="R64" s="3"/>
      <c r="S64" s="3"/>
      <c r="T64" s="3"/>
      <c r="U64" s="3"/>
      <c r="V64" s="3"/>
      <c r="W64" s="3"/>
      <c r="X64" s="3"/>
      <c r="Y64" s="3"/>
      <c r="Z64" s="3"/>
    </row>
    <row r="65" spans="1:26" ht="22.5" customHeight="1" x14ac:dyDescent="0.85">
      <c r="A65" s="171" t="s">
        <v>425</v>
      </c>
      <c r="B65" s="172"/>
      <c r="C65" s="172"/>
      <c r="D65" s="172"/>
      <c r="E65" s="172"/>
      <c r="F65" s="173"/>
      <c r="G65" s="147"/>
      <c r="H65" s="147"/>
      <c r="I65" s="147"/>
      <c r="J65" s="147"/>
      <c r="K65" s="3"/>
      <c r="L65" s="3"/>
      <c r="M65" s="3"/>
      <c r="N65" s="3"/>
      <c r="O65" s="3"/>
      <c r="P65" s="3"/>
      <c r="Q65" s="3"/>
      <c r="R65" s="3"/>
      <c r="S65" s="3"/>
      <c r="T65" s="3"/>
      <c r="U65" s="3"/>
      <c r="V65" s="3"/>
      <c r="W65" s="3"/>
      <c r="X65" s="3"/>
      <c r="Y65" s="3"/>
      <c r="Z65" s="3"/>
    </row>
    <row r="66" spans="1:26" ht="22.5" customHeight="1" x14ac:dyDescent="0.85">
      <c r="A66" s="130" t="s">
        <v>409</v>
      </c>
      <c r="B66" s="130" t="s">
        <v>410</v>
      </c>
      <c r="C66" s="174" t="s">
        <v>362</v>
      </c>
      <c r="D66" s="174" t="s">
        <v>117</v>
      </c>
      <c r="E66" s="174" t="s">
        <v>251</v>
      </c>
      <c r="F66" s="174" t="s">
        <v>362</v>
      </c>
      <c r="G66" s="147"/>
      <c r="H66" s="147"/>
      <c r="I66" s="147"/>
      <c r="J66" s="147"/>
      <c r="K66" s="3"/>
      <c r="L66" s="3"/>
      <c r="M66" s="3"/>
      <c r="N66" s="3"/>
      <c r="O66" s="3"/>
      <c r="P66" s="3"/>
      <c r="Q66" s="3"/>
      <c r="R66" s="3"/>
      <c r="S66" s="3"/>
      <c r="T66" s="3"/>
      <c r="U66" s="3"/>
      <c r="V66" s="3"/>
      <c r="W66" s="3"/>
      <c r="X66" s="3"/>
      <c r="Y66" s="3"/>
      <c r="Z66" s="3"/>
    </row>
    <row r="67" spans="1:26" ht="22.5" customHeight="1" x14ac:dyDescent="0.85">
      <c r="A67" s="13" t="s">
        <v>426</v>
      </c>
      <c r="B67" s="150">
        <f>'Energy Data'!F7</f>
        <v>4668.5519140663509</v>
      </c>
      <c r="C67" s="176" t="s">
        <v>412</v>
      </c>
      <c r="D67" s="177">
        <v>3</v>
      </c>
      <c r="E67" s="150">
        <f>'Energy Data'!E150</f>
        <v>4121.3495599867583</v>
      </c>
      <c r="F67" s="176" t="s">
        <v>421</v>
      </c>
      <c r="G67" s="147"/>
      <c r="H67" s="147"/>
      <c r="I67" s="147"/>
      <c r="J67" s="147"/>
      <c r="K67" s="3"/>
      <c r="L67" s="3"/>
      <c r="M67" s="3"/>
      <c r="N67" s="3"/>
      <c r="O67" s="3"/>
      <c r="P67" s="3"/>
      <c r="Q67" s="3"/>
      <c r="R67" s="3"/>
      <c r="S67" s="3"/>
      <c r="T67" s="3"/>
      <c r="U67" s="3"/>
      <c r="V67" s="3"/>
      <c r="W67" s="3"/>
      <c r="X67" s="3"/>
      <c r="Y67" s="3"/>
      <c r="Z67" s="3"/>
    </row>
    <row r="68" spans="1:26" ht="22.5" customHeight="1" x14ac:dyDescent="0.85">
      <c r="A68" s="181" t="s">
        <v>427</v>
      </c>
      <c r="B68" s="182">
        <f>B67</f>
        <v>4668.5519140663509</v>
      </c>
      <c r="C68" s="183"/>
      <c r="D68" s="184"/>
      <c r="E68" s="184"/>
      <c r="F68" s="185"/>
      <c r="G68" s="147"/>
      <c r="H68" s="147"/>
      <c r="I68" s="147"/>
      <c r="J68" s="147"/>
      <c r="K68" s="3"/>
      <c r="L68" s="3"/>
      <c r="M68" s="3"/>
      <c r="N68" s="3"/>
      <c r="O68" s="3"/>
      <c r="P68" s="3"/>
      <c r="Q68" s="3"/>
      <c r="R68" s="3"/>
      <c r="S68" s="3"/>
      <c r="T68" s="3"/>
      <c r="U68" s="3"/>
      <c r="V68" s="3"/>
      <c r="W68" s="3"/>
      <c r="X68" s="3"/>
      <c r="Y68" s="3"/>
      <c r="Z68" s="3"/>
    </row>
    <row r="69" spans="1:26" ht="22.5" customHeight="1" x14ac:dyDescent="0.85">
      <c r="A69" s="171" t="s">
        <v>428</v>
      </c>
      <c r="B69" s="172"/>
      <c r="C69" s="172"/>
      <c r="D69" s="172"/>
      <c r="E69" s="172"/>
      <c r="F69" s="173"/>
      <c r="G69" s="147"/>
      <c r="H69" s="147"/>
      <c r="I69" s="147"/>
      <c r="J69" s="147"/>
      <c r="K69" s="3"/>
      <c r="L69" s="3"/>
      <c r="M69" s="3"/>
      <c r="N69" s="3"/>
      <c r="O69" s="3"/>
      <c r="P69" s="3"/>
      <c r="Q69" s="3"/>
      <c r="R69" s="3"/>
      <c r="S69" s="3"/>
      <c r="T69" s="3"/>
      <c r="U69" s="3"/>
      <c r="V69" s="3"/>
      <c r="W69" s="3"/>
      <c r="X69" s="3"/>
      <c r="Y69" s="3"/>
      <c r="Z69" s="3"/>
    </row>
    <row r="70" spans="1:26" ht="22.5" customHeight="1" x14ac:dyDescent="0.85">
      <c r="A70" s="130" t="s">
        <v>409</v>
      </c>
      <c r="B70" s="130" t="s">
        <v>410</v>
      </c>
      <c r="C70" s="174" t="s">
        <v>362</v>
      </c>
      <c r="D70" s="174" t="s">
        <v>117</v>
      </c>
      <c r="E70" s="174" t="s">
        <v>251</v>
      </c>
      <c r="F70" s="174" t="s">
        <v>362</v>
      </c>
      <c r="G70" s="147"/>
      <c r="H70" s="147"/>
      <c r="I70" s="147"/>
      <c r="J70" s="147"/>
      <c r="K70" s="3"/>
      <c r="L70" s="3"/>
      <c r="M70" s="3"/>
      <c r="N70" s="3"/>
      <c r="O70" s="3"/>
      <c r="P70" s="3"/>
      <c r="Q70" s="3"/>
      <c r="R70" s="3"/>
      <c r="S70" s="3"/>
      <c r="T70" s="3"/>
      <c r="U70" s="3"/>
      <c r="V70" s="3"/>
      <c r="W70" s="3"/>
      <c r="X70" s="3"/>
      <c r="Y70" s="3"/>
      <c r="Z70" s="3"/>
    </row>
    <row r="71" spans="1:26" ht="22.5" customHeight="1" x14ac:dyDescent="0.85">
      <c r="A71" s="175" t="s">
        <v>429</v>
      </c>
      <c r="B71" s="150">
        <f>'Fugitive Emissions Data'!E30</f>
        <v>530.05361510738442</v>
      </c>
      <c r="C71" s="176" t="s">
        <v>412</v>
      </c>
      <c r="D71" s="177">
        <v>1</v>
      </c>
      <c r="E71" s="178">
        <f>'Fugitive Emissions Data'!E24</f>
        <v>3064343.7624351447</v>
      </c>
      <c r="F71" s="176" t="s">
        <v>413</v>
      </c>
      <c r="G71" s="147"/>
      <c r="H71" s="147"/>
      <c r="I71" s="147"/>
      <c r="J71" s="147"/>
      <c r="K71" s="3"/>
      <c r="L71" s="3"/>
      <c r="M71" s="3"/>
      <c r="N71" s="3"/>
      <c r="O71" s="3"/>
      <c r="P71" s="3"/>
      <c r="Q71" s="3"/>
      <c r="R71" s="3"/>
      <c r="S71" s="3"/>
      <c r="T71" s="3"/>
      <c r="U71" s="3"/>
      <c r="V71" s="3"/>
      <c r="W71" s="3"/>
      <c r="X71" s="3"/>
      <c r="Y71" s="3"/>
      <c r="Z71" s="3"/>
    </row>
    <row r="72" spans="1:26" ht="22.5" customHeight="1" x14ac:dyDescent="0.85">
      <c r="A72" s="175" t="s">
        <v>430</v>
      </c>
      <c r="B72" s="150">
        <f>'Fugitive Emissions Data'!E31</f>
        <v>274.73948589139559</v>
      </c>
      <c r="C72" s="179" t="s">
        <v>412</v>
      </c>
      <c r="D72" s="180">
        <v>1</v>
      </c>
      <c r="E72" s="178">
        <f>'Fugitive Emissions Data'!E25</f>
        <v>1588322.7769616765</v>
      </c>
      <c r="F72" s="179" t="s">
        <v>413</v>
      </c>
      <c r="G72" s="147"/>
      <c r="H72" s="147"/>
      <c r="I72" s="147"/>
      <c r="J72" s="147"/>
      <c r="K72" s="3"/>
      <c r="L72" s="3"/>
      <c r="M72" s="3"/>
      <c r="N72" s="3"/>
      <c r="O72" s="3"/>
      <c r="P72" s="3"/>
      <c r="Q72" s="3"/>
      <c r="R72" s="3"/>
      <c r="S72" s="3"/>
      <c r="T72" s="3"/>
      <c r="U72" s="3"/>
      <c r="V72" s="3"/>
      <c r="W72" s="3"/>
      <c r="X72" s="3"/>
      <c r="Y72" s="3"/>
      <c r="Z72" s="3"/>
    </row>
    <row r="73" spans="1:26" ht="22.5" customHeight="1" x14ac:dyDescent="0.85">
      <c r="A73" s="181" t="s">
        <v>431</v>
      </c>
      <c r="B73" s="182">
        <f>SUM(B71:B72)</f>
        <v>804.79310099878001</v>
      </c>
      <c r="C73" s="183"/>
      <c r="D73" s="184"/>
      <c r="E73" s="184"/>
      <c r="F73" s="185"/>
      <c r="G73" s="147"/>
      <c r="H73" s="147"/>
      <c r="I73" s="147"/>
      <c r="J73" s="147"/>
      <c r="K73" s="3"/>
      <c r="L73" s="3"/>
      <c r="M73" s="3"/>
      <c r="N73" s="3"/>
      <c r="O73" s="3"/>
      <c r="P73" s="3"/>
      <c r="Q73" s="3"/>
      <c r="R73" s="3"/>
      <c r="S73" s="3"/>
      <c r="T73" s="3"/>
      <c r="U73" s="3"/>
      <c r="V73" s="3"/>
      <c r="W73" s="3"/>
      <c r="X73" s="3"/>
      <c r="Y73" s="3"/>
      <c r="Z73" s="3"/>
    </row>
    <row r="74" spans="1:26" ht="22.5" customHeight="1" x14ac:dyDescent="0.85">
      <c r="A74" s="186" t="s">
        <v>432</v>
      </c>
      <c r="B74" s="187">
        <f>SUM(B53,B55,B54,B56,B57,B61,B62,B63,B67,B71,B72)</f>
        <v>161216.68966536983</v>
      </c>
      <c r="C74" s="188"/>
      <c r="D74" s="189"/>
      <c r="E74" s="189"/>
      <c r="F74" s="190"/>
      <c r="G74" s="147"/>
      <c r="H74" s="147"/>
      <c r="I74" s="147"/>
      <c r="J74" s="147"/>
      <c r="K74" s="3"/>
      <c r="L74" s="3"/>
      <c r="M74" s="3"/>
      <c r="N74" s="3"/>
      <c r="O74" s="3"/>
      <c r="P74" s="3"/>
      <c r="Q74" s="3"/>
      <c r="R74" s="3"/>
      <c r="S74" s="3"/>
      <c r="T74" s="3"/>
      <c r="U74" s="3"/>
      <c r="V74" s="3"/>
      <c r="W74" s="3"/>
      <c r="X74" s="3"/>
      <c r="Y74" s="3"/>
      <c r="Z74" s="3"/>
    </row>
    <row r="75" spans="1:26" ht="22.5" customHeight="1" x14ac:dyDescent="0.85">
      <c r="A75" s="191" t="s">
        <v>131</v>
      </c>
      <c r="B75" s="192"/>
      <c r="C75" s="193"/>
      <c r="D75" s="193"/>
      <c r="E75" s="193"/>
      <c r="F75" s="194"/>
      <c r="G75" s="147"/>
      <c r="H75" s="147"/>
      <c r="I75" s="147"/>
      <c r="J75" s="147"/>
      <c r="K75" s="147"/>
      <c r="L75" s="147"/>
      <c r="M75" s="3"/>
      <c r="N75" s="3"/>
      <c r="O75" s="3"/>
      <c r="P75" s="3"/>
      <c r="Q75" s="3"/>
      <c r="R75" s="3"/>
      <c r="S75" s="3"/>
      <c r="T75" s="3"/>
      <c r="U75" s="3"/>
      <c r="V75" s="3"/>
      <c r="W75" s="3"/>
      <c r="X75" s="3"/>
      <c r="Y75" s="3"/>
      <c r="Z75" s="3"/>
    </row>
    <row r="76" spans="1:26" ht="22.5" customHeight="1" x14ac:dyDescent="0.85">
      <c r="A76" s="171" t="s">
        <v>433</v>
      </c>
      <c r="B76" s="172"/>
      <c r="C76" s="172"/>
      <c r="D76" s="172"/>
      <c r="E76" s="172"/>
      <c r="F76" s="173"/>
      <c r="G76" s="147"/>
      <c r="H76" s="147"/>
      <c r="I76" s="147"/>
      <c r="J76" s="147"/>
      <c r="K76" s="3"/>
      <c r="L76" s="3"/>
      <c r="M76" s="3"/>
      <c r="N76" s="3"/>
      <c r="O76" s="3"/>
      <c r="P76" s="3"/>
      <c r="Q76" s="3"/>
      <c r="R76" s="3"/>
      <c r="S76" s="3"/>
      <c r="T76" s="3"/>
      <c r="U76" s="3"/>
      <c r="V76" s="3"/>
      <c r="W76" s="3"/>
      <c r="X76" s="3"/>
      <c r="Y76" s="3"/>
      <c r="Z76" s="3"/>
    </row>
    <row r="77" spans="1:26" ht="22.5" customHeight="1" x14ac:dyDescent="0.85">
      <c r="A77" s="130" t="s">
        <v>409</v>
      </c>
      <c r="B77" s="130" t="s">
        <v>410</v>
      </c>
      <c r="C77" s="174" t="s">
        <v>362</v>
      </c>
      <c r="D77" s="174" t="s">
        <v>117</v>
      </c>
      <c r="E77" s="174" t="s">
        <v>251</v>
      </c>
      <c r="F77" s="174" t="s">
        <v>362</v>
      </c>
      <c r="G77" s="147"/>
      <c r="H77" s="147"/>
      <c r="I77" s="147"/>
      <c r="J77" s="147"/>
      <c r="K77" s="3"/>
      <c r="L77" s="3"/>
      <c r="M77" s="3"/>
      <c r="N77" s="3"/>
      <c r="O77" s="3"/>
      <c r="P77" s="3"/>
      <c r="Q77" s="3"/>
      <c r="R77" s="3"/>
      <c r="S77" s="3"/>
      <c r="T77" s="3"/>
      <c r="U77" s="3"/>
      <c r="V77" s="3"/>
      <c r="W77" s="3"/>
      <c r="X77" s="3"/>
      <c r="Y77" s="3"/>
      <c r="Z77" s="3"/>
    </row>
    <row r="78" spans="1:26" ht="22.5" customHeight="1" x14ac:dyDescent="0.85">
      <c r="A78" s="175" t="s">
        <v>434</v>
      </c>
      <c r="B78" s="150">
        <f>'On-Road Data'!D7</f>
        <v>261263.02352377659</v>
      </c>
      <c r="C78" s="176" t="s">
        <v>412</v>
      </c>
      <c r="D78" s="176">
        <v>1</v>
      </c>
      <c r="E78" s="178">
        <f>'On-Road Data'!C95</f>
        <v>569397676.42232978</v>
      </c>
      <c r="F78" s="176" t="s">
        <v>435</v>
      </c>
      <c r="G78" s="147"/>
      <c r="H78" s="147"/>
      <c r="I78" s="147"/>
      <c r="J78" s="147"/>
      <c r="K78" s="3"/>
      <c r="L78" s="3"/>
      <c r="M78" s="3"/>
      <c r="N78" s="3"/>
      <c r="O78" s="3"/>
      <c r="P78" s="3"/>
      <c r="Q78" s="3"/>
      <c r="R78" s="3"/>
      <c r="S78" s="3"/>
      <c r="T78" s="3"/>
      <c r="U78" s="3"/>
      <c r="V78" s="3"/>
      <c r="W78" s="3"/>
      <c r="X78" s="3"/>
      <c r="Y78" s="3"/>
      <c r="Z78" s="3"/>
    </row>
    <row r="79" spans="1:26" ht="22.5" customHeight="1" x14ac:dyDescent="0.85">
      <c r="A79" s="175" t="s">
        <v>436</v>
      </c>
      <c r="B79" s="150">
        <f>'On-Road Data'!E7</f>
        <v>36.912056499215289</v>
      </c>
      <c r="C79" s="176" t="s">
        <v>412</v>
      </c>
      <c r="D79" s="176">
        <v>2</v>
      </c>
      <c r="E79" s="178">
        <f>'On-Road Data'!E147+'On-Road Data'!F147</f>
        <v>56737.100000000006</v>
      </c>
      <c r="F79" s="176" t="s">
        <v>421</v>
      </c>
      <c r="G79" s="147"/>
      <c r="H79" s="147"/>
      <c r="I79" s="147"/>
      <c r="J79" s="147"/>
      <c r="K79" s="3"/>
      <c r="L79" s="3"/>
      <c r="M79" s="3"/>
      <c r="N79" s="3"/>
      <c r="O79" s="3"/>
      <c r="P79" s="3"/>
      <c r="Q79" s="3"/>
      <c r="R79" s="3"/>
      <c r="S79" s="3"/>
      <c r="T79" s="3"/>
      <c r="U79" s="3"/>
      <c r="V79" s="3"/>
      <c r="W79" s="3"/>
      <c r="X79" s="3"/>
      <c r="Y79" s="3"/>
      <c r="Z79" s="3"/>
    </row>
    <row r="80" spans="1:26" ht="22.5" customHeight="1" x14ac:dyDescent="0.85">
      <c r="A80" s="175" t="s">
        <v>437</v>
      </c>
      <c r="B80" s="133">
        <f>'On-Road Data'!F7</f>
        <v>1.3260461140893085</v>
      </c>
      <c r="C80" s="176" t="s">
        <v>412</v>
      </c>
      <c r="D80" s="176">
        <v>3</v>
      </c>
      <c r="E80" s="178">
        <f>'On-Road Data'!I147</f>
        <v>2038.2503202252069</v>
      </c>
      <c r="F80" s="176" t="s">
        <v>421</v>
      </c>
      <c r="G80" s="147"/>
      <c r="H80" s="147"/>
      <c r="I80" s="147"/>
      <c r="J80" s="147"/>
      <c r="K80" s="3"/>
      <c r="L80" s="3"/>
      <c r="M80" s="3"/>
      <c r="N80" s="3"/>
      <c r="O80" s="3"/>
      <c r="P80" s="3"/>
      <c r="Q80" s="3"/>
      <c r="R80" s="3"/>
      <c r="S80" s="3"/>
      <c r="T80" s="3"/>
      <c r="U80" s="3"/>
      <c r="V80" s="3"/>
      <c r="W80" s="3"/>
      <c r="X80" s="3"/>
      <c r="Y80" s="3"/>
      <c r="Z80" s="3"/>
    </row>
    <row r="81" spans="1:26" ht="22.5" customHeight="1" x14ac:dyDescent="0.85">
      <c r="A81" s="171" t="s">
        <v>292</v>
      </c>
      <c r="B81" s="172"/>
      <c r="C81" s="172"/>
      <c r="D81" s="172"/>
      <c r="E81" s="172"/>
      <c r="F81" s="173"/>
      <c r="G81" s="147"/>
      <c r="H81" s="147"/>
      <c r="I81" s="147"/>
      <c r="J81" s="147"/>
      <c r="K81" s="3"/>
      <c r="L81" s="3"/>
      <c r="M81" s="3"/>
      <c r="N81" s="3"/>
      <c r="O81" s="3"/>
      <c r="P81" s="3"/>
      <c r="Q81" s="3"/>
      <c r="R81" s="3"/>
      <c r="S81" s="3"/>
      <c r="T81" s="3"/>
      <c r="U81" s="3"/>
      <c r="V81" s="3"/>
      <c r="W81" s="3"/>
      <c r="X81" s="3"/>
      <c r="Y81" s="3"/>
      <c r="Z81" s="3"/>
    </row>
    <row r="82" spans="1:26" ht="22.5" customHeight="1" x14ac:dyDescent="0.85">
      <c r="A82" s="130" t="s">
        <v>409</v>
      </c>
      <c r="B82" s="130" t="s">
        <v>410</v>
      </c>
      <c r="C82" s="174" t="s">
        <v>362</v>
      </c>
      <c r="D82" s="174" t="s">
        <v>117</v>
      </c>
      <c r="E82" s="174" t="s">
        <v>251</v>
      </c>
      <c r="F82" s="174" t="s">
        <v>362</v>
      </c>
      <c r="G82" s="147"/>
      <c r="H82" s="147"/>
      <c r="I82" s="147"/>
      <c r="J82" s="147"/>
      <c r="K82" s="3"/>
      <c r="L82" s="3"/>
      <c r="M82" s="3"/>
      <c r="N82" s="3"/>
      <c r="O82" s="3"/>
      <c r="P82" s="3"/>
      <c r="Q82" s="3"/>
      <c r="R82" s="3"/>
      <c r="S82" s="3"/>
      <c r="T82" s="3"/>
      <c r="U82" s="3"/>
      <c r="V82" s="3"/>
      <c r="W82" s="3"/>
      <c r="X82" s="3"/>
      <c r="Y82" s="3"/>
      <c r="Z82" s="3"/>
    </row>
    <row r="83" spans="1:26" ht="22.5" customHeight="1" x14ac:dyDescent="0.85">
      <c r="A83" s="175" t="s">
        <v>438</v>
      </c>
      <c r="B83" s="150">
        <f>'Transit Data'!D7</f>
        <v>0</v>
      </c>
      <c r="C83" s="176" t="s">
        <v>412</v>
      </c>
      <c r="D83" s="176">
        <v>1</v>
      </c>
      <c r="E83" s="150">
        <v>0</v>
      </c>
      <c r="F83" s="176" t="s">
        <v>439</v>
      </c>
      <c r="G83" s="147"/>
      <c r="H83" s="147"/>
      <c r="I83" s="147"/>
      <c r="J83" s="147"/>
      <c r="K83" s="3"/>
      <c r="L83" s="3"/>
      <c r="M83" s="3"/>
      <c r="N83" s="3"/>
      <c r="O83" s="3"/>
      <c r="P83" s="3"/>
      <c r="Q83" s="3"/>
      <c r="R83" s="3"/>
      <c r="S83" s="3"/>
      <c r="T83" s="3"/>
      <c r="U83" s="3"/>
      <c r="V83" s="3"/>
      <c r="W83" s="3"/>
      <c r="X83" s="3"/>
      <c r="Y83" s="3"/>
      <c r="Z83" s="3"/>
    </row>
    <row r="84" spans="1:26" ht="22.5" customHeight="1" x14ac:dyDescent="0.85">
      <c r="A84" s="175" t="s">
        <v>440</v>
      </c>
      <c r="B84" s="150">
        <f>'Transit Data'!E7</f>
        <v>0</v>
      </c>
      <c r="C84" s="176" t="s">
        <v>412</v>
      </c>
      <c r="D84" s="176">
        <v>2</v>
      </c>
      <c r="E84" s="150">
        <v>0</v>
      </c>
      <c r="F84" s="176" t="s">
        <v>421</v>
      </c>
      <c r="G84" s="147"/>
      <c r="H84" s="147"/>
      <c r="I84" s="147"/>
      <c r="J84" s="147"/>
      <c r="K84" s="3"/>
      <c r="L84" s="3"/>
      <c r="M84" s="3"/>
      <c r="N84" s="3"/>
      <c r="O84" s="3"/>
      <c r="P84" s="3"/>
      <c r="Q84" s="3"/>
      <c r="R84" s="3"/>
      <c r="S84" s="3"/>
      <c r="T84" s="3"/>
      <c r="U84" s="3"/>
      <c r="V84" s="3"/>
      <c r="W84" s="3"/>
      <c r="X84" s="3"/>
      <c r="Y84" s="3"/>
      <c r="Z84" s="3"/>
    </row>
    <row r="85" spans="1:26" ht="22.5" customHeight="1" x14ac:dyDescent="0.85">
      <c r="A85" s="171" t="s">
        <v>299</v>
      </c>
      <c r="B85" s="172"/>
      <c r="C85" s="172"/>
      <c r="D85" s="172"/>
      <c r="E85" s="172"/>
      <c r="F85" s="173"/>
      <c r="G85" s="147"/>
      <c r="H85" s="147"/>
      <c r="I85" s="147"/>
      <c r="J85" s="147"/>
      <c r="K85" s="3"/>
      <c r="L85" s="3"/>
      <c r="M85" s="3"/>
      <c r="N85" s="3"/>
      <c r="O85" s="3"/>
      <c r="P85" s="3"/>
      <c r="Q85" s="3"/>
      <c r="R85" s="3"/>
      <c r="S85" s="3"/>
      <c r="T85" s="3"/>
      <c r="U85" s="3"/>
      <c r="V85" s="3"/>
      <c r="W85" s="3"/>
      <c r="X85" s="3"/>
      <c r="Y85" s="3"/>
      <c r="Z85" s="3"/>
    </row>
    <row r="86" spans="1:26" ht="22.5" customHeight="1" x14ac:dyDescent="0.85">
      <c r="A86" s="130" t="s">
        <v>409</v>
      </c>
      <c r="B86" s="130" t="s">
        <v>410</v>
      </c>
      <c r="C86" s="174" t="s">
        <v>362</v>
      </c>
      <c r="D86" s="174" t="s">
        <v>117</v>
      </c>
      <c r="E86" s="174" t="s">
        <v>251</v>
      </c>
      <c r="F86" s="174" t="s">
        <v>362</v>
      </c>
      <c r="G86" s="147"/>
      <c r="H86" s="147"/>
      <c r="I86" s="147"/>
      <c r="J86" s="147"/>
      <c r="K86" s="3"/>
      <c r="L86" s="3"/>
      <c r="M86" s="3"/>
      <c r="N86" s="3"/>
      <c r="O86" s="3"/>
      <c r="P86" s="3"/>
      <c r="Q86" s="3"/>
      <c r="R86" s="3"/>
      <c r="S86" s="3"/>
      <c r="T86" s="3"/>
      <c r="U86" s="3"/>
      <c r="V86" s="3"/>
      <c r="W86" s="3"/>
      <c r="X86" s="3"/>
      <c r="Y86" s="3"/>
      <c r="Z86" s="3"/>
    </row>
    <row r="87" spans="1:26" ht="22.5" customHeight="1" x14ac:dyDescent="0.85">
      <c r="A87" s="175" t="s">
        <v>150</v>
      </c>
      <c r="B87" s="150">
        <f>'Aviation Data'!D7</f>
        <v>0</v>
      </c>
      <c r="C87" s="176" t="s">
        <v>412</v>
      </c>
      <c r="D87" s="177">
        <v>1</v>
      </c>
      <c r="E87" s="150">
        <v>0</v>
      </c>
      <c r="F87" s="176" t="s">
        <v>442</v>
      </c>
      <c r="G87" s="147"/>
      <c r="H87" s="147"/>
      <c r="I87" s="147"/>
      <c r="J87" s="147"/>
      <c r="K87" s="3"/>
      <c r="L87" s="3"/>
      <c r="M87" s="3"/>
      <c r="N87" s="3"/>
      <c r="O87" s="3"/>
      <c r="P87" s="3"/>
      <c r="Q87" s="3"/>
      <c r="R87" s="3"/>
      <c r="S87" s="3"/>
      <c r="T87" s="3"/>
      <c r="U87" s="3"/>
      <c r="V87" s="3"/>
      <c r="W87" s="3"/>
      <c r="X87" s="3"/>
      <c r="Y87" s="3"/>
      <c r="Z87" s="3"/>
    </row>
    <row r="88" spans="1:26" ht="22.5" customHeight="1" x14ac:dyDescent="0.85">
      <c r="A88" s="175" t="s">
        <v>151</v>
      </c>
      <c r="B88" s="150">
        <f>'Aviation Data'!F7</f>
        <v>0</v>
      </c>
      <c r="C88" s="176" t="s">
        <v>412</v>
      </c>
      <c r="D88" s="177">
        <v>3</v>
      </c>
      <c r="E88" s="150">
        <v>0</v>
      </c>
      <c r="F88" s="176" t="s">
        <v>443</v>
      </c>
      <c r="G88" s="147"/>
      <c r="H88" s="147"/>
      <c r="I88" s="147"/>
      <c r="J88" s="147"/>
      <c r="K88" s="3"/>
      <c r="L88" s="3"/>
      <c r="M88" s="3"/>
      <c r="N88" s="3"/>
      <c r="O88" s="3"/>
      <c r="P88" s="3"/>
      <c r="Q88" s="3"/>
      <c r="R88" s="3"/>
      <c r="S88" s="3"/>
      <c r="T88" s="3"/>
      <c r="U88" s="3"/>
      <c r="V88" s="3"/>
      <c r="W88" s="3"/>
      <c r="X88" s="3"/>
      <c r="Y88" s="3"/>
      <c r="Z88" s="3"/>
    </row>
    <row r="89" spans="1:26" ht="22.5" customHeight="1" x14ac:dyDescent="0.85">
      <c r="A89" s="171" t="s">
        <v>152</v>
      </c>
      <c r="B89" s="172"/>
      <c r="C89" s="172"/>
      <c r="D89" s="172"/>
      <c r="E89" s="172"/>
      <c r="F89" s="173"/>
      <c r="G89" s="147"/>
      <c r="H89" s="147"/>
      <c r="I89" s="147"/>
      <c r="J89" s="147"/>
      <c r="K89" s="3"/>
      <c r="L89" s="3"/>
      <c r="M89" s="3"/>
      <c r="N89" s="3"/>
      <c r="O89" s="3"/>
      <c r="P89" s="3"/>
      <c r="Q89" s="3"/>
      <c r="R89" s="3"/>
      <c r="S89" s="3"/>
      <c r="T89" s="3"/>
      <c r="U89" s="3"/>
      <c r="V89" s="3"/>
      <c r="W89" s="3"/>
      <c r="X89" s="3"/>
      <c r="Y89" s="3"/>
      <c r="Z89" s="3"/>
    </row>
    <row r="90" spans="1:26" ht="22.5" customHeight="1" x14ac:dyDescent="0.85">
      <c r="A90" s="130" t="s">
        <v>409</v>
      </c>
      <c r="B90" s="130" t="s">
        <v>410</v>
      </c>
      <c r="C90" s="174" t="s">
        <v>362</v>
      </c>
      <c r="D90" s="174" t="s">
        <v>117</v>
      </c>
      <c r="E90" s="174" t="s">
        <v>251</v>
      </c>
      <c r="F90" s="174" t="s">
        <v>362</v>
      </c>
      <c r="G90" s="147"/>
      <c r="H90" s="147"/>
      <c r="I90" s="147"/>
      <c r="J90" s="147"/>
      <c r="K90" s="3"/>
      <c r="L90" s="3"/>
      <c r="M90" s="3"/>
      <c r="N90" s="3"/>
      <c r="O90" s="3"/>
      <c r="P90" s="3"/>
      <c r="Q90" s="3"/>
      <c r="R90" s="3"/>
      <c r="S90" s="3"/>
      <c r="T90" s="3"/>
      <c r="U90" s="3"/>
      <c r="V90" s="3"/>
      <c r="W90" s="3"/>
      <c r="X90" s="3"/>
      <c r="Y90" s="3"/>
      <c r="Z90" s="3"/>
    </row>
    <row r="91" spans="1:26" ht="22.5" customHeight="1" x14ac:dyDescent="0.85">
      <c r="A91" s="175" t="s">
        <v>444</v>
      </c>
      <c r="B91" s="150">
        <f>'Off-Road Data'!B7</f>
        <v>16681.795604508501</v>
      </c>
      <c r="C91" s="176" t="s">
        <v>412</v>
      </c>
      <c r="D91" s="177">
        <v>1</v>
      </c>
      <c r="E91" s="176" t="s">
        <v>106</v>
      </c>
      <c r="F91" s="176" t="s">
        <v>106</v>
      </c>
      <c r="G91" s="147"/>
      <c r="H91" s="147"/>
      <c r="I91" s="147"/>
      <c r="J91" s="147"/>
      <c r="K91" s="3"/>
      <c r="L91" s="3"/>
      <c r="M91" s="3"/>
      <c r="N91" s="3"/>
      <c r="O91" s="3"/>
      <c r="P91" s="3"/>
      <c r="Q91" s="3"/>
      <c r="R91" s="3"/>
      <c r="S91" s="3"/>
      <c r="T91" s="3"/>
      <c r="U91" s="3"/>
      <c r="V91" s="3"/>
      <c r="W91" s="3"/>
      <c r="X91" s="3"/>
      <c r="Y91" s="3"/>
      <c r="Z91" s="3"/>
    </row>
    <row r="92" spans="1:26" ht="22.5" customHeight="1" x14ac:dyDescent="0.85">
      <c r="A92" s="171" t="s">
        <v>153</v>
      </c>
      <c r="B92" s="172"/>
      <c r="C92" s="172"/>
      <c r="D92" s="172"/>
      <c r="E92" s="172"/>
      <c r="F92" s="173"/>
      <c r="G92" s="147"/>
      <c r="H92" s="147"/>
      <c r="I92" s="147"/>
      <c r="J92" s="147"/>
      <c r="K92" s="3"/>
      <c r="L92" s="3"/>
      <c r="M92" s="3"/>
      <c r="N92" s="3"/>
      <c r="O92" s="3"/>
      <c r="P92" s="3"/>
      <c r="Q92" s="3"/>
      <c r="R92" s="3"/>
      <c r="S92" s="3"/>
      <c r="T92" s="3"/>
      <c r="U92" s="3"/>
      <c r="V92" s="3"/>
      <c r="W92" s="3"/>
      <c r="X92" s="3"/>
      <c r="Y92" s="3"/>
      <c r="Z92" s="3"/>
    </row>
    <row r="93" spans="1:26" ht="22.5" customHeight="1" x14ac:dyDescent="0.85">
      <c r="A93" s="130" t="s">
        <v>409</v>
      </c>
      <c r="B93" s="130" t="s">
        <v>410</v>
      </c>
      <c r="C93" s="174" t="s">
        <v>362</v>
      </c>
      <c r="D93" s="174" t="s">
        <v>117</v>
      </c>
      <c r="E93" s="174" t="s">
        <v>251</v>
      </c>
      <c r="F93" s="174" t="s">
        <v>362</v>
      </c>
      <c r="G93" s="147"/>
      <c r="H93" s="147"/>
      <c r="I93" s="147"/>
      <c r="J93" s="147"/>
      <c r="K93" s="3"/>
      <c r="L93" s="3"/>
      <c r="M93" s="3"/>
      <c r="N93" s="3"/>
      <c r="O93" s="3"/>
      <c r="P93" s="3"/>
      <c r="Q93" s="3"/>
      <c r="R93" s="3"/>
      <c r="S93" s="3"/>
      <c r="T93" s="3"/>
      <c r="U93" s="3"/>
      <c r="V93" s="3"/>
      <c r="W93" s="3"/>
      <c r="X93" s="3"/>
      <c r="Y93" s="3"/>
      <c r="Z93" s="3"/>
    </row>
    <row r="94" spans="1:26" ht="22.5" customHeight="1" x14ac:dyDescent="0.85">
      <c r="A94" s="175" t="s">
        <v>445</v>
      </c>
      <c r="B94" s="150">
        <f>'Railways Data'!B7</f>
        <v>144847.42741757038</v>
      </c>
      <c r="C94" s="176" t="s">
        <v>412</v>
      </c>
      <c r="D94" s="176">
        <v>1</v>
      </c>
      <c r="E94" s="176" t="s">
        <v>106</v>
      </c>
      <c r="F94" s="176" t="s">
        <v>106</v>
      </c>
      <c r="G94" s="147"/>
      <c r="H94" s="147"/>
      <c r="I94" s="147"/>
      <c r="J94" s="147"/>
      <c r="K94" s="3"/>
      <c r="L94" s="3"/>
      <c r="M94" s="3"/>
      <c r="N94" s="3"/>
      <c r="O94" s="3"/>
      <c r="P94" s="3"/>
      <c r="Q94" s="3"/>
      <c r="R94" s="3"/>
      <c r="S94" s="3"/>
      <c r="T94" s="3"/>
      <c r="U94" s="3"/>
      <c r="V94" s="3"/>
      <c r="W94" s="3"/>
      <c r="X94" s="3"/>
      <c r="Y94" s="3"/>
      <c r="Z94" s="3"/>
    </row>
    <row r="95" spans="1:26" ht="22.5" customHeight="1" x14ac:dyDescent="0.85">
      <c r="A95" s="197" t="s">
        <v>446</v>
      </c>
      <c r="B95" s="198">
        <f>SUM(B78,B79,B80,B83,B84,B87,B88,B94,B91)</f>
        <v>422830.48464846879</v>
      </c>
      <c r="C95" s="199"/>
      <c r="D95" s="200"/>
      <c r="E95" s="200"/>
      <c r="F95" s="201"/>
      <c r="G95" s="147"/>
      <c r="H95" s="147"/>
      <c r="I95" s="147"/>
      <c r="J95" s="147"/>
      <c r="K95" s="3"/>
      <c r="L95" s="3"/>
      <c r="M95" s="3"/>
      <c r="N95" s="3"/>
      <c r="O95" s="3"/>
      <c r="P95" s="3"/>
      <c r="Q95" s="3"/>
      <c r="R95" s="3"/>
      <c r="S95" s="3"/>
      <c r="T95" s="3"/>
      <c r="U95" s="3"/>
      <c r="V95" s="3"/>
      <c r="W95" s="3"/>
      <c r="X95" s="3"/>
      <c r="Y95" s="3"/>
      <c r="Z95" s="3"/>
    </row>
    <row r="96" spans="1:26" ht="22.5" customHeight="1" x14ac:dyDescent="0.85">
      <c r="A96" s="168" t="s">
        <v>329</v>
      </c>
      <c r="B96" s="169"/>
      <c r="C96" s="202"/>
      <c r="D96" s="202"/>
      <c r="E96" s="202"/>
      <c r="F96" s="203"/>
      <c r="G96" s="147"/>
      <c r="H96" s="147"/>
      <c r="I96" s="147"/>
      <c r="J96" s="147"/>
      <c r="K96" s="147"/>
      <c r="L96" s="147"/>
      <c r="M96" s="3"/>
      <c r="N96" s="3"/>
      <c r="O96" s="3"/>
      <c r="P96" s="3"/>
      <c r="Q96" s="3"/>
      <c r="R96" s="3"/>
      <c r="S96" s="3"/>
      <c r="T96" s="3"/>
      <c r="U96" s="3"/>
      <c r="V96" s="3"/>
      <c r="W96" s="3"/>
      <c r="X96" s="3"/>
      <c r="Y96" s="3"/>
      <c r="Z96" s="3"/>
    </row>
    <row r="97" spans="1:26" ht="22.5" customHeight="1" x14ac:dyDescent="0.85">
      <c r="A97" s="171" t="s">
        <v>447</v>
      </c>
      <c r="B97" s="172"/>
      <c r="C97" s="172"/>
      <c r="D97" s="172"/>
      <c r="E97" s="172"/>
      <c r="F97" s="173"/>
      <c r="G97" s="147"/>
      <c r="H97" s="147"/>
      <c r="I97" s="147"/>
      <c r="J97" s="147"/>
      <c r="K97" s="3"/>
      <c r="L97" s="3"/>
      <c r="M97" s="3"/>
      <c r="N97" s="3"/>
      <c r="O97" s="3"/>
      <c r="P97" s="3"/>
      <c r="Q97" s="3"/>
      <c r="R97" s="3"/>
      <c r="S97" s="3"/>
      <c r="T97" s="3"/>
      <c r="U97" s="3"/>
      <c r="V97" s="3"/>
      <c r="W97" s="3"/>
      <c r="X97" s="3"/>
      <c r="Y97" s="3"/>
      <c r="Z97" s="3"/>
    </row>
    <row r="98" spans="1:26" ht="22.5" customHeight="1" x14ac:dyDescent="0.85">
      <c r="A98" s="148" t="s">
        <v>409</v>
      </c>
      <c r="B98" s="148" t="s">
        <v>410</v>
      </c>
      <c r="C98" s="204" t="s">
        <v>362</v>
      </c>
      <c r="D98" s="204" t="s">
        <v>117</v>
      </c>
      <c r="E98" s="204" t="s">
        <v>251</v>
      </c>
      <c r="F98" s="204" t="s">
        <v>362</v>
      </c>
      <c r="G98" s="147"/>
      <c r="H98" s="147"/>
      <c r="I98" s="147"/>
      <c r="J98" s="147"/>
      <c r="K98" s="3"/>
      <c r="L98" s="3"/>
      <c r="M98" s="3"/>
      <c r="N98" s="3"/>
      <c r="O98" s="3"/>
      <c r="P98" s="3"/>
      <c r="Q98" s="3"/>
      <c r="R98" s="3"/>
      <c r="S98" s="3"/>
      <c r="T98" s="3"/>
      <c r="U98" s="3"/>
      <c r="V98" s="3"/>
      <c r="W98" s="3"/>
      <c r="X98" s="3"/>
      <c r="Y98" s="3"/>
      <c r="Z98" s="3"/>
    </row>
    <row r="99" spans="1:26" ht="22.5" customHeight="1" x14ac:dyDescent="0.85">
      <c r="A99" s="175" t="s">
        <v>448</v>
      </c>
      <c r="B99" s="150">
        <f>'Waste_Recycling Data'!F80</f>
        <v>11479.950052449298</v>
      </c>
      <c r="C99" s="176" t="s">
        <v>412</v>
      </c>
      <c r="D99" s="176">
        <v>1</v>
      </c>
      <c r="E99" s="150">
        <f>'Waste_Recycling Data'!F91+'Waste_Recycling Data'!F102</f>
        <v>30019.34</v>
      </c>
      <c r="F99" s="176" t="s">
        <v>449</v>
      </c>
      <c r="G99" s="147"/>
      <c r="H99" s="147"/>
      <c r="I99" s="147"/>
      <c r="J99" s="147"/>
      <c r="K99" s="3"/>
      <c r="L99" s="3"/>
      <c r="M99" s="3"/>
      <c r="N99" s="3"/>
      <c r="O99" s="3"/>
      <c r="P99" s="3"/>
      <c r="Q99" s="3"/>
      <c r="R99" s="3"/>
      <c r="S99" s="3"/>
      <c r="T99" s="3"/>
      <c r="U99" s="3"/>
      <c r="V99" s="3"/>
      <c r="W99" s="3"/>
      <c r="X99" s="3"/>
      <c r="Y99" s="3"/>
      <c r="Z99" s="3"/>
    </row>
    <row r="100" spans="1:26" ht="22.5" customHeight="1" x14ac:dyDescent="0.85">
      <c r="A100" s="175" t="s">
        <v>450</v>
      </c>
      <c r="B100" s="150">
        <f>'Waste_Recycling Data'!F81</f>
        <v>0</v>
      </c>
      <c r="C100" s="176" t="s">
        <v>412</v>
      </c>
      <c r="D100" s="176">
        <v>3</v>
      </c>
      <c r="E100" s="150">
        <f>'Waste_Recycling Data'!F93+'Waste_Recycling Data'!F103</f>
        <v>0</v>
      </c>
      <c r="F100" s="176" t="s">
        <v>449</v>
      </c>
      <c r="G100" s="147"/>
      <c r="H100" s="147"/>
      <c r="I100" s="147"/>
      <c r="J100" s="147"/>
      <c r="K100" s="3"/>
      <c r="L100" s="3"/>
      <c r="M100" s="3"/>
      <c r="N100" s="3"/>
      <c r="O100" s="3"/>
      <c r="P100" s="3"/>
      <c r="Q100" s="3"/>
      <c r="R100" s="3"/>
      <c r="S100" s="3"/>
      <c r="T100" s="3"/>
      <c r="U100" s="3"/>
      <c r="V100" s="3"/>
      <c r="W100" s="3"/>
      <c r="X100" s="3"/>
      <c r="Y100" s="3"/>
      <c r="Z100" s="3"/>
    </row>
    <row r="101" spans="1:26" ht="22.5" customHeight="1" x14ac:dyDescent="0.85">
      <c r="A101" s="175" t="s">
        <v>451</v>
      </c>
      <c r="B101" s="150">
        <f>'Waste_Recycling Data'!F82</f>
        <v>1809.9414042953022</v>
      </c>
      <c r="C101" s="176" t="s">
        <v>412</v>
      </c>
      <c r="D101" s="176">
        <v>1</v>
      </c>
      <c r="E101" s="150">
        <f>'Waste_Recycling Data'!F94+'Waste_Recycling Data'!F104</f>
        <v>310.52</v>
      </c>
      <c r="F101" s="176" t="s">
        <v>449</v>
      </c>
      <c r="G101" s="147"/>
      <c r="H101" s="147"/>
      <c r="I101" s="147"/>
      <c r="J101" s="147"/>
      <c r="K101" s="3"/>
      <c r="L101" s="3"/>
      <c r="M101" s="3"/>
      <c r="N101" s="3"/>
      <c r="O101" s="3"/>
      <c r="P101" s="3"/>
      <c r="Q101" s="3"/>
      <c r="R101" s="3"/>
      <c r="S101" s="3"/>
      <c r="T101" s="3"/>
      <c r="U101" s="3"/>
      <c r="V101" s="3"/>
      <c r="W101" s="3"/>
      <c r="X101" s="3"/>
      <c r="Y101" s="3"/>
      <c r="Z101" s="3"/>
    </row>
    <row r="102" spans="1:26" ht="22.5" customHeight="1" x14ac:dyDescent="0.85">
      <c r="A102" s="175" t="s">
        <v>452</v>
      </c>
      <c r="B102" s="150">
        <f>'Waste_Recycling Data'!F83</f>
        <v>0</v>
      </c>
      <c r="C102" s="179" t="s">
        <v>412</v>
      </c>
      <c r="D102" s="179">
        <v>3</v>
      </c>
      <c r="E102" s="150">
        <f>'Waste_Recycling Data'!F96+'Waste_Recycling Data'!F105</f>
        <v>0</v>
      </c>
      <c r="F102" s="179" t="s">
        <v>449</v>
      </c>
      <c r="G102" s="147"/>
      <c r="H102" s="147"/>
      <c r="I102" s="147"/>
      <c r="J102" s="147"/>
      <c r="K102" s="3"/>
      <c r="L102" s="3"/>
      <c r="M102" s="3"/>
      <c r="N102" s="3"/>
      <c r="O102" s="3"/>
      <c r="P102" s="3"/>
      <c r="Q102" s="3"/>
      <c r="R102" s="3"/>
      <c r="S102" s="3"/>
      <c r="T102" s="3"/>
      <c r="U102" s="3"/>
      <c r="V102" s="3"/>
      <c r="W102" s="3"/>
      <c r="X102" s="3"/>
      <c r="Y102" s="3"/>
      <c r="Z102" s="3"/>
    </row>
    <row r="103" spans="1:26" ht="22.5" customHeight="1" x14ac:dyDescent="0.85">
      <c r="A103" s="181" t="s">
        <v>453</v>
      </c>
      <c r="B103" s="182">
        <f>SUM(B99:B102)</f>
        <v>13289.891456744601</v>
      </c>
      <c r="C103" s="183"/>
      <c r="D103" s="184"/>
      <c r="E103" s="184"/>
      <c r="F103" s="185"/>
      <c r="G103" s="147"/>
      <c r="H103" s="147"/>
      <c r="I103" s="147"/>
      <c r="J103" s="147"/>
      <c r="K103" s="3"/>
      <c r="L103" s="3"/>
      <c r="M103" s="3"/>
      <c r="N103" s="3"/>
      <c r="O103" s="3"/>
      <c r="P103" s="3"/>
      <c r="Q103" s="3"/>
      <c r="R103" s="3"/>
      <c r="S103" s="3"/>
      <c r="T103" s="3"/>
      <c r="U103" s="3"/>
      <c r="V103" s="3"/>
      <c r="W103" s="3"/>
      <c r="X103" s="3"/>
      <c r="Y103" s="3"/>
      <c r="Z103" s="3"/>
    </row>
    <row r="104" spans="1:26" ht="22.5" customHeight="1" x14ac:dyDescent="0.85">
      <c r="A104" s="171" t="s">
        <v>454</v>
      </c>
      <c r="B104" s="172"/>
      <c r="C104" s="172"/>
      <c r="D104" s="172"/>
      <c r="E104" s="172"/>
      <c r="F104" s="173"/>
      <c r="G104" s="147"/>
      <c r="H104" s="147"/>
      <c r="I104" s="147"/>
      <c r="J104" s="147"/>
      <c r="K104" s="3"/>
      <c r="L104" s="3"/>
      <c r="M104" s="3"/>
      <c r="N104" s="3"/>
      <c r="O104" s="3"/>
      <c r="P104" s="3"/>
      <c r="Q104" s="3"/>
      <c r="R104" s="3"/>
      <c r="S104" s="3"/>
      <c r="T104" s="3"/>
      <c r="U104" s="3"/>
      <c r="V104" s="3"/>
      <c r="W104" s="3"/>
      <c r="X104" s="3"/>
      <c r="Y104" s="3"/>
      <c r="Z104" s="3"/>
    </row>
    <row r="105" spans="1:26" ht="22.5" customHeight="1" x14ac:dyDescent="0.85">
      <c r="A105" s="130" t="s">
        <v>409</v>
      </c>
      <c r="B105" s="130" t="s">
        <v>410</v>
      </c>
      <c r="C105" s="174" t="s">
        <v>362</v>
      </c>
      <c r="D105" s="174" t="s">
        <v>117</v>
      </c>
      <c r="E105" s="174" t="s">
        <v>251</v>
      </c>
      <c r="F105" s="174" t="s">
        <v>362</v>
      </c>
      <c r="G105" s="147"/>
      <c r="H105" s="147"/>
      <c r="I105" s="147"/>
      <c r="J105" s="147"/>
      <c r="K105" s="3"/>
      <c r="L105" s="3"/>
      <c r="M105" s="3"/>
      <c r="N105" s="3"/>
      <c r="O105" s="3"/>
      <c r="P105" s="3"/>
      <c r="Q105" s="3"/>
      <c r="R105" s="3"/>
      <c r="S105" s="3"/>
      <c r="T105" s="3"/>
      <c r="U105" s="3"/>
      <c r="V105" s="3"/>
      <c r="W105" s="3"/>
      <c r="X105" s="3"/>
      <c r="Y105" s="3"/>
      <c r="Z105" s="3"/>
    </row>
    <row r="106" spans="1:26" ht="22.5" customHeight="1" x14ac:dyDescent="0.85">
      <c r="A106" s="175" t="s">
        <v>455</v>
      </c>
      <c r="B106" s="150">
        <f>'Wastewater Data'!B7</f>
        <v>0</v>
      </c>
      <c r="C106" s="176" t="s">
        <v>412</v>
      </c>
      <c r="D106" s="176">
        <v>1</v>
      </c>
      <c r="E106" s="177">
        <v>0</v>
      </c>
      <c r="F106" s="176" t="s">
        <v>32</v>
      </c>
      <c r="G106" s="147"/>
      <c r="H106" s="147"/>
      <c r="I106" s="147"/>
      <c r="J106" s="147"/>
      <c r="K106" s="3"/>
      <c r="L106" s="3"/>
      <c r="M106" s="3"/>
      <c r="N106" s="3"/>
      <c r="O106" s="3"/>
      <c r="P106" s="3"/>
      <c r="Q106" s="3"/>
      <c r="R106" s="3"/>
      <c r="S106" s="3"/>
      <c r="T106" s="3"/>
      <c r="U106" s="3"/>
      <c r="V106" s="3"/>
      <c r="W106" s="3"/>
      <c r="X106" s="3"/>
      <c r="Y106" s="3"/>
      <c r="Z106" s="3"/>
    </row>
    <row r="107" spans="1:26" ht="22.5" customHeight="1" x14ac:dyDescent="0.85">
      <c r="A107" s="175" t="s">
        <v>456</v>
      </c>
      <c r="B107" s="150">
        <f>'Wastewater Data'!C7</f>
        <v>1847.1152422799998</v>
      </c>
      <c r="C107" s="179" t="s">
        <v>412</v>
      </c>
      <c r="D107" s="179">
        <v>1</v>
      </c>
      <c r="E107" s="180">
        <v>0</v>
      </c>
      <c r="F107" s="179" t="s">
        <v>32</v>
      </c>
      <c r="G107" s="147"/>
      <c r="H107" s="147"/>
      <c r="I107" s="147"/>
      <c r="J107" s="147"/>
      <c r="K107" s="3"/>
      <c r="L107" s="3"/>
      <c r="M107" s="3"/>
      <c r="N107" s="3"/>
      <c r="O107" s="3"/>
      <c r="P107" s="3"/>
      <c r="Q107" s="3"/>
      <c r="R107" s="3"/>
      <c r="S107" s="3"/>
      <c r="T107" s="3"/>
      <c r="U107" s="3"/>
      <c r="V107" s="3"/>
      <c r="W107" s="3"/>
      <c r="X107" s="3"/>
      <c r="Y107" s="3"/>
      <c r="Z107" s="3"/>
    </row>
    <row r="108" spans="1:26" ht="22.5" customHeight="1" x14ac:dyDescent="0.85">
      <c r="A108" s="181" t="s">
        <v>457</v>
      </c>
      <c r="B108" s="182">
        <f>SUM(B106:B107)</f>
        <v>1847.1152422799998</v>
      </c>
      <c r="C108" s="183"/>
      <c r="D108" s="184"/>
      <c r="E108" s="184"/>
      <c r="F108" s="185"/>
      <c r="G108" s="147"/>
      <c r="H108" s="147"/>
      <c r="I108" s="147"/>
      <c r="J108" s="147"/>
      <c r="K108" s="3"/>
      <c r="L108" s="3"/>
      <c r="M108" s="3"/>
      <c r="N108" s="3"/>
      <c r="O108" s="3"/>
      <c r="P108" s="3"/>
      <c r="Q108" s="3"/>
      <c r="R108" s="3"/>
      <c r="S108" s="3"/>
      <c r="T108" s="3"/>
      <c r="U108" s="3"/>
      <c r="V108" s="3"/>
      <c r="W108" s="3"/>
      <c r="X108" s="3"/>
      <c r="Y108" s="3"/>
      <c r="Z108" s="3"/>
    </row>
    <row r="109" spans="1:26" ht="22.5" customHeight="1" x14ac:dyDescent="0.85">
      <c r="A109" s="186" t="s">
        <v>453</v>
      </c>
      <c r="B109" s="187">
        <f>SUM(B103+B108)</f>
        <v>15137.006699024601</v>
      </c>
      <c r="C109" s="188"/>
      <c r="D109" s="189"/>
      <c r="E109" s="189"/>
      <c r="F109" s="190"/>
      <c r="G109" s="147"/>
      <c r="H109" s="147"/>
      <c r="I109" s="147"/>
      <c r="J109" s="147"/>
      <c r="K109" s="3"/>
      <c r="L109" s="3"/>
      <c r="M109" s="3"/>
      <c r="N109" s="3"/>
      <c r="O109" s="3"/>
      <c r="P109" s="3"/>
      <c r="Q109" s="3"/>
      <c r="R109" s="3"/>
      <c r="S109" s="3"/>
      <c r="T109" s="3"/>
      <c r="U109" s="3"/>
      <c r="V109" s="3"/>
      <c r="W109" s="3"/>
      <c r="X109" s="3"/>
      <c r="Y109" s="3"/>
      <c r="Z109" s="3"/>
    </row>
    <row r="110" spans="1:26" ht="22.5" customHeight="1" x14ac:dyDescent="0.85">
      <c r="A110" s="205" t="s">
        <v>458</v>
      </c>
      <c r="B110" s="169"/>
      <c r="C110" s="202"/>
      <c r="D110" s="202"/>
      <c r="E110" s="202"/>
      <c r="F110" s="203"/>
      <c r="G110" s="147"/>
      <c r="H110" s="147"/>
      <c r="I110" s="147"/>
      <c r="J110" s="147"/>
      <c r="K110" s="147"/>
      <c r="L110" s="147"/>
      <c r="M110" s="3"/>
      <c r="N110" s="3"/>
      <c r="O110" s="3"/>
      <c r="P110" s="3"/>
      <c r="Q110" s="3"/>
      <c r="R110" s="3"/>
      <c r="S110" s="3"/>
      <c r="T110" s="3"/>
      <c r="U110" s="3"/>
      <c r="V110" s="3"/>
      <c r="W110" s="3"/>
      <c r="X110" s="3"/>
      <c r="Y110" s="3"/>
      <c r="Z110" s="3"/>
    </row>
    <row r="111" spans="1:26" ht="22.5" customHeight="1" x14ac:dyDescent="0.85">
      <c r="A111" s="130" t="s">
        <v>409</v>
      </c>
      <c r="B111" s="130" t="s">
        <v>410</v>
      </c>
      <c r="C111" s="174" t="s">
        <v>362</v>
      </c>
      <c r="D111" s="174" t="s">
        <v>117</v>
      </c>
      <c r="E111" s="174" t="s">
        <v>251</v>
      </c>
      <c r="F111" s="174" t="s">
        <v>362</v>
      </c>
      <c r="G111" s="147"/>
      <c r="H111" s="147"/>
      <c r="I111" s="147"/>
      <c r="J111" s="147"/>
      <c r="K111" s="3"/>
      <c r="L111" s="3"/>
      <c r="M111" s="3"/>
      <c r="N111" s="3"/>
      <c r="O111" s="3"/>
      <c r="P111" s="3"/>
      <c r="Q111" s="3"/>
      <c r="R111" s="3"/>
      <c r="S111" s="3"/>
      <c r="T111" s="3"/>
      <c r="U111" s="3"/>
      <c r="V111" s="3"/>
      <c r="W111" s="3"/>
      <c r="X111" s="3"/>
      <c r="Y111" s="3"/>
      <c r="Z111" s="3"/>
    </row>
    <row r="112" spans="1:26" ht="22.5" customHeight="1" x14ac:dyDescent="0.85">
      <c r="A112" s="175" t="s">
        <v>459</v>
      </c>
      <c r="B112" s="150">
        <f>'Industrial Processes Data'!B7</f>
        <v>1325.48</v>
      </c>
      <c r="C112" s="176" t="s">
        <v>412</v>
      </c>
      <c r="D112" s="176">
        <v>1</v>
      </c>
      <c r="E112" s="178" t="s">
        <v>106</v>
      </c>
      <c r="F112" s="176" t="s">
        <v>106</v>
      </c>
      <c r="G112" s="147"/>
      <c r="H112" s="147"/>
      <c r="I112" s="147"/>
      <c r="J112" s="147"/>
      <c r="K112" s="3"/>
      <c r="L112" s="3"/>
      <c r="M112" s="3"/>
      <c r="N112" s="3"/>
      <c r="O112" s="3"/>
      <c r="P112" s="3"/>
      <c r="Q112" s="3"/>
      <c r="R112" s="3"/>
      <c r="S112" s="3"/>
      <c r="T112" s="3"/>
      <c r="U112" s="3"/>
      <c r="V112" s="3"/>
      <c r="W112" s="3"/>
      <c r="X112" s="3"/>
      <c r="Y112" s="3"/>
      <c r="Z112" s="3"/>
    </row>
    <row r="113" spans="1:26" ht="22.5" customHeight="1" x14ac:dyDescent="0.85">
      <c r="A113" s="175" t="s">
        <v>460</v>
      </c>
      <c r="B113" s="150">
        <f>'Refrigerants Data'!B7</f>
        <v>4485.459148537544</v>
      </c>
      <c r="C113" s="179" t="s">
        <v>412</v>
      </c>
      <c r="D113" s="179">
        <v>1</v>
      </c>
      <c r="E113" s="206">
        <f>'Refrigerants Data'!B30+'Refrigerants Data'!B40</f>
        <v>28330263.457546853</v>
      </c>
      <c r="F113" s="179" t="s">
        <v>461</v>
      </c>
      <c r="G113" s="147"/>
      <c r="H113" s="147"/>
      <c r="I113" s="147"/>
      <c r="J113" s="147"/>
      <c r="K113" s="3"/>
      <c r="L113" s="3"/>
      <c r="M113" s="3"/>
      <c r="N113" s="3"/>
      <c r="O113" s="3"/>
      <c r="P113" s="3"/>
      <c r="Q113" s="3"/>
      <c r="R113" s="3"/>
      <c r="S113" s="3"/>
      <c r="T113" s="3"/>
      <c r="U113" s="3"/>
      <c r="V113" s="3"/>
      <c r="W113" s="3"/>
      <c r="X113" s="3"/>
      <c r="Y113" s="3"/>
      <c r="Z113" s="3"/>
    </row>
    <row r="114" spans="1:26" ht="22.5" customHeight="1" x14ac:dyDescent="0.85">
      <c r="A114" s="186" t="s">
        <v>462</v>
      </c>
      <c r="B114" s="187">
        <f>B112+B113</f>
        <v>5810.9391485375436</v>
      </c>
      <c r="C114" s="188"/>
      <c r="D114" s="189"/>
      <c r="E114" s="189"/>
      <c r="F114" s="190"/>
      <c r="G114" s="147"/>
      <c r="H114" s="147"/>
      <c r="I114" s="147"/>
      <c r="J114" s="147"/>
      <c r="K114" s="3"/>
      <c r="L114" s="3"/>
      <c r="M114" s="3"/>
      <c r="N114" s="3"/>
      <c r="O114" s="3"/>
      <c r="P114" s="3"/>
      <c r="Q114" s="3"/>
      <c r="R114" s="3"/>
      <c r="S114" s="3"/>
      <c r="T114" s="3"/>
      <c r="U114" s="3"/>
      <c r="V114" s="3"/>
      <c r="W114" s="3"/>
      <c r="X114" s="3"/>
      <c r="Y114" s="3"/>
      <c r="Z114" s="3"/>
    </row>
    <row r="115" spans="1:26" ht="22.5" customHeight="1" x14ac:dyDescent="0.85">
      <c r="A115" s="205" t="s">
        <v>463</v>
      </c>
      <c r="B115" s="169"/>
      <c r="C115" s="202"/>
      <c r="D115" s="202"/>
      <c r="E115" s="202"/>
      <c r="F115" s="203"/>
      <c r="G115" s="147"/>
      <c r="H115" s="147"/>
      <c r="I115" s="147"/>
      <c r="J115" s="147"/>
      <c r="K115" s="147"/>
      <c r="L115" s="147"/>
      <c r="M115" s="3"/>
      <c r="N115" s="3"/>
      <c r="O115" s="3"/>
      <c r="P115" s="3"/>
      <c r="Q115" s="3"/>
      <c r="R115" s="3"/>
      <c r="S115" s="3"/>
      <c r="T115" s="3"/>
      <c r="U115" s="3"/>
      <c r="V115" s="3"/>
      <c r="W115" s="3"/>
      <c r="X115" s="3"/>
      <c r="Y115" s="3"/>
      <c r="Z115" s="3"/>
    </row>
    <row r="116" spans="1:26" ht="22.5" customHeight="1" x14ac:dyDescent="0.85">
      <c r="A116" s="130" t="s">
        <v>409</v>
      </c>
      <c r="B116" s="130" t="s">
        <v>410</v>
      </c>
      <c r="C116" s="174" t="s">
        <v>362</v>
      </c>
      <c r="D116" s="174" t="s">
        <v>117</v>
      </c>
      <c r="E116" s="174" t="s">
        <v>251</v>
      </c>
      <c r="F116" s="174" t="s">
        <v>362</v>
      </c>
      <c r="G116" s="147"/>
      <c r="H116" s="147"/>
      <c r="I116" s="147"/>
      <c r="J116" s="147"/>
      <c r="K116" s="3"/>
      <c r="L116" s="3"/>
      <c r="M116" s="3"/>
      <c r="N116" s="3"/>
      <c r="O116" s="3"/>
      <c r="P116" s="3"/>
      <c r="Q116" s="3"/>
      <c r="R116" s="3"/>
      <c r="S116" s="3"/>
      <c r="T116" s="3"/>
      <c r="U116" s="3"/>
      <c r="V116" s="3"/>
      <c r="W116" s="3"/>
      <c r="X116" s="3"/>
      <c r="Y116" s="3"/>
      <c r="Z116" s="3"/>
    </row>
    <row r="117" spans="1:26" ht="22.5" customHeight="1" x14ac:dyDescent="0.85">
      <c r="A117" s="175" t="s">
        <v>464</v>
      </c>
      <c r="B117" s="150">
        <f>SUM('AFOLU Data'!Q69,'AFOLU Data'!J101)</f>
        <v>170871.16066527966</v>
      </c>
      <c r="C117" s="176" t="s">
        <v>412</v>
      </c>
      <c r="D117" s="176">
        <v>1</v>
      </c>
      <c r="E117" s="178">
        <f>SUM('AFOLU Data'!C62:I62)</f>
        <v>40147</v>
      </c>
      <c r="F117" s="176" t="s">
        <v>465</v>
      </c>
      <c r="G117" s="147"/>
      <c r="H117" s="147"/>
      <c r="I117" s="147"/>
      <c r="J117" s="147"/>
      <c r="K117" s="3"/>
      <c r="L117" s="3"/>
      <c r="M117" s="3"/>
      <c r="N117" s="3"/>
      <c r="O117" s="3"/>
      <c r="P117" s="3"/>
      <c r="Q117" s="3"/>
      <c r="R117" s="3"/>
      <c r="S117" s="3"/>
      <c r="T117" s="3"/>
      <c r="U117" s="3"/>
      <c r="V117" s="3"/>
      <c r="W117" s="3"/>
      <c r="X117" s="3"/>
      <c r="Y117" s="3"/>
      <c r="Z117" s="3"/>
    </row>
    <row r="118" spans="1:26" ht="22.5" customHeight="1" x14ac:dyDescent="0.85">
      <c r="A118" s="175" t="s">
        <v>466</v>
      </c>
      <c r="B118" s="150">
        <f>SUM('AFOLU Data'!I140,'AFOLU Data'!E124)</f>
        <v>1696.587703610815</v>
      </c>
      <c r="C118" s="179" t="s">
        <v>412</v>
      </c>
      <c r="D118" s="179">
        <v>1</v>
      </c>
      <c r="E118" s="178">
        <f>'AFOLU Data'!G140</f>
        <v>14355</v>
      </c>
      <c r="F118" s="179" t="s">
        <v>467</v>
      </c>
      <c r="G118" s="147"/>
      <c r="H118" s="147"/>
      <c r="I118" s="147"/>
      <c r="J118" s="147"/>
      <c r="K118" s="3"/>
      <c r="L118" s="3"/>
      <c r="M118" s="3"/>
      <c r="N118" s="3"/>
      <c r="O118" s="3"/>
      <c r="P118" s="3"/>
      <c r="Q118" s="3"/>
      <c r="R118" s="3"/>
      <c r="S118" s="3"/>
      <c r="T118" s="3"/>
      <c r="U118" s="3"/>
      <c r="V118" s="3"/>
      <c r="W118" s="3"/>
      <c r="X118" s="3"/>
      <c r="Y118" s="3"/>
      <c r="Z118" s="3"/>
    </row>
    <row r="119" spans="1:26" ht="22.5" customHeight="1" x14ac:dyDescent="0.85">
      <c r="A119" s="175" t="s">
        <v>468</v>
      </c>
      <c r="B119" s="207">
        <f>Trees!B7</f>
        <v>-297204</v>
      </c>
      <c r="C119" s="179" t="s">
        <v>412</v>
      </c>
      <c r="D119" s="179">
        <v>1</v>
      </c>
      <c r="E119" s="178">
        <f>SUM(Trees!D71:D83)</f>
        <v>108444</v>
      </c>
      <c r="F119" s="179" t="s">
        <v>469</v>
      </c>
      <c r="G119" s="147"/>
      <c r="H119" s="147"/>
      <c r="I119" s="147"/>
      <c r="J119" s="147"/>
      <c r="K119" s="3"/>
      <c r="L119" s="3"/>
      <c r="M119" s="3"/>
      <c r="N119" s="3"/>
      <c r="O119" s="3"/>
      <c r="P119" s="3"/>
      <c r="Q119" s="3"/>
      <c r="R119" s="3"/>
      <c r="S119" s="3"/>
      <c r="T119" s="3"/>
      <c r="U119" s="3"/>
      <c r="V119" s="3"/>
      <c r="W119" s="3"/>
      <c r="X119" s="3"/>
      <c r="Y119" s="3"/>
      <c r="Z119" s="3"/>
    </row>
    <row r="120" spans="1:26" ht="22.5" customHeight="1" x14ac:dyDescent="0.85">
      <c r="A120" s="186" t="s">
        <v>470</v>
      </c>
      <c r="B120" s="208">
        <f>SUM(B117+B118+B119)</f>
        <v>-124636.25163110951</v>
      </c>
      <c r="C120" s="188"/>
      <c r="D120" s="189"/>
      <c r="E120" s="189"/>
      <c r="F120" s="190"/>
      <c r="G120" s="147"/>
      <c r="H120" s="147"/>
      <c r="I120" s="147"/>
      <c r="J120" s="147"/>
      <c r="K120" s="3"/>
      <c r="L120" s="3"/>
      <c r="M120" s="3"/>
      <c r="N120" s="3"/>
      <c r="O120" s="3"/>
      <c r="P120" s="3"/>
      <c r="Q120" s="3"/>
      <c r="R120" s="3"/>
      <c r="S120" s="3"/>
      <c r="T120" s="3"/>
      <c r="U120" s="3"/>
      <c r="V120" s="3"/>
      <c r="W120" s="3"/>
      <c r="X120" s="3"/>
      <c r="Y120" s="3"/>
      <c r="Z120" s="3"/>
    </row>
    <row r="121" spans="1:26" ht="22.5" customHeight="1" x14ac:dyDescent="0.85">
      <c r="A121" s="209" t="s">
        <v>101</v>
      </c>
      <c r="B121" s="210">
        <f>B114+B109+B95+B74+B117+B118</f>
        <v>777562.86853029113</v>
      </c>
      <c r="C121" s="211"/>
      <c r="D121" s="212"/>
      <c r="E121" s="212"/>
      <c r="F121" s="213"/>
      <c r="G121" s="147"/>
      <c r="H121" s="147"/>
      <c r="I121" s="147"/>
      <c r="J121" s="147"/>
      <c r="K121" s="3"/>
      <c r="L121" s="3"/>
      <c r="M121" s="3"/>
      <c r="N121" s="3"/>
      <c r="O121" s="3"/>
      <c r="P121" s="3"/>
      <c r="Q121" s="3"/>
      <c r="R121" s="3"/>
      <c r="S121" s="3"/>
      <c r="T121" s="3"/>
      <c r="U121" s="3"/>
      <c r="V121" s="3"/>
      <c r="W121" s="3"/>
      <c r="X121" s="3"/>
      <c r="Y121" s="3"/>
      <c r="Z121" s="3"/>
    </row>
    <row r="122" spans="1:26" ht="22.5" customHeight="1" x14ac:dyDescent="0.85">
      <c r="A122" s="209" t="s">
        <v>136</v>
      </c>
      <c r="B122" s="214">
        <f>B119</f>
        <v>-297204</v>
      </c>
      <c r="C122" s="211"/>
      <c r="D122" s="212"/>
      <c r="E122" s="212"/>
      <c r="F122" s="213"/>
      <c r="G122" s="147"/>
      <c r="H122" s="147"/>
      <c r="I122" s="147"/>
      <c r="J122" s="147"/>
      <c r="K122" s="3"/>
      <c r="L122" s="3"/>
      <c r="M122" s="3"/>
      <c r="N122" s="3"/>
      <c r="O122" s="3"/>
      <c r="P122" s="3"/>
      <c r="Q122" s="3"/>
      <c r="R122" s="3"/>
      <c r="S122" s="3"/>
      <c r="T122" s="3"/>
      <c r="U122" s="3"/>
      <c r="V122" s="3"/>
      <c r="W122" s="3"/>
      <c r="X122" s="3"/>
      <c r="Y122" s="3"/>
      <c r="Z122" s="3"/>
    </row>
    <row r="123" spans="1:26" ht="22.5" customHeight="1" x14ac:dyDescent="0.85">
      <c r="A123" s="209" t="s">
        <v>123</v>
      </c>
      <c r="B123" s="210">
        <f>B121+B122</f>
        <v>480358.86853029113</v>
      </c>
      <c r="C123" s="211"/>
      <c r="D123" s="212"/>
      <c r="E123" s="212"/>
      <c r="F123" s="213"/>
      <c r="G123" s="147"/>
      <c r="H123" s="147"/>
      <c r="I123" s="147"/>
      <c r="J123" s="147"/>
      <c r="K123" s="3"/>
      <c r="L123" s="3"/>
      <c r="M123" s="3"/>
      <c r="N123" s="3"/>
      <c r="O123" s="3"/>
      <c r="P123" s="3"/>
      <c r="Q123" s="3"/>
      <c r="R123" s="3"/>
      <c r="S123" s="3"/>
      <c r="T123" s="3"/>
      <c r="U123" s="3"/>
      <c r="V123" s="3"/>
      <c r="W123" s="3"/>
      <c r="X123" s="3"/>
      <c r="Y123" s="3"/>
      <c r="Z123" s="3"/>
    </row>
    <row r="124" spans="1:26" ht="22.5" customHeight="1" x14ac:dyDescent="0.85">
      <c r="A124" s="166"/>
      <c r="B124" s="167"/>
      <c r="C124" s="167"/>
      <c r="D124" s="147"/>
      <c r="E124" s="147"/>
      <c r="F124" s="147"/>
      <c r="G124" s="147"/>
      <c r="H124" s="147"/>
      <c r="I124" s="147"/>
      <c r="J124" s="147"/>
      <c r="K124" s="3"/>
      <c r="L124" s="3"/>
      <c r="M124" s="3"/>
      <c r="N124" s="3"/>
      <c r="O124" s="3"/>
      <c r="P124" s="3"/>
      <c r="Q124" s="3"/>
      <c r="R124" s="3"/>
      <c r="S124" s="3"/>
      <c r="T124" s="3"/>
      <c r="U124" s="3"/>
      <c r="V124" s="3"/>
      <c r="W124" s="3"/>
      <c r="X124" s="3"/>
      <c r="Y124" s="3"/>
      <c r="Z124" s="3"/>
    </row>
    <row r="125" spans="1:26" ht="22.5" customHeight="1" x14ac:dyDescent="0.85">
      <c r="A125" s="144" t="s">
        <v>471</v>
      </c>
      <c r="B125" s="145"/>
      <c r="C125" s="145"/>
      <c r="D125" s="145"/>
      <c r="E125" s="145"/>
      <c r="F125" s="145"/>
      <c r="G125" s="146"/>
      <c r="H125" s="147"/>
      <c r="I125" s="147"/>
      <c r="J125" s="147"/>
      <c r="K125" s="147"/>
      <c r="L125" s="147"/>
      <c r="M125" s="3"/>
      <c r="N125" s="3"/>
      <c r="O125" s="3"/>
      <c r="P125" s="3"/>
      <c r="Q125" s="3"/>
      <c r="R125" s="3"/>
      <c r="S125" s="3"/>
      <c r="T125" s="3"/>
      <c r="U125" s="3"/>
      <c r="V125" s="3"/>
      <c r="W125" s="3"/>
      <c r="X125" s="3"/>
      <c r="Y125" s="3"/>
      <c r="Z125" s="3"/>
    </row>
    <row r="126" spans="1:26" ht="22.5" customHeight="1" x14ac:dyDescent="0.85">
      <c r="A126" s="215" t="s">
        <v>472</v>
      </c>
      <c r="B126" s="216"/>
      <c r="C126" s="216"/>
      <c r="D126" s="216"/>
      <c r="E126" s="216"/>
      <c r="F126" s="216"/>
      <c r="G126" s="217"/>
      <c r="H126" s="147"/>
      <c r="I126" s="147"/>
      <c r="J126" s="147"/>
      <c r="K126" s="3"/>
      <c r="L126" s="3"/>
      <c r="M126" s="3"/>
      <c r="N126" s="3"/>
      <c r="O126" s="3"/>
      <c r="P126" s="3"/>
      <c r="Q126" s="3"/>
      <c r="R126" s="3"/>
      <c r="S126" s="3"/>
      <c r="T126" s="3"/>
      <c r="U126" s="3"/>
      <c r="V126" s="3"/>
      <c r="W126" s="3"/>
      <c r="X126" s="3"/>
      <c r="Y126" s="3"/>
      <c r="Z126" s="3"/>
    </row>
    <row r="127" spans="1:26" ht="22.5" customHeight="1" x14ac:dyDescent="0.85">
      <c r="A127" s="218" t="s">
        <v>473</v>
      </c>
      <c r="B127" s="148" t="s">
        <v>409</v>
      </c>
      <c r="C127" s="148" t="s">
        <v>410</v>
      </c>
      <c r="D127" s="204" t="s">
        <v>362</v>
      </c>
      <c r="E127" s="204" t="s">
        <v>117</v>
      </c>
      <c r="F127" s="204" t="s">
        <v>251</v>
      </c>
      <c r="G127" s="204" t="s">
        <v>362</v>
      </c>
      <c r="H127" s="147"/>
      <c r="I127" s="147"/>
      <c r="J127" s="147"/>
      <c r="K127" s="3"/>
      <c r="L127" s="3"/>
      <c r="M127" s="3"/>
      <c r="N127" s="3"/>
      <c r="O127" s="3"/>
      <c r="P127" s="3"/>
      <c r="Q127" s="3"/>
      <c r="R127" s="3"/>
      <c r="S127" s="3"/>
      <c r="T127" s="3"/>
      <c r="U127" s="3"/>
      <c r="V127" s="3"/>
      <c r="W127" s="3"/>
      <c r="X127" s="3"/>
      <c r="Y127" s="3"/>
      <c r="Z127" s="3"/>
    </row>
    <row r="128" spans="1:26" ht="22.5" customHeight="1" x14ac:dyDescent="0.85">
      <c r="A128" s="87" t="s">
        <v>474</v>
      </c>
      <c r="B128" s="175" t="s">
        <v>475</v>
      </c>
      <c r="C128" s="219">
        <v>0</v>
      </c>
      <c r="D128" s="176" t="s">
        <v>412</v>
      </c>
      <c r="E128" s="176" t="s">
        <v>106</v>
      </c>
      <c r="F128" s="178">
        <v>0</v>
      </c>
      <c r="G128" s="176" t="s">
        <v>476</v>
      </c>
      <c r="H128" s="147"/>
      <c r="I128" s="147"/>
      <c r="J128" s="147"/>
      <c r="K128" s="3"/>
      <c r="L128" s="3"/>
      <c r="M128" s="3"/>
      <c r="N128" s="3"/>
      <c r="O128" s="3"/>
      <c r="P128" s="3"/>
      <c r="Q128" s="3"/>
      <c r="R128" s="3"/>
      <c r="S128" s="3"/>
      <c r="T128" s="3"/>
      <c r="U128" s="3"/>
      <c r="V128" s="3"/>
      <c r="W128" s="3"/>
      <c r="X128" s="3"/>
      <c r="Y128" s="3"/>
      <c r="Z128" s="3"/>
    </row>
    <row r="129" spans="1:26" ht="22.5" customHeight="1" x14ac:dyDescent="0.85">
      <c r="A129" s="228"/>
      <c r="B129" s="175" t="s">
        <v>477</v>
      </c>
      <c r="C129" s="219">
        <v>0</v>
      </c>
      <c r="D129" s="176" t="s">
        <v>412</v>
      </c>
      <c r="E129" s="176" t="s">
        <v>106</v>
      </c>
      <c r="F129" s="178">
        <v>0</v>
      </c>
      <c r="G129" s="176" t="s">
        <v>476</v>
      </c>
      <c r="H129" s="147"/>
      <c r="I129" s="147"/>
      <c r="J129" s="147"/>
      <c r="K129" s="3"/>
      <c r="L129" s="3"/>
      <c r="M129" s="3"/>
      <c r="N129" s="3"/>
      <c r="O129" s="3"/>
      <c r="P129" s="3"/>
      <c r="Q129" s="3"/>
      <c r="R129" s="3"/>
      <c r="S129" s="3"/>
      <c r="T129" s="3"/>
      <c r="U129" s="3"/>
      <c r="V129" s="3"/>
      <c r="W129" s="3"/>
      <c r="X129" s="3"/>
      <c r="Y129" s="3"/>
      <c r="Z129" s="3"/>
    </row>
    <row r="130" spans="1:26" ht="22.5" customHeight="1" x14ac:dyDescent="0.85">
      <c r="A130" s="86" t="s">
        <v>478</v>
      </c>
      <c r="B130" s="175" t="s">
        <v>495</v>
      </c>
      <c r="C130" s="219">
        <v>0</v>
      </c>
      <c r="D130" s="176" t="s">
        <v>412</v>
      </c>
      <c r="E130" s="176" t="s">
        <v>106</v>
      </c>
      <c r="F130" s="178">
        <v>0</v>
      </c>
      <c r="G130" s="176" t="s">
        <v>476</v>
      </c>
      <c r="H130" s="147"/>
      <c r="I130" s="147"/>
      <c r="J130" s="147"/>
      <c r="K130" s="3"/>
      <c r="L130" s="3"/>
      <c r="M130" s="3"/>
      <c r="N130" s="3"/>
      <c r="O130" s="3"/>
      <c r="P130" s="3"/>
      <c r="Q130" s="3"/>
      <c r="R130" s="3"/>
      <c r="S130" s="3"/>
      <c r="T130" s="3"/>
      <c r="U130" s="3"/>
      <c r="V130" s="3"/>
      <c r="W130" s="3"/>
      <c r="X130" s="3"/>
      <c r="Y130" s="3"/>
      <c r="Z130" s="3"/>
    </row>
    <row r="131" spans="1:26" ht="22.5" customHeight="1" x14ac:dyDescent="0.85">
      <c r="A131" s="220" t="s">
        <v>480</v>
      </c>
      <c r="B131" s="221"/>
      <c r="C131" s="222"/>
      <c r="D131" s="223"/>
      <c r="E131" s="223"/>
      <c r="F131" s="224"/>
      <c r="G131" s="225"/>
      <c r="H131" s="147"/>
      <c r="I131" s="147"/>
      <c r="J131" s="147"/>
      <c r="K131" s="3"/>
      <c r="L131" s="3"/>
      <c r="M131" s="3"/>
      <c r="N131" s="3"/>
      <c r="O131" s="3"/>
      <c r="P131" s="3"/>
      <c r="Q131" s="3"/>
      <c r="R131" s="3"/>
      <c r="S131" s="3"/>
      <c r="T131" s="3"/>
      <c r="U131" s="3"/>
      <c r="V131" s="3"/>
      <c r="W131" s="3"/>
      <c r="X131" s="3"/>
      <c r="Y131" s="3"/>
      <c r="Z131" s="3"/>
    </row>
    <row r="132" spans="1:26" ht="22.5" customHeight="1" x14ac:dyDescent="0.85">
      <c r="A132" s="130" t="s">
        <v>409</v>
      </c>
      <c r="B132" s="130" t="s">
        <v>410</v>
      </c>
      <c r="C132" s="174" t="s">
        <v>362</v>
      </c>
      <c r="D132" s="174" t="s">
        <v>117</v>
      </c>
      <c r="E132" s="174" t="s">
        <v>251</v>
      </c>
      <c r="F132" s="174" t="s">
        <v>362</v>
      </c>
      <c r="G132" s="225"/>
      <c r="H132" s="147"/>
      <c r="I132" s="147"/>
      <c r="J132" s="147"/>
      <c r="K132" s="3"/>
      <c r="L132" s="3"/>
      <c r="M132" s="3"/>
      <c r="N132" s="3"/>
      <c r="O132" s="3"/>
      <c r="P132" s="3"/>
      <c r="Q132" s="3"/>
      <c r="R132" s="3"/>
      <c r="S132" s="3"/>
      <c r="T132" s="3"/>
      <c r="U132" s="3"/>
      <c r="V132" s="3"/>
      <c r="W132" s="3"/>
      <c r="X132" s="3"/>
      <c r="Y132" s="3"/>
      <c r="Z132" s="3"/>
    </row>
    <row r="133" spans="1:26" ht="22.5" customHeight="1" x14ac:dyDescent="0.85">
      <c r="A133" s="175" t="s">
        <v>481</v>
      </c>
      <c r="B133" s="178">
        <v>0</v>
      </c>
      <c r="C133" s="179" t="s">
        <v>412</v>
      </c>
      <c r="D133" s="179" t="s">
        <v>106</v>
      </c>
      <c r="E133" s="98">
        <v>0</v>
      </c>
      <c r="F133" s="179" t="s">
        <v>482</v>
      </c>
      <c r="G133" s="225"/>
      <c r="H133" s="147"/>
      <c r="I133" s="147"/>
      <c r="J133" s="147"/>
      <c r="K133" s="3"/>
      <c r="L133" s="3"/>
      <c r="M133" s="3"/>
      <c r="N133" s="3"/>
      <c r="O133" s="3"/>
      <c r="P133" s="3"/>
      <c r="Q133" s="3"/>
      <c r="R133" s="3"/>
      <c r="S133" s="3"/>
      <c r="T133" s="3"/>
      <c r="U133" s="3"/>
      <c r="V133" s="3"/>
      <c r="W133" s="3"/>
      <c r="X133" s="3"/>
      <c r="Y133" s="3"/>
      <c r="Z133" s="3"/>
    </row>
    <row r="134" spans="1:26" ht="22.5" customHeight="1" x14ac:dyDescent="0.85">
      <c r="A134" s="186" t="s">
        <v>483</v>
      </c>
      <c r="B134" s="226">
        <f>B133+SUM(C128:C130)</f>
        <v>0</v>
      </c>
      <c r="C134" s="188"/>
      <c r="D134" s="189"/>
      <c r="E134" s="189"/>
      <c r="F134" s="190"/>
      <c r="G134" s="225"/>
      <c r="H134" s="147"/>
      <c r="I134" s="147"/>
      <c r="J134" s="147"/>
      <c r="K134" s="3"/>
      <c r="L134" s="3"/>
      <c r="M134" s="3"/>
      <c r="N134" s="3"/>
      <c r="O134" s="3"/>
      <c r="P134" s="3"/>
      <c r="Q134" s="3"/>
      <c r="R134" s="3"/>
      <c r="S134" s="3"/>
      <c r="T134" s="3"/>
      <c r="U134" s="3"/>
      <c r="V134" s="3"/>
      <c r="W134" s="3"/>
      <c r="X134" s="3"/>
      <c r="Y134" s="3"/>
      <c r="Z134" s="3"/>
    </row>
    <row r="135" spans="1:26" ht="22.5" customHeight="1" x14ac:dyDescent="0.85">
      <c r="A135" s="166"/>
      <c r="B135" s="167"/>
      <c r="C135" s="167"/>
      <c r="D135" s="147"/>
      <c r="E135" s="147"/>
      <c r="F135" s="147"/>
      <c r="G135" s="147"/>
      <c r="H135" s="147"/>
      <c r="I135" s="147"/>
      <c r="J135" s="147"/>
      <c r="K135" s="3"/>
      <c r="L135" s="3"/>
      <c r="M135" s="3"/>
      <c r="N135" s="3"/>
      <c r="O135" s="3"/>
      <c r="P135" s="3"/>
      <c r="Q135" s="3"/>
      <c r="R135" s="3"/>
      <c r="S135" s="3"/>
      <c r="T135" s="3"/>
      <c r="U135" s="3"/>
      <c r="V135" s="3"/>
      <c r="W135" s="3"/>
      <c r="X135" s="3"/>
      <c r="Y135" s="3"/>
      <c r="Z135" s="3"/>
    </row>
    <row r="136" spans="1:26" ht="22.5" customHeight="1" x14ac:dyDescent="0.85">
      <c r="A136" s="166"/>
      <c r="B136" s="167"/>
      <c r="C136" s="167"/>
      <c r="D136" s="147"/>
      <c r="E136" s="147"/>
      <c r="F136" s="147"/>
      <c r="G136" s="147"/>
      <c r="H136" s="147"/>
      <c r="I136" s="147"/>
      <c r="J136" s="147"/>
      <c r="K136" s="3"/>
      <c r="L136" s="3"/>
      <c r="M136" s="3"/>
      <c r="N136" s="3"/>
      <c r="O136" s="3"/>
      <c r="P136" s="3"/>
      <c r="Q136" s="3"/>
      <c r="R136" s="3"/>
      <c r="S136" s="3"/>
      <c r="T136" s="3"/>
      <c r="U136" s="3"/>
      <c r="V136" s="3"/>
      <c r="W136" s="3"/>
      <c r="X136" s="3"/>
      <c r="Y136" s="3"/>
      <c r="Z136" s="3"/>
    </row>
    <row r="137" spans="1:26" ht="22.5" customHeight="1" x14ac:dyDescent="0.85">
      <c r="A137" s="166"/>
      <c r="B137" s="167"/>
      <c r="C137" s="167"/>
      <c r="D137" s="147"/>
      <c r="E137" s="147"/>
      <c r="F137" s="147"/>
      <c r="G137" s="147"/>
      <c r="H137" s="147"/>
      <c r="I137" s="147"/>
      <c r="J137" s="147"/>
      <c r="K137" s="3"/>
      <c r="L137" s="3"/>
      <c r="M137" s="3"/>
      <c r="N137" s="3"/>
      <c r="O137" s="3"/>
      <c r="P137" s="3"/>
      <c r="Q137" s="3"/>
      <c r="R137" s="3"/>
      <c r="S137" s="3"/>
      <c r="T137" s="3"/>
      <c r="U137" s="3"/>
      <c r="V137" s="3"/>
      <c r="W137" s="3"/>
      <c r="X137" s="3"/>
      <c r="Y137" s="3"/>
      <c r="Z137" s="3"/>
    </row>
    <row r="138" spans="1:26" ht="22.5" customHeight="1" x14ac:dyDescent="0.85">
      <c r="A138" s="166"/>
      <c r="B138" s="167"/>
      <c r="C138" s="167"/>
      <c r="D138" s="147"/>
      <c r="E138" s="147"/>
      <c r="F138" s="147"/>
      <c r="G138" s="147"/>
      <c r="H138" s="147"/>
      <c r="I138" s="147"/>
      <c r="J138" s="147"/>
      <c r="K138" s="3"/>
      <c r="L138" s="3"/>
      <c r="M138" s="3"/>
      <c r="N138" s="3"/>
      <c r="O138" s="3"/>
      <c r="P138" s="3"/>
      <c r="Q138" s="3"/>
      <c r="R138" s="3"/>
      <c r="S138" s="3"/>
      <c r="T138" s="3"/>
      <c r="U138" s="3"/>
      <c r="V138" s="3"/>
      <c r="W138" s="3"/>
      <c r="X138" s="3"/>
      <c r="Y138" s="3"/>
      <c r="Z138" s="3"/>
    </row>
    <row r="139" spans="1:26" ht="22.5" customHeight="1" x14ac:dyDescent="0.85">
      <c r="A139" s="166"/>
      <c r="B139" s="167"/>
      <c r="C139" s="167"/>
      <c r="D139" s="147"/>
      <c r="E139" s="147"/>
      <c r="F139" s="147"/>
      <c r="G139" s="147"/>
      <c r="H139" s="147"/>
      <c r="I139" s="147"/>
      <c r="J139" s="147"/>
      <c r="K139" s="3"/>
      <c r="L139" s="3"/>
      <c r="M139" s="3"/>
      <c r="N139" s="3"/>
      <c r="O139" s="3"/>
      <c r="P139" s="3"/>
      <c r="Q139" s="3"/>
      <c r="R139" s="3"/>
      <c r="S139" s="3"/>
      <c r="T139" s="3"/>
      <c r="U139" s="3"/>
      <c r="V139" s="3"/>
      <c r="W139" s="3"/>
      <c r="X139" s="3"/>
      <c r="Y139" s="3"/>
      <c r="Z139" s="3"/>
    </row>
    <row r="140" spans="1:26" ht="22.5" customHeight="1" x14ac:dyDescent="0.85">
      <c r="A140" s="166"/>
      <c r="B140" s="167"/>
      <c r="C140" s="167"/>
      <c r="D140" s="147"/>
      <c r="E140" s="147"/>
      <c r="F140" s="147"/>
      <c r="G140" s="147"/>
      <c r="H140" s="147"/>
      <c r="I140" s="147"/>
      <c r="J140" s="147"/>
      <c r="K140" s="3"/>
      <c r="L140" s="3"/>
      <c r="M140" s="3"/>
      <c r="N140" s="3"/>
      <c r="O140" s="3"/>
      <c r="P140" s="3"/>
      <c r="Q140" s="3"/>
      <c r="R140" s="3"/>
      <c r="S140" s="3"/>
      <c r="T140" s="3"/>
      <c r="U140" s="3"/>
      <c r="V140" s="3"/>
      <c r="W140" s="3"/>
      <c r="X140" s="3"/>
      <c r="Y140" s="3"/>
      <c r="Z140" s="3"/>
    </row>
    <row r="141" spans="1:26" ht="22.5" customHeight="1" x14ac:dyDescent="0.85">
      <c r="A141" s="166"/>
      <c r="B141" s="167"/>
      <c r="C141" s="167"/>
      <c r="D141" s="147"/>
      <c r="E141" s="147"/>
      <c r="F141" s="147"/>
      <c r="G141" s="147"/>
      <c r="H141" s="147"/>
      <c r="I141" s="147"/>
      <c r="J141" s="147"/>
      <c r="K141" s="3"/>
      <c r="L141" s="3"/>
      <c r="M141" s="3"/>
      <c r="N141" s="3"/>
      <c r="O141" s="3"/>
      <c r="P141" s="3"/>
      <c r="Q141" s="3"/>
      <c r="R141" s="3"/>
      <c r="S141" s="3"/>
      <c r="T141" s="3"/>
      <c r="U141" s="3"/>
      <c r="V141" s="3"/>
      <c r="W141" s="3"/>
      <c r="X141" s="3"/>
      <c r="Y141" s="3"/>
      <c r="Z141" s="3"/>
    </row>
    <row r="142" spans="1:26" ht="22.5" customHeight="1" x14ac:dyDescent="0.85">
      <c r="A142" s="166"/>
      <c r="B142" s="167"/>
      <c r="C142" s="167"/>
      <c r="D142" s="147"/>
      <c r="E142" s="147"/>
      <c r="F142" s="147"/>
      <c r="G142" s="147"/>
      <c r="H142" s="147"/>
      <c r="I142" s="147"/>
      <c r="J142" s="147"/>
      <c r="K142" s="3"/>
      <c r="L142" s="3"/>
      <c r="M142" s="3"/>
      <c r="N142" s="3"/>
      <c r="O142" s="3"/>
      <c r="P142" s="3"/>
      <c r="Q142" s="3"/>
      <c r="R142" s="3"/>
      <c r="S142" s="3"/>
      <c r="T142" s="3"/>
      <c r="U142" s="3"/>
      <c r="V142" s="3"/>
      <c r="W142" s="3"/>
      <c r="X142" s="3"/>
      <c r="Y142" s="3"/>
      <c r="Z142" s="3"/>
    </row>
    <row r="143" spans="1:26" ht="22.5" customHeight="1" x14ac:dyDescent="0.85">
      <c r="A143" s="166"/>
      <c r="B143" s="167"/>
      <c r="C143" s="167"/>
      <c r="D143" s="147"/>
      <c r="E143" s="147"/>
      <c r="F143" s="147"/>
      <c r="G143" s="147"/>
      <c r="H143" s="147"/>
      <c r="I143" s="147"/>
      <c r="J143" s="147"/>
      <c r="K143" s="3"/>
      <c r="L143" s="3"/>
      <c r="M143" s="3"/>
      <c r="N143" s="3"/>
      <c r="O143" s="3"/>
      <c r="P143" s="3"/>
      <c r="Q143" s="3"/>
      <c r="R143" s="3"/>
      <c r="S143" s="3"/>
      <c r="T143" s="3"/>
      <c r="U143" s="3"/>
      <c r="V143" s="3"/>
      <c r="W143" s="3"/>
      <c r="X143" s="3"/>
      <c r="Y143" s="3"/>
      <c r="Z143" s="3"/>
    </row>
    <row r="144" spans="1:26" ht="22.5" customHeight="1" x14ac:dyDescent="0.85">
      <c r="A144" s="166"/>
      <c r="B144" s="167"/>
      <c r="C144" s="167"/>
      <c r="D144" s="147"/>
      <c r="E144" s="147"/>
      <c r="F144" s="147"/>
      <c r="G144" s="147"/>
      <c r="H144" s="147"/>
      <c r="I144" s="147"/>
      <c r="J144" s="147"/>
      <c r="K144" s="3"/>
      <c r="L144" s="3"/>
      <c r="M144" s="3"/>
      <c r="N144" s="3"/>
      <c r="O144" s="3"/>
      <c r="P144" s="3"/>
      <c r="Q144" s="3"/>
      <c r="R144" s="3"/>
      <c r="S144" s="3"/>
      <c r="T144" s="3"/>
      <c r="U144" s="3"/>
      <c r="V144" s="3"/>
      <c r="W144" s="3"/>
      <c r="X144" s="3"/>
      <c r="Y144" s="3"/>
      <c r="Z144" s="3"/>
    </row>
    <row r="145" spans="1:26" ht="22.5" customHeight="1" x14ac:dyDescent="0.85">
      <c r="A145" s="166"/>
      <c r="B145" s="167"/>
      <c r="C145" s="167"/>
      <c r="D145" s="147"/>
      <c r="E145" s="147"/>
      <c r="F145" s="147"/>
      <c r="G145" s="147"/>
      <c r="H145" s="147"/>
      <c r="I145" s="147"/>
      <c r="J145" s="147"/>
      <c r="K145" s="3"/>
      <c r="L145" s="3"/>
      <c r="M145" s="3"/>
      <c r="N145" s="3"/>
      <c r="O145" s="3"/>
      <c r="P145" s="3"/>
      <c r="Q145" s="3"/>
      <c r="R145" s="3"/>
      <c r="S145" s="3"/>
      <c r="T145" s="3"/>
      <c r="U145" s="3"/>
      <c r="V145" s="3"/>
      <c r="W145" s="3"/>
      <c r="X145" s="3"/>
      <c r="Y145" s="3"/>
      <c r="Z145" s="3"/>
    </row>
    <row r="146" spans="1:26" ht="22.5" customHeight="1" x14ac:dyDescent="0.85">
      <c r="A146" s="166"/>
      <c r="B146" s="167"/>
      <c r="C146" s="167"/>
      <c r="D146" s="147"/>
      <c r="E146" s="147"/>
      <c r="F146" s="147"/>
      <c r="G146" s="147"/>
      <c r="H146" s="147"/>
      <c r="I146" s="147"/>
      <c r="J146" s="147"/>
      <c r="K146" s="3"/>
      <c r="L146" s="3"/>
      <c r="M146" s="3"/>
      <c r="N146" s="3"/>
      <c r="O146" s="3"/>
      <c r="P146" s="3"/>
      <c r="Q146" s="3"/>
      <c r="R146" s="3"/>
      <c r="S146" s="3"/>
      <c r="T146" s="3"/>
      <c r="U146" s="3"/>
      <c r="V146" s="3"/>
      <c r="W146" s="3"/>
      <c r="X146" s="3"/>
      <c r="Y146" s="3"/>
      <c r="Z146" s="3"/>
    </row>
    <row r="147" spans="1:26" ht="22.5" customHeight="1" x14ac:dyDescent="0.85">
      <c r="A147" s="166"/>
      <c r="B147" s="167"/>
      <c r="C147" s="167"/>
      <c r="D147" s="147"/>
      <c r="E147" s="147"/>
      <c r="F147" s="147"/>
      <c r="G147" s="147"/>
      <c r="H147" s="147"/>
      <c r="I147" s="147"/>
      <c r="J147" s="147"/>
      <c r="K147" s="3"/>
      <c r="L147" s="3"/>
      <c r="M147" s="3"/>
      <c r="N147" s="3"/>
      <c r="O147" s="3"/>
      <c r="P147" s="3"/>
      <c r="Q147" s="3"/>
      <c r="R147" s="3"/>
      <c r="S147" s="3"/>
      <c r="T147" s="3"/>
      <c r="U147" s="3"/>
      <c r="V147" s="3"/>
      <c r="W147" s="3"/>
      <c r="X147" s="3"/>
      <c r="Y147" s="3"/>
      <c r="Z147" s="3"/>
    </row>
    <row r="148" spans="1:26" ht="22.5" customHeight="1" x14ac:dyDescent="0.85">
      <c r="A148" s="166"/>
      <c r="B148" s="167"/>
      <c r="C148" s="167"/>
      <c r="D148" s="147"/>
      <c r="E148" s="147"/>
      <c r="F148" s="147"/>
      <c r="G148" s="147"/>
      <c r="H148" s="147"/>
      <c r="I148" s="147"/>
      <c r="J148" s="147"/>
      <c r="K148" s="3"/>
      <c r="L148" s="3"/>
      <c r="M148" s="3"/>
      <c r="N148" s="3"/>
      <c r="O148" s="3"/>
      <c r="P148" s="3"/>
      <c r="Q148" s="3"/>
      <c r="R148" s="3"/>
      <c r="S148" s="3"/>
      <c r="T148" s="3"/>
      <c r="U148" s="3"/>
      <c r="V148" s="3"/>
      <c r="W148" s="3"/>
      <c r="X148" s="3"/>
      <c r="Y148" s="3"/>
      <c r="Z148" s="3"/>
    </row>
    <row r="149" spans="1:26" ht="22.5" customHeight="1" x14ac:dyDescent="0.85">
      <c r="A149" s="166"/>
      <c r="B149" s="167"/>
      <c r="C149" s="167"/>
      <c r="D149" s="147"/>
      <c r="E149" s="147"/>
      <c r="F149" s="147"/>
      <c r="G149" s="147"/>
      <c r="H149" s="147"/>
      <c r="I149" s="147"/>
      <c r="J149" s="147"/>
      <c r="K149" s="3"/>
      <c r="L149" s="3"/>
      <c r="M149" s="3"/>
      <c r="N149" s="3"/>
      <c r="O149" s="3"/>
      <c r="P149" s="3"/>
      <c r="Q149" s="3"/>
      <c r="R149" s="3"/>
      <c r="S149" s="3"/>
      <c r="T149" s="3"/>
      <c r="U149" s="3"/>
      <c r="V149" s="3"/>
      <c r="W149" s="3"/>
      <c r="X149" s="3"/>
      <c r="Y149" s="3"/>
      <c r="Z149" s="3"/>
    </row>
    <row r="150" spans="1:26" ht="22.5" customHeight="1" x14ac:dyDescent="0.85">
      <c r="A150" s="166"/>
      <c r="B150" s="167"/>
      <c r="C150" s="167"/>
      <c r="D150" s="147"/>
      <c r="E150" s="147"/>
      <c r="F150" s="147"/>
      <c r="G150" s="147"/>
      <c r="H150" s="147"/>
      <c r="I150" s="147"/>
      <c r="J150" s="147"/>
      <c r="K150" s="3"/>
      <c r="L150" s="3"/>
      <c r="M150" s="3"/>
      <c r="N150" s="3"/>
      <c r="O150" s="3"/>
      <c r="P150" s="3"/>
      <c r="Q150" s="3"/>
      <c r="R150" s="3"/>
      <c r="S150" s="3"/>
      <c r="T150" s="3"/>
      <c r="U150" s="3"/>
      <c r="V150" s="3"/>
      <c r="W150" s="3"/>
      <c r="X150" s="3"/>
      <c r="Y150" s="3"/>
      <c r="Z150" s="3"/>
    </row>
    <row r="151" spans="1:26" ht="22.5" customHeight="1" x14ac:dyDescent="0.85">
      <c r="A151" s="166"/>
      <c r="B151" s="167"/>
      <c r="C151" s="167"/>
      <c r="D151" s="147"/>
      <c r="E151" s="147"/>
      <c r="F151" s="147"/>
      <c r="G151" s="147"/>
      <c r="H151" s="147"/>
      <c r="I151" s="147"/>
      <c r="J151" s="147"/>
      <c r="K151" s="3"/>
      <c r="L151" s="3"/>
      <c r="M151" s="3"/>
      <c r="N151" s="3"/>
      <c r="O151" s="3"/>
      <c r="P151" s="3"/>
      <c r="Q151" s="3"/>
      <c r="R151" s="3"/>
      <c r="S151" s="3"/>
      <c r="T151" s="3"/>
      <c r="U151" s="3"/>
      <c r="V151" s="3"/>
      <c r="W151" s="3"/>
      <c r="X151" s="3"/>
      <c r="Y151" s="3"/>
      <c r="Z151" s="3"/>
    </row>
    <row r="152" spans="1:26" ht="22.5" customHeight="1" x14ac:dyDescent="0.85">
      <c r="A152" s="166"/>
      <c r="B152" s="167"/>
      <c r="C152" s="167"/>
      <c r="D152" s="147"/>
      <c r="E152" s="147"/>
      <c r="F152" s="147"/>
      <c r="G152" s="147"/>
      <c r="H152" s="147"/>
      <c r="I152" s="147"/>
      <c r="J152" s="147"/>
      <c r="K152" s="3"/>
      <c r="L152" s="3"/>
      <c r="M152" s="3"/>
      <c r="N152" s="3"/>
      <c r="O152" s="3"/>
      <c r="P152" s="3"/>
      <c r="Q152" s="3"/>
      <c r="R152" s="3"/>
      <c r="S152" s="3"/>
      <c r="T152" s="3"/>
      <c r="U152" s="3"/>
      <c r="V152" s="3"/>
      <c r="W152" s="3"/>
      <c r="X152" s="3"/>
      <c r="Y152" s="3"/>
      <c r="Z152" s="3"/>
    </row>
    <row r="153" spans="1:26" ht="22.5" customHeight="1" x14ac:dyDescent="0.85">
      <c r="A153" s="166"/>
      <c r="B153" s="167"/>
      <c r="C153" s="167"/>
      <c r="D153" s="147"/>
      <c r="E153" s="147"/>
      <c r="F153" s="147"/>
      <c r="G153" s="147"/>
      <c r="H153" s="147"/>
      <c r="I153" s="147"/>
      <c r="J153" s="147"/>
      <c r="K153" s="3"/>
      <c r="L153" s="3"/>
      <c r="M153" s="3"/>
      <c r="N153" s="3"/>
      <c r="O153" s="3"/>
      <c r="P153" s="3"/>
      <c r="Q153" s="3"/>
      <c r="R153" s="3"/>
      <c r="S153" s="3"/>
      <c r="T153" s="3"/>
      <c r="U153" s="3"/>
      <c r="V153" s="3"/>
      <c r="W153" s="3"/>
      <c r="X153" s="3"/>
      <c r="Y153" s="3"/>
      <c r="Z153" s="3"/>
    </row>
    <row r="154" spans="1:26" ht="22.5" customHeight="1" x14ac:dyDescent="0.85">
      <c r="A154" s="166"/>
      <c r="B154" s="167"/>
      <c r="C154" s="167"/>
      <c r="D154" s="147"/>
      <c r="E154" s="147"/>
      <c r="F154" s="147"/>
      <c r="G154" s="147"/>
      <c r="H154" s="147"/>
      <c r="I154" s="147"/>
      <c r="J154" s="147"/>
      <c r="K154" s="3"/>
      <c r="L154" s="3"/>
      <c r="M154" s="3"/>
      <c r="N154" s="3"/>
      <c r="O154" s="3"/>
      <c r="P154" s="3"/>
      <c r="Q154" s="3"/>
      <c r="R154" s="3"/>
      <c r="S154" s="3"/>
      <c r="T154" s="3"/>
      <c r="U154" s="3"/>
      <c r="V154" s="3"/>
      <c r="W154" s="3"/>
      <c r="X154" s="3"/>
      <c r="Y154" s="3"/>
      <c r="Z154" s="3"/>
    </row>
    <row r="155" spans="1:26" ht="22.5" customHeight="1" x14ac:dyDescent="0.85">
      <c r="A155" s="166"/>
      <c r="B155" s="167"/>
      <c r="C155" s="167"/>
      <c r="D155" s="147"/>
      <c r="E155" s="147"/>
      <c r="F155" s="147"/>
      <c r="G155" s="147"/>
      <c r="H155" s="147"/>
      <c r="I155" s="147"/>
      <c r="J155" s="147"/>
      <c r="K155" s="3"/>
      <c r="L155" s="3"/>
      <c r="M155" s="3"/>
      <c r="N155" s="3"/>
      <c r="O155" s="3"/>
      <c r="P155" s="3"/>
      <c r="Q155" s="3"/>
      <c r="R155" s="3"/>
      <c r="S155" s="3"/>
      <c r="T155" s="3"/>
      <c r="U155" s="3"/>
      <c r="V155" s="3"/>
      <c r="W155" s="3"/>
      <c r="X155" s="3"/>
      <c r="Y155" s="3"/>
      <c r="Z155" s="3"/>
    </row>
    <row r="156" spans="1:26" ht="22.5" customHeight="1" x14ac:dyDescent="0.85">
      <c r="A156" s="166"/>
      <c r="B156" s="167"/>
      <c r="C156" s="167"/>
      <c r="D156" s="147"/>
      <c r="E156" s="147"/>
      <c r="F156" s="147"/>
      <c r="G156" s="147"/>
      <c r="H156" s="147"/>
      <c r="I156" s="147"/>
      <c r="J156" s="147"/>
      <c r="K156" s="3"/>
      <c r="L156" s="3"/>
      <c r="M156" s="3"/>
      <c r="N156" s="3"/>
      <c r="O156" s="3"/>
      <c r="P156" s="3"/>
      <c r="Q156" s="3"/>
      <c r="R156" s="3"/>
      <c r="S156" s="3"/>
      <c r="T156" s="3"/>
      <c r="U156" s="3"/>
      <c r="V156" s="3"/>
      <c r="W156" s="3"/>
      <c r="X156" s="3"/>
      <c r="Y156" s="3"/>
      <c r="Z156" s="3"/>
    </row>
    <row r="157" spans="1:26" ht="22.5" customHeight="1" x14ac:dyDescent="0.85">
      <c r="A157" s="166"/>
      <c r="B157" s="167"/>
      <c r="C157" s="167"/>
      <c r="D157" s="147"/>
      <c r="E157" s="147"/>
      <c r="F157" s="147"/>
      <c r="G157" s="147"/>
      <c r="H157" s="147"/>
      <c r="I157" s="147"/>
      <c r="J157" s="147"/>
      <c r="K157" s="3"/>
      <c r="L157" s="3"/>
      <c r="M157" s="3"/>
      <c r="N157" s="3"/>
      <c r="O157" s="3"/>
      <c r="P157" s="3"/>
      <c r="Q157" s="3"/>
      <c r="R157" s="3"/>
      <c r="S157" s="3"/>
      <c r="T157" s="3"/>
      <c r="U157" s="3"/>
      <c r="V157" s="3"/>
      <c r="W157" s="3"/>
      <c r="X157" s="3"/>
      <c r="Y157" s="3"/>
      <c r="Z157" s="3"/>
    </row>
    <row r="158" spans="1:26" ht="22.5" customHeight="1" x14ac:dyDescent="0.85">
      <c r="A158" s="166"/>
      <c r="B158" s="167"/>
      <c r="C158" s="167"/>
      <c r="D158" s="147"/>
      <c r="E158" s="147"/>
      <c r="F158" s="147"/>
      <c r="G158" s="147"/>
      <c r="H158" s="147"/>
      <c r="I158" s="147"/>
      <c r="J158" s="147"/>
      <c r="K158" s="3"/>
      <c r="L158" s="3"/>
      <c r="M158" s="3"/>
      <c r="N158" s="3"/>
      <c r="O158" s="3"/>
      <c r="P158" s="3"/>
      <c r="Q158" s="3"/>
      <c r="R158" s="3"/>
      <c r="S158" s="3"/>
      <c r="T158" s="3"/>
      <c r="U158" s="3"/>
      <c r="V158" s="3"/>
      <c r="W158" s="3"/>
      <c r="X158" s="3"/>
      <c r="Y158" s="3"/>
      <c r="Z158" s="3"/>
    </row>
    <row r="159" spans="1:26" ht="22.5" customHeight="1" x14ac:dyDescent="0.85">
      <c r="A159" s="166"/>
      <c r="B159" s="167"/>
      <c r="C159" s="167"/>
      <c r="D159" s="147"/>
      <c r="E159" s="147"/>
      <c r="F159" s="147"/>
      <c r="G159" s="147"/>
      <c r="H159" s="147"/>
      <c r="I159" s="147"/>
      <c r="J159" s="147"/>
      <c r="K159" s="3"/>
      <c r="L159" s="3"/>
      <c r="M159" s="3"/>
      <c r="N159" s="3"/>
      <c r="O159" s="3"/>
      <c r="P159" s="3"/>
      <c r="Q159" s="3"/>
      <c r="R159" s="3"/>
      <c r="S159" s="3"/>
      <c r="T159" s="3"/>
      <c r="U159" s="3"/>
      <c r="V159" s="3"/>
      <c r="W159" s="3"/>
      <c r="X159" s="3"/>
      <c r="Y159" s="3"/>
      <c r="Z159" s="3"/>
    </row>
    <row r="160" spans="1:26" ht="22.5" customHeight="1" x14ac:dyDescent="0.85">
      <c r="A160" s="166"/>
      <c r="B160" s="167"/>
      <c r="C160" s="167"/>
      <c r="D160" s="147"/>
      <c r="E160" s="147"/>
      <c r="F160" s="147"/>
      <c r="G160" s="147"/>
      <c r="H160" s="147"/>
      <c r="I160" s="147"/>
      <c r="J160" s="147"/>
      <c r="K160" s="3"/>
      <c r="L160" s="3"/>
      <c r="M160" s="3"/>
      <c r="N160" s="3"/>
      <c r="O160" s="3"/>
      <c r="P160" s="3"/>
      <c r="Q160" s="3"/>
      <c r="R160" s="3"/>
      <c r="S160" s="3"/>
      <c r="T160" s="3"/>
      <c r="U160" s="3"/>
      <c r="V160" s="3"/>
      <c r="W160" s="3"/>
      <c r="X160" s="3"/>
      <c r="Y160" s="3"/>
      <c r="Z160" s="3"/>
    </row>
    <row r="161" spans="1:26" ht="22.5" customHeight="1" x14ac:dyDescent="0.85">
      <c r="A161" s="166"/>
      <c r="B161" s="167"/>
      <c r="C161" s="167"/>
      <c r="D161" s="147"/>
      <c r="E161" s="147"/>
      <c r="F161" s="147"/>
      <c r="G161" s="147"/>
      <c r="H161" s="147"/>
      <c r="I161" s="147"/>
      <c r="J161" s="147"/>
      <c r="K161" s="3"/>
      <c r="L161" s="3"/>
      <c r="M161" s="3"/>
      <c r="N161" s="3"/>
      <c r="O161" s="3"/>
      <c r="P161" s="3"/>
      <c r="Q161" s="3"/>
      <c r="R161" s="3"/>
      <c r="S161" s="3"/>
      <c r="T161" s="3"/>
      <c r="U161" s="3"/>
      <c r="V161" s="3"/>
      <c r="W161" s="3"/>
      <c r="X161" s="3"/>
      <c r="Y161" s="3"/>
      <c r="Z161" s="3"/>
    </row>
    <row r="162" spans="1:26" ht="22.5" customHeight="1" x14ac:dyDescent="0.85">
      <c r="A162" s="166"/>
      <c r="B162" s="167"/>
      <c r="C162" s="167"/>
      <c r="D162" s="147"/>
      <c r="E162" s="147"/>
      <c r="F162" s="147"/>
      <c r="G162" s="147"/>
      <c r="H162" s="147"/>
      <c r="I162" s="147"/>
      <c r="J162" s="147"/>
      <c r="K162" s="3"/>
      <c r="L162" s="3"/>
      <c r="M162" s="3"/>
      <c r="N162" s="3"/>
      <c r="O162" s="3"/>
      <c r="P162" s="3"/>
      <c r="Q162" s="3"/>
      <c r="R162" s="3"/>
      <c r="S162" s="3"/>
      <c r="T162" s="3"/>
      <c r="U162" s="3"/>
      <c r="V162" s="3"/>
      <c r="W162" s="3"/>
      <c r="X162" s="3"/>
      <c r="Y162" s="3"/>
      <c r="Z162" s="3"/>
    </row>
    <row r="163" spans="1:26" ht="22.5" customHeight="1" x14ac:dyDescent="0.85">
      <c r="A163" s="166"/>
      <c r="B163" s="167"/>
      <c r="C163" s="167"/>
      <c r="D163" s="147"/>
      <c r="E163" s="147"/>
      <c r="F163" s="147"/>
      <c r="G163" s="147"/>
      <c r="H163" s="147"/>
      <c r="I163" s="147"/>
      <c r="J163" s="147"/>
      <c r="K163" s="3"/>
      <c r="L163" s="3"/>
      <c r="M163" s="3"/>
      <c r="N163" s="3"/>
      <c r="O163" s="3"/>
      <c r="P163" s="3"/>
      <c r="Q163" s="3"/>
      <c r="R163" s="3"/>
      <c r="S163" s="3"/>
      <c r="T163" s="3"/>
      <c r="U163" s="3"/>
      <c r="V163" s="3"/>
      <c r="W163" s="3"/>
      <c r="X163" s="3"/>
      <c r="Y163" s="3"/>
      <c r="Z163" s="3"/>
    </row>
    <row r="164" spans="1:26" ht="22.5" customHeight="1" x14ac:dyDescent="0.85">
      <c r="A164" s="166"/>
      <c r="B164" s="167"/>
      <c r="C164" s="167"/>
      <c r="D164" s="147"/>
      <c r="E164" s="147"/>
      <c r="F164" s="147"/>
      <c r="G164" s="147"/>
      <c r="H164" s="147"/>
      <c r="I164" s="147"/>
      <c r="J164" s="147"/>
      <c r="K164" s="3"/>
      <c r="L164" s="3"/>
      <c r="M164" s="3"/>
      <c r="N164" s="3"/>
      <c r="O164" s="3"/>
      <c r="P164" s="3"/>
      <c r="Q164" s="3"/>
      <c r="R164" s="3"/>
      <c r="S164" s="3"/>
      <c r="T164" s="3"/>
      <c r="U164" s="3"/>
      <c r="V164" s="3"/>
      <c r="W164" s="3"/>
      <c r="X164" s="3"/>
      <c r="Y164" s="3"/>
      <c r="Z164" s="3"/>
    </row>
    <row r="165" spans="1:26" ht="22.5" customHeight="1" x14ac:dyDescent="0.85">
      <c r="A165" s="166"/>
      <c r="B165" s="167"/>
      <c r="C165" s="167"/>
      <c r="D165" s="147"/>
      <c r="E165" s="147"/>
      <c r="F165" s="147"/>
      <c r="G165" s="147"/>
      <c r="H165" s="147"/>
      <c r="I165" s="147"/>
      <c r="J165" s="147"/>
      <c r="K165" s="3"/>
      <c r="L165" s="3"/>
      <c r="M165" s="3"/>
      <c r="N165" s="3"/>
      <c r="O165" s="3"/>
      <c r="P165" s="3"/>
      <c r="Q165" s="3"/>
      <c r="R165" s="3"/>
      <c r="S165" s="3"/>
      <c r="T165" s="3"/>
      <c r="U165" s="3"/>
      <c r="V165" s="3"/>
      <c r="W165" s="3"/>
      <c r="X165" s="3"/>
      <c r="Y165" s="3"/>
      <c r="Z165" s="3"/>
    </row>
    <row r="166" spans="1:26" ht="22.5" customHeight="1" x14ac:dyDescent="0.85">
      <c r="A166" s="166"/>
      <c r="B166" s="167"/>
      <c r="C166" s="167"/>
      <c r="D166" s="147"/>
      <c r="E166" s="147"/>
      <c r="F166" s="147"/>
      <c r="G166" s="147"/>
      <c r="H166" s="147"/>
      <c r="I166" s="147"/>
      <c r="J166" s="147"/>
      <c r="K166" s="3"/>
      <c r="L166" s="3"/>
      <c r="M166" s="3"/>
      <c r="N166" s="3"/>
      <c r="O166" s="3"/>
      <c r="P166" s="3"/>
      <c r="Q166" s="3"/>
      <c r="R166" s="3"/>
      <c r="S166" s="3"/>
      <c r="T166" s="3"/>
      <c r="U166" s="3"/>
      <c r="V166" s="3"/>
      <c r="W166" s="3"/>
      <c r="X166" s="3"/>
      <c r="Y166" s="3"/>
      <c r="Z166" s="3"/>
    </row>
    <row r="167" spans="1:26" ht="22.5" customHeight="1" x14ac:dyDescent="0.85">
      <c r="A167" s="166"/>
      <c r="B167" s="167"/>
      <c r="C167" s="167"/>
      <c r="D167" s="147"/>
      <c r="E167" s="147"/>
      <c r="F167" s="147"/>
      <c r="G167" s="147"/>
      <c r="H167" s="147"/>
      <c r="I167" s="147"/>
      <c r="J167" s="147"/>
      <c r="K167" s="3"/>
      <c r="L167" s="3"/>
      <c r="M167" s="3"/>
      <c r="N167" s="3"/>
      <c r="O167" s="3"/>
      <c r="P167" s="3"/>
      <c r="Q167" s="3"/>
      <c r="R167" s="3"/>
      <c r="S167" s="3"/>
      <c r="T167" s="3"/>
      <c r="U167" s="3"/>
      <c r="V167" s="3"/>
      <c r="W167" s="3"/>
      <c r="X167" s="3"/>
      <c r="Y167" s="3"/>
      <c r="Z167" s="3"/>
    </row>
    <row r="168" spans="1:26" ht="22.5" customHeight="1" x14ac:dyDescent="0.85">
      <c r="A168" s="166"/>
      <c r="B168" s="167"/>
      <c r="C168" s="167"/>
      <c r="D168" s="147"/>
      <c r="E168" s="147"/>
      <c r="F168" s="147"/>
      <c r="G168" s="147"/>
      <c r="H168" s="147"/>
      <c r="I168" s="147"/>
      <c r="J168" s="147"/>
      <c r="K168" s="3"/>
      <c r="L168" s="3"/>
      <c r="M168" s="3"/>
      <c r="N168" s="3"/>
      <c r="O168" s="3"/>
      <c r="P168" s="3"/>
      <c r="Q168" s="3"/>
      <c r="R168" s="3"/>
      <c r="S168" s="3"/>
      <c r="T168" s="3"/>
      <c r="U168" s="3"/>
      <c r="V168" s="3"/>
      <c r="W168" s="3"/>
      <c r="X168" s="3"/>
      <c r="Y168" s="3"/>
      <c r="Z168" s="3"/>
    </row>
    <row r="169" spans="1:26" ht="22.5" customHeight="1" x14ac:dyDescent="0.85">
      <c r="A169" s="166"/>
      <c r="B169" s="167"/>
      <c r="C169" s="167"/>
      <c r="D169" s="147"/>
      <c r="E169" s="147"/>
      <c r="F169" s="147"/>
      <c r="G169" s="147"/>
      <c r="H169" s="147"/>
      <c r="I169" s="147"/>
      <c r="J169" s="147"/>
      <c r="K169" s="3"/>
      <c r="L169" s="3"/>
      <c r="M169" s="3"/>
      <c r="N169" s="3"/>
      <c r="O169" s="3"/>
      <c r="P169" s="3"/>
      <c r="Q169" s="3"/>
      <c r="R169" s="3"/>
      <c r="S169" s="3"/>
      <c r="T169" s="3"/>
      <c r="U169" s="3"/>
      <c r="V169" s="3"/>
      <c r="W169" s="3"/>
      <c r="X169" s="3"/>
      <c r="Y169" s="3"/>
      <c r="Z169" s="3"/>
    </row>
    <row r="170" spans="1:26" ht="22.5" customHeight="1" x14ac:dyDescent="0.85">
      <c r="A170" s="166"/>
      <c r="B170" s="167"/>
      <c r="C170" s="167"/>
      <c r="D170" s="147"/>
      <c r="E170" s="147"/>
      <c r="F170" s="147"/>
      <c r="G170" s="147"/>
      <c r="H170" s="147"/>
      <c r="I170" s="147"/>
      <c r="J170" s="147"/>
      <c r="K170" s="3"/>
      <c r="L170" s="3"/>
      <c r="M170" s="3"/>
      <c r="N170" s="3"/>
      <c r="O170" s="3"/>
      <c r="P170" s="3"/>
      <c r="Q170" s="3"/>
      <c r="R170" s="3"/>
      <c r="S170" s="3"/>
      <c r="T170" s="3"/>
      <c r="U170" s="3"/>
      <c r="V170" s="3"/>
      <c r="W170" s="3"/>
      <c r="X170" s="3"/>
      <c r="Y170" s="3"/>
      <c r="Z170" s="3"/>
    </row>
    <row r="171" spans="1:26" ht="22.5" customHeight="1" x14ac:dyDescent="0.85">
      <c r="A171" s="166"/>
      <c r="B171" s="167"/>
      <c r="C171" s="167"/>
      <c r="D171" s="147"/>
      <c r="E171" s="147"/>
      <c r="F171" s="147"/>
      <c r="G171" s="147"/>
      <c r="H171" s="147"/>
      <c r="I171" s="147"/>
      <c r="J171" s="147"/>
      <c r="K171" s="3"/>
      <c r="L171" s="3"/>
      <c r="M171" s="3"/>
      <c r="N171" s="3"/>
      <c r="O171" s="3"/>
      <c r="P171" s="3"/>
      <c r="Q171" s="3"/>
      <c r="R171" s="3"/>
      <c r="S171" s="3"/>
      <c r="T171" s="3"/>
      <c r="U171" s="3"/>
      <c r="V171" s="3"/>
      <c r="W171" s="3"/>
      <c r="X171" s="3"/>
      <c r="Y171" s="3"/>
      <c r="Z171" s="3"/>
    </row>
    <row r="172" spans="1:26" ht="22.5" customHeight="1" x14ac:dyDescent="0.85">
      <c r="A172" s="166"/>
      <c r="B172" s="167"/>
      <c r="C172" s="167"/>
      <c r="D172" s="147"/>
      <c r="E172" s="147"/>
      <c r="F172" s="147"/>
      <c r="G172" s="147"/>
      <c r="H172" s="147"/>
      <c r="I172" s="147"/>
      <c r="J172" s="147"/>
      <c r="K172" s="3"/>
      <c r="L172" s="3"/>
      <c r="M172" s="3"/>
      <c r="N172" s="3"/>
      <c r="O172" s="3"/>
      <c r="P172" s="3"/>
      <c r="Q172" s="3"/>
      <c r="R172" s="3"/>
      <c r="S172" s="3"/>
      <c r="T172" s="3"/>
      <c r="U172" s="3"/>
      <c r="V172" s="3"/>
      <c r="W172" s="3"/>
      <c r="X172" s="3"/>
      <c r="Y172" s="3"/>
      <c r="Z172" s="3"/>
    </row>
    <row r="173" spans="1:26" ht="22.5" customHeight="1" x14ac:dyDescent="0.85">
      <c r="A173" s="166"/>
      <c r="B173" s="167"/>
      <c r="C173" s="167"/>
      <c r="D173" s="147"/>
      <c r="E173" s="147"/>
      <c r="F173" s="147"/>
      <c r="G173" s="147"/>
      <c r="H173" s="147"/>
      <c r="I173" s="147"/>
      <c r="J173" s="147"/>
      <c r="K173" s="3"/>
      <c r="L173" s="3"/>
      <c r="M173" s="3"/>
      <c r="N173" s="3"/>
      <c r="O173" s="3"/>
      <c r="P173" s="3"/>
      <c r="Q173" s="3"/>
      <c r="R173" s="3"/>
      <c r="S173" s="3"/>
      <c r="T173" s="3"/>
      <c r="U173" s="3"/>
      <c r="V173" s="3"/>
      <c r="W173" s="3"/>
      <c r="X173" s="3"/>
      <c r="Y173" s="3"/>
      <c r="Z173" s="3"/>
    </row>
    <row r="174" spans="1:26" ht="22.5" customHeight="1" x14ac:dyDescent="0.85">
      <c r="A174" s="166"/>
      <c r="B174" s="167"/>
      <c r="C174" s="167"/>
      <c r="D174" s="147"/>
      <c r="E174" s="147"/>
      <c r="F174" s="147"/>
      <c r="G174" s="147"/>
      <c r="H174" s="147"/>
      <c r="I174" s="147"/>
      <c r="J174" s="147"/>
      <c r="K174" s="3"/>
      <c r="L174" s="3"/>
      <c r="M174" s="3"/>
      <c r="N174" s="3"/>
      <c r="O174" s="3"/>
      <c r="P174" s="3"/>
      <c r="Q174" s="3"/>
      <c r="R174" s="3"/>
      <c r="S174" s="3"/>
      <c r="T174" s="3"/>
      <c r="U174" s="3"/>
      <c r="V174" s="3"/>
      <c r="W174" s="3"/>
      <c r="X174" s="3"/>
      <c r="Y174" s="3"/>
      <c r="Z174" s="3"/>
    </row>
    <row r="175" spans="1:26" ht="22.5" customHeight="1" x14ac:dyDescent="0.85">
      <c r="A175" s="166"/>
      <c r="B175" s="167"/>
      <c r="C175" s="167"/>
      <c r="D175" s="147"/>
      <c r="E175" s="147"/>
      <c r="F175" s="147"/>
      <c r="G175" s="147"/>
      <c r="H175" s="147"/>
      <c r="I175" s="147"/>
      <c r="J175" s="147"/>
      <c r="K175" s="3"/>
      <c r="L175" s="3"/>
      <c r="M175" s="3"/>
      <c r="N175" s="3"/>
      <c r="O175" s="3"/>
      <c r="P175" s="3"/>
      <c r="Q175" s="3"/>
      <c r="R175" s="3"/>
      <c r="S175" s="3"/>
      <c r="T175" s="3"/>
      <c r="U175" s="3"/>
      <c r="V175" s="3"/>
      <c r="W175" s="3"/>
      <c r="X175" s="3"/>
      <c r="Y175" s="3"/>
      <c r="Z175" s="3"/>
    </row>
    <row r="176" spans="1:26" ht="22.5" customHeight="1" x14ac:dyDescent="0.85">
      <c r="A176" s="166"/>
      <c r="B176" s="167"/>
      <c r="C176" s="167"/>
      <c r="D176" s="147"/>
      <c r="E176" s="147"/>
      <c r="F176" s="147"/>
      <c r="G176" s="147"/>
      <c r="H176" s="147"/>
      <c r="I176" s="147"/>
      <c r="J176" s="147"/>
      <c r="K176" s="3"/>
      <c r="L176" s="3"/>
      <c r="M176" s="3"/>
      <c r="N176" s="3"/>
      <c r="O176" s="3"/>
      <c r="P176" s="3"/>
      <c r="Q176" s="3"/>
      <c r="R176" s="3"/>
      <c r="S176" s="3"/>
      <c r="T176" s="3"/>
      <c r="U176" s="3"/>
      <c r="V176" s="3"/>
      <c r="W176" s="3"/>
      <c r="X176" s="3"/>
      <c r="Y176" s="3"/>
      <c r="Z176" s="3"/>
    </row>
    <row r="177" spans="1:26" ht="22.5" customHeight="1" x14ac:dyDescent="0.85">
      <c r="A177" s="166"/>
      <c r="B177" s="167"/>
      <c r="C177" s="167"/>
      <c r="D177" s="147"/>
      <c r="E177" s="147"/>
      <c r="F177" s="147"/>
      <c r="G177" s="147"/>
      <c r="H177" s="147"/>
      <c r="I177" s="147"/>
      <c r="J177" s="147"/>
      <c r="K177" s="3"/>
      <c r="L177" s="3"/>
      <c r="M177" s="3"/>
      <c r="N177" s="3"/>
      <c r="O177" s="3"/>
      <c r="P177" s="3"/>
      <c r="Q177" s="3"/>
      <c r="R177" s="3"/>
      <c r="S177" s="3"/>
      <c r="T177" s="3"/>
      <c r="U177" s="3"/>
      <c r="V177" s="3"/>
      <c r="W177" s="3"/>
      <c r="X177" s="3"/>
      <c r="Y177" s="3"/>
      <c r="Z177" s="3"/>
    </row>
    <row r="178" spans="1:26" ht="22.5" customHeight="1" x14ac:dyDescent="0.85">
      <c r="A178" s="166"/>
      <c r="B178" s="167"/>
      <c r="C178" s="167"/>
      <c r="D178" s="147"/>
      <c r="E178" s="147"/>
      <c r="F178" s="147"/>
      <c r="G178" s="147"/>
      <c r="H178" s="147"/>
      <c r="I178" s="147"/>
      <c r="J178" s="147"/>
      <c r="K178" s="3"/>
      <c r="L178" s="3"/>
      <c r="M178" s="3"/>
      <c r="N178" s="3"/>
      <c r="O178" s="3"/>
      <c r="P178" s="3"/>
      <c r="Q178" s="3"/>
      <c r="R178" s="3"/>
      <c r="S178" s="3"/>
      <c r="T178" s="3"/>
      <c r="U178" s="3"/>
      <c r="V178" s="3"/>
      <c r="W178" s="3"/>
      <c r="X178" s="3"/>
      <c r="Y178" s="3"/>
      <c r="Z178" s="3"/>
    </row>
    <row r="179" spans="1:26" ht="22.5" customHeight="1" x14ac:dyDescent="0.85">
      <c r="A179" s="166"/>
      <c r="B179" s="167"/>
      <c r="C179" s="167"/>
      <c r="D179" s="147"/>
      <c r="E179" s="147"/>
      <c r="F179" s="147"/>
      <c r="G179" s="147"/>
      <c r="H179" s="147"/>
      <c r="I179" s="147"/>
      <c r="J179" s="147"/>
      <c r="K179" s="3"/>
      <c r="L179" s="3"/>
      <c r="M179" s="3"/>
      <c r="N179" s="3"/>
      <c r="O179" s="3"/>
      <c r="P179" s="3"/>
      <c r="Q179" s="3"/>
      <c r="R179" s="3"/>
      <c r="S179" s="3"/>
      <c r="T179" s="3"/>
      <c r="U179" s="3"/>
      <c r="V179" s="3"/>
      <c r="W179" s="3"/>
      <c r="X179" s="3"/>
      <c r="Y179" s="3"/>
      <c r="Z179" s="3"/>
    </row>
    <row r="180" spans="1:26" ht="22.5" customHeight="1" x14ac:dyDescent="0.85">
      <c r="A180" s="166"/>
      <c r="B180" s="167"/>
      <c r="C180" s="167"/>
      <c r="D180" s="147"/>
      <c r="E180" s="147"/>
      <c r="F180" s="147"/>
      <c r="G180" s="147"/>
      <c r="H180" s="147"/>
      <c r="I180" s="147"/>
      <c r="J180" s="147"/>
      <c r="K180" s="3"/>
      <c r="L180" s="3"/>
      <c r="M180" s="3"/>
      <c r="N180" s="3"/>
      <c r="O180" s="3"/>
      <c r="P180" s="3"/>
      <c r="Q180" s="3"/>
      <c r="R180" s="3"/>
      <c r="S180" s="3"/>
      <c r="T180" s="3"/>
      <c r="U180" s="3"/>
      <c r="V180" s="3"/>
      <c r="W180" s="3"/>
      <c r="X180" s="3"/>
      <c r="Y180" s="3"/>
      <c r="Z180" s="3"/>
    </row>
    <row r="181" spans="1:26" ht="22.5" customHeight="1" x14ac:dyDescent="0.85">
      <c r="A181" s="166"/>
      <c r="B181" s="167"/>
      <c r="C181" s="167"/>
      <c r="D181" s="147"/>
      <c r="E181" s="147"/>
      <c r="F181" s="147"/>
      <c r="G181" s="147"/>
      <c r="H181" s="147"/>
      <c r="I181" s="147"/>
      <c r="J181" s="147"/>
      <c r="K181" s="3"/>
      <c r="L181" s="3"/>
      <c r="M181" s="3"/>
      <c r="N181" s="3"/>
      <c r="O181" s="3"/>
      <c r="P181" s="3"/>
      <c r="Q181" s="3"/>
      <c r="R181" s="3"/>
      <c r="S181" s="3"/>
      <c r="T181" s="3"/>
      <c r="U181" s="3"/>
      <c r="V181" s="3"/>
      <c r="W181" s="3"/>
      <c r="X181" s="3"/>
      <c r="Y181" s="3"/>
      <c r="Z181" s="3"/>
    </row>
    <row r="182" spans="1:26" ht="22.5" customHeight="1" x14ac:dyDescent="0.85">
      <c r="A182" s="166"/>
      <c r="B182" s="167"/>
      <c r="C182" s="167"/>
      <c r="D182" s="147"/>
      <c r="E182" s="147"/>
      <c r="F182" s="147"/>
      <c r="G182" s="147"/>
      <c r="H182" s="147"/>
      <c r="I182" s="147"/>
      <c r="J182" s="147"/>
      <c r="K182" s="3"/>
      <c r="L182" s="3"/>
      <c r="M182" s="3"/>
      <c r="N182" s="3"/>
      <c r="O182" s="3"/>
      <c r="P182" s="3"/>
      <c r="Q182" s="3"/>
      <c r="R182" s="3"/>
      <c r="S182" s="3"/>
      <c r="T182" s="3"/>
      <c r="U182" s="3"/>
      <c r="V182" s="3"/>
      <c r="W182" s="3"/>
      <c r="X182" s="3"/>
      <c r="Y182" s="3"/>
      <c r="Z182" s="3"/>
    </row>
    <row r="183" spans="1:26" ht="22.5" customHeight="1" x14ac:dyDescent="0.85">
      <c r="A183" s="166"/>
      <c r="B183" s="167"/>
      <c r="C183" s="167"/>
      <c r="D183" s="147"/>
      <c r="E183" s="147"/>
      <c r="F183" s="147"/>
      <c r="G183" s="147"/>
      <c r="H183" s="147"/>
      <c r="I183" s="147"/>
      <c r="J183" s="147"/>
      <c r="K183" s="3"/>
      <c r="L183" s="3"/>
      <c r="M183" s="3"/>
      <c r="N183" s="3"/>
      <c r="O183" s="3"/>
      <c r="P183" s="3"/>
      <c r="Q183" s="3"/>
      <c r="R183" s="3"/>
      <c r="S183" s="3"/>
      <c r="T183" s="3"/>
      <c r="U183" s="3"/>
      <c r="V183" s="3"/>
      <c r="W183" s="3"/>
      <c r="X183" s="3"/>
      <c r="Y183" s="3"/>
      <c r="Z183" s="3"/>
    </row>
    <row r="184" spans="1:26" ht="22.5" customHeight="1" x14ac:dyDescent="0.85">
      <c r="A184" s="166"/>
      <c r="B184" s="167"/>
      <c r="C184" s="167"/>
      <c r="D184" s="147"/>
      <c r="E184" s="147"/>
      <c r="F184" s="147"/>
      <c r="G184" s="147"/>
      <c r="H184" s="147"/>
      <c r="I184" s="147"/>
      <c r="J184" s="147"/>
      <c r="K184" s="3"/>
      <c r="L184" s="3"/>
      <c r="M184" s="3"/>
      <c r="N184" s="3"/>
      <c r="O184" s="3"/>
      <c r="P184" s="3"/>
      <c r="Q184" s="3"/>
      <c r="R184" s="3"/>
      <c r="S184" s="3"/>
      <c r="T184" s="3"/>
      <c r="U184" s="3"/>
      <c r="V184" s="3"/>
      <c r="W184" s="3"/>
      <c r="X184" s="3"/>
      <c r="Y184" s="3"/>
      <c r="Z184" s="3"/>
    </row>
    <row r="185" spans="1:26" ht="22.5" customHeight="1" x14ac:dyDescent="0.85">
      <c r="A185" s="166"/>
      <c r="B185" s="167"/>
      <c r="C185" s="167"/>
      <c r="D185" s="147"/>
      <c r="E185" s="147"/>
      <c r="F185" s="147"/>
      <c r="G185" s="147"/>
      <c r="H185" s="147"/>
      <c r="I185" s="147"/>
      <c r="J185" s="147"/>
      <c r="K185" s="3"/>
      <c r="L185" s="3"/>
      <c r="M185" s="3"/>
      <c r="N185" s="3"/>
      <c r="O185" s="3"/>
      <c r="P185" s="3"/>
      <c r="Q185" s="3"/>
      <c r="R185" s="3"/>
      <c r="S185" s="3"/>
      <c r="T185" s="3"/>
      <c r="U185" s="3"/>
      <c r="V185" s="3"/>
      <c r="W185" s="3"/>
      <c r="X185" s="3"/>
      <c r="Y185" s="3"/>
      <c r="Z185" s="3"/>
    </row>
    <row r="186" spans="1:26" ht="22.5" customHeight="1" x14ac:dyDescent="0.85">
      <c r="A186" s="166"/>
      <c r="B186" s="167"/>
      <c r="C186" s="167"/>
      <c r="D186" s="147"/>
      <c r="E186" s="147"/>
      <c r="F186" s="147"/>
      <c r="G186" s="147"/>
      <c r="H186" s="147"/>
      <c r="I186" s="147"/>
      <c r="J186" s="147"/>
      <c r="K186" s="3"/>
      <c r="L186" s="3"/>
      <c r="M186" s="3"/>
      <c r="N186" s="3"/>
      <c r="O186" s="3"/>
      <c r="P186" s="3"/>
      <c r="Q186" s="3"/>
      <c r="R186" s="3"/>
      <c r="S186" s="3"/>
      <c r="T186" s="3"/>
      <c r="U186" s="3"/>
      <c r="V186" s="3"/>
      <c r="W186" s="3"/>
      <c r="X186" s="3"/>
      <c r="Y186" s="3"/>
      <c r="Z186" s="3"/>
    </row>
    <row r="187" spans="1:26" ht="22.5" customHeight="1" x14ac:dyDescent="0.85">
      <c r="A187" s="166"/>
      <c r="B187" s="167"/>
      <c r="C187" s="167"/>
      <c r="D187" s="147"/>
      <c r="E187" s="147"/>
      <c r="F187" s="147"/>
      <c r="G187" s="147"/>
      <c r="H187" s="147"/>
      <c r="I187" s="147"/>
      <c r="J187" s="147"/>
      <c r="K187" s="3"/>
      <c r="L187" s="3"/>
      <c r="M187" s="3"/>
      <c r="N187" s="3"/>
      <c r="O187" s="3"/>
      <c r="P187" s="3"/>
      <c r="Q187" s="3"/>
      <c r="R187" s="3"/>
      <c r="S187" s="3"/>
      <c r="T187" s="3"/>
      <c r="U187" s="3"/>
      <c r="V187" s="3"/>
      <c r="W187" s="3"/>
      <c r="X187" s="3"/>
      <c r="Y187" s="3"/>
      <c r="Z187" s="3"/>
    </row>
    <row r="188" spans="1:26" ht="22.5" customHeight="1" x14ac:dyDescent="0.85">
      <c r="A188" s="166"/>
      <c r="B188" s="167"/>
      <c r="C188" s="167"/>
      <c r="D188" s="147"/>
      <c r="E188" s="147"/>
      <c r="F188" s="147"/>
      <c r="G188" s="147"/>
      <c r="H188" s="147"/>
      <c r="I188" s="147"/>
      <c r="J188" s="147"/>
      <c r="K188" s="3"/>
      <c r="L188" s="3"/>
      <c r="M188" s="3"/>
      <c r="N188" s="3"/>
      <c r="O188" s="3"/>
      <c r="P188" s="3"/>
      <c r="Q188" s="3"/>
      <c r="R188" s="3"/>
      <c r="S188" s="3"/>
      <c r="T188" s="3"/>
      <c r="U188" s="3"/>
      <c r="V188" s="3"/>
      <c r="W188" s="3"/>
      <c r="X188" s="3"/>
      <c r="Y188" s="3"/>
      <c r="Z188" s="3"/>
    </row>
    <row r="189" spans="1:26" ht="22.5" customHeight="1" x14ac:dyDescent="0.85">
      <c r="A189" s="166"/>
      <c r="B189" s="167"/>
      <c r="C189" s="167"/>
      <c r="D189" s="147"/>
      <c r="E189" s="147"/>
      <c r="F189" s="147"/>
      <c r="G189" s="147"/>
      <c r="H189" s="147"/>
      <c r="I189" s="147"/>
      <c r="J189" s="147"/>
      <c r="K189" s="3"/>
      <c r="L189" s="3"/>
      <c r="M189" s="3"/>
      <c r="N189" s="3"/>
      <c r="O189" s="3"/>
      <c r="P189" s="3"/>
      <c r="Q189" s="3"/>
      <c r="R189" s="3"/>
      <c r="S189" s="3"/>
      <c r="T189" s="3"/>
      <c r="U189" s="3"/>
      <c r="V189" s="3"/>
      <c r="W189" s="3"/>
      <c r="X189" s="3"/>
      <c r="Y189" s="3"/>
      <c r="Z189" s="3"/>
    </row>
    <row r="190" spans="1:26" ht="22.5" customHeight="1" x14ac:dyDescent="0.85">
      <c r="A190" s="166"/>
      <c r="B190" s="167"/>
      <c r="C190" s="167"/>
      <c r="D190" s="147"/>
      <c r="E190" s="147"/>
      <c r="F190" s="147"/>
      <c r="G190" s="147"/>
      <c r="H190" s="147"/>
      <c r="I190" s="147"/>
      <c r="J190" s="147"/>
      <c r="K190" s="3"/>
      <c r="L190" s="3"/>
      <c r="M190" s="3"/>
      <c r="N190" s="3"/>
      <c r="O190" s="3"/>
      <c r="P190" s="3"/>
      <c r="Q190" s="3"/>
      <c r="R190" s="3"/>
      <c r="S190" s="3"/>
      <c r="T190" s="3"/>
      <c r="U190" s="3"/>
      <c r="V190" s="3"/>
      <c r="W190" s="3"/>
      <c r="X190" s="3"/>
      <c r="Y190" s="3"/>
      <c r="Z190" s="3"/>
    </row>
    <row r="191" spans="1:26" ht="22.5" customHeight="1" x14ac:dyDescent="0.85">
      <c r="A191" s="166"/>
      <c r="B191" s="167"/>
      <c r="C191" s="167"/>
      <c r="D191" s="147"/>
      <c r="E191" s="147"/>
      <c r="F191" s="147"/>
      <c r="G191" s="147"/>
      <c r="H191" s="147"/>
      <c r="I191" s="147"/>
      <c r="J191" s="147"/>
      <c r="K191" s="3"/>
      <c r="L191" s="3"/>
      <c r="M191" s="3"/>
      <c r="N191" s="3"/>
      <c r="O191" s="3"/>
      <c r="P191" s="3"/>
      <c r="Q191" s="3"/>
      <c r="R191" s="3"/>
      <c r="S191" s="3"/>
      <c r="T191" s="3"/>
      <c r="U191" s="3"/>
      <c r="V191" s="3"/>
      <c r="W191" s="3"/>
      <c r="X191" s="3"/>
      <c r="Y191" s="3"/>
      <c r="Z191" s="3"/>
    </row>
    <row r="192" spans="1:26" ht="22.5" customHeight="1" x14ac:dyDescent="0.85">
      <c r="A192" s="166"/>
      <c r="B192" s="167"/>
      <c r="C192" s="167"/>
      <c r="D192" s="147"/>
      <c r="E192" s="147"/>
      <c r="F192" s="147"/>
      <c r="G192" s="147"/>
      <c r="H192" s="147"/>
      <c r="I192" s="147"/>
      <c r="J192" s="147"/>
      <c r="K192" s="3"/>
      <c r="L192" s="3"/>
      <c r="M192" s="3"/>
      <c r="N192" s="3"/>
      <c r="O192" s="3"/>
      <c r="P192" s="3"/>
      <c r="Q192" s="3"/>
      <c r="R192" s="3"/>
      <c r="S192" s="3"/>
      <c r="T192" s="3"/>
      <c r="U192" s="3"/>
      <c r="V192" s="3"/>
      <c r="W192" s="3"/>
      <c r="X192" s="3"/>
      <c r="Y192" s="3"/>
      <c r="Z192" s="3"/>
    </row>
    <row r="193" spans="1:26" ht="22.5" customHeight="1" x14ac:dyDescent="0.85">
      <c r="A193" s="166"/>
      <c r="B193" s="167"/>
      <c r="C193" s="167"/>
      <c r="D193" s="147"/>
      <c r="E193" s="147"/>
      <c r="F193" s="147"/>
      <c r="G193" s="147"/>
      <c r="H193" s="147"/>
      <c r="I193" s="147"/>
      <c r="J193" s="147"/>
      <c r="K193" s="3"/>
      <c r="L193" s="3"/>
      <c r="M193" s="3"/>
      <c r="N193" s="3"/>
      <c r="O193" s="3"/>
      <c r="P193" s="3"/>
      <c r="Q193" s="3"/>
      <c r="R193" s="3"/>
      <c r="S193" s="3"/>
      <c r="T193" s="3"/>
      <c r="U193" s="3"/>
      <c r="V193" s="3"/>
      <c r="W193" s="3"/>
      <c r="X193" s="3"/>
      <c r="Y193" s="3"/>
      <c r="Z193" s="3"/>
    </row>
    <row r="194" spans="1:26" ht="22.5" customHeight="1" x14ac:dyDescent="0.85">
      <c r="A194" s="166"/>
      <c r="B194" s="167"/>
      <c r="C194" s="167"/>
      <c r="D194" s="147"/>
      <c r="E194" s="147"/>
      <c r="F194" s="147"/>
      <c r="G194" s="147"/>
      <c r="H194" s="147"/>
      <c r="I194" s="147"/>
      <c r="J194" s="147"/>
      <c r="K194" s="3"/>
      <c r="L194" s="3"/>
      <c r="M194" s="3"/>
      <c r="N194" s="3"/>
      <c r="O194" s="3"/>
      <c r="P194" s="3"/>
      <c r="Q194" s="3"/>
      <c r="R194" s="3"/>
      <c r="S194" s="3"/>
      <c r="T194" s="3"/>
      <c r="U194" s="3"/>
      <c r="V194" s="3"/>
      <c r="W194" s="3"/>
      <c r="X194" s="3"/>
      <c r="Y194" s="3"/>
      <c r="Z194" s="3"/>
    </row>
    <row r="195" spans="1:26" ht="22.5" customHeight="1" x14ac:dyDescent="0.85">
      <c r="A195" s="166"/>
      <c r="B195" s="167"/>
      <c r="C195" s="167"/>
      <c r="D195" s="147"/>
      <c r="E195" s="147"/>
      <c r="F195" s="147"/>
      <c r="G195" s="147"/>
      <c r="H195" s="147"/>
      <c r="I195" s="147"/>
      <c r="J195" s="147"/>
      <c r="K195" s="3"/>
      <c r="L195" s="3"/>
      <c r="M195" s="3"/>
      <c r="N195" s="3"/>
      <c r="O195" s="3"/>
      <c r="P195" s="3"/>
      <c r="Q195" s="3"/>
      <c r="R195" s="3"/>
      <c r="S195" s="3"/>
      <c r="T195" s="3"/>
      <c r="U195" s="3"/>
      <c r="V195" s="3"/>
      <c r="W195" s="3"/>
      <c r="X195" s="3"/>
      <c r="Y195" s="3"/>
      <c r="Z195" s="3"/>
    </row>
    <row r="196" spans="1:26" ht="22.5" customHeight="1" x14ac:dyDescent="0.85">
      <c r="A196" s="166"/>
      <c r="B196" s="167"/>
      <c r="C196" s="167"/>
      <c r="D196" s="147"/>
      <c r="E196" s="147"/>
      <c r="F196" s="147"/>
      <c r="G196" s="147"/>
      <c r="H196" s="147"/>
      <c r="I196" s="147"/>
      <c r="J196" s="147"/>
      <c r="K196" s="3"/>
      <c r="L196" s="3"/>
      <c r="M196" s="3"/>
      <c r="N196" s="3"/>
      <c r="O196" s="3"/>
      <c r="P196" s="3"/>
      <c r="Q196" s="3"/>
      <c r="R196" s="3"/>
      <c r="S196" s="3"/>
      <c r="T196" s="3"/>
      <c r="U196" s="3"/>
      <c r="V196" s="3"/>
      <c r="W196" s="3"/>
      <c r="X196" s="3"/>
      <c r="Y196" s="3"/>
      <c r="Z196" s="3"/>
    </row>
    <row r="197" spans="1:26" ht="22.5" customHeight="1" x14ac:dyDescent="0.85">
      <c r="A197" s="166"/>
      <c r="B197" s="167"/>
      <c r="C197" s="167"/>
      <c r="D197" s="147"/>
      <c r="E197" s="147"/>
      <c r="F197" s="147"/>
      <c r="G197" s="147"/>
      <c r="H197" s="147"/>
      <c r="I197" s="147"/>
      <c r="J197" s="147"/>
      <c r="K197" s="3"/>
      <c r="L197" s="3"/>
      <c r="M197" s="3"/>
      <c r="N197" s="3"/>
      <c r="O197" s="3"/>
      <c r="P197" s="3"/>
      <c r="Q197" s="3"/>
      <c r="R197" s="3"/>
      <c r="S197" s="3"/>
      <c r="T197" s="3"/>
      <c r="U197" s="3"/>
      <c r="V197" s="3"/>
      <c r="W197" s="3"/>
      <c r="X197" s="3"/>
      <c r="Y197" s="3"/>
      <c r="Z197" s="3"/>
    </row>
    <row r="198" spans="1:26" ht="22.5" customHeight="1" x14ac:dyDescent="0.85">
      <c r="A198" s="166"/>
      <c r="B198" s="167"/>
      <c r="C198" s="167"/>
      <c r="D198" s="147"/>
      <c r="E198" s="147"/>
      <c r="F198" s="147"/>
      <c r="G198" s="147"/>
      <c r="H198" s="147"/>
      <c r="I198" s="147"/>
      <c r="J198" s="147"/>
      <c r="K198" s="3"/>
      <c r="L198" s="3"/>
      <c r="M198" s="3"/>
      <c r="N198" s="3"/>
      <c r="O198" s="3"/>
      <c r="P198" s="3"/>
      <c r="Q198" s="3"/>
      <c r="R198" s="3"/>
      <c r="S198" s="3"/>
      <c r="T198" s="3"/>
      <c r="U198" s="3"/>
      <c r="V198" s="3"/>
      <c r="W198" s="3"/>
      <c r="X198" s="3"/>
      <c r="Y198" s="3"/>
      <c r="Z198" s="3"/>
    </row>
    <row r="199" spans="1:26" ht="22.5" customHeight="1" x14ac:dyDescent="0.85">
      <c r="A199" s="166"/>
      <c r="B199" s="167"/>
      <c r="C199" s="167"/>
      <c r="D199" s="147"/>
      <c r="E199" s="147"/>
      <c r="F199" s="147"/>
      <c r="G199" s="147"/>
      <c r="H199" s="147"/>
      <c r="I199" s="147"/>
      <c r="J199" s="147"/>
      <c r="K199" s="3"/>
      <c r="L199" s="3"/>
      <c r="M199" s="3"/>
      <c r="N199" s="3"/>
      <c r="O199" s="3"/>
      <c r="P199" s="3"/>
      <c r="Q199" s="3"/>
      <c r="R199" s="3"/>
      <c r="S199" s="3"/>
      <c r="T199" s="3"/>
      <c r="U199" s="3"/>
      <c r="V199" s="3"/>
      <c r="W199" s="3"/>
      <c r="X199" s="3"/>
      <c r="Y199" s="3"/>
      <c r="Z199" s="3"/>
    </row>
    <row r="200" spans="1:26" ht="22.5" customHeight="1" x14ac:dyDescent="0.85">
      <c r="A200" s="166"/>
      <c r="B200" s="167"/>
      <c r="C200" s="167"/>
      <c r="D200" s="147"/>
      <c r="E200" s="147"/>
      <c r="F200" s="147"/>
      <c r="G200" s="147"/>
      <c r="H200" s="147"/>
      <c r="I200" s="147"/>
      <c r="J200" s="147"/>
      <c r="K200" s="3"/>
      <c r="L200" s="3"/>
      <c r="M200" s="3"/>
      <c r="N200" s="3"/>
      <c r="O200" s="3"/>
      <c r="P200" s="3"/>
      <c r="Q200" s="3"/>
      <c r="R200" s="3"/>
      <c r="S200" s="3"/>
      <c r="T200" s="3"/>
      <c r="U200" s="3"/>
      <c r="V200" s="3"/>
      <c r="W200" s="3"/>
      <c r="X200" s="3"/>
      <c r="Y200" s="3"/>
      <c r="Z200" s="3"/>
    </row>
    <row r="201" spans="1:26" ht="22.5" customHeight="1" x14ac:dyDescent="0.85">
      <c r="A201" s="166"/>
      <c r="B201" s="167"/>
      <c r="C201" s="167"/>
      <c r="D201" s="147"/>
      <c r="E201" s="147"/>
      <c r="F201" s="147"/>
      <c r="G201" s="147"/>
      <c r="H201" s="147"/>
      <c r="I201" s="147"/>
      <c r="J201" s="147"/>
      <c r="K201" s="3"/>
      <c r="L201" s="3"/>
      <c r="M201" s="3"/>
      <c r="N201" s="3"/>
      <c r="O201" s="3"/>
      <c r="P201" s="3"/>
      <c r="Q201" s="3"/>
      <c r="R201" s="3"/>
      <c r="S201" s="3"/>
      <c r="T201" s="3"/>
      <c r="U201" s="3"/>
      <c r="V201" s="3"/>
      <c r="W201" s="3"/>
      <c r="X201" s="3"/>
      <c r="Y201" s="3"/>
      <c r="Z201" s="3"/>
    </row>
    <row r="202" spans="1:26" ht="22.5" customHeight="1" x14ac:dyDescent="0.85">
      <c r="A202" s="166"/>
      <c r="B202" s="167"/>
      <c r="C202" s="167"/>
      <c r="D202" s="147"/>
      <c r="E202" s="147"/>
      <c r="F202" s="147"/>
      <c r="G202" s="147"/>
      <c r="H202" s="147"/>
      <c r="I202" s="147"/>
      <c r="J202" s="147"/>
      <c r="K202" s="3"/>
      <c r="L202" s="3"/>
      <c r="M202" s="3"/>
      <c r="N202" s="3"/>
      <c r="O202" s="3"/>
      <c r="P202" s="3"/>
      <c r="Q202" s="3"/>
      <c r="R202" s="3"/>
      <c r="S202" s="3"/>
      <c r="T202" s="3"/>
      <c r="U202" s="3"/>
      <c r="V202" s="3"/>
      <c r="W202" s="3"/>
      <c r="X202" s="3"/>
      <c r="Y202" s="3"/>
      <c r="Z202" s="3"/>
    </row>
    <row r="203" spans="1:26" ht="22.5" customHeight="1" x14ac:dyDescent="0.85">
      <c r="A203" s="166"/>
      <c r="B203" s="167"/>
      <c r="C203" s="167"/>
      <c r="D203" s="147"/>
      <c r="E203" s="147"/>
      <c r="F203" s="147"/>
      <c r="G203" s="147"/>
      <c r="H203" s="147"/>
      <c r="I203" s="147"/>
      <c r="J203" s="147"/>
      <c r="K203" s="3"/>
      <c r="L203" s="3"/>
      <c r="M203" s="3"/>
      <c r="N203" s="3"/>
      <c r="O203" s="3"/>
      <c r="P203" s="3"/>
      <c r="Q203" s="3"/>
      <c r="R203" s="3"/>
      <c r="S203" s="3"/>
      <c r="T203" s="3"/>
      <c r="U203" s="3"/>
      <c r="V203" s="3"/>
      <c r="W203" s="3"/>
      <c r="X203" s="3"/>
      <c r="Y203" s="3"/>
      <c r="Z203" s="3"/>
    </row>
    <row r="204" spans="1:26" ht="22.5" customHeight="1" x14ac:dyDescent="0.85">
      <c r="A204" s="166"/>
      <c r="B204" s="167"/>
      <c r="C204" s="167"/>
      <c r="D204" s="147"/>
      <c r="E204" s="147"/>
      <c r="F204" s="147"/>
      <c r="G204" s="147"/>
      <c r="H204" s="147"/>
      <c r="I204" s="147"/>
      <c r="J204" s="147"/>
      <c r="K204" s="3"/>
      <c r="L204" s="3"/>
      <c r="M204" s="3"/>
      <c r="N204" s="3"/>
      <c r="O204" s="3"/>
      <c r="P204" s="3"/>
      <c r="Q204" s="3"/>
      <c r="R204" s="3"/>
      <c r="S204" s="3"/>
      <c r="T204" s="3"/>
      <c r="U204" s="3"/>
      <c r="V204" s="3"/>
      <c r="W204" s="3"/>
      <c r="X204" s="3"/>
      <c r="Y204" s="3"/>
      <c r="Z204" s="3"/>
    </row>
    <row r="205" spans="1:26" ht="22.5" customHeight="1" x14ac:dyDescent="0.85">
      <c r="A205" s="166"/>
      <c r="B205" s="167"/>
      <c r="C205" s="167"/>
      <c r="D205" s="147"/>
      <c r="E205" s="147"/>
      <c r="F205" s="147"/>
      <c r="G205" s="147"/>
      <c r="H205" s="147"/>
      <c r="I205" s="147"/>
      <c r="J205" s="147"/>
      <c r="K205" s="3"/>
      <c r="L205" s="3"/>
      <c r="M205" s="3"/>
      <c r="N205" s="3"/>
      <c r="O205" s="3"/>
      <c r="P205" s="3"/>
      <c r="Q205" s="3"/>
      <c r="R205" s="3"/>
      <c r="S205" s="3"/>
      <c r="T205" s="3"/>
      <c r="U205" s="3"/>
      <c r="V205" s="3"/>
      <c r="W205" s="3"/>
      <c r="X205" s="3"/>
      <c r="Y205" s="3"/>
      <c r="Z205" s="3"/>
    </row>
    <row r="206" spans="1:26" ht="22.5" customHeight="1" x14ac:dyDescent="0.85">
      <c r="A206" s="166"/>
      <c r="B206" s="167"/>
      <c r="C206" s="167"/>
      <c r="D206" s="147"/>
      <c r="E206" s="147"/>
      <c r="F206" s="147"/>
      <c r="G206" s="147"/>
      <c r="H206" s="147"/>
      <c r="I206" s="147"/>
      <c r="J206" s="147"/>
      <c r="K206" s="3"/>
      <c r="L206" s="3"/>
      <c r="M206" s="3"/>
      <c r="N206" s="3"/>
      <c r="O206" s="3"/>
      <c r="P206" s="3"/>
      <c r="Q206" s="3"/>
      <c r="R206" s="3"/>
      <c r="S206" s="3"/>
      <c r="T206" s="3"/>
      <c r="U206" s="3"/>
      <c r="V206" s="3"/>
      <c r="W206" s="3"/>
      <c r="X206" s="3"/>
      <c r="Y206" s="3"/>
      <c r="Z206" s="3"/>
    </row>
    <row r="207" spans="1:26" ht="22.5" customHeight="1" x14ac:dyDescent="0.85">
      <c r="A207" s="166"/>
      <c r="B207" s="167"/>
      <c r="C207" s="167"/>
      <c r="D207" s="147"/>
      <c r="E207" s="147"/>
      <c r="F207" s="147"/>
      <c r="G207" s="147"/>
      <c r="H207" s="147"/>
      <c r="I207" s="147"/>
      <c r="J207" s="147"/>
      <c r="K207" s="3"/>
      <c r="L207" s="3"/>
      <c r="M207" s="3"/>
      <c r="N207" s="3"/>
      <c r="O207" s="3"/>
      <c r="P207" s="3"/>
      <c r="Q207" s="3"/>
      <c r="R207" s="3"/>
      <c r="S207" s="3"/>
      <c r="T207" s="3"/>
      <c r="U207" s="3"/>
      <c r="V207" s="3"/>
      <c r="W207" s="3"/>
      <c r="X207" s="3"/>
      <c r="Y207" s="3"/>
      <c r="Z207" s="3"/>
    </row>
    <row r="208" spans="1:26" ht="22.5" customHeight="1" x14ac:dyDescent="0.85">
      <c r="A208" s="166"/>
      <c r="B208" s="167"/>
      <c r="C208" s="167"/>
      <c r="D208" s="147"/>
      <c r="E208" s="147"/>
      <c r="F208" s="147"/>
      <c r="G208" s="147"/>
      <c r="H208" s="147"/>
      <c r="I208" s="147"/>
      <c r="J208" s="147"/>
      <c r="K208" s="3"/>
      <c r="L208" s="3"/>
      <c r="M208" s="3"/>
      <c r="N208" s="3"/>
      <c r="O208" s="3"/>
      <c r="P208" s="3"/>
      <c r="Q208" s="3"/>
      <c r="R208" s="3"/>
      <c r="S208" s="3"/>
      <c r="T208" s="3"/>
      <c r="U208" s="3"/>
      <c r="V208" s="3"/>
      <c r="W208" s="3"/>
      <c r="X208" s="3"/>
      <c r="Y208" s="3"/>
      <c r="Z208" s="3"/>
    </row>
    <row r="209" spans="1:26" ht="22.5" customHeight="1" x14ac:dyDescent="0.85">
      <c r="A209" s="166"/>
      <c r="B209" s="167"/>
      <c r="C209" s="167"/>
      <c r="D209" s="147"/>
      <c r="E209" s="147"/>
      <c r="F209" s="147"/>
      <c r="G209" s="147"/>
      <c r="H209" s="147"/>
      <c r="I209" s="147"/>
      <c r="J209" s="147"/>
      <c r="K209" s="3"/>
      <c r="L209" s="3"/>
      <c r="M209" s="3"/>
      <c r="N209" s="3"/>
      <c r="O209" s="3"/>
      <c r="P209" s="3"/>
      <c r="Q209" s="3"/>
      <c r="R209" s="3"/>
      <c r="S209" s="3"/>
      <c r="T209" s="3"/>
      <c r="U209" s="3"/>
      <c r="V209" s="3"/>
      <c r="W209" s="3"/>
      <c r="X209" s="3"/>
      <c r="Y209" s="3"/>
      <c r="Z209" s="3"/>
    </row>
    <row r="210" spans="1:26" ht="22.5" customHeight="1" x14ac:dyDescent="0.85">
      <c r="A210" s="166"/>
      <c r="B210" s="167"/>
      <c r="C210" s="167"/>
      <c r="D210" s="147"/>
      <c r="E210" s="147"/>
      <c r="F210" s="147"/>
      <c r="G210" s="147"/>
      <c r="H210" s="147"/>
      <c r="I210" s="147"/>
      <c r="J210" s="147"/>
      <c r="K210" s="3"/>
      <c r="L210" s="3"/>
      <c r="M210" s="3"/>
      <c r="N210" s="3"/>
      <c r="O210" s="3"/>
      <c r="P210" s="3"/>
      <c r="Q210" s="3"/>
      <c r="R210" s="3"/>
      <c r="S210" s="3"/>
      <c r="T210" s="3"/>
      <c r="U210" s="3"/>
      <c r="V210" s="3"/>
      <c r="W210" s="3"/>
      <c r="X210" s="3"/>
      <c r="Y210" s="3"/>
      <c r="Z210" s="3"/>
    </row>
    <row r="211" spans="1:26" ht="22.5" customHeight="1" x14ac:dyDescent="0.85">
      <c r="A211" s="166"/>
      <c r="B211" s="167"/>
      <c r="C211" s="167"/>
      <c r="D211" s="147"/>
      <c r="E211" s="147"/>
      <c r="F211" s="147"/>
      <c r="G211" s="147"/>
      <c r="H211" s="147"/>
      <c r="I211" s="147"/>
      <c r="J211" s="147"/>
      <c r="K211" s="3"/>
      <c r="L211" s="3"/>
      <c r="M211" s="3"/>
      <c r="N211" s="3"/>
      <c r="O211" s="3"/>
      <c r="P211" s="3"/>
      <c r="Q211" s="3"/>
      <c r="R211" s="3"/>
      <c r="S211" s="3"/>
      <c r="T211" s="3"/>
      <c r="U211" s="3"/>
      <c r="V211" s="3"/>
      <c r="W211" s="3"/>
      <c r="X211" s="3"/>
      <c r="Y211" s="3"/>
      <c r="Z211" s="3"/>
    </row>
    <row r="212" spans="1:26" ht="22.5" customHeight="1" x14ac:dyDescent="0.85">
      <c r="A212" s="166"/>
      <c r="B212" s="167"/>
      <c r="C212" s="167"/>
      <c r="D212" s="147"/>
      <c r="E212" s="147"/>
      <c r="F212" s="147"/>
      <c r="G212" s="147"/>
      <c r="H212" s="147"/>
      <c r="I212" s="147"/>
      <c r="J212" s="147"/>
      <c r="K212" s="3"/>
      <c r="L212" s="3"/>
      <c r="M212" s="3"/>
      <c r="N212" s="3"/>
      <c r="O212" s="3"/>
      <c r="P212" s="3"/>
      <c r="Q212" s="3"/>
      <c r="R212" s="3"/>
      <c r="S212" s="3"/>
      <c r="T212" s="3"/>
      <c r="U212" s="3"/>
      <c r="V212" s="3"/>
      <c r="W212" s="3"/>
      <c r="X212" s="3"/>
      <c r="Y212" s="3"/>
      <c r="Z212" s="3"/>
    </row>
    <row r="213" spans="1:26" ht="22.5" customHeight="1" x14ac:dyDescent="0.85">
      <c r="A213" s="166"/>
      <c r="B213" s="167"/>
      <c r="C213" s="167"/>
      <c r="D213" s="147"/>
      <c r="E213" s="147"/>
      <c r="F213" s="147"/>
      <c r="G213" s="147"/>
      <c r="H213" s="147"/>
      <c r="I213" s="147"/>
      <c r="J213" s="147"/>
      <c r="K213" s="3"/>
      <c r="L213" s="3"/>
      <c r="M213" s="3"/>
      <c r="N213" s="3"/>
      <c r="O213" s="3"/>
      <c r="P213" s="3"/>
      <c r="Q213" s="3"/>
      <c r="R213" s="3"/>
      <c r="S213" s="3"/>
      <c r="T213" s="3"/>
      <c r="U213" s="3"/>
      <c r="V213" s="3"/>
      <c r="W213" s="3"/>
      <c r="X213" s="3"/>
      <c r="Y213" s="3"/>
      <c r="Z213" s="3"/>
    </row>
    <row r="214" spans="1:26" ht="22.5" customHeight="1" x14ac:dyDescent="0.85">
      <c r="A214" s="166"/>
      <c r="B214" s="167"/>
      <c r="C214" s="167"/>
      <c r="D214" s="147"/>
      <c r="E214" s="147"/>
      <c r="F214" s="147"/>
      <c r="G214" s="147"/>
      <c r="H214" s="147"/>
      <c r="I214" s="147"/>
      <c r="J214" s="147"/>
      <c r="K214" s="3"/>
      <c r="L214" s="3"/>
      <c r="M214" s="3"/>
      <c r="N214" s="3"/>
      <c r="O214" s="3"/>
      <c r="P214" s="3"/>
      <c r="Q214" s="3"/>
      <c r="R214" s="3"/>
      <c r="S214" s="3"/>
      <c r="T214" s="3"/>
      <c r="U214" s="3"/>
      <c r="V214" s="3"/>
      <c r="W214" s="3"/>
      <c r="X214" s="3"/>
      <c r="Y214" s="3"/>
      <c r="Z214" s="3"/>
    </row>
    <row r="215" spans="1:26" ht="22.5" customHeight="1" x14ac:dyDescent="0.85">
      <c r="A215" s="166"/>
      <c r="B215" s="167"/>
      <c r="C215" s="167"/>
      <c r="D215" s="147"/>
      <c r="E215" s="147"/>
      <c r="F215" s="147"/>
      <c r="G215" s="147"/>
      <c r="H215" s="147"/>
      <c r="I215" s="147"/>
      <c r="J215" s="147"/>
      <c r="K215" s="3"/>
      <c r="L215" s="3"/>
      <c r="M215" s="3"/>
      <c r="N215" s="3"/>
      <c r="O215" s="3"/>
      <c r="P215" s="3"/>
      <c r="Q215" s="3"/>
      <c r="R215" s="3"/>
      <c r="S215" s="3"/>
      <c r="T215" s="3"/>
      <c r="U215" s="3"/>
      <c r="V215" s="3"/>
      <c r="W215" s="3"/>
      <c r="X215" s="3"/>
      <c r="Y215" s="3"/>
      <c r="Z215" s="3"/>
    </row>
    <row r="216" spans="1:26" ht="22.5" customHeight="1" x14ac:dyDescent="0.85">
      <c r="A216" s="166"/>
      <c r="B216" s="167"/>
      <c r="C216" s="167"/>
      <c r="D216" s="147"/>
      <c r="E216" s="147"/>
      <c r="F216" s="147"/>
      <c r="G216" s="147"/>
      <c r="H216" s="147"/>
      <c r="I216" s="147"/>
      <c r="J216" s="147"/>
      <c r="K216" s="3"/>
      <c r="L216" s="3"/>
      <c r="M216" s="3"/>
      <c r="N216" s="3"/>
      <c r="O216" s="3"/>
      <c r="P216" s="3"/>
      <c r="Q216" s="3"/>
      <c r="R216" s="3"/>
      <c r="S216" s="3"/>
      <c r="T216" s="3"/>
      <c r="U216" s="3"/>
      <c r="V216" s="3"/>
      <c r="W216" s="3"/>
      <c r="X216" s="3"/>
      <c r="Y216" s="3"/>
      <c r="Z216" s="3"/>
    </row>
    <row r="217" spans="1:26" ht="22.5" customHeight="1" x14ac:dyDescent="0.85">
      <c r="A217" s="166"/>
      <c r="B217" s="167"/>
      <c r="C217" s="167"/>
      <c r="D217" s="147"/>
      <c r="E217" s="147"/>
      <c r="F217" s="147"/>
      <c r="G217" s="147"/>
      <c r="H217" s="147"/>
      <c r="I217" s="147"/>
      <c r="J217" s="147"/>
      <c r="K217" s="3"/>
      <c r="L217" s="3"/>
      <c r="M217" s="3"/>
      <c r="N217" s="3"/>
      <c r="O217" s="3"/>
      <c r="P217" s="3"/>
      <c r="Q217" s="3"/>
      <c r="R217" s="3"/>
      <c r="S217" s="3"/>
      <c r="T217" s="3"/>
      <c r="U217" s="3"/>
      <c r="V217" s="3"/>
      <c r="W217" s="3"/>
      <c r="X217" s="3"/>
      <c r="Y217" s="3"/>
      <c r="Z217" s="3"/>
    </row>
    <row r="218" spans="1:26" ht="22.5" customHeight="1" x14ac:dyDescent="0.85">
      <c r="A218" s="166"/>
      <c r="B218" s="167"/>
      <c r="C218" s="167"/>
      <c r="D218" s="147"/>
      <c r="E218" s="147"/>
      <c r="F218" s="147"/>
      <c r="G218" s="147"/>
      <c r="H218" s="147"/>
      <c r="I218" s="147"/>
      <c r="J218" s="147"/>
      <c r="K218" s="3"/>
      <c r="L218" s="3"/>
      <c r="M218" s="3"/>
      <c r="N218" s="3"/>
      <c r="O218" s="3"/>
      <c r="P218" s="3"/>
      <c r="Q218" s="3"/>
      <c r="R218" s="3"/>
      <c r="S218" s="3"/>
      <c r="T218" s="3"/>
      <c r="U218" s="3"/>
      <c r="V218" s="3"/>
      <c r="W218" s="3"/>
      <c r="X218" s="3"/>
      <c r="Y218" s="3"/>
      <c r="Z218" s="3"/>
    </row>
    <row r="219" spans="1:26" ht="22.5" customHeight="1" x14ac:dyDescent="0.85">
      <c r="A219" s="166"/>
      <c r="B219" s="167"/>
      <c r="C219" s="167"/>
      <c r="D219" s="147"/>
      <c r="E219" s="147"/>
      <c r="F219" s="147"/>
      <c r="G219" s="147"/>
      <c r="H219" s="147"/>
      <c r="I219" s="147"/>
      <c r="J219" s="147"/>
      <c r="K219" s="3"/>
      <c r="L219" s="3"/>
      <c r="M219" s="3"/>
      <c r="N219" s="3"/>
      <c r="O219" s="3"/>
      <c r="P219" s="3"/>
      <c r="Q219" s="3"/>
      <c r="R219" s="3"/>
      <c r="S219" s="3"/>
      <c r="T219" s="3"/>
      <c r="U219" s="3"/>
      <c r="V219" s="3"/>
      <c r="W219" s="3"/>
      <c r="X219" s="3"/>
      <c r="Y219" s="3"/>
      <c r="Z219" s="3"/>
    </row>
    <row r="220" spans="1:26" ht="22.5" customHeight="1" x14ac:dyDescent="0.85">
      <c r="A220" s="166"/>
      <c r="B220" s="167"/>
      <c r="C220" s="167"/>
      <c r="D220" s="147"/>
      <c r="E220" s="147"/>
      <c r="F220" s="147"/>
      <c r="G220" s="147"/>
      <c r="H220" s="147"/>
      <c r="I220" s="147"/>
      <c r="J220" s="147"/>
      <c r="K220" s="3"/>
      <c r="L220" s="3"/>
      <c r="M220" s="3"/>
      <c r="N220" s="3"/>
      <c r="O220" s="3"/>
      <c r="P220" s="3"/>
      <c r="Q220" s="3"/>
      <c r="R220" s="3"/>
      <c r="S220" s="3"/>
      <c r="T220" s="3"/>
      <c r="U220" s="3"/>
      <c r="V220" s="3"/>
      <c r="W220" s="3"/>
      <c r="X220" s="3"/>
      <c r="Y220" s="3"/>
      <c r="Z220" s="3"/>
    </row>
    <row r="221" spans="1:26" ht="22.5" customHeight="1" x14ac:dyDescent="0.85">
      <c r="A221" s="166"/>
      <c r="B221" s="167"/>
      <c r="C221" s="167"/>
      <c r="D221" s="147"/>
      <c r="E221" s="147"/>
      <c r="F221" s="147"/>
      <c r="G221" s="147"/>
      <c r="H221" s="147"/>
      <c r="I221" s="147"/>
      <c r="J221" s="147"/>
      <c r="K221" s="3"/>
      <c r="L221" s="3"/>
      <c r="M221" s="3"/>
      <c r="N221" s="3"/>
      <c r="O221" s="3"/>
      <c r="P221" s="3"/>
      <c r="Q221" s="3"/>
      <c r="R221" s="3"/>
      <c r="S221" s="3"/>
      <c r="T221" s="3"/>
      <c r="U221" s="3"/>
      <c r="V221" s="3"/>
      <c r="W221" s="3"/>
      <c r="X221" s="3"/>
      <c r="Y221" s="3"/>
      <c r="Z221" s="3"/>
    </row>
    <row r="222" spans="1:26" ht="22.5" customHeight="1" x14ac:dyDescent="0.85">
      <c r="A222" s="166"/>
      <c r="B222" s="167"/>
      <c r="C222" s="167"/>
      <c r="D222" s="147"/>
      <c r="E222" s="147"/>
      <c r="F222" s="147"/>
      <c r="G222" s="147"/>
      <c r="H222" s="147"/>
      <c r="I222" s="147"/>
      <c r="J222" s="147"/>
      <c r="K222" s="3"/>
      <c r="L222" s="3"/>
      <c r="M222" s="3"/>
      <c r="N222" s="3"/>
      <c r="O222" s="3"/>
      <c r="P222" s="3"/>
      <c r="Q222" s="3"/>
      <c r="R222" s="3"/>
      <c r="S222" s="3"/>
      <c r="T222" s="3"/>
      <c r="U222" s="3"/>
      <c r="V222" s="3"/>
      <c r="W222" s="3"/>
      <c r="X222" s="3"/>
      <c r="Y222" s="3"/>
      <c r="Z222" s="3"/>
    </row>
    <row r="223" spans="1:26" ht="22.5" customHeight="1" x14ac:dyDescent="0.85">
      <c r="A223" s="166"/>
      <c r="B223" s="167"/>
      <c r="C223" s="167"/>
      <c r="D223" s="147"/>
      <c r="E223" s="147"/>
      <c r="F223" s="147"/>
      <c r="G223" s="147"/>
      <c r="H223" s="147"/>
      <c r="I223" s="147"/>
      <c r="J223" s="147"/>
      <c r="K223" s="3"/>
      <c r="L223" s="3"/>
      <c r="M223" s="3"/>
      <c r="N223" s="3"/>
      <c r="O223" s="3"/>
      <c r="P223" s="3"/>
      <c r="Q223" s="3"/>
      <c r="R223" s="3"/>
      <c r="S223" s="3"/>
      <c r="T223" s="3"/>
      <c r="U223" s="3"/>
      <c r="V223" s="3"/>
      <c r="W223" s="3"/>
      <c r="X223" s="3"/>
      <c r="Y223" s="3"/>
      <c r="Z223" s="3"/>
    </row>
    <row r="224" spans="1:26" ht="22.5" customHeight="1" x14ac:dyDescent="0.85">
      <c r="A224" s="166"/>
      <c r="B224" s="167"/>
      <c r="C224" s="167"/>
      <c r="D224" s="147"/>
      <c r="E224" s="147"/>
      <c r="F224" s="147"/>
      <c r="G224" s="147"/>
      <c r="H224" s="147"/>
      <c r="I224" s="147"/>
      <c r="J224" s="147"/>
      <c r="K224" s="3"/>
      <c r="L224" s="3"/>
      <c r="M224" s="3"/>
      <c r="N224" s="3"/>
      <c r="O224" s="3"/>
      <c r="P224" s="3"/>
      <c r="Q224" s="3"/>
      <c r="R224" s="3"/>
      <c r="S224" s="3"/>
      <c r="T224" s="3"/>
      <c r="U224" s="3"/>
      <c r="V224" s="3"/>
      <c r="W224" s="3"/>
      <c r="X224" s="3"/>
      <c r="Y224" s="3"/>
      <c r="Z224" s="3"/>
    </row>
    <row r="225" spans="1:26" ht="22.5" customHeight="1" x14ac:dyDescent="0.85">
      <c r="A225" s="166"/>
      <c r="B225" s="167"/>
      <c r="C225" s="167"/>
      <c r="D225" s="147"/>
      <c r="E225" s="147"/>
      <c r="F225" s="147"/>
      <c r="G225" s="147"/>
      <c r="H225" s="147"/>
      <c r="I225" s="147"/>
      <c r="J225" s="147"/>
      <c r="K225" s="3"/>
      <c r="L225" s="3"/>
      <c r="M225" s="3"/>
      <c r="N225" s="3"/>
      <c r="O225" s="3"/>
      <c r="P225" s="3"/>
      <c r="Q225" s="3"/>
      <c r="R225" s="3"/>
      <c r="S225" s="3"/>
      <c r="T225" s="3"/>
      <c r="U225" s="3"/>
      <c r="V225" s="3"/>
      <c r="W225" s="3"/>
      <c r="X225" s="3"/>
      <c r="Y225" s="3"/>
      <c r="Z225" s="3"/>
    </row>
    <row r="226" spans="1:26" ht="22.5" customHeight="1" x14ac:dyDescent="0.85">
      <c r="A226" s="166"/>
      <c r="B226" s="167"/>
      <c r="C226" s="167"/>
      <c r="D226" s="147"/>
      <c r="E226" s="147"/>
      <c r="F226" s="147"/>
      <c r="G226" s="147"/>
      <c r="H226" s="147"/>
      <c r="I226" s="147"/>
      <c r="J226" s="147"/>
      <c r="K226" s="3"/>
      <c r="L226" s="3"/>
      <c r="M226" s="3"/>
      <c r="N226" s="3"/>
      <c r="O226" s="3"/>
      <c r="P226" s="3"/>
      <c r="Q226" s="3"/>
      <c r="R226" s="3"/>
      <c r="S226" s="3"/>
      <c r="T226" s="3"/>
      <c r="U226" s="3"/>
      <c r="V226" s="3"/>
      <c r="W226" s="3"/>
      <c r="X226" s="3"/>
      <c r="Y226" s="3"/>
      <c r="Z226" s="3"/>
    </row>
    <row r="227" spans="1:26" ht="22.5" customHeight="1" x14ac:dyDescent="0.85">
      <c r="A227" s="166"/>
      <c r="B227" s="167"/>
      <c r="C227" s="167"/>
      <c r="D227" s="147"/>
      <c r="E227" s="147"/>
      <c r="F227" s="147"/>
      <c r="G227" s="147"/>
      <c r="H227" s="147"/>
      <c r="I227" s="147"/>
      <c r="J227" s="147"/>
      <c r="K227" s="3"/>
      <c r="L227" s="3"/>
      <c r="M227" s="3"/>
      <c r="N227" s="3"/>
      <c r="O227" s="3"/>
      <c r="P227" s="3"/>
      <c r="Q227" s="3"/>
      <c r="R227" s="3"/>
      <c r="S227" s="3"/>
      <c r="T227" s="3"/>
      <c r="U227" s="3"/>
      <c r="V227" s="3"/>
      <c r="W227" s="3"/>
      <c r="X227" s="3"/>
      <c r="Y227" s="3"/>
      <c r="Z227" s="3"/>
    </row>
    <row r="228" spans="1:26" ht="22.5" customHeight="1" x14ac:dyDescent="0.85">
      <c r="A228" s="166"/>
      <c r="B228" s="167"/>
      <c r="C228" s="167"/>
      <c r="D228" s="147"/>
      <c r="E228" s="147"/>
      <c r="F228" s="147"/>
      <c r="G228" s="147"/>
      <c r="H228" s="147"/>
      <c r="I228" s="147"/>
      <c r="J228" s="147"/>
      <c r="K228" s="3"/>
      <c r="L228" s="3"/>
      <c r="M228" s="3"/>
      <c r="N228" s="3"/>
      <c r="O228" s="3"/>
      <c r="P228" s="3"/>
      <c r="Q228" s="3"/>
      <c r="R228" s="3"/>
      <c r="S228" s="3"/>
      <c r="T228" s="3"/>
      <c r="U228" s="3"/>
      <c r="V228" s="3"/>
      <c r="W228" s="3"/>
      <c r="X228" s="3"/>
      <c r="Y228" s="3"/>
      <c r="Z228" s="3"/>
    </row>
    <row r="229" spans="1:26" ht="22.5" customHeight="1" x14ac:dyDescent="0.85">
      <c r="A229" s="166"/>
      <c r="B229" s="167"/>
      <c r="C229" s="167"/>
      <c r="D229" s="147"/>
      <c r="E229" s="147"/>
      <c r="F229" s="147"/>
      <c r="G229" s="147"/>
      <c r="H229" s="147"/>
      <c r="I229" s="147"/>
      <c r="J229" s="147"/>
      <c r="K229" s="3"/>
      <c r="L229" s="3"/>
      <c r="M229" s="3"/>
      <c r="N229" s="3"/>
      <c r="O229" s="3"/>
      <c r="P229" s="3"/>
      <c r="Q229" s="3"/>
      <c r="R229" s="3"/>
      <c r="S229" s="3"/>
      <c r="T229" s="3"/>
      <c r="U229" s="3"/>
      <c r="V229" s="3"/>
      <c r="W229" s="3"/>
      <c r="X229" s="3"/>
      <c r="Y229" s="3"/>
      <c r="Z229" s="3"/>
    </row>
    <row r="230" spans="1:26" ht="22.5" customHeight="1" x14ac:dyDescent="0.85">
      <c r="A230" s="166"/>
      <c r="B230" s="167"/>
      <c r="C230" s="167"/>
      <c r="D230" s="147"/>
      <c r="E230" s="147"/>
      <c r="F230" s="147"/>
      <c r="G230" s="147"/>
      <c r="H230" s="147"/>
      <c r="I230" s="147"/>
      <c r="J230" s="147"/>
      <c r="K230" s="3"/>
      <c r="L230" s="3"/>
      <c r="M230" s="3"/>
      <c r="N230" s="3"/>
      <c r="O230" s="3"/>
      <c r="P230" s="3"/>
      <c r="Q230" s="3"/>
      <c r="R230" s="3"/>
      <c r="S230" s="3"/>
      <c r="T230" s="3"/>
      <c r="U230" s="3"/>
      <c r="V230" s="3"/>
      <c r="W230" s="3"/>
      <c r="X230" s="3"/>
      <c r="Y230" s="3"/>
      <c r="Z230" s="3"/>
    </row>
    <row r="231" spans="1:26" ht="22.5" customHeight="1" x14ac:dyDescent="0.85">
      <c r="A231" s="166"/>
      <c r="B231" s="167"/>
      <c r="C231" s="167"/>
      <c r="D231" s="147"/>
      <c r="E231" s="147"/>
      <c r="F231" s="147"/>
      <c r="G231" s="147"/>
      <c r="H231" s="147"/>
      <c r="I231" s="147"/>
      <c r="J231" s="147"/>
      <c r="K231" s="3"/>
      <c r="L231" s="3"/>
      <c r="M231" s="3"/>
      <c r="N231" s="3"/>
      <c r="O231" s="3"/>
      <c r="P231" s="3"/>
      <c r="Q231" s="3"/>
      <c r="R231" s="3"/>
      <c r="S231" s="3"/>
      <c r="T231" s="3"/>
      <c r="U231" s="3"/>
      <c r="V231" s="3"/>
      <c r="W231" s="3"/>
      <c r="X231" s="3"/>
      <c r="Y231" s="3"/>
      <c r="Z231" s="3"/>
    </row>
    <row r="232" spans="1:26" ht="22.5" customHeight="1" x14ac:dyDescent="0.85">
      <c r="A232" s="166"/>
      <c r="B232" s="167"/>
      <c r="C232" s="167"/>
      <c r="D232" s="147"/>
      <c r="E232" s="147"/>
      <c r="F232" s="147"/>
      <c r="G232" s="147"/>
      <c r="H232" s="147"/>
      <c r="I232" s="147"/>
      <c r="J232" s="147"/>
      <c r="K232" s="3"/>
      <c r="L232" s="3"/>
      <c r="M232" s="3"/>
      <c r="N232" s="3"/>
      <c r="O232" s="3"/>
      <c r="P232" s="3"/>
      <c r="Q232" s="3"/>
      <c r="R232" s="3"/>
      <c r="S232" s="3"/>
      <c r="T232" s="3"/>
      <c r="U232" s="3"/>
      <c r="V232" s="3"/>
      <c r="W232" s="3"/>
      <c r="X232" s="3"/>
      <c r="Y232" s="3"/>
      <c r="Z232" s="3"/>
    </row>
    <row r="233" spans="1:26" ht="22.5" customHeight="1" x14ac:dyDescent="0.85">
      <c r="A233" s="166"/>
      <c r="B233" s="167"/>
      <c r="C233" s="167"/>
      <c r="D233" s="147"/>
      <c r="E233" s="147"/>
      <c r="F233" s="147"/>
      <c r="G233" s="147"/>
      <c r="H233" s="147"/>
      <c r="I233" s="147"/>
      <c r="J233" s="147"/>
      <c r="K233" s="3"/>
      <c r="L233" s="3"/>
      <c r="M233" s="3"/>
      <c r="N233" s="3"/>
      <c r="O233" s="3"/>
      <c r="P233" s="3"/>
      <c r="Q233" s="3"/>
      <c r="R233" s="3"/>
      <c r="S233" s="3"/>
      <c r="T233" s="3"/>
      <c r="U233" s="3"/>
      <c r="V233" s="3"/>
      <c r="W233" s="3"/>
      <c r="X233" s="3"/>
      <c r="Y233" s="3"/>
      <c r="Z233" s="3"/>
    </row>
    <row r="234" spans="1:26" ht="22.5" customHeight="1" x14ac:dyDescent="0.85">
      <c r="A234" s="166"/>
      <c r="B234" s="167"/>
      <c r="C234" s="167"/>
      <c r="D234" s="147"/>
      <c r="E234" s="147"/>
      <c r="F234" s="147"/>
      <c r="G234" s="147"/>
      <c r="H234" s="147"/>
      <c r="I234" s="147"/>
      <c r="J234" s="147"/>
      <c r="K234" s="3"/>
      <c r="L234" s="3"/>
      <c r="M234" s="3"/>
      <c r="N234" s="3"/>
      <c r="O234" s="3"/>
      <c r="P234" s="3"/>
      <c r="Q234" s="3"/>
      <c r="R234" s="3"/>
      <c r="S234" s="3"/>
      <c r="T234" s="3"/>
      <c r="U234" s="3"/>
      <c r="V234" s="3"/>
      <c r="W234" s="3"/>
      <c r="X234" s="3"/>
      <c r="Y234" s="3"/>
      <c r="Z234" s="3"/>
    </row>
    <row r="235" spans="1:26" ht="22.5" customHeight="1" x14ac:dyDescent="0.85">
      <c r="A235" s="166"/>
      <c r="B235" s="167"/>
      <c r="C235" s="167"/>
      <c r="D235" s="147"/>
      <c r="E235" s="147"/>
      <c r="F235" s="147"/>
      <c r="G235" s="147"/>
      <c r="H235" s="147"/>
      <c r="I235" s="147"/>
      <c r="J235" s="147"/>
      <c r="K235" s="3"/>
      <c r="L235" s="3"/>
      <c r="M235" s="3"/>
      <c r="N235" s="3"/>
      <c r="O235" s="3"/>
      <c r="P235" s="3"/>
      <c r="Q235" s="3"/>
      <c r="R235" s="3"/>
      <c r="S235" s="3"/>
      <c r="T235" s="3"/>
      <c r="U235" s="3"/>
      <c r="V235" s="3"/>
      <c r="W235" s="3"/>
      <c r="X235" s="3"/>
      <c r="Y235" s="3"/>
      <c r="Z235" s="3"/>
    </row>
    <row r="236" spans="1:26" ht="22.5" customHeight="1" x14ac:dyDescent="0.85">
      <c r="A236" s="166"/>
      <c r="B236" s="167"/>
      <c r="C236" s="167"/>
      <c r="D236" s="147"/>
      <c r="E236" s="147"/>
      <c r="F236" s="147"/>
      <c r="G236" s="147"/>
      <c r="H236" s="147"/>
      <c r="I236" s="147"/>
      <c r="J236" s="147"/>
      <c r="K236" s="3"/>
      <c r="L236" s="3"/>
      <c r="M236" s="3"/>
      <c r="N236" s="3"/>
      <c r="O236" s="3"/>
      <c r="P236" s="3"/>
      <c r="Q236" s="3"/>
      <c r="R236" s="3"/>
      <c r="S236" s="3"/>
      <c r="T236" s="3"/>
      <c r="U236" s="3"/>
      <c r="V236" s="3"/>
      <c r="W236" s="3"/>
      <c r="X236" s="3"/>
      <c r="Y236" s="3"/>
      <c r="Z236" s="3"/>
    </row>
    <row r="237" spans="1:26" ht="22.5" customHeight="1" x14ac:dyDescent="0.85">
      <c r="A237" s="166"/>
      <c r="B237" s="167"/>
      <c r="C237" s="167"/>
      <c r="D237" s="147"/>
      <c r="E237" s="147"/>
      <c r="F237" s="147"/>
      <c r="G237" s="147"/>
      <c r="H237" s="147"/>
      <c r="I237" s="147"/>
      <c r="J237" s="147"/>
      <c r="K237" s="3"/>
      <c r="L237" s="3"/>
      <c r="M237" s="3"/>
      <c r="N237" s="3"/>
      <c r="O237" s="3"/>
      <c r="P237" s="3"/>
      <c r="Q237" s="3"/>
      <c r="R237" s="3"/>
      <c r="S237" s="3"/>
      <c r="T237" s="3"/>
      <c r="U237" s="3"/>
      <c r="V237" s="3"/>
      <c r="W237" s="3"/>
      <c r="X237" s="3"/>
      <c r="Y237" s="3"/>
      <c r="Z237" s="3"/>
    </row>
    <row r="238" spans="1:26" ht="22.5" customHeight="1" x14ac:dyDescent="0.85">
      <c r="A238" s="166"/>
      <c r="B238" s="167"/>
      <c r="C238" s="167"/>
      <c r="D238" s="147"/>
      <c r="E238" s="147"/>
      <c r="F238" s="147"/>
      <c r="G238" s="147"/>
      <c r="H238" s="147"/>
      <c r="I238" s="147"/>
      <c r="J238" s="147"/>
      <c r="K238" s="3"/>
      <c r="L238" s="3"/>
      <c r="M238" s="3"/>
      <c r="N238" s="3"/>
      <c r="O238" s="3"/>
      <c r="P238" s="3"/>
      <c r="Q238" s="3"/>
      <c r="R238" s="3"/>
      <c r="S238" s="3"/>
      <c r="T238" s="3"/>
      <c r="U238" s="3"/>
      <c r="V238" s="3"/>
      <c r="W238" s="3"/>
      <c r="X238" s="3"/>
      <c r="Y238" s="3"/>
      <c r="Z238" s="3"/>
    </row>
    <row r="239" spans="1:26" ht="22.5" customHeight="1" x14ac:dyDescent="0.85">
      <c r="A239" s="166"/>
      <c r="B239" s="167"/>
      <c r="C239" s="167"/>
      <c r="D239" s="147"/>
      <c r="E239" s="147"/>
      <c r="F239" s="147"/>
      <c r="G239" s="147"/>
      <c r="H239" s="147"/>
      <c r="I239" s="147"/>
      <c r="J239" s="147"/>
      <c r="K239" s="3"/>
      <c r="L239" s="3"/>
      <c r="M239" s="3"/>
      <c r="N239" s="3"/>
      <c r="O239" s="3"/>
      <c r="P239" s="3"/>
      <c r="Q239" s="3"/>
      <c r="R239" s="3"/>
      <c r="S239" s="3"/>
      <c r="T239" s="3"/>
      <c r="U239" s="3"/>
      <c r="V239" s="3"/>
      <c r="W239" s="3"/>
      <c r="X239" s="3"/>
      <c r="Y239" s="3"/>
      <c r="Z239" s="3"/>
    </row>
    <row r="240" spans="1:26" ht="22.5" customHeight="1" x14ac:dyDescent="0.85">
      <c r="A240" s="166"/>
      <c r="B240" s="167"/>
      <c r="C240" s="167"/>
      <c r="D240" s="147"/>
      <c r="E240" s="147"/>
      <c r="F240" s="147"/>
      <c r="G240" s="147"/>
      <c r="H240" s="147"/>
      <c r="I240" s="147"/>
      <c r="J240" s="147"/>
      <c r="K240" s="3"/>
      <c r="L240" s="3"/>
      <c r="M240" s="3"/>
      <c r="N240" s="3"/>
      <c r="O240" s="3"/>
      <c r="P240" s="3"/>
      <c r="Q240" s="3"/>
      <c r="R240" s="3"/>
      <c r="S240" s="3"/>
      <c r="T240" s="3"/>
      <c r="U240" s="3"/>
      <c r="V240" s="3"/>
      <c r="W240" s="3"/>
      <c r="X240" s="3"/>
      <c r="Y240" s="3"/>
      <c r="Z240" s="3"/>
    </row>
    <row r="241" spans="1:26" ht="22.5" customHeight="1" x14ac:dyDescent="0.85">
      <c r="A241" s="166"/>
      <c r="B241" s="167"/>
      <c r="C241" s="167"/>
      <c r="D241" s="147"/>
      <c r="E241" s="147"/>
      <c r="F241" s="147"/>
      <c r="G241" s="147"/>
      <c r="H241" s="147"/>
      <c r="I241" s="147"/>
      <c r="J241" s="147"/>
      <c r="K241" s="3"/>
      <c r="L241" s="3"/>
      <c r="M241" s="3"/>
      <c r="N241" s="3"/>
      <c r="O241" s="3"/>
      <c r="P241" s="3"/>
      <c r="Q241" s="3"/>
      <c r="R241" s="3"/>
      <c r="S241" s="3"/>
      <c r="T241" s="3"/>
      <c r="U241" s="3"/>
      <c r="V241" s="3"/>
      <c r="W241" s="3"/>
      <c r="X241" s="3"/>
      <c r="Y241" s="3"/>
      <c r="Z241" s="3"/>
    </row>
    <row r="242" spans="1:26" ht="22.5" customHeight="1" x14ac:dyDescent="0.85">
      <c r="A242" s="166"/>
      <c r="B242" s="167"/>
      <c r="C242" s="167"/>
      <c r="D242" s="147"/>
      <c r="E242" s="147"/>
      <c r="F242" s="147"/>
      <c r="G242" s="147"/>
      <c r="H242" s="147"/>
      <c r="I242" s="147"/>
      <c r="J242" s="147"/>
      <c r="K242" s="3"/>
      <c r="L242" s="3"/>
      <c r="M242" s="3"/>
      <c r="N242" s="3"/>
      <c r="O242" s="3"/>
      <c r="P242" s="3"/>
      <c r="Q242" s="3"/>
      <c r="R242" s="3"/>
      <c r="S242" s="3"/>
      <c r="T242" s="3"/>
      <c r="U242" s="3"/>
      <c r="V242" s="3"/>
      <c r="W242" s="3"/>
      <c r="X242" s="3"/>
      <c r="Y242" s="3"/>
      <c r="Z242" s="3"/>
    </row>
    <row r="243" spans="1:26" ht="22.5" customHeight="1" x14ac:dyDescent="0.85">
      <c r="A243" s="166"/>
      <c r="B243" s="167"/>
      <c r="C243" s="167"/>
      <c r="D243" s="147"/>
      <c r="E243" s="147"/>
      <c r="F243" s="147"/>
      <c r="G243" s="147"/>
      <c r="H243" s="147"/>
      <c r="I243" s="147"/>
      <c r="J243" s="147"/>
      <c r="K243" s="3"/>
      <c r="L243" s="3"/>
      <c r="M243" s="3"/>
      <c r="N243" s="3"/>
      <c r="O243" s="3"/>
      <c r="P243" s="3"/>
      <c r="Q243" s="3"/>
      <c r="R243" s="3"/>
      <c r="S243" s="3"/>
      <c r="T243" s="3"/>
      <c r="U243" s="3"/>
      <c r="V243" s="3"/>
      <c r="W243" s="3"/>
      <c r="X243" s="3"/>
      <c r="Y243" s="3"/>
      <c r="Z243" s="3"/>
    </row>
    <row r="244" spans="1:26" ht="22.5" customHeight="1" x14ac:dyDescent="0.85">
      <c r="A244" s="166"/>
      <c r="B244" s="167"/>
      <c r="C244" s="167"/>
      <c r="D244" s="147"/>
      <c r="E244" s="147"/>
      <c r="F244" s="147"/>
      <c r="G244" s="147"/>
      <c r="H244" s="147"/>
      <c r="I244" s="147"/>
      <c r="J244" s="147"/>
      <c r="K244" s="3"/>
      <c r="L244" s="3"/>
      <c r="M244" s="3"/>
      <c r="N244" s="3"/>
      <c r="O244" s="3"/>
      <c r="P244" s="3"/>
      <c r="Q244" s="3"/>
      <c r="R244" s="3"/>
      <c r="S244" s="3"/>
      <c r="T244" s="3"/>
      <c r="U244" s="3"/>
      <c r="V244" s="3"/>
      <c r="W244" s="3"/>
      <c r="X244" s="3"/>
      <c r="Y244" s="3"/>
      <c r="Z244" s="3"/>
    </row>
    <row r="245" spans="1:26" ht="22.5" customHeight="1" x14ac:dyDescent="0.85">
      <c r="A245" s="166"/>
      <c r="B245" s="167"/>
      <c r="C245" s="167"/>
      <c r="D245" s="147"/>
      <c r="E245" s="147"/>
      <c r="F245" s="147"/>
      <c r="G245" s="147"/>
      <c r="H245" s="147"/>
      <c r="I245" s="147"/>
      <c r="J245" s="147"/>
      <c r="K245" s="3"/>
      <c r="L245" s="3"/>
      <c r="M245" s="3"/>
      <c r="N245" s="3"/>
      <c r="O245" s="3"/>
      <c r="P245" s="3"/>
      <c r="Q245" s="3"/>
      <c r="R245" s="3"/>
      <c r="S245" s="3"/>
      <c r="T245" s="3"/>
      <c r="U245" s="3"/>
      <c r="V245" s="3"/>
      <c r="W245" s="3"/>
      <c r="X245" s="3"/>
      <c r="Y245" s="3"/>
      <c r="Z245" s="3"/>
    </row>
    <row r="246" spans="1:26" ht="22.5" customHeight="1" x14ac:dyDescent="0.85">
      <c r="A246" s="166"/>
      <c r="B246" s="167"/>
      <c r="C246" s="167"/>
      <c r="D246" s="147"/>
      <c r="E246" s="147"/>
      <c r="F246" s="147"/>
      <c r="G246" s="147"/>
      <c r="H246" s="147"/>
      <c r="I246" s="147"/>
      <c r="J246" s="147"/>
      <c r="K246" s="3"/>
      <c r="L246" s="3"/>
      <c r="M246" s="3"/>
      <c r="N246" s="3"/>
      <c r="O246" s="3"/>
      <c r="P246" s="3"/>
      <c r="Q246" s="3"/>
      <c r="R246" s="3"/>
      <c r="S246" s="3"/>
      <c r="T246" s="3"/>
      <c r="U246" s="3"/>
      <c r="V246" s="3"/>
      <c r="W246" s="3"/>
      <c r="X246" s="3"/>
      <c r="Y246" s="3"/>
      <c r="Z246" s="3"/>
    </row>
    <row r="247" spans="1:26" ht="22.5" customHeight="1" x14ac:dyDescent="0.85">
      <c r="A247" s="166"/>
      <c r="B247" s="167"/>
      <c r="C247" s="167"/>
      <c r="D247" s="147"/>
      <c r="E247" s="147"/>
      <c r="F247" s="147"/>
      <c r="G247" s="147"/>
      <c r="H247" s="147"/>
      <c r="I247" s="147"/>
      <c r="J247" s="147"/>
      <c r="K247" s="3"/>
      <c r="L247" s="3"/>
      <c r="M247" s="3"/>
      <c r="N247" s="3"/>
      <c r="O247" s="3"/>
      <c r="P247" s="3"/>
      <c r="Q247" s="3"/>
      <c r="R247" s="3"/>
      <c r="S247" s="3"/>
      <c r="T247" s="3"/>
      <c r="U247" s="3"/>
      <c r="V247" s="3"/>
      <c r="W247" s="3"/>
      <c r="X247" s="3"/>
      <c r="Y247" s="3"/>
      <c r="Z247" s="3"/>
    </row>
    <row r="248" spans="1:26" ht="22.5" customHeight="1" x14ac:dyDescent="0.85">
      <c r="A248" s="166"/>
      <c r="B248" s="167"/>
      <c r="C248" s="167"/>
      <c r="D248" s="147"/>
      <c r="E248" s="147"/>
      <c r="F248" s="147"/>
      <c r="G248" s="147"/>
      <c r="H248" s="147"/>
      <c r="I248" s="147"/>
      <c r="J248" s="147"/>
      <c r="K248" s="3"/>
      <c r="L248" s="3"/>
      <c r="M248" s="3"/>
      <c r="N248" s="3"/>
      <c r="O248" s="3"/>
      <c r="P248" s="3"/>
      <c r="Q248" s="3"/>
      <c r="R248" s="3"/>
      <c r="S248" s="3"/>
      <c r="T248" s="3"/>
      <c r="U248" s="3"/>
      <c r="V248" s="3"/>
      <c r="W248" s="3"/>
      <c r="X248" s="3"/>
      <c r="Y248" s="3"/>
      <c r="Z248" s="3"/>
    </row>
    <row r="249" spans="1:26" ht="22.5" customHeight="1" x14ac:dyDescent="0.85">
      <c r="A249" s="166"/>
      <c r="B249" s="167"/>
      <c r="C249" s="167"/>
      <c r="D249" s="147"/>
      <c r="E249" s="147"/>
      <c r="F249" s="147"/>
      <c r="G249" s="147"/>
      <c r="H249" s="147"/>
      <c r="I249" s="147"/>
      <c r="J249" s="147"/>
      <c r="K249" s="3"/>
      <c r="L249" s="3"/>
      <c r="M249" s="3"/>
      <c r="N249" s="3"/>
      <c r="O249" s="3"/>
      <c r="P249" s="3"/>
      <c r="Q249" s="3"/>
      <c r="R249" s="3"/>
      <c r="S249" s="3"/>
      <c r="T249" s="3"/>
      <c r="U249" s="3"/>
      <c r="V249" s="3"/>
      <c r="W249" s="3"/>
      <c r="X249" s="3"/>
      <c r="Y249" s="3"/>
      <c r="Z249" s="3"/>
    </row>
    <row r="250" spans="1:26" ht="22.5" customHeight="1" x14ac:dyDescent="0.85">
      <c r="A250" s="166"/>
      <c r="B250" s="167"/>
      <c r="C250" s="167"/>
      <c r="D250" s="147"/>
      <c r="E250" s="147"/>
      <c r="F250" s="147"/>
      <c r="G250" s="147"/>
      <c r="H250" s="147"/>
      <c r="I250" s="147"/>
      <c r="J250" s="147"/>
      <c r="K250" s="3"/>
      <c r="L250" s="3"/>
      <c r="M250" s="3"/>
      <c r="N250" s="3"/>
      <c r="O250" s="3"/>
      <c r="P250" s="3"/>
      <c r="Q250" s="3"/>
      <c r="R250" s="3"/>
      <c r="S250" s="3"/>
      <c r="T250" s="3"/>
      <c r="U250" s="3"/>
      <c r="V250" s="3"/>
      <c r="W250" s="3"/>
      <c r="X250" s="3"/>
      <c r="Y250" s="3"/>
      <c r="Z250" s="3"/>
    </row>
    <row r="251" spans="1:26" ht="22.5" customHeight="1" x14ac:dyDescent="0.85">
      <c r="A251" s="166"/>
      <c r="B251" s="167"/>
      <c r="C251" s="167"/>
      <c r="D251" s="147"/>
      <c r="E251" s="147"/>
      <c r="F251" s="147"/>
      <c r="G251" s="147"/>
      <c r="H251" s="147"/>
      <c r="I251" s="147"/>
      <c r="J251" s="147"/>
      <c r="K251" s="3"/>
      <c r="L251" s="3"/>
      <c r="M251" s="3"/>
      <c r="N251" s="3"/>
      <c r="O251" s="3"/>
      <c r="P251" s="3"/>
      <c r="Q251" s="3"/>
      <c r="R251" s="3"/>
      <c r="S251" s="3"/>
      <c r="T251" s="3"/>
      <c r="U251" s="3"/>
      <c r="V251" s="3"/>
      <c r="W251" s="3"/>
      <c r="X251" s="3"/>
      <c r="Y251" s="3"/>
      <c r="Z251" s="3"/>
    </row>
    <row r="252" spans="1:26" ht="22.5" customHeight="1" x14ac:dyDescent="0.85">
      <c r="A252" s="166"/>
      <c r="B252" s="167"/>
      <c r="C252" s="167"/>
      <c r="D252" s="147"/>
      <c r="E252" s="147"/>
      <c r="F252" s="147"/>
      <c r="G252" s="147"/>
      <c r="H252" s="147"/>
      <c r="I252" s="147"/>
      <c r="J252" s="147"/>
      <c r="K252" s="3"/>
      <c r="L252" s="3"/>
      <c r="M252" s="3"/>
      <c r="N252" s="3"/>
      <c r="O252" s="3"/>
      <c r="P252" s="3"/>
      <c r="Q252" s="3"/>
      <c r="R252" s="3"/>
      <c r="S252" s="3"/>
      <c r="T252" s="3"/>
      <c r="U252" s="3"/>
      <c r="V252" s="3"/>
      <c r="W252" s="3"/>
      <c r="X252" s="3"/>
      <c r="Y252" s="3"/>
      <c r="Z252" s="3"/>
    </row>
    <row r="253" spans="1:26" ht="22.5" customHeight="1" x14ac:dyDescent="0.85">
      <c r="A253" s="166"/>
      <c r="B253" s="167"/>
      <c r="C253" s="167"/>
      <c r="D253" s="147"/>
      <c r="E253" s="147"/>
      <c r="F253" s="147"/>
      <c r="G253" s="147"/>
      <c r="H253" s="147"/>
      <c r="I253" s="147"/>
      <c r="J253" s="147"/>
      <c r="K253" s="3"/>
      <c r="L253" s="3"/>
      <c r="M253" s="3"/>
      <c r="N253" s="3"/>
      <c r="O253" s="3"/>
      <c r="P253" s="3"/>
      <c r="Q253" s="3"/>
      <c r="R253" s="3"/>
      <c r="S253" s="3"/>
      <c r="T253" s="3"/>
      <c r="U253" s="3"/>
      <c r="V253" s="3"/>
      <c r="W253" s="3"/>
      <c r="X253" s="3"/>
      <c r="Y253" s="3"/>
      <c r="Z253" s="3"/>
    </row>
    <row r="254" spans="1:26" ht="22.5" customHeight="1" x14ac:dyDescent="0.85">
      <c r="A254" s="166"/>
      <c r="B254" s="167"/>
      <c r="C254" s="167"/>
      <c r="D254" s="147"/>
      <c r="E254" s="147"/>
      <c r="F254" s="147"/>
      <c r="G254" s="147"/>
      <c r="H254" s="147"/>
      <c r="I254" s="147"/>
      <c r="J254" s="147"/>
      <c r="K254" s="3"/>
      <c r="L254" s="3"/>
      <c r="M254" s="3"/>
      <c r="N254" s="3"/>
      <c r="O254" s="3"/>
      <c r="P254" s="3"/>
      <c r="Q254" s="3"/>
      <c r="R254" s="3"/>
      <c r="S254" s="3"/>
      <c r="T254" s="3"/>
      <c r="U254" s="3"/>
      <c r="V254" s="3"/>
      <c r="W254" s="3"/>
      <c r="X254" s="3"/>
      <c r="Y254" s="3"/>
      <c r="Z254" s="3"/>
    </row>
    <row r="255" spans="1:26" ht="22.5" customHeight="1" x14ac:dyDescent="0.85">
      <c r="A255" s="166"/>
      <c r="B255" s="167"/>
      <c r="C255" s="167"/>
      <c r="D255" s="147"/>
      <c r="E255" s="147"/>
      <c r="F255" s="147"/>
      <c r="G255" s="147"/>
      <c r="H255" s="147"/>
      <c r="I255" s="147"/>
      <c r="J255" s="147"/>
      <c r="K255" s="3"/>
      <c r="L255" s="3"/>
      <c r="M255" s="3"/>
      <c r="N255" s="3"/>
      <c r="O255" s="3"/>
      <c r="P255" s="3"/>
      <c r="Q255" s="3"/>
      <c r="R255" s="3"/>
      <c r="S255" s="3"/>
      <c r="T255" s="3"/>
      <c r="U255" s="3"/>
      <c r="V255" s="3"/>
      <c r="W255" s="3"/>
      <c r="X255" s="3"/>
      <c r="Y255" s="3"/>
      <c r="Z255" s="3"/>
    </row>
    <row r="256" spans="1:26" ht="22.5" customHeight="1" x14ac:dyDescent="0.85">
      <c r="A256" s="166"/>
      <c r="B256" s="167"/>
      <c r="C256" s="167"/>
      <c r="D256" s="147"/>
      <c r="E256" s="147"/>
      <c r="F256" s="147"/>
      <c r="G256" s="147"/>
      <c r="H256" s="147"/>
      <c r="I256" s="147"/>
      <c r="J256" s="147"/>
      <c r="K256" s="3"/>
      <c r="L256" s="3"/>
      <c r="M256" s="3"/>
      <c r="N256" s="3"/>
      <c r="O256" s="3"/>
      <c r="P256" s="3"/>
      <c r="Q256" s="3"/>
      <c r="R256" s="3"/>
      <c r="S256" s="3"/>
      <c r="T256" s="3"/>
      <c r="U256" s="3"/>
      <c r="V256" s="3"/>
      <c r="W256" s="3"/>
      <c r="X256" s="3"/>
      <c r="Y256" s="3"/>
      <c r="Z256" s="3"/>
    </row>
    <row r="257" spans="1:26" ht="22.5" customHeight="1" x14ac:dyDescent="0.85">
      <c r="A257" s="166"/>
      <c r="B257" s="167"/>
      <c r="C257" s="167"/>
      <c r="D257" s="147"/>
      <c r="E257" s="147"/>
      <c r="F257" s="147"/>
      <c r="G257" s="147"/>
      <c r="H257" s="147"/>
      <c r="I257" s="147"/>
      <c r="J257" s="147"/>
      <c r="K257" s="3"/>
      <c r="L257" s="3"/>
      <c r="M257" s="3"/>
      <c r="N257" s="3"/>
      <c r="O257" s="3"/>
      <c r="P257" s="3"/>
      <c r="Q257" s="3"/>
      <c r="R257" s="3"/>
      <c r="S257" s="3"/>
      <c r="T257" s="3"/>
      <c r="U257" s="3"/>
      <c r="V257" s="3"/>
      <c r="W257" s="3"/>
      <c r="X257" s="3"/>
      <c r="Y257" s="3"/>
      <c r="Z257" s="3"/>
    </row>
    <row r="258" spans="1:26" ht="22.5" customHeight="1" x14ac:dyDescent="0.85">
      <c r="A258" s="166"/>
      <c r="B258" s="167"/>
      <c r="C258" s="167"/>
      <c r="D258" s="147"/>
      <c r="E258" s="147"/>
      <c r="F258" s="147"/>
      <c r="G258" s="147"/>
      <c r="H258" s="147"/>
      <c r="I258" s="147"/>
      <c r="J258" s="147"/>
      <c r="K258" s="3"/>
      <c r="L258" s="3"/>
      <c r="M258" s="3"/>
      <c r="N258" s="3"/>
      <c r="O258" s="3"/>
      <c r="P258" s="3"/>
      <c r="Q258" s="3"/>
      <c r="R258" s="3"/>
      <c r="S258" s="3"/>
      <c r="T258" s="3"/>
      <c r="U258" s="3"/>
      <c r="V258" s="3"/>
      <c r="W258" s="3"/>
      <c r="X258" s="3"/>
      <c r="Y258" s="3"/>
      <c r="Z258" s="3"/>
    </row>
    <row r="259" spans="1:26" ht="22.5" customHeight="1" x14ac:dyDescent="0.85">
      <c r="A259" s="166"/>
      <c r="B259" s="167"/>
      <c r="C259" s="167"/>
      <c r="D259" s="147"/>
      <c r="E259" s="147"/>
      <c r="F259" s="147"/>
      <c r="G259" s="147"/>
      <c r="H259" s="147"/>
      <c r="I259" s="147"/>
      <c r="J259" s="147"/>
      <c r="K259" s="3"/>
      <c r="L259" s="3"/>
      <c r="M259" s="3"/>
      <c r="N259" s="3"/>
      <c r="O259" s="3"/>
      <c r="P259" s="3"/>
      <c r="Q259" s="3"/>
      <c r="R259" s="3"/>
      <c r="S259" s="3"/>
      <c r="T259" s="3"/>
      <c r="U259" s="3"/>
      <c r="V259" s="3"/>
      <c r="W259" s="3"/>
      <c r="X259" s="3"/>
      <c r="Y259" s="3"/>
      <c r="Z259" s="3"/>
    </row>
    <row r="260" spans="1:26" ht="22.5" customHeight="1" x14ac:dyDescent="0.85">
      <c r="A260" s="166"/>
      <c r="B260" s="167"/>
      <c r="C260" s="167"/>
      <c r="D260" s="147"/>
      <c r="E260" s="147"/>
      <c r="F260" s="147"/>
      <c r="G260" s="147"/>
      <c r="H260" s="147"/>
      <c r="I260" s="147"/>
      <c r="J260" s="147"/>
      <c r="K260" s="3"/>
      <c r="L260" s="3"/>
      <c r="M260" s="3"/>
      <c r="N260" s="3"/>
      <c r="O260" s="3"/>
      <c r="P260" s="3"/>
      <c r="Q260" s="3"/>
      <c r="R260" s="3"/>
      <c r="S260" s="3"/>
      <c r="T260" s="3"/>
      <c r="U260" s="3"/>
      <c r="V260" s="3"/>
      <c r="W260" s="3"/>
      <c r="X260" s="3"/>
      <c r="Y260" s="3"/>
      <c r="Z260" s="3"/>
    </row>
    <row r="261" spans="1:26" ht="22.5" customHeight="1" x14ac:dyDescent="0.85">
      <c r="A261" s="166"/>
      <c r="B261" s="167"/>
      <c r="C261" s="167"/>
      <c r="D261" s="147"/>
      <c r="E261" s="147"/>
      <c r="F261" s="147"/>
      <c r="G261" s="147"/>
      <c r="H261" s="147"/>
      <c r="I261" s="147"/>
      <c r="J261" s="147"/>
      <c r="K261" s="3"/>
      <c r="L261" s="3"/>
      <c r="M261" s="3"/>
      <c r="N261" s="3"/>
      <c r="O261" s="3"/>
      <c r="P261" s="3"/>
      <c r="Q261" s="3"/>
      <c r="R261" s="3"/>
      <c r="S261" s="3"/>
      <c r="T261" s="3"/>
      <c r="U261" s="3"/>
      <c r="V261" s="3"/>
      <c r="W261" s="3"/>
      <c r="X261" s="3"/>
      <c r="Y261" s="3"/>
      <c r="Z261" s="3"/>
    </row>
    <row r="262" spans="1:26" ht="22.5" customHeight="1" x14ac:dyDescent="0.85">
      <c r="A262" s="166"/>
      <c r="B262" s="167"/>
      <c r="C262" s="167"/>
      <c r="D262" s="147"/>
      <c r="E262" s="147"/>
      <c r="F262" s="147"/>
      <c r="G262" s="147"/>
      <c r="H262" s="147"/>
      <c r="I262" s="147"/>
      <c r="J262" s="147"/>
      <c r="K262" s="3"/>
      <c r="L262" s="3"/>
      <c r="M262" s="3"/>
      <c r="N262" s="3"/>
      <c r="O262" s="3"/>
      <c r="P262" s="3"/>
      <c r="Q262" s="3"/>
      <c r="R262" s="3"/>
      <c r="S262" s="3"/>
      <c r="T262" s="3"/>
      <c r="U262" s="3"/>
      <c r="V262" s="3"/>
      <c r="W262" s="3"/>
      <c r="X262" s="3"/>
      <c r="Y262" s="3"/>
      <c r="Z262" s="3"/>
    </row>
    <row r="263" spans="1:26" ht="22.5" customHeight="1" x14ac:dyDescent="0.85">
      <c r="A263" s="166"/>
      <c r="B263" s="167"/>
      <c r="C263" s="167"/>
      <c r="D263" s="147"/>
      <c r="E263" s="147"/>
      <c r="F263" s="147"/>
      <c r="G263" s="147"/>
      <c r="H263" s="147"/>
      <c r="I263" s="147"/>
      <c r="J263" s="147"/>
      <c r="K263" s="3"/>
      <c r="L263" s="3"/>
      <c r="M263" s="3"/>
      <c r="N263" s="3"/>
      <c r="O263" s="3"/>
      <c r="P263" s="3"/>
      <c r="Q263" s="3"/>
      <c r="R263" s="3"/>
      <c r="S263" s="3"/>
      <c r="T263" s="3"/>
      <c r="U263" s="3"/>
      <c r="V263" s="3"/>
      <c r="W263" s="3"/>
      <c r="X263" s="3"/>
      <c r="Y263" s="3"/>
      <c r="Z263" s="3"/>
    </row>
    <row r="264" spans="1:26" ht="22.5" customHeight="1" x14ac:dyDescent="0.85">
      <c r="A264" s="166"/>
      <c r="B264" s="167"/>
      <c r="C264" s="167"/>
      <c r="D264" s="147"/>
      <c r="E264" s="147"/>
      <c r="F264" s="147"/>
      <c r="G264" s="147"/>
      <c r="H264" s="147"/>
      <c r="I264" s="147"/>
      <c r="J264" s="147"/>
      <c r="K264" s="3"/>
      <c r="L264" s="3"/>
      <c r="M264" s="3"/>
      <c r="N264" s="3"/>
      <c r="O264" s="3"/>
      <c r="P264" s="3"/>
      <c r="Q264" s="3"/>
      <c r="R264" s="3"/>
      <c r="S264" s="3"/>
      <c r="T264" s="3"/>
      <c r="U264" s="3"/>
      <c r="V264" s="3"/>
      <c r="W264" s="3"/>
      <c r="X264" s="3"/>
      <c r="Y264" s="3"/>
      <c r="Z264" s="3"/>
    </row>
    <row r="265" spans="1:26" ht="22.5" customHeight="1" x14ac:dyDescent="0.85">
      <c r="A265" s="166"/>
      <c r="B265" s="167"/>
      <c r="C265" s="167"/>
      <c r="D265" s="147"/>
      <c r="E265" s="147"/>
      <c r="F265" s="147"/>
      <c r="G265" s="147"/>
      <c r="H265" s="147"/>
      <c r="I265" s="147"/>
      <c r="J265" s="147"/>
      <c r="K265" s="3"/>
      <c r="L265" s="3"/>
      <c r="M265" s="3"/>
      <c r="N265" s="3"/>
      <c r="O265" s="3"/>
      <c r="P265" s="3"/>
      <c r="Q265" s="3"/>
      <c r="R265" s="3"/>
      <c r="S265" s="3"/>
      <c r="T265" s="3"/>
      <c r="U265" s="3"/>
      <c r="V265" s="3"/>
      <c r="W265" s="3"/>
      <c r="X265" s="3"/>
      <c r="Y265" s="3"/>
      <c r="Z265" s="3"/>
    </row>
    <row r="266" spans="1:26" ht="22.5" customHeight="1" x14ac:dyDescent="0.85">
      <c r="A266" s="166"/>
      <c r="B266" s="167"/>
      <c r="C266" s="167"/>
      <c r="D266" s="147"/>
      <c r="E266" s="147"/>
      <c r="F266" s="147"/>
      <c r="G266" s="147"/>
      <c r="H266" s="147"/>
      <c r="I266" s="147"/>
      <c r="J266" s="147"/>
      <c r="K266" s="3"/>
      <c r="L266" s="3"/>
      <c r="M266" s="3"/>
      <c r="N266" s="3"/>
      <c r="O266" s="3"/>
      <c r="P266" s="3"/>
      <c r="Q266" s="3"/>
      <c r="R266" s="3"/>
      <c r="S266" s="3"/>
      <c r="T266" s="3"/>
      <c r="U266" s="3"/>
      <c r="V266" s="3"/>
      <c r="W266" s="3"/>
      <c r="X266" s="3"/>
      <c r="Y266" s="3"/>
      <c r="Z266" s="3"/>
    </row>
    <row r="267" spans="1:26" ht="22.5" customHeight="1" x14ac:dyDescent="0.85">
      <c r="A267" s="166"/>
      <c r="B267" s="167"/>
      <c r="C267" s="167"/>
      <c r="D267" s="147"/>
      <c r="E267" s="147"/>
      <c r="F267" s="147"/>
      <c r="G267" s="147"/>
      <c r="H267" s="147"/>
      <c r="I267" s="147"/>
      <c r="J267" s="147"/>
      <c r="K267" s="3"/>
      <c r="L267" s="3"/>
      <c r="M267" s="3"/>
      <c r="N267" s="3"/>
      <c r="O267" s="3"/>
      <c r="P267" s="3"/>
      <c r="Q267" s="3"/>
      <c r="R267" s="3"/>
      <c r="S267" s="3"/>
      <c r="T267" s="3"/>
      <c r="U267" s="3"/>
      <c r="V267" s="3"/>
      <c r="W267" s="3"/>
      <c r="X267" s="3"/>
      <c r="Y267" s="3"/>
      <c r="Z267" s="3"/>
    </row>
    <row r="268" spans="1:26" ht="22.5" customHeight="1" x14ac:dyDescent="0.85">
      <c r="A268" s="166"/>
      <c r="B268" s="167"/>
      <c r="C268" s="167"/>
      <c r="D268" s="147"/>
      <c r="E268" s="147"/>
      <c r="F268" s="147"/>
      <c r="G268" s="147"/>
      <c r="H268" s="147"/>
      <c r="I268" s="147"/>
      <c r="J268" s="147"/>
      <c r="K268" s="3"/>
      <c r="L268" s="3"/>
      <c r="M268" s="3"/>
      <c r="N268" s="3"/>
      <c r="O268" s="3"/>
      <c r="P268" s="3"/>
      <c r="Q268" s="3"/>
      <c r="R268" s="3"/>
      <c r="S268" s="3"/>
      <c r="T268" s="3"/>
      <c r="U268" s="3"/>
      <c r="V268" s="3"/>
      <c r="W268" s="3"/>
      <c r="X268" s="3"/>
      <c r="Y268" s="3"/>
      <c r="Z268" s="3"/>
    </row>
    <row r="269" spans="1:26" ht="22.5" customHeight="1" x14ac:dyDescent="0.85">
      <c r="A269" s="166"/>
      <c r="B269" s="167"/>
      <c r="C269" s="167"/>
      <c r="D269" s="147"/>
      <c r="E269" s="147"/>
      <c r="F269" s="147"/>
      <c r="G269" s="147"/>
      <c r="H269" s="147"/>
      <c r="I269" s="147"/>
      <c r="J269" s="147"/>
      <c r="K269" s="3"/>
      <c r="L269" s="3"/>
      <c r="M269" s="3"/>
      <c r="N269" s="3"/>
      <c r="O269" s="3"/>
      <c r="P269" s="3"/>
      <c r="Q269" s="3"/>
      <c r="R269" s="3"/>
      <c r="S269" s="3"/>
      <c r="T269" s="3"/>
      <c r="U269" s="3"/>
      <c r="V269" s="3"/>
      <c r="W269" s="3"/>
      <c r="X269" s="3"/>
      <c r="Y269" s="3"/>
      <c r="Z269" s="3"/>
    </row>
    <row r="270" spans="1:26" ht="22.5" customHeight="1" x14ac:dyDescent="0.85">
      <c r="A270" s="166"/>
      <c r="B270" s="167"/>
      <c r="C270" s="167"/>
      <c r="D270" s="147"/>
      <c r="E270" s="147"/>
      <c r="F270" s="147"/>
      <c r="G270" s="147"/>
      <c r="H270" s="147"/>
      <c r="I270" s="147"/>
      <c r="J270" s="147"/>
      <c r="K270" s="3"/>
      <c r="L270" s="3"/>
      <c r="M270" s="3"/>
      <c r="N270" s="3"/>
      <c r="O270" s="3"/>
      <c r="P270" s="3"/>
      <c r="Q270" s="3"/>
      <c r="R270" s="3"/>
      <c r="S270" s="3"/>
      <c r="T270" s="3"/>
      <c r="U270" s="3"/>
      <c r="V270" s="3"/>
      <c r="W270" s="3"/>
      <c r="X270" s="3"/>
      <c r="Y270" s="3"/>
      <c r="Z270" s="3"/>
    </row>
    <row r="271" spans="1:26" ht="22.5" customHeight="1" x14ac:dyDescent="0.85">
      <c r="A271" s="166"/>
      <c r="B271" s="167"/>
      <c r="C271" s="167"/>
      <c r="D271" s="147"/>
      <c r="E271" s="147"/>
      <c r="F271" s="147"/>
      <c r="G271" s="147"/>
      <c r="H271" s="147"/>
      <c r="I271" s="147"/>
      <c r="J271" s="147"/>
      <c r="K271" s="3"/>
      <c r="L271" s="3"/>
      <c r="M271" s="3"/>
      <c r="N271" s="3"/>
      <c r="O271" s="3"/>
      <c r="P271" s="3"/>
      <c r="Q271" s="3"/>
      <c r="R271" s="3"/>
      <c r="S271" s="3"/>
      <c r="T271" s="3"/>
      <c r="U271" s="3"/>
      <c r="V271" s="3"/>
      <c r="W271" s="3"/>
      <c r="X271" s="3"/>
      <c r="Y271" s="3"/>
      <c r="Z271" s="3"/>
    </row>
    <row r="272" spans="1:26" ht="22.5" customHeight="1" x14ac:dyDescent="0.85">
      <c r="A272" s="166"/>
      <c r="B272" s="167"/>
      <c r="C272" s="167"/>
      <c r="D272" s="147"/>
      <c r="E272" s="147"/>
      <c r="F272" s="147"/>
      <c r="G272" s="147"/>
      <c r="H272" s="147"/>
      <c r="I272" s="147"/>
      <c r="J272" s="147"/>
      <c r="K272" s="3"/>
      <c r="L272" s="3"/>
      <c r="M272" s="3"/>
      <c r="N272" s="3"/>
      <c r="O272" s="3"/>
      <c r="P272" s="3"/>
      <c r="Q272" s="3"/>
      <c r="R272" s="3"/>
      <c r="S272" s="3"/>
      <c r="T272" s="3"/>
      <c r="U272" s="3"/>
      <c r="V272" s="3"/>
      <c r="W272" s="3"/>
      <c r="X272" s="3"/>
      <c r="Y272" s="3"/>
      <c r="Z272" s="3"/>
    </row>
    <row r="273" spans="1:26" ht="22.5" customHeight="1" x14ac:dyDescent="0.85">
      <c r="A273" s="166"/>
      <c r="B273" s="167"/>
      <c r="C273" s="167"/>
      <c r="D273" s="147"/>
      <c r="E273" s="147"/>
      <c r="F273" s="147"/>
      <c r="G273" s="147"/>
      <c r="H273" s="147"/>
      <c r="I273" s="147"/>
      <c r="J273" s="147"/>
      <c r="K273" s="3"/>
      <c r="L273" s="3"/>
      <c r="M273" s="3"/>
      <c r="N273" s="3"/>
      <c r="O273" s="3"/>
      <c r="P273" s="3"/>
      <c r="Q273" s="3"/>
      <c r="R273" s="3"/>
      <c r="S273" s="3"/>
      <c r="T273" s="3"/>
      <c r="U273" s="3"/>
      <c r="V273" s="3"/>
      <c r="W273" s="3"/>
      <c r="X273" s="3"/>
      <c r="Y273" s="3"/>
      <c r="Z273" s="3"/>
    </row>
    <row r="274" spans="1:26" ht="22.5" customHeight="1" x14ac:dyDescent="0.85">
      <c r="A274" s="166"/>
      <c r="B274" s="167"/>
      <c r="C274" s="167"/>
      <c r="D274" s="147"/>
      <c r="E274" s="147"/>
      <c r="F274" s="147"/>
      <c r="G274" s="147"/>
      <c r="H274" s="147"/>
      <c r="I274" s="147"/>
      <c r="J274" s="147"/>
      <c r="K274" s="3"/>
      <c r="L274" s="3"/>
      <c r="M274" s="3"/>
      <c r="N274" s="3"/>
      <c r="O274" s="3"/>
      <c r="P274" s="3"/>
      <c r="Q274" s="3"/>
      <c r="R274" s="3"/>
      <c r="S274" s="3"/>
      <c r="T274" s="3"/>
      <c r="U274" s="3"/>
      <c r="V274" s="3"/>
      <c r="W274" s="3"/>
      <c r="X274" s="3"/>
      <c r="Y274" s="3"/>
      <c r="Z274" s="3"/>
    </row>
    <row r="275" spans="1:26" ht="22.5" customHeight="1" x14ac:dyDescent="0.85">
      <c r="A275" s="166"/>
      <c r="B275" s="167"/>
      <c r="C275" s="167"/>
      <c r="D275" s="147"/>
      <c r="E275" s="147"/>
      <c r="F275" s="147"/>
      <c r="G275" s="147"/>
      <c r="H275" s="147"/>
      <c r="I275" s="147"/>
      <c r="J275" s="147"/>
      <c r="K275" s="3"/>
      <c r="L275" s="3"/>
      <c r="M275" s="3"/>
      <c r="N275" s="3"/>
      <c r="O275" s="3"/>
      <c r="P275" s="3"/>
      <c r="Q275" s="3"/>
      <c r="R275" s="3"/>
      <c r="S275" s="3"/>
      <c r="T275" s="3"/>
      <c r="U275" s="3"/>
      <c r="V275" s="3"/>
      <c r="W275" s="3"/>
      <c r="X275" s="3"/>
      <c r="Y275" s="3"/>
      <c r="Z275" s="3"/>
    </row>
    <row r="276" spans="1:26" ht="22.5" customHeight="1" x14ac:dyDescent="0.85">
      <c r="A276" s="166"/>
      <c r="B276" s="167"/>
      <c r="C276" s="167"/>
      <c r="D276" s="147"/>
      <c r="E276" s="147"/>
      <c r="F276" s="147"/>
      <c r="G276" s="147"/>
      <c r="H276" s="147"/>
      <c r="I276" s="147"/>
      <c r="J276" s="147"/>
      <c r="K276" s="3"/>
      <c r="L276" s="3"/>
      <c r="M276" s="3"/>
      <c r="N276" s="3"/>
      <c r="O276" s="3"/>
      <c r="P276" s="3"/>
      <c r="Q276" s="3"/>
      <c r="R276" s="3"/>
      <c r="S276" s="3"/>
      <c r="T276" s="3"/>
      <c r="U276" s="3"/>
      <c r="V276" s="3"/>
      <c r="W276" s="3"/>
      <c r="X276" s="3"/>
      <c r="Y276" s="3"/>
      <c r="Z276" s="3"/>
    </row>
    <row r="277" spans="1:26" ht="22.5" customHeight="1" x14ac:dyDescent="0.85">
      <c r="A277" s="166"/>
      <c r="B277" s="167"/>
      <c r="C277" s="167"/>
      <c r="D277" s="147"/>
      <c r="E277" s="147"/>
      <c r="F277" s="147"/>
      <c r="G277" s="147"/>
      <c r="H277" s="147"/>
      <c r="I277" s="147"/>
      <c r="J277" s="147"/>
      <c r="K277" s="3"/>
      <c r="L277" s="3"/>
      <c r="M277" s="3"/>
      <c r="N277" s="3"/>
      <c r="O277" s="3"/>
      <c r="P277" s="3"/>
      <c r="Q277" s="3"/>
      <c r="R277" s="3"/>
      <c r="S277" s="3"/>
      <c r="T277" s="3"/>
      <c r="U277" s="3"/>
      <c r="V277" s="3"/>
      <c r="W277" s="3"/>
      <c r="X277" s="3"/>
      <c r="Y277" s="3"/>
      <c r="Z277" s="3"/>
    </row>
    <row r="278" spans="1:26" ht="22.5" customHeight="1" x14ac:dyDescent="0.85">
      <c r="A278" s="166"/>
      <c r="B278" s="167"/>
      <c r="C278" s="167"/>
      <c r="D278" s="147"/>
      <c r="E278" s="147"/>
      <c r="F278" s="147"/>
      <c r="G278" s="147"/>
      <c r="H278" s="147"/>
      <c r="I278" s="147"/>
      <c r="J278" s="147"/>
      <c r="K278" s="3"/>
      <c r="L278" s="3"/>
      <c r="M278" s="3"/>
      <c r="N278" s="3"/>
      <c r="O278" s="3"/>
      <c r="P278" s="3"/>
      <c r="Q278" s="3"/>
      <c r="R278" s="3"/>
      <c r="S278" s="3"/>
      <c r="T278" s="3"/>
      <c r="U278" s="3"/>
      <c r="V278" s="3"/>
      <c r="W278" s="3"/>
      <c r="X278" s="3"/>
      <c r="Y278" s="3"/>
      <c r="Z278" s="3"/>
    </row>
    <row r="279" spans="1:26" ht="22.5" customHeight="1" x14ac:dyDescent="0.85">
      <c r="A279" s="166"/>
      <c r="B279" s="167"/>
      <c r="C279" s="167"/>
      <c r="D279" s="147"/>
      <c r="E279" s="147"/>
      <c r="F279" s="147"/>
      <c r="G279" s="147"/>
      <c r="H279" s="147"/>
      <c r="I279" s="147"/>
      <c r="J279" s="147"/>
      <c r="K279" s="3"/>
      <c r="L279" s="3"/>
      <c r="M279" s="3"/>
      <c r="N279" s="3"/>
      <c r="O279" s="3"/>
      <c r="P279" s="3"/>
      <c r="Q279" s="3"/>
      <c r="R279" s="3"/>
      <c r="S279" s="3"/>
      <c r="T279" s="3"/>
      <c r="U279" s="3"/>
      <c r="V279" s="3"/>
      <c r="W279" s="3"/>
      <c r="X279" s="3"/>
      <c r="Y279" s="3"/>
      <c r="Z279" s="3"/>
    </row>
    <row r="280" spans="1:26" ht="22.5" customHeight="1" x14ac:dyDescent="0.85">
      <c r="A280" s="166"/>
      <c r="B280" s="167"/>
      <c r="C280" s="167"/>
      <c r="D280" s="147"/>
      <c r="E280" s="147"/>
      <c r="F280" s="147"/>
      <c r="G280" s="147"/>
      <c r="H280" s="147"/>
      <c r="I280" s="147"/>
      <c r="J280" s="147"/>
      <c r="K280" s="3"/>
      <c r="L280" s="3"/>
      <c r="M280" s="3"/>
      <c r="N280" s="3"/>
      <c r="O280" s="3"/>
      <c r="P280" s="3"/>
      <c r="Q280" s="3"/>
      <c r="R280" s="3"/>
      <c r="S280" s="3"/>
      <c r="T280" s="3"/>
      <c r="U280" s="3"/>
      <c r="V280" s="3"/>
      <c r="W280" s="3"/>
      <c r="X280" s="3"/>
      <c r="Y280" s="3"/>
      <c r="Z280" s="3"/>
    </row>
    <row r="281" spans="1:26" ht="22.5" customHeight="1" x14ac:dyDescent="0.85">
      <c r="A281" s="166"/>
      <c r="B281" s="167"/>
      <c r="C281" s="167"/>
      <c r="D281" s="147"/>
      <c r="E281" s="147"/>
      <c r="F281" s="147"/>
      <c r="G281" s="147"/>
      <c r="H281" s="147"/>
      <c r="I281" s="147"/>
      <c r="J281" s="147"/>
      <c r="K281" s="3"/>
      <c r="L281" s="3"/>
      <c r="M281" s="3"/>
      <c r="N281" s="3"/>
      <c r="O281" s="3"/>
      <c r="P281" s="3"/>
      <c r="Q281" s="3"/>
      <c r="R281" s="3"/>
      <c r="S281" s="3"/>
      <c r="T281" s="3"/>
      <c r="U281" s="3"/>
      <c r="V281" s="3"/>
      <c r="W281" s="3"/>
      <c r="X281" s="3"/>
      <c r="Y281" s="3"/>
      <c r="Z281" s="3"/>
    </row>
    <row r="282" spans="1:26" ht="22.5" customHeight="1" x14ac:dyDescent="0.85">
      <c r="A282" s="166"/>
      <c r="B282" s="167"/>
      <c r="C282" s="167"/>
      <c r="D282" s="147"/>
      <c r="E282" s="147"/>
      <c r="F282" s="147"/>
      <c r="G282" s="147"/>
      <c r="H282" s="147"/>
      <c r="I282" s="147"/>
      <c r="J282" s="147"/>
      <c r="K282" s="3"/>
      <c r="L282" s="3"/>
      <c r="M282" s="3"/>
      <c r="N282" s="3"/>
      <c r="O282" s="3"/>
      <c r="P282" s="3"/>
      <c r="Q282" s="3"/>
      <c r="R282" s="3"/>
      <c r="S282" s="3"/>
      <c r="T282" s="3"/>
      <c r="U282" s="3"/>
      <c r="V282" s="3"/>
      <c r="W282" s="3"/>
      <c r="X282" s="3"/>
      <c r="Y282" s="3"/>
      <c r="Z282" s="3"/>
    </row>
    <row r="283" spans="1:26" ht="22.5" customHeight="1" x14ac:dyDescent="0.85">
      <c r="A283" s="166"/>
      <c r="B283" s="167"/>
      <c r="C283" s="167"/>
      <c r="D283" s="147"/>
      <c r="E283" s="147"/>
      <c r="F283" s="147"/>
      <c r="G283" s="147"/>
      <c r="H283" s="147"/>
      <c r="I283" s="147"/>
      <c r="J283" s="147"/>
      <c r="K283" s="3"/>
      <c r="L283" s="3"/>
      <c r="M283" s="3"/>
      <c r="N283" s="3"/>
      <c r="O283" s="3"/>
      <c r="P283" s="3"/>
      <c r="Q283" s="3"/>
      <c r="R283" s="3"/>
      <c r="S283" s="3"/>
      <c r="T283" s="3"/>
      <c r="U283" s="3"/>
      <c r="V283" s="3"/>
      <c r="W283" s="3"/>
      <c r="X283" s="3"/>
      <c r="Y283" s="3"/>
      <c r="Z283" s="3"/>
    </row>
    <row r="284" spans="1:26" ht="22.5" customHeight="1" x14ac:dyDescent="0.85">
      <c r="A284" s="166"/>
      <c r="B284" s="167"/>
      <c r="C284" s="167"/>
      <c r="D284" s="147"/>
      <c r="E284" s="147"/>
      <c r="F284" s="147"/>
      <c r="G284" s="147"/>
      <c r="H284" s="147"/>
      <c r="I284" s="147"/>
      <c r="J284" s="147"/>
      <c r="K284" s="3"/>
      <c r="L284" s="3"/>
      <c r="M284" s="3"/>
      <c r="N284" s="3"/>
      <c r="O284" s="3"/>
      <c r="P284" s="3"/>
      <c r="Q284" s="3"/>
      <c r="R284" s="3"/>
      <c r="S284" s="3"/>
      <c r="T284" s="3"/>
      <c r="U284" s="3"/>
      <c r="V284" s="3"/>
      <c r="W284" s="3"/>
      <c r="X284" s="3"/>
      <c r="Y284" s="3"/>
      <c r="Z284" s="3"/>
    </row>
    <row r="285" spans="1:26" ht="22.5" customHeight="1" x14ac:dyDescent="0.85">
      <c r="A285" s="166"/>
      <c r="B285" s="167"/>
      <c r="C285" s="167"/>
      <c r="D285" s="147"/>
      <c r="E285" s="147"/>
      <c r="F285" s="147"/>
      <c r="G285" s="147"/>
      <c r="H285" s="147"/>
      <c r="I285" s="147"/>
      <c r="J285" s="147"/>
      <c r="K285" s="3"/>
      <c r="L285" s="3"/>
      <c r="M285" s="3"/>
      <c r="N285" s="3"/>
      <c r="O285" s="3"/>
      <c r="P285" s="3"/>
      <c r="Q285" s="3"/>
      <c r="R285" s="3"/>
      <c r="S285" s="3"/>
      <c r="T285" s="3"/>
      <c r="U285" s="3"/>
      <c r="V285" s="3"/>
      <c r="W285" s="3"/>
      <c r="X285" s="3"/>
      <c r="Y285" s="3"/>
      <c r="Z285" s="3"/>
    </row>
    <row r="286" spans="1:26" ht="22.5" customHeight="1" x14ac:dyDescent="0.85">
      <c r="A286" s="166"/>
      <c r="B286" s="167"/>
      <c r="C286" s="167"/>
      <c r="D286" s="147"/>
      <c r="E286" s="147"/>
      <c r="F286" s="147"/>
      <c r="G286" s="147"/>
      <c r="H286" s="147"/>
      <c r="I286" s="147"/>
      <c r="J286" s="147"/>
      <c r="K286" s="3"/>
      <c r="L286" s="3"/>
      <c r="M286" s="3"/>
      <c r="N286" s="3"/>
      <c r="O286" s="3"/>
      <c r="P286" s="3"/>
      <c r="Q286" s="3"/>
      <c r="R286" s="3"/>
      <c r="S286" s="3"/>
      <c r="T286" s="3"/>
      <c r="U286" s="3"/>
      <c r="V286" s="3"/>
      <c r="W286" s="3"/>
      <c r="X286" s="3"/>
      <c r="Y286" s="3"/>
      <c r="Z286" s="3"/>
    </row>
    <row r="287" spans="1:26" ht="22.5" customHeight="1" x14ac:dyDescent="0.85">
      <c r="A287" s="166"/>
      <c r="B287" s="167"/>
      <c r="C287" s="167"/>
      <c r="D287" s="147"/>
      <c r="E287" s="147"/>
      <c r="F287" s="147"/>
      <c r="G287" s="147"/>
      <c r="H287" s="147"/>
      <c r="I287" s="147"/>
      <c r="J287" s="147"/>
      <c r="K287" s="3"/>
      <c r="L287" s="3"/>
      <c r="M287" s="3"/>
      <c r="N287" s="3"/>
      <c r="O287" s="3"/>
      <c r="P287" s="3"/>
      <c r="Q287" s="3"/>
      <c r="R287" s="3"/>
      <c r="S287" s="3"/>
      <c r="T287" s="3"/>
      <c r="U287" s="3"/>
      <c r="V287" s="3"/>
      <c r="W287" s="3"/>
      <c r="X287" s="3"/>
      <c r="Y287" s="3"/>
      <c r="Z287" s="3"/>
    </row>
    <row r="288" spans="1:26" ht="22.5" customHeight="1" x14ac:dyDescent="0.85">
      <c r="A288" s="166"/>
      <c r="B288" s="167"/>
      <c r="C288" s="167"/>
      <c r="D288" s="147"/>
      <c r="E288" s="147"/>
      <c r="F288" s="147"/>
      <c r="G288" s="147"/>
      <c r="H288" s="147"/>
      <c r="I288" s="147"/>
      <c r="J288" s="147"/>
      <c r="K288" s="3"/>
      <c r="L288" s="3"/>
      <c r="M288" s="3"/>
      <c r="N288" s="3"/>
      <c r="O288" s="3"/>
      <c r="P288" s="3"/>
      <c r="Q288" s="3"/>
      <c r="R288" s="3"/>
      <c r="S288" s="3"/>
      <c r="T288" s="3"/>
      <c r="U288" s="3"/>
      <c r="V288" s="3"/>
      <c r="W288" s="3"/>
      <c r="X288" s="3"/>
      <c r="Y288" s="3"/>
      <c r="Z288" s="3"/>
    </row>
    <row r="289" spans="1:26" ht="22.5" customHeight="1" x14ac:dyDescent="0.85">
      <c r="A289" s="166"/>
      <c r="B289" s="167"/>
      <c r="C289" s="167"/>
      <c r="D289" s="147"/>
      <c r="E289" s="147"/>
      <c r="F289" s="147"/>
      <c r="G289" s="147"/>
      <c r="H289" s="147"/>
      <c r="I289" s="147"/>
      <c r="J289" s="147"/>
      <c r="K289" s="3"/>
      <c r="L289" s="3"/>
      <c r="M289" s="3"/>
      <c r="N289" s="3"/>
      <c r="O289" s="3"/>
      <c r="P289" s="3"/>
      <c r="Q289" s="3"/>
      <c r="R289" s="3"/>
      <c r="S289" s="3"/>
      <c r="T289" s="3"/>
      <c r="U289" s="3"/>
      <c r="V289" s="3"/>
      <c r="W289" s="3"/>
      <c r="X289" s="3"/>
      <c r="Y289" s="3"/>
      <c r="Z289" s="3"/>
    </row>
    <row r="290" spans="1:26" ht="22.5" customHeight="1" x14ac:dyDescent="0.85">
      <c r="A290" s="166"/>
      <c r="B290" s="167"/>
      <c r="C290" s="167"/>
      <c r="D290" s="147"/>
      <c r="E290" s="147"/>
      <c r="F290" s="147"/>
      <c r="G290" s="147"/>
      <c r="H290" s="147"/>
      <c r="I290" s="147"/>
      <c r="J290" s="147"/>
      <c r="K290" s="3"/>
      <c r="L290" s="3"/>
      <c r="M290" s="3"/>
      <c r="N290" s="3"/>
      <c r="O290" s="3"/>
      <c r="P290" s="3"/>
      <c r="Q290" s="3"/>
      <c r="R290" s="3"/>
      <c r="S290" s="3"/>
      <c r="T290" s="3"/>
      <c r="U290" s="3"/>
      <c r="V290" s="3"/>
      <c r="W290" s="3"/>
      <c r="X290" s="3"/>
      <c r="Y290" s="3"/>
      <c r="Z290" s="3"/>
    </row>
    <row r="291" spans="1:26" ht="22.5" customHeight="1" x14ac:dyDescent="0.85">
      <c r="A291" s="166"/>
      <c r="B291" s="167"/>
      <c r="C291" s="167"/>
      <c r="D291" s="147"/>
      <c r="E291" s="147"/>
      <c r="F291" s="147"/>
      <c r="G291" s="147"/>
      <c r="H291" s="147"/>
      <c r="I291" s="147"/>
      <c r="J291" s="147"/>
      <c r="K291" s="3"/>
      <c r="L291" s="3"/>
      <c r="M291" s="3"/>
      <c r="N291" s="3"/>
      <c r="O291" s="3"/>
      <c r="P291" s="3"/>
      <c r="Q291" s="3"/>
      <c r="R291" s="3"/>
      <c r="S291" s="3"/>
      <c r="T291" s="3"/>
      <c r="U291" s="3"/>
      <c r="V291" s="3"/>
      <c r="W291" s="3"/>
      <c r="X291" s="3"/>
      <c r="Y291" s="3"/>
      <c r="Z291" s="3"/>
    </row>
    <row r="292" spans="1:26" ht="22.5" customHeight="1" x14ac:dyDescent="0.85">
      <c r="A292" s="166"/>
      <c r="B292" s="167"/>
      <c r="C292" s="167"/>
      <c r="D292" s="147"/>
      <c r="E292" s="147"/>
      <c r="F292" s="147"/>
      <c r="G292" s="147"/>
      <c r="H292" s="147"/>
      <c r="I292" s="147"/>
      <c r="J292" s="147"/>
      <c r="K292" s="3"/>
      <c r="L292" s="3"/>
      <c r="M292" s="3"/>
      <c r="N292" s="3"/>
      <c r="O292" s="3"/>
      <c r="P292" s="3"/>
      <c r="Q292" s="3"/>
      <c r="R292" s="3"/>
      <c r="S292" s="3"/>
      <c r="T292" s="3"/>
      <c r="U292" s="3"/>
      <c r="V292" s="3"/>
      <c r="W292" s="3"/>
      <c r="X292" s="3"/>
      <c r="Y292" s="3"/>
      <c r="Z292" s="3"/>
    </row>
    <row r="293" spans="1:26" ht="22.5" customHeight="1" x14ac:dyDescent="0.85">
      <c r="A293" s="166"/>
      <c r="B293" s="167"/>
      <c r="C293" s="167"/>
      <c r="D293" s="147"/>
      <c r="E293" s="147"/>
      <c r="F293" s="147"/>
      <c r="G293" s="147"/>
      <c r="H293" s="147"/>
      <c r="I293" s="147"/>
      <c r="J293" s="147"/>
      <c r="K293" s="3"/>
      <c r="L293" s="3"/>
      <c r="M293" s="3"/>
      <c r="N293" s="3"/>
      <c r="O293" s="3"/>
      <c r="P293" s="3"/>
      <c r="Q293" s="3"/>
      <c r="R293" s="3"/>
      <c r="S293" s="3"/>
      <c r="T293" s="3"/>
      <c r="U293" s="3"/>
      <c r="V293" s="3"/>
      <c r="W293" s="3"/>
      <c r="X293" s="3"/>
      <c r="Y293" s="3"/>
      <c r="Z293" s="3"/>
    </row>
    <row r="294" spans="1:26" ht="22.5" customHeight="1" x14ac:dyDescent="0.85">
      <c r="A294" s="166"/>
      <c r="B294" s="167"/>
      <c r="C294" s="167"/>
      <c r="D294" s="147"/>
      <c r="E294" s="147"/>
      <c r="F294" s="147"/>
      <c r="G294" s="147"/>
      <c r="H294" s="147"/>
      <c r="I294" s="147"/>
      <c r="J294" s="147"/>
      <c r="K294" s="3"/>
      <c r="L294" s="3"/>
      <c r="M294" s="3"/>
      <c r="N294" s="3"/>
      <c r="O294" s="3"/>
      <c r="P294" s="3"/>
      <c r="Q294" s="3"/>
      <c r="R294" s="3"/>
      <c r="S294" s="3"/>
      <c r="T294" s="3"/>
      <c r="U294" s="3"/>
      <c r="V294" s="3"/>
      <c r="W294" s="3"/>
      <c r="X294" s="3"/>
      <c r="Y294" s="3"/>
      <c r="Z294" s="3"/>
    </row>
    <row r="295" spans="1:26" ht="22.5" customHeight="1" x14ac:dyDescent="0.85">
      <c r="A295" s="166"/>
      <c r="B295" s="167"/>
      <c r="C295" s="167"/>
      <c r="D295" s="147"/>
      <c r="E295" s="147"/>
      <c r="F295" s="147"/>
      <c r="G295" s="147"/>
      <c r="H295" s="147"/>
      <c r="I295" s="147"/>
      <c r="J295" s="147"/>
      <c r="K295" s="3"/>
      <c r="L295" s="3"/>
      <c r="M295" s="3"/>
      <c r="N295" s="3"/>
      <c r="O295" s="3"/>
      <c r="P295" s="3"/>
      <c r="Q295" s="3"/>
      <c r="R295" s="3"/>
      <c r="S295" s="3"/>
      <c r="T295" s="3"/>
      <c r="U295" s="3"/>
      <c r="V295" s="3"/>
      <c r="W295" s="3"/>
      <c r="X295" s="3"/>
      <c r="Y295" s="3"/>
      <c r="Z295" s="3"/>
    </row>
    <row r="296" spans="1:26" ht="22.5" customHeight="1" x14ac:dyDescent="0.85">
      <c r="A296" s="166"/>
      <c r="B296" s="167"/>
      <c r="C296" s="167"/>
      <c r="D296" s="147"/>
      <c r="E296" s="147"/>
      <c r="F296" s="147"/>
      <c r="G296" s="147"/>
      <c r="H296" s="147"/>
      <c r="I296" s="147"/>
      <c r="J296" s="147"/>
      <c r="K296" s="3"/>
      <c r="L296" s="3"/>
      <c r="M296" s="3"/>
      <c r="N296" s="3"/>
      <c r="O296" s="3"/>
      <c r="P296" s="3"/>
      <c r="Q296" s="3"/>
      <c r="R296" s="3"/>
      <c r="S296" s="3"/>
      <c r="T296" s="3"/>
      <c r="U296" s="3"/>
      <c r="V296" s="3"/>
      <c r="W296" s="3"/>
      <c r="X296" s="3"/>
      <c r="Y296" s="3"/>
      <c r="Z296" s="3"/>
    </row>
    <row r="297" spans="1:26" ht="22.5" customHeight="1" x14ac:dyDescent="0.85">
      <c r="A297" s="166"/>
      <c r="B297" s="167"/>
      <c r="C297" s="167"/>
      <c r="D297" s="147"/>
      <c r="E297" s="147"/>
      <c r="F297" s="147"/>
      <c r="G297" s="147"/>
      <c r="H297" s="147"/>
      <c r="I297" s="147"/>
      <c r="J297" s="147"/>
      <c r="K297" s="3"/>
      <c r="L297" s="3"/>
      <c r="M297" s="3"/>
      <c r="N297" s="3"/>
      <c r="O297" s="3"/>
      <c r="P297" s="3"/>
      <c r="Q297" s="3"/>
      <c r="R297" s="3"/>
      <c r="S297" s="3"/>
      <c r="T297" s="3"/>
      <c r="U297" s="3"/>
      <c r="V297" s="3"/>
      <c r="W297" s="3"/>
      <c r="X297" s="3"/>
      <c r="Y297" s="3"/>
      <c r="Z297" s="3"/>
    </row>
    <row r="298" spans="1:26" ht="22.5" customHeight="1" x14ac:dyDescent="0.85">
      <c r="A298" s="166"/>
      <c r="B298" s="167"/>
      <c r="C298" s="167"/>
      <c r="D298" s="147"/>
      <c r="E298" s="147"/>
      <c r="F298" s="147"/>
      <c r="G298" s="147"/>
      <c r="H298" s="147"/>
      <c r="I298" s="147"/>
      <c r="J298" s="147"/>
      <c r="K298" s="3"/>
      <c r="L298" s="3"/>
      <c r="M298" s="3"/>
      <c r="N298" s="3"/>
      <c r="O298" s="3"/>
      <c r="P298" s="3"/>
      <c r="Q298" s="3"/>
      <c r="R298" s="3"/>
      <c r="S298" s="3"/>
      <c r="T298" s="3"/>
      <c r="U298" s="3"/>
      <c r="V298" s="3"/>
      <c r="W298" s="3"/>
      <c r="X298" s="3"/>
      <c r="Y298" s="3"/>
      <c r="Z298" s="3"/>
    </row>
    <row r="299" spans="1:26" ht="22.5" customHeight="1" x14ac:dyDescent="0.85">
      <c r="A299" s="166"/>
      <c r="B299" s="167"/>
      <c r="C299" s="167"/>
      <c r="D299" s="147"/>
      <c r="E299" s="147"/>
      <c r="F299" s="147"/>
      <c r="G299" s="147"/>
      <c r="H299" s="147"/>
      <c r="I299" s="147"/>
      <c r="J299" s="147"/>
      <c r="K299" s="3"/>
      <c r="L299" s="3"/>
      <c r="M299" s="3"/>
      <c r="N299" s="3"/>
      <c r="O299" s="3"/>
      <c r="P299" s="3"/>
      <c r="Q299" s="3"/>
      <c r="R299" s="3"/>
      <c r="S299" s="3"/>
      <c r="T299" s="3"/>
      <c r="U299" s="3"/>
      <c r="V299" s="3"/>
      <c r="W299" s="3"/>
      <c r="X299" s="3"/>
      <c r="Y299" s="3"/>
      <c r="Z299" s="3"/>
    </row>
    <row r="300" spans="1:26" ht="22.5" customHeight="1" x14ac:dyDescent="0.85">
      <c r="A300" s="166"/>
      <c r="B300" s="167"/>
      <c r="C300" s="167"/>
      <c r="D300" s="147"/>
      <c r="E300" s="147"/>
      <c r="F300" s="147"/>
      <c r="G300" s="147"/>
      <c r="H300" s="147"/>
      <c r="I300" s="147"/>
      <c r="J300" s="147"/>
      <c r="K300" s="3"/>
      <c r="L300" s="3"/>
      <c r="M300" s="3"/>
      <c r="N300" s="3"/>
      <c r="O300" s="3"/>
      <c r="P300" s="3"/>
      <c r="Q300" s="3"/>
      <c r="R300" s="3"/>
      <c r="S300" s="3"/>
      <c r="T300" s="3"/>
      <c r="U300" s="3"/>
      <c r="V300" s="3"/>
      <c r="W300" s="3"/>
      <c r="X300" s="3"/>
      <c r="Y300" s="3"/>
      <c r="Z300" s="3"/>
    </row>
    <row r="301" spans="1:26" ht="22.5" customHeight="1" x14ac:dyDescent="0.85">
      <c r="A301" s="166"/>
      <c r="B301" s="167"/>
      <c r="C301" s="167"/>
      <c r="D301" s="147"/>
      <c r="E301" s="147"/>
      <c r="F301" s="147"/>
      <c r="G301" s="147"/>
      <c r="H301" s="147"/>
      <c r="I301" s="147"/>
      <c r="J301" s="147"/>
      <c r="K301" s="3"/>
      <c r="L301" s="3"/>
      <c r="M301" s="3"/>
      <c r="N301" s="3"/>
      <c r="O301" s="3"/>
      <c r="P301" s="3"/>
      <c r="Q301" s="3"/>
      <c r="R301" s="3"/>
      <c r="S301" s="3"/>
      <c r="T301" s="3"/>
      <c r="U301" s="3"/>
      <c r="V301" s="3"/>
      <c r="W301" s="3"/>
      <c r="X301" s="3"/>
      <c r="Y301" s="3"/>
      <c r="Z301" s="3"/>
    </row>
    <row r="302" spans="1:26" ht="22.5" customHeight="1" x14ac:dyDescent="0.85">
      <c r="A302" s="166"/>
      <c r="B302" s="167"/>
      <c r="C302" s="167"/>
      <c r="D302" s="147"/>
      <c r="E302" s="147"/>
      <c r="F302" s="147"/>
      <c r="G302" s="147"/>
      <c r="H302" s="147"/>
      <c r="I302" s="147"/>
      <c r="J302" s="147"/>
      <c r="K302" s="3"/>
      <c r="L302" s="3"/>
      <c r="M302" s="3"/>
      <c r="N302" s="3"/>
      <c r="O302" s="3"/>
      <c r="P302" s="3"/>
      <c r="Q302" s="3"/>
      <c r="R302" s="3"/>
      <c r="S302" s="3"/>
      <c r="T302" s="3"/>
      <c r="U302" s="3"/>
      <c r="V302" s="3"/>
      <c r="W302" s="3"/>
      <c r="X302" s="3"/>
      <c r="Y302" s="3"/>
      <c r="Z302" s="3"/>
    </row>
    <row r="303" spans="1:26" ht="22.5" customHeight="1" x14ac:dyDescent="0.85">
      <c r="A303" s="166"/>
      <c r="B303" s="167"/>
      <c r="C303" s="167"/>
      <c r="D303" s="147"/>
      <c r="E303" s="147"/>
      <c r="F303" s="147"/>
      <c r="G303" s="147"/>
      <c r="H303" s="147"/>
      <c r="I303" s="147"/>
      <c r="J303" s="147"/>
      <c r="K303" s="3"/>
      <c r="L303" s="3"/>
      <c r="M303" s="3"/>
      <c r="N303" s="3"/>
      <c r="O303" s="3"/>
      <c r="P303" s="3"/>
      <c r="Q303" s="3"/>
      <c r="R303" s="3"/>
      <c r="S303" s="3"/>
      <c r="T303" s="3"/>
      <c r="U303" s="3"/>
      <c r="V303" s="3"/>
      <c r="W303" s="3"/>
      <c r="X303" s="3"/>
      <c r="Y303" s="3"/>
      <c r="Z303" s="3"/>
    </row>
    <row r="304" spans="1:26" ht="22.5" customHeight="1" x14ac:dyDescent="0.85">
      <c r="A304" s="166"/>
      <c r="B304" s="167"/>
      <c r="C304" s="167"/>
      <c r="D304" s="147"/>
      <c r="E304" s="147"/>
      <c r="F304" s="147"/>
      <c r="G304" s="147"/>
      <c r="H304" s="147"/>
      <c r="I304" s="147"/>
      <c r="J304" s="147"/>
      <c r="K304" s="3"/>
      <c r="L304" s="3"/>
      <c r="M304" s="3"/>
      <c r="N304" s="3"/>
      <c r="O304" s="3"/>
      <c r="P304" s="3"/>
      <c r="Q304" s="3"/>
      <c r="R304" s="3"/>
      <c r="S304" s="3"/>
      <c r="T304" s="3"/>
      <c r="U304" s="3"/>
      <c r="V304" s="3"/>
      <c r="W304" s="3"/>
      <c r="X304" s="3"/>
      <c r="Y304" s="3"/>
      <c r="Z304" s="3"/>
    </row>
    <row r="305" spans="1:26" ht="22.5" customHeight="1" x14ac:dyDescent="0.85">
      <c r="A305" s="166"/>
      <c r="B305" s="167"/>
      <c r="C305" s="167"/>
      <c r="D305" s="147"/>
      <c r="E305" s="147"/>
      <c r="F305" s="147"/>
      <c r="G305" s="147"/>
      <c r="H305" s="147"/>
      <c r="I305" s="147"/>
      <c r="J305" s="147"/>
      <c r="K305" s="3"/>
      <c r="L305" s="3"/>
      <c r="M305" s="3"/>
      <c r="N305" s="3"/>
      <c r="O305" s="3"/>
      <c r="P305" s="3"/>
      <c r="Q305" s="3"/>
      <c r="R305" s="3"/>
      <c r="S305" s="3"/>
      <c r="T305" s="3"/>
      <c r="U305" s="3"/>
      <c r="V305" s="3"/>
      <c r="W305" s="3"/>
      <c r="X305" s="3"/>
      <c r="Y305" s="3"/>
      <c r="Z305" s="3"/>
    </row>
    <row r="306" spans="1:26" ht="22.5" customHeight="1" x14ac:dyDescent="0.85">
      <c r="A306" s="166"/>
      <c r="B306" s="167"/>
      <c r="C306" s="167"/>
      <c r="D306" s="147"/>
      <c r="E306" s="147"/>
      <c r="F306" s="147"/>
      <c r="G306" s="147"/>
      <c r="H306" s="147"/>
      <c r="I306" s="147"/>
      <c r="J306" s="147"/>
      <c r="K306" s="3"/>
      <c r="L306" s="3"/>
      <c r="M306" s="3"/>
      <c r="N306" s="3"/>
      <c r="O306" s="3"/>
      <c r="P306" s="3"/>
      <c r="Q306" s="3"/>
      <c r="R306" s="3"/>
      <c r="S306" s="3"/>
      <c r="T306" s="3"/>
      <c r="U306" s="3"/>
      <c r="V306" s="3"/>
      <c r="W306" s="3"/>
      <c r="X306" s="3"/>
      <c r="Y306" s="3"/>
      <c r="Z306" s="3"/>
    </row>
    <row r="307" spans="1:26" ht="22.5" customHeight="1" x14ac:dyDescent="0.85">
      <c r="A307" s="166"/>
      <c r="B307" s="167"/>
      <c r="C307" s="167"/>
      <c r="D307" s="147"/>
      <c r="E307" s="147"/>
      <c r="F307" s="147"/>
      <c r="G307" s="147"/>
      <c r="H307" s="147"/>
      <c r="I307" s="147"/>
      <c r="J307" s="147"/>
      <c r="K307" s="3"/>
      <c r="L307" s="3"/>
      <c r="M307" s="3"/>
      <c r="N307" s="3"/>
      <c r="O307" s="3"/>
      <c r="P307" s="3"/>
      <c r="Q307" s="3"/>
      <c r="R307" s="3"/>
      <c r="S307" s="3"/>
      <c r="T307" s="3"/>
      <c r="U307" s="3"/>
      <c r="V307" s="3"/>
      <c r="W307" s="3"/>
      <c r="X307" s="3"/>
      <c r="Y307" s="3"/>
      <c r="Z307" s="3"/>
    </row>
    <row r="308" spans="1:26" ht="22.5" customHeight="1" x14ac:dyDescent="0.85">
      <c r="A308" s="166"/>
      <c r="B308" s="167"/>
      <c r="C308" s="167"/>
      <c r="D308" s="147"/>
      <c r="E308" s="147"/>
      <c r="F308" s="147"/>
      <c r="G308" s="147"/>
      <c r="H308" s="147"/>
      <c r="I308" s="147"/>
      <c r="J308" s="147"/>
      <c r="K308" s="3"/>
      <c r="L308" s="3"/>
      <c r="M308" s="3"/>
      <c r="N308" s="3"/>
      <c r="O308" s="3"/>
      <c r="P308" s="3"/>
      <c r="Q308" s="3"/>
      <c r="R308" s="3"/>
      <c r="S308" s="3"/>
      <c r="T308" s="3"/>
      <c r="U308" s="3"/>
      <c r="V308" s="3"/>
      <c r="W308" s="3"/>
      <c r="X308" s="3"/>
      <c r="Y308" s="3"/>
      <c r="Z308" s="3"/>
    </row>
    <row r="309" spans="1:26" ht="22.5" customHeight="1" x14ac:dyDescent="0.85">
      <c r="A309" s="166"/>
      <c r="B309" s="167"/>
      <c r="C309" s="167"/>
      <c r="D309" s="147"/>
      <c r="E309" s="147"/>
      <c r="F309" s="147"/>
      <c r="G309" s="147"/>
      <c r="H309" s="147"/>
      <c r="I309" s="147"/>
      <c r="J309" s="147"/>
      <c r="K309" s="3"/>
      <c r="L309" s="3"/>
      <c r="M309" s="3"/>
      <c r="N309" s="3"/>
      <c r="O309" s="3"/>
      <c r="P309" s="3"/>
      <c r="Q309" s="3"/>
      <c r="R309" s="3"/>
      <c r="S309" s="3"/>
      <c r="T309" s="3"/>
      <c r="U309" s="3"/>
      <c r="V309" s="3"/>
      <c r="W309" s="3"/>
      <c r="X309" s="3"/>
      <c r="Y309" s="3"/>
      <c r="Z309" s="3"/>
    </row>
    <row r="310" spans="1:26" ht="22.5" customHeight="1" x14ac:dyDescent="0.85">
      <c r="A310" s="166"/>
      <c r="B310" s="167"/>
      <c r="C310" s="167"/>
      <c r="D310" s="147"/>
      <c r="E310" s="147"/>
      <c r="F310" s="147"/>
      <c r="G310" s="147"/>
      <c r="H310" s="147"/>
      <c r="I310" s="147"/>
      <c r="J310" s="147"/>
      <c r="K310" s="3"/>
      <c r="L310" s="3"/>
      <c r="M310" s="3"/>
      <c r="N310" s="3"/>
      <c r="O310" s="3"/>
      <c r="P310" s="3"/>
      <c r="Q310" s="3"/>
      <c r="R310" s="3"/>
      <c r="S310" s="3"/>
      <c r="T310" s="3"/>
      <c r="U310" s="3"/>
      <c r="V310" s="3"/>
      <c r="W310" s="3"/>
      <c r="X310" s="3"/>
      <c r="Y310" s="3"/>
      <c r="Z310" s="3"/>
    </row>
    <row r="311" spans="1:26" ht="22.5" customHeight="1" x14ac:dyDescent="0.85">
      <c r="A311" s="166"/>
      <c r="B311" s="167"/>
      <c r="C311" s="167"/>
      <c r="D311" s="147"/>
      <c r="E311" s="147"/>
      <c r="F311" s="147"/>
      <c r="G311" s="147"/>
      <c r="H311" s="147"/>
      <c r="I311" s="147"/>
      <c r="J311" s="147"/>
      <c r="K311" s="3"/>
      <c r="L311" s="3"/>
      <c r="M311" s="3"/>
      <c r="N311" s="3"/>
      <c r="O311" s="3"/>
      <c r="P311" s="3"/>
      <c r="Q311" s="3"/>
      <c r="R311" s="3"/>
      <c r="S311" s="3"/>
      <c r="T311" s="3"/>
      <c r="U311" s="3"/>
      <c r="V311" s="3"/>
      <c r="W311" s="3"/>
      <c r="X311" s="3"/>
      <c r="Y311" s="3"/>
      <c r="Z311" s="3"/>
    </row>
    <row r="312" spans="1:26" ht="22.5" customHeight="1" x14ac:dyDescent="0.85">
      <c r="A312" s="166"/>
      <c r="B312" s="167"/>
      <c r="C312" s="167"/>
      <c r="D312" s="147"/>
      <c r="E312" s="147"/>
      <c r="F312" s="147"/>
      <c r="G312" s="147"/>
      <c r="H312" s="147"/>
      <c r="I312" s="147"/>
      <c r="J312" s="147"/>
      <c r="K312" s="3"/>
      <c r="L312" s="3"/>
      <c r="M312" s="3"/>
      <c r="N312" s="3"/>
      <c r="O312" s="3"/>
      <c r="P312" s="3"/>
      <c r="Q312" s="3"/>
      <c r="R312" s="3"/>
      <c r="S312" s="3"/>
      <c r="T312" s="3"/>
      <c r="U312" s="3"/>
      <c r="V312" s="3"/>
      <c r="W312" s="3"/>
      <c r="X312" s="3"/>
      <c r="Y312" s="3"/>
      <c r="Z312" s="3"/>
    </row>
    <row r="313" spans="1:26" ht="22.5" customHeight="1" x14ac:dyDescent="0.85">
      <c r="A313" s="166"/>
      <c r="B313" s="167"/>
      <c r="C313" s="167"/>
      <c r="D313" s="147"/>
      <c r="E313" s="147"/>
      <c r="F313" s="147"/>
      <c r="G313" s="147"/>
      <c r="H313" s="147"/>
      <c r="I313" s="147"/>
      <c r="J313" s="147"/>
      <c r="K313" s="3"/>
      <c r="L313" s="3"/>
      <c r="M313" s="3"/>
      <c r="N313" s="3"/>
      <c r="O313" s="3"/>
      <c r="P313" s="3"/>
      <c r="Q313" s="3"/>
      <c r="R313" s="3"/>
      <c r="S313" s="3"/>
      <c r="T313" s="3"/>
      <c r="U313" s="3"/>
      <c r="V313" s="3"/>
      <c r="W313" s="3"/>
      <c r="X313" s="3"/>
      <c r="Y313" s="3"/>
      <c r="Z313" s="3"/>
    </row>
    <row r="314" spans="1:26" ht="22.5" customHeight="1" x14ac:dyDescent="0.85">
      <c r="A314" s="166"/>
      <c r="B314" s="167"/>
      <c r="C314" s="167"/>
      <c r="D314" s="147"/>
      <c r="E314" s="147"/>
      <c r="F314" s="147"/>
      <c r="G314" s="147"/>
      <c r="H314" s="147"/>
      <c r="I314" s="147"/>
      <c r="J314" s="147"/>
      <c r="K314" s="3"/>
      <c r="L314" s="3"/>
      <c r="M314" s="3"/>
      <c r="N314" s="3"/>
      <c r="O314" s="3"/>
      <c r="P314" s="3"/>
      <c r="Q314" s="3"/>
      <c r="R314" s="3"/>
      <c r="S314" s="3"/>
      <c r="T314" s="3"/>
      <c r="U314" s="3"/>
      <c r="V314" s="3"/>
      <c r="W314" s="3"/>
      <c r="X314" s="3"/>
      <c r="Y314" s="3"/>
      <c r="Z314" s="3"/>
    </row>
    <row r="315" spans="1:26" ht="22.5" customHeight="1" x14ac:dyDescent="0.85">
      <c r="A315" s="166"/>
      <c r="B315" s="167"/>
      <c r="C315" s="167"/>
      <c r="D315" s="147"/>
      <c r="E315" s="147"/>
      <c r="F315" s="147"/>
      <c r="G315" s="147"/>
      <c r="H315" s="147"/>
      <c r="I315" s="147"/>
      <c r="J315" s="147"/>
      <c r="K315" s="3"/>
      <c r="L315" s="3"/>
      <c r="M315" s="3"/>
      <c r="N315" s="3"/>
      <c r="O315" s="3"/>
      <c r="P315" s="3"/>
      <c r="Q315" s="3"/>
      <c r="R315" s="3"/>
      <c r="S315" s="3"/>
      <c r="T315" s="3"/>
      <c r="U315" s="3"/>
      <c r="V315" s="3"/>
      <c r="W315" s="3"/>
      <c r="X315" s="3"/>
      <c r="Y315" s="3"/>
      <c r="Z315" s="3"/>
    </row>
    <row r="316" spans="1:26" ht="22.5" customHeight="1" x14ac:dyDescent="0.85">
      <c r="A316" s="166"/>
      <c r="B316" s="167"/>
      <c r="C316" s="167"/>
      <c r="D316" s="147"/>
      <c r="E316" s="147"/>
      <c r="F316" s="147"/>
      <c r="G316" s="147"/>
      <c r="H316" s="147"/>
      <c r="I316" s="147"/>
      <c r="J316" s="147"/>
      <c r="K316" s="3"/>
      <c r="L316" s="3"/>
      <c r="M316" s="3"/>
      <c r="N316" s="3"/>
      <c r="O316" s="3"/>
      <c r="P316" s="3"/>
      <c r="Q316" s="3"/>
      <c r="R316" s="3"/>
      <c r="S316" s="3"/>
      <c r="T316" s="3"/>
      <c r="U316" s="3"/>
      <c r="V316" s="3"/>
      <c r="W316" s="3"/>
      <c r="X316" s="3"/>
      <c r="Y316" s="3"/>
      <c r="Z316" s="3"/>
    </row>
    <row r="317" spans="1:26" ht="22.5" customHeight="1" x14ac:dyDescent="0.85">
      <c r="A317" s="166"/>
      <c r="B317" s="167"/>
      <c r="C317" s="167"/>
      <c r="D317" s="147"/>
      <c r="E317" s="147"/>
      <c r="F317" s="147"/>
      <c r="G317" s="147"/>
      <c r="H317" s="147"/>
      <c r="I317" s="147"/>
      <c r="J317" s="147"/>
      <c r="K317" s="3"/>
      <c r="L317" s="3"/>
      <c r="M317" s="3"/>
      <c r="N317" s="3"/>
      <c r="O317" s="3"/>
      <c r="P317" s="3"/>
      <c r="Q317" s="3"/>
      <c r="R317" s="3"/>
      <c r="S317" s="3"/>
      <c r="T317" s="3"/>
      <c r="U317" s="3"/>
      <c r="V317" s="3"/>
      <c r="W317" s="3"/>
      <c r="X317" s="3"/>
      <c r="Y317" s="3"/>
      <c r="Z317" s="3"/>
    </row>
    <row r="318" spans="1:26" ht="22.5" customHeight="1" x14ac:dyDescent="0.85">
      <c r="A318" s="166"/>
      <c r="B318" s="167"/>
      <c r="C318" s="167"/>
      <c r="D318" s="147"/>
      <c r="E318" s="147"/>
      <c r="F318" s="147"/>
      <c r="G318" s="147"/>
      <c r="H318" s="147"/>
      <c r="I318" s="147"/>
      <c r="J318" s="147"/>
      <c r="K318" s="3"/>
      <c r="L318" s="3"/>
      <c r="M318" s="3"/>
      <c r="N318" s="3"/>
      <c r="O318" s="3"/>
      <c r="P318" s="3"/>
      <c r="Q318" s="3"/>
      <c r="R318" s="3"/>
      <c r="S318" s="3"/>
      <c r="T318" s="3"/>
      <c r="U318" s="3"/>
      <c r="V318" s="3"/>
      <c r="W318" s="3"/>
      <c r="X318" s="3"/>
      <c r="Y318" s="3"/>
      <c r="Z318" s="3"/>
    </row>
    <row r="319" spans="1:26" ht="22.5" customHeight="1" x14ac:dyDescent="0.85">
      <c r="A319" s="166"/>
      <c r="B319" s="167"/>
      <c r="C319" s="167"/>
      <c r="D319" s="147"/>
      <c r="E319" s="147"/>
      <c r="F319" s="147"/>
      <c r="G319" s="147"/>
      <c r="H319" s="147"/>
      <c r="I319" s="147"/>
      <c r="J319" s="147"/>
      <c r="K319" s="3"/>
      <c r="L319" s="3"/>
      <c r="M319" s="3"/>
      <c r="N319" s="3"/>
      <c r="O319" s="3"/>
      <c r="P319" s="3"/>
      <c r="Q319" s="3"/>
      <c r="R319" s="3"/>
      <c r="S319" s="3"/>
      <c r="T319" s="3"/>
      <c r="U319" s="3"/>
      <c r="V319" s="3"/>
      <c r="W319" s="3"/>
      <c r="X319" s="3"/>
      <c r="Y319" s="3"/>
      <c r="Z319" s="3"/>
    </row>
    <row r="320" spans="1:26" ht="22.5" customHeight="1" x14ac:dyDescent="0.85">
      <c r="A320" s="166"/>
      <c r="B320" s="167"/>
      <c r="C320" s="167"/>
      <c r="D320" s="147"/>
      <c r="E320" s="147"/>
      <c r="F320" s="147"/>
      <c r="G320" s="147"/>
      <c r="H320" s="147"/>
      <c r="I320" s="147"/>
      <c r="J320" s="147"/>
      <c r="K320" s="3"/>
      <c r="L320" s="3"/>
      <c r="M320" s="3"/>
      <c r="N320" s="3"/>
      <c r="O320" s="3"/>
      <c r="P320" s="3"/>
      <c r="Q320" s="3"/>
      <c r="R320" s="3"/>
      <c r="S320" s="3"/>
      <c r="T320" s="3"/>
      <c r="U320" s="3"/>
      <c r="V320" s="3"/>
      <c r="W320" s="3"/>
      <c r="X320" s="3"/>
      <c r="Y320" s="3"/>
      <c r="Z320" s="3"/>
    </row>
    <row r="321" spans="1:26" ht="22.5" customHeight="1" x14ac:dyDescent="0.85">
      <c r="A321" s="166"/>
      <c r="B321" s="167"/>
      <c r="C321" s="167"/>
      <c r="D321" s="147"/>
      <c r="E321" s="147"/>
      <c r="F321" s="147"/>
      <c r="G321" s="147"/>
      <c r="H321" s="147"/>
      <c r="I321" s="147"/>
      <c r="J321" s="147"/>
      <c r="K321" s="3"/>
      <c r="L321" s="3"/>
      <c r="M321" s="3"/>
      <c r="N321" s="3"/>
      <c r="O321" s="3"/>
      <c r="P321" s="3"/>
      <c r="Q321" s="3"/>
      <c r="R321" s="3"/>
      <c r="S321" s="3"/>
      <c r="T321" s="3"/>
      <c r="U321" s="3"/>
      <c r="V321" s="3"/>
      <c r="W321" s="3"/>
      <c r="X321" s="3"/>
      <c r="Y321" s="3"/>
      <c r="Z321" s="3"/>
    </row>
    <row r="322" spans="1:26" ht="22.5" customHeight="1" x14ac:dyDescent="0.85">
      <c r="A322" s="166"/>
      <c r="B322" s="167"/>
      <c r="C322" s="167"/>
      <c r="D322" s="147"/>
      <c r="E322" s="147"/>
      <c r="F322" s="147"/>
      <c r="G322" s="147"/>
      <c r="H322" s="147"/>
      <c r="I322" s="147"/>
      <c r="J322" s="147"/>
      <c r="K322" s="3"/>
      <c r="L322" s="3"/>
      <c r="M322" s="3"/>
      <c r="N322" s="3"/>
      <c r="O322" s="3"/>
      <c r="P322" s="3"/>
      <c r="Q322" s="3"/>
      <c r="R322" s="3"/>
      <c r="S322" s="3"/>
      <c r="T322" s="3"/>
      <c r="U322" s="3"/>
      <c r="V322" s="3"/>
      <c r="W322" s="3"/>
      <c r="X322" s="3"/>
      <c r="Y322" s="3"/>
      <c r="Z322" s="3"/>
    </row>
    <row r="323" spans="1:26" ht="22.5" customHeight="1" x14ac:dyDescent="0.85">
      <c r="A323" s="166"/>
      <c r="B323" s="167"/>
      <c r="C323" s="167"/>
      <c r="D323" s="147"/>
      <c r="E323" s="147"/>
      <c r="F323" s="147"/>
      <c r="G323" s="147"/>
      <c r="H323" s="147"/>
      <c r="I323" s="147"/>
      <c r="J323" s="147"/>
      <c r="K323" s="3"/>
      <c r="L323" s="3"/>
      <c r="M323" s="3"/>
      <c r="N323" s="3"/>
      <c r="O323" s="3"/>
      <c r="P323" s="3"/>
      <c r="Q323" s="3"/>
      <c r="R323" s="3"/>
      <c r="S323" s="3"/>
      <c r="T323" s="3"/>
      <c r="U323" s="3"/>
      <c r="V323" s="3"/>
      <c r="W323" s="3"/>
      <c r="X323" s="3"/>
      <c r="Y323" s="3"/>
      <c r="Z323" s="3"/>
    </row>
    <row r="324" spans="1:26" ht="22.5" customHeight="1" x14ac:dyDescent="0.85">
      <c r="A324" s="166"/>
      <c r="B324" s="167"/>
      <c r="C324" s="167"/>
      <c r="D324" s="147"/>
      <c r="E324" s="147"/>
      <c r="F324" s="147"/>
      <c r="G324" s="147"/>
      <c r="H324" s="147"/>
      <c r="I324" s="147"/>
      <c r="J324" s="147"/>
      <c r="K324" s="3"/>
      <c r="L324" s="3"/>
      <c r="M324" s="3"/>
      <c r="N324" s="3"/>
      <c r="O324" s="3"/>
      <c r="P324" s="3"/>
      <c r="Q324" s="3"/>
      <c r="R324" s="3"/>
      <c r="S324" s="3"/>
      <c r="T324" s="3"/>
      <c r="U324" s="3"/>
      <c r="V324" s="3"/>
      <c r="W324" s="3"/>
      <c r="X324" s="3"/>
      <c r="Y324" s="3"/>
      <c r="Z324" s="3"/>
    </row>
    <row r="325" spans="1:26" ht="22.5" customHeight="1" x14ac:dyDescent="0.85">
      <c r="A325" s="166"/>
      <c r="B325" s="167"/>
      <c r="C325" s="167"/>
      <c r="D325" s="147"/>
      <c r="E325" s="147"/>
      <c r="F325" s="147"/>
      <c r="G325" s="147"/>
      <c r="H325" s="147"/>
      <c r="I325" s="147"/>
      <c r="J325" s="147"/>
      <c r="K325" s="3"/>
      <c r="L325" s="3"/>
      <c r="M325" s="3"/>
      <c r="N325" s="3"/>
      <c r="O325" s="3"/>
      <c r="P325" s="3"/>
      <c r="Q325" s="3"/>
      <c r="R325" s="3"/>
      <c r="S325" s="3"/>
      <c r="T325" s="3"/>
      <c r="U325" s="3"/>
      <c r="V325" s="3"/>
      <c r="W325" s="3"/>
      <c r="X325" s="3"/>
      <c r="Y325" s="3"/>
      <c r="Z325" s="3"/>
    </row>
    <row r="326" spans="1:26" ht="22.5" customHeight="1" x14ac:dyDescent="0.85">
      <c r="A326" s="166"/>
      <c r="B326" s="167"/>
      <c r="C326" s="167"/>
      <c r="D326" s="147"/>
      <c r="E326" s="147"/>
      <c r="F326" s="147"/>
      <c r="G326" s="147"/>
      <c r="H326" s="147"/>
      <c r="I326" s="147"/>
      <c r="J326" s="147"/>
      <c r="K326" s="3"/>
      <c r="L326" s="3"/>
      <c r="M326" s="3"/>
      <c r="N326" s="3"/>
      <c r="O326" s="3"/>
      <c r="P326" s="3"/>
      <c r="Q326" s="3"/>
      <c r="R326" s="3"/>
      <c r="S326" s="3"/>
      <c r="T326" s="3"/>
      <c r="U326" s="3"/>
      <c r="V326" s="3"/>
      <c r="W326" s="3"/>
      <c r="X326" s="3"/>
      <c r="Y326" s="3"/>
      <c r="Z326" s="3"/>
    </row>
    <row r="327" spans="1:26" ht="22.5" customHeight="1" x14ac:dyDescent="0.85">
      <c r="A327" s="166"/>
      <c r="B327" s="167"/>
      <c r="C327" s="167"/>
      <c r="D327" s="147"/>
      <c r="E327" s="147"/>
      <c r="F327" s="147"/>
      <c r="G327" s="147"/>
      <c r="H327" s="147"/>
      <c r="I327" s="147"/>
      <c r="J327" s="147"/>
      <c r="K327" s="3"/>
      <c r="L327" s="3"/>
      <c r="M327" s="3"/>
      <c r="N327" s="3"/>
      <c r="O327" s="3"/>
      <c r="P327" s="3"/>
      <c r="Q327" s="3"/>
      <c r="R327" s="3"/>
      <c r="S327" s="3"/>
      <c r="T327" s="3"/>
      <c r="U327" s="3"/>
      <c r="V327" s="3"/>
      <c r="W327" s="3"/>
      <c r="X327" s="3"/>
      <c r="Y327" s="3"/>
      <c r="Z327" s="3"/>
    </row>
    <row r="328" spans="1:26" ht="22.5" customHeight="1" x14ac:dyDescent="0.85">
      <c r="A328" s="166"/>
      <c r="B328" s="167"/>
      <c r="C328" s="167"/>
      <c r="D328" s="147"/>
      <c r="E328" s="147"/>
      <c r="F328" s="147"/>
      <c r="G328" s="147"/>
      <c r="H328" s="147"/>
      <c r="I328" s="147"/>
      <c r="J328" s="147"/>
      <c r="K328" s="3"/>
      <c r="L328" s="3"/>
      <c r="M328" s="3"/>
      <c r="N328" s="3"/>
      <c r="O328" s="3"/>
      <c r="P328" s="3"/>
      <c r="Q328" s="3"/>
      <c r="R328" s="3"/>
      <c r="S328" s="3"/>
      <c r="T328" s="3"/>
      <c r="U328" s="3"/>
      <c r="V328" s="3"/>
      <c r="W328" s="3"/>
      <c r="X328" s="3"/>
      <c r="Y328" s="3"/>
      <c r="Z328" s="3"/>
    </row>
    <row r="329" spans="1:26" ht="22.5" customHeight="1" x14ac:dyDescent="0.85">
      <c r="A329" s="166"/>
      <c r="B329" s="167"/>
      <c r="C329" s="167"/>
      <c r="D329" s="147"/>
      <c r="E329" s="147"/>
      <c r="F329" s="147"/>
      <c r="G329" s="147"/>
      <c r="H329" s="147"/>
      <c r="I329" s="147"/>
      <c r="J329" s="147"/>
      <c r="K329" s="3"/>
      <c r="L329" s="3"/>
      <c r="M329" s="3"/>
      <c r="N329" s="3"/>
      <c r="O329" s="3"/>
      <c r="P329" s="3"/>
      <c r="Q329" s="3"/>
      <c r="R329" s="3"/>
      <c r="S329" s="3"/>
      <c r="T329" s="3"/>
      <c r="U329" s="3"/>
      <c r="V329" s="3"/>
      <c r="W329" s="3"/>
      <c r="X329" s="3"/>
      <c r="Y329" s="3"/>
      <c r="Z329" s="3"/>
    </row>
    <row r="330" spans="1:26" ht="22.5" customHeight="1" x14ac:dyDescent="0.85">
      <c r="A330" s="166"/>
      <c r="B330" s="167"/>
      <c r="C330" s="167"/>
      <c r="D330" s="147"/>
      <c r="E330" s="147"/>
      <c r="F330" s="147"/>
      <c r="G330" s="147"/>
      <c r="H330" s="147"/>
      <c r="I330" s="147"/>
      <c r="J330" s="147"/>
      <c r="K330" s="3"/>
      <c r="L330" s="3"/>
      <c r="M330" s="3"/>
      <c r="N330" s="3"/>
      <c r="O330" s="3"/>
      <c r="P330" s="3"/>
      <c r="Q330" s="3"/>
      <c r="R330" s="3"/>
      <c r="S330" s="3"/>
      <c r="T330" s="3"/>
      <c r="U330" s="3"/>
      <c r="V330" s="3"/>
      <c r="W330" s="3"/>
      <c r="X330" s="3"/>
      <c r="Y330" s="3"/>
      <c r="Z330" s="3"/>
    </row>
    <row r="331" spans="1:26" ht="22.5" customHeight="1" x14ac:dyDescent="0.85">
      <c r="A331" s="166"/>
      <c r="B331" s="167"/>
      <c r="C331" s="167"/>
      <c r="D331" s="147"/>
      <c r="E331" s="147"/>
      <c r="F331" s="147"/>
      <c r="G331" s="147"/>
      <c r="H331" s="147"/>
      <c r="I331" s="147"/>
      <c r="J331" s="147"/>
      <c r="K331" s="3"/>
      <c r="L331" s="3"/>
      <c r="M331" s="3"/>
      <c r="N331" s="3"/>
      <c r="O331" s="3"/>
      <c r="P331" s="3"/>
      <c r="Q331" s="3"/>
      <c r="R331" s="3"/>
      <c r="S331" s="3"/>
      <c r="T331" s="3"/>
      <c r="U331" s="3"/>
      <c r="V331" s="3"/>
      <c r="W331" s="3"/>
      <c r="X331" s="3"/>
      <c r="Y331" s="3"/>
      <c r="Z331" s="3"/>
    </row>
    <row r="332" spans="1:26" ht="22.5" customHeight="1" x14ac:dyDescent="0.85">
      <c r="A332" s="166"/>
      <c r="B332" s="167"/>
      <c r="C332" s="167"/>
      <c r="D332" s="147"/>
      <c r="E332" s="147"/>
      <c r="F332" s="147"/>
      <c r="G332" s="147"/>
      <c r="H332" s="147"/>
      <c r="I332" s="147"/>
      <c r="J332" s="147"/>
      <c r="K332" s="3"/>
      <c r="L332" s="3"/>
      <c r="M332" s="3"/>
      <c r="N332" s="3"/>
      <c r="O332" s="3"/>
      <c r="P332" s="3"/>
      <c r="Q332" s="3"/>
      <c r="R332" s="3"/>
      <c r="S332" s="3"/>
      <c r="T332" s="3"/>
      <c r="U332" s="3"/>
      <c r="V332" s="3"/>
      <c r="W332" s="3"/>
      <c r="X332" s="3"/>
      <c r="Y332" s="3"/>
      <c r="Z332" s="3"/>
    </row>
    <row r="333" spans="1:26" ht="22.5" customHeight="1" x14ac:dyDescent="0.85">
      <c r="A333" s="166"/>
      <c r="B333" s="167"/>
      <c r="C333" s="167"/>
      <c r="D333" s="147"/>
      <c r="E333" s="147"/>
      <c r="F333" s="147"/>
      <c r="G333" s="147"/>
      <c r="H333" s="147"/>
      <c r="I333" s="147"/>
      <c r="J333" s="147"/>
      <c r="K333" s="3"/>
      <c r="L333" s="3"/>
      <c r="M333" s="3"/>
      <c r="N333" s="3"/>
      <c r="O333" s="3"/>
      <c r="P333" s="3"/>
      <c r="Q333" s="3"/>
      <c r="R333" s="3"/>
      <c r="S333" s="3"/>
      <c r="T333" s="3"/>
      <c r="U333" s="3"/>
      <c r="V333" s="3"/>
      <c r="W333" s="3"/>
      <c r="X333" s="3"/>
      <c r="Y333" s="3"/>
      <c r="Z333" s="3"/>
    </row>
    <row r="334" spans="1:26" ht="22.5" customHeight="1" x14ac:dyDescent="0.85">
      <c r="A334" s="166"/>
      <c r="B334" s="167"/>
      <c r="C334" s="167"/>
      <c r="D334" s="147"/>
      <c r="E334" s="147"/>
      <c r="F334" s="147"/>
      <c r="G334" s="147"/>
      <c r="H334" s="147"/>
      <c r="I334" s="147"/>
      <c r="J334" s="147"/>
      <c r="K334" s="3"/>
      <c r="L334" s="3"/>
      <c r="M334" s="3"/>
      <c r="N334" s="3"/>
      <c r="O334" s="3"/>
      <c r="P334" s="3"/>
      <c r="Q334" s="3"/>
      <c r="R334" s="3"/>
      <c r="S334" s="3"/>
      <c r="T334" s="3"/>
      <c r="U334" s="3"/>
      <c r="V334" s="3"/>
      <c r="W334" s="3"/>
      <c r="X334" s="3"/>
      <c r="Y334" s="3"/>
      <c r="Z334" s="3"/>
    </row>
    <row r="335" spans="1:26" ht="22.5" customHeight="1" x14ac:dyDescent="0.85">
      <c r="A335" s="166"/>
      <c r="B335" s="167"/>
      <c r="C335" s="167"/>
      <c r="D335" s="147"/>
      <c r="E335" s="147"/>
      <c r="F335" s="147"/>
      <c r="G335" s="147"/>
      <c r="H335" s="147"/>
      <c r="I335" s="147"/>
      <c r="J335" s="147"/>
      <c r="K335" s="3"/>
      <c r="L335" s="3"/>
      <c r="M335" s="3"/>
      <c r="N335" s="3"/>
      <c r="O335" s="3"/>
      <c r="P335" s="3"/>
      <c r="Q335" s="3"/>
      <c r="R335" s="3"/>
      <c r="S335" s="3"/>
      <c r="T335" s="3"/>
      <c r="U335" s="3"/>
      <c r="V335" s="3"/>
      <c r="W335" s="3"/>
      <c r="X335" s="3"/>
      <c r="Y335" s="3"/>
      <c r="Z335" s="3"/>
    </row>
    <row r="336" spans="1:26" ht="22.5" customHeight="1" x14ac:dyDescent="0.85">
      <c r="A336" s="166"/>
      <c r="B336" s="167"/>
      <c r="C336" s="167"/>
      <c r="D336" s="147"/>
      <c r="E336" s="147"/>
      <c r="F336" s="147"/>
      <c r="G336" s="147"/>
      <c r="H336" s="147"/>
      <c r="I336" s="147"/>
      <c r="J336" s="147"/>
      <c r="K336" s="3"/>
      <c r="L336" s="3"/>
      <c r="M336" s="3"/>
      <c r="N336" s="3"/>
      <c r="O336" s="3"/>
      <c r="P336" s="3"/>
      <c r="Q336" s="3"/>
      <c r="R336" s="3"/>
      <c r="S336" s="3"/>
      <c r="T336" s="3"/>
      <c r="U336" s="3"/>
      <c r="V336" s="3"/>
      <c r="W336" s="3"/>
      <c r="X336" s="3"/>
      <c r="Y336" s="3"/>
      <c r="Z336" s="3"/>
    </row>
    <row r="337" spans="1:26" ht="22.5" customHeight="1" x14ac:dyDescent="0.85">
      <c r="A337" s="166"/>
      <c r="B337" s="167"/>
      <c r="C337" s="167"/>
      <c r="D337" s="147"/>
      <c r="E337" s="147"/>
      <c r="F337" s="147"/>
      <c r="G337" s="147"/>
      <c r="H337" s="147"/>
      <c r="I337" s="147"/>
      <c r="J337" s="147"/>
      <c r="K337" s="3"/>
      <c r="L337" s="3"/>
      <c r="M337" s="3"/>
      <c r="N337" s="3"/>
      <c r="O337" s="3"/>
      <c r="P337" s="3"/>
      <c r="Q337" s="3"/>
      <c r="R337" s="3"/>
      <c r="S337" s="3"/>
      <c r="T337" s="3"/>
      <c r="U337" s="3"/>
      <c r="V337" s="3"/>
      <c r="W337" s="3"/>
      <c r="X337" s="3"/>
      <c r="Y337" s="3"/>
      <c r="Z337" s="3"/>
    </row>
    <row r="338" spans="1:26" ht="22.5" customHeight="1" x14ac:dyDescent="0.85">
      <c r="A338" s="166"/>
      <c r="B338" s="167"/>
      <c r="C338" s="167"/>
      <c r="D338" s="147"/>
      <c r="E338" s="147"/>
      <c r="F338" s="147"/>
      <c r="G338" s="147"/>
      <c r="H338" s="147"/>
      <c r="I338" s="147"/>
      <c r="J338" s="147"/>
      <c r="K338" s="3"/>
      <c r="L338" s="3"/>
      <c r="M338" s="3"/>
      <c r="N338" s="3"/>
      <c r="O338" s="3"/>
      <c r="P338" s="3"/>
      <c r="Q338" s="3"/>
      <c r="R338" s="3"/>
      <c r="S338" s="3"/>
      <c r="T338" s="3"/>
      <c r="U338" s="3"/>
      <c r="V338" s="3"/>
      <c r="W338" s="3"/>
      <c r="X338" s="3"/>
      <c r="Y338" s="3"/>
      <c r="Z338" s="3"/>
    </row>
    <row r="339" spans="1:26" ht="22.5" customHeight="1" x14ac:dyDescent="0.85">
      <c r="A339" s="166"/>
      <c r="B339" s="167"/>
      <c r="C339" s="167"/>
      <c r="D339" s="147"/>
      <c r="E339" s="147"/>
      <c r="F339" s="147"/>
      <c r="G339" s="147"/>
      <c r="H339" s="147"/>
      <c r="I339" s="147"/>
      <c r="J339" s="147"/>
      <c r="K339" s="3"/>
      <c r="L339" s="3"/>
      <c r="M339" s="3"/>
      <c r="N339" s="3"/>
      <c r="O339" s="3"/>
      <c r="P339" s="3"/>
      <c r="Q339" s="3"/>
      <c r="R339" s="3"/>
      <c r="S339" s="3"/>
      <c r="T339" s="3"/>
      <c r="U339" s="3"/>
      <c r="V339" s="3"/>
      <c r="W339" s="3"/>
      <c r="X339" s="3"/>
      <c r="Y339" s="3"/>
      <c r="Z339" s="3"/>
    </row>
    <row r="340" spans="1:26" ht="22.5" customHeight="1" x14ac:dyDescent="0.85">
      <c r="A340" s="166"/>
      <c r="B340" s="167"/>
      <c r="C340" s="167"/>
      <c r="D340" s="147"/>
      <c r="E340" s="147"/>
      <c r="F340" s="147"/>
      <c r="G340" s="147"/>
      <c r="H340" s="147"/>
      <c r="I340" s="147"/>
      <c r="J340" s="147"/>
      <c r="K340" s="3"/>
      <c r="L340" s="3"/>
      <c r="M340" s="3"/>
      <c r="N340" s="3"/>
      <c r="O340" s="3"/>
      <c r="P340" s="3"/>
      <c r="Q340" s="3"/>
      <c r="R340" s="3"/>
      <c r="S340" s="3"/>
      <c r="T340" s="3"/>
      <c r="U340" s="3"/>
      <c r="V340" s="3"/>
      <c r="W340" s="3"/>
      <c r="X340" s="3"/>
      <c r="Y340" s="3"/>
      <c r="Z340" s="3"/>
    </row>
    <row r="341" spans="1:26" ht="22.5" customHeight="1" x14ac:dyDescent="0.85">
      <c r="A341" s="166"/>
      <c r="B341" s="167"/>
      <c r="C341" s="167"/>
      <c r="D341" s="147"/>
      <c r="E341" s="147"/>
      <c r="F341" s="147"/>
      <c r="G341" s="147"/>
      <c r="H341" s="147"/>
      <c r="I341" s="147"/>
      <c r="J341" s="147"/>
      <c r="K341" s="3"/>
      <c r="L341" s="3"/>
      <c r="M341" s="3"/>
      <c r="N341" s="3"/>
      <c r="O341" s="3"/>
      <c r="P341" s="3"/>
      <c r="Q341" s="3"/>
      <c r="R341" s="3"/>
      <c r="S341" s="3"/>
      <c r="T341" s="3"/>
      <c r="U341" s="3"/>
      <c r="V341" s="3"/>
      <c r="W341" s="3"/>
      <c r="X341" s="3"/>
      <c r="Y341" s="3"/>
      <c r="Z341" s="3"/>
    </row>
    <row r="342" spans="1:26" ht="22.5" customHeight="1" x14ac:dyDescent="0.85">
      <c r="A342" s="166"/>
      <c r="B342" s="167"/>
      <c r="C342" s="167"/>
      <c r="D342" s="147"/>
      <c r="E342" s="147"/>
      <c r="F342" s="147"/>
      <c r="G342" s="147"/>
      <c r="H342" s="147"/>
      <c r="I342" s="147"/>
      <c r="J342" s="147"/>
      <c r="K342" s="3"/>
      <c r="L342" s="3"/>
      <c r="M342" s="3"/>
      <c r="N342" s="3"/>
      <c r="O342" s="3"/>
      <c r="P342" s="3"/>
      <c r="Q342" s="3"/>
      <c r="R342" s="3"/>
      <c r="S342" s="3"/>
      <c r="T342" s="3"/>
      <c r="U342" s="3"/>
      <c r="V342" s="3"/>
      <c r="W342" s="3"/>
      <c r="X342" s="3"/>
      <c r="Y342" s="3"/>
      <c r="Z342" s="3"/>
    </row>
    <row r="343" spans="1:26" ht="22.5" customHeight="1" x14ac:dyDescent="0.85">
      <c r="A343" s="166"/>
      <c r="B343" s="167"/>
      <c r="C343" s="167"/>
      <c r="D343" s="147"/>
      <c r="E343" s="147"/>
      <c r="F343" s="147"/>
      <c r="G343" s="147"/>
      <c r="H343" s="147"/>
      <c r="I343" s="147"/>
      <c r="J343" s="147"/>
      <c r="K343" s="3"/>
      <c r="L343" s="3"/>
      <c r="M343" s="3"/>
      <c r="N343" s="3"/>
      <c r="O343" s="3"/>
      <c r="P343" s="3"/>
      <c r="Q343" s="3"/>
      <c r="R343" s="3"/>
      <c r="S343" s="3"/>
      <c r="T343" s="3"/>
      <c r="U343" s="3"/>
      <c r="V343" s="3"/>
      <c r="W343" s="3"/>
      <c r="X343" s="3"/>
      <c r="Y343" s="3"/>
      <c r="Z343" s="3"/>
    </row>
    <row r="344" spans="1:26" ht="22.5" customHeight="1" x14ac:dyDescent="0.85">
      <c r="A344" s="166"/>
      <c r="B344" s="167"/>
      <c r="C344" s="167"/>
      <c r="D344" s="147"/>
      <c r="E344" s="147"/>
      <c r="F344" s="147"/>
      <c r="G344" s="147"/>
      <c r="H344" s="147"/>
      <c r="I344" s="147"/>
      <c r="J344" s="147"/>
      <c r="K344" s="3"/>
      <c r="L344" s="3"/>
      <c r="M344" s="3"/>
      <c r="N344" s="3"/>
      <c r="O344" s="3"/>
      <c r="P344" s="3"/>
      <c r="Q344" s="3"/>
      <c r="R344" s="3"/>
      <c r="S344" s="3"/>
      <c r="T344" s="3"/>
      <c r="U344" s="3"/>
      <c r="V344" s="3"/>
      <c r="W344" s="3"/>
      <c r="X344" s="3"/>
      <c r="Y344" s="3"/>
      <c r="Z344" s="3"/>
    </row>
    <row r="345" spans="1:26" ht="22.5" customHeight="1" x14ac:dyDescent="0.85">
      <c r="A345" s="166"/>
      <c r="B345" s="167"/>
      <c r="C345" s="167"/>
      <c r="D345" s="147"/>
      <c r="E345" s="147"/>
      <c r="F345" s="147"/>
      <c r="G345" s="147"/>
      <c r="H345" s="147"/>
      <c r="I345" s="147"/>
      <c r="J345" s="147"/>
      <c r="K345" s="3"/>
      <c r="L345" s="3"/>
      <c r="M345" s="3"/>
      <c r="N345" s="3"/>
      <c r="O345" s="3"/>
      <c r="P345" s="3"/>
      <c r="Q345" s="3"/>
      <c r="R345" s="3"/>
      <c r="S345" s="3"/>
      <c r="T345" s="3"/>
      <c r="U345" s="3"/>
      <c r="V345" s="3"/>
      <c r="W345" s="3"/>
      <c r="X345" s="3"/>
      <c r="Y345" s="3"/>
      <c r="Z345" s="3"/>
    </row>
    <row r="346" spans="1:26" ht="22.5" customHeight="1" x14ac:dyDescent="0.85">
      <c r="A346" s="166"/>
      <c r="B346" s="167"/>
      <c r="C346" s="167"/>
      <c r="D346" s="147"/>
      <c r="E346" s="147"/>
      <c r="F346" s="147"/>
      <c r="G346" s="147"/>
      <c r="H346" s="147"/>
      <c r="I346" s="147"/>
      <c r="J346" s="147"/>
      <c r="K346" s="3"/>
      <c r="L346" s="3"/>
      <c r="M346" s="3"/>
      <c r="N346" s="3"/>
      <c r="O346" s="3"/>
      <c r="P346" s="3"/>
      <c r="Q346" s="3"/>
      <c r="R346" s="3"/>
      <c r="S346" s="3"/>
      <c r="T346" s="3"/>
      <c r="U346" s="3"/>
      <c r="V346" s="3"/>
      <c r="W346" s="3"/>
      <c r="X346" s="3"/>
      <c r="Y346" s="3"/>
      <c r="Z346" s="3"/>
    </row>
    <row r="347" spans="1:26" ht="22.5" customHeight="1" x14ac:dyDescent="0.85">
      <c r="A347" s="166"/>
      <c r="B347" s="167"/>
      <c r="C347" s="167"/>
      <c r="D347" s="147"/>
      <c r="E347" s="147"/>
      <c r="F347" s="147"/>
      <c r="G347" s="147"/>
      <c r="H347" s="147"/>
      <c r="I347" s="147"/>
      <c r="J347" s="147"/>
      <c r="K347" s="3"/>
      <c r="L347" s="3"/>
      <c r="M347" s="3"/>
      <c r="N347" s="3"/>
      <c r="O347" s="3"/>
      <c r="P347" s="3"/>
      <c r="Q347" s="3"/>
      <c r="R347" s="3"/>
      <c r="S347" s="3"/>
      <c r="T347" s="3"/>
      <c r="U347" s="3"/>
      <c r="V347" s="3"/>
      <c r="W347" s="3"/>
      <c r="X347" s="3"/>
      <c r="Y347" s="3"/>
      <c r="Z347" s="3"/>
    </row>
    <row r="348" spans="1:26" ht="22.5" customHeight="1" x14ac:dyDescent="0.85">
      <c r="A348" s="166"/>
      <c r="B348" s="167"/>
      <c r="C348" s="167"/>
      <c r="D348" s="147"/>
      <c r="E348" s="147"/>
      <c r="F348" s="147"/>
      <c r="G348" s="147"/>
      <c r="H348" s="147"/>
      <c r="I348" s="147"/>
      <c r="J348" s="147"/>
      <c r="K348" s="3"/>
      <c r="L348" s="3"/>
      <c r="M348" s="3"/>
      <c r="N348" s="3"/>
      <c r="O348" s="3"/>
      <c r="P348" s="3"/>
      <c r="Q348" s="3"/>
      <c r="R348" s="3"/>
      <c r="S348" s="3"/>
      <c r="T348" s="3"/>
      <c r="U348" s="3"/>
      <c r="V348" s="3"/>
      <c r="W348" s="3"/>
      <c r="X348" s="3"/>
      <c r="Y348" s="3"/>
      <c r="Z348" s="3"/>
    </row>
    <row r="349" spans="1:26" ht="22.5" customHeight="1" x14ac:dyDescent="0.85">
      <c r="A349" s="166"/>
      <c r="B349" s="167"/>
      <c r="C349" s="167"/>
      <c r="D349" s="147"/>
      <c r="E349" s="147"/>
      <c r="F349" s="147"/>
      <c r="G349" s="147"/>
      <c r="H349" s="147"/>
      <c r="I349" s="147"/>
      <c r="J349" s="147"/>
      <c r="K349" s="3"/>
      <c r="L349" s="3"/>
      <c r="M349" s="3"/>
      <c r="N349" s="3"/>
      <c r="O349" s="3"/>
      <c r="P349" s="3"/>
      <c r="Q349" s="3"/>
      <c r="R349" s="3"/>
      <c r="S349" s="3"/>
      <c r="T349" s="3"/>
      <c r="U349" s="3"/>
      <c r="V349" s="3"/>
      <c r="W349" s="3"/>
      <c r="X349" s="3"/>
      <c r="Y349" s="3"/>
      <c r="Z349" s="3"/>
    </row>
    <row r="350" spans="1:26" ht="22.5" customHeight="1" x14ac:dyDescent="0.85">
      <c r="A350" s="166"/>
      <c r="B350" s="167"/>
      <c r="C350" s="167"/>
      <c r="D350" s="147"/>
      <c r="E350" s="147"/>
      <c r="F350" s="147"/>
      <c r="G350" s="147"/>
      <c r="H350" s="147"/>
      <c r="I350" s="147"/>
      <c r="J350" s="147"/>
      <c r="K350" s="3"/>
      <c r="L350" s="3"/>
      <c r="M350" s="3"/>
      <c r="N350" s="3"/>
      <c r="O350" s="3"/>
      <c r="P350" s="3"/>
      <c r="Q350" s="3"/>
      <c r="R350" s="3"/>
      <c r="S350" s="3"/>
      <c r="T350" s="3"/>
      <c r="U350" s="3"/>
      <c r="V350" s="3"/>
      <c r="W350" s="3"/>
      <c r="X350" s="3"/>
      <c r="Y350" s="3"/>
      <c r="Z350" s="3"/>
    </row>
    <row r="351" spans="1:26" ht="22.5" customHeight="1" x14ac:dyDescent="0.85">
      <c r="A351" s="166"/>
      <c r="B351" s="167"/>
      <c r="C351" s="167"/>
      <c r="D351" s="147"/>
      <c r="E351" s="147"/>
      <c r="F351" s="147"/>
      <c r="G351" s="147"/>
      <c r="H351" s="147"/>
      <c r="I351" s="147"/>
      <c r="J351" s="147"/>
      <c r="K351" s="3"/>
      <c r="L351" s="3"/>
      <c r="M351" s="3"/>
      <c r="N351" s="3"/>
      <c r="O351" s="3"/>
      <c r="P351" s="3"/>
      <c r="Q351" s="3"/>
      <c r="R351" s="3"/>
      <c r="S351" s="3"/>
      <c r="T351" s="3"/>
      <c r="U351" s="3"/>
      <c r="V351" s="3"/>
      <c r="W351" s="3"/>
      <c r="X351" s="3"/>
      <c r="Y351" s="3"/>
      <c r="Z351" s="3"/>
    </row>
    <row r="352" spans="1:26" ht="22.5" customHeight="1" x14ac:dyDescent="0.85">
      <c r="A352" s="166"/>
      <c r="B352" s="167"/>
      <c r="C352" s="167"/>
      <c r="D352" s="147"/>
      <c r="E352" s="147"/>
      <c r="F352" s="147"/>
      <c r="G352" s="147"/>
      <c r="H352" s="147"/>
      <c r="I352" s="147"/>
      <c r="J352" s="147"/>
      <c r="K352" s="3"/>
      <c r="L352" s="3"/>
      <c r="M352" s="3"/>
      <c r="N352" s="3"/>
      <c r="O352" s="3"/>
      <c r="P352" s="3"/>
      <c r="Q352" s="3"/>
      <c r="R352" s="3"/>
      <c r="S352" s="3"/>
      <c r="T352" s="3"/>
      <c r="U352" s="3"/>
      <c r="V352" s="3"/>
      <c r="W352" s="3"/>
      <c r="X352" s="3"/>
      <c r="Y352" s="3"/>
      <c r="Z352" s="3"/>
    </row>
    <row r="353" spans="1:26" ht="22.5" customHeight="1" x14ac:dyDescent="0.85">
      <c r="A353" s="166"/>
      <c r="B353" s="167"/>
      <c r="C353" s="167"/>
      <c r="D353" s="147"/>
      <c r="E353" s="147"/>
      <c r="F353" s="147"/>
      <c r="G353" s="147"/>
      <c r="H353" s="147"/>
      <c r="I353" s="147"/>
      <c r="J353" s="147"/>
      <c r="K353" s="3"/>
      <c r="L353" s="3"/>
      <c r="M353" s="3"/>
      <c r="N353" s="3"/>
      <c r="O353" s="3"/>
      <c r="P353" s="3"/>
      <c r="Q353" s="3"/>
      <c r="R353" s="3"/>
      <c r="S353" s="3"/>
      <c r="T353" s="3"/>
      <c r="U353" s="3"/>
      <c r="V353" s="3"/>
      <c r="W353" s="3"/>
      <c r="X353" s="3"/>
      <c r="Y353" s="3"/>
      <c r="Z353" s="3"/>
    </row>
    <row r="354" spans="1:26" ht="22.5" customHeight="1" x14ac:dyDescent="0.85">
      <c r="A354" s="166"/>
      <c r="B354" s="167"/>
      <c r="C354" s="167"/>
      <c r="D354" s="147"/>
      <c r="E354" s="147"/>
      <c r="F354" s="147"/>
      <c r="G354" s="147"/>
      <c r="H354" s="147"/>
      <c r="I354" s="147"/>
      <c r="J354" s="147"/>
      <c r="K354" s="3"/>
      <c r="L354" s="3"/>
      <c r="M354" s="3"/>
      <c r="N354" s="3"/>
      <c r="O354" s="3"/>
      <c r="P354" s="3"/>
      <c r="Q354" s="3"/>
      <c r="R354" s="3"/>
      <c r="S354" s="3"/>
      <c r="T354" s="3"/>
      <c r="U354" s="3"/>
      <c r="V354" s="3"/>
      <c r="W354" s="3"/>
      <c r="X354" s="3"/>
      <c r="Y354" s="3"/>
      <c r="Z354" s="3"/>
    </row>
    <row r="355" spans="1:26" ht="22.5" customHeight="1" x14ac:dyDescent="0.85">
      <c r="A355" s="166"/>
      <c r="B355" s="167"/>
      <c r="C355" s="167"/>
      <c r="D355" s="147"/>
      <c r="E355" s="147"/>
      <c r="F355" s="147"/>
      <c r="G355" s="147"/>
      <c r="H355" s="147"/>
      <c r="I355" s="147"/>
      <c r="J355" s="147"/>
      <c r="K355" s="3"/>
      <c r="L355" s="3"/>
      <c r="M355" s="3"/>
      <c r="N355" s="3"/>
      <c r="O355" s="3"/>
      <c r="P355" s="3"/>
      <c r="Q355" s="3"/>
      <c r="R355" s="3"/>
      <c r="S355" s="3"/>
      <c r="T355" s="3"/>
      <c r="U355" s="3"/>
      <c r="V355" s="3"/>
      <c r="W355" s="3"/>
      <c r="X355" s="3"/>
      <c r="Y355" s="3"/>
      <c r="Z355" s="3"/>
    </row>
    <row r="356" spans="1:26" ht="22.5" customHeight="1" x14ac:dyDescent="0.85">
      <c r="A356" s="166"/>
      <c r="B356" s="167"/>
      <c r="C356" s="167"/>
      <c r="D356" s="147"/>
      <c r="E356" s="147"/>
      <c r="F356" s="147"/>
      <c r="G356" s="147"/>
      <c r="H356" s="147"/>
      <c r="I356" s="147"/>
      <c r="J356" s="147"/>
      <c r="K356" s="3"/>
      <c r="L356" s="3"/>
      <c r="M356" s="3"/>
      <c r="N356" s="3"/>
      <c r="O356" s="3"/>
      <c r="P356" s="3"/>
      <c r="Q356" s="3"/>
      <c r="R356" s="3"/>
      <c r="S356" s="3"/>
      <c r="T356" s="3"/>
      <c r="U356" s="3"/>
      <c r="V356" s="3"/>
      <c r="W356" s="3"/>
      <c r="X356" s="3"/>
      <c r="Y356" s="3"/>
      <c r="Z356" s="3"/>
    </row>
    <row r="357" spans="1:26" ht="22.5" customHeight="1" x14ac:dyDescent="0.85">
      <c r="A357" s="166"/>
      <c r="B357" s="167"/>
      <c r="C357" s="167"/>
      <c r="D357" s="147"/>
      <c r="E357" s="147"/>
      <c r="F357" s="147"/>
      <c r="G357" s="147"/>
      <c r="H357" s="147"/>
      <c r="I357" s="147"/>
      <c r="J357" s="147"/>
      <c r="K357" s="3"/>
      <c r="L357" s="3"/>
      <c r="M357" s="3"/>
      <c r="N357" s="3"/>
      <c r="O357" s="3"/>
      <c r="P357" s="3"/>
      <c r="Q357" s="3"/>
      <c r="R357" s="3"/>
      <c r="S357" s="3"/>
      <c r="T357" s="3"/>
      <c r="U357" s="3"/>
      <c r="V357" s="3"/>
      <c r="W357" s="3"/>
      <c r="X357" s="3"/>
      <c r="Y357" s="3"/>
      <c r="Z357" s="3"/>
    </row>
    <row r="358" spans="1:26" ht="22.5" customHeight="1" x14ac:dyDescent="0.85">
      <c r="A358" s="166"/>
      <c r="B358" s="167"/>
      <c r="C358" s="167"/>
      <c r="D358" s="147"/>
      <c r="E358" s="147"/>
      <c r="F358" s="147"/>
      <c r="G358" s="147"/>
      <c r="H358" s="147"/>
      <c r="I358" s="147"/>
      <c r="J358" s="147"/>
      <c r="K358" s="3"/>
      <c r="L358" s="3"/>
      <c r="M358" s="3"/>
      <c r="N358" s="3"/>
      <c r="O358" s="3"/>
      <c r="P358" s="3"/>
      <c r="Q358" s="3"/>
      <c r="R358" s="3"/>
      <c r="S358" s="3"/>
      <c r="T358" s="3"/>
      <c r="U358" s="3"/>
      <c r="V358" s="3"/>
      <c r="W358" s="3"/>
      <c r="X358" s="3"/>
      <c r="Y358" s="3"/>
      <c r="Z358" s="3"/>
    </row>
    <row r="359" spans="1:26" ht="22.5" customHeight="1" x14ac:dyDescent="0.85">
      <c r="A359" s="166"/>
      <c r="B359" s="167"/>
      <c r="C359" s="167"/>
      <c r="D359" s="147"/>
      <c r="E359" s="147"/>
      <c r="F359" s="147"/>
      <c r="G359" s="147"/>
      <c r="H359" s="147"/>
      <c r="I359" s="147"/>
      <c r="J359" s="147"/>
      <c r="K359" s="3"/>
      <c r="L359" s="3"/>
      <c r="M359" s="3"/>
      <c r="N359" s="3"/>
      <c r="O359" s="3"/>
      <c r="P359" s="3"/>
      <c r="Q359" s="3"/>
      <c r="R359" s="3"/>
      <c r="S359" s="3"/>
      <c r="T359" s="3"/>
      <c r="U359" s="3"/>
      <c r="V359" s="3"/>
      <c r="W359" s="3"/>
      <c r="X359" s="3"/>
      <c r="Y359" s="3"/>
      <c r="Z359" s="3"/>
    </row>
    <row r="360" spans="1:26" ht="22.5" customHeight="1" x14ac:dyDescent="0.85">
      <c r="A360" s="166"/>
      <c r="B360" s="167"/>
      <c r="C360" s="167"/>
      <c r="D360" s="147"/>
      <c r="E360" s="147"/>
      <c r="F360" s="147"/>
      <c r="G360" s="147"/>
      <c r="H360" s="147"/>
      <c r="I360" s="147"/>
      <c r="J360" s="147"/>
      <c r="K360" s="3"/>
      <c r="L360" s="3"/>
      <c r="M360" s="3"/>
      <c r="N360" s="3"/>
      <c r="O360" s="3"/>
      <c r="P360" s="3"/>
      <c r="Q360" s="3"/>
      <c r="R360" s="3"/>
      <c r="S360" s="3"/>
      <c r="T360" s="3"/>
      <c r="U360" s="3"/>
      <c r="V360" s="3"/>
      <c r="W360" s="3"/>
      <c r="X360" s="3"/>
      <c r="Y360" s="3"/>
      <c r="Z360" s="3"/>
    </row>
    <row r="361" spans="1:26" ht="22.5" customHeight="1" x14ac:dyDescent="0.85">
      <c r="A361" s="166"/>
      <c r="B361" s="167"/>
      <c r="C361" s="167"/>
      <c r="D361" s="147"/>
      <c r="E361" s="147"/>
      <c r="F361" s="147"/>
      <c r="G361" s="147"/>
      <c r="H361" s="147"/>
      <c r="I361" s="147"/>
      <c r="J361" s="147"/>
      <c r="K361" s="3"/>
      <c r="L361" s="3"/>
      <c r="M361" s="3"/>
      <c r="N361" s="3"/>
      <c r="O361" s="3"/>
      <c r="P361" s="3"/>
      <c r="Q361" s="3"/>
      <c r="R361" s="3"/>
      <c r="S361" s="3"/>
      <c r="T361" s="3"/>
      <c r="U361" s="3"/>
      <c r="V361" s="3"/>
      <c r="W361" s="3"/>
      <c r="X361" s="3"/>
      <c r="Y361" s="3"/>
      <c r="Z361" s="3"/>
    </row>
    <row r="362" spans="1:26" ht="22.5" customHeight="1" x14ac:dyDescent="0.85">
      <c r="A362" s="166"/>
      <c r="B362" s="167"/>
      <c r="C362" s="167"/>
      <c r="D362" s="147"/>
      <c r="E362" s="147"/>
      <c r="F362" s="147"/>
      <c r="G362" s="147"/>
      <c r="H362" s="147"/>
      <c r="I362" s="147"/>
      <c r="J362" s="147"/>
      <c r="K362" s="3"/>
      <c r="L362" s="3"/>
      <c r="M362" s="3"/>
      <c r="N362" s="3"/>
      <c r="O362" s="3"/>
      <c r="P362" s="3"/>
      <c r="Q362" s="3"/>
      <c r="R362" s="3"/>
      <c r="S362" s="3"/>
      <c r="T362" s="3"/>
      <c r="U362" s="3"/>
      <c r="V362" s="3"/>
      <c r="W362" s="3"/>
      <c r="X362" s="3"/>
      <c r="Y362" s="3"/>
      <c r="Z362" s="3"/>
    </row>
    <row r="363" spans="1:26" ht="22.5" customHeight="1" x14ac:dyDescent="0.85">
      <c r="A363" s="166"/>
      <c r="B363" s="167"/>
      <c r="C363" s="167"/>
      <c r="D363" s="147"/>
      <c r="E363" s="147"/>
      <c r="F363" s="147"/>
      <c r="G363" s="147"/>
      <c r="H363" s="147"/>
      <c r="I363" s="147"/>
      <c r="J363" s="147"/>
      <c r="K363" s="3"/>
      <c r="L363" s="3"/>
      <c r="M363" s="3"/>
      <c r="N363" s="3"/>
      <c r="O363" s="3"/>
      <c r="P363" s="3"/>
      <c r="Q363" s="3"/>
      <c r="R363" s="3"/>
      <c r="S363" s="3"/>
      <c r="T363" s="3"/>
      <c r="U363" s="3"/>
      <c r="V363" s="3"/>
      <c r="W363" s="3"/>
      <c r="X363" s="3"/>
      <c r="Y363" s="3"/>
      <c r="Z363" s="3"/>
    </row>
    <row r="364" spans="1:26" ht="22.5" customHeight="1" x14ac:dyDescent="0.85">
      <c r="A364" s="166"/>
      <c r="B364" s="167"/>
      <c r="C364" s="167"/>
      <c r="D364" s="147"/>
      <c r="E364" s="147"/>
      <c r="F364" s="147"/>
      <c r="G364" s="147"/>
      <c r="H364" s="147"/>
      <c r="I364" s="147"/>
      <c r="J364" s="147"/>
      <c r="K364" s="3"/>
      <c r="L364" s="3"/>
      <c r="M364" s="3"/>
      <c r="N364" s="3"/>
      <c r="O364" s="3"/>
      <c r="P364" s="3"/>
      <c r="Q364" s="3"/>
      <c r="R364" s="3"/>
      <c r="S364" s="3"/>
      <c r="T364" s="3"/>
      <c r="U364" s="3"/>
      <c r="V364" s="3"/>
      <c r="W364" s="3"/>
      <c r="X364" s="3"/>
      <c r="Y364" s="3"/>
      <c r="Z364" s="3"/>
    </row>
    <row r="365" spans="1:26" ht="22.5" customHeight="1" x14ac:dyDescent="0.85">
      <c r="A365" s="166"/>
      <c r="B365" s="167"/>
      <c r="C365" s="167"/>
      <c r="D365" s="147"/>
      <c r="E365" s="147"/>
      <c r="F365" s="147"/>
      <c r="G365" s="147"/>
      <c r="H365" s="147"/>
      <c r="I365" s="147"/>
      <c r="J365" s="147"/>
      <c r="K365" s="3"/>
      <c r="L365" s="3"/>
      <c r="M365" s="3"/>
      <c r="N365" s="3"/>
      <c r="O365" s="3"/>
      <c r="P365" s="3"/>
      <c r="Q365" s="3"/>
      <c r="R365" s="3"/>
      <c r="S365" s="3"/>
      <c r="T365" s="3"/>
      <c r="U365" s="3"/>
      <c r="V365" s="3"/>
      <c r="W365" s="3"/>
      <c r="X365" s="3"/>
      <c r="Y365" s="3"/>
      <c r="Z365" s="3"/>
    </row>
    <row r="366" spans="1:26" ht="22.5" customHeight="1" x14ac:dyDescent="0.85">
      <c r="A366" s="166"/>
      <c r="B366" s="167"/>
      <c r="C366" s="167"/>
      <c r="D366" s="147"/>
      <c r="E366" s="147"/>
      <c r="F366" s="147"/>
      <c r="G366" s="147"/>
      <c r="H366" s="147"/>
      <c r="I366" s="147"/>
      <c r="J366" s="147"/>
      <c r="K366" s="3"/>
      <c r="L366" s="3"/>
      <c r="M366" s="3"/>
      <c r="N366" s="3"/>
      <c r="O366" s="3"/>
      <c r="P366" s="3"/>
      <c r="Q366" s="3"/>
      <c r="R366" s="3"/>
      <c r="S366" s="3"/>
      <c r="T366" s="3"/>
      <c r="U366" s="3"/>
      <c r="V366" s="3"/>
      <c r="W366" s="3"/>
      <c r="X366" s="3"/>
      <c r="Y366" s="3"/>
      <c r="Z366" s="3"/>
    </row>
    <row r="367" spans="1:26" ht="22.5" customHeight="1" x14ac:dyDescent="0.85">
      <c r="A367" s="166"/>
      <c r="B367" s="167"/>
      <c r="C367" s="167"/>
      <c r="D367" s="147"/>
      <c r="E367" s="147"/>
      <c r="F367" s="147"/>
      <c r="G367" s="147"/>
      <c r="H367" s="147"/>
      <c r="I367" s="147"/>
      <c r="J367" s="147"/>
      <c r="K367" s="3"/>
      <c r="L367" s="3"/>
      <c r="M367" s="3"/>
      <c r="N367" s="3"/>
      <c r="O367" s="3"/>
      <c r="P367" s="3"/>
      <c r="Q367" s="3"/>
      <c r="R367" s="3"/>
      <c r="S367" s="3"/>
      <c r="T367" s="3"/>
      <c r="U367" s="3"/>
      <c r="V367" s="3"/>
      <c r="W367" s="3"/>
      <c r="X367" s="3"/>
      <c r="Y367" s="3"/>
      <c r="Z367" s="3"/>
    </row>
    <row r="368" spans="1:26" ht="22.5" customHeight="1" x14ac:dyDescent="0.85">
      <c r="A368" s="166"/>
      <c r="B368" s="167"/>
      <c r="C368" s="167"/>
      <c r="D368" s="147"/>
      <c r="E368" s="147"/>
      <c r="F368" s="147"/>
      <c r="G368" s="147"/>
      <c r="H368" s="147"/>
      <c r="I368" s="147"/>
      <c r="J368" s="147"/>
      <c r="K368" s="3"/>
      <c r="L368" s="3"/>
      <c r="M368" s="3"/>
      <c r="N368" s="3"/>
      <c r="O368" s="3"/>
      <c r="P368" s="3"/>
      <c r="Q368" s="3"/>
      <c r="R368" s="3"/>
      <c r="S368" s="3"/>
      <c r="T368" s="3"/>
      <c r="U368" s="3"/>
      <c r="V368" s="3"/>
      <c r="W368" s="3"/>
      <c r="X368" s="3"/>
      <c r="Y368" s="3"/>
      <c r="Z368" s="3"/>
    </row>
    <row r="369" spans="1:26" ht="22.5" customHeight="1" x14ac:dyDescent="0.85">
      <c r="A369" s="166"/>
      <c r="B369" s="167"/>
      <c r="C369" s="167"/>
      <c r="D369" s="147"/>
      <c r="E369" s="147"/>
      <c r="F369" s="147"/>
      <c r="G369" s="147"/>
      <c r="H369" s="147"/>
      <c r="I369" s="147"/>
      <c r="J369" s="147"/>
      <c r="K369" s="3"/>
      <c r="L369" s="3"/>
      <c r="M369" s="3"/>
      <c r="N369" s="3"/>
      <c r="O369" s="3"/>
      <c r="P369" s="3"/>
      <c r="Q369" s="3"/>
      <c r="R369" s="3"/>
      <c r="S369" s="3"/>
      <c r="T369" s="3"/>
      <c r="U369" s="3"/>
      <c r="V369" s="3"/>
      <c r="W369" s="3"/>
      <c r="X369" s="3"/>
      <c r="Y369" s="3"/>
      <c r="Z369" s="3"/>
    </row>
    <row r="370" spans="1:26" ht="22.5" customHeight="1" x14ac:dyDescent="0.85">
      <c r="A370" s="166"/>
      <c r="B370" s="167"/>
      <c r="C370" s="167"/>
      <c r="D370" s="147"/>
      <c r="E370" s="147"/>
      <c r="F370" s="147"/>
      <c r="G370" s="147"/>
      <c r="H370" s="147"/>
      <c r="I370" s="147"/>
      <c r="J370" s="147"/>
      <c r="K370" s="3"/>
      <c r="L370" s="3"/>
      <c r="M370" s="3"/>
      <c r="N370" s="3"/>
      <c r="O370" s="3"/>
      <c r="P370" s="3"/>
      <c r="Q370" s="3"/>
      <c r="R370" s="3"/>
      <c r="S370" s="3"/>
      <c r="T370" s="3"/>
      <c r="U370" s="3"/>
      <c r="V370" s="3"/>
      <c r="W370" s="3"/>
      <c r="X370" s="3"/>
      <c r="Y370" s="3"/>
      <c r="Z370" s="3"/>
    </row>
    <row r="371" spans="1:26" ht="22.5" customHeight="1" x14ac:dyDescent="0.85">
      <c r="A371" s="166"/>
      <c r="B371" s="167"/>
      <c r="C371" s="167"/>
      <c r="D371" s="147"/>
      <c r="E371" s="147"/>
      <c r="F371" s="147"/>
      <c r="G371" s="147"/>
      <c r="H371" s="147"/>
      <c r="I371" s="147"/>
      <c r="J371" s="147"/>
      <c r="K371" s="3"/>
      <c r="L371" s="3"/>
      <c r="M371" s="3"/>
      <c r="N371" s="3"/>
      <c r="O371" s="3"/>
      <c r="P371" s="3"/>
      <c r="Q371" s="3"/>
      <c r="R371" s="3"/>
      <c r="S371" s="3"/>
      <c r="T371" s="3"/>
      <c r="U371" s="3"/>
      <c r="V371" s="3"/>
      <c r="W371" s="3"/>
      <c r="X371" s="3"/>
      <c r="Y371" s="3"/>
      <c r="Z371" s="3"/>
    </row>
    <row r="372" spans="1:26" ht="22.5" customHeight="1" x14ac:dyDescent="0.85">
      <c r="A372" s="166"/>
      <c r="B372" s="167"/>
      <c r="C372" s="167"/>
      <c r="D372" s="147"/>
      <c r="E372" s="147"/>
      <c r="F372" s="147"/>
      <c r="G372" s="147"/>
      <c r="H372" s="147"/>
      <c r="I372" s="147"/>
      <c r="J372" s="147"/>
      <c r="K372" s="3"/>
      <c r="L372" s="3"/>
      <c r="M372" s="3"/>
      <c r="N372" s="3"/>
      <c r="O372" s="3"/>
      <c r="P372" s="3"/>
      <c r="Q372" s="3"/>
      <c r="R372" s="3"/>
      <c r="S372" s="3"/>
      <c r="T372" s="3"/>
      <c r="U372" s="3"/>
      <c r="V372" s="3"/>
      <c r="W372" s="3"/>
      <c r="X372" s="3"/>
      <c r="Y372" s="3"/>
      <c r="Z372" s="3"/>
    </row>
    <row r="373" spans="1:26" ht="22.5" customHeight="1" x14ac:dyDescent="0.85">
      <c r="A373" s="166"/>
      <c r="B373" s="167"/>
      <c r="C373" s="167"/>
      <c r="D373" s="147"/>
      <c r="E373" s="147"/>
      <c r="F373" s="147"/>
      <c r="G373" s="147"/>
      <c r="H373" s="147"/>
      <c r="I373" s="147"/>
      <c r="J373" s="147"/>
      <c r="K373" s="3"/>
      <c r="L373" s="3"/>
      <c r="M373" s="3"/>
      <c r="N373" s="3"/>
      <c r="O373" s="3"/>
      <c r="P373" s="3"/>
      <c r="Q373" s="3"/>
      <c r="R373" s="3"/>
      <c r="S373" s="3"/>
      <c r="T373" s="3"/>
      <c r="U373" s="3"/>
      <c r="V373" s="3"/>
      <c r="W373" s="3"/>
      <c r="X373" s="3"/>
      <c r="Y373" s="3"/>
      <c r="Z373" s="3"/>
    </row>
    <row r="374" spans="1:26" ht="22.5" customHeight="1" x14ac:dyDescent="0.85">
      <c r="A374" s="166"/>
      <c r="B374" s="167"/>
      <c r="C374" s="167"/>
      <c r="D374" s="147"/>
      <c r="E374" s="147"/>
      <c r="F374" s="147"/>
      <c r="G374" s="147"/>
      <c r="H374" s="147"/>
      <c r="I374" s="147"/>
      <c r="J374" s="147"/>
      <c r="K374" s="3"/>
      <c r="L374" s="3"/>
      <c r="M374" s="3"/>
      <c r="N374" s="3"/>
      <c r="O374" s="3"/>
      <c r="P374" s="3"/>
      <c r="Q374" s="3"/>
      <c r="R374" s="3"/>
      <c r="S374" s="3"/>
      <c r="T374" s="3"/>
      <c r="U374" s="3"/>
      <c r="V374" s="3"/>
      <c r="W374" s="3"/>
      <c r="X374" s="3"/>
      <c r="Y374" s="3"/>
      <c r="Z374" s="3"/>
    </row>
    <row r="375" spans="1:26" ht="22.5" customHeight="1" x14ac:dyDescent="0.85">
      <c r="A375" s="166"/>
      <c r="B375" s="167"/>
      <c r="C375" s="167"/>
      <c r="D375" s="147"/>
      <c r="E375" s="147"/>
      <c r="F375" s="147"/>
      <c r="G375" s="147"/>
      <c r="H375" s="147"/>
      <c r="I375" s="147"/>
      <c r="J375" s="147"/>
      <c r="K375" s="3"/>
      <c r="L375" s="3"/>
      <c r="M375" s="3"/>
      <c r="N375" s="3"/>
      <c r="O375" s="3"/>
      <c r="P375" s="3"/>
      <c r="Q375" s="3"/>
      <c r="R375" s="3"/>
      <c r="S375" s="3"/>
      <c r="T375" s="3"/>
      <c r="U375" s="3"/>
      <c r="V375" s="3"/>
      <c r="W375" s="3"/>
      <c r="X375" s="3"/>
      <c r="Y375" s="3"/>
      <c r="Z375" s="3"/>
    </row>
    <row r="376" spans="1:26" ht="22.5" customHeight="1" x14ac:dyDescent="0.85">
      <c r="A376" s="166"/>
      <c r="B376" s="167"/>
      <c r="C376" s="167"/>
      <c r="D376" s="147"/>
      <c r="E376" s="147"/>
      <c r="F376" s="147"/>
      <c r="G376" s="147"/>
      <c r="H376" s="147"/>
      <c r="I376" s="147"/>
      <c r="J376" s="147"/>
      <c r="K376" s="3"/>
      <c r="L376" s="3"/>
      <c r="M376" s="3"/>
      <c r="N376" s="3"/>
      <c r="O376" s="3"/>
      <c r="P376" s="3"/>
      <c r="Q376" s="3"/>
      <c r="R376" s="3"/>
      <c r="S376" s="3"/>
      <c r="T376" s="3"/>
      <c r="U376" s="3"/>
      <c r="V376" s="3"/>
      <c r="W376" s="3"/>
      <c r="X376" s="3"/>
      <c r="Y376" s="3"/>
      <c r="Z376" s="3"/>
    </row>
    <row r="377" spans="1:26" ht="22.5" customHeight="1" x14ac:dyDescent="0.85">
      <c r="A377" s="166"/>
      <c r="B377" s="167"/>
      <c r="C377" s="167"/>
      <c r="D377" s="147"/>
      <c r="E377" s="147"/>
      <c r="F377" s="147"/>
      <c r="G377" s="147"/>
      <c r="H377" s="147"/>
      <c r="I377" s="147"/>
      <c r="J377" s="147"/>
      <c r="K377" s="3"/>
      <c r="L377" s="3"/>
      <c r="M377" s="3"/>
      <c r="N377" s="3"/>
      <c r="O377" s="3"/>
      <c r="P377" s="3"/>
      <c r="Q377" s="3"/>
      <c r="R377" s="3"/>
      <c r="S377" s="3"/>
      <c r="T377" s="3"/>
      <c r="U377" s="3"/>
      <c r="V377" s="3"/>
      <c r="W377" s="3"/>
      <c r="X377" s="3"/>
      <c r="Y377" s="3"/>
      <c r="Z377" s="3"/>
    </row>
    <row r="378" spans="1:26" ht="22.5" customHeight="1" x14ac:dyDescent="0.85">
      <c r="A378" s="166"/>
      <c r="B378" s="167"/>
      <c r="C378" s="167"/>
      <c r="D378" s="147"/>
      <c r="E378" s="147"/>
      <c r="F378" s="147"/>
      <c r="G378" s="147"/>
      <c r="H378" s="147"/>
      <c r="I378" s="147"/>
      <c r="J378" s="147"/>
      <c r="K378" s="3"/>
      <c r="L378" s="3"/>
      <c r="M378" s="3"/>
      <c r="N378" s="3"/>
      <c r="O378" s="3"/>
      <c r="P378" s="3"/>
      <c r="Q378" s="3"/>
      <c r="R378" s="3"/>
      <c r="S378" s="3"/>
      <c r="T378" s="3"/>
      <c r="U378" s="3"/>
      <c r="V378" s="3"/>
      <c r="W378" s="3"/>
      <c r="X378" s="3"/>
      <c r="Y378" s="3"/>
      <c r="Z378" s="3"/>
    </row>
    <row r="379" spans="1:26" ht="22.5" customHeight="1" x14ac:dyDescent="0.85">
      <c r="A379" s="166"/>
      <c r="B379" s="167"/>
      <c r="C379" s="167"/>
      <c r="D379" s="147"/>
      <c r="E379" s="147"/>
      <c r="F379" s="147"/>
      <c r="G379" s="147"/>
      <c r="H379" s="147"/>
      <c r="I379" s="147"/>
      <c r="J379" s="147"/>
      <c r="K379" s="3"/>
      <c r="L379" s="3"/>
      <c r="M379" s="3"/>
      <c r="N379" s="3"/>
      <c r="O379" s="3"/>
      <c r="P379" s="3"/>
      <c r="Q379" s="3"/>
      <c r="R379" s="3"/>
      <c r="S379" s="3"/>
      <c r="T379" s="3"/>
      <c r="U379" s="3"/>
      <c r="V379" s="3"/>
      <c r="W379" s="3"/>
      <c r="X379" s="3"/>
      <c r="Y379" s="3"/>
      <c r="Z379" s="3"/>
    </row>
    <row r="380" spans="1:26" ht="22.5" customHeight="1" x14ac:dyDescent="0.85">
      <c r="A380" s="166"/>
      <c r="B380" s="167"/>
      <c r="C380" s="167"/>
      <c r="D380" s="147"/>
      <c r="E380" s="147"/>
      <c r="F380" s="147"/>
      <c r="G380" s="147"/>
      <c r="H380" s="147"/>
      <c r="I380" s="147"/>
      <c r="J380" s="147"/>
      <c r="K380" s="3"/>
      <c r="L380" s="3"/>
      <c r="M380" s="3"/>
      <c r="N380" s="3"/>
      <c r="O380" s="3"/>
      <c r="P380" s="3"/>
      <c r="Q380" s="3"/>
      <c r="R380" s="3"/>
      <c r="S380" s="3"/>
      <c r="T380" s="3"/>
      <c r="U380" s="3"/>
      <c r="V380" s="3"/>
      <c r="W380" s="3"/>
      <c r="X380" s="3"/>
      <c r="Y380" s="3"/>
      <c r="Z380" s="3"/>
    </row>
    <row r="381" spans="1:26" ht="22.5" customHeight="1" x14ac:dyDescent="0.85">
      <c r="A381" s="166"/>
      <c r="B381" s="167"/>
      <c r="C381" s="167"/>
      <c r="D381" s="147"/>
      <c r="E381" s="147"/>
      <c r="F381" s="147"/>
      <c r="G381" s="147"/>
      <c r="H381" s="147"/>
      <c r="I381" s="147"/>
      <c r="J381" s="147"/>
      <c r="K381" s="3"/>
      <c r="L381" s="3"/>
      <c r="M381" s="3"/>
      <c r="N381" s="3"/>
      <c r="O381" s="3"/>
      <c r="P381" s="3"/>
      <c r="Q381" s="3"/>
      <c r="R381" s="3"/>
      <c r="S381" s="3"/>
      <c r="T381" s="3"/>
      <c r="U381" s="3"/>
      <c r="V381" s="3"/>
      <c r="W381" s="3"/>
      <c r="X381" s="3"/>
      <c r="Y381" s="3"/>
      <c r="Z381" s="3"/>
    </row>
    <row r="382" spans="1:26" ht="22.5" customHeight="1" x14ac:dyDescent="0.85">
      <c r="A382" s="166"/>
      <c r="B382" s="167"/>
      <c r="C382" s="167"/>
      <c r="D382" s="147"/>
      <c r="E382" s="147"/>
      <c r="F382" s="147"/>
      <c r="G382" s="147"/>
      <c r="H382" s="147"/>
      <c r="I382" s="147"/>
      <c r="J382" s="147"/>
      <c r="K382" s="3"/>
      <c r="L382" s="3"/>
      <c r="M382" s="3"/>
      <c r="N382" s="3"/>
      <c r="O382" s="3"/>
      <c r="P382" s="3"/>
      <c r="Q382" s="3"/>
      <c r="R382" s="3"/>
      <c r="S382" s="3"/>
      <c r="T382" s="3"/>
      <c r="U382" s="3"/>
      <c r="V382" s="3"/>
      <c r="W382" s="3"/>
      <c r="X382" s="3"/>
      <c r="Y382" s="3"/>
      <c r="Z382" s="3"/>
    </row>
    <row r="383" spans="1:26" ht="22.5" customHeight="1" x14ac:dyDescent="0.85">
      <c r="A383" s="166"/>
      <c r="B383" s="167"/>
      <c r="C383" s="167"/>
      <c r="D383" s="147"/>
      <c r="E383" s="147"/>
      <c r="F383" s="147"/>
      <c r="G383" s="147"/>
      <c r="H383" s="147"/>
      <c r="I383" s="147"/>
      <c r="J383" s="147"/>
      <c r="K383" s="3"/>
      <c r="L383" s="3"/>
      <c r="M383" s="3"/>
      <c r="N383" s="3"/>
      <c r="O383" s="3"/>
      <c r="P383" s="3"/>
      <c r="Q383" s="3"/>
      <c r="R383" s="3"/>
      <c r="S383" s="3"/>
      <c r="T383" s="3"/>
      <c r="U383" s="3"/>
      <c r="V383" s="3"/>
      <c r="W383" s="3"/>
      <c r="X383" s="3"/>
      <c r="Y383" s="3"/>
      <c r="Z383" s="3"/>
    </row>
    <row r="384" spans="1:26" ht="22.5" customHeight="1" x14ac:dyDescent="0.85">
      <c r="A384" s="166"/>
      <c r="B384" s="167"/>
      <c r="C384" s="167"/>
      <c r="D384" s="147"/>
      <c r="E384" s="147"/>
      <c r="F384" s="147"/>
      <c r="G384" s="147"/>
      <c r="H384" s="147"/>
      <c r="I384" s="147"/>
      <c r="J384" s="147"/>
      <c r="K384" s="3"/>
      <c r="L384" s="3"/>
      <c r="M384" s="3"/>
      <c r="N384" s="3"/>
      <c r="O384" s="3"/>
      <c r="P384" s="3"/>
      <c r="Q384" s="3"/>
      <c r="R384" s="3"/>
      <c r="S384" s="3"/>
      <c r="T384" s="3"/>
      <c r="U384" s="3"/>
      <c r="V384" s="3"/>
      <c r="W384" s="3"/>
      <c r="X384" s="3"/>
      <c r="Y384" s="3"/>
      <c r="Z384" s="3"/>
    </row>
    <row r="385" spans="1:26" ht="22.5" customHeight="1" x14ac:dyDescent="0.85">
      <c r="A385" s="166"/>
      <c r="B385" s="167"/>
      <c r="C385" s="167"/>
      <c r="D385" s="147"/>
      <c r="E385" s="147"/>
      <c r="F385" s="147"/>
      <c r="G385" s="147"/>
      <c r="H385" s="147"/>
      <c r="I385" s="147"/>
      <c r="J385" s="147"/>
      <c r="K385" s="3"/>
      <c r="L385" s="3"/>
      <c r="M385" s="3"/>
      <c r="N385" s="3"/>
      <c r="O385" s="3"/>
      <c r="P385" s="3"/>
      <c r="Q385" s="3"/>
      <c r="R385" s="3"/>
      <c r="S385" s="3"/>
      <c r="T385" s="3"/>
      <c r="U385" s="3"/>
      <c r="V385" s="3"/>
      <c r="W385" s="3"/>
      <c r="X385" s="3"/>
      <c r="Y385" s="3"/>
      <c r="Z385" s="3"/>
    </row>
    <row r="386" spans="1:26" ht="22.5" customHeight="1" x14ac:dyDescent="0.85">
      <c r="A386" s="166"/>
      <c r="B386" s="167"/>
      <c r="C386" s="167"/>
      <c r="D386" s="147"/>
      <c r="E386" s="147"/>
      <c r="F386" s="147"/>
      <c r="G386" s="147"/>
      <c r="H386" s="147"/>
      <c r="I386" s="147"/>
      <c r="J386" s="147"/>
      <c r="K386" s="3"/>
      <c r="L386" s="3"/>
      <c r="M386" s="3"/>
      <c r="N386" s="3"/>
      <c r="O386" s="3"/>
      <c r="P386" s="3"/>
      <c r="Q386" s="3"/>
      <c r="R386" s="3"/>
      <c r="S386" s="3"/>
      <c r="T386" s="3"/>
      <c r="U386" s="3"/>
      <c r="V386" s="3"/>
      <c r="W386" s="3"/>
      <c r="X386" s="3"/>
      <c r="Y386" s="3"/>
      <c r="Z386" s="3"/>
    </row>
    <row r="387" spans="1:26" ht="22.5" customHeight="1" x14ac:dyDescent="0.85">
      <c r="A387" s="166"/>
      <c r="B387" s="167"/>
      <c r="C387" s="167"/>
      <c r="D387" s="147"/>
      <c r="E387" s="147"/>
      <c r="F387" s="147"/>
      <c r="G387" s="147"/>
      <c r="H387" s="147"/>
      <c r="I387" s="147"/>
      <c r="J387" s="147"/>
      <c r="K387" s="3"/>
      <c r="L387" s="3"/>
      <c r="M387" s="3"/>
      <c r="N387" s="3"/>
      <c r="O387" s="3"/>
      <c r="P387" s="3"/>
      <c r="Q387" s="3"/>
      <c r="R387" s="3"/>
      <c r="S387" s="3"/>
      <c r="T387" s="3"/>
      <c r="U387" s="3"/>
      <c r="V387" s="3"/>
      <c r="W387" s="3"/>
      <c r="X387" s="3"/>
      <c r="Y387" s="3"/>
      <c r="Z387" s="3"/>
    </row>
    <row r="388" spans="1:26" ht="22.5" customHeight="1" x14ac:dyDescent="0.85">
      <c r="A388" s="166"/>
      <c r="B388" s="167"/>
      <c r="C388" s="167"/>
      <c r="D388" s="147"/>
      <c r="E388" s="147"/>
      <c r="F388" s="147"/>
      <c r="G388" s="147"/>
      <c r="H388" s="147"/>
      <c r="I388" s="147"/>
      <c r="J388" s="147"/>
      <c r="K388" s="3"/>
      <c r="L388" s="3"/>
      <c r="M388" s="3"/>
      <c r="N388" s="3"/>
      <c r="O388" s="3"/>
      <c r="P388" s="3"/>
      <c r="Q388" s="3"/>
      <c r="R388" s="3"/>
      <c r="S388" s="3"/>
      <c r="T388" s="3"/>
      <c r="U388" s="3"/>
      <c r="V388" s="3"/>
      <c r="W388" s="3"/>
      <c r="X388" s="3"/>
      <c r="Y388" s="3"/>
      <c r="Z388" s="3"/>
    </row>
    <row r="389" spans="1:26" ht="22.5" customHeight="1" x14ac:dyDescent="0.85">
      <c r="A389" s="166"/>
      <c r="B389" s="167"/>
      <c r="C389" s="167"/>
      <c r="D389" s="147"/>
      <c r="E389" s="147"/>
      <c r="F389" s="147"/>
      <c r="G389" s="147"/>
      <c r="H389" s="147"/>
      <c r="I389" s="147"/>
      <c r="J389" s="147"/>
      <c r="K389" s="3"/>
      <c r="L389" s="3"/>
      <c r="M389" s="3"/>
      <c r="N389" s="3"/>
      <c r="O389" s="3"/>
      <c r="P389" s="3"/>
      <c r="Q389" s="3"/>
      <c r="R389" s="3"/>
      <c r="S389" s="3"/>
      <c r="T389" s="3"/>
      <c r="U389" s="3"/>
      <c r="V389" s="3"/>
      <c r="W389" s="3"/>
      <c r="X389" s="3"/>
      <c r="Y389" s="3"/>
      <c r="Z389" s="3"/>
    </row>
    <row r="390" spans="1:26" ht="22.5" customHeight="1" x14ac:dyDescent="0.85">
      <c r="A390" s="166"/>
      <c r="B390" s="167"/>
      <c r="C390" s="167"/>
      <c r="D390" s="147"/>
      <c r="E390" s="147"/>
      <c r="F390" s="147"/>
      <c r="G390" s="147"/>
      <c r="H390" s="147"/>
      <c r="I390" s="147"/>
      <c r="J390" s="147"/>
      <c r="K390" s="3"/>
      <c r="L390" s="3"/>
      <c r="M390" s="3"/>
      <c r="N390" s="3"/>
      <c r="O390" s="3"/>
      <c r="P390" s="3"/>
      <c r="Q390" s="3"/>
      <c r="R390" s="3"/>
      <c r="S390" s="3"/>
      <c r="T390" s="3"/>
      <c r="U390" s="3"/>
      <c r="V390" s="3"/>
      <c r="W390" s="3"/>
      <c r="X390" s="3"/>
      <c r="Y390" s="3"/>
      <c r="Z390" s="3"/>
    </row>
    <row r="391" spans="1:26" ht="22.5" customHeight="1" x14ac:dyDescent="0.85">
      <c r="A391" s="166"/>
      <c r="B391" s="167"/>
      <c r="C391" s="167"/>
      <c r="D391" s="147"/>
      <c r="E391" s="147"/>
      <c r="F391" s="147"/>
      <c r="G391" s="147"/>
      <c r="H391" s="147"/>
      <c r="I391" s="147"/>
      <c r="J391" s="147"/>
      <c r="K391" s="3"/>
      <c r="L391" s="3"/>
      <c r="M391" s="3"/>
      <c r="N391" s="3"/>
      <c r="O391" s="3"/>
      <c r="P391" s="3"/>
      <c r="Q391" s="3"/>
      <c r="R391" s="3"/>
      <c r="S391" s="3"/>
      <c r="T391" s="3"/>
      <c r="U391" s="3"/>
      <c r="V391" s="3"/>
      <c r="W391" s="3"/>
      <c r="X391" s="3"/>
      <c r="Y391" s="3"/>
      <c r="Z391" s="3"/>
    </row>
    <row r="392" spans="1:26" ht="22.5" customHeight="1" x14ac:dyDescent="0.85">
      <c r="A392" s="166"/>
      <c r="B392" s="167"/>
      <c r="C392" s="167"/>
      <c r="D392" s="147"/>
      <c r="E392" s="147"/>
      <c r="F392" s="147"/>
      <c r="G392" s="147"/>
      <c r="H392" s="147"/>
      <c r="I392" s="147"/>
      <c r="J392" s="147"/>
      <c r="K392" s="3"/>
      <c r="L392" s="3"/>
      <c r="M392" s="3"/>
      <c r="N392" s="3"/>
      <c r="O392" s="3"/>
      <c r="P392" s="3"/>
      <c r="Q392" s="3"/>
      <c r="R392" s="3"/>
      <c r="S392" s="3"/>
      <c r="T392" s="3"/>
      <c r="U392" s="3"/>
      <c r="V392" s="3"/>
      <c r="W392" s="3"/>
      <c r="X392" s="3"/>
      <c r="Y392" s="3"/>
      <c r="Z392" s="3"/>
    </row>
    <row r="393" spans="1:26" ht="22.5" customHeight="1" x14ac:dyDescent="0.85">
      <c r="A393" s="166"/>
      <c r="B393" s="167"/>
      <c r="C393" s="167"/>
      <c r="D393" s="147"/>
      <c r="E393" s="147"/>
      <c r="F393" s="147"/>
      <c r="G393" s="147"/>
      <c r="H393" s="147"/>
      <c r="I393" s="147"/>
      <c r="J393" s="147"/>
      <c r="K393" s="3"/>
      <c r="L393" s="3"/>
      <c r="M393" s="3"/>
      <c r="N393" s="3"/>
      <c r="O393" s="3"/>
      <c r="P393" s="3"/>
      <c r="Q393" s="3"/>
      <c r="R393" s="3"/>
      <c r="S393" s="3"/>
      <c r="T393" s="3"/>
      <c r="U393" s="3"/>
      <c r="V393" s="3"/>
      <c r="W393" s="3"/>
      <c r="X393" s="3"/>
      <c r="Y393" s="3"/>
      <c r="Z393" s="3"/>
    </row>
    <row r="394" spans="1:26" ht="22.5" customHeight="1" x14ac:dyDescent="0.85">
      <c r="A394" s="166"/>
      <c r="B394" s="167"/>
      <c r="C394" s="167"/>
      <c r="D394" s="147"/>
      <c r="E394" s="147"/>
      <c r="F394" s="147"/>
      <c r="G394" s="147"/>
      <c r="H394" s="147"/>
      <c r="I394" s="147"/>
      <c r="J394" s="147"/>
      <c r="K394" s="3"/>
      <c r="L394" s="3"/>
      <c r="M394" s="3"/>
      <c r="N394" s="3"/>
      <c r="O394" s="3"/>
      <c r="P394" s="3"/>
      <c r="Q394" s="3"/>
      <c r="R394" s="3"/>
      <c r="S394" s="3"/>
      <c r="T394" s="3"/>
      <c r="U394" s="3"/>
      <c r="V394" s="3"/>
      <c r="W394" s="3"/>
      <c r="X394" s="3"/>
      <c r="Y394" s="3"/>
      <c r="Z394" s="3"/>
    </row>
    <row r="395" spans="1:26" ht="22.5" customHeight="1" x14ac:dyDescent="0.85">
      <c r="A395" s="166"/>
      <c r="B395" s="167"/>
      <c r="C395" s="167"/>
      <c r="D395" s="147"/>
      <c r="E395" s="147"/>
      <c r="F395" s="147"/>
      <c r="G395" s="147"/>
      <c r="H395" s="147"/>
      <c r="I395" s="147"/>
      <c r="J395" s="147"/>
      <c r="K395" s="3"/>
      <c r="L395" s="3"/>
      <c r="M395" s="3"/>
      <c r="N395" s="3"/>
      <c r="O395" s="3"/>
      <c r="P395" s="3"/>
      <c r="Q395" s="3"/>
      <c r="R395" s="3"/>
      <c r="S395" s="3"/>
      <c r="T395" s="3"/>
      <c r="U395" s="3"/>
      <c r="V395" s="3"/>
      <c r="W395" s="3"/>
      <c r="X395" s="3"/>
      <c r="Y395" s="3"/>
      <c r="Z395" s="3"/>
    </row>
    <row r="396" spans="1:26" ht="22.5" customHeight="1" x14ac:dyDescent="0.85">
      <c r="A396" s="166"/>
      <c r="B396" s="167"/>
      <c r="C396" s="167"/>
      <c r="D396" s="147"/>
      <c r="E396" s="147"/>
      <c r="F396" s="147"/>
      <c r="G396" s="147"/>
      <c r="H396" s="147"/>
      <c r="I396" s="147"/>
      <c r="J396" s="147"/>
      <c r="K396" s="3"/>
      <c r="L396" s="3"/>
      <c r="M396" s="3"/>
      <c r="N396" s="3"/>
      <c r="O396" s="3"/>
      <c r="P396" s="3"/>
      <c r="Q396" s="3"/>
      <c r="R396" s="3"/>
      <c r="S396" s="3"/>
      <c r="T396" s="3"/>
      <c r="U396" s="3"/>
      <c r="V396" s="3"/>
      <c r="W396" s="3"/>
      <c r="X396" s="3"/>
      <c r="Y396" s="3"/>
      <c r="Z396" s="3"/>
    </row>
    <row r="397" spans="1:26" ht="22.5" customHeight="1" x14ac:dyDescent="0.85">
      <c r="A397" s="166"/>
      <c r="B397" s="167"/>
      <c r="C397" s="167"/>
      <c r="D397" s="147"/>
      <c r="E397" s="147"/>
      <c r="F397" s="147"/>
      <c r="G397" s="147"/>
      <c r="H397" s="147"/>
      <c r="I397" s="147"/>
      <c r="J397" s="147"/>
      <c r="K397" s="3"/>
      <c r="L397" s="3"/>
      <c r="M397" s="3"/>
      <c r="N397" s="3"/>
      <c r="O397" s="3"/>
      <c r="P397" s="3"/>
      <c r="Q397" s="3"/>
      <c r="R397" s="3"/>
      <c r="S397" s="3"/>
      <c r="T397" s="3"/>
      <c r="U397" s="3"/>
      <c r="V397" s="3"/>
      <c r="W397" s="3"/>
      <c r="X397" s="3"/>
      <c r="Y397" s="3"/>
      <c r="Z397" s="3"/>
    </row>
    <row r="398" spans="1:26" ht="22.5" customHeight="1" x14ac:dyDescent="0.85">
      <c r="A398" s="166"/>
      <c r="B398" s="167"/>
      <c r="C398" s="167"/>
      <c r="D398" s="147"/>
      <c r="E398" s="147"/>
      <c r="F398" s="147"/>
      <c r="G398" s="147"/>
      <c r="H398" s="147"/>
      <c r="I398" s="147"/>
      <c r="J398" s="147"/>
      <c r="K398" s="3"/>
      <c r="L398" s="3"/>
      <c r="M398" s="3"/>
      <c r="N398" s="3"/>
      <c r="O398" s="3"/>
      <c r="P398" s="3"/>
      <c r="Q398" s="3"/>
      <c r="R398" s="3"/>
      <c r="S398" s="3"/>
      <c r="T398" s="3"/>
      <c r="U398" s="3"/>
      <c r="V398" s="3"/>
      <c r="W398" s="3"/>
      <c r="X398" s="3"/>
      <c r="Y398" s="3"/>
      <c r="Z398" s="3"/>
    </row>
    <row r="399" spans="1:26" ht="22.5" customHeight="1" x14ac:dyDescent="0.85">
      <c r="A399" s="166"/>
      <c r="B399" s="167"/>
      <c r="C399" s="167"/>
      <c r="D399" s="147"/>
      <c r="E399" s="147"/>
      <c r="F399" s="147"/>
      <c r="G399" s="147"/>
      <c r="H399" s="147"/>
      <c r="I399" s="147"/>
      <c r="J399" s="147"/>
      <c r="K399" s="3"/>
      <c r="L399" s="3"/>
      <c r="M399" s="3"/>
      <c r="N399" s="3"/>
      <c r="O399" s="3"/>
      <c r="P399" s="3"/>
      <c r="Q399" s="3"/>
      <c r="R399" s="3"/>
      <c r="S399" s="3"/>
      <c r="T399" s="3"/>
      <c r="U399" s="3"/>
      <c r="V399" s="3"/>
      <c r="W399" s="3"/>
      <c r="X399" s="3"/>
      <c r="Y399" s="3"/>
      <c r="Z399" s="3"/>
    </row>
    <row r="400" spans="1:26" ht="22.5" customHeight="1" x14ac:dyDescent="0.85">
      <c r="A400" s="166"/>
      <c r="B400" s="167"/>
      <c r="C400" s="167"/>
      <c r="D400" s="147"/>
      <c r="E400" s="147"/>
      <c r="F400" s="147"/>
      <c r="G400" s="147"/>
      <c r="H400" s="147"/>
      <c r="I400" s="147"/>
      <c r="J400" s="147"/>
      <c r="K400" s="3"/>
      <c r="L400" s="3"/>
      <c r="M400" s="3"/>
      <c r="N400" s="3"/>
      <c r="O400" s="3"/>
      <c r="P400" s="3"/>
      <c r="Q400" s="3"/>
      <c r="R400" s="3"/>
      <c r="S400" s="3"/>
      <c r="T400" s="3"/>
      <c r="U400" s="3"/>
      <c r="V400" s="3"/>
      <c r="W400" s="3"/>
      <c r="X400" s="3"/>
      <c r="Y400" s="3"/>
      <c r="Z400" s="3"/>
    </row>
    <row r="401" spans="1:26" ht="22.5" customHeight="1" x14ac:dyDescent="0.85">
      <c r="A401" s="166"/>
      <c r="B401" s="167"/>
      <c r="C401" s="167"/>
      <c r="D401" s="147"/>
      <c r="E401" s="147"/>
      <c r="F401" s="147"/>
      <c r="G401" s="147"/>
      <c r="H401" s="147"/>
      <c r="I401" s="147"/>
      <c r="J401" s="147"/>
      <c r="K401" s="3"/>
      <c r="L401" s="3"/>
      <c r="M401" s="3"/>
      <c r="N401" s="3"/>
      <c r="O401" s="3"/>
      <c r="P401" s="3"/>
      <c r="Q401" s="3"/>
      <c r="R401" s="3"/>
      <c r="S401" s="3"/>
      <c r="T401" s="3"/>
      <c r="U401" s="3"/>
      <c r="V401" s="3"/>
      <c r="W401" s="3"/>
      <c r="X401" s="3"/>
      <c r="Y401" s="3"/>
      <c r="Z401" s="3"/>
    </row>
    <row r="402" spans="1:26" ht="22.5" customHeight="1" x14ac:dyDescent="0.85">
      <c r="A402" s="166"/>
      <c r="B402" s="167"/>
      <c r="C402" s="167"/>
      <c r="D402" s="147"/>
      <c r="E402" s="147"/>
      <c r="F402" s="147"/>
      <c r="G402" s="147"/>
      <c r="H402" s="147"/>
      <c r="I402" s="147"/>
      <c r="J402" s="147"/>
      <c r="K402" s="3"/>
      <c r="L402" s="3"/>
      <c r="M402" s="3"/>
      <c r="N402" s="3"/>
      <c r="O402" s="3"/>
      <c r="P402" s="3"/>
      <c r="Q402" s="3"/>
      <c r="R402" s="3"/>
      <c r="S402" s="3"/>
      <c r="T402" s="3"/>
      <c r="U402" s="3"/>
      <c r="V402" s="3"/>
      <c r="W402" s="3"/>
      <c r="X402" s="3"/>
      <c r="Y402" s="3"/>
      <c r="Z402" s="3"/>
    </row>
    <row r="403" spans="1:26" ht="22.5" customHeight="1" x14ac:dyDescent="0.85">
      <c r="A403" s="166"/>
      <c r="B403" s="167"/>
      <c r="C403" s="167"/>
      <c r="D403" s="147"/>
      <c r="E403" s="147"/>
      <c r="F403" s="147"/>
      <c r="G403" s="147"/>
      <c r="H403" s="147"/>
      <c r="I403" s="147"/>
      <c r="J403" s="147"/>
      <c r="K403" s="3"/>
      <c r="L403" s="3"/>
      <c r="M403" s="3"/>
      <c r="N403" s="3"/>
      <c r="O403" s="3"/>
      <c r="P403" s="3"/>
      <c r="Q403" s="3"/>
      <c r="R403" s="3"/>
      <c r="S403" s="3"/>
      <c r="T403" s="3"/>
      <c r="U403" s="3"/>
      <c r="V403" s="3"/>
      <c r="W403" s="3"/>
      <c r="X403" s="3"/>
      <c r="Y403" s="3"/>
      <c r="Z403" s="3"/>
    </row>
    <row r="404" spans="1:26" ht="22.5" customHeight="1" x14ac:dyDescent="0.85">
      <c r="A404" s="166"/>
      <c r="B404" s="167"/>
      <c r="C404" s="167"/>
      <c r="D404" s="147"/>
      <c r="E404" s="147"/>
      <c r="F404" s="147"/>
      <c r="G404" s="147"/>
      <c r="H404" s="147"/>
      <c r="I404" s="147"/>
      <c r="J404" s="147"/>
      <c r="K404" s="3"/>
      <c r="L404" s="3"/>
      <c r="M404" s="3"/>
      <c r="N404" s="3"/>
      <c r="O404" s="3"/>
      <c r="P404" s="3"/>
      <c r="Q404" s="3"/>
      <c r="R404" s="3"/>
      <c r="S404" s="3"/>
      <c r="T404" s="3"/>
      <c r="U404" s="3"/>
      <c r="V404" s="3"/>
      <c r="W404" s="3"/>
      <c r="X404" s="3"/>
      <c r="Y404" s="3"/>
      <c r="Z404" s="3"/>
    </row>
    <row r="405" spans="1:26" ht="22.5" customHeight="1" x14ac:dyDescent="0.85">
      <c r="A405" s="166"/>
      <c r="B405" s="167"/>
      <c r="C405" s="167"/>
      <c r="D405" s="147"/>
      <c r="E405" s="147"/>
      <c r="F405" s="147"/>
      <c r="G405" s="147"/>
      <c r="H405" s="147"/>
      <c r="I405" s="147"/>
      <c r="J405" s="147"/>
      <c r="K405" s="3"/>
      <c r="L405" s="3"/>
      <c r="M405" s="3"/>
      <c r="N405" s="3"/>
      <c r="O405" s="3"/>
      <c r="P405" s="3"/>
      <c r="Q405" s="3"/>
      <c r="R405" s="3"/>
      <c r="S405" s="3"/>
      <c r="T405" s="3"/>
      <c r="U405" s="3"/>
      <c r="V405" s="3"/>
      <c r="W405" s="3"/>
      <c r="X405" s="3"/>
      <c r="Y405" s="3"/>
      <c r="Z405" s="3"/>
    </row>
    <row r="406" spans="1:26" ht="22.5" customHeight="1" x14ac:dyDescent="0.85">
      <c r="A406" s="166"/>
      <c r="B406" s="167"/>
      <c r="C406" s="167"/>
      <c r="D406" s="147"/>
      <c r="E406" s="147"/>
      <c r="F406" s="147"/>
      <c r="G406" s="147"/>
      <c r="H406" s="147"/>
      <c r="I406" s="147"/>
      <c r="J406" s="147"/>
      <c r="K406" s="3"/>
      <c r="L406" s="3"/>
      <c r="M406" s="3"/>
      <c r="N406" s="3"/>
      <c r="O406" s="3"/>
      <c r="P406" s="3"/>
      <c r="Q406" s="3"/>
      <c r="R406" s="3"/>
      <c r="S406" s="3"/>
      <c r="T406" s="3"/>
      <c r="U406" s="3"/>
      <c r="V406" s="3"/>
      <c r="W406" s="3"/>
      <c r="X406" s="3"/>
      <c r="Y406" s="3"/>
      <c r="Z406" s="3"/>
    </row>
    <row r="407" spans="1:26" ht="22.5" customHeight="1" x14ac:dyDescent="0.85">
      <c r="A407" s="166"/>
      <c r="B407" s="167"/>
      <c r="C407" s="167"/>
      <c r="D407" s="147"/>
      <c r="E407" s="147"/>
      <c r="F407" s="147"/>
      <c r="G407" s="147"/>
      <c r="H407" s="147"/>
      <c r="I407" s="147"/>
      <c r="J407" s="147"/>
      <c r="K407" s="3"/>
      <c r="L407" s="3"/>
      <c r="M407" s="3"/>
      <c r="N407" s="3"/>
      <c r="O407" s="3"/>
      <c r="P407" s="3"/>
      <c r="Q407" s="3"/>
      <c r="R407" s="3"/>
      <c r="S407" s="3"/>
      <c r="T407" s="3"/>
      <c r="U407" s="3"/>
      <c r="V407" s="3"/>
      <c r="W407" s="3"/>
      <c r="X407" s="3"/>
      <c r="Y407" s="3"/>
      <c r="Z407" s="3"/>
    </row>
    <row r="408" spans="1:26" ht="22.5" customHeight="1" x14ac:dyDescent="0.85">
      <c r="A408" s="166"/>
      <c r="B408" s="167"/>
      <c r="C408" s="167"/>
      <c r="D408" s="147"/>
      <c r="E408" s="147"/>
      <c r="F408" s="147"/>
      <c r="G408" s="147"/>
      <c r="H408" s="147"/>
      <c r="I408" s="147"/>
      <c r="J408" s="147"/>
      <c r="K408" s="3"/>
      <c r="L408" s="3"/>
      <c r="M408" s="3"/>
      <c r="N408" s="3"/>
      <c r="O408" s="3"/>
      <c r="P408" s="3"/>
      <c r="Q408" s="3"/>
      <c r="R408" s="3"/>
      <c r="S408" s="3"/>
      <c r="T408" s="3"/>
      <c r="U408" s="3"/>
      <c r="V408" s="3"/>
      <c r="W408" s="3"/>
      <c r="X408" s="3"/>
      <c r="Y408" s="3"/>
      <c r="Z408" s="3"/>
    </row>
    <row r="409" spans="1:26" ht="22.5" customHeight="1" x14ac:dyDescent="0.85">
      <c r="A409" s="166"/>
      <c r="B409" s="167"/>
      <c r="C409" s="167"/>
      <c r="D409" s="147"/>
      <c r="E409" s="147"/>
      <c r="F409" s="147"/>
      <c r="G409" s="147"/>
      <c r="H409" s="147"/>
      <c r="I409" s="147"/>
      <c r="J409" s="147"/>
      <c r="K409" s="3"/>
      <c r="L409" s="3"/>
      <c r="M409" s="3"/>
      <c r="N409" s="3"/>
      <c r="O409" s="3"/>
      <c r="P409" s="3"/>
      <c r="Q409" s="3"/>
      <c r="R409" s="3"/>
      <c r="S409" s="3"/>
      <c r="T409" s="3"/>
      <c r="U409" s="3"/>
      <c r="V409" s="3"/>
      <c r="W409" s="3"/>
      <c r="X409" s="3"/>
      <c r="Y409" s="3"/>
      <c r="Z409" s="3"/>
    </row>
    <row r="410" spans="1:26" ht="22.5" customHeight="1" x14ac:dyDescent="0.85">
      <c r="A410" s="166"/>
      <c r="B410" s="167"/>
      <c r="C410" s="167"/>
      <c r="D410" s="147"/>
      <c r="E410" s="147"/>
      <c r="F410" s="147"/>
      <c r="G410" s="147"/>
      <c r="H410" s="147"/>
      <c r="I410" s="147"/>
      <c r="J410" s="147"/>
      <c r="K410" s="3"/>
      <c r="L410" s="3"/>
      <c r="M410" s="3"/>
      <c r="N410" s="3"/>
      <c r="O410" s="3"/>
      <c r="P410" s="3"/>
      <c r="Q410" s="3"/>
      <c r="R410" s="3"/>
      <c r="S410" s="3"/>
      <c r="T410" s="3"/>
      <c r="U410" s="3"/>
      <c r="V410" s="3"/>
      <c r="W410" s="3"/>
      <c r="X410" s="3"/>
      <c r="Y410" s="3"/>
      <c r="Z410" s="3"/>
    </row>
    <row r="411" spans="1:26" ht="22.5" customHeight="1" x14ac:dyDescent="0.85">
      <c r="A411" s="166"/>
      <c r="B411" s="167"/>
      <c r="C411" s="167"/>
      <c r="D411" s="147"/>
      <c r="E411" s="147"/>
      <c r="F411" s="147"/>
      <c r="G411" s="147"/>
      <c r="H411" s="147"/>
      <c r="I411" s="147"/>
      <c r="J411" s="147"/>
      <c r="K411" s="3"/>
      <c r="L411" s="3"/>
      <c r="M411" s="3"/>
      <c r="N411" s="3"/>
      <c r="O411" s="3"/>
      <c r="P411" s="3"/>
      <c r="Q411" s="3"/>
      <c r="R411" s="3"/>
      <c r="S411" s="3"/>
      <c r="T411" s="3"/>
      <c r="U411" s="3"/>
      <c r="V411" s="3"/>
      <c r="W411" s="3"/>
      <c r="X411" s="3"/>
      <c r="Y411" s="3"/>
      <c r="Z411" s="3"/>
    </row>
    <row r="412" spans="1:26" ht="22.5" customHeight="1" x14ac:dyDescent="0.85">
      <c r="A412" s="166"/>
      <c r="B412" s="167"/>
      <c r="C412" s="167"/>
      <c r="D412" s="147"/>
      <c r="E412" s="147"/>
      <c r="F412" s="147"/>
      <c r="G412" s="147"/>
      <c r="H412" s="147"/>
      <c r="I412" s="147"/>
      <c r="J412" s="147"/>
      <c r="K412" s="3"/>
      <c r="L412" s="3"/>
      <c r="M412" s="3"/>
      <c r="N412" s="3"/>
      <c r="O412" s="3"/>
      <c r="P412" s="3"/>
      <c r="Q412" s="3"/>
      <c r="R412" s="3"/>
      <c r="S412" s="3"/>
      <c r="T412" s="3"/>
      <c r="U412" s="3"/>
      <c r="V412" s="3"/>
      <c r="W412" s="3"/>
      <c r="X412" s="3"/>
      <c r="Y412" s="3"/>
      <c r="Z412" s="3"/>
    </row>
    <row r="413" spans="1:26" ht="22.5" customHeight="1" x14ac:dyDescent="0.85">
      <c r="A413" s="166"/>
      <c r="B413" s="167"/>
      <c r="C413" s="167"/>
      <c r="D413" s="147"/>
      <c r="E413" s="147"/>
      <c r="F413" s="147"/>
      <c r="G413" s="147"/>
      <c r="H413" s="147"/>
      <c r="I413" s="147"/>
      <c r="J413" s="147"/>
      <c r="K413" s="3"/>
      <c r="L413" s="3"/>
      <c r="M413" s="3"/>
      <c r="N413" s="3"/>
      <c r="O413" s="3"/>
      <c r="P413" s="3"/>
      <c r="Q413" s="3"/>
      <c r="R413" s="3"/>
      <c r="S413" s="3"/>
      <c r="T413" s="3"/>
      <c r="U413" s="3"/>
      <c r="V413" s="3"/>
      <c r="W413" s="3"/>
      <c r="X413" s="3"/>
      <c r="Y413" s="3"/>
      <c r="Z413" s="3"/>
    </row>
    <row r="414" spans="1:26" ht="22.5" customHeight="1" x14ac:dyDescent="0.85">
      <c r="A414" s="166"/>
      <c r="B414" s="167"/>
      <c r="C414" s="167"/>
      <c r="D414" s="147"/>
      <c r="E414" s="147"/>
      <c r="F414" s="147"/>
      <c r="G414" s="147"/>
      <c r="H414" s="147"/>
      <c r="I414" s="147"/>
      <c r="J414" s="147"/>
      <c r="K414" s="3"/>
      <c r="L414" s="3"/>
      <c r="M414" s="3"/>
      <c r="N414" s="3"/>
      <c r="O414" s="3"/>
      <c r="P414" s="3"/>
      <c r="Q414" s="3"/>
      <c r="R414" s="3"/>
      <c r="S414" s="3"/>
      <c r="T414" s="3"/>
      <c r="U414" s="3"/>
      <c r="V414" s="3"/>
      <c r="W414" s="3"/>
      <c r="X414" s="3"/>
      <c r="Y414" s="3"/>
      <c r="Z414" s="3"/>
    </row>
    <row r="415" spans="1:26" ht="22.5" customHeight="1" x14ac:dyDescent="0.85">
      <c r="A415" s="166"/>
      <c r="B415" s="167"/>
      <c r="C415" s="167"/>
      <c r="D415" s="147"/>
      <c r="E415" s="147"/>
      <c r="F415" s="147"/>
      <c r="G415" s="147"/>
      <c r="H415" s="147"/>
      <c r="I415" s="147"/>
      <c r="J415" s="147"/>
      <c r="K415" s="3"/>
      <c r="L415" s="3"/>
      <c r="M415" s="3"/>
      <c r="N415" s="3"/>
      <c r="O415" s="3"/>
      <c r="P415" s="3"/>
      <c r="Q415" s="3"/>
      <c r="R415" s="3"/>
      <c r="S415" s="3"/>
      <c r="T415" s="3"/>
      <c r="U415" s="3"/>
      <c r="V415" s="3"/>
      <c r="W415" s="3"/>
      <c r="X415" s="3"/>
      <c r="Y415" s="3"/>
      <c r="Z415" s="3"/>
    </row>
    <row r="416" spans="1:26" ht="22.5" customHeight="1" x14ac:dyDescent="0.85">
      <c r="A416" s="166"/>
      <c r="B416" s="167"/>
      <c r="C416" s="167"/>
      <c r="D416" s="147"/>
      <c r="E416" s="147"/>
      <c r="F416" s="147"/>
      <c r="G416" s="147"/>
      <c r="H416" s="147"/>
      <c r="I416" s="147"/>
      <c r="J416" s="147"/>
      <c r="K416" s="3"/>
      <c r="L416" s="3"/>
      <c r="M416" s="3"/>
      <c r="N416" s="3"/>
      <c r="O416" s="3"/>
      <c r="P416" s="3"/>
      <c r="Q416" s="3"/>
      <c r="R416" s="3"/>
      <c r="S416" s="3"/>
      <c r="T416" s="3"/>
      <c r="U416" s="3"/>
      <c r="V416" s="3"/>
      <c r="W416" s="3"/>
      <c r="X416" s="3"/>
      <c r="Y416" s="3"/>
      <c r="Z416" s="3"/>
    </row>
    <row r="417" spans="1:26" ht="22.5" customHeight="1" x14ac:dyDescent="0.85">
      <c r="A417" s="166"/>
      <c r="B417" s="167"/>
      <c r="C417" s="167"/>
      <c r="D417" s="147"/>
      <c r="E417" s="147"/>
      <c r="F417" s="147"/>
      <c r="G417" s="147"/>
      <c r="H417" s="147"/>
      <c r="I417" s="147"/>
      <c r="J417" s="147"/>
      <c r="K417" s="3"/>
      <c r="L417" s="3"/>
      <c r="M417" s="3"/>
      <c r="N417" s="3"/>
      <c r="O417" s="3"/>
      <c r="P417" s="3"/>
      <c r="Q417" s="3"/>
      <c r="R417" s="3"/>
      <c r="S417" s="3"/>
      <c r="T417" s="3"/>
      <c r="U417" s="3"/>
      <c r="V417" s="3"/>
      <c r="W417" s="3"/>
      <c r="X417" s="3"/>
      <c r="Y417" s="3"/>
      <c r="Z417" s="3"/>
    </row>
    <row r="418" spans="1:26" ht="22.5" customHeight="1" x14ac:dyDescent="0.85">
      <c r="A418" s="166"/>
      <c r="B418" s="167"/>
      <c r="C418" s="167"/>
      <c r="D418" s="147"/>
      <c r="E418" s="147"/>
      <c r="F418" s="147"/>
      <c r="G418" s="147"/>
      <c r="H418" s="147"/>
      <c r="I418" s="147"/>
      <c r="J418" s="147"/>
      <c r="K418" s="3"/>
      <c r="L418" s="3"/>
      <c r="M418" s="3"/>
      <c r="N418" s="3"/>
      <c r="O418" s="3"/>
      <c r="P418" s="3"/>
      <c r="Q418" s="3"/>
      <c r="R418" s="3"/>
      <c r="S418" s="3"/>
      <c r="T418" s="3"/>
      <c r="U418" s="3"/>
      <c r="V418" s="3"/>
      <c r="W418" s="3"/>
      <c r="X418" s="3"/>
      <c r="Y418" s="3"/>
      <c r="Z418" s="3"/>
    </row>
    <row r="419" spans="1:26" ht="22.5" customHeight="1" x14ac:dyDescent="0.85">
      <c r="A419" s="166"/>
      <c r="B419" s="167"/>
      <c r="C419" s="167"/>
      <c r="D419" s="147"/>
      <c r="E419" s="147"/>
      <c r="F419" s="147"/>
      <c r="G419" s="147"/>
      <c r="H419" s="147"/>
      <c r="I419" s="147"/>
      <c r="J419" s="147"/>
      <c r="K419" s="3"/>
      <c r="L419" s="3"/>
      <c r="M419" s="3"/>
      <c r="N419" s="3"/>
      <c r="O419" s="3"/>
      <c r="P419" s="3"/>
      <c r="Q419" s="3"/>
      <c r="R419" s="3"/>
      <c r="S419" s="3"/>
      <c r="T419" s="3"/>
      <c r="U419" s="3"/>
      <c r="V419" s="3"/>
      <c r="W419" s="3"/>
      <c r="X419" s="3"/>
      <c r="Y419" s="3"/>
      <c r="Z419" s="3"/>
    </row>
    <row r="420" spans="1:26" ht="22.5" customHeight="1" x14ac:dyDescent="0.85">
      <c r="A420" s="166"/>
      <c r="B420" s="167"/>
      <c r="C420" s="167"/>
      <c r="D420" s="147"/>
      <c r="E420" s="147"/>
      <c r="F420" s="147"/>
      <c r="G420" s="147"/>
      <c r="H420" s="147"/>
      <c r="I420" s="147"/>
      <c r="J420" s="147"/>
      <c r="K420" s="3"/>
      <c r="L420" s="3"/>
      <c r="M420" s="3"/>
      <c r="N420" s="3"/>
      <c r="O420" s="3"/>
      <c r="P420" s="3"/>
      <c r="Q420" s="3"/>
      <c r="R420" s="3"/>
      <c r="S420" s="3"/>
      <c r="T420" s="3"/>
      <c r="U420" s="3"/>
      <c r="V420" s="3"/>
      <c r="W420" s="3"/>
      <c r="X420" s="3"/>
      <c r="Y420" s="3"/>
      <c r="Z420" s="3"/>
    </row>
    <row r="421" spans="1:26" ht="22.5" customHeight="1" x14ac:dyDescent="0.85">
      <c r="A421" s="166"/>
      <c r="B421" s="167"/>
      <c r="C421" s="167"/>
      <c r="D421" s="147"/>
      <c r="E421" s="147"/>
      <c r="F421" s="147"/>
      <c r="G421" s="147"/>
      <c r="H421" s="147"/>
      <c r="I421" s="147"/>
      <c r="J421" s="147"/>
      <c r="K421" s="3"/>
      <c r="L421" s="3"/>
      <c r="M421" s="3"/>
      <c r="N421" s="3"/>
      <c r="O421" s="3"/>
      <c r="P421" s="3"/>
      <c r="Q421" s="3"/>
      <c r="R421" s="3"/>
      <c r="S421" s="3"/>
      <c r="T421" s="3"/>
      <c r="U421" s="3"/>
      <c r="V421" s="3"/>
      <c r="W421" s="3"/>
      <c r="X421" s="3"/>
      <c r="Y421" s="3"/>
      <c r="Z421" s="3"/>
    </row>
    <row r="422" spans="1:26" ht="22.5" customHeight="1" x14ac:dyDescent="0.85">
      <c r="A422" s="166"/>
      <c r="B422" s="167"/>
      <c r="C422" s="167"/>
      <c r="D422" s="147"/>
      <c r="E422" s="147"/>
      <c r="F422" s="147"/>
      <c r="G422" s="147"/>
      <c r="H422" s="147"/>
      <c r="I422" s="147"/>
      <c r="J422" s="147"/>
      <c r="K422" s="3"/>
      <c r="L422" s="3"/>
      <c r="M422" s="3"/>
      <c r="N422" s="3"/>
      <c r="O422" s="3"/>
      <c r="P422" s="3"/>
      <c r="Q422" s="3"/>
      <c r="R422" s="3"/>
      <c r="S422" s="3"/>
      <c r="T422" s="3"/>
      <c r="U422" s="3"/>
      <c r="V422" s="3"/>
      <c r="W422" s="3"/>
      <c r="X422" s="3"/>
      <c r="Y422" s="3"/>
      <c r="Z422" s="3"/>
    </row>
    <row r="423" spans="1:26" ht="22.5" customHeight="1" x14ac:dyDescent="0.85">
      <c r="A423" s="166"/>
      <c r="B423" s="167"/>
      <c r="C423" s="167"/>
      <c r="D423" s="147"/>
      <c r="E423" s="147"/>
      <c r="F423" s="147"/>
      <c r="G423" s="147"/>
      <c r="H423" s="147"/>
      <c r="I423" s="147"/>
      <c r="J423" s="147"/>
      <c r="K423" s="3"/>
      <c r="L423" s="3"/>
      <c r="M423" s="3"/>
      <c r="N423" s="3"/>
      <c r="O423" s="3"/>
      <c r="P423" s="3"/>
      <c r="Q423" s="3"/>
      <c r="R423" s="3"/>
      <c r="S423" s="3"/>
      <c r="T423" s="3"/>
      <c r="U423" s="3"/>
      <c r="V423" s="3"/>
      <c r="W423" s="3"/>
      <c r="X423" s="3"/>
      <c r="Y423" s="3"/>
      <c r="Z423" s="3"/>
    </row>
    <row r="424" spans="1:26" ht="22.5" customHeight="1" x14ac:dyDescent="0.85">
      <c r="A424" s="166"/>
      <c r="B424" s="167"/>
      <c r="C424" s="167"/>
      <c r="D424" s="147"/>
      <c r="E424" s="147"/>
      <c r="F424" s="147"/>
      <c r="G424" s="147"/>
      <c r="H424" s="147"/>
      <c r="I424" s="147"/>
      <c r="J424" s="147"/>
      <c r="K424" s="3"/>
      <c r="L424" s="3"/>
      <c r="M424" s="3"/>
      <c r="N424" s="3"/>
      <c r="O424" s="3"/>
      <c r="P424" s="3"/>
      <c r="Q424" s="3"/>
      <c r="R424" s="3"/>
      <c r="S424" s="3"/>
      <c r="T424" s="3"/>
      <c r="U424" s="3"/>
      <c r="V424" s="3"/>
      <c r="W424" s="3"/>
      <c r="X424" s="3"/>
      <c r="Y424" s="3"/>
      <c r="Z424" s="3"/>
    </row>
    <row r="425" spans="1:26" ht="22.5" customHeight="1" x14ac:dyDescent="0.85">
      <c r="A425" s="166"/>
      <c r="B425" s="167"/>
      <c r="C425" s="167"/>
      <c r="D425" s="147"/>
      <c r="E425" s="147"/>
      <c r="F425" s="147"/>
      <c r="G425" s="147"/>
      <c r="H425" s="147"/>
      <c r="I425" s="147"/>
      <c r="J425" s="147"/>
      <c r="K425" s="3"/>
      <c r="L425" s="3"/>
      <c r="M425" s="3"/>
      <c r="N425" s="3"/>
      <c r="O425" s="3"/>
      <c r="P425" s="3"/>
      <c r="Q425" s="3"/>
      <c r="R425" s="3"/>
      <c r="S425" s="3"/>
      <c r="T425" s="3"/>
      <c r="U425" s="3"/>
      <c r="V425" s="3"/>
      <c r="W425" s="3"/>
      <c r="X425" s="3"/>
      <c r="Y425" s="3"/>
      <c r="Z425" s="3"/>
    </row>
    <row r="426" spans="1:26" ht="22.5" customHeight="1" x14ac:dyDescent="0.85">
      <c r="A426" s="166"/>
      <c r="B426" s="167"/>
      <c r="C426" s="167"/>
      <c r="D426" s="147"/>
      <c r="E426" s="147"/>
      <c r="F426" s="147"/>
      <c r="G426" s="147"/>
      <c r="H426" s="147"/>
      <c r="I426" s="147"/>
      <c r="J426" s="147"/>
      <c r="K426" s="3"/>
      <c r="L426" s="3"/>
      <c r="M426" s="3"/>
      <c r="N426" s="3"/>
      <c r="O426" s="3"/>
      <c r="P426" s="3"/>
      <c r="Q426" s="3"/>
      <c r="R426" s="3"/>
      <c r="S426" s="3"/>
      <c r="T426" s="3"/>
      <c r="U426" s="3"/>
      <c r="V426" s="3"/>
      <c r="W426" s="3"/>
      <c r="X426" s="3"/>
      <c r="Y426" s="3"/>
      <c r="Z426" s="3"/>
    </row>
    <row r="427" spans="1:26" ht="22.5" customHeight="1" x14ac:dyDescent="0.85">
      <c r="A427" s="166"/>
      <c r="B427" s="167"/>
      <c r="C427" s="167"/>
      <c r="D427" s="147"/>
      <c r="E427" s="147"/>
      <c r="F427" s="147"/>
      <c r="G427" s="147"/>
      <c r="H427" s="147"/>
      <c r="I427" s="147"/>
      <c r="J427" s="147"/>
      <c r="K427" s="3"/>
      <c r="L427" s="3"/>
      <c r="M427" s="3"/>
      <c r="N427" s="3"/>
      <c r="O427" s="3"/>
      <c r="P427" s="3"/>
      <c r="Q427" s="3"/>
      <c r="R427" s="3"/>
      <c r="S427" s="3"/>
      <c r="T427" s="3"/>
      <c r="U427" s="3"/>
      <c r="V427" s="3"/>
      <c r="W427" s="3"/>
      <c r="X427" s="3"/>
      <c r="Y427" s="3"/>
      <c r="Z427" s="3"/>
    </row>
    <row r="428" spans="1:26" ht="22.5" customHeight="1" x14ac:dyDescent="0.85">
      <c r="A428" s="166"/>
      <c r="B428" s="167"/>
      <c r="C428" s="167"/>
      <c r="D428" s="147"/>
      <c r="E428" s="147"/>
      <c r="F428" s="147"/>
      <c r="G428" s="147"/>
      <c r="H428" s="147"/>
      <c r="I428" s="147"/>
      <c r="J428" s="147"/>
      <c r="K428" s="3"/>
      <c r="L428" s="3"/>
      <c r="M428" s="3"/>
      <c r="N428" s="3"/>
      <c r="O428" s="3"/>
      <c r="P428" s="3"/>
      <c r="Q428" s="3"/>
      <c r="R428" s="3"/>
      <c r="S428" s="3"/>
      <c r="T428" s="3"/>
      <c r="U428" s="3"/>
      <c r="V428" s="3"/>
      <c r="W428" s="3"/>
      <c r="X428" s="3"/>
      <c r="Y428" s="3"/>
      <c r="Z428" s="3"/>
    </row>
    <row r="429" spans="1:26" ht="22.5" customHeight="1" x14ac:dyDescent="0.85">
      <c r="A429" s="166"/>
      <c r="B429" s="167"/>
      <c r="C429" s="167"/>
      <c r="D429" s="147"/>
      <c r="E429" s="147"/>
      <c r="F429" s="147"/>
      <c r="G429" s="147"/>
      <c r="H429" s="147"/>
      <c r="I429" s="147"/>
      <c r="J429" s="147"/>
      <c r="K429" s="3"/>
      <c r="L429" s="3"/>
      <c r="M429" s="3"/>
      <c r="N429" s="3"/>
      <c r="O429" s="3"/>
      <c r="P429" s="3"/>
      <c r="Q429" s="3"/>
      <c r="R429" s="3"/>
      <c r="S429" s="3"/>
      <c r="T429" s="3"/>
      <c r="U429" s="3"/>
      <c r="V429" s="3"/>
      <c r="W429" s="3"/>
      <c r="X429" s="3"/>
      <c r="Y429" s="3"/>
      <c r="Z429" s="3"/>
    </row>
    <row r="430" spans="1:26" ht="22.5" customHeight="1" x14ac:dyDescent="0.85">
      <c r="A430" s="166"/>
      <c r="B430" s="167"/>
      <c r="C430" s="167"/>
      <c r="D430" s="147"/>
      <c r="E430" s="147"/>
      <c r="F430" s="147"/>
      <c r="G430" s="147"/>
      <c r="H430" s="147"/>
      <c r="I430" s="147"/>
      <c r="J430" s="147"/>
      <c r="K430" s="3"/>
      <c r="L430" s="3"/>
      <c r="M430" s="3"/>
      <c r="N430" s="3"/>
      <c r="O430" s="3"/>
      <c r="P430" s="3"/>
      <c r="Q430" s="3"/>
      <c r="R430" s="3"/>
      <c r="S430" s="3"/>
      <c r="T430" s="3"/>
      <c r="U430" s="3"/>
      <c r="V430" s="3"/>
      <c r="W430" s="3"/>
      <c r="X430" s="3"/>
      <c r="Y430" s="3"/>
      <c r="Z430" s="3"/>
    </row>
    <row r="431" spans="1:26" ht="22.5" customHeight="1" x14ac:dyDescent="0.85">
      <c r="A431" s="166"/>
      <c r="B431" s="167"/>
      <c r="C431" s="167"/>
      <c r="D431" s="147"/>
      <c r="E431" s="147"/>
      <c r="F431" s="147"/>
      <c r="G431" s="147"/>
      <c r="H431" s="147"/>
      <c r="I431" s="147"/>
      <c r="J431" s="147"/>
      <c r="K431" s="3"/>
      <c r="L431" s="3"/>
      <c r="M431" s="3"/>
      <c r="N431" s="3"/>
      <c r="O431" s="3"/>
      <c r="P431" s="3"/>
      <c r="Q431" s="3"/>
      <c r="R431" s="3"/>
      <c r="S431" s="3"/>
      <c r="T431" s="3"/>
      <c r="U431" s="3"/>
      <c r="V431" s="3"/>
      <c r="W431" s="3"/>
      <c r="X431" s="3"/>
      <c r="Y431" s="3"/>
      <c r="Z431" s="3"/>
    </row>
    <row r="432" spans="1:26" ht="22.5" customHeight="1" x14ac:dyDescent="0.85">
      <c r="A432" s="166"/>
      <c r="B432" s="167"/>
      <c r="C432" s="167"/>
      <c r="D432" s="147"/>
      <c r="E432" s="147"/>
      <c r="F432" s="147"/>
      <c r="G432" s="147"/>
      <c r="H432" s="147"/>
      <c r="I432" s="147"/>
      <c r="J432" s="147"/>
      <c r="K432" s="3"/>
      <c r="L432" s="3"/>
      <c r="M432" s="3"/>
      <c r="N432" s="3"/>
      <c r="O432" s="3"/>
      <c r="P432" s="3"/>
      <c r="Q432" s="3"/>
      <c r="R432" s="3"/>
      <c r="S432" s="3"/>
      <c r="T432" s="3"/>
      <c r="U432" s="3"/>
      <c r="V432" s="3"/>
      <c r="W432" s="3"/>
      <c r="X432" s="3"/>
      <c r="Y432" s="3"/>
      <c r="Z432" s="3"/>
    </row>
    <row r="433" spans="1:26" ht="22.5" customHeight="1" x14ac:dyDescent="0.85">
      <c r="A433" s="166"/>
      <c r="B433" s="167"/>
      <c r="C433" s="167"/>
      <c r="D433" s="147"/>
      <c r="E433" s="147"/>
      <c r="F433" s="147"/>
      <c r="G433" s="147"/>
      <c r="H433" s="147"/>
      <c r="I433" s="147"/>
      <c r="J433" s="147"/>
      <c r="K433" s="3"/>
      <c r="L433" s="3"/>
      <c r="M433" s="3"/>
      <c r="N433" s="3"/>
      <c r="O433" s="3"/>
      <c r="P433" s="3"/>
      <c r="Q433" s="3"/>
      <c r="R433" s="3"/>
      <c r="S433" s="3"/>
      <c r="T433" s="3"/>
      <c r="U433" s="3"/>
      <c r="V433" s="3"/>
      <c r="W433" s="3"/>
      <c r="X433" s="3"/>
      <c r="Y433" s="3"/>
      <c r="Z433" s="3"/>
    </row>
    <row r="434" spans="1:26" ht="22.5" customHeight="1" x14ac:dyDescent="0.85">
      <c r="A434" s="166"/>
      <c r="B434" s="167"/>
      <c r="C434" s="167"/>
      <c r="D434" s="147"/>
      <c r="E434" s="147"/>
      <c r="F434" s="147"/>
      <c r="G434" s="147"/>
      <c r="H434" s="147"/>
      <c r="I434" s="147"/>
      <c r="J434" s="147"/>
      <c r="K434" s="3"/>
      <c r="L434" s="3"/>
      <c r="M434" s="3"/>
      <c r="N434" s="3"/>
      <c r="O434" s="3"/>
      <c r="P434" s="3"/>
      <c r="Q434" s="3"/>
      <c r="R434" s="3"/>
      <c r="S434" s="3"/>
      <c r="T434" s="3"/>
      <c r="U434" s="3"/>
      <c r="V434" s="3"/>
      <c r="W434" s="3"/>
      <c r="X434" s="3"/>
      <c r="Y434" s="3"/>
      <c r="Z434" s="3"/>
    </row>
    <row r="435" spans="1:26" ht="22.5" customHeight="1" x14ac:dyDescent="0.85">
      <c r="A435" s="166"/>
      <c r="B435" s="167"/>
      <c r="C435" s="167"/>
      <c r="D435" s="147"/>
      <c r="E435" s="147"/>
      <c r="F435" s="147"/>
      <c r="G435" s="147"/>
      <c r="H435" s="147"/>
      <c r="I435" s="147"/>
      <c r="J435" s="147"/>
      <c r="K435" s="3"/>
      <c r="L435" s="3"/>
      <c r="M435" s="3"/>
      <c r="N435" s="3"/>
      <c r="O435" s="3"/>
      <c r="P435" s="3"/>
      <c r="Q435" s="3"/>
      <c r="R435" s="3"/>
      <c r="S435" s="3"/>
      <c r="T435" s="3"/>
      <c r="U435" s="3"/>
      <c r="V435" s="3"/>
      <c r="W435" s="3"/>
      <c r="X435" s="3"/>
      <c r="Y435" s="3"/>
      <c r="Z435" s="3"/>
    </row>
    <row r="436" spans="1:26" ht="22.5" customHeight="1" x14ac:dyDescent="0.85">
      <c r="A436" s="166"/>
      <c r="B436" s="167"/>
      <c r="C436" s="167"/>
      <c r="D436" s="147"/>
      <c r="E436" s="147"/>
      <c r="F436" s="147"/>
      <c r="G436" s="147"/>
      <c r="H436" s="147"/>
      <c r="I436" s="147"/>
      <c r="J436" s="147"/>
      <c r="K436" s="3"/>
      <c r="L436" s="3"/>
      <c r="M436" s="3"/>
      <c r="N436" s="3"/>
      <c r="O436" s="3"/>
      <c r="P436" s="3"/>
      <c r="Q436" s="3"/>
      <c r="R436" s="3"/>
      <c r="S436" s="3"/>
      <c r="T436" s="3"/>
      <c r="U436" s="3"/>
      <c r="V436" s="3"/>
      <c r="W436" s="3"/>
      <c r="X436" s="3"/>
      <c r="Y436" s="3"/>
      <c r="Z436" s="3"/>
    </row>
    <row r="437" spans="1:26" ht="22.5" customHeight="1" x14ac:dyDescent="0.85">
      <c r="A437" s="166"/>
      <c r="B437" s="167"/>
      <c r="C437" s="167"/>
      <c r="D437" s="147"/>
      <c r="E437" s="147"/>
      <c r="F437" s="147"/>
      <c r="G437" s="147"/>
      <c r="H437" s="147"/>
      <c r="I437" s="147"/>
      <c r="J437" s="147"/>
      <c r="K437" s="3"/>
      <c r="L437" s="3"/>
      <c r="M437" s="3"/>
      <c r="N437" s="3"/>
      <c r="O437" s="3"/>
      <c r="P437" s="3"/>
      <c r="Q437" s="3"/>
      <c r="R437" s="3"/>
      <c r="S437" s="3"/>
      <c r="T437" s="3"/>
      <c r="U437" s="3"/>
      <c r="V437" s="3"/>
      <c r="W437" s="3"/>
      <c r="X437" s="3"/>
      <c r="Y437" s="3"/>
      <c r="Z437" s="3"/>
    </row>
    <row r="438" spans="1:26" ht="22.5" customHeight="1" x14ac:dyDescent="0.85">
      <c r="A438" s="166"/>
      <c r="B438" s="167"/>
      <c r="C438" s="167"/>
      <c r="D438" s="147"/>
      <c r="E438" s="147"/>
      <c r="F438" s="147"/>
      <c r="G438" s="147"/>
      <c r="H438" s="147"/>
      <c r="I438" s="147"/>
      <c r="J438" s="147"/>
      <c r="K438" s="3"/>
      <c r="L438" s="3"/>
      <c r="M438" s="3"/>
      <c r="N438" s="3"/>
      <c r="O438" s="3"/>
      <c r="P438" s="3"/>
      <c r="Q438" s="3"/>
      <c r="R438" s="3"/>
      <c r="S438" s="3"/>
      <c r="T438" s="3"/>
      <c r="U438" s="3"/>
      <c r="V438" s="3"/>
      <c r="W438" s="3"/>
      <c r="X438" s="3"/>
      <c r="Y438" s="3"/>
      <c r="Z438" s="3"/>
    </row>
    <row r="439" spans="1:26" ht="22.5" customHeight="1" x14ac:dyDescent="0.85">
      <c r="A439" s="166"/>
      <c r="B439" s="167"/>
      <c r="C439" s="167"/>
      <c r="D439" s="147"/>
      <c r="E439" s="147"/>
      <c r="F439" s="147"/>
      <c r="G439" s="147"/>
      <c r="H439" s="147"/>
      <c r="I439" s="147"/>
      <c r="J439" s="147"/>
      <c r="K439" s="3"/>
      <c r="L439" s="3"/>
      <c r="M439" s="3"/>
      <c r="N439" s="3"/>
      <c r="O439" s="3"/>
      <c r="P439" s="3"/>
      <c r="Q439" s="3"/>
      <c r="R439" s="3"/>
      <c r="S439" s="3"/>
      <c r="T439" s="3"/>
      <c r="U439" s="3"/>
      <c r="V439" s="3"/>
      <c r="W439" s="3"/>
      <c r="X439" s="3"/>
      <c r="Y439" s="3"/>
      <c r="Z439" s="3"/>
    </row>
    <row r="440" spans="1:26" ht="22.5" customHeight="1" x14ac:dyDescent="0.85">
      <c r="A440" s="166"/>
      <c r="B440" s="167"/>
      <c r="C440" s="167"/>
      <c r="D440" s="147"/>
      <c r="E440" s="147"/>
      <c r="F440" s="147"/>
      <c r="G440" s="147"/>
      <c r="H440" s="147"/>
      <c r="I440" s="147"/>
      <c r="J440" s="147"/>
      <c r="K440" s="3"/>
      <c r="L440" s="3"/>
      <c r="M440" s="3"/>
      <c r="N440" s="3"/>
      <c r="O440" s="3"/>
      <c r="P440" s="3"/>
      <c r="Q440" s="3"/>
      <c r="R440" s="3"/>
      <c r="S440" s="3"/>
      <c r="T440" s="3"/>
      <c r="U440" s="3"/>
      <c r="V440" s="3"/>
      <c r="W440" s="3"/>
      <c r="X440" s="3"/>
      <c r="Y440" s="3"/>
      <c r="Z440" s="3"/>
    </row>
    <row r="441" spans="1:26" ht="22.5" customHeight="1" x14ac:dyDescent="0.85">
      <c r="A441" s="166"/>
      <c r="B441" s="167"/>
      <c r="C441" s="167"/>
      <c r="D441" s="147"/>
      <c r="E441" s="147"/>
      <c r="F441" s="147"/>
      <c r="G441" s="147"/>
      <c r="H441" s="147"/>
      <c r="I441" s="147"/>
      <c r="J441" s="147"/>
      <c r="K441" s="3"/>
      <c r="L441" s="3"/>
      <c r="M441" s="3"/>
      <c r="N441" s="3"/>
      <c r="O441" s="3"/>
      <c r="P441" s="3"/>
      <c r="Q441" s="3"/>
      <c r="R441" s="3"/>
      <c r="S441" s="3"/>
      <c r="T441" s="3"/>
      <c r="U441" s="3"/>
      <c r="V441" s="3"/>
      <c r="W441" s="3"/>
      <c r="X441" s="3"/>
      <c r="Y441" s="3"/>
      <c r="Z441" s="3"/>
    </row>
    <row r="442" spans="1:26" ht="22.5" customHeight="1" x14ac:dyDescent="0.85">
      <c r="A442" s="166"/>
      <c r="B442" s="167"/>
      <c r="C442" s="167"/>
      <c r="D442" s="147"/>
      <c r="E442" s="147"/>
      <c r="F442" s="147"/>
      <c r="G442" s="147"/>
      <c r="H442" s="147"/>
      <c r="I442" s="147"/>
      <c r="J442" s="147"/>
      <c r="K442" s="3"/>
      <c r="L442" s="3"/>
      <c r="M442" s="3"/>
      <c r="N442" s="3"/>
      <c r="O442" s="3"/>
      <c r="P442" s="3"/>
      <c r="Q442" s="3"/>
      <c r="R442" s="3"/>
      <c r="S442" s="3"/>
      <c r="T442" s="3"/>
      <c r="U442" s="3"/>
      <c r="V442" s="3"/>
      <c r="W442" s="3"/>
      <c r="X442" s="3"/>
      <c r="Y442" s="3"/>
      <c r="Z442" s="3"/>
    </row>
    <row r="443" spans="1:26" ht="22.5" customHeight="1" x14ac:dyDescent="0.85">
      <c r="A443" s="166"/>
      <c r="B443" s="167"/>
      <c r="C443" s="167"/>
      <c r="D443" s="147"/>
      <c r="E443" s="147"/>
      <c r="F443" s="147"/>
      <c r="G443" s="147"/>
      <c r="H443" s="147"/>
      <c r="I443" s="147"/>
      <c r="J443" s="147"/>
      <c r="K443" s="3"/>
      <c r="L443" s="3"/>
      <c r="M443" s="3"/>
      <c r="N443" s="3"/>
      <c r="O443" s="3"/>
      <c r="P443" s="3"/>
      <c r="Q443" s="3"/>
      <c r="R443" s="3"/>
      <c r="S443" s="3"/>
      <c r="T443" s="3"/>
      <c r="U443" s="3"/>
      <c r="V443" s="3"/>
      <c r="W443" s="3"/>
      <c r="X443" s="3"/>
      <c r="Y443" s="3"/>
      <c r="Z443" s="3"/>
    </row>
    <row r="444" spans="1:26" ht="22.5" customHeight="1" x14ac:dyDescent="0.85">
      <c r="A444" s="166"/>
      <c r="B444" s="167"/>
      <c r="C444" s="167"/>
      <c r="D444" s="147"/>
      <c r="E444" s="147"/>
      <c r="F444" s="147"/>
      <c r="G444" s="147"/>
      <c r="H444" s="147"/>
      <c r="I444" s="147"/>
      <c r="J444" s="147"/>
      <c r="K444" s="3"/>
      <c r="L444" s="3"/>
      <c r="M444" s="3"/>
      <c r="N444" s="3"/>
      <c r="O444" s="3"/>
      <c r="P444" s="3"/>
      <c r="Q444" s="3"/>
      <c r="R444" s="3"/>
      <c r="S444" s="3"/>
      <c r="T444" s="3"/>
      <c r="U444" s="3"/>
      <c r="V444" s="3"/>
      <c r="W444" s="3"/>
      <c r="X444" s="3"/>
      <c r="Y444" s="3"/>
      <c r="Z444" s="3"/>
    </row>
    <row r="445" spans="1:26" ht="22.5" customHeight="1" x14ac:dyDescent="0.85">
      <c r="A445" s="166"/>
      <c r="B445" s="167"/>
      <c r="C445" s="167"/>
      <c r="D445" s="147"/>
      <c r="E445" s="147"/>
      <c r="F445" s="147"/>
      <c r="G445" s="147"/>
      <c r="H445" s="147"/>
      <c r="I445" s="147"/>
      <c r="J445" s="147"/>
      <c r="K445" s="3"/>
      <c r="L445" s="3"/>
      <c r="M445" s="3"/>
      <c r="N445" s="3"/>
      <c r="O445" s="3"/>
      <c r="P445" s="3"/>
      <c r="Q445" s="3"/>
      <c r="R445" s="3"/>
      <c r="S445" s="3"/>
      <c r="T445" s="3"/>
      <c r="U445" s="3"/>
      <c r="V445" s="3"/>
      <c r="W445" s="3"/>
      <c r="X445" s="3"/>
      <c r="Y445" s="3"/>
      <c r="Z445" s="3"/>
    </row>
    <row r="446" spans="1:26" ht="22.5" customHeight="1" x14ac:dyDescent="0.85">
      <c r="A446" s="166"/>
      <c r="B446" s="167"/>
      <c r="C446" s="167"/>
      <c r="D446" s="147"/>
      <c r="E446" s="147"/>
      <c r="F446" s="147"/>
      <c r="G446" s="147"/>
      <c r="H446" s="147"/>
      <c r="I446" s="147"/>
      <c r="J446" s="147"/>
      <c r="K446" s="3"/>
      <c r="L446" s="3"/>
      <c r="M446" s="3"/>
      <c r="N446" s="3"/>
      <c r="O446" s="3"/>
      <c r="P446" s="3"/>
      <c r="Q446" s="3"/>
      <c r="R446" s="3"/>
      <c r="S446" s="3"/>
      <c r="T446" s="3"/>
      <c r="U446" s="3"/>
      <c r="V446" s="3"/>
      <c r="W446" s="3"/>
      <c r="X446" s="3"/>
      <c r="Y446" s="3"/>
      <c r="Z446" s="3"/>
    </row>
    <row r="447" spans="1:26" ht="22.5" customHeight="1" x14ac:dyDescent="0.85">
      <c r="A447" s="166"/>
      <c r="B447" s="167"/>
      <c r="C447" s="167"/>
      <c r="D447" s="147"/>
      <c r="E447" s="147"/>
      <c r="F447" s="147"/>
      <c r="G447" s="147"/>
      <c r="H447" s="147"/>
      <c r="I447" s="147"/>
      <c r="J447" s="147"/>
      <c r="K447" s="3"/>
      <c r="L447" s="3"/>
      <c r="M447" s="3"/>
      <c r="N447" s="3"/>
      <c r="O447" s="3"/>
      <c r="P447" s="3"/>
      <c r="Q447" s="3"/>
      <c r="R447" s="3"/>
      <c r="S447" s="3"/>
      <c r="T447" s="3"/>
      <c r="U447" s="3"/>
      <c r="V447" s="3"/>
      <c r="W447" s="3"/>
      <c r="X447" s="3"/>
      <c r="Y447" s="3"/>
      <c r="Z447" s="3"/>
    </row>
    <row r="448" spans="1:26" ht="22.5" customHeight="1" x14ac:dyDescent="0.85">
      <c r="A448" s="166"/>
      <c r="B448" s="167"/>
      <c r="C448" s="167"/>
      <c r="D448" s="147"/>
      <c r="E448" s="147"/>
      <c r="F448" s="147"/>
      <c r="G448" s="147"/>
      <c r="H448" s="147"/>
      <c r="I448" s="147"/>
      <c r="J448" s="147"/>
      <c r="K448" s="3"/>
      <c r="L448" s="3"/>
      <c r="M448" s="3"/>
      <c r="N448" s="3"/>
      <c r="O448" s="3"/>
      <c r="P448" s="3"/>
      <c r="Q448" s="3"/>
      <c r="R448" s="3"/>
      <c r="S448" s="3"/>
      <c r="T448" s="3"/>
      <c r="U448" s="3"/>
      <c r="V448" s="3"/>
      <c r="W448" s="3"/>
      <c r="X448" s="3"/>
      <c r="Y448" s="3"/>
      <c r="Z448" s="3"/>
    </row>
    <row r="449" spans="1:26" ht="22.5" customHeight="1" x14ac:dyDescent="0.85">
      <c r="A449" s="166"/>
      <c r="B449" s="167"/>
      <c r="C449" s="167"/>
      <c r="D449" s="147"/>
      <c r="E449" s="147"/>
      <c r="F449" s="147"/>
      <c r="G449" s="147"/>
      <c r="H449" s="147"/>
      <c r="I449" s="147"/>
      <c r="J449" s="147"/>
      <c r="K449" s="3"/>
      <c r="L449" s="3"/>
      <c r="M449" s="3"/>
      <c r="N449" s="3"/>
      <c r="O449" s="3"/>
      <c r="P449" s="3"/>
      <c r="Q449" s="3"/>
      <c r="R449" s="3"/>
      <c r="S449" s="3"/>
      <c r="T449" s="3"/>
      <c r="U449" s="3"/>
      <c r="V449" s="3"/>
      <c r="W449" s="3"/>
      <c r="X449" s="3"/>
      <c r="Y449" s="3"/>
      <c r="Z449" s="3"/>
    </row>
    <row r="450" spans="1:26" ht="22.5" customHeight="1" x14ac:dyDescent="0.85">
      <c r="A450" s="166"/>
      <c r="B450" s="167"/>
      <c r="C450" s="167"/>
      <c r="D450" s="147"/>
      <c r="E450" s="147"/>
      <c r="F450" s="147"/>
      <c r="G450" s="147"/>
      <c r="H450" s="147"/>
      <c r="I450" s="147"/>
      <c r="J450" s="147"/>
      <c r="K450" s="3"/>
      <c r="L450" s="3"/>
      <c r="M450" s="3"/>
      <c r="N450" s="3"/>
      <c r="O450" s="3"/>
      <c r="P450" s="3"/>
      <c r="Q450" s="3"/>
      <c r="R450" s="3"/>
      <c r="S450" s="3"/>
      <c r="T450" s="3"/>
      <c r="U450" s="3"/>
      <c r="V450" s="3"/>
      <c r="W450" s="3"/>
      <c r="X450" s="3"/>
      <c r="Y450" s="3"/>
      <c r="Z450" s="3"/>
    </row>
    <row r="451" spans="1:26" ht="22.5" customHeight="1" x14ac:dyDescent="0.85">
      <c r="A451" s="166"/>
      <c r="B451" s="167"/>
      <c r="C451" s="167"/>
      <c r="D451" s="147"/>
      <c r="E451" s="147"/>
      <c r="F451" s="147"/>
      <c r="G451" s="147"/>
      <c r="H451" s="147"/>
      <c r="I451" s="147"/>
      <c r="J451" s="147"/>
      <c r="K451" s="3"/>
      <c r="L451" s="3"/>
      <c r="M451" s="3"/>
      <c r="N451" s="3"/>
      <c r="O451" s="3"/>
      <c r="P451" s="3"/>
      <c r="Q451" s="3"/>
      <c r="R451" s="3"/>
      <c r="S451" s="3"/>
      <c r="T451" s="3"/>
      <c r="U451" s="3"/>
      <c r="V451" s="3"/>
      <c r="W451" s="3"/>
      <c r="X451" s="3"/>
      <c r="Y451" s="3"/>
      <c r="Z451" s="3"/>
    </row>
    <row r="452" spans="1:26" ht="22.5" customHeight="1" x14ac:dyDescent="0.85">
      <c r="A452" s="166"/>
      <c r="B452" s="167"/>
      <c r="C452" s="167"/>
      <c r="D452" s="147"/>
      <c r="E452" s="147"/>
      <c r="F452" s="147"/>
      <c r="G452" s="147"/>
      <c r="H452" s="147"/>
      <c r="I452" s="147"/>
      <c r="J452" s="147"/>
      <c r="K452" s="3"/>
      <c r="L452" s="3"/>
      <c r="M452" s="3"/>
      <c r="N452" s="3"/>
      <c r="O452" s="3"/>
      <c r="P452" s="3"/>
      <c r="Q452" s="3"/>
      <c r="R452" s="3"/>
      <c r="S452" s="3"/>
      <c r="T452" s="3"/>
      <c r="U452" s="3"/>
      <c r="V452" s="3"/>
      <c r="W452" s="3"/>
      <c r="X452" s="3"/>
      <c r="Y452" s="3"/>
      <c r="Z452" s="3"/>
    </row>
    <row r="453" spans="1:26" ht="22.5" customHeight="1" x14ac:dyDescent="0.85">
      <c r="A453" s="166"/>
      <c r="B453" s="167"/>
      <c r="C453" s="167"/>
      <c r="D453" s="147"/>
      <c r="E453" s="147"/>
      <c r="F453" s="147"/>
      <c r="G453" s="147"/>
      <c r="H453" s="147"/>
      <c r="I453" s="147"/>
      <c r="J453" s="147"/>
      <c r="K453" s="3"/>
      <c r="L453" s="3"/>
      <c r="M453" s="3"/>
      <c r="N453" s="3"/>
      <c r="O453" s="3"/>
      <c r="P453" s="3"/>
      <c r="Q453" s="3"/>
      <c r="R453" s="3"/>
      <c r="S453" s="3"/>
      <c r="T453" s="3"/>
      <c r="U453" s="3"/>
      <c r="V453" s="3"/>
      <c r="W453" s="3"/>
      <c r="X453" s="3"/>
      <c r="Y453" s="3"/>
      <c r="Z453" s="3"/>
    </row>
    <row r="454" spans="1:26" ht="22.5" customHeight="1" x14ac:dyDescent="0.85">
      <c r="A454" s="166"/>
      <c r="B454" s="167"/>
      <c r="C454" s="167"/>
      <c r="D454" s="147"/>
      <c r="E454" s="147"/>
      <c r="F454" s="147"/>
      <c r="G454" s="147"/>
      <c r="H454" s="147"/>
      <c r="I454" s="147"/>
      <c r="J454" s="147"/>
      <c r="K454" s="3"/>
      <c r="L454" s="3"/>
      <c r="M454" s="3"/>
      <c r="N454" s="3"/>
      <c r="O454" s="3"/>
      <c r="P454" s="3"/>
      <c r="Q454" s="3"/>
      <c r="R454" s="3"/>
      <c r="S454" s="3"/>
      <c r="T454" s="3"/>
      <c r="U454" s="3"/>
      <c r="V454" s="3"/>
      <c r="W454" s="3"/>
      <c r="X454" s="3"/>
      <c r="Y454" s="3"/>
      <c r="Z454" s="3"/>
    </row>
    <row r="455" spans="1:26" ht="22.5" customHeight="1" x14ac:dyDescent="0.85">
      <c r="A455" s="166"/>
      <c r="B455" s="167"/>
      <c r="C455" s="167"/>
      <c r="D455" s="147"/>
      <c r="E455" s="147"/>
      <c r="F455" s="147"/>
      <c r="G455" s="147"/>
      <c r="H455" s="147"/>
      <c r="I455" s="147"/>
      <c r="J455" s="147"/>
      <c r="K455" s="3"/>
      <c r="L455" s="3"/>
      <c r="M455" s="3"/>
      <c r="N455" s="3"/>
      <c r="O455" s="3"/>
      <c r="P455" s="3"/>
      <c r="Q455" s="3"/>
      <c r="R455" s="3"/>
      <c r="S455" s="3"/>
      <c r="T455" s="3"/>
      <c r="U455" s="3"/>
      <c r="V455" s="3"/>
      <c r="W455" s="3"/>
      <c r="X455" s="3"/>
      <c r="Y455" s="3"/>
      <c r="Z455" s="3"/>
    </row>
    <row r="456" spans="1:26" ht="22.5" customHeight="1" x14ac:dyDescent="0.85">
      <c r="A456" s="166"/>
      <c r="B456" s="167"/>
      <c r="C456" s="167"/>
      <c r="D456" s="147"/>
      <c r="E456" s="147"/>
      <c r="F456" s="147"/>
      <c r="G456" s="147"/>
      <c r="H456" s="147"/>
      <c r="I456" s="147"/>
      <c r="J456" s="147"/>
      <c r="K456" s="3"/>
      <c r="L456" s="3"/>
      <c r="M456" s="3"/>
      <c r="N456" s="3"/>
      <c r="O456" s="3"/>
      <c r="P456" s="3"/>
      <c r="Q456" s="3"/>
      <c r="R456" s="3"/>
      <c r="S456" s="3"/>
      <c r="T456" s="3"/>
      <c r="U456" s="3"/>
      <c r="V456" s="3"/>
      <c r="W456" s="3"/>
      <c r="X456" s="3"/>
      <c r="Y456" s="3"/>
      <c r="Z456" s="3"/>
    </row>
    <row r="457" spans="1:26" ht="22.5" customHeight="1" x14ac:dyDescent="0.85">
      <c r="A457" s="166"/>
      <c r="B457" s="167"/>
      <c r="C457" s="167"/>
      <c r="D457" s="147"/>
      <c r="E457" s="147"/>
      <c r="F457" s="147"/>
      <c r="G457" s="147"/>
      <c r="H457" s="147"/>
      <c r="I457" s="147"/>
      <c r="J457" s="147"/>
      <c r="K457" s="3"/>
      <c r="L457" s="3"/>
      <c r="M457" s="3"/>
      <c r="N457" s="3"/>
      <c r="O457" s="3"/>
      <c r="P457" s="3"/>
      <c r="Q457" s="3"/>
      <c r="R457" s="3"/>
      <c r="S457" s="3"/>
      <c r="T457" s="3"/>
      <c r="U457" s="3"/>
      <c r="V457" s="3"/>
      <c r="W457" s="3"/>
      <c r="X457" s="3"/>
      <c r="Y457" s="3"/>
      <c r="Z457" s="3"/>
    </row>
    <row r="458" spans="1:26" ht="22.5" customHeight="1" x14ac:dyDescent="0.85">
      <c r="A458" s="166"/>
      <c r="B458" s="167"/>
      <c r="C458" s="167"/>
      <c r="D458" s="147"/>
      <c r="E458" s="147"/>
      <c r="F458" s="147"/>
      <c r="G458" s="147"/>
      <c r="H458" s="147"/>
      <c r="I458" s="147"/>
      <c r="J458" s="147"/>
      <c r="K458" s="3"/>
      <c r="L458" s="3"/>
      <c r="M458" s="3"/>
      <c r="N458" s="3"/>
      <c r="O458" s="3"/>
      <c r="P458" s="3"/>
      <c r="Q458" s="3"/>
      <c r="R458" s="3"/>
      <c r="S458" s="3"/>
      <c r="T458" s="3"/>
      <c r="U458" s="3"/>
      <c r="V458" s="3"/>
      <c r="W458" s="3"/>
      <c r="X458" s="3"/>
      <c r="Y458" s="3"/>
      <c r="Z458" s="3"/>
    </row>
    <row r="459" spans="1:26" ht="22.5" customHeight="1" x14ac:dyDescent="0.85">
      <c r="A459" s="166"/>
      <c r="B459" s="167"/>
      <c r="C459" s="167"/>
      <c r="D459" s="147"/>
      <c r="E459" s="147"/>
      <c r="F459" s="147"/>
      <c r="G459" s="147"/>
      <c r="H459" s="147"/>
      <c r="I459" s="147"/>
      <c r="J459" s="147"/>
      <c r="K459" s="3"/>
      <c r="L459" s="3"/>
      <c r="M459" s="3"/>
      <c r="N459" s="3"/>
      <c r="O459" s="3"/>
      <c r="P459" s="3"/>
      <c r="Q459" s="3"/>
      <c r="R459" s="3"/>
      <c r="S459" s="3"/>
      <c r="T459" s="3"/>
      <c r="U459" s="3"/>
      <c r="V459" s="3"/>
      <c r="W459" s="3"/>
      <c r="X459" s="3"/>
      <c r="Y459" s="3"/>
      <c r="Z459" s="3"/>
    </row>
    <row r="460" spans="1:26" ht="22.5" customHeight="1" x14ac:dyDescent="0.85">
      <c r="A460" s="166"/>
      <c r="B460" s="167"/>
      <c r="C460" s="167"/>
      <c r="D460" s="147"/>
      <c r="E460" s="147"/>
      <c r="F460" s="147"/>
      <c r="G460" s="147"/>
      <c r="H460" s="147"/>
      <c r="I460" s="147"/>
      <c r="J460" s="147"/>
      <c r="K460" s="3"/>
      <c r="L460" s="3"/>
      <c r="M460" s="3"/>
      <c r="N460" s="3"/>
      <c r="O460" s="3"/>
      <c r="P460" s="3"/>
      <c r="Q460" s="3"/>
      <c r="R460" s="3"/>
      <c r="S460" s="3"/>
      <c r="T460" s="3"/>
      <c r="U460" s="3"/>
      <c r="V460" s="3"/>
      <c r="W460" s="3"/>
      <c r="X460" s="3"/>
      <c r="Y460" s="3"/>
      <c r="Z460" s="3"/>
    </row>
    <row r="461" spans="1:26" ht="22.5" customHeight="1" x14ac:dyDescent="0.85">
      <c r="A461" s="166"/>
      <c r="B461" s="167"/>
      <c r="C461" s="167"/>
      <c r="D461" s="147"/>
      <c r="E461" s="147"/>
      <c r="F461" s="147"/>
      <c r="G461" s="147"/>
      <c r="H461" s="147"/>
      <c r="I461" s="147"/>
      <c r="J461" s="147"/>
      <c r="K461" s="3"/>
      <c r="L461" s="3"/>
      <c r="M461" s="3"/>
      <c r="N461" s="3"/>
      <c r="O461" s="3"/>
      <c r="P461" s="3"/>
      <c r="Q461" s="3"/>
      <c r="R461" s="3"/>
      <c r="S461" s="3"/>
      <c r="T461" s="3"/>
      <c r="U461" s="3"/>
      <c r="V461" s="3"/>
      <c r="W461" s="3"/>
      <c r="X461" s="3"/>
      <c r="Y461" s="3"/>
      <c r="Z461" s="3"/>
    </row>
    <row r="462" spans="1:26" ht="22.5" customHeight="1" x14ac:dyDescent="0.85">
      <c r="A462" s="166"/>
      <c r="B462" s="167"/>
      <c r="C462" s="167"/>
      <c r="D462" s="147"/>
      <c r="E462" s="147"/>
      <c r="F462" s="147"/>
      <c r="G462" s="147"/>
      <c r="H462" s="147"/>
      <c r="I462" s="147"/>
      <c r="J462" s="147"/>
      <c r="K462" s="3"/>
      <c r="L462" s="3"/>
      <c r="M462" s="3"/>
      <c r="N462" s="3"/>
      <c r="O462" s="3"/>
      <c r="P462" s="3"/>
      <c r="Q462" s="3"/>
      <c r="R462" s="3"/>
      <c r="S462" s="3"/>
      <c r="T462" s="3"/>
      <c r="U462" s="3"/>
      <c r="V462" s="3"/>
      <c r="W462" s="3"/>
      <c r="X462" s="3"/>
      <c r="Y462" s="3"/>
      <c r="Z462" s="3"/>
    </row>
    <row r="463" spans="1:26" ht="22.5" customHeight="1" x14ac:dyDescent="0.85">
      <c r="A463" s="166"/>
      <c r="B463" s="167"/>
      <c r="C463" s="167"/>
      <c r="D463" s="147"/>
      <c r="E463" s="147"/>
      <c r="F463" s="147"/>
      <c r="G463" s="147"/>
      <c r="H463" s="147"/>
      <c r="I463" s="147"/>
      <c r="J463" s="147"/>
      <c r="K463" s="3"/>
      <c r="L463" s="3"/>
      <c r="M463" s="3"/>
      <c r="N463" s="3"/>
      <c r="O463" s="3"/>
      <c r="P463" s="3"/>
      <c r="Q463" s="3"/>
      <c r="R463" s="3"/>
      <c r="S463" s="3"/>
      <c r="T463" s="3"/>
      <c r="U463" s="3"/>
      <c r="V463" s="3"/>
      <c r="W463" s="3"/>
      <c r="X463" s="3"/>
      <c r="Y463" s="3"/>
      <c r="Z463" s="3"/>
    </row>
    <row r="464" spans="1:26" ht="22.5" customHeight="1" x14ac:dyDescent="0.85">
      <c r="A464" s="166"/>
      <c r="B464" s="167"/>
      <c r="C464" s="167"/>
      <c r="D464" s="147"/>
      <c r="E464" s="147"/>
      <c r="F464" s="147"/>
      <c r="G464" s="147"/>
      <c r="H464" s="147"/>
      <c r="I464" s="147"/>
      <c r="J464" s="147"/>
      <c r="K464" s="3"/>
      <c r="L464" s="3"/>
      <c r="M464" s="3"/>
      <c r="N464" s="3"/>
      <c r="O464" s="3"/>
      <c r="P464" s="3"/>
      <c r="Q464" s="3"/>
      <c r="R464" s="3"/>
      <c r="S464" s="3"/>
      <c r="T464" s="3"/>
      <c r="U464" s="3"/>
      <c r="V464" s="3"/>
      <c r="W464" s="3"/>
      <c r="X464" s="3"/>
      <c r="Y464" s="3"/>
      <c r="Z464" s="3"/>
    </row>
    <row r="465" spans="1:26" ht="22.5" customHeight="1" x14ac:dyDescent="0.85">
      <c r="A465" s="166"/>
      <c r="B465" s="167"/>
      <c r="C465" s="167"/>
      <c r="D465" s="147"/>
      <c r="E465" s="147"/>
      <c r="F465" s="147"/>
      <c r="G465" s="147"/>
      <c r="H465" s="147"/>
      <c r="I465" s="147"/>
      <c r="J465" s="147"/>
      <c r="K465" s="3"/>
      <c r="L465" s="3"/>
      <c r="M465" s="3"/>
      <c r="N465" s="3"/>
      <c r="O465" s="3"/>
      <c r="P465" s="3"/>
      <c r="Q465" s="3"/>
      <c r="R465" s="3"/>
      <c r="S465" s="3"/>
      <c r="T465" s="3"/>
      <c r="U465" s="3"/>
      <c r="V465" s="3"/>
      <c r="W465" s="3"/>
      <c r="X465" s="3"/>
      <c r="Y465" s="3"/>
      <c r="Z465" s="3"/>
    </row>
    <row r="466" spans="1:26" ht="22.5" customHeight="1" x14ac:dyDescent="0.85">
      <c r="A466" s="166"/>
      <c r="B466" s="167"/>
      <c r="C466" s="167"/>
      <c r="D466" s="147"/>
      <c r="E466" s="147"/>
      <c r="F466" s="147"/>
      <c r="G466" s="147"/>
      <c r="H466" s="147"/>
      <c r="I466" s="147"/>
      <c r="J466" s="147"/>
      <c r="K466" s="3"/>
      <c r="L466" s="3"/>
      <c r="M466" s="3"/>
      <c r="N466" s="3"/>
      <c r="O466" s="3"/>
      <c r="P466" s="3"/>
      <c r="Q466" s="3"/>
      <c r="R466" s="3"/>
      <c r="S466" s="3"/>
      <c r="T466" s="3"/>
      <c r="U466" s="3"/>
      <c r="V466" s="3"/>
      <c r="W466" s="3"/>
      <c r="X466" s="3"/>
      <c r="Y466" s="3"/>
      <c r="Z466" s="3"/>
    </row>
    <row r="467" spans="1:26" ht="22.5" customHeight="1" x14ac:dyDescent="0.85">
      <c r="A467" s="166"/>
      <c r="B467" s="167"/>
      <c r="C467" s="167"/>
      <c r="D467" s="147"/>
      <c r="E467" s="147"/>
      <c r="F467" s="147"/>
      <c r="G467" s="147"/>
      <c r="H467" s="147"/>
      <c r="I467" s="147"/>
      <c r="J467" s="147"/>
      <c r="K467" s="3"/>
      <c r="L467" s="3"/>
      <c r="M467" s="3"/>
      <c r="N467" s="3"/>
      <c r="O467" s="3"/>
      <c r="P467" s="3"/>
      <c r="Q467" s="3"/>
      <c r="R467" s="3"/>
      <c r="S467" s="3"/>
      <c r="T467" s="3"/>
      <c r="U467" s="3"/>
      <c r="V467" s="3"/>
      <c r="W467" s="3"/>
      <c r="X467" s="3"/>
      <c r="Y467" s="3"/>
      <c r="Z467" s="3"/>
    </row>
    <row r="468" spans="1:26" ht="22.5" customHeight="1" x14ac:dyDescent="0.85">
      <c r="A468" s="166"/>
      <c r="B468" s="167"/>
      <c r="C468" s="167"/>
      <c r="D468" s="147"/>
      <c r="E468" s="147"/>
      <c r="F468" s="147"/>
      <c r="G468" s="147"/>
      <c r="H468" s="147"/>
      <c r="I468" s="147"/>
      <c r="J468" s="147"/>
      <c r="K468" s="3"/>
      <c r="L468" s="3"/>
      <c r="M468" s="3"/>
      <c r="N468" s="3"/>
      <c r="O468" s="3"/>
      <c r="P468" s="3"/>
      <c r="Q468" s="3"/>
      <c r="R468" s="3"/>
      <c r="S468" s="3"/>
      <c r="T468" s="3"/>
      <c r="U468" s="3"/>
      <c r="V468" s="3"/>
      <c r="W468" s="3"/>
      <c r="X468" s="3"/>
      <c r="Y468" s="3"/>
      <c r="Z468" s="3"/>
    </row>
    <row r="469" spans="1:26" ht="22.5" customHeight="1" x14ac:dyDescent="0.85">
      <c r="A469" s="166"/>
      <c r="B469" s="167"/>
      <c r="C469" s="167"/>
      <c r="D469" s="147"/>
      <c r="E469" s="147"/>
      <c r="F469" s="147"/>
      <c r="G469" s="147"/>
      <c r="H469" s="147"/>
      <c r="I469" s="147"/>
      <c r="J469" s="147"/>
      <c r="K469" s="3"/>
      <c r="L469" s="3"/>
      <c r="M469" s="3"/>
      <c r="N469" s="3"/>
      <c r="O469" s="3"/>
      <c r="P469" s="3"/>
      <c r="Q469" s="3"/>
      <c r="R469" s="3"/>
      <c r="S469" s="3"/>
      <c r="T469" s="3"/>
      <c r="U469" s="3"/>
      <c r="V469" s="3"/>
      <c r="W469" s="3"/>
      <c r="X469" s="3"/>
      <c r="Y469" s="3"/>
      <c r="Z469" s="3"/>
    </row>
    <row r="470" spans="1:26" ht="22.5" customHeight="1" x14ac:dyDescent="0.85">
      <c r="A470" s="166"/>
      <c r="B470" s="167"/>
      <c r="C470" s="167"/>
      <c r="D470" s="147"/>
      <c r="E470" s="147"/>
      <c r="F470" s="147"/>
      <c r="G470" s="147"/>
      <c r="H470" s="147"/>
      <c r="I470" s="147"/>
      <c r="J470" s="147"/>
      <c r="K470" s="3"/>
      <c r="L470" s="3"/>
      <c r="M470" s="3"/>
      <c r="N470" s="3"/>
      <c r="O470" s="3"/>
      <c r="P470" s="3"/>
      <c r="Q470" s="3"/>
      <c r="R470" s="3"/>
      <c r="S470" s="3"/>
      <c r="T470" s="3"/>
      <c r="U470" s="3"/>
      <c r="V470" s="3"/>
      <c r="W470" s="3"/>
      <c r="X470" s="3"/>
      <c r="Y470" s="3"/>
      <c r="Z470" s="3"/>
    </row>
    <row r="471" spans="1:26" ht="22.5" customHeight="1" x14ac:dyDescent="0.85">
      <c r="A471" s="166"/>
      <c r="B471" s="167"/>
      <c r="C471" s="167"/>
      <c r="D471" s="147"/>
      <c r="E471" s="147"/>
      <c r="F471" s="147"/>
      <c r="G471" s="147"/>
      <c r="H471" s="147"/>
      <c r="I471" s="147"/>
      <c r="J471" s="147"/>
      <c r="K471" s="3"/>
      <c r="L471" s="3"/>
      <c r="M471" s="3"/>
      <c r="N471" s="3"/>
      <c r="O471" s="3"/>
      <c r="P471" s="3"/>
      <c r="Q471" s="3"/>
      <c r="R471" s="3"/>
      <c r="S471" s="3"/>
      <c r="T471" s="3"/>
      <c r="U471" s="3"/>
      <c r="V471" s="3"/>
      <c r="W471" s="3"/>
      <c r="X471" s="3"/>
      <c r="Y471" s="3"/>
      <c r="Z471" s="3"/>
    </row>
    <row r="472" spans="1:26" ht="22.5" customHeight="1" x14ac:dyDescent="0.85">
      <c r="A472" s="166"/>
      <c r="B472" s="167"/>
      <c r="C472" s="167"/>
      <c r="D472" s="147"/>
      <c r="E472" s="147"/>
      <c r="F472" s="147"/>
      <c r="G472" s="147"/>
      <c r="H472" s="147"/>
      <c r="I472" s="147"/>
      <c r="J472" s="147"/>
      <c r="K472" s="3"/>
      <c r="L472" s="3"/>
      <c r="M472" s="3"/>
      <c r="N472" s="3"/>
      <c r="O472" s="3"/>
      <c r="P472" s="3"/>
      <c r="Q472" s="3"/>
      <c r="R472" s="3"/>
      <c r="S472" s="3"/>
      <c r="T472" s="3"/>
      <c r="U472" s="3"/>
      <c r="V472" s="3"/>
      <c r="W472" s="3"/>
      <c r="X472" s="3"/>
      <c r="Y472" s="3"/>
      <c r="Z472" s="3"/>
    </row>
    <row r="473" spans="1:26" ht="22.5" customHeight="1" x14ac:dyDescent="0.85">
      <c r="A473" s="166"/>
      <c r="B473" s="167"/>
      <c r="C473" s="167"/>
      <c r="D473" s="147"/>
      <c r="E473" s="147"/>
      <c r="F473" s="147"/>
      <c r="G473" s="147"/>
      <c r="H473" s="147"/>
      <c r="I473" s="147"/>
      <c r="J473" s="147"/>
      <c r="K473" s="3"/>
      <c r="L473" s="3"/>
      <c r="M473" s="3"/>
      <c r="N473" s="3"/>
      <c r="O473" s="3"/>
      <c r="P473" s="3"/>
      <c r="Q473" s="3"/>
      <c r="R473" s="3"/>
      <c r="S473" s="3"/>
      <c r="T473" s="3"/>
      <c r="U473" s="3"/>
      <c r="V473" s="3"/>
      <c r="W473" s="3"/>
      <c r="X473" s="3"/>
      <c r="Y473" s="3"/>
      <c r="Z473" s="3"/>
    </row>
    <row r="474" spans="1:26" ht="22.5" customHeight="1" x14ac:dyDescent="0.85">
      <c r="A474" s="166"/>
      <c r="B474" s="167"/>
      <c r="C474" s="167"/>
      <c r="D474" s="147"/>
      <c r="E474" s="147"/>
      <c r="F474" s="147"/>
      <c r="G474" s="147"/>
      <c r="H474" s="147"/>
      <c r="I474" s="147"/>
      <c r="J474" s="147"/>
      <c r="K474" s="3"/>
      <c r="L474" s="3"/>
      <c r="M474" s="3"/>
      <c r="N474" s="3"/>
      <c r="O474" s="3"/>
      <c r="P474" s="3"/>
      <c r="Q474" s="3"/>
      <c r="R474" s="3"/>
      <c r="S474" s="3"/>
      <c r="T474" s="3"/>
      <c r="U474" s="3"/>
      <c r="V474" s="3"/>
      <c r="W474" s="3"/>
      <c r="X474" s="3"/>
      <c r="Y474" s="3"/>
      <c r="Z474" s="3"/>
    </row>
    <row r="475" spans="1:26" ht="22.5" customHeight="1" x14ac:dyDescent="0.85">
      <c r="A475" s="166"/>
      <c r="B475" s="167"/>
      <c r="C475" s="167"/>
      <c r="D475" s="147"/>
      <c r="E475" s="147"/>
      <c r="F475" s="147"/>
      <c r="G475" s="147"/>
      <c r="H475" s="147"/>
      <c r="I475" s="147"/>
      <c r="J475" s="147"/>
      <c r="K475" s="3"/>
      <c r="L475" s="3"/>
      <c r="M475" s="3"/>
      <c r="N475" s="3"/>
      <c r="O475" s="3"/>
      <c r="P475" s="3"/>
      <c r="Q475" s="3"/>
      <c r="R475" s="3"/>
      <c r="S475" s="3"/>
      <c r="T475" s="3"/>
      <c r="U475" s="3"/>
      <c r="V475" s="3"/>
      <c r="W475" s="3"/>
      <c r="X475" s="3"/>
      <c r="Y475" s="3"/>
      <c r="Z475" s="3"/>
    </row>
    <row r="476" spans="1:26" ht="22.5" customHeight="1" x14ac:dyDescent="0.85">
      <c r="A476" s="166"/>
      <c r="B476" s="167"/>
      <c r="C476" s="167"/>
      <c r="D476" s="147"/>
      <c r="E476" s="147"/>
      <c r="F476" s="147"/>
      <c r="G476" s="147"/>
      <c r="H476" s="147"/>
      <c r="I476" s="147"/>
      <c r="J476" s="147"/>
      <c r="K476" s="3"/>
      <c r="L476" s="3"/>
      <c r="M476" s="3"/>
      <c r="N476" s="3"/>
      <c r="O476" s="3"/>
      <c r="P476" s="3"/>
      <c r="Q476" s="3"/>
      <c r="R476" s="3"/>
      <c r="S476" s="3"/>
      <c r="T476" s="3"/>
      <c r="U476" s="3"/>
      <c r="V476" s="3"/>
      <c r="W476" s="3"/>
      <c r="X476" s="3"/>
      <c r="Y476" s="3"/>
      <c r="Z476" s="3"/>
    </row>
    <row r="477" spans="1:26" ht="22.5" customHeight="1" x14ac:dyDescent="0.85">
      <c r="A477" s="166"/>
      <c r="B477" s="167"/>
      <c r="C477" s="167"/>
      <c r="D477" s="147"/>
      <c r="E477" s="147"/>
      <c r="F477" s="147"/>
      <c r="G477" s="147"/>
      <c r="H477" s="147"/>
      <c r="I477" s="147"/>
      <c r="J477" s="147"/>
      <c r="K477" s="3"/>
      <c r="L477" s="3"/>
      <c r="M477" s="3"/>
      <c r="N477" s="3"/>
      <c r="O477" s="3"/>
      <c r="P477" s="3"/>
      <c r="Q477" s="3"/>
      <c r="R477" s="3"/>
      <c r="S477" s="3"/>
      <c r="T477" s="3"/>
      <c r="U477" s="3"/>
      <c r="V477" s="3"/>
      <c r="W477" s="3"/>
      <c r="X477" s="3"/>
      <c r="Y477" s="3"/>
      <c r="Z477" s="3"/>
    </row>
    <row r="478" spans="1:26" ht="22.5" customHeight="1" x14ac:dyDescent="0.85">
      <c r="A478" s="166"/>
      <c r="B478" s="167"/>
      <c r="C478" s="167"/>
      <c r="D478" s="147"/>
      <c r="E478" s="147"/>
      <c r="F478" s="147"/>
      <c r="G478" s="147"/>
      <c r="H478" s="147"/>
      <c r="I478" s="147"/>
      <c r="J478" s="147"/>
      <c r="K478" s="3"/>
      <c r="L478" s="3"/>
      <c r="M478" s="3"/>
      <c r="N478" s="3"/>
      <c r="O478" s="3"/>
      <c r="P478" s="3"/>
      <c r="Q478" s="3"/>
      <c r="R478" s="3"/>
      <c r="S478" s="3"/>
      <c r="T478" s="3"/>
      <c r="U478" s="3"/>
      <c r="V478" s="3"/>
      <c r="W478" s="3"/>
      <c r="X478" s="3"/>
      <c r="Y478" s="3"/>
      <c r="Z478" s="3"/>
    </row>
    <row r="479" spans="1:26" ht="22.5" customHeight="1" x14ac:dyDescent="0.85">
      <c r="A479" s="166"/>
      <c r="B479" s="167"/>
      <c r="C479" s="167"/>
      <c r="D479" s="147"/>
      <c r="E479" s="147"/>
      <c r="F479" s="147"/>
      <c r="G479" s="147"/>
      <c r="H479" s="147"/>
      <c r="I479" s="147"/>
      <c r="J479" s="147"/>
      <c r="K479" s="3"/>
      <c r="L479" s="3"/>
      <c r="M479" s="3"/>
      <c r="N479" s="3"/>
      <c r="O479" s="3"/>
      <c r="P479" s="3"/>
      <c r="Q479" s="3"/>
      <c r="R479" s="3"/>
      <c r="S479" s="3"/>
      <c r="T479" s="3"/>
      <c r="U479" s="3"/>
      <c r="V479" s="3"/>
      <c r="W479" s="3"/>
      <c r="X479" s="3"/>
      <c r="Y479" s="3"/>
      <c r="Z479" s="3"/>
    </row>
    <row r="480" spans="1:26" ht="22.5" customHeight="1" x14ac:dyDescent="0.85">
      <c r="A480" s="166"/>
      <c r="B480" s="167"/>
      <c r="C480" s="167"/>
      <c r="D480" s="147"/>
      <c r="E480" s="147"/>
      <c r="F480" s="147"/>
      <c r="G480" s="147"/>
      <c r="H480" s="147"/>
      <c r="I480" s="147"/>
      <c r="J480" s="147"/>
      <c r="K480" s="3"/>
      <c r="L480" s="3"/>
      <c r="M480" s="3"/>
      <c r="N480" s="3"/>
      <c r="O480" s="3"/>
      <c r="P480" s="3"/>
      <c r="Q480" s="3"/>
      <c r="R480" s="3"/>
      <c r="S480" s="3"/>
      <c r="T480" s="3"/>
      <c r="U480" s="3"/>
      <c r="V480" s="3"/>
      <c r="W480" s="3"/>
      <c r="X480" s="3"/>
      <c r="Y480" s="3"/>
      <c r="Z480" s="3"/>
    </row>
    <row r="481" spans="1:26" ht="22.5" customHeight="1" x14ac:dyDescent="0.85">
      <c r="A481" s="166"/>
      <c r="B481" s="167"/>
      <c r="C481" s="167"/>
      <c r="D481" s="147"/>
      <c r="E481" s="147"/>
      <c r="F481" s="147"/>
      <c r="G481" s="147"/>
      <c r="H481" s="147"/>
      <c r="I481" s="147"/>
      <c r="J481" s="147"/>
      <c r="K481" s="3"/>
      <c r="L481" s="3"/>
      <c r="M481" s="3"/>
      <c r="N481" s="3"/>
      <c r="O481" s="3"/>
      <c r="P481" s="3"/>
      <c r="Q481" s="3"/>
      <c r="R481" s="3"/>
      <c r="S481" s="3"/>
      <c r="T481" s="3"/>
      <c r="U481" s="3"/>
      <c r="V481" s="3"/>
      <c r="W481" s="3"/>
      <c r="X481" s="3"/>
      <c r="Y481" s="3"/>
      <c r="Z481" s="3"/>
    </row>
    <row r="482" spans="1:26" ht="22.5" customHeight="1" x14ac:dyDescent="0.85">
      <c r="A482" s="166"/>
      <c r="B482" s="167"/>
      <c r="C482" s="167"/>
      <c r="D482" s="147"/>
      <c r="E482" s="147"/>
      <c r="F482" s="147"/>
      <c r="G482" s="147"/>
      <c r="H482" s="147"/>
      <c r="I482" s="147"/>
      <c r="J482" s="147"/>
      <c r="K482" s="3"/>
      <c r="L482" s="3"/>
      <c r="M482" s="3"/>
      <c r="N482" s="3"/>
      <c r="O482" s="3"/>
      <c r="P482" s="3"/>
      <c r="Q482" s="3"/>
      <c r="R482" s="3"/>
      <c r="S482" s="3"/>
      <c r="T482" s="3"/>
      <c r="U482" s="3"/>
      <c r="V482" s="3"/>
      <c r="W482" s="3"/>
      <c r="X482" s="3"/>
      <c r="Y482" s="3"/>
      <c r="Z482" s="3"/>
    </row>
    <row r="483" spans="1:26" ht="22.5" customHeight="1" x14ac:dyDescent="0.85">
      <c r="A483" s="166"/>
      <c r="B483" s="167"/>
      <c r="C483" s="167"/>
      <c r="D483" s="147"/>
      <c r="E483" s="147"/>
      <c r="F483" s="147"/>
      <c r="G483" s="147"/>
      <c r="H483" s="147"/>
      <c r="I483" s="147"/>
      <c r="J483" s="147"/>
      <c r="K483" s="3"/>
      <c r="L483" s="3"/>
      <c r="M483" s="3"/>
      <c r="N483" s="3"/>
      <c r="O483" s="3"/>
      <c r="P483" s="3"/>
      <c r="Q483" s="3"/>
      <c r="R483" s="3"/>
      <c r="S483" s="3"/>
      <c r="T483" s="3"/>
      <c r="U483" s="3"/>
      <c r="V483" s="3"/>
      <c r="W483" s="3"/>
      <c r="X483" s="3"/>
      <c r="Y483" s="3"/>
      <c r="Z483" s="3"/>
    </row>
    <row r="484" spans="1:26" ht="22.5" customHeight="1" x14ac:dyDescent="0.85">
      <c r="A484" s="166"/>
      <c r="B484" s="167"/>
      <c r="C484" s="167"/>
      <c r="D484" s="147"/>
      <c r="E484" s="147"/>
      <c r="F484" s="147"/>
      <c r="G484" s="147"/>
      <c r="H484" s="147"/>
      <c r="I484" s="147"/>
      <c r="J484" s="147"/>
      <c r="K484" s="3"/>
      <c r="L484" s="3"/>
      <c r="M484" s="3"/>
      <c r="N484" s="3"/>
      <c r="O484" s="3"/>
      <c r="P484" s="3"/>
      <c r="Q484" s="3"/>
      <c r="R484" s="3"/>
      <c r="S484" s="3"/>
      <c r="T484" s="3"/>
      <c r="U484" s="3"/>
      <c r="V484" s="3"/>
      <c r="W484" s="3"/>
      <c r="X484" s="3"/>
      <c r="Y484" s="3"/>
      <c r="Z484" s="3"/>
    </row>
    <row r="485" spans="1:26" ht="22.5" customHeight="1" x14ac:dyDescent="0.85">
      <c r="A485" s="166"/>
      <c r="B485" s="167"/>
      <c r="C485" s="167"/>
      <c r="D485" s="147"/>
      <c r="E485" s="147"/>
      <c r="F485" s="147"/>
      <c r="G485" s="147"/>
      <c r="H485" s="147"/>
      <c r="I485" s="147"/>
      <c r="J485" s="147"/>
      <c r="K485" s="3"/>
      <c r="L485" s="3"/>
      <c r="M485" s="3"/>
      <c r="N485" s="3"/>
      <c r="O485" s="3"/>
      <c r="P485" s="3"/>
      <c r="Q485" s="3"/>
      <c r="R485" s="3"/>
      <c r="S485" s="3"/>
      <c r="T485" s="3"/>
      <c r="U485" s="3"/>
      <c r="V485" s="3"/>
      <c r="W485" s="3"/>
      <c r="X485" s="3"/>
      <c r="Y485" s="3"/>
      <c r="Z485" s="3"/>
    </row>
    <row r="486" spans="1:26" ht="22.5" customHeight="1" x14ac:dyDescent="0.85">
      <c r="A486" s="166"/>
      <c r="B486" s="167"/>
      <c r="C486" s="167"/>
      <c r="D486" s="147"/>
      <c r="E486" s="147"/>
      <c r="F486" s="147"/>
      <c r="G486" s="147"/>
      <c r="H486" s="147"/>
      <c r="I486" s="147"/>
      <c r="J486" s="147"/>
      <c r="K486" s="3"/>
      <c r="L486" s="3"/>
      <c r="M486" s="3"/>
      <c r="N486" s="3"/>
      <c r="O486" s="3"/>
      <c r="P486" s="3"/>
      <c r="Q486" s="3"/>
      <c r="R486" s="3"/>
      <c r="S486" s="3"/>
      <c r="T486" s="3"/>
      <c r="U486" s="3"/>
      <c r="V486" s="3"/>
      <c r="W486" s="3"/>
      <c r="X486" s="3"/>
      <c r="Y486" s="3"/>
      <c r="Z486" s="3"/>
    </row>
    <row r="487" spans="1:26" ht="22.5" customHeight="1" x14ac:dyDescent="0.85">
      <c r="A487" s="166"/>
      <c r="B487" s="167"/>
      <c r="C487" s="167"/>
      <c r="D487" s="147"/>
      <c r="E487" s="147"/>
      <c r="F487" s="147"/>
      <c r="G487" s="147"/>
      <c r="H487" s="147"/>
      <c r="I487" s="147"/>
      <c r="J487" s="147"/>
      <c r="K487" s="3"/>
      <c r="L487" s="3"/>
      <c r="M487" s="3"/>
      <c r="N487" s="3"/>
      <c r="O487" s="3"/>
      <c r="P487" s="3"/>
      <c r="Q487" s="3"/>
      <c r="R487" s="3"/>
      <c r="S487" s="3"/>
      <c r="T487" s="3"/>
      <c r="U487" s="3"/>
      <c r="V487" s="3"/>
      <c r="W487" s="3"/>
      <c r="X487" s="3"/>
      <c r="Y487" s="3"/>
      <c r="Z487" s="3"/>
    </row>
    <row r="488" spans="1:26" ht="22.5" customHeight="1" x14ac:dyDescent="0.85">
      <c r="A488" s="166"/>
      <c r="B488" s="167"/>
      <c r="C488" s="167"/>
      <c r="D488" s="147"/>
      <c r="E488" s="147"/>
      <c r="F488" s="147"/>
      <c r="G488" s="147"/>
      <c r="H488" s="147"/>
      <c r="I488" s="147"/>
      <c r="J488" s="147"/>
      <c r="K488" s="3"/>
      <c r="L488" s="3"/>
      <c r="M488" s="3"/>
      <c r="N488" s="3"/>
      <c r="O488" s="3"/>
      <c r="P488" s="3"/>
      <c r="Q488" s="3"/>
      <c r="R488" s="3"/>
      <c r="S488" s="3"/>
      <c r="T488" s="3"/>
      <c r="U488" s="3"/>
      <c r="V488" s="3"/>
      <c r="W488" s="3"/>
      <c r="X488" s="3"/>
      <c r="Y488" s="3"/>
      <c r="Z488" s="3"/>
    </row>
    <row r="489" spans="1:26" ht="22.5" customHeight="1" x14ac:dyDescent="0.85">
      <c r="A489" s="166"/>
      <c r="B489" s="167"/>
      <c r="C489" s="167"/>
      <c r="D489" s="147"/>
      <c r="E489" s="147"/>
      <c r="F489" s="147"/>
      <c r="G489" s="147"/>
      <c r="H489" s="147"/>
      <c r="I489" s="147"/>
      <c r="J489" s="147"/>
      <c r="K489" s="3"/>
      <c r="L489" s="3"/>
      <c r="M489" s="3"/>
      <c r="N489" s="3"/>
      <c r="O489" s="3"/>
      <c r="P489" s="3"/>
      <c r="Q489" s="3"/>
      <c r="R489" s="3"/>
      <c r="S489" s="3"/>
      <c r="T489" s="3"/>
      <c r="U489" s="3"/>
      <c r="V489" s="3"/>
      <c r="W489" s="3"/>
      <c r="X489" s="3"/>
      <c r="Y489" s="3"/>
      <c r="Z489" s="3"/>
    </row>
    <row r="490" spans="1:26" ht="22.5" customHeight="1" x14ac:dyDescent="0.85">
      <c r="A490" s="166"/>
      <c r="B490" s="167"/>
      <c r="C490" s="167"/>
      <c r="D490" s="147"/>
      <c r="E490" s="147"/>
      <c r="F490" s="147"/>
      <c r="G490" s="147"/>
      <c r="H490" s="147"/>
      <c r="I490" s="147"/>
      <c r="J490" s="147"/>
      <c r="K490" s="3"/>
      <c r="L490" s="3"/>
      <c r="M490" s="3"/>
      <c r="N490" s="3"/>
      <c r="O490" s="3"/>
      <c r="P490" s="3"/>
      <c r="Q490" s="3"/>
      <c r="R490" s="3"/>
      <c r="S490" s="3"/>
      <c r="T490" s="3"/>
      <c r="U490" s="3"/>
      <c r="V490" s="3"/>
      <c r="W490" s="3"/>
      <c r="X490" s="3"/>
      <c r="Y490" s="3"/>
      <c r="Z490" s="3"/>
    </row>
    <row r="491" spans="1:26" ht="22.5" customHeight="1" x14ac:dyDescent="0.85">
      <c r="A491" s="166"/>
      <c r="B491" s="167"/>
      <c r="C491" s="167"/>
      <c r="D491" s="147"/>
      <c r="E491" s="147"/>
      <c r="F491" s="147"/>
      <c r="G491" s="147"/>
      <c r="H491" s="147"/>
      <c r="I491" s="147"/>
      <c r="J491" s="147"/>
      <c r="K491" s="3"/>
      <c r="L491" s="3"/>
      <c r="M491" s="3"/>
      <c r="N491" s="3"/>
      <c r="O491" s="3"/>
      <c r="P491" s="3"/>
      <c r="Q491" s="3"/>
      <c r="R491" s="3"/>
      <c r="S491" s="3"/>
      <c r="T491" s="3"/>
      <c r="U491" s="3"/>
      <c r="V491" s="3"/>
      <c r="W491" s="3"/>
      <c r="X491" s="3"/>
      <c r="Y491" s="3"/>
      <c r="Z491" s="3"/>
    </row>
    <row r="492" spans="1:26" ht="22.5" customHeight="1" x14ac:dyDescent="0.85">
      <c r="A492" s="166"/>
      <c r="B492" s="167"/>
      <c r="C492" s="167"/>
      <c r="D492" s="147"/>
      <c r="E492" s="147"/>
      <c r="F492" s="147"/>
      <c r="G492" s="147"/>
      <c r="H492" s="147"/>
      <c r="I492" s="147"/>
      <c r="J492" s="147"/>
      <c r="K492" s="3"/>
      <c r="L492" s="3"/>
      <c r="M492" s="3"/>
      <c r="N492" s="3"/>
      <c r="O492" s="3"/>
      <c r="P492" s="3"/>
      <c r="Q492" s="3"/>
      <c r="R492" s="3"/>
      <c r="S492" s="3"/>
      <c r="T492" s="3"/>
      <c r="U492" s="3"/>
      <c r="V492" s="3"/>
      <c r="W492" s="3"/>
      <c r="X492" s="3"/>
      <c r="Y492" s="3"/>
      <c r="Z492" s="3"/>
    </row>
    <row r="493" spans="1:26" ht="22.5" customHeight="1" x14ac:dyDescent="0.85">
      <c r="A493" s="166"/>
      <c r="B493" s="167"/>
      <c r="C493" s="167"/>
      <c r="D493" s="147"/>
      <c r="E493" s="147"/>
      <c r="F493" s="147"/>
      <c r="G493" s="147"/>
      <c r="H493" s="147"/>
      <c r="I493" s="147"/>
      <c r="J493" s="147"/>
      <c r="K493" s="3"/>
      <c r="L493" s="3"/>
      <c r="M493" s="3"/>
      <c r="N493" s="3"/>
      <c r="O493" s="3"/>
      <c r="P493" s="3"/>
      <c r="Q493" s="3"/>
      <c r="R493" s="3"/>
      <c r="S493" s="3"/>
      <c r="T493" s="3"/>
      <c r="U493" s="3"/>
      <c r="V493" s="3"/>
      <c r="W493" s="3"/>
      <c r="X493" s="3"/>
      <c r="Y493" s="3"/>
      <c r="Z493" s="3"/>
    </row>
    <row r="494" spans="1:26" ht="22.5" customHeight="1" x14ac:dyDescent="0.85">
      <c r="A494" s="166"/>
      <c r="B494" s="167"/>
      <c r="C494" s="167"/>
      <c r="D494" s="147"/>
      <c r="E494" s="147"/>
      <c r="F494" s="147"/>
      <c r="G494" s="147"/>
      <c r="H494" s="147"/>
      <c r="I494" s="147"/>
      <c r="J494" s="147"/>
      <c r="K494" s="3"/>
      <c r="L494" s="3"/>
      <c r="M494" s="3"/>
      <c r="N494" s="3"/>
      <c r="O494" s="3"/>
      <c r="P494" s="3"/>
      <c r="Q494" s="3"/>
      <c r="R494" s="3"/>
      <c r="S494" s="3"/>
      <c r="T494" s="3"/>
      <c r="U494" s="3"/>
      <c r="V494" s="3"/>
      <c r="W494" s="3"/>
      <c r="X494" s="3"/>
      <c r="Y494" s="3"/>
      <c r="Z494" s="3"/>
    </row>
    <row r="495" spans="1:26" ht="22.5" customHeight="1" x14ac:dyDescent="0.85">
      <c r="A495" s="166"/>
      <c r="B495" s="167"/>
      <c r="C495" s="167"/>
      <c r="D495" s="147"/>
      <c r="E495" s="147"/>
      <c r="F495" s="147"/>
      <c r="G495" s="147"/>
      <c r="H495" s="147"/>
      <c r="I495" s="147"/>
      <c r="J495" s="147"/>
      <c r="K495" s="3"/>
      <c r="L495" s="3"/>
      <c r="M495" s="3"/>
      <c r="N495" s="3"/>
      <c r="O495" s="3"/>
      <c r="P495" s="3"/>
      <c r="Q495" s="3"/>
      <c r="R495" s="3"/>
      <c r="S495" s="3"/>
      <c r="T495" s="3"/>
      <c r="U495" s="3"/>
      <c r="V495" s="3"/>
      <c r="W495" s="3"/>
      <c r="X495" s="3"/>
      <c r="Y495" s="3"/>
      <c r="Z495" s="3"/>
    </row>
    <row r="496" spans="1:26" ht="22.5" customHeight="1" x14ac:dyDescent="0.85">
      <c r="A496" s="166"/>
      <c r="B496" s="167"/>
      <c r="C496" s="167"/>
      <c r="D496" s="147"/>
      <c r="E496" s="147"/>
      <c r="F496" s="147"/>
      <c r="G496" s="147"/>
      <c r="H496" s="147"/>
      <c r="I496" s="147"/>
      <c r="J496" s="147"/>
      <c r="K496" s="3"/>
      <c r="L496" s="3"/>
      <c r="M496" s="3"/>
      <c r="N496" s="3"/>
      <c r="O496" s="3"/>
      <c r="P496" s="3"/>
      <c r="Q496" s="3"/>
      <c r="R496" s="3"/>
      <c r="S496" s="3"/>
      <c r="T496" s="3"/>
      <c r="U496" s="3"/>
      <c r="V496" s="3"/>
      <c r="W496" s="3"/>
      <c r="X496" s="3"/>
      <c r="Y496" s="3"/>
      <c r="Z496" s="3"/>
    </row>
    <row r="497" spans="1:26" ht="22.5" customHeight="1" x14ac:dyDescent="0.85">
      <c r="A497" s="166"/>
      <c r="B497" s="167"/>
      <c r="C497" s="167"/>
      <c r="D497" s="147"/>
      <c r="E497" s="147"/>
      <c r="F497" s="147"/>
      <c r="G497" s="147"/>
      <c r="H497" s="147"/>
      <c r="I497" s="147"/>
      <c r="J497" s="147"/>
      <c r="K497" s="3"/>
      <c r="L497" s="3"/>
      <c r="M497" s="3"/>
      <c r="N497" s="3"/>
      <c r="O497" s="3"/>
      <c r="P497" s="3"/>
      <c r="Q497" s="3"/>
      <c r="R497" s="3"/>
      <c r="S497" s="3"/>
      <c r="T497" s="3"/>
      <c r="U497" s="3"/>
      <c r="V497" s="3"/>
      <c r="W497" s="3"/>
      <c r="X497" s="3"/>
      <c r="Y497" s="3"/>
      <c r="Z497" s="3"/>
    </row>
    <row r="498" spans="1:26" ht="22.5" customHeight="1" x14ac:dyDescent="0.85">
      <c r="A498" s="166"/>
      <c r="B498" s="167"/>
      <c r="C498" s="167"/>
      <c r="D498" s="147"/>
      <c r="E498" s="147"/>
      <c r="F498" s="147"/>
      <c r="G498" s="147"/>
      <c r="H498" s="147"/>
      <c r="I498" s="147"/>
      <c r="J498" s="147"/>
      <c r="K498" s="3"/>
      <c r="L498" s="3"/>
      <c r="M498" s="3"/>
      <c r="N498" s="3"/>
      <c r="O498" s="3"/>
      <c r="P498" s="3"/>
      <c r="Q498" s="3"/>
      <c r="R498" s="3"/>
      <c r="S498" s="3"/>
      <c r="T498" s="3"/>
      <c r="U498" s="3"/>
      <c r="V498" s="3"/>
      <c r="W498" s="3"/>
      <c r="X498" s="3"/>
      <c r="Y498" s="3"/>
      <c r="Z498" s="3"/>
    </row>
    <row r="499" spans="1:26" ht="22.5" customHeight="1" x14ac:dyDescent="0.85">
      <c r="A499" s="166"/>
      <c r="B499" s="167"/>
      <c r="C499" s="167"/>
      <c r="D499" s="147"/>
      <c r="E499" s="147"/>
      <c r="F499" s="147"/>
      <c r="G499" s="147"/>
      <c r="H499" s="147"/>
      <c r="I499" s="147"/>
      <c r="J499" s="147"/>
      <c r="K499" s="3"/>
      <c r="L499" s="3"/>
      <c r="M499" s="3"/>
      <c r="N499" s="3"/>
      <c r="O499" s="3"/>
      <c r="P499" s="3"/>
      <c r="Q499" s="3"/>
      <c r="R499" s="3"/>
      <c r="S499" s="3"/>
      <c r="T499" s="3"/>
      <c r="U499" s="3"/>
      <c r="V499" s="3"/>
      <c r="W499" s="3"/>
      <c r="X499" s="3"/>
      <c r="Y499" s="3"/>
      <c r="Z499" s="3"/>
    </row>
    <row r="500" spans="1:26" ht="22.5" customHeight="1" x14ac:dyDescent="0.85">
      <c r="A500" s="166"/>
      <c r="B500" s="167"/>
      <c r="C500" s="167"/>
      <c r="D500" s="147"/>
      <c r="E500" s="147"/>
      <c r="F500" s="147"/>
      <c r="G500" s="147"/>
      <c r="H500" s="147"/>
      <c r="I500" s="147"/>
      <c r="J500" s="147"/>
      <c r="K500" s="3"/>
      <c r="L500" s="3"/>
      <c r="M500" s="3"/>
      <c r="N500" s="3"/>
      <c r="O500" s="3"/>
      <c r="P500" s="3"/>
      <c r="Q500" s="3"/>
      <c r="R500" s="3"/>
      <c r="S500" s="3"/>
      <c r="T500" s="3"/>
      <c r="U500" s="3"/>
      <c r="V500" s="3"/>
      <c r="W500" s="3"/>
      <c r="X500" s="3"/>
      <c r="Y500" s="3"/>
      <c r="Z500" s="3"/>
    </row>
    <row r="501" spans="1:26" ht="22.5" customHeight="1" x14ac:dyDescent="0.85">
      <c r="A501" s="166"/>
      <c r="B501" s="167"/>
      <c r="C501" s="167"/>
      <c r="D501" s="147"/>
      <c r="E501" s="147"/>
      <c r="F501" s="147"/>
      <c r="G501" s="147"/>
      <c r="H501" s="147"/>
      <c r="I501" s="147"/>
      <c r="J501" s="147"/>
      <c r="K501" s="3"/>
      <c r="L501" s="3"/>
      <c r="M501" s="3"/>
      <c r="N501" s="3"/>
      <c r="O501" s="3"/>
      <c r="P501" s="3"/>
      <c r="Q501" s="3"/>
      <c r="R501" s="3"/>
      <c r="S501" s="3"/>
      <c r="T501" s="3"/>
      <c r="U501" s="3"/>
      <c r="V501" s="3"/>
      <c r="W501" s="3"/>
      <c r="X501" s="3"/>
      <c r="Y501" s="3"/>
      <c r="Z501" s="3"/>
    </row>
    <row r="502" spans="1:26" ht="22.5" customHeight="1" x14ac:dyDescent="0.85">
      <c r="A502" s="166"/>
      <c r="B502" s="167"/>
      <c r="C502" s="167"/>
      <c r="D502" s="147"/>
      <c r="E502" s="147"/>
      <c r="F502" s="147"/>
      <c r="G502" s="147"/>
      <c r="H502" s="147"/>
      <c r="I502" s="147"/>
      <c r="J502" s="147"/>
      <c r="K502" s="3"/>
      <c r="L502" s="3"/>
      <c r="M502" s="3"/>
      <c r="N502" s="3"/>
      <c r="O502" s="3"/>
      <c r="P502" s="3"/>
      <c r="Q502" s="3"/>
      <c r="R502" s="3"/>
      <c r="S502" s="3"/>
      <c r="T502" s="3"/>
      <c r="U502" s="3"/>
      <c r="V502" s="3"/>
      <c r="W502" s="3"/>
      <c r="X502" s="3"/>
      <c r="Y502" s="3"/>
      <c r="Z502" s="3"/>
    </row>
    <row r="503" spans="1:26" ht="22.5" customHeight="1" x14ac:dyDescent="0.85">
      <c r="A503" s="166"/>
      <c r="B503" s="167"/>
      <c r="C503" s="167"/>
      <c r="D503" s="147"/>
      <c r="E503" s="147"/>
      <c r="F503" s="147"/>
      <c r="G503" s="147"/>
      <c r="H503" s="147"/>
      <c r="I503" s="147"/>
      <c r="J503" s="147"/>
      <c r="K503" s="3"/>
      <c r="L503" s="3"/>
      <c r="M503" s="3"/>
      <c r="N503" s="3"/>
      <c r="O503" s="3"/>
      <c r="P503" s="3"/>
      <c r="Q503" s="3"/>
      <c r="R503" s="3"/>
      <c r="S503" s="3"/>
      <c r="T503" s="3"/>
      <c r="U503" s="3"/>
      <c r="V503" s="3"/>
      <c r="W503" s="3"/>
      <c r="X503" s="3"/>
      <c r="Y503" s="3"/>
      <c r="Z503" s="3"/>
    </row>
    <row r="504" spans="1:26" ht="22.5" customHeight="1" x14ac:dyDescent="0.85">
      <c r="A504" s="166"/>
      <c r="B504" s="167"/>
      <c r="C504" s="167"/>
      <c r="D504" s="147"/>
      <c r="E504" s="147"/>
      <c r="F504" s="147"/>
      <c r="G504" s="147"/>
      <c r="H504" s="147"/>
      <c r="I504" s="147"/>
      <c r="J504" s="147"/>
      <c r="K504" s="3"/>
      <c r="L504" s="3"/>
      <c r="M504" s="3"/>
      <c r="N504" s="3"/>
      <c r="O504" s="3"/>
      <c r="P504" s="3"/>
      <c r="Q504" s="3"/>
      <c r="R504" s="3"/>
      <c r="S504" s="3"/>
      <c r="T504" s="3"/>
      <c r="U504" s="3"/>
      <c r="V504" s="3"/>
      <c r="W504" s="3"/>
      <c r="X504" s="3"/>
      <c r="Y504" s="3"/>
      <c r="Z504" s="3"/>
    </row>
    <row r="505" spans="1:26" ht="22.5" customHeight="1" x14ac:dyDescent="0.85">
      <c r="A505" s="166"/>
      <c r="B505" s="167"/>
      <c r="C505" s="167"/>
      <c r="D505" s="147"/>
      <c r="E505" s="147"/>
      <c r="F505" s="147"/>
      <c r="G505" s="147"/>
      <c r="H505" s="147"/>
      <c r="I505" s="147"/>
      <c r="J505" s="147"/>
      <c r="K505" s="3"/>
      <c r="L505" s="3"/>
      <c r="M505" s="3"/>
      <c r="N505" s="3"/>
      <c r="O505" s="3"/>
      <c r="P505" s="3"/>
      <c r="Q505" s="3"/>
      <c r="R505" s="3"/>
      <c r="S505" s="3"/>
      <c r="T505" s="3"/>
      <c r="U505" s="3"/>
      <c r="V505" s="3"/>
      <c r="W505" s="3"/>
      <c r="X505" s="3"/>
      <c r="Y505" s="3"/>
      <c r="Z505" s="3"/>
    </row>
    <row r="506" spans="1:26" ht="22.5" customHeight="1" x14ac:dyDescent="0.85">
      <c r="A506" s="166"/>
      <c r="B506" s="167"/>
      <c r="C506" s="167"/>
      <c r="D506" s="147"/>
      <c r="E506" s="147"/>
      <c r="F506" s="147"/>
      <c r="G506" s="147"/>
      <c r="H506" s="147"/>
      <c r="I506" s="147"/>
      <c r="J506" s="147"/>
      <c r="K506" s="3"/>
      <c r="L506" s="3"/>
      <c r="M506" s="3"/>
      <c r="N506" s="3"/>
      <c r="O506" s="3"/>
      <c r="P506" s="3"/>
      <c r="Q506" s="3"/>
      <c r="R506" s="3"/>
      <c r="S506" s="3"/>
      <c r="T506" s="3"/>
      <c r="U506" s="3"/>
      <c r="V506" s="3"/>
      <c r="W506" s="3"/>
      <c r="X506" s="3"/>
      <c r="Y506" s="3"/>
      <c r="Z506" s="3"/>
    </row>
    <row r="507" spans="1:26" ht="22.5" customHeight="1" x14ac:dyDescent="0.85">
      <c r="A507" s="166"/>
      <c r="B507" s="167"/>
      <c r="C507" s="167"/>
      <c r="D507" s="147"/>
      <c r="E507" s="147"/>
      <c r="F507" s="147"/>
      <c r="G507" s="147"/>
      <c r="H507" s="147"/>
      <c r="I507" s="147"/>
      <c r="J507" s="147"/>
      <c r="K507" s="3"/>
      <c r="L507" s="3"/>
      <c r="M507" s="3"/>
      <c r="N507" s="3"/>
      <c r="O507" s="3"/>
      <c r="P507" s="3"/>
      <c r="Q507" s="3"/>
      <c r="R507" s="3"/>
      <c r="S507" s="3"/>
      <c r="T507" s="3"/>
      <c r="U507" s="3"/>
      <c r="V507" s="3"/>
      <c r="W507" s="3"/>
      <c r="X507" s="3"/>
      <c r="Y507" s="3"/>
      <c r="Z507" s="3"/>
    </row>
    <row r="508" spans="1:26" ht="22.5" customHeight="1" x14ac:dyDescent="0.85">
      <c r="A508" s="166"/>
      <c r="B508" s="167"/>
      <c r="C508" s="167"/>
      <c r="D508" s="147"/>
      <c r="E508" s="147"/>
      <c r="F508" s="147"/>
      <c r="G508" s="147"/>
      <c r="H508" s="147"/>
      <c r="I508" s="147"/>
      <c r="J508" s="147"/>
      <c r="K508" s="3"/>
      <c r="L508" s="3"/>
      <c r="M508" s="3"/>
      <c r="N508" s="3"/>
      <c r="O508" s="3"/>
      <c r="P508" s="3"/>
      <c r="Q508" s="3"/>
      <c r="R508" s="3"/>
      <c r="S508" s="3"/>
      <c r="T508" s="3"/>
      <c r="U508" s="3"/>
      <c r="V508" s="3"/>
      <c r="W508" s="3"/>
      <c r="X508" s="3"/>
      <c r="Y508" s="3"/>
      <c r="Z508" s="3"/>
    </row>
    <row r="509" spans="1:26" ht="22.5" customHeight="1" x14ac:dyDescent="0.85">
      <c r="A509" s="166"/>
      <c r="B509" s="167"/>
      <c r="C509" s="167"/>
      <c r="D509" s="147"/>
      <c r="E509" s="147"/>
      <c r="F509" s="147"/>
      <c r="G509" s="147"/>
      <c r="H509" s="147"/>
      <c r="I509" s="147"/>
      <c r="J509" s="147"/>
      <c r="K509" s="3"/>
      <c r="L509" s="3"/>
      <c r="M509" s="3"/>
      <c r="N509" s="3"/>
      <c r="O509" s="3"/>
      <c r="P509" s="3"/>
      <c r="Q509" s="3"/>
      <c r="R509" s="3"/>
      <c r="S509" s="3"/>
      <c r="T509" s="3"/>
      <c r="U509" s="3"/>
      <c r="V509" s="3"/>
      <c r="W509" s="3"/>
      <c r="X509" s="3"/>
      <c r="Y509" s="3"/>
      <c r="Z509" s="3"/>
    </row>
    <row r="510" spans="1:26" ht="22.5" customHeight="1" x14ac:dyDescent="0.85">
      <c r="A510" s="166"/>
      <c r="B510" s="167"/>
      <c r="C510" s="167"/>
      <c r="D510" s="147"/>
      <c r="E510" s="147"/>
      <c r="F510" s="147"/>
      <c r="G510" s="147"/>
      <c r="H510" s="147"/>
      <c r="I510" s="147"/>
      <c r="J510" s="147"/>
      <c r="K510" s="3"/>
      <c r="L510" s="3"/>
      <c r="M510" s="3"/>
      <c r="N510" s="3"/>
      <c r="O510" s="3"/>
      <c r="P510" s="3"/>
      <c r="Q510" s="3"/>
      <c r="R510" s="3"/>
      <c r="S510" s="3"/>
      <c r="T510" s="3"/>
      <c r="U510" s="3"/>
      <c r="V510" s="3"/>
      <c r="W510" s="3"/>
      <c r="X510" s="3"/>
      <c r="Y510" s="3"/>
      <c r="Z510" s="3"/>
    </row>
    <row r="511" spans="1:26" ht="22.5" customHeight="1" x14ac:dyDescent="0.85">
      <c r="A511" s="166"/>
      <c r="B511" s="167"/>
      <c r="C511" s="167"/>
      <c r="D511" s="147"/>
      <c r="E511" s="147"/>
      <c r="F511" s="147"/>
      <c r="G511" s="147"/>
      <c r="H511" s="147"/>
      <c r="I511" s="147"/>
      <c r="J511" s="147"/>
      <c r="K511" s="3"/>
      <c r="L511" s="3"/>
      <c r="M511" s="3"/>
      <c r="N511" s="3"/>
      <c r="O511" s="3"/>
      <c r="P511" s="3"/>
      <c r="Q511" s="3"/>
      <c r="R511" s="3"/>
      <c r="S511" s="3"/>
      <c r="T511" s="3"/>
      <c r="U511" s="3"/>
      <c r="V511" s="3"/>
      <c r="W511" s="3"/>
      <c r="X511" s="3"/>
      <c r="Y511" s="3"/>
      <c r="Z511" s="3"/>
    </row>
    <row r="512" spans="1:26" ht="22.5" customHeight="1" x14ac:dyDescent="0.85">
      <c r="A512" s="166"/>
      <c r="B512" s="167"/>
      <c r="C512" s="167"/>
      <c r="D512" s="147"/>
      <c r="E512" s="147"/>
      <c r="F512" s="147"/>
      <c r="G512" s="147"/>
      <c r="H512" s="147"/>
      <c r="I512" s="147"/>
      <c r="J512" s="147"/>
      <c r="K512" s="3"/>
      <c r="L512" s="3"/>
      <c r="M512" s="3"/>
      <c r="N512" s="3"/>
      <c r="O512" s="3"/>
      <c r="P512" s="3"/>
      <c r="Q512" s="3"/>
      <c r="R512" s="3"/>
      <c r="S512" s="3"/>
      <c r="T512" s="3"/>
      <c r="U512" s="3"/>
      <c r="V512" s="3"/>
      <c r="W512" s="3"/>
      <c r="X512" s="3"/>
      <c r="Y512" s="3"/>
      <c r="Z512" s="3"/>
    </row>
    <row r="513" spans="1:26" ht="22.5" customHeight="1" x14ac:dyDescent="0.85">
      <c r="A513" s="166"/>
      <c r="B513" s="167"/>
      <c r="C513" s="167"/>
      <c r="D513" s="147"/>
      <c r="E513" s="147"/>
      <c r="F513" s="147"/>
      <c r="G513" s="147"/>
      <c r="H513" s="147"/>
      <c r="I513" s="147"/>
      <c r="J513" s="147"/>
      <c r="K513" s="3"/>
      <c r="L513" s="3"/>
      <c r="M513" s="3"/>
      <c r="N513" s="3"/>
      <c r="O513" s="3"/>
      <c r="P513" s="3"/>
      <c r="Q513" s="3"/>
      <c r="R513" s="3"/>
      <c r="S513" s="3"/>
      <c r="T513" s="3"/>
      <c r="U513" s="3"/>
      <c r="V513" s="3"/>
      <c r="W513" s="3"/>
      <c r="X513" s="3"/>
      <c r="Y513" s="3"/>
      <c r="Z513" s="3"/>
    </row>
    <row r="514" spans="1:26" ht="22.5" customHeight="1" x14ac:dyDescent="0.85">
      <c r="A514" s="166"/>
      <c r="B514" s="167"/>
      <c r="C514" s="167"/>
      <c r="D514" s="147"/>
      <c r="E514" s="147"/>
      <c r="F514" s="147"/>
      <c r="G514" s="147"/>
      <c r="H514" s="147"/>
      <c r="I514" s="147"/>
      <c r="J514" s="147"/>
      <c r="K514" s="3"/>
      <c r="L514" s="3"/>
      <c r="M514" s="3"/>
      <c r="N514" s="3"/>
      <c r="O514" s="3"/>
      <c r="P514" s="3"/>
      <c r="Q514" s="3"/>
      <c r="R514" s="3"/>
      <c r="S514" s="3"/>
      <c r="T514" s="3"/>
      <c r="U514" s="3"/>
      <c r="V514" s="3"/>
      <c r="W514" s="3"/>
      <c r="X514" s="3"/>
      <c r="Y514" s="3"/>
      <c r="Z514" s="3"/>
    </row>
    <row r="515" spans="1:26" ht="22.5" customHeight="1" x14ac:dyDescent="0.85">
      <c r="A515" s="166"/>
      <c r="B515" s="167"/>
      <c r="C515" s="167"/>
      <c r="D515" s="147"/>
      <c r="E515" s="147"/>
      <c r="F515" s="147"/>
      <c r="G515" s="147"/>
      <c r="H515" s="147"/>
      <c r="I515" s="147"/>
      <c r="J515" s="147"/>
      <c r="K515" s="3"/>
      <c r="L515" s="3"/>
      <c r="M515" s="3"/>
      <c r="N515" s="3"/>
      <c r="O515" s="3"/>
      <c r="P515" s="3"/>
      <c r="Q515" s="3"/>
      <c r="R515" s="3"/>
      <c r="S515" s="3"/>
      <c r="T515" s="3"/>
      <c r="U515" s="3"/>
      <c r="V515" s="3"/>
      <c r="W515" s="3"/>
      <c r="X515" s="3"/>
      <c r="Y515" s="3"/>
      <c r="Z515" s="3"/>
    </row>
    <row r="516" spans="1:26" ht="22.5" customHeight="1" x14ac:dyDescent="0.85">
      <c r="A516" s="166"/>
      <c r="B516" s="167"/>
      <c r="C516" s="167"/>
      <c r="D516" s="147"/>
      <c r="E516" s="147"/>
      <c r="F516" s="147"/>
      <c r="G516" s="147"/>
      <c r="H516" s="147"/>
      <c r="I516" s="147"/>
      <c r="J516" s="147"/>
      <c r="K516" s="3"/>
      <c r="L516" s="3"/>
      <c r="M516" s="3"/>
      <c r="N516" s="3"/>
      <c r="O516" s="3"/>
      <c r="P516" s="3"/>
      <c r="Q516" s="3"/>
      <c r="R516" s="3"/>
      <c r="S516" s="3"/>
      <c r="T516" s="3"/>
      <c r="U516" s="3"/>
      <c r="V516" s="3"/>
      <c r="W516" s="3"/>
      <c r="X516" s="3"/>
      <c r="Y516" s="3"/>
      <c r="Z516" s="3"/>
    </row>
    <row r="517" spans="1:26" ht="22.5" customHeight="1" x14ac:dyDescent="0.85">
      <c r="A517" s="166"/>
      <c r="B517" s="167"/>
      <c r="C517" s="167"/>
      <c r="D517" s="147"/>
      <c r="E517" s="147"/>
      <c r="F517" s="147"/>
      <c r="G517" s="147"/>
      <c r="H517" s="147"/>
      <c r="I517" s="147"/>
      <c r="J517" s="147"/>
      <c r="K517" s="3"/>
      <c r="L517" s="3"/>
      <c r="M517" s="3"/>
      <c r="N517" s="3"/>
      <c r="O517" s="3"/>
      <c r="P517" s="3"/>
      <c r="Q517" s="3"/>
      <c r="R517" s="3"/>
      <c r="S517" s="3"/>
      <c r="T517" s="3"/>
      <c r="U517" s="3"/>
      <c r="V517" s="3"/>
      <c r="W517" s="3"/>
      <c r="X517" s="3"/>
      <c r="Y517" s="3"/>
      <c r="Z517" s="3"/>
    </row>
    <row r="518" spans="1:26" ht="22.5" customHeight="1" x14ac:dyDescent="0.85">
      <c r="A518" s="166"/>
      <c r="B518" s="167"/>
      <c r="C518" s="167"/>
      <c r="D518" s="147"/>
      <c r="E518" s="147"/>
      <c r="F518" s="147"/>
      <c r="G518" s="147"/>
      <c r="H518" s="147"/>
      <c r="I518" s="147"/>
      <c r="J518" s="147"/>
      <c r="K518" s="3"/>
      <c r="L518" s="3"/>
      <c r="M518" s="3"/>
      <c r="N518" s="3"/>
      <c r="O518" s="3"/>
      <c r="P518" s="3"/>
      <c r="Q518" s="3"/>
      <c r="R518" s="3"/>
      <c r="S518" s="3"/>
      <c r="T518" s="3"/>
      <c r="U518" s="3"/>
      <c r="V518" s="3"/>
      <c r="W518" s="3"/>
      <c r="X518" s="3"/>
      <c r="Y518" s="3"/>
      <c r="Z518" s="3"/>
    </row>
    <row r="519" spans="1:26" ht="22.5" customHeight="1" x14ac:dyDescent="0.85">
      <c r="A519" s="166"/>
      <c r="B519" s="167"/>
      <c r="C519" s="167"/>
      <c r="D519" s="147"/>
      <c r="E519" s="147"/>
      <c r="F519" s="147"/>
      <c r="G519" s="147"/>
      <c r="H519" s="147"/>
      <c r="I519" s="147"/>
      <c r="J519" s="147"/>
      <c r="K519" s="3"/>
      <c r="L519" s="3"/>
      <c r="M519" s="3"/>
      <c r="N519" s="3"/>
      <c r="O519" s="3"/>
      <c r="P519" s="3"/>
      <c r="Q519" s="3"/>
      <c r="R519" s="3"/>
      <c r="S519" s="3"/>
      <c r="T519" s="3"/>
      <c r="U519" s="3"/>
      <c r="V519" s="3"/>
      <c r="W519" s="3"/>
      <c r="X519" s="3"/>
      <c r="Y519" s="3"/>
      <c r="Z519" s="3"/>
    </row>
    <row r="520" spans="1:26" ht="22.5" customHeight="1" x14ac:dyDescent="0.85">
      <c r="A520" s="166"/>
      <c r="B520" s="167"/>
      <c r="C520" s="167"/>
      <c r="D520" s="147"/>
      <c r="E520" s="147"/>
      <c r="F520" s="147"/>
      <c r="G520" s="147"/>
      <c r="H520" s="147"/>
      <c r="I520" s="147"/>
      <c r="J520" s="147"/>
      <c r="K520" s="3"/>
      <c r="L520" s="3"/>
      <c r="M520" s="3"/>
      <c r="N520" s="3"/>
      <c r="O520" s="3"/>
      <c r="P520" s="3"/>
      <c r="Q520" s="3"/>
      <c r="R520" s="3"/>
      <c r="S520" s="3"/>
      <c r="T520" s="3"/>
      <c r="U520" s="3"/>
      <c r="V520" s="3"/>
      <c r="W520" s="3"/>
      <c r="X520" s="3"/>
      <c r="Y520" s="3"/>
      <c r="Z520" s="3"/>
    </row>
    <row r="521" spans="1:26" ht="22.5" customHeight="1" x14ac:dyDescent="0.85">
      <c r="A521" s="166"/>
      <c r="B521" s="167"/>
      <c r="C521" s="167"/>
      <c r="D521" s="147"/>
      <c r="E521" s="147"/>
      <c r="F521" s="147"/>
      <c r="G521" s="147"/>
      <c r="H521" s="147"/>
      <c r="I521" s="147"/>
      <c r="J521" s="147"/>
      <c r="K521" s="3"/>
      <c r="L521" s="3"/>
      <c r="M521" s="3"/>
      <c r="N521" s="3"/>
      <c r="O521" s="3"/>
      <c r="P521" s="3"/>
      <c r="Q521" s="3"/>
      <c r="R521" s="3"/>
      <c r="S521" s="3"/>
      <c r="T521" s="3"/>
      <c r="U521" s="3"/>
      <c r="V521" s="3"/>
      <c r="W521" s="3"/>
      <c r="X521" s="3"/>
      <c r="Y521" s="3"/>
      <c r="Z521" s="3"/>
    </row>
    <row r="522" spans="1:26" ht="22.5" customHeight="1" x14ac:dyDescent="0.85">
      <c r="A522" s="166"/>
      <c r="B522" s="167"/>
      <c r="C522" s="167"/>
      <c r="D522" s="147"/>
      <c r="E522" s="147"/>
      <c r="F522" s="147"/>
      <c r="G522" s="147"/>
      <c r="H522" s="147"/>
      <c r="I522" s="147"/>
      <c r="J522" s="147"/>
      <c r="K522" s="3"/>
      <c r="L522" s="3"/>
      <c r="M522" s="3"/>
      <c r="N522" s="3"/>
      <c r="O522" s="3"/>
      <c r="P522" s="3"/>
      <c r="Q522" s="3"/>
      <c r="R522" s="3"/>
      <c r="S522" s="3"/>
      <c r="T522" s="3"/>
      <c r="U522" s="3"/>
      <c r="V522" s="3"/>
      <c r="W522" s="3"/>
      <c r="X522" s="3"/>
      <c r="Y522" s="3"/>
      <c r="Z522" s="3"/>
    </row>
    <row r="523" spans="1:26" ht="22.5" customHeight="1" x14ac:dyDescent="0.85">
      <c r="A523" s="166"/>
      <c r="B523" s="167"/>
      <c r="C523" s="167"/>
      <c r="D523" s="147"/>
      <c r="E523" s="147"/>
      <c r="F523" s="147"/>
      <c r="G523" s="147"/>
      <c r="H523" s="147"/>
      <c r="I523" s="147"/>
      <c r="J523" s="147"/>
      <c r="K523" s="3"/>
      <c r="L523" s="3"/>
      <c r="M523" s="3"/>
      <c r="N523" s="3"/>
      <c r="O523" s="3"/>
      <c r="P523" s="3"/>
      <c r="Q523" s="3"/>
      <c r="R523" s="3"/>
      <c r="S523" s="3"/>
      <c r="T523" s="3"/>
      <c r="U523" s="3"/>
      <c r="V523" s="3"/>
      <c r="W523" s="3"/>
      <c r="X523" s="3"/>
      <c r="Y523" s="3"/>
      <c r="Z523" s="3"/>
    </row>
    <row r="524" spans="1:26" ht="22.5" customHeight="1" x14ac:dyDescent="0.85">
      <c r="A524" s="166"/>
      <c r="B524" s="167"/>
      <c r="C524" s="167"/>
      <c r="D524" s="147"/>
      <c r="E524" s="147"/>
      <c r="F524" s="147"/>
      <c r="G524" s="147"/>
      <c r="H524" s="147"/>
      <c r="I524" s="147"/>
      <c r="J524" s="147"/>
      <c r="K524" s="3"/>
      <c r="L524" s="3"/>
      <c r="M524" s="3"/>
      <c r="N524" s="3"/>
      <c r="O524" s="3"/>
      <c r="P524" s="3"/>
      <c r="Q524" s="3"/>
      <c r="R524" s="3"/>
      <c r="S524" s="3"/>
      <c r="T524" s="3"/>
      <c r="U524" s="3"/>
      <c r="V524" s="3"/>
      <c r="W524" s="3"/>
      <c r="X524" s="3"/>
      <c r="Y524" s="3"/>
      <c r="Z524" s="3"/>
    </row>
    <row r="525" spans="1:26" ht="22.5" customHeight="1" x14ac:dyDescent="0.85">
      <c r="A525" s="166"/>
      <c r="B525" s="167"/>
      <c r="C525" s="167"/>
      <c r="D525" s="147"/>
      <c r="E525" s="147"/>
      <c r="F525" s="147"/>
      <c r="G525" s="147"/>
      <c r="H525" s="147"/>
      <c r="I525" s="147"/>
      <c r="J525" s="147"/>
      <c r="K525" s="3"/>
      <c r="L525" s="3"/>
      <c r="M525" s="3"/>
      <c r="N525" s="3"/>
      <c r="O525" s="3"/>
      <c r="P525" s="3"/>
      <c r="Q525" s="3"/>
      <c r="R525" s="3"/>
      <c r="S525" s="3"/>
      <c r="T525" s="3"/>
      <c r="U525" s="3"/>
      <c r="V525" s="3"/>
      <c r="W525" s="3"/>
      <c r="X525" s="3"/>
      <c r="Y525" s="3"/>
      <c r="Z525" s="3"/>
    </row>
    <row r="526" spans="1:26" ht="22.5" customHeight="1" x14ac:dyDescent="0.85">
      <c r="A526" s="166"/>
      <c r="B526" s="167"/>
      <c r="C526" s="167"/>
      <c r="D526" s="147"/>
      <c r="E526" s="147"/>
      <c r="F526" s="147"/>
      <c r="G526" s="147"/>
      <c r="H526" s="147"/>
      <c r="I526" s="147"/>
      <c r="J526" s="147"/>
      <c r="K526" s="3"/>
      <c r="L526" s="3"/>
      <c r="M526" s="3"/>
      <c r="N526" s="3"/>
      <c r="O526" s="3"/>
      <c r="P526" s="3"/>
      <c r="Q526" s="3"/>
      <c r="R526" s="3"/>
      <c r="S526" s="3"/>
      <c r="T526" s="3"/>
      <c r="U526" s="3"/>
      <c r="V526" s="3"/>
      <c r="W526" s="3"/>
      <c r="X526" s="3"/>
      <c r="Y526" s="3"/>
      <c r="Z526" s="3"/>
    </row>
    <row r="527" spans="1:26" ht="22.5" customHeight="1" x14ac:dyDescent="0.85">
      <c r="A527" s="166"/>
      <c r="B527" s="167"/>
      <c r="C527" s="167"/>
      <c r="D527" s="147"/>
      <c r="E527" s="147"/>
      <c r="F527" s="147"/>
      <c r="G527" s="147"/>
      <c r="H527" s="147"/>
      <c r="I527" s="147"/>
      <c r="J527" s="147"/>
      <c r="K527" s="3"/>
      <c r="L527" s="3"/>
      <c r="M527" s="3"/>
      <c r="N527" s="3"/>
      <c r="O527" s="3"/>
      <c r="P527" s="3"/>
      <c r="Q527" s="3"/>
      <c r="R527" s="3"/>
      <c r="S527" s="3"/>
      <c r="T527" s="3"/>
      <c r="U527" s="3"/>
      <c r="V527" s="3"/>
      <c r="W527" s="3"/>
      <c r="X527" s="3"/>
      <c r="Y527" s="3"/>
      <c r="Z527" s="3"/>
    </row>
    <row r="528" spans="1:26" ht="22.5" customHeight="1" x14ac:dyDescent="0.85">
      <c r="A528" s="166"/>
      <c r="B528" s="167"/>
      <c r="C528" s="167"/>
      <c r="D528" s="147"/>
      <c r="E528" s="147"/>
      <c r="F528" s="147"/>
      <c r="G528" s="147"/>
      <c r="H528" s="147"/>
      <c r="I528" s="147"/>
      <c r="J528" s="147"/>
      <c r="K528" s="3"/>
      <c r="L528" s="3"/>
      <c r="M528" s="3"/>
      <c r="N528" s="3"/>
      <c r="O528" s="3"/>
      <c r="P528" s="3"/>
      <c r="Q528" s="3"/>
      <c r="R528" s="3"/>
      <c r="S528" s="3"/>
      <c r="T528" s="3"/>
      <c r="U528" s="3"/>
      <c r="V528" s="3"/>
      <c r="W528" s="3"/>
      <c r="X528" s="3"/>
      <c r="Y528" s="3"/>
      <c r="Z528" s="3"/>
    </row>
    <row r="529" spans="1:26" ht="22.5" customHeight="1" x14ac:dyDescent="0.85">
      <c r="A529" s="166"/>
      <c r="B529" s="167"/>
      <c r="C529" s="167"/>
      <c r="D529" s="147"/>
      <c r="E529" s="147"/>
      <c r="F529" s="147"/>
      <c r="G529" s="147"/>
      <c r="H529" s="147"/>
      <c r="I529" s="147"/>
      <c r="J529" s="147"/>
      <c r="K529" s="3"/>
      <c r="L529" s="3"/>
      <c r="M529" s="3"/>
      <c r="N529" s="3"/>
      <c r="O529" s="3"/>
      <c r="P529" s="3"/>
      <c r="Q529" s="3"/>
      <c r="R529" s="3"/>
      <c r="S529" s="3"/>
      <c r="T529" s="3"/>
      <c r="U529" s="3"/>
      <c r="V529" s="3"/>
      <c r="W529" s="3"/>
      <c r="X529" s="3"/>
      <c r="Y529" s="3"/>
      <c r="Z529" s="3"/>
    </row>
    <row r="530" spans="1:26" ht="22.5" customHeight="1" x14ac:dyDescent="0.85">
      <c r="A530" s="166"/>
      <c r="B530" s="167"/>
      <c r="C530" s="167"/>
      <c r="D530" s="147"/>
      <c r="E530" s="147"/>
      <c r="F530" s="147"/>
      <c r="G530" s="147"/>
      <c r="H530" s="147"/>
      <c r="I530" s="147"/>
      <c r="J530" s="147"/>
      <c r="K530" s="3"/>
      <c r="L530" s="3"/>
      <c r="M530" s="3"/>
      <c r="N530" s="3"/>
      <c r="O530" s="3"/>
      <c r="P530" s="3"/>
      <c r="Q530" s="3"/>
      <c r="R530" s="3"/>
      <c r="S530" s="3"/>
      <c r="T530" s="3"/>
      <c r="U530" s="3"/>
      <c r="V530" s="3"/>
      <c r="W530" s="3"/>
      <c r="X530" s="3"/>
      <c r="Y530" s="3"/>
      <c r="Z530" s="3"/>
    </row>
    <row r="531" spans="1:26" ht="22.5" customHeight="1" x14ac:dyDescent="0.85">
      <c r="A531" s="166"/>
      <c r="B531" s="167"/>
      <c r="C531" s="167"/>
      <c r="D531" s="147"/>
      <c r="E531" s="147"/>
      <c r="F531" s="147"/>
      <c r="G531" s="147"/>
      <c r="H531" s="147"/>
      <c r="I531" s="147"/>
      <c r="J531" s="147"/>
      <c r="K531" s="3"/>
      <c r="L531" s="3"/>
      <c r="M531" s="3"/>
      <c r="N531" s="3"/>
      <c r="O531" s="3"/>
      <c r="P531" s="3"/>
      <c r="Q531" s="3"/>
      <c r="R531" s="3"/>
      <c r="S531" s="3"/>
      <c r="T531" s="3"/>
      <c r="U531" s="3"/>
      <c r="V531" s="3"/>
      <c r="W531" s="3"/>
      <c r="X531" s="3"/>
      <c r="Y531" s="3"/>
      <c r="Z531" s="3"/>
    </row>
    <row r="532" spans="1:26" ht="22.5" customHeight="1" x14ac:dyDescent="0.85">
      <c r="A532" s="166"/>
      <c r="B532" s="167"/>
      <c r="C532" s="167"/>
      <c r="D532" s="147"/>
      <c r="E532" s="147"/>
      <c r="F532" s="147"/>
      <c r="G532" s="147"/>
      <c r="H532" s="147"/>
      <c r="I532" s="147"/>
      <c r="J532" s="147"/>
      <c r="K532" s="3"/>
      <c r="L532" s="3"/>
      <c r="M532" s="3"/>
      <c r="N532" s="3"/>
      <c r="O532" s="3"/>
      <c r="P532" s="3"/>
      <c r="Q532" s="3"/>
      <c r="R532" s="3"/>
      <c r="S532" s="3"/>
      <c r="T532" s="3"/>
      <c r="U532" s="3"/>
      <c r="V532" s="3"/>
      <c r="W532" s="3"/>
      <c r="X532" s="3"/>
      <c r="Y532" s="3"/>
      <c r="Z532" s="3"/>
    </row>
    <row r="533" spans="1:26" ht="22.5" customHeight="1" x14ac:dyDescent="0.85">
      <c r="A533" s="166"/>
      <c r="B533" s="167"/>
      <c r="C533" s="167"/>
      <c r="D533" s="147"/>
      <c r="E533" s="147"/>
      <c r="F533" s="147"/>
      <c r="G533" s="147"/>
      <c r="H533" s="147"/>
      <c r="I533" s="147"/>
      <c r="J533" s="147"/>
      <c r="K533" s="3"/>
      <c r="L533" s="3"/>
      <c r="M533" s="3"/>
      <c r="N533" s="3"/>
      <c r="O533" s="3"/>
      <c r="P533" s="3"/>
      <c r="Q533" s="3"/>
      <c r="R533" s="3"/>
      <c r="S533" s="3"/>
      <c r="T533" s="3"/>
      <c r="U533" s="3"/>
      <c r="V533" s="3"/>
      <c r="W533" s="3"/>
      <c r="X533" s="3"/>
      <c r="Y533" s="3"/>
      <c r="Z533" s="3"/>
    </row>
    <row r="534" spans="1:26" ht="22.5" customHeight="1" x14ac:dyDescent="0.85">
      <c r="A534" s="166"/>
      <c r="B534" s="167"/>
      <c r="C534" s="167"/>
      <c r="D534" s="147"/>
      <c r="E534" s="147"/>
      <c r="F534" s="147"/>
      <c r="G534" s="147"/>
      <c r="H534" s="147"/>
      <c r="I534" s="147"/>
      <c r="J534" s="147"/>
      <c r="K534" s="3"/>
      <c r="L534" s="3"/>
      <c r="M534" s="3"/>
      <c r="N534" s="3"/>
      <c r="O534" s="3"/>
      <c r="P534" s="3"/>
      <c r="Q534" s="3"/>
      <c r="R534" s="3"/>
      <c r="S534" s="3"/>
      <c r="T534" s="3"/>
      <c r="U534" s="3"/>
      <c r="V534" s="3"/>
      <c r="W534" s="3"/>
      <c r="X534" s="3"/>
      <c r="Y534" s="3"/>
      <c r="Z534" s="3"/>
    </row>
    <row r="535" spans="1:26" ht="22.5" customHeight="1" x14ac:dyDescent="0.85">
      <c r="A535" s="166"/>
      <c r="B535" s="167"/>
      <c r="C535" s="167"/>
      <c r="D535" s="147"/>
      <c r="E535" s="147"/>
      <c r="F535" s="147"/>
      <c r="G535" s="147"/>
      <c r="H535" s="147"/>
      <c r="I535" s="147"/>
      <c r="J535" s="147"/>
      <c r="K535" s="3"/>
      <c r="L535" s="3"/>
      <c r="M535" s="3"/>
      <c r="N535" s="3"/>
      <c r="O535" s="3"/>
      <c r="P535" s="3"/>
      <c r="Q535" s="3"/>
      <c r="R535" s="3"/>
      <c r="S535" s="3"/>
      <c r="T535" s="3"/>
      <c r="U535" s="3"/>
      <c r="V535" s="3"/>
      <c r="W535" s="3"/>
      <c r="X535" s="3"/>
      <c r="Y535" s="3"/>
      <c r="Z535" s="3"/>
    </row>
    <row r="536" spans="1:26" ht="22.5" customHeight="1" x14ac:dyDescent="0.85">
      <c r="A536" s="166"/>
      <c r="B536" s="167"/>
      <c r="C536" s="167"/>
      <c r="D536" s="147"/>
      <c r="E536" s="147"/>
      <c r="F536" s="147"/>
      <c r="G536" s="147"/>
      <c r="H536" s="147"/>
      <c r="I536" s="147"/>
      <c r="J536" s="147"/>
      <c r="K536" s="3"/>
      <c r="L536" s="3"/>
      <c r="M536" s="3"/>
      <c r="N536" s="3"/>
      <c r="O536" s="3"/>
      <c r="P536" s="3"/>
      <c r="Q536" s="3"/>
      <c r="R536" s="3"/>
      <c r="S536" s="3"/>
      <c r="T536" s="3"/>
      <c r="U536" s="3"/>
      <c r="V536" s="3"/>
      <c r="W536" s="3"/>
      <c r="X536" s="3"/>
      <c r="Y536" s="3"/>
      <c r="Z536" s="3"/>
    </row>
    <row r="537" spans="1:26" ht="22.5" customHeight="1" x14ac:dyDescent="0.85">
      <c r="A537" s="166"/>
      <c r="B537" s="167"/>
      <c r="C537" s="167"/>
      <c r="D537" s="147"/>
      <c r="E537" s="147"/>
      <c r="F537" s="147"/>
      <c r="G537" s="147"/>
      <c r="H537" s="147"/>
      <c r="I537" s="147"/>
      <c r="J537" s="147"/>
      <c r="K537" s="3"/>
      <c r="L537" s="3"/>
      <c r="M537" s="3"/>
      <c r="N537" s="3"/>
      <c r="O537" s="3"/>
      <c r="P537" s="3"/>
      <c r="Q537" s="3"/>
      <c r="R537" s="3"/>
      <c r="S537" s="3"/>
      <c r="T537" s="3"/>
      <c r="U537" s="3"/>
      <c r="V537" s="3"/>
      <c r="W537" s="3"/>
      <c r="X537" s="3"/>
      <c r="Y537" s="3"/>
      <c r="Z537" s="3"/>
    </row>
    <row r="538" spans="1:26" ht="22.5" customHeight="1" x14ac:dyDescent="0.85">
      <c r="A538" s="166"/>
      <c r="B538" s="167"/>
      <c r="C538" s="167"/>
      <c r="D538" s="147"/>
      <c r="E538" s="147"/>
      <c r="F538" s="147"/>
      <c r="G538" s="147"/>
      <c r="H538" s="147"/>
      <c r="I538" s="147"/>
      <c r="J538" s="147"/>
      <c r="K538" s="3"/>
      <c r="L538" s="3"/>
      <c r="M538" s="3"/>
      <c r="N538" s="3"/>
      <c r="O538" s="3"/>
      <c r="P538" s="3"/>
      <c r="Q538" s="3"/>
      <c r="R538" s="3"/>
      <c r="S538" s="3"/>
      <c r="T538" s="3"/>
      <c r="U538" s="3"/>
      <c r="V538" s="3"/>
      <c r="W538" s="3"/>
      <c r="X538" s="3"/>
      <c r="Y538" s="3"/>
      <c r="Z538" s="3"/>
    </row>
    <row r="539" spans="1:26" ht="22.5" customHeight="1" x14ac:dyDescent="0.85">
      <c r="A539" s="166"/>
      <c r="B539" s="167"/>
      <c r="C539" s="167"/>
      <c r="D539" s="147"/>
      <c r="E539" s="147"/>
      <c r="F539" s="147"/>
      <c r="G539" s="147"/>
      <c r="H539" s="147"/>
      <c r="I539" s="147"/>
      <c r="J539" s="147"/>
      <c r="K539" s="3"/>
      <c r="L539" s="3"/>
      <c r="M539" s="3"/>
      <c r="N539" s="3"/>
      <c r="O539" s="3"/>
      <c r="P539" s="3"/>
      <c r="Q539" s="3"/>
      <c r="R539" s="3"/>
      <c r="S539" s="3"/>
      <c r="T539" s="3"/>
      <c r="U539" s="3"/>
      <c r="V539" s="3"/>
      <c r="W539" s="3"/>
      <c r="X539" s="3"/>
      <c r="Y539" s="3"/>
      <c r="Z539" s="3"/>
    </row>
    <row r="540" spans="1:26" ht="22.5" customHeight="1" x14ac:dyDescent="0.85">
      <c r="A540" s="166"/>
      <c r="B540" s="167"/>
      <c r="C540" s="167"/>
      <c r="D540" s="147"/>
      <c r="E540" s="147"/>
      <c r="F540" s="147"/>
      <c r="G540" s="147"/>
      <c r="H540" s="147"/>
      <c r="I540" s="147"/>
      <c r="J540" s="147"/>
      <c r="K540" s="3"/>
      <c r="L540" s="3"/>
      <c r="M540" s="3"/>
      <c r="N540" s="3"/>
      <c r="O540" s="3"/>
      <c r="P540" s="3"/>
      <c r="Q540" s="3"/>
      <c r="R540" s="3"/>
      <c r="S540" s="3"/>
      <c r="T540" s="3"/>
      <c r="U540" s="3"/>
      <c r="V540" s="3"/>
      <c r="W540" s="3"/>
      <c r="X540" s="3"/>
      <c r="Y540" s="3"/>
      <c r="Z540" s="3"/>
    </row>
    <row r="541" spans="1:26" ht="22.5" customHeight="1" x14ac:dyDescent="0.85">
      <c r="A541" s="166"/>
      <c r="B541" s="167"/>
      <c r="C541" s="167"/>
      <c r="D541" s="147"/>
      <c r="E541" s="147"/>
      <c r="F541" s="147"/>
      <c r="G541" s="147"/>
      <c r="H541" s="147"/>
      <c r="I541" s="147"/>
      <c r="J541" s="147"/>
      <c r="K541" s="3"/>
      <c r="L541" s="3"/>
      <c r="M541" s="3"/>
      <c r="N541" s="3"/>
      <c r="O541" s="3"/>
      <c r="P541" s="3"/>
      <c r="Q541" s="3"/>
      <c r="R541" s="3"/>
      <c r="S541" s="3"/>
      <c r="T541" s="3"/>
      <c r="U541" s="3"/>
      <c r="V541" s="3"/>
      <c r="W541" s="3"/>
      <c r="X541" s="3"/>
      <c r="Y541" s="3"/>
      <c r="Z541" s="3"/>
    </row>
    <row r="542" spans="1:26" ht="22.5" customHeight="1" x14ac:dyDescent="0.85">
      <c r="A542" s="166"/>
      <c r="B542" s="167"/>
      <c r="C542" s="167"/>
      <c r="D542" s="147"/>
      <c r="E542" s="147"/>
      <c r="F542" s="147"/>
      <c r="G542" s="147"/>
      <c r="H542" s="147"/>
      <c r="I542" s="147"/>
      <c r="J542" s="147"/>
      <c r="K542" s="3"/>
      <c r="L542" s="3"/>
      <c r="M542" s="3"/>
      <c r="N542" s="3"/>
      <c r="O542" s="3"/>
      <c r="P542" s="3"/>
      <c r="Q542" s="3"/>
      <c r="R542" s="3"/>
      <c r="S542" s="3"/>
      <c r="T542" s="3"/>
      <c r="U542" s="3"/>
      <c r="V542" s="3"/>
      <c r="W542" s="3"/>
      <c r="X542" s="3"/>
      <c r="Y542" s="3"/>
      <c r="Z542" s="3"/>
    </row>
    <row r="543" spans="1:26" ht="22.5" customHeight="1" x14ac:dyDescent="0.85">
      <c r="A543" s="166"/>
      <c r="B543" s="167"/>
      <c r="C543" s="167"/>
      <c r="D543" s="147"/>
      <c r="E543" s="147"/>
      <c r="F543" s="147"/>
      <c r="G543" s="147"/>
      <c r="H543" s="147"/>
      <c r="I543" s="147"/>
      <c r="J543" s="147"/>
      <c r="K543" s="3"/>
      <c r="L543" s="3"/>
      <c r="M543" s="3"/>
      <c r="N543" s="3"/>
      <c r="O543" s="3"/>
      <c r="P543" s="3"/>
      <c r="Q543" s="3"/>
      <c r="R543" s="3"/>
      <c r="S543" s="3"/>
      <c r="T543" s="3"/>
      <c r="U543" s="3"/>
      <c r="V543" s="3"/>
      <c r="W543" s="3"/>
      <c r="X543" s="3"/>
      <c r="Y543" s="3"/>
      <c r="Z543" s="3"/>
    </row>
    <row r="544" spans="1:26" ht="22.5" customHeight="1" x14ac:dyDescent="0.85">
      <c r="A544" s="166"/>
      <c r="B544" s="167"/>
      <c r="C544" s="167"/>
      <c r="D544" s="147"/>
      <c r="E544" s="147"/>
      <c r="F544" s="147"/>
      <c r="G544" s="147"/>
      <c r="H544" s="147"/>
      <c r="I544" s="147"/>
      <c r="J544" s="147"/>
      <c r="K544" s="3"/>
      <c r="L544" s="3"/>
      <c r="M544" s="3"/>
      <c r="N544" s="3"/>
      <c r="O544" s="3"/>
      <c r="P544" s="3"/>
      <c r="Q544" s="3"/>
      <c r="R544" s="3"/>
      <c r="S544" s="3"/>
      <c r="T544" s="3"/>
      <c r="U544" s="3"/>
      <c r="V544" s="3"/>
      <c r="W544" s="3"/>
      <c r="X544" s="3"/>
      <c r="Y544" s="3"/>
      <c r="Z544" s="3"/>
    </row>
    <row r="545" spans="1:26" ht="22.5" customHeight="1" x14ac:dyDescent="0.85">
      <c r="A545" s="166"/>
      <c r="B545" s="167"/>
      <c r="C545" s="167"/>
      <c r="D545" s="147"/>
      <c r="E545" s="147"/>
      <c r="F545" s="147"/>
      <c r="G545" s="147"/>
      <c r="H545" s="147"/>
      <c r="I545" s="147"/>
      <c r="J545" s="147"/>
      <c r="K545" s="3"/>
      <c r="L545" s="3"/>
      <c r="M545" s="3"/>
      <c r="N545" s="3"/>
      <c r="O545" s="3"/>
      <c r="P545" s="3"/>
      <c r="Q545" s="3"/>
      <c r="R545" s="3"/>
      <c r="S545" s="3"/>
      <c r="T545" s="3"/>
      <c r="U545" s="3"/>
      <c r="V545" s="3"/>
      <c r="W545" s="3"/>
      <c r="X545" s="3"/>
      <c r="Y545" s="3"/>
      <c r="Z545" s="3"/>
    </row>
    <row r="546" spans="1:26" ht="22.5" customHeight="1" x14ac:dyDescent="0.85">
      <c r="A546" s="166"/>
      <c r="B546" s="167"/>
      <c r="C546" s="167"/>
      <c r="D546" s="147"/>
      <c r="E546" s="147"/>
      <c r="F546" s="147"/>
      <c r="G546" s="147"/>
      <c r="H546" s="147"/>
      <c r="I546" s="147"/>
      <c r="J546" s="147"/>
      <c r="K546" s="3"/>
      <c r="L546" s="3"/>
      <c r="M546" s="3"/>
      <c r="N546" s="3"/>
      <c r="O546" s="3"/>
      <c r="P546" s="3"/>
      <c r="Q546" s="3"/>
      <c r="R546" s="3"/>
      <c r="S546" s="3"/>
      <c r="T546" s="3"/>
      <c r="U546" s="3"/>
      <c r="V546" s="3"/>
      <c r="W546" s="3"/>
      <c r="X546" s="3"/>
      <c r="Y546" s="3"/>
      <c r="Z546" s="3"/>
    </row>
    <row r="547" spans="1:26" ht="22.5" customHeight="1" x14ac:dyDescent="0.85">
      <c r="A547" s="166"/>
      <c r="B547" s="167"/>
      <c r="C547" s="167"/>
      <c r="D547" s="147"/>
      <c r="E547" s="147"/>
      <c r="F547" s="147"/>
      <c r="G547" s="147"/>
      <c r="H547" s="147"/>
      <c r="I547" s="147"/>
      <c r="J547" s="147"/>
      <c r="K547" s="3"/>
      <c r="L547" s="3"/>
      <c r="M547" s="3"/>
      <c r="N547" s="3"/>
      <c r="O547" s="3"/>
      <c r="P547" s="3"/>
      <c r="Q547" s="3"/>
      <c r="R547" s="3"/>
      <c r="S547" s="3"/>
      <c r="T547" s="3"/>
      <c r="U547" s="3"/>
      <c r="V547" s="3"/>
      <c r="W547" s="3"/>
      <c r="X547" s="3"/>
      <c r="Y547" s="3"/>
      <c r="Z547" s="3"/>
    </row>
    <row r="548" spans="1:26" ht="22.5" customHeight="1" x14ac:dyDescent="0.85">
      <c r="A548" s="166"/>
      <c r="B548" s="167"/>
      <c r="C548" s="167"/>
      <c r="D548" s="147"/>
      <c r="E548" s="147"/>
      <c r="F548" s="147"/>
      <c r="G548" s="147"/>
      <c r="H548" s="147"/>
      <c r="I548" s="147"/>
      <c r="J548" s="147"/>
      <c r="K548" s="3"/>
      <c r="L548" s="3"/>
      <c r="M548" s="3"/>
      <c r="N548" s="3"/>
      <c r="O548" s="3"/>
      <c r="P548" s="3"/>
      <c r="Q548" s="3"/>
      <c r="R548" s="3"/>
      <c r="S548" s="3"/>
      <c r="T548" s="3"/>
      <c r="U548" s="3"/>
      <c r="V548" s="3"/>
      <c r="W548" s="3"/>
      <c r="X548" s="3"/>
      <c r="Y548" s="3"/>
      <c r="Z548" s="3"/>
    </row>
    <row r="549" spans="1:26" ht="22.5" customHeight="1" x14ac:dyDescent="0.85">
      <c r="A549" s="166"/>
      <c r="B549" s="167"/>
      <c r="C549" s="167"/>
      <c r="D549" s="147"/>
      <c r="E549" s="147"/>
      <c r="F549" s="147"/>
      <c r="G549" s="147"/>
      <c r="H549" s="147"/>
      <c r="I549" s="147"/>
      <c r="J549" s="147"/>
      <c r="K549" s="3"/>
      <c r="L549" s="3"/>
      <c r="M549" s="3"/>
      <c r="N549" s="3"/>
      <c r="O549" s="3"/>
      <c r="P549" s="3"/>
      <c r="Q549" s="3"/>
      <c r="R549" s="3"/>
      <c r="S549" s="3"/>
      <c r="T549" s="3"/>
      <c r="U549" s="3"/>
      <c r="V549" s="3"/>
      <c r="W549" s="3"/>
      <c r="X549" s="3"/>
      <c r="Y549" s="3"/>
      <c r="Z549" s="3"/>
    </row>
    <row r="550" spans="1:26" ht="22.5" customHeight="1" x14ac:dyDescent="0.85">
      <c r="A550" s="166"/>
      <c r="B550" s="167"/>
      <c r="C550" s="167"/>
      <c r="D550" s="147"/>
      <c r="E550" s="147"/>
      <c r="F550" s="147"/>
      <c r="G550" s="147"/>
      <c r="H550" s="147"/>
      <c r="I550" s="147"/>
      <c r="J550" s="147"/>
      <c r="K550" s="3"/>
      <c r="L550" s="3"/>
      <c r="M550" s="3"/>
      <c r="N550" s="3"/>
      <c r="O550" s="3"/>
      <c r="P550" s="3"/>
      <c r="Q550" s="3"/>
      <c r="R550" s="3"/>
      <c r="S550" s="3"/>
      <c r="T550" s="3"/>
      <c r="U550" s="3"/>
      <c r="V550" s="3"/>
      <c r="W550" s="3"/>
      <c r="X550" s="3"/>
      <c r="Y550" s="3"/>
      <c r="Z550" s="3"/>
    </row>
    <row r="551" spans="1:26" ht="22.5" customHeight="1" x14ac:dyDescent="0.85">
      <c r="A551" s="166"/>
      <c r="B551" s="167"/>
      <c r="C551" s="167"/>
      <c r="D551" s="147"/>
      <c r="E551" s="147"/>
      <c r="F551" s="147"/>
      <c r="G551" s="147"/>
      <c r="H551" s="147"/>
      <c r="I551" s="147"/>
      <c r="J551" s="147"/>
      <c r="K551" s="3"/>
      <c r="L551" s="3"/>
      <c r="M551" s="3"/>
      <c r="N551" s="3"/>
      <c r="O551" s="3"/>
      <c r="P551" s="3"/>
      <c r="Q551" s="3"/>
      <c r="R551" s="3"/>
      <c r="S551" s="3"/>
      <c r="T551" s="3"/>
      <c r="U551" s="3"/>
      <c r="V551" s="3"/>
      <c r="W551" s="3"/>
      <c r="X551" s="3"/>
      <c r="Y551" s="3"/>
      <c r="Z551" s="3"/>
    </row>
    <row r="552" spans="1:26" ht="22.5" customHeight="1" x14ac:dyDescent="0.85">
      <c r="A552" s="166"/>
      <c r="B552" s="167"/>
      <c r="C552" s="167"/>
      <c r="D552" s="147"/>
      <c r="E552" s="147"/>
      <c r="F552" s="147"/>
      <c r="G552" s="147"/>
      <c r="H552" s="147"/>
      <c r="I552" s="147"/>
      <c r="J552" s="147"/>
      <c r="K552" s="3"/>
      <c r="L552" s="3"/>
      <c r="M552" s="3"/>
      <c r="N552" s="3"/>
      <c r="O552" s="3"/>
      <c r="P552" s="3"/>
      <c r="Q552" s="3"/>
      <c r="R552" s="3"/>
      <c r="S552" s="3"/>
      <c r="T552" s="3"/>
      <c r="U552" s="3"/>
      <c r="V552" s="3"/>
      <c r="W552" s="3"/>
      <c r="X552" s="3"/>
      <c r="Y552" s="3"/>
      <c r="Z552" s="3"/>
    </row>
    <row r="553" spans="1:26" ht="22.5" customHeight="1" x14ac:dyDescent="0.85">
      <c r="A553" s="166"/>
      <c r="B553" s="167"/>
      <c r="C553" s="167"/>
      <c r="D553" s="147"/>
      <c r="E553" s="147"/>
      <c r="F553" s="147"/>
      <c r="G553" s="147"/>
      <c r="H553" s="147"/>
      <c r="I553" s="147"/>
      <c r="J553" s="147"/>
      <c r="K553" s="3"/>
      <c r="L553" s="3"/>
      <c r="M553" s="3"/>
      <c r="N553" s="3"/>
      <c r="O553" s="3"/>
      <c r="P553" s="3"/>
      <c r="Q553" s="3"/>
      <c r="R553" s="3"/>
      <c r="S553" s="3"/>
      <c r="T553" s="3"/>
      <c r="U553" s="3"/>
      <c r="V553" s="3"/>
      <c r="W553" s="3"/>
      <c r="X553" s="3"/>
      <c r="Y553" s="3"/>
      <c r="Z553" s="3"/>
    </row>
    <row r="554" spans="1:26" ht="22.5" customHeight="1" x14ac:dyDescent="0.85">
      <c r="A554" s="166"/>
      <c r="B554" s="167"/>
      <c r="C554" s="167"/>
      <c r="D554" s="147"/>
      <c r="E554" s="147"/>
      <c r="F554" s="147"/>
      <c r="G554" s="147"/>
      <c r="H554" s="147"/>
      <c r="I554" s="147"/>
      <c r="J554" s="147"/>
      <c r="K554" s="3"/>
      <c r="L554" s="3"/>
      <c r="M554" s="3"/>
      <c r="N554" s="3"/>
      <c r="O554" s="3"/>
      <c r="P554" s="3"/>
      <c r="Q554" s="3"/>
      <c r="R554" s="3"/>
      <c r="S554" s="3"/>
      <c r="T554" s="3"/>
      <c r="U554" s="3"/>
      <c r="V554" s="3"/>
      <c r="W554" s="3"/>
      <c r="X554" s="3"/>
      <c r="Y554" s="3"/>
      <c r="Z554" s="3"/>
    </row>
    <row r="555" spans="1:26" ht="22.5" customHeight="1" x14ac:dyDescent="0.85">
      <c r="A555" s="166"/>
      <c r="B555" s="167"/>
      <c r="C555" s="167"/>
      <c r="D555" s="147"/>
      <c r="E555" s="147"/>
      <c r="F555" s="147"/>
      <c r="G555" s="147"/>
      <c r="H555" s="147"/>
      <c r="I555" s="147"/>
      <c r="J555" s="147"/>
      <c r="K555" s="3"/>
      <c r="L555" s="3"/>
      <c r="M555" s="3"/>
      <c r="N555" s="3"/>
      <c r="O555" s="3"/>
      <c r="P555" s="3"/>
      <c r="Q555" s="3"/>
      <c r="R555" s="3"/>
      <c r="S555" s="3"/>
      <c r="T555" s="3"/>
      <c r="U555" s="3"/>
      <c r="V555" s="3"/>
      <c r="W555" s="3"/>
      <c r="X555" s="3"/>
      <c r="Y555" s="3"/>
      <c r="Z555" s="3"/>
    </row>
    <row r="556" spans="1:26" ht="22.5" customHeight="1" x14ac:dyDescent="0.85">
      <c r="A556" s="166"/>
      <c r="B556" s="167"/>
      <c r="C556" s="167"/>
      <c r="D556" s="147"/>
      <c r="E556" s="147"/>
      <c r="F556" s="147"/>
      <c r="G556" s="147"/>
      <c r="H556" s="147"/>
      <c r="I556" s="147"/>
      <c r="J556" s="147"/>
      <c r="K556" s="3"/>
      <c r="L556" s="3"/>
      <c r="M556" s="3"/>
      <c r="N556" s="3"/>
      <c r="O556" s="3"/>
      <c r="P556" s="3"/>
      <c r="Q556" s="3"/>
      <c r="R556" s="3"/>
      <c r="S556" s="3"/>
      <c r="T556" s="3"/>
      <c r="U556" s="3"/>
      <c r="V556" s="3"/>
      <c r="W556" s="3"/>
      <c r="X556" s="3"/>
      <c r="Y556" s="3"/>
      <c r="Z556" s="3"/>
    </row>
    <row r="557" spans="1:26" ht="22.5" customHeight="1" x14ac:dyDescent="0.85">
      <c r="A557" s="166"/>
      <c r="B557" s="167"/>
      <c r="C557" s="167"/>
      <c r="D557" s="147"/>
      <c r="E557" s="147"/>
      <c r="F557" s="147"/>
      <c r="G557" s="147"/>
      <c r="H557" s="147"/>
      <c r="I557" s="147"/>
      <c r="J557" s="147"/>
      <c r="K557" s="3"/>
      <c r="L557" s="3"/>
      <c r="M557" s="3"/>
      <c r="N557" s="3"/>
      <c r="O557" s="3"/>
      <c r="P557" s="3"/>
      <c r="Q557" s="3"/>
      <c r="R557" s="3"/>
      <c r="S557" s="3"/>
      <c r="T557" s="3"/>
      <c r="U557" s="3"/>
      <c r="V557" s="3"/>
      <c r="W557" s="3"/>
      <c r="X557" s="3"/>
      <c r="Y557" s="3"/>
      <c r="Z557" s="3"/>
    </row>
    <row r="558" spans="1:26" ht="22.5" customHeight="1" x14ac:dyDescent="0.85">
      <c r="A558" s="166"/>
      <c r="B558" s="167"/>
      <c r="C558" s="167"/>
      <c r="D558" s="147"/>
      <c r="E558" s="147"/>
      <c r="F558" s="147"/>
      <c r="G558" s="147"/>
      <c r="H558" s="147"/>
      <c r="I558" s="147"/>
      <c r="J558" s="147"/>
      <c r="K558" s="3"/>
      <c r="L558" s="3"/>
      <c r="M558" s="3"/>
      <c r="N558" s="3"/>
      <c r="O558" s="3"/>
      <c r="P558" s="3"/>
      <c r="Q558" s="3"/>
      <c r="R558" s="3"/>
      <c r="S558" s="3"/>
      <c r="T558" s="3"/>
      <c r="U558" s="3"/>
      <c r="V558" s="3"/>
      <c r="W558" s="3"/>
      <c r="X558" s="3"/>
      <c r="Y558" s="3"/>
      <c r="Z558" s="3"/>
    </row>
    <row r="559" spans="1:26" ht="22.5" customHeight="1" x14ac:dyDescent="0.85">
      <c r="A559" s="166"/>
      <c r="B559" s="167"/>
      <c r="C559" s="167"/>
      <c r="D559" s="147"/>
      <c r="E559" s="147"/>
      <c r="F559" s="147"/>
      <c r="G559" s="147"/>
      <c r="H559" s="147"/>
      <c r="I559" s="147"/>
      <c r="J559" s="147"/>
      <c r="K559" s="3"/>
      <c r="L559" s="3"/>
      <c r="M559" s="3"/>
      <c r="N559" s="3"/>
      <c r="O559" s="3"/>
      <c r="P559" s="3"/>
      <c r="Q559" s="3"/>
      <c r="R559" s="3"/>
      <c r="S559" s="3"/>
      <c r="T559" s="3"/>
      <c r="U559" s="3"/>
      <c r="V559" s="3"/>
      <c r="W559" s="3"/>
      <c r="X559" s="3"/>
      <c r="Y559" s="3"/>
      <c r="Z559" s="3"/>
    </row>
    <row r="560" spans="1:26" ht="22.5" customHeight="1" x14ac:dyDescent="0.85">
      <c r="A560" s="166"/>
      <c r="B560" s="167"/>
      <c r="C560" s="167"/>
      <c r="D560" s="147"/>
      <c r="E560" s="147"/>
      <c r="F560" s="147"/>
      <c r="G560" s="147"/>
      <c r="H560" s="147"/>
      <c r="I560" s="147"/>
      <c r="J560" s="147"/>
      <c r="K560" s="3"/>
      <c r="L560" s="3"/>
      <c r="M560" s="3"/>
      <c r="N560" s="3"/>
      <c r="O560" s="3"/>
      <c r="P560" s="3"/>
      <c r="Q560" s="3"/>
      <c r="R560" s="3"/>
      <c r="S560" s="3"/>
      <c r="T560" s="3"/>
      <c r="U560" s="3"/>
      <c r="V560" s="3"/>
      <c r="W560" s="3"/>
      <c r="X560" s="3"/>
      <c r="Y560" s="3"/>
      <c r="Z560" s="3"/>
    </row>
    <row r="561" spans="1:26" ht="22.5" customHeight="1" x14ac:dyDescent="0.85">
      <c r="A561" s="166"/>
      <c r="B561" s="167"/>
      <c r="C561" s="167"/>
      <c r="D561" s="147"/>
      <c r="E561" s="147"/>
      <c r="F561" s="147"/>
      <c r="G561" s="147"/>
      <c r="H561" s="147"/>
      <c r="I561" s="147"/>
      <c r="J561" s="147"/>
      <c r="K561" s="3"/>
      <c r="L561" s="3"/>
      <c r="M561" s="3"/>
      <c r="N561" s="3"/>
      <c r="O561" s="3"/>
      <c r="P561" s="3"/>
      <c r="Q561" s="3"/>
      <c r="R561" s="3"/>
      <c r="S561" s="3"/>
      <c r="T561" s="3"/>
      <c r="U561" s="3"/>
      <c r="V561" s="3"/>
      <c r="W561" s="3"/>
      <c r="X561" s="3"/>
      <c r="Y561" s="3"/>
      <c r="Z561" s="3"/>
    </row>
    <row r="562" spans="1:26" ht="22.5" customHeight="1" x14ac:dyDescent="0.85">
      <c r="A562" s="166"/>
      <c r="B562" s="167"/>
      <c r="C562" s="167"/>
      <c r="D562" s="147"/>
      <c r="E562" s="147"/>
      <c r="F562" s="147"/>
      <c r="G562" s="147"/>
      <c r="H562" s="147"/>
      <c r="I562" s="147"/>
      <c r="J562" s="147"/>
      <c r="K562" s="3"/>
      <c r="L562" s="3"/>
      <c r="M562" s="3"/>
      <c r="N562" s="3"/>
      <c r="O562" s="3"/>
      <c r="P562" s="3"/>
      <c r="Q562" s="3"/>
      <c r="R562" s="3"/>
      <c r="S562" s="3"/>
      <c r="T562" s="3"/>
      <c r="U562" s="3"/>
      <c r="V562" s="3"/>
      <c r="W562" s="3"/>
      <c r="X562" s="3"/>
      <c r="Y562" s="3"/>
      <c r="Z562" s="3"/>
    </row>
    <row r="563" spans="1:26" ht="22.5" customHeight="1" x14ac:dyDescent="0.85">
      <c r="A563" s="166"/>
      <c r="B563" s="167"/>
      <c r="C563" s="167"/>
      <c r="D563" s="147"/>
      <c r="E563" s="147"/>
      <c r="F563" s="147"/>
      <c r="G563" s="147"/>
      <c r="H563" s="147"/>
      <c r="I563" s="147"/>
      <c r="J563" s="147"/>
      <c r="K563" s="3"/>
      <c r="L563" s="3"/>
      <c r="M563" s="3"/>
      <c r="N563" s="3"/>
      <c r="O563" s="3"/>
      <c r="P563" s="3"/>
      <c r="Q563" s="3"/>
      <c r="R563" s="3"/>
      <c r="S563" s="3"/>
      <c r="T563" s="3"/>
      <c r="U563" s="3"/>
      <c r="V563" s="3"/>
      <c r="W563" s="3"/>
      <c r="X563" s="3"/>
      <c r="Y563" s="3"/>
      <c r="Z563" s="3"/>
    </row>
    <row r="564" spans="1:26" ht="22.5" customHeight="1" x14ac:dyDescent="0.85">
      <c r="A564" s="166"/>
      <c r="B564" s="167"/>
      <c r="C564" s="167"/>
      <c r="D564" s="147"/>
      <c r="E564" s="147"/>
      <c r="F564" s="147"/>
      <c r="G564" s="147"/>
      <c r="H564" s="147"/>
      <c r="I564" s="147"/>
      <c r="J564" s="147"/>
      <c r="K564" s="3"/>
      <c r="L564" s="3"/>
      <c r="M564" s="3"/>
      <c r="N564" s="3"/>
      <c r="O564" s="3"/>
      <c r="P564" s="3"/>
      <c r="Q564" s="3"/>
      <c r="R564" s="3"/>
      <c r="S564" s="3"/>
      <c r="T564" s="3"/>
      <c r="U564" s="3"/>
      <c r="V564" s="3"/>
      <c r="W564" s="3"/>
      <c r="X564" s="3"/>
      <c r="Y564" s="3"/>
      <c r="Z564" s="3"/>
    </row>
    <row r="565" spans="1:26" ht="22.5" customHeight="1" x14ac:dyDescent="0.85">
      <c r="A565" s="166"/>
      <c r="B565" s="167"/>
      <c r="C565" s="167"/>
      <c r="D565" s="147"/>
      <c r="E565" s="147"/>
      <c r="F565" s="147"/>
      <c r="G565" s="147"/>
      <c r="H565" s="147"/>
      <c r="I565" s="147"/>
      <c r="J565" s="147"/>
      <c r="K565" s="3"/>
      <c r="L565" s="3"/>
      <c r="M565" s="3"/>
      <c r="N565" s="3"/>
      <c r="O565" s="3"/>
      <c r="P565" s="3"/>
      <c r="Q565" s="3"/>
      <c r="R565" s="3"/>
      <c r="S565" s="3"/>
      <c r="T565" s="3"/>
      <c r="U565" s="3"/>
      <c r="V565" s="3"/>
      <c r="W565" s="3"/>
      <c r="X565" s="3"/>
      <c r="Y565" s="3"/>
      <c r="Z565" s="3"/>
    </row>
    <row r="566" spans="1:26" ht="22.5" customHeight="1" x14ac:dyDescent="0.85">
      <c r="A566" s="166"/>
      <c r="B566" s="167"/>
      <c r="C566" s="167"/>
      <c r="D566" s="147"/>
      <c r="E566" s="147"/>
      <c r="F566" s="147"/>
      <c r="G566" s="147"/>
      <c r="H566" s="147"/>
      <c r="I566" s="147"/>
      <c r="J566" s="147"/>
      <c r="K566" s="3"/>
      <c r="L566" s="3"/>
      <c r="M566" s="3"/>
      <c r="N566" s="3"/>
      <c r="O566" s="3"/>
      <c r="P566" s="3"/>
      <c r="Q566" s="3"/>
      <c r="R566" s="3"/>
      <c r="S566" s="3"/>
      <c r="T566" s="3"/>
      <c r="U566" s="3"/>
      <c r="V566" s="3"/>
      <c r="W566" s="3"/>
      <c r="X566" s="3"/>
      <c r="Y566" s="3"/>
      <c r="Z566" s="3"/>
    </row>
    <row r="567" spans="1:26" ht="22.5" customHeight="1" x14ac:dyDescent="0.85">
      <c r="A567" s="166"/>
      <c r="B567" s="167"/>
      <c r="C567" s="167"/>
      <c r="D567" s="147"/>
      <c r="E567" s="147"/>
      <c r="F567" s="147"/>
      <c r="G567" s="147"/>
      <c r="H567" s="147"/>
      <c r="I567" s="147"/>
      <c r="J567" s="147"/>
      <c r="K567" s="3"/>
      <c r="L567" s="3"/>
      <c r="M567" s="3"/>
      <c r="N567" s="3"/>
      <c r="O567" s="3"/>
      <c r="P567" s="3"/>
      <c r="Q567" s="3"/>
      <c r="R567" s="3"/>
      <c r="S567" s="3"/>
      <c r="T567" s="3"/>
      <c r="U567" s="3"/>
      <c r="V567" s="3"/>
      <c r="W567" s="3"/>
      <c r="X567" s="3"/>
      <c r="Y567" s="3"/>
      <c r="Z567" s="3"/>
    </row>
    <row r="568" spans="1:26" ht="22.5" customHeight="1" x14ac:dyDescent="0.85">
      <c r="A568" s="166"/>
      <c r="B568" s="167"/>
      <c r="C568" s="167"/>
      <c r="D568" s="147"/>
      <c r="E568" s="147"/>
      <c r="F568" s="147"/>
      <c r="G568" s="147"/>
      <c r="H568" s="147"/>
      <c r="I568" s="147"/>
      <c r="J568" s="147"/>
      <c r="K568" s="3"/>
      <c r="L568" s="3"/>
      <c r="M568" s="3"/>
      <c r="N568" s="3"/>
      <c r="O568" s="3"/>
      <c r="P568" s="3"/>
      <c r="Q568" s="3"/>
      <c r="R568" s="3"/>
      <c r="S568" s="3"/>
      <c r="T568" s="3"/>
      <c r="U568" s="3"/>
      <c r="V568" s="3"/>
      <c r="W568" s="3"/>
      <c r="X568" s="3"/>
      <c r="Y568" s="3"/>
      <c r="Z568" s="3"/>
    </row>
    <row r="569" spans="1:26" ht="22.5" customHeight="1" x14ac:dyDescent="0.85">
      <c r="A569" s="166"/>
      <c r="B569" s="167"/>
      <c r="C569" s="167"/>
      <c r="D569" s="147"/>
      <c r="E569" s="147"/>
      <c r="F569" s="147"/>
      <c r="G569" s="147"/>
      <c r="H569" s="147"/>
      <c r="I569" s="147"/>
      <c r="J569" s="147"/>
      <c r="K569" s="3"/>
      <c r="L569" s="3"/>
      <c r="M569" s="3"/>
      <c r="N569" s="3"/>
      <c r="O569" s="3"/>
      <c r="P569" s="3"/>
      <c r="Q569" s="3"/>
      <c r="R569" s="3"/>
      <c r="S569" s="3"/>
      <c r="T569" s="3"/>
      <c r="U569" s="3"/>
      <c r="V569" s="3"/>
      <c r="W569" s="3"/>
      <c r="X569" s="3"/>
      <c r="Y569" s="3"/>
      <c r="Z569" s="3"/>
    </row>
    <row r="570" spans="1:26" ht="22.5" customHeight="1" x14ac:dyDescent="0.85">
      <c r="A570" s="166"/>
      <c r="B570" s="167"/>
      <c r="C570" s="167"/>
      <c r="D570" s="147"/>
      <c r="E570" s="147"/>
      <c r="F570" s="147"/>
      <c r="G570" s="147"/>
      <c r="H570" s="147"/>
      <c r="I570" s="147"/>
      <c r="J570" s="147"/>
      <c r="K570" s="3"/>
      <c r="L570" s="3"/>
      <c r="M570" s="3"/>
      <c r="N570" s="3"/>
      <c r="O570" s="3"/>
      <c r="P570" s="3"/>
      <c r="Q570" s="3"/>
      <c r="R570" s="3"/>
      <c r="S570" s="3"/>
      <c r="T570" s="3"/>
      <c r="U570" s="3"/>
      <c r="V570" s="3"/>
      <c r="W570" s="3"/>
      <c r="X570" s="3"/>
      <c r="Y570" s="3"/>
      <c r="Z570" s="3"/>
    </row>
    <row r="571" spans="1:26" ht="22.5" customHeight="1" x14ac:dyDescent="0.85">
      <c r="A571" s="166"/>
      <c r="B571" s="167"/>
      <c r="C571" s="167"/>
      <c r="D571" s="147"/>
      <c r="E571" s="147"/>
      <c r="F571" s="147"/>
      <c r="G571" s="147"/>
      <c r="H571" s="147"/>
      <c r="I571" s="147"/>
      <c r="J571" s="147"/>
      <c r="K571" s="3"/>
      <c r="L571" s="3"/>
      <c r="M571" s="3"/>
      <c r="N571" s="3"/>
      <c r="O571" s="3"/>
      <c r="P571" s="3"/>
      <c r="Q571" s="3"/>
      <c r="R571" s="3"/>
      <c r="S571" s="3"/>
      <c r="T571" s="3"/>
      <c r="U571" s="3"/>
      <c r="V571" s="3"/>
      <c r="W571" s="3"/>
      <c r="X571" s="3"/>
      <c r="Y571" s="3"/>
      <c r="Z571" s="3"/>
    </row>
    <row r="572" spans="1:26" ht="22.5" customHeight="1" x14ac:dyDescent="0.85">
      <c r="A572" s="166"/>
      <c r="B572" s="167"/>
      <c r="C572" s="167"/>
      <c r="D572" s="147"/>
      <c r="E572" s="147"/>
      <c r="F572" s="147"/>
      <c r="G572" s="147"/>
      <c r="H572" s="147"/>
      <c r="I572" s="147"/>
      <c r="J572" s="147"/>
      <c r="K572" s="3"/>
      <c r="L572" s="3"/>
      <c r="M572" s="3"/>
      <c r="N572" s="3"/>
      <c r="O572" s="3"/>
      <c r="P572" s="3"/>
      <c r="Q572" s="3"/>
      <c r="R572" s="3"/>
      <c r="S572" s="3"/>
      <c r="T572" s="3"/>
      <c r="U572" s="3"/>
      <c r="V572" s="3"/>
      <c r="W572" s="3"/>
      <c r="X572" s="3"/>
      <c r="Y572" s="3"/>
      <c r="Z572" s="3"/>
    </row>
    <row r="573" spans="1:26" ht="22.5" customHeight="1" x14ac:dyDescent="0.85">
      <c r="A573" s="166"/>
      <c r="B573" s="167"/>
      <c r="C573" s="167"/>
      <c r="D573" s="147"/>
      <c r="E573" s="147"/>
      <c r="F573" s="147"/>
      <c r="G573" s="147"/>
      <c r="H573" s="147"/>
      <c r="I573" s="147"/>
      <c r="J573" s="147"/>
      <c r="K573" s="3"/>
      <c r="L573" s="3"/>
      <c r="M573" s="3"/>
      <c r="N573" s="3"/>
      <c r="O573" s="3"/>
      <c r="P573" s="3"/>
      <c r="Q573" s="3"/>
      <c r="R573" s="3"/>
      <c r="S573" s="3"/>
      <c r="T573" s="3"/>
      <c r="U573" s="3"/>
      <c r="V573" s="3"/>
      <c r="W573" s="3"/>
      <c r="X573" s="3"/>
      <c r="Y573" s="3"/>
      <c r="Z573" s="3"/>
    </row>
    <row r="574" spans="1:26" ht="22.5" customHeight="1" x14ac:dyDescent="0.85">
      <c r="A574" s="166"/>
      <c r="B574" s="167"/>
      <c r="C574" s="167"/>
      <c r="D574" s="147"/>
      <c r="E574" s="147"/>
      <c r="F574" s="147"/>
      <c r="G574" s="147"/>
      <c r="H574" s="147"/>
      <c r="I574" s="147"/>
      <c r="J574" s="147"/>
      <c r="K574" s="3"/>
      <c r="L574" s="3"/>
      <c r="M574" s="3"/>
      <c r="N574" s="3"/>
      <c r="O574" s="3"/>
      <c r="P574" s="3"/>
      <c r="Q574" s="3"/>
      <c r="R574" s="3"/>
      <c r="S574" s="3"/>
      <c r="T574" s="3"/>
      <c r="U574" s="3"/>
      <c r="V574" s="3"/>
      <c r="W574" s="3"/>
      <c r="X574" s="3"/>
      <c r="Y574" s="3"/>
      <c r="Z574" s="3"/>
    </row>
    <row r="575" spans="1:26" ht="22.5" customHeight="1" x14ac:dyDescent="0.85">
      <c r="A575" s="166"/>
      <c r="B575" s="167"/>
      <c r="C575" s="167"/>
      <c r="D575" s="147"/>
      <c r="E575" s="147"/>
      <c r="F575" s="147"/>
      <c r="G575" s="147"/>
      <c r="H575" s="147"/>
      <c r="I575" s="147"/>
      <c r="J575" s="147"/>
      <c r="K575" s="3"/>
      <c r="L575" s="3"/>
      <c r="M575" s="3"/>
      <c r="N575" s="3"/>
      <c r="O575" s="3"/>
      <c r="P575" s="3"/>
      <c r="Q575" s="3"/>
      <c r="R575" s="3"/>
      <c r="S575" s="3"/>
      <c r="T575" s="3"/>
      <c r="U575" s="3"/>
      <c r="V575" s="3"/>
      <c r="W575" s="3"/>
      <c r="X575" s="3"/>
      <c r="Y575" s="3"/>
      <c r="Z575" s="3"/>
    </row>
    <row r="576" spans="1:26" ht="22.5" customHeight="1" x14ac:dyDescent="0.85">
      <c r="A576" s="166"/>
      <c r="B576" s="167"/>
      <c r="C576" s="167"/>
      <c r="D576" s="147"/>
      <c r="E576" s="147"/>
      <c r="F576" s="147"/>
      <c r="G576" s="147"/>
      <c r="H576" s="147"/>
      <c r="I576" s="147"/>
      <c r="J576" s="147"/>
      <c r="K576" s="3"/>
      <c r="L576" s="3"/>
      <c r="M576" s="3"/>
      <c r="N576" s="3"/>
      <c r="O576" s="3"/>
      <c r="P576" s="3"/>
      <c r="Q576" s="3"/>
      <c r="R576" s="3"/>
      <c r="S576" s="3"/>
      <c r="T576" s="3"/>
      <c r="U576" s="3"/>
      <c r="V576" s="3"/>
      <c r="W576" s="3"/>
      <c r="X576" s="3"/>
      <c r="Y576" s="3"/>
      <c r="Z576" s="3"/>
    </row>
    <row r="577" spans="1:26" ht="22.5" customHeight="1" x14ac:dyDescent="0.85">
      <c r="A577" s="166"/>
      <c r="B577" s="167"/>
      <c r="C577" s="167"/>
      <c r="D577" s="147"/>
      <c r="E577" s="147"/>
      <c r="F577" s="147"/>
      <c r="G577" s="147"/>
      <c r="H577" s="147"/>
      <c r="I577" s="147"/>
      <c r="J577" s="147"/>
      <c r="K577" s="3"/>
      <c r="L577" s="3"/>
      <c r="M577" s="3"/>
      <c r="N577" s="3"/>
      <c r="O577" s="3"/>
      <c r="P577" s="3"/>
      <c r="Q577" s="3"/>
      <c r="R577" s="3"/>
      <c r="S577" s="3"/>
      <c r="T577" s="3"/>
      <c r="U577" s="3"/>
      <c r="V577" s="3"/>
      <c r="W577" s="3"/>
      <c r="X577" s="3"/>
      <c r="Y577" s="3"/>
      <c r="Z577" s="3"/>
    </row>
    <row r="578" spans="1:26" ht="22.5" customHeight="1" x14ac:dyDescent="0.85">
      <c r="A578" s="166"/>
      <c r="B578" s="167"/>
      <c r="C578" s="167"/>
      <c r="D578" s="147"/>
      <c r="E578" s="147"/>
      <c r="F578" s="147"/>
      <c r="G578" s="147"/>
      <c r="H578" s="147"/>
      <c r="I578" s="147"/>
      <c r="J578" s="147"/>
      <c r="K578" s="3"/>
      <c r="L578" s="3"/>
      <c r="M578" s="3"/>
      <c r="N578" s="3"/>
      <c r="O578" s="3"/>
      <c r="P578" s="3"/>
      <c r="Q578" s="3"/>
      <c r="R578" s="3"/>
      <c r="S578" s="3"/>
      <c r="T578" s="3"/>
      <c r="U578" s="3"/>
      <c r="V578" s="3"/>
      <c r="W578" s="3"/>
      <c r="X578" s="3"/>
      <c r="Y578" s="3"/>
      <c r="Z578" s="3"/>
    </row>
    <row r="579" spans="1:26" ht="22.5" customHeight="1" x14ac:dyDescent="0.85">
      <c r="A579" s="166"/>
      <c r="B579" s="167"/>
      <c r="C579" s="167"/>
      <c r="D579" s="147"/>
      <c r="E579" s="147"/>
      <c r="F579" s="147"/>
      <c r="G579" s="147"/>
      <c r="H579" s="147"/>
      <c r="I579" s="147"/>
      <c r="J579" s="147"/>
      <c r="K579" s="3"/>
      <c r="L579" s="3"/>
      <c r="M579" s="3"/>
      <c r="N579" s="3"/>
      <c r="O579" s="3"/>
      <c r="P579" s="3"/>
      <c r="Q579" s="3"/>
      <c r="R579" s="3"/>
      <c r="S579" s="3"/>
      <c r="T579" s="3"/>
      <c r="U579" s="3"/>
      <c r="V579" s="3"/>
      <c r="W579" s="3"/>
      <c r="X579" s="3"/>
      <c r="Y579" s="3"/>
      <c r="Z579" s="3"/>
    </row>
    <row r="580" spans="1:26" ht="22.5" customHeight="1" x14ac:dyDescent="0.85">
      <c r="A580" s="166"/>
      <c r="B580" s="167"/>
      <c r="C580" s="167"/>
      <c r="D580" s="147"/>
      <c r="E580" s="147"/>
      <c r="F580" s="147"/>
      <c r="G580" s="147"/>
      <c r="H580" s="147"/>
      <c r="I580" s="147"/>
      <c r="J580" s="147"/>
      <c r="K580" s="3"/>
      <c r="L580" s="3"/>
      <c r="M580" s="3"/>
      <c r="N580" s="3"/>
      <c r="O580" s="3"/>
      <c r="P580" s="3"/>
      <c r="Q580" s="3"/>
      <c r="R580" s="3"/>
      <c r="S580" s="3"/>
      <c r="T580" s="3"/>
      <c r="U580" s="3"/>
      <c r="V580" s="3"/>
      <c r="W580" s="3"/>
      <c r="X580" s="3"/>
      <c r="Y580" s="3"/>
      <c r="Z580" s="3"/>
    </row>
    <row r="581" spans="1:26" ht="22.5" customHeight="1" x14ac:dyDescent="0.85">
      <c r="A581" s="166"/>
      <c r="B581" s="167"/>
      <c r="C581" s="167"/>
      <c r="D581" s="147"/>
      <c r="E581" s="147"/>
      <c r="F581" s="147"/>
      <c r="G581" s="147"/>
      <c r="H581" s="147"/>
      <c r="I581" s="147"/>
      <c r="J581" s="147"/>
      <c r="K581" s="3"/>
      <c r="L581" s="3"/>
      <c r="M581" s="3"/>
      <c r="N581" s="3"/>
      <c r="O581" s="3"/>
      <c r="P581" s="3"/>
      <c r="Q581" s="3"/>
      <c r="R581" s="3"/>
      <c r="S581" s="3"/>
      <c r="T581" s="3"/>
      <c r="U581" s="3"/>
      <c r="V581" s="3"/>
      <c r="W581" s="3"/>
      <c r="X581" s="3"/>
      <c r="Y581" s="3"/>
      <c r="Z581" s="3"/>
    </row>
    <row r="582" spans="1:26" ht="22.5" customHeight="1" x14ac:dyDescent="0.85">
      <c r="A582" s="166"/>
      <c r="B582" s="167"/>
      <c r="C582" s="167"/>
      <c r="D582" s="147"/>
      <c r="E582" s="147"/>
      <c r="F582" s="147"/>
      <c r="G582" s="147"/>
      <c r="H582" s="147"/>
      <c r="I582" s="147"/>
      <c r="J582" s="147"/>
      <c r="K582" s="3"/>
      <c r="L582" s="3"/>
      <c r="M582" s="3"/>
      <c r="N582" s="3"/>
      <c r="O582" s="3"/>
      <c r="P582" s="3"/>
      <c r="Q582" s="3"/>
      <c r="R582" s="3"/>
      <c r="S582" s="3"/>
      <c r="T582" s="3"/>
      <c r="U582" s="3"/>
      <c r="V582" s="3"/>
      <c r="W582" s="3"/>
      <c r="X582" s="3"/>
      <c r="Y582" s="3"/>
      <c r="Z582" s="3"/>
    </row>
    <row r="583" spans="1:26" ht="22.5" customHeight="1" x14ac:dyDescent="0.85">
      <c r="A583" s="166"/>
      <c r="B583" s="167"/>
      <c r="C583" s="167"/>
      <c r="D583" s="147"/>
      <c r="E583" s="147"/>
      <c r="F583" s="147"/>
      <c r="G583" s="147"/>
      <c r="H583" s="147"/>
      <c r="I583" s="147"/>
      <c r="J583" s="147"/>
      <c r="K583" s="3"/>
      <c r="L583" s="3"/>
      <c r="M583" s="3"/>
      <c r="N583" s="3"/>
      <c r="O583" s="3"/>
      <c r="P583" s="3"/>
      <c r="Q583" s="3"/>
      <c r="R583" s="3"/>
      <c r="S583" s="3"/>
      <c r="T583" s="3"/>
      <c r="U583" s="3"/>
      <c r="V583" s="3"/>
      <c r="W583" s="3"/>
      <c r="X583" s="3"/>
      <c r="Y583" s="3"/>
      <c r="Z583" s="3"/>
    </row>
    <row r="584" spans="1:26" ht="22.5" customHeight="1" x14ac:dyDescent="0.85">
      <c r="A584" s="166"/>
      <c r="B584" s="167"/>
      <c r="C584" s="167"/>
      <c r="D584" s="147"/>
      <c r="E584" s="147"/>
      <c r="F584" s="147"/>
      <c r="G584" s="147"/>
      <c r="H584" s="147"/>
      <c r="I584" s="147"/>
      <c r="J584" s="147"/>
      <c r="K584" s="3"/>
      <c r="L584" s="3"/>
      <c r="M584" s="3"/>
      <c r="N584" s="3"/>
      <c r="O584" s="3"/>
      <c r="P584" s="3"/>
      <c r="Q584" s="3"/>
      <c r="R584" s="3"/>
      <c r="S584" s="3"/>
      <c r="T584" s="3"/>
      <c r="U584" s="3"/>
      <c r="V584" s="3"/>
      <c r="W584" s="3"/>
      <c r="X584" s="3"/>
      <c r="Y584" s="3"/>
      <c r="Z584" s="3"/>
    </row>
    <row r="585" spans="1:26" ht="22.5" customHeight="1" x14ac:dyDescent="0.85">
      <c r="A585" s="166"/>
      <c r="B585" s="167"/>
      <c r="C585" s="167"/>
      <c r="D585" s="147"/>
      <c r="E585" s="147"/>
      <c r="F585" s="147"/>
      <c r="G585" s="147"/>
      <c r="H585" s="147"/>
      <c r="I585" s="147"/>
      <c r="J585" s="147"/>
      <c r="K585" s="3"/>
      <c r="L585" s="3"/>
      <c r="M585" s="3"/>
      <c r="N585" s="3"/>
      <c r="O585" s="3"/>
      <c r="P585" s="3"/>
      <c r="Q585" s="3"/>
      <c r="R585" s="3"/>
      <c r="S585" s="3"/>
      <c r="T585" s="3"/>
      <c r="U585" s="3"/>
      <c r="V585" s="3"/>
      <c r="W585" s="3"/>
      <c r="X585" s="3"/>
      <c r="Y585" s="3"/>
      <c r="Z585" s="3"/>
    </row>
    <row r="586" spans="1:26" ht="22.5" customHeight="1" x14ac:dyDescent="0.85">
      <c r="A586" s="166"/>
      <c r="B586" s="167"/>
      <c r="C586" s="167"/>
      <c r="D586" s="147"/>
      <c r="E586" s="147"/>
      <c r="F586" s="147"/>
      <c r="G586" s="147"/>
      <c r="H586" s="147"/>
      <c r="I586" s="147"/>
      <c r="J586" s="147"/>
      <c r="K586" s="3"/>
      <c r="L586" s="3"/>
      <c r="M586" s="3"/>
      <c r="N586" s="3"/>
      <c r="O586" s="3"/>
      <c r="P586" s="3"/>
      <c r="Q586" s="3"/>
      <c r="R586" s="3"/>
      <c r="S586" s="3"/>
      <c r="T586" s="3"/>
      <c r="U586" s="3"/>
      <c r="V586" s="3"/>
      <c r="W586" s="3"/>
      <c r="X586" s="3"/>
      <c r="Y586" s="3"/>
      <c r="Z586" s="3"/>
    </row>
    <row r="587" spans="1:26" ht="22.5" customHeight="1" x14ac:dyDescent="0.85">
      <c r="A587" s="166"/>
      <c r="B587" s="167"/>
      <c r="C587" s="167"/>
      <c r="D587" s="147"/>
      <c r="E587" s="147"/>
      <c r="F587" s="147"/>
      <c r="G587" s="147"/>
      <c r="H587" s="147"/>
      <c r="I587" s="147"/>
      <c r="J587" s="147"/>
      <c r="K587" s="3"/>
      <c r="L587" s="3"/>
      <c r="M587" s="3"/>
      <c r="N587" s="3"/>
      <c r="O587" s="3"/>
      <c r="P587" s="3"/>
      <c r="Q587" s="3"/>
      <c r="R587" s="3"/>
      <c r="S587" s="3"/>
      <c r="T587" s="3"/>
      <c r="U587" s="3"/>
      <c r="V587" s="3"/>
      <c r="W587" s="3"/>
      <c r="X587" s="3"/>
      <c r="Y587" s="3"/>
      <c r="Z587" s="3"/>
    </row>
    <row r="588" spans="1:26" ht="22.5" customHeight="1" x14ac:dyDescent="0.85">
      <c r="A588" s="166"/>
      <c r="B588" s="167"/>
      <c r="C588" s="167"/>
      <c r="D588" s="147"/>
      <c r="E588" s="147"/>
      <c r="F588" s="147"/>
      <c r="G588" s="147"/>
      <c r="H588" s="147"/>
      <c r="I588" s="147"/>
      <c r="J588" s="147"/>
      <c r="K588" s="3"/>
      <c r="L588" s="3"/>
      <c r="M588" s="3"/>
      <c r="N588" s="3"/>
      <c r="O588" s="3"/>
      <c r="P588" s="3"/>
      <c r="Q588" s="3"/>
      <c r="R588" s="3"/>
      <c r="S588" s="3"/>
      <c r="T588" s="3"/>
      <c r="U588" s="3"/>
      <c r="V588" s="3"/>
      <c r="W588" s="3"/>
      <c r="X588" s="3"/>
      <c r="Y588" s="3"/>
      <c r="Z588" s="3"/>
    </row>
    <row r="589" spans="1:26" ht="22.5" customHeight="1" x14ac:dyDescent="0.85">
      <c r="A589" s="166"/>
      <c r="B589" s="167"/>
      <c r="C589" s="167"/>
      <c r="D589" s="147"/>
      <c r="E589" s="147"/>
      <c r="F589" s="147"/>
      <c r="G589" s="147"/>
      <c r="H589" s="147"/>
      <c r="I589" s="147"/>
      <c r="J589" s="147"/>
      <c r="K589" s="3"/>
      <c r="L589" s="3"/>
      <c r="M589" s="3"/>
      <c r="N589" s="3"/>
      <c r="O589" s="3"/>
      <c r="P589" s="3"/>
      <c r="Q589" s="3"/>
      <c r="R589" s="3"/>
      <c r="S589" s="3"/>
      <c r="T589" s="3"/>
      <c r="U589" s="3"/>
      <c r="V589" s="3"/>
      <c r="W589" s="3"/>
      <c r="X589" s="3"/>
      <c r="Y589" s="3"/>
      <c r="Z589" s="3"/>
    </row>
    <row r="590" spans="1:26" ht="22.5" customHeight="1" x14ac:dyDescent="0.85">
      <c r="A590" s="166"/>
      <c r="B590" s="167"/>
      <c r="C590" s="167"/>
      <c r="D590" s="147"/>
      <c r="E590" s="147"/>
      <c r="F590" s="147"/>
      <c r="G590" s="147"/>
      <c r="H590" s="147"/>
      <c r="I590" s="147"/>
      <c r="J590" s="147"/>
      <c r="K590" s="3"/>
      <c r="L590" s="3"/>
      <c r="M590" s="3"/>
      <c r="N590" s="3"/>
      <c r="O590" s="3"/>
      <c r="P590" s="3"/>
      <c r="Q590" s="3"/>
      <c r="R590" s="3"/>
      <c r="S590" s="3"/>
      <c r="T590" s="3"/>
      <c r="U590" s="3"/>
      <c r="V590" s="3"/>
      <c r="W590" s="3"/>
      <c r="X590" s="3"/>
      <c r="Y590" s="3"/>
      <c r="Z590" s="3"/>
    </row>
    <row r="591" spans="1:26" ht="22.5" customHeight="1" x14ac:dyDescent="0.85">
      <c r="A591" s="166"/>
      <c r="B591" s="167"/>
      <c r="C591" s="167"/>
      <c r="D591" s="147"/>
      <c r="E591" s="147"/>
      <c r="F591" s="147"/>
      <c r="G591" s="147"/>
      <c r="H591" s="147"/>
      <c r="I591" s="147"/>
      <c r="J591" s="147"/>
      <c r="K591" s="3"/>
      <c r="L591" s="3"/>
      <c r="M591" s="3"/>
      <c r="N591" s="3"/>
      <c r="O591" s="3"/>
      <c r="P591" s="3"/>
      <c r="Q591" s="3"/>
      <c r="R591" s="3"/>
      <c r="S591" s="3"/>
      <c r="T591" s="3"/>
      <c r="U591" s="3"/>
      <c r="V591" s="3"/>
      <c r="W591" s="3"/>
      <c r="X591" s="3"/>
      <c r="Y591" s="3"/>
      <c r="Z591" s="3"/>
    </row>
    <row r="592" spans="1:26" ht="22.5" customHeight="1" x14ac:dyDescent="0.85">
      <c r="A592" s="166"/>
      <c r="B592" s="167"/>
      <c r="C592" s="167"/>
      <c r="D592" s="147"/>
      <c r="E592" s="147"/>
      <c r="F592" s="147"/>
      <c r="G592" s="147"/>
      <c r="H592" s="147"/>
      <c r="I592" s="147"/>
      <c r="J592" s="147"/>
      <c r="K592" s="3"/>
      <c r="L592" s="3"/>
      <c r="M592" s="3"/>
      <c r="N592" s="3"/>
      <c r="O592" s="3"/>
      <c r="P592" s="3"/>
      <c r="Q592" s="3"/>
      <c r="R592" s="3"/>
      <c r="S592" s="3"/>
      <c r="T592" s="3"/>
      <c r="U592" s="3"/>
      <c r="V592" s="3"/>
      <c r="W592" s="3"/>
      <c r="X592" s="3"/>
      <c r="Y592" s="3"/>
      <c r="Z592" s="3"/>
    </row>
    <row r="593" spans="1:26" ht="22.5" customHeight="1" x14ac:dyDescent="0.85">
      <c r="A593" s="166"/>
      <c r="B593" s="167"/>
      <c r="C593" s="167"/>
      <c r="D593" s="147"/>
      <c r="E593" s="147"/>
      <c r="F593" s="147"/>
      <c r="G593" s="147"/>
      <c r="H593" s="147"/>
      <c r="I593" s="147"/>
      <c r="J593" s="147"/>
      <c r="K593" s="3"/>
      <c r="L593" s="3"/>
      <c r="M593" s="3"/>
      <c r="N593" s="3"/>
      <c r="O593" s="3"/>
      <c r="P593" s="3"/>
      <c r="Q593" s="3"/>
      <c r="R593" s="3"/>
      <c r="S593" s="3"/>
      <c r="T593" s="3"/>
      <c r="U593" s="3"/>
      <c r="V593" s="3"/>
      <c r="W593" s="3"/>
      <c r="X593" s="3"/>
      <c r="Y593" s="3"/>
      <c r="Z593" s="3"/>
    </row>
    <row r="594" spans="1:26" ht="22.5" customHeight="1" x14ac:dyDescent="0.85">
      <c r="A594" s="166"/>
      <c r="B594" s="167"/>
      <c r="C594" s="167"/>
      <c r="D594" s="147"/>
      <c r="E594" s="147"/>
      <c r="F594" s="147"/>
      <c r="G594" s="147"/>
      <c r="H594" s="147"/>
      <c r="I594" s="147"/>
      <c r="J594" s="147"/>
      <c r="K594" s="3"/>
      <c r="L594" s="3"/>
      <c r="M594" s="3"/>
      <c r="N594" s="3"/>
      <c r="O594" s="3"/>
      <c r="P594" s="3"/>
      <c r="Q594" s="3"/>
      <c r="R594" s="3"/>
      <c r="S594" s="3"/>
      <c r="T594" s="3"/>
      <c r="U594" s="3"/>
      <c r="V594" s="3"/>
      <c r="W594" s="3"/>
      <c r="X594" s="3"/>
      <c r="Y594" s="3"/>
      <c r="Z594" s="3"/>
    </row>
    <row r="595" spans="1:26" ht="22.5" customHeight="1" x14ac:dyDescent="0.85">
      <c r="A595" s="166"/>
      <c r="B595" s="167"/>
      <c r="C595" s="167"/>
      <c r="D595" s="147"/>
      <c r="E595" s="147"/>
      <c r="F595" s="147"/>
      <c r="G595" s="147"/>
      <c r="H595" s="147"/>
      <c r="I595" s="147"/>
      <c r="J595" s="147"/>
      <c r="K595" s="3"/>
      <c r="L595" s="3"/>
      <c r="M595" s="3"/>
      <c r="N595" s="3"/>
      <c r="O595" s="3"/>
      <c r="P595" s="3"/>
      <c r="Q595" s="3"/>
      <c r="R595" s="3"/>
      <c r="S595" s="3"/>
      <c r="T595" s="3"/>
      <c r="U595" s="3"/>
      <c r="V595" s="3"/>
      <c r="W595" s="3"/>
      <c r="X595" s="3"/>
      <c r="Y595" s="3"/>
      <c r="Z595" s="3"/>
    </row>
    <row r="596" spans="1:26" ht="22.5" customHeight="1" x14ac:dyDescent="0.85">
      <c r="A596" s="166"/>
      <c r="B596" s="167"/>
      <c r="C596" s="167"/>
      <c r="D596" s="147"/>
      <c r="E596" s="147"/>
      <c r="F596" s="147"/>
      <c r="G596" s="147"/>
      <c r="H596" s="147"/>
      <c r="I596" s="147"/>
      <c r="J596" s="147"/>
      <c r="K596" s="3"/>
      <c r="L596" s="3"/>
      <c r="M596" s="3"/>
      <c r="N596" s="3"/>
      <c r="O596" s="3"/>
      <c r="P596" s="3"/>
      <c r="Q596" s="3"/>
      <c r="R596" s="3"/>
      <c r="S596" s="3"/>
      <c r="T596" s="3"/>
      <c r="U596" s="3"/>
      <c r="V596" s="3"/>
      <c r="W596" s="3"/>
      <c r="X596" s="3"/>
      <c r="Y596" s="3"/>
      <c r="Z596" s="3"/>
    </row>
    <row r="597" spans="1:26" ht="22.5" customHeight="1" x14ac:dyDescent="0.85">
      <c r="A597" s="166"/>
      <c r="B597" s="167"/>
      <c r="C597" s="167"/>
      <c r="D597" s="147"/>
      <c r="E597" s="147"/>
      <c r="F597" s="147"/>
      <c r="G597" s="147"/>
      <c r="H597" s="147"/>
      <c r="I597" s="147"/>
      <c r="J597" s="147"/>
      <c r="K597" s="3"/>
      <c r="L597" s="3"/>
      <c r="M597" s="3"/>
      <c r="N597" s="3"/>
      <c r="O597" s="3"/>
      <c r="P597" s="3"/>
      <c r="Q597" s="3"/>
      <c r="R597" s="3"/>
      <c r="S597" s="3"/>
      <c r="T597" s="3"/>
      <c r="U597" s="3"/>
      <c r="V597" s="3"/>
      <c r="W597" s="3"/>
      <c r="X597" s="3"/>
      <c r="Y597" s="3"/>
      <c r="Z597" s="3"/>
    </row>
    <row r="598" spans="1:26" ht="22.5" customHeight="1" x14ac:dyDescent="0.85">
      <c r="A598" s="166"/>
      <c r="B598" s="167"/>
      <c r="C598" s="167"/>
      <c r="D598" s="147"/>
      <c r="E598" s="147"/>
      <c r="F598" s="147"/>
      <c r="G598" s="147"/>
      <c r="H598" s="147"/>
      <c r="I598" s="147"/>
      <c r="J598" s="147"/>
      <c r="K598" s="3"/>
      <c r="L598" s="3"/>
      <c r="M598" s="3"/>
      <c r="N598" s="3"/>
      <c r="O598" s="3"/>
      <c r="P598" s="3"/>
      <c r="Q598" s="3"/>
      <c r="R598" s="3"/>
      <c r="S598" s="3"/>
      <c r="T598" s="3"/>
      <c r="U598" s="3"/>
      <c r="V598" s="3"/>
      <c r="W598" s="3"/>
      <c r="X598" s="3"/>
      <c r="Y598" s="3"/>
      <c r="Z598" s="3"/>
    </row>
    <row r="599" spans="1:26" ht="22.5" customHeight="1" x14ac:dyDescent="0.85">
      <c r="A599" s="166"/>
      <c r="B599" s="167"/>
      <c r="C599" s="167"/>
      <c r="D599" s="147"/>
      <c r="E599" s="147"/>
      <c r="F599" s="147"/>
      <c r="G599" s="147"/>
      <c r="H599" s="147"/>
      <c r="I599" s="147"/>
      <c r="J599" s="147"/>
      <c r="K599" s="3"/>
      <c r="L599" s="3"/>
      <c r="M599" s="3"/>
      <c r="N599" s="3"/>
      <c r="O599" s="3"/>
      <c r="P599" s="3"/>
      <c r="Q599" s="3"/>
      <c r="R599" s="3"/>
      <c r="S599" s="3"/>
      <c r="T599" s="3"/>
      <c r="U599" s="3"/>
      <c r="V599" s="3"/>
      <c r="W599" s="3"/>
      <c r="X599" s="3"/>
      <c r="Y599" s="3"/>
      <c r="Z599" s="3"/>
    </row>
    <row r="600" spans="1:26" ht="22.5" customHeight="1" x14ac:dyDescent="0.85">
      <c r="A600" s="166"/>
      <c r="B600" s="167"/>
      <c r="C600" s="167"/>
      <c r="D600" s="147"/>
      <c r="E600" s="147"/>
      <c r="F600" s="147"/>
      <c r="G600" s="147"/>
      <c r="H600" s="147"/>
      <c r="I600" s="147"/>
      <c r="J600" s="147"/>
      <c r="K600" s="3"/>
      <c r="L600" s="3"/>
      <c r="M600" s="3"/>
      <c r="N600" s="3"/>
      <c r="O600" s="3"/>
      <c r="P600" s="3"/>
      <c r="Q600" s="3"/>
      <c r="R600" s="3"/>
      <c r="S600" s="3"/>
      <c r="T600" s="3"/>
      <c r="U600" s="3"/>
      <c r="V600" s="3"/>
      <c r="W600" s="3"/>
      <c r="X600" s="3"/>
      <c r="Y600" s="3"/>
      <c r="Z600" s="3"/>
    </row>
    <row r="601" spans="1:26" ht="22.5" customHeight="1" x14ac:dyDescent="0.85">
      <c r="A601" s="166"/>
      <c r="B601" s="167"/>
      <c r="C601" s="167"/>
      <c r="D601" s="147"/>
      <c r="E601" s="147"/>
      <c r="F601" s="147"/>
      <c r="G601" s="147"/>
      <c r="H601" s="147"/>
      <c r="I601" s="147"/>
      <c r="J601" s="147"/>
      <c r="K601" s="3"/>
      <c r="L601" s="3"/>
      <c r="M601" s="3"/>
      <c r="N601" s="3"/>
      <c r="O601" s="3"/>
      <c r="P601" s="3"/>
      <c r="Q601" s="3"/>
      <c r="R601" s="3"/>
      <c r="S601" s="3"/>
      <c r="T601" s="3"/>
      <c r="U601" s="3"/>
      <c r="V601" s="3"/>
      <c r="W601" s="3"/>
      <c r="X601" s="3"/>
      <c r="Y601" s="3"/>
      <c r="Z601" s="3"/>
    </row>
    <row r="602" spans="1:26" ht="22.5" customHeight="1" x14ac:dyDescent="0.85">
      <c r="A602" s="166"/>
      <c r="B602" s="167"/>
      <c r="C602" s="167"/>
      <c r="D602" s="147"/>
      <c r="E602" s="147"/>
      <c r="F602" s="147"/>
      <c r="G602" s="147"/>
      <c r="H602" s="147"/>
      <c r="I602" s="147"/>
      <c r="J602" s="147"/>
      <c r="K602" s="3"/>
      <c r="L602" s="3"/>
      <c r="M602" s="3"/>
      <c r="N602" s="3"/>
      <c r="O602" s="3"/>
      <c r="P602" s="3"/>
      <c r="Q602" s="3"/>
      <c r="R602" s="3"/>
      <c r="S602" s="3"/>
      <c r="T602" s="3"/>
      <c r="U602" s="3"/>
      <c r="V602" s="3"/>
      <c r="W602" s="3"/>
      <c r="X602" s="3"/>
      <c r="Y602" s="3"/>
      <c r="Z602" s="3"/>
    </row>
    <row r="603" spans="1:26" ht="22.5" customHeight="1" x14ac:dyDescent="0.85">
      <c r="A603" s="166"/>
      <c r="B603" s="167"/>
      <c r="C603" s="167"/>
      <c r="D603" s="147"/>
      <c r="E603" s="147"/>
      <c r="F603" s="147"/>
      <c r="G603" s="147"/>
      <c r="H603" s="147"/>
      <c r="I603" s="147"/>
      <c r="J603" s="147"/>
      <c r="K603" s="3"/>
      <c r="L603" s="3"/>
      <c r="M603" s="3"/>
      <c r="N603" s="3"/>
      <c r="O603" s="3"/>
      <c r="P603" s="3"/>
      <c r="Q603" s="3"/>
      <c r="R603" s="3"/>
      <c r="S603" s="3"/>
      <c r="T603" s="3"/>
      <c r="U603" s="3"/>
      <c r="V603" s="3"/>
      <c r="W603" s="3"/>
      <c r="X603" s="3"/>
      <c r="Y603" s="3"/>
      <c r="Z603" s="3"/>
    </row>
    <row r="604" spans="1:26" ht="22.5" customHeight="1" x14ac:dyDescent="0.85">
      <c r="A604" s="166"/>
      <c r="B604" s="167"/>
      <c r="C604" s="167"/>
      <c r="D604" s="147"/>
      <c r="E604" s="147"/>
      <c r="F604" s="147"/>
      <c r="G604" s="147"/>
      <c r="H604" s="147"/>
      <c r="I604" s="147"/>
      <c r="J604" s="147"/>
      <c r="K604" s="3"/>
      <c r="L604" s="3"/>
      <c r="M604" s="3"/>
      <c r="N604" s="3"/>
      <c r="O604" s="3"/>
      <c r="P604" s="3"/>
      <c r="Q604" s="3"/>
      <c r="R604" s="3"/>
      <c r="S604" s="3"/>
      <c r="T604" s="3"/>
      <c r="U604" s="3"/>
      <c r="V604" s="3"/>
      <c r="W604" s="3"/>
      <c r="X604" s="3"/>
      <c r="Y604" s="3"/>
      <c r="Z604" s="3"/>
    </row>
    <row r="605" spans="1:26" ht="22.5" customHeight="1" x14ac:dyDescent="0.85">
      <c r="A605" s="166"/>
      <c r="B605" s="167"/>
      <c r="C605" s="167"/>
      <c r="D605" s="147"/>
      <c r="E605" s="147"/>
      <c r="F605" s="147"/>
      <c r="G605" s="147"/>
      <c r="H605" s="147"/>
      <c r="I605" s="147"/>
      <c r="J605" s="147"/>
      <c r="K605" s="3"/>
      <c r="L605" s="3"/>
      <c r="M605" s="3"/>
      <c r="N605" s="3"/>
      <c r="O605" s="3"/>
      <c r="P605" s="3"/>
      <c r="Q605" s="3"/>
      <c r="R605" s="3"/>
      <c r="S605" s="3"/>
      <c r="T605" s="3"/>
      <c r="U605" s="3"/>
      <c r="V605" s="3"/>
      <c r="W605" s="3"/>
      <c r="X605" s="3"/>
      <c r="Y605" s="3"/>
      <c r="Z605" s="3"/>
    </row>
    <row r="606" spans="1:26" ht="22.5" customHeight="1" x14ac:dyDescent="0.85">
      <c r="A606" s="166"/>
      <c r="B606" s="167"/>
      <c r="C606" s="167"/>
      <c r="D606" s="147"/>
      <c r="E606" s="147"/>
      <c r="F606" s="147"/>
      <c r="G606" s="147"/>
      <c r="H606" s="147"/>
      <c r="I606" s="147"/>
      <c r="J606" s="147"/>
      <c r="K606" s="3"/>
      <c r="L606" s="3"/>
      <c r="M606" s="3"/>
      <c r="N606" s="3"/>
      <c r="O606" s="3"/>
      <c r="P606" s="3"/>
      <c r="Q606" s="3"/>
      <c r="R606" s="3"/>
      <c r="S606" s="3"/>
      <c r="T606" s="3"/>
      <c r="U606" s="3"/>
      <c r="V606" s="3"/>
      <c r="W606" s="3"/>
      <c r="X606" s="3"/>
      <c r="Y606" s="3"/>
      <c r="Z606" s="3"/>
    </row>
    <row r="607" spans="1:26" ht="22.5" customHeight="1" x14ac:dyDescent="0.85">
      <c r="A607" s="166"/>
      <c r="B607" s="167"/>
      <c r="C607" s="167"/>
      <c r="D607" s="147"/>
      <c r="E607" s="147"/>
      <c r="F607" s="147"/>
      <c r="G607" s="147"/>
      <c r="H607" s="147"/>
      <c r="I607" s="147"/>
      <c r="J607" s="147"/>
      <c r="K607" s="3"/>
      <c r="L607" s="3"/>
      <c r="M607" s="3"/>
      <c r="N607" s="3"/>
      <c r="O607" s="3"/>
      <c r="P607" s="3"/>
      <c r="Q607" s="3"/>
      <c r="R607" s="3"/>
      <c r="S607" s="3"/>
      <c r="T607" s="3"/>
      <c r="U607" s="3"/>
      <c r="V607" s="3"/>
      <c r="W607" s="3"/>
      <c r="X607" s="3"/>
      <c r="Y607" s="3"/>
      <c r="Z607" s="3"/>
    </row>
    <row r="608" spans="1:26" ht="22.5" customHeight="1" x14ac:dyDescent="0.85">
      <c r="A608" s="166"/>
      <c r="B608" s="167"/>
      <c r="C608" s="167"/>
      <c r="D608" s="147"/>
      <c r="E608" s="147"/>
      <c r="F608" s="147"/>
      <c r="G608" s="147"/>
      <c r="H608" s="147"/>
      <c r="I608" s="147"/>
      <c r="J608" s="147"/>
      <c r="K608" s="3"/>
      <c r="L608" s="3"/>
      <c r="M608" s="3"/>
      <c r="N608" s="3"/>
      <c r="O608" s="3"/>
      <c r="P608" s="3"/>
      <c r="Q608" s="3"/>
      <c r="R608" s="3"/>
      <c r="S608" s="3"/>
      <c r="T608" s="3"/>
      <c r="U608" s="3"/>
      <c r="V608" s="3"/>
      <c r="W608" s="3"/>
      <c r="X608" s="3"/>
      <c r="Y608" s="3"/>
      <c r="Z608" s="3"/>
    </row>
    <row r="609" spans="1:26" ht="22.5" customHeight="1" x14ac:dyDescent="0.85">
      <c r="A609" s="166"/>
      <c r="B609" s="167"/>
      <c r="C609" s="167"/>
      <c r="D609" s="147"/>
      <c r="E609" s="147"/>
      <c r="F609" s="147"/>
      <c r="G609" s="147"/>
      <c r="H609" s="147"/>
      <c r="I609" s="147"/>
      <c r="J609" s="147"/>
      <c r="K609" s="3"/>
      <c r="L609" s="3"/>
      <c r="M609" s="3"/>
      <c r="N609" s="3"/>
      <c r="O609" s="3"/>
      <c r="P609" s="3"/>
      <c r="Q609" s="3"/>
      <c r="R609" s="3"/>
      <c r="S609" s="3"/>
      <c r="T609" s="3"/>
      <c r="U609" s="3"/>
      <c r="V609" s="3"/>
      <c r="W609" s="3"/>
      <c r="X609" s="3"/>
      <c r="Y609" s="3"/>
      <c r="Z609" s="3"/>
    </row>
    <row r="610" spans="1:26" ht="22.5" customHeight="1" x14ac:dyDescent="0.85">
      <c r="A610" s="166"/>
      <c r="B610" s="167"/>
      <c r="C610" s="167"/>
      <c r="D610" s="147"/>
      <c r="E610" s="147"/>
      <c r="F610" s="147"/>
      <c r="G610" s="147"/>
      <c r="H610" s="147"/>
      <c r="I610" s="147"/>
      <c r="J610" s="147"/>
      <c r="K610" s="3"/>
      <c r="L610" s="3"/>
      <c r="M610" s="3"/>
      <c r="N610" s="3"/>
      <c r="O610" s="3"/>
      <c r="P610" s="3"/>
      <c r="Q610" s="3"/>
      <c r="R610" s="3"/>
      <c r="S610" s="3"/>
      <c r="T610" s="3"/>
      <c r="U610" s="3"/>
      <c r="V610" s="3"/>
      <c r="W610" s="3"/>
      <c r="X610" s="3"/>
      <c r="Y610" s="3"/>
      <c r="Z610" s="3"/>
    </row>
    <row r="611" spans="1:26" ht="22.5" customHeight="1" x14ac:dyDescent="0.85">
      <c r="A611" s="166"/>
      <c r="B611" s="167"/>
      <c r="C611" s="167"/>
      <c r="D611" s="147"/>
      <c r="E611" s="147"/>
      <c r="F611" s="147"/>
      <c r="G611" s="147"/>
      <c r="H611" s="147"/>
      <c r="I611" s="147"/>
      <c r="J611" s="147"/>
      <c r="K611" s="3"/>
      <c r="L611" s="3"/>
      <c r="M611" s="3"/>
      <c r="N611" s="3"/>
      <c r="O611" s="3"/>
      <c r="P611" s="3"/>
      <c r="Q611" s="3"/>
      <c r="R611" s="3"/>
      <c r="S611" s="3"/>
      <c r="T611" s="3"/>
      <c r="U611" s="3"/>
      <c r="V611" s="3"/>
      <c r="W611" s="3"/>
      <c r="X611" s="3"/>
      <c r="Y611" s="3"/>
      <c r="Z611" s="3"/>
    </row>
    <row r="612" spans="1:26" ht="22.5" customHeight="1" x14ac:dyDescent="0.85">
      <c r="A612" s="166"/>
      <c r="B612" s="167"/>
      <c r="C612" s="167"/>
      <c r="D612" s="147"/>
      <c r="E612" s="147"/>
      <c r="F612" s="147"/>
      <c r="G612" s="147"/>
      <c r="H612" s="147"/>
      <c r="I612" s="147"/>
      <c r="J612" s="147"/>
      <c r="K612" s="3"/>
      <c r="L612" s="3"/>
      <c r="M612" s="3"/>
      <c r="N612" s="3"/>
      <c r="O612" s="3"/>
      <c r="P612" s="3"/>
      <c r="Q612" s="3"/>
      <c r="R612" s="3"/>
      <c r="S612" s="3"/>
      <c r="T612" s="3"/>
      <c r="U612" s="3"/>
      <c r="V612" s="3"/>
      <c r="W612" s="3"/>
      <c r="X612" s="3"/>
      <c r="Y612" s="3"/>
      <c r="Z612" s="3"/>
    </row>
    <row r="613" spans="1:26" ht="22.5" customHeight="1" x14ac:dyDescent="0.85">
      <c r="A613" s="166"/>
      <c r="B613" s="167"/>
      <c r="C613" s="167"/>
      <c r="D613" s="147"/>
      <c r="E613" s="147"/>
      <c r="F613" s="147"/>
      <c r="G613" s="147"/>
      <c r="H613" s="147"/>
      <c r="I613" s="147"/>
      <c r="J613" s="147"/>
      <c r="K613" s="3"/>
      <c r="L613" s="3"/>
      <c r="M613" s="3"/>
      <c r="N613" s="3"/>
      <c r="O613" s="3"/>
      <c r="P613" s="3"/>
      <c r="Q613" s="3"/>
      <c r="R613" s="3"/>
      <c r="S613" s="3"/>
      <c r="T613" s="3"/>
      <c r="U613" s="3"/>
      <c r="V613" s="3"/>
      <c r="W613" s="3"/>
      <c r="X613" s="3"/>
      <c r="Y613" s="3"/>
      <c r="Z613" s="3"/>
    </row>
    <row r="614" spans="1:26" ht="22.5" customHeight="1" x14ac:dyDescent="0.85">
      <c r="A614" s="166"/>
      <c r="B614" s="167"/>
      <c r="C614" s="167"/>
      <c r="D614" s="147"/>
      <c r="E614" s="147"/>
      <c r="F614" s="147"/>
      <c r="G614" s="147"/>
      <c r="H614" s="147"/>
      <c r="I614" s="147"/>
      <c r="J614" s="147"/>
      <c r="K614" s="3"/>
      <c r="L614" s="3"/>
      <c r="M614" s="3"/>
      <c r="N614" s="3"/>
      <c r="O614" s="3"/>
      <c r="P614" s="3"/>
      <c r="Q614" s="3"/>
      <c r="R614" s="3"/>
      <c r="S614" s="3"/>
      <c r="T614" s="3"/>
      <c r="U614" s="3"/>
      <c r="V614" s="3"/>
      <c r="W614" s="3"/>
      <c r="X614" s="3"/>
      <c r="Y614" s="3"/>
      <c r="Z614" s="3"/>
    </row>
    <row r="615" spans="1:26" ht="22.5" customHeight="1" x14ac:dyDescent="0.85">
      <c r="A615" s="166"/>
      <c r="B615" s="167"/>
      <c r="C615" s="167"/>
      <c r="D615" s="147"/>
      <c r="E615" s="147"/>
      <c r="F615" s="147"/>
      <c r="G615" s="147"/>
      <c r="H615" s="147"/>
      <c r="I615" s="147"/>
      <c r="J615" s="147"/>
      <c r="K615" s="3"/>
      <c r="L615" s="3"/>
      <c r="M615" s="3"/>
      <c r="N615" s="3"/>
      <c r="O615" s="3"/>
      <c r="P615" s="3"/>
      <c r="Q615" s="3"/>
      <c r="R615" s="3"/>
      <c r="S615" s="3"/>
      <c r="T615" s="3"/>
      <c r="U615" s="3"/>
      <c r="V615" s="3"/>
      <c r="W615" s="3"/>
      <c r="X615" s="3"/>
      <c r="Y615" s="3"/>
      <c r="Z615" s="3"/>
    </row>
    <row r="616" spans="1:26" ht="22.5" customHeight="1" x14ac:dyDescent="0.85">
      <c r="A616" s="166"/>
      <c r="B616" s="167"/>
      <c r="C616" s="167"/>
      <c r="D616" s="147"/>
      <c r="E616" s="147"/>
      <c r="F616" s="147"/>
      <c r="G616" s="147"/>
      <c r="H616" s="147"/>
      <c r="I616" s="147"/>
      <c r="J616" s="147"/>
      <c r="K616" s="3"/>
      <c r="L616" s="3"/>
      <c r="M616" s="3"/>
      <c r="N616" s="3"/>
      <c r="O616" s="3"/>
      <c r="P616" s="3"/>
      <c r="Q616" s="3"/>
      <c r="R616" s="3"/>
      <c r="S616" s="3"/>
      <c r="T616" s="3"/>
      <c r="U616" s="3"/>
      <c r="V616" s="3"/>
      <c r="W616" s="3"/>
      <c r="X616" s="3"/>
      <c r="Y616" s="3"/>
      <c r="Z616" s="3"/>
    </row>
    <row r="617" spans="1:26" ht="22.5" customHeight="1" x14ac:dyDescent="0.85">
      <c r="A617" s="166"/>
      <c r="B617" s="167"/>
      <c r="C617" s="167"/>
      <c r="D617" s="147"/>
      <c r="E617" s="147"/>
      <c r="F617" s="147"/>
      <c r="G617" s="147"/>
      <c r="H617" s="147"/>
      <c r="I617" s="147"/>
      <c r="J617" s="147"/>
      <c r="K617" s="3"/>
      <c r="L617" s="3"/>
      <c r="M617" s="3"/>
      <c r="N617" s="3"/>
      <c r="O617" s="3"/>
      <c r="P617" s="3"/>
      <c r="Q617" s="3"/>
      <c r="R617" s="3"/>
      <c r="S617" s="3"/>
      <c r="T617" s="3"/>
      <c r="U617" s="3"/>
      <c r="V617" s="3"/>
      <c r="W617" s="3"/>
      <c r="X617" s="3"/>
      <c r="Y617" s="3"/>
      <c r="Z617" s="3"/>
    </row>
    <row r="618" spans="1:26" ht="22.5" customHeight="1" x14ac:dyDescent="0.85">
      <c r="A618" s="166"/>
      <c r="B618" s="167"/>
      <c r="C618" s="167"/>
      <c r="D618" s="147"/>
      <c r="E618" s="147"/>
      <c r="F618" s="147"/>
      <c r="G618" s="147"/>
      <c r="H618" s="147"/>
      <c r="I618" s="147"/>
      <c r="J618" s="147"/>
      <c r="K618" s="3"/>
      <c r="L618" s="3"/>
      <c r="M618" s="3"/>
      <c r="N618" s="3"/>
      <c r="O618" s="3"/>
      <c r="P618" s="3"/>
      <c r="Q618" s="3"/>
      <c r="R618" s="3"/>
      <c r="S618" s="3"/>
      <c r="T618" s="3"/>
      <c r="U618" s="3"/>
      <c r="V618" s="3"/>
      <c r="W618" s="3"/>
      <c r="X618" s="3"/>
      <c r="Y618" s="3"/>
      <c r="Z618" s="3"/>
    </row>
    <row r="619" spans="1:26" ht="22.5" customHeight="1" x14ac:dyDescent="0.85">
      <c r="A619" s="166"/>
      <c r="B619" s="167"/>
      <c r="C619" s="167"/>
      <c r="D619" s="147"/>
      <c r="E619" s="147"/>
      <c r="F619" s="147"/>
      <c r="G619" s="147"/>
      <c r="H619" s="147"/>
      <c r="I619" s="147"/>
      <c r="J619" s="147"/>
      <c r="K619" s="3"/>
      <c r="L619" s="3"/>
      <c r="M619" s="3"/>
      <c r="N619" s="3"/>
      <c r="O619" s="3"/>
      <c r="P619" s="3"/>
      <c r="Q619" s="3"/>
      <c r="R619" s="3"/>
      <c r="S619" s="3"/>
      <c r="T619" s="3"/>
      <c r="U619" s="3"/>
      <c r="V619" s="3"/>
      <c r="W619" s="3"/>
      <c r="X619" s="3"/>
      <c r="Y619" s="3"/>
      <c r="Z619" s="3"/>
    </row>
    <row r="620" spans="1:26" ht="22.5" customHeight="1" x14ac:dyDescent="0.85">
      <c r="A620" s="166"/>
      <c r="B620" s="167"/>
      <c r="C620" s="167"/>
      <c r="D620" s="147"/>
      <c r="E620" s="147"/>
      <c r="F620" s="147"/>
      <c r="G620" s="147"/>
      <c r="H620" s="147"/>
      <c r="I620" s="147"/>
      <c r="J620" s="147"/>
      <c r="K620" s="3"/>
      <c r="L620" s="3"/>
      <c r="M620" s="3"/>
      <c r="N620" s="3"/>
      <c r="O620" s="3"/>
      <c r="P620" s="3"/>
      <c r="Q620" s="3"/>
      <c r="R620" s="3"/>
      <c r="S620" s="3"/>
      <c r="T620" s="3"/>
      <c r="U620" s="3"/>
      <c r="V620" s="3"/>
      <c r="W620" s="3"/>
      <c r="X620" s="3"/>
      <c r="Y620" s="3"/>
      <c r="Z620" s="3"/>
    </row>
    <row r="621" spans="1:26" ht="22.5" customHeight="1" x14ac:dyDescent="0.85">
      <c r="A621" s="166"/>
      <c r="B621" s="167"/>
      <c r="C621" s="167"/>
      <c r="D621" s="147"/>
      <c r="E621" s="147"/>
      <c r="F621" s="147"/>
      <c r="G621" s="147"/>
      <c r="H621" s="147"/>
      <c r="I621" s="147"/>
      <c r="J621" s="147"/>
      <c r="K621" s="3"/>
      <c r="L621" s="3"/>
      <c r="M621" s="3"/>
      <c r="N621" s="3"/>
      <c r="O621" s="3"/>
      <c r="P621" s="3"/>
      <c r="Q621" s="3"/>
      <c r="R621" s="3"/>
      <c r="S621" s="3"/>
      <c r="T621" s="3"/>
      <c r="U621" s="3"/>
      <c r="V621" s="3"/>
      <c r="W621" s="3"/>
      <c r="X621" s="3"/>
      <c r="Y621" s="3"/>
      <c r="Z621" s="3"/>
    </row>
    <row r="622" spans="1:26" ht="22.5" customHeight="1" x14ac:dyDescent="0.85">
      <c r="A622" s="166"/>
      <c r="B622" s="167"/>
      <c r="C622" s="167"/>
      <c r="D622" s="147"/>
      <c r="E622" s="147"/>
      <c r="F622" s="147"/>
      <c r="G622" s="147"/>
      <c r="H622" s="147"/>
      <c r="I622" s="147"/>
      <c r="J622" s="147"/>
      <c r="K622" s="3"/>
      <c r="L622" s="3"/>
      <c r="M622" s="3"/>
      <c r="N622" s="3"/>
      <c r="O622" s="3"/>
      <c r="P622" s="3"/>
      <c r="Q622" s="3"/>
      <c r="R622" s="3"/>
      <c r="S622" s="3"/>
      <c r="T622" s="3"/>
      <c r="U622" s="3"/>
      <c r="V622" s="3"/>
      <c r="W622" s="3"/>
      <c r="X622" s="3"/>
      <c r="Y622" s="3"/>
      <c r="Z622" s="3"/>
    </row>
    <row r="623" spans="1:26" ht="22.5" customHeight="1" x14ac:dyDescent="0.85">
      <c r="A623" s="166"/>
      <c r="B623" s="167"/>
      <c r="C623" s="167"/>
      <c r="D623" s="147"/>
      <c r="E623" s="147"/>
      <c r="F623" s="147"/>
      <c r="G623" s="147"/>
      <c r="H623" s="147"/>
      <c r="I623" s="147"/>
      <c r="J623" s="147"/>
      <c r="K623" s="3"/>
      <c r="L623" s="3"/>
      <c r="M623" s="3"/>
      <c r="N623" s="3"/>
      <c r="O623" s="3"/>
      <c r="P623" s="3"/>
      <c r="Q623" s="3"/>
      <c r="R623" s="3"/>
      <c r="S623" s="3"/>
      <c r="T623" s="3"/>
      <c r="U623" s="3"/>
      <c r="V623" s="3"/>
      <c r="W623" s="3"/>
      <c r="X623" s="3"/>
      <c r="Y623" s="3"/>
      <c r="Z623" s="3"/>
    </row>
    <row r="624" spans="1:26" ht="22.5" customHeight="1" x14ac:dyDescent="0.85">
      <c r="A624" s="166"/>
      <c r="B624" s="167"/>
      <c r="C624" s="167"/>
      <c r="D624" s="147"/>
      <c r="E624" s="147"/>
      <c r="F624" s="147"/>
      <c r="G624" s="147"/>
      <c r="H624" s="147"/>
      <c r="I624" s="147"/>
      <c r="J624" s="147"/>
      <c r="K624" s="3"/>
      <c r="L624" s="3"/>
      <c r="M624" s="3"/>
      <c r="N624" s="3"/>
      <c r="O624" s="3"/>
      <c r="P624" s="3"/>
      <c r="Q624" s="3"/>
      <c r="R624" s="3"/>
      <c r="S624" s="3"/>
      <c r="T624" s="3"/>
      <c r="U624" s="3"/>
      <c r="V624" s="3"/>
      <c r="W624" s="3"/>
      <c r="X624" s="3"/>
      <c r="Y624" s="3"/>
      <c r="Z624" s="3"/>
    </row>
    <row r="625" spans="1:26" ht="22.5" customHeight="1" x14ac:dyDescent="0.85">
      <c r="A625" s="166"/>
      <c r="B625" s="167"/>
      <c r="C625" s="167"/>
      <c r="D625" s="147"/>
      <c r="E625" s="147"/>
      <c r="F625" s="147"/>
      <c r="G625" s="147"/>
      <c r="H625" s="147"/>
      <c r="I625" s="147"/>
      <c r="J625" s="147"/>
      <c r="K625" s="3"/>
      <c r="L625" s="3"/>
      <c r="M625" s="3"/>
      <c r="N625" s="3"/>
      <c r="O625" s="3"/>
      <c r="P625" s="3"/>
      <c r="Q625" s="3"/>
      <c r="R625" s="3"/>
      <c r="S625" s="3"/>
      <c r="T625" s="3"/>
      <c r="U625" s="3"/>
      <c r="V625" s="3"/>
      <c r="W625" s="3"/>
      <c r="X625" s="3"/>
      <c r="Y625" s="3"/>
      <c r="Z625" s="3"/>
    </row>
    <row r="626" spans="1:26" ht="22.5" customHeight="1" x14ac:dyDescent="0.85">
      <c r="A626" s="166"/>
      <c r="B626" s="167"/>
      <c r="C626" s="167"/>
      <c r="D626" s="147"/>
      <c r="E626" s="147"/>
      <c r="F626" s="147"/>
      <c r="G626" s="147"/>
      <c r="H626" s="147"/>
      <c r="I626" s="147"/>
      <c r="J626" s="147"/>
      <c r="K626" s="3"/>
      <c r="L626" s="3"/>
      <c r="M626" s="3"/>
      <c r="N626" s="3"/>
      <c r="O626" s="3"/>
      <c r="P626" s="3"/>
      <c r="Q626" s="3"/>
      <c r="R626" s="3"/>
      <c r="S626" s="3"/>
      <c r="T626" s="3"/>
      <c r="U626" s="3"/>
      <c r="V626" s="3"/>
      <c r="W626" s="3"/>
      <c r="X626" s="3"/>
      <c r="Y626" s="3"/>
      <c r="Z626" s="3"/>
    </row>
    <row r="627" spans="1:26" ht="22.5" customHeight="1" x14ac:dyDescent="0.85">
      <c r="A627" s="166"/>
      <c r="B627" s="167"/>
      <c r="C627" s="167"/>
      <c r="D627" s="147"/>
      <c r="E627" s="147"/>
      <c r="F627" s="147"/>
      <c r="G627" s="147"/>
      <c r="H627" s="147"/>
      <c r="I627" s="147"/>
      <c r="J627" s="147"/>
      <c r="K627" s="3"/>
      <c r="L627" s="3"/>
      <c r="M627" s="3"/>
      <c r="N627" s="3"/>
      <c r="O627" s="3"/>
      <c r="P627" s="3"/>
      <c r="Q627" s="3"/>
      <c r="R627" s="3"/>
      <c r="S627" s="3"/>
      <c r="T627" s="3"/>
      <c r="U627" s="3"/>
      <c r="V627" s="3"/>
      <c r="W627" s="3"/>
      <c r="X627" s="3"/>
      <c r="Y627" s="3"/>
      <c r="Z627" s="3"/>
    </row>
    <row r="628" spans="1:26" ht="22.5" customHeight="1" x14ac:dyDescent="0.85">
      <c r="A628" s="166"/>
      <c r="B628" s="167"/>
      <c r="C628" s="167"/>
      <c r="D628" s="147"/>
      <c r="E628" s="147"/>
      <c r="F628" s="147"/>
      <c r="G628" s="147"/>
      <c r="H628" s="147"/>
      <c r="I628" s="147"/>
      <c r="J628" s="147"/>
      <c r="K628" s="3"/>
      <c r="L628" s="3"/>
      <c r="M628" s="3"/>
      <c r="N628" s="3"/>
      <c r="O628" s="3"/>
      <c r="P628" s="3"/>
      <c r="Q628" s="3"/>
      <c r="R628" s="3"/>
      <c r="S628" s="3"/>
      <c r="T628" s="3"/>
      <c r="U628" s="3"/>
      <c r="V628" s="3"/>
      <c r="W628" s="3"/>
      <c r="X628" s="3"/>
      <c r="Y628" s="3"/>
      <c r="Z628" s="3"/>
    </row>
    <row r="629" spans="1:26" ht="22.5" customHeight="1" x14ac:dyDescent="0.85">
      <c r="A629" s="166"/>
      <c r="B629" s="167"/>
      <c r="C629" s="167"/>
      <c r="D629" s="147"/>
      <c r="E629" s="147"/>
      <c r="F629" s="147"/>
      <c r="G629" s="147"/>
      <c r="H629" s="147"/>
      <c r="I629" s="147"/>
      <c r="J629" s="147"/>
      <c r="K629" s="3"/>
      <c r="L629" s="3"/>
      <c r="M629" s="3"/>
      <c r="N629" s="3"/>
      <c r="O629" s="3"/>
      <c r="P629" s="3"/>
      <c r="Q629" s="3"/>
      <c r="R629" s="3"/>
      <c r="S629" s="3"/>
      <c r="T629" s="3"/>
      <c r="U629" s="3"/>
      <c r="V629" s="3"/>
      <c r="W629" s="3"/>
      <c r="X629" s="3"/>
      <c r="Y629" s="3"/>
      <c r="Z629" s="3"/>
    </row>
    <row r="630" spans="1:26" ht="22.5" customHeight="1" x14ac:dyDescent="0.85">
      <c r="A630" s="166"/>
      <c r="B630" s="167"/>
      <c r="C630" s="167"/>
      <c r="D630" s="147"/>
      <c r="E630" s="147"/>
      <c r="F630" s="147"/>
      <c r="G630" s="147"/>
      <c r="H630" s="147"/>
      <c r="I630" s="147"/>
      <c r="J630" s="147"/>
      <c r="K630" s="3"/>
      <c r="L630" s="3"/>
      <c r="M630" s="3"/>
      <c r="N630" s="3"/>
      <c r="O630" s="3"/>
      <c r="P630" s="3"/>
      <c r="Q630" s="3"/>
      <c r="R630" s="3"/>
      <c r="S630" s="3"/>
      <c r="T630" s="3"/>
      <c r="U630" s="3"/>
      <c r="V630" s="3"/>
      <c r="W630" s="3"/>
      <c r="X630" s="3"/>
      <c r="Y630" s="3"/>
      <c r="Z630" s="3"/>
    </row>
    <row r="631" spans="1:26" ht="22.5" customHeight="1" x14ac:dyDescent="0.85">
      <c r="A631" s="166"/>
      <c r="B631" s="167"/>
      <c r="C631" s="167"/>
      <c r="D631" s="147"/>
      <c r="E631" s="147"/>
      <c r="F631" s="147"/>
      <c r="G631" s="147"/>
      <c r="H631" s="147"/>
      <c r="I631" s="147"/>
      <c r="J631" s="147"/>
      <c r="K631" s="3"/>
      <c r="L631" s="3"/>
      <c r="M631" s="3"/>
      <c r="N631" s="3"/>
      <c r="O631" s="3"/>
      <c r="P631" s="3"/>
      <c r="Q631" s="3"/>
      <c r="R631" s="3"/>
      <c r="S631" s="3"/>
      <c r="T631" s="3"/>
      <c r="U631" s="3"/>
      <c r="V631" s="3"/>
      <c r="W631" s="3"/>
      <c r="X631" s="3"/>
      <c r="Y631" s="3"/>
      <c r="Z631" s="3"/>
    </row>
    <row r="632" spans="1:26" ht="22.5" customHeight="1" x14ac:dyDescent="0.85">
      <c r="A632" s="166"/>
      <c r="B632" s="167"/>
      <c r="C632" s="167"/>
      <c r="D632" s="147"/>
      <c r="E632" s="147"/>
      <c r="F632" s="147"/>
      <c r="G632" s="147"/>
      <c r="H632" s="147"/>
      <c r="I632" s="147"/>
      <c r="J632" s="147"/>
      <c r="K632" s="3"/>
      <c r="L632" s="3"/>
      <c r="M632" s="3"/>
      <c r="N632" s="3"/>
      <c r="O632" s="3"/>
      <c r="P632" s="3"/>
      <c r="Q632" s="3"/>
      <c r="R632" s="3"/>
      <c r="S632" s="3"/>
      <c r="T632" s="3"/>
      <c r="U632" s="3"/>
      <c r="V632" s="3"/>
      <c r="W632" s="3"/>
      <c r="X632" s="3"/>
      <c r="Y632" s="3"/>
      <c r="Z632" s="3"/>
    </row>
    <row r="633" spans="1:26" ht="22.5" customHeight="1" x14ac:dyDescent="0.85">
      <c r="A633" s="166"/>
      <c r="B633" s="167"/>
      <c r="C633" s="167"/>
      <c r="D633" s="147"/>
      <c r="E633" s="147"/>
      <c r="F633" s="147"/>
      <c r="G633" s="147"/>
      <c r="H633" s="147"/>
      <c r="I633" s="147"/>
      <c r="J633" s="147"/>
      <c r="K633" s="3"/>
      <c r="L633" s="3"/>
      <c r="M633" s="3"/>
      <c r="N633" s="3"/>
      <c r="O633" s="3"/>
      <c r="P633" s="3"/>
      <c r="Q633" s="3"/>
      <c r="R633" s="3"/>
      <c r="S633" s="3"/>
      <c r="T633" s="3"/>
      <c r="U633" s="3"/>
      <c r="V633" s="3"/>
      <c r="W633" s="3"/>
      <c r="X633" s="3"/>
      <c r="Y633" s="3"/>
      <c r="Z633" s="3"/>
    </row>
    <row r="634" spans="1:26" ht="22.5" customHeight="1" x14ac:dyDescent="0.85">
      <c r="A634" s="166"/>
      <c r="B634" s="167"/>
      <c r="C634" s="167"/>
      <c r="D634" s="147"/>
      <c r="E634" s="147"/>
      <c r="F634" s="147"/>
      <c r="G634" s="147"/>
      <c r="H634" s="147"/>
      <c r="I634" s="147"/>
      <c r="J634" s="147"/>
      <c r="K634" s="3"/>
      <c r="L634" s="3"/>
      <c r="M634" s="3"/>
      <c r="N634" s="3"/>
      <c r="O634" s="3"/>
      <c r="P634" s="3"/>
      <c r="Q634" s="3"/>
      <c r="R634" s="3"/>
      <c r="S634" s="3"/>
      <c r="T634" s="3"/>
      <c r="U634" s="3"/>
      <c r="V634" s="3"/>
      <c r="W634" s="3"/>
      <c r="X634" s="3"/>
      <c r="Y634" s="3"/>
      <c r="Z634" s="3"/>
    </row>
    <row r="635" spans="1:26" ht="22.5" customHeight="1" x14ac:dyDescent="0.85">
      <c r="A635" s="166"/>
      <c r="B635" s="167"/>
      <c r="C635" s="167"/>
      <c r="D635" s="147"/>
      <c r="E635" s="147"/>
      <c r="F635" s="147"/>
      <c r="G635" s="147"/>
      <c r="H635" s="147"/>
      <c r="I635" s="147"/>
      <c r="J635" s="147"/>
      <c r="K635" s="3"/>
      <c r="L635" s="3"/>
      <c r="M635" s="3"/>
      <c r="N635" s="3"/>
      <c r="O635" s="3"/>
      <c r="P635" s="3"/>
      <c r="Q635" s="3"/>
      <c r="R635" s="3"/>
      <c r="S635" s="3"/>
      <c r="T635" s="3"/>
      <c r="U635" s="3"/>
      <c r="V635" s="3"/>
      <c r="W635" s="3"/>
      <c r="X635" s="3"/>
      <c r="Y635" s="3"/>
      <c r="Z635" s="3"/>
    </row>
    <row r="636" spans="1:26" ht="22.5" customHeight="1" x14ac:dyDescent="0.85">
      <c r="A636" s="166"/>
      <c r="B636" s="167"/>
      <c r="C636" s="167"/>
      <c r="D636" s="147"/>
      <c r="E636" s="147"/>
      <c r="F636" s="147"/>
      <c r="G636" s="147"/>
      <c r="H636" s="147"/>
      <c r="I636" s="147"/>
      <c r="J636" s="147"/>
      <c r="K636" s="3"/>
      <c r="L636" s="3"/>
      <c r="M636" s="3"/>
      <c r="N636" s="3"/>
      <c r="O636" s="3"/>
      <c r="P636" s="3"/>
      <c r="Q636" s="3"/>
      <c r="R636" s="3"/>
      <c r="S636" s="3"/>
      <c r="T636" s="3"/>
      <c r="U636" s="3"/>
      <c r="V636" s="3"/>
      <c r="W636" s="3"/>
      <c r="X636" s="3"/>
      <c r="Y636" s="3"/>
      <c r="Z636" s="3"/>
    </row>
    <row r="637" spans="1:26" ht="22.5" customHeight="1" x14ac:dyDescent="0.85">
      <c r="A637" s="166"/>
      <c r="B637" s="167"/>
      <c r="C637" s="167"/>
      <c r="D637" s="147"/>
      <c r="E637" s="147"/>
      <c r="F637" s="147"/>
      <c r="G637" s="147"/>
      <c r="H637" s="147"/>
      <c r="I637" s="147"/>
      <c r="J637" s="147"/>
      <c r="K637" s="3"/>
      <c r="L637" s="3"/>
      <c r="M637" s="3"/>
      <c r="N637" s="3"/>
      <c r="O637" s="3"/>
      <c r="P637" s="3"/>
      <c r="Q637" s="3"/>
      <c r="R637" s="3"/>
      <c r="S637" s="3"/>
      <c r="T637" s="3"/>
      <c r="U637" s="3"/>
      <c r="V637" s="3"/>
      <c r="W637" s="3"/>
      <c r="X637" s="3"/>
      <c r="Y637" s="3"/>
      <c r="Z637" s="3"/>
    </row>
    <row r="638" spans="1:26" ht="22.5" customHeight="1" x14ac:dyDescent="0.85">
      <c r="A638" s="166"/>
      <c r="B638" s="167"/>
      <c r="C638" s="167"/>
      <c r="D638" s="147"/>
      <c r="E638" s="147"/>
      <c r="F638" s="147"/>
      <c r="G638" s="147"/>
      <c r="H638" s="147"/>
      <c r="I638" s="147"/>
      <c r="J638" s="147"/>
      <c r="K638" s="3"/>
      <c r="L638" s="3"/>
      <c r="M638" s="3"/>
      <c r="N638" s="3"/>
      <c r="O638" s="3"/>
      <c r="P638" s="3"/>
      <c r="Q638" s="3"/>
      <c r="R638" s="3"/>
      <c r="S638" s="3"/>
      <c r="T638" s="3"/>
      <c r="U638" s="3"/>
      <c r="V638" s="3"/>
      <c r="W638" s="3"/>
      <c r="X638" s="3"/>
      <c r="Y638" s="3"/>
      <c r="Z638" s="3"/>
    </row>
    <row r="639" spans="1:26" ht="22.5" customHeight="1" x14ac:dyDescent="0.85">
      <c r="A639" s="166"/>
      <c r="B639" s="167"/>
      <c r="C639" s="167"/>
      <c r="D639" s="147"/>
      <c r="E639" s="147"/>
      <c r="F639" s="147"/>
      <c r="G639" s="147"/>
      <c r="H639" s="147"/>
      <c r="I639" s="147"/>
      <c r="J639" s="147"/>
      <c r="K639" s="3"/>
      <c r="L639" s="3"/>
      <c r="M639" s="3"/>
      <c r="N639" s="3"/>
      <c r="O639" s="3"/>
      <c r="P639" s="3"/>
      <c r="Q639" s="3"/>
      <c r="R639" s="3"/>
      <c r="S639" s="3"/>
      <c r="T639" s="3"/>
      <c r="U639" s="3"/>
      <c r="V639" s="3"/>
      <c r="W639" s="3"/>
      <c r="X639" s="3"/>
      <c r="Y639" s="3"/>
      <c r="Z639" s="3"/>
    </row>
    <row r="640" spans="1:26" ht="22.5" customHeight="1" x14ac:dyDescent="0.85">
      <c r="A640" s="166"/>
      <c r="B640" s="167"/>
      <c r="C640" s="167"/>
      <c r="D640" s="147"/>
      <c r="E640" s="147"/>
      <c r="F640" s="147"/>
      <c r="G640" s="147"/>
      <c r="H640" s="147"/>
      <c r="I640" s="147"/>
      <c r="J640" s="147"/>
      <c r="K640" s="3"/>
      <c r="L640" s="3"/>
      <c r="M640" s="3"/>
      <c r="N640" s="3"/>
      <c r="O640" s="3"/>
      <c r="P640" s="3"/>
      <c r="Q640" s="3"/>
      <c r="R640" s="3"/>
      <c r="S640" s="3"/>
      <c r="T640" s="3"/>
      <c r="U640" s="3"/>
      <c r="V640" s="3"/>
      <c r="W640" s="3"/>
      <c r="X640" s="3"/>
      <c r="Y640" s="3"/>
      <c r="Z640" s="3"/>
    </row>
    <row r="641" spans="1:26" ht="22.5" customHeight="1" x14ac:dyDescent="0.85">
      <c r="A641" s="166"/>
      <c r="B641" s="167"/>
      <c r="C641" s="167"/>
      <c r="D641" s="147"/>
      <c r="E641" s="147"/>
      <c r="F641" s="147"/>
      <c r="G641" s="147"/>
      <c r="H641" s="147"/>
      <c r="I641" s="147"/>
      <c r="J641" s="147"/>
      <c r="K641" s="3"/>
      <c r="L641" s="3"/>
      <c r="M641" s="3"/>
      <c r="N641" s="3"/>
      <c r="O641" s="3"/>
      <c r="P641" s="3"/>
      <c r="Q641" s="3"/>
      <c r="R641" s="3"/>
      <c r="S641" s="3"/>
      <c r="T641" s="3"/>
      <c r="U641" s="3"/>
      <c r="V641" s="3"/>
      <c r="W641" s="3"/>
      <c r="X641" s="3"/>
      <c r="Y641" s="3"/>
      <c r="Z641" s="3"/>
    </row>
    <row r="642" spans="1:26" ht="22.5" customHeight="1" x14ac:dyDescent="0.85">
      <c r="A642" s="166"/>
      <c r="B642" s="167"/>
      <c r="C642" s="167"/>
      <c r="D642" s="147"/>
      <c r="E642" s="147"/>
      <c r="F642" s="147"/>
      <c r="G642" s="147"/>
      <c r="H642" s="147"/>
      <c r="I642" s="147"/>
      <c r="J642" s="147"/>
      <c r="K642" s="3"/>
      <c r="L642" s="3"/>
      <c r="M642" s="3"/>
      <c r="N642" s="3"/>
      <c r="O642" s="3"/>
      <c r="P642" s="3"/>
      <c r="Q642" s="3"/>
      <c r="R642" s="3"/>
      <c r="S642" s="3"/>
      <c r="T642" s="3"/>
      <c r="U642" s="3"/>
      <c r="V642" s="3"/>
      <c r="W642" s="3"/>
      <c r="X642" s="3"/>
      <c r="Y642" s="3"/>
      <c r="Z642" s="3"/>
    </row>
    <row r="643" spans="1:26" ht="22.5" customHeight="1" x14ac:dyDescent="0.85">
      <c r="A643" s="166"/>
      <c r="B643" s="167"/>
      <c r="C643" s="167"/>
      <c r="D643" s="147"/>
      <c r="E643" s="147"/>
      <c r="F643" s="147"/>
      <c r="G643" s="147"/>
      <c r="H643" s="147"/>
      <c r="I643" s="147"/>
      <c r="J643" s="147"/>
      <c r="K643" s="3"/>
      <c r="L643" s="3"/>
      <c r="M643" s="3"/>
      <c r="N643" s="3"/>
      <c r="O643" s="3"/>
      <c r="P643" s="3"/>
      <c r="Q643" s="3"/>
      <c r="R643" s="3"/>
      <c r="S643" s="3"/>
      <c r="T643" s="3"/>
      <c r="U643" s="3"/>
      <c r="V643" s="3"/>
      <c r="W643" s="3"/>
      <c r="X643" s="3"/>
      <c r="Y643" s="3"/>
      <c r="Z643" s="3"/>
    </row>
    <row r="644" spans="1:26" ht="22.5" customHeight="1" x14ac:dyDescent="0.85">
      <c r="A644" s="166"/>
      <c r="B644" s="167"/>
      <c r="C644" s="167"/>
      <c r="D644" s="147"/>
      <c r="E644" s="147"/>
      <c r="F644" s="147"/>
      <c r="G644" s="147"/>
      <c r="H644" s="147"/>
      <c r="I644" s="147"/>
      <c r="J644" s="147"/>
      <c r="K644" s="3"/>
      <c r="L644" s="3"/>
      <c r="M644" s="3"/>
      <c r="N644" s="3"/>
      <c r="O644" s="3"/>
      <c r="P644" s="3"/>
      <c r="Q644" s="3"/>
      <c r="R644" s="3"/>
      <c r="S644" s="3"/>
      <c r="T644" s="3"/>
      <c r="U644" s="3"/>
      <c r="V644" s="3"/>
      <c r="W644" s="3"/>
      <c r="X644" s="3"/>
      <c r="Y644" s="3"/>
      <c r="Z644" s="3"/>
    </row>
    <row r="645" spans="1:26" ht="22.5" customHeight="1" x14ac:dyDescent="0.85">
      <c r="A645" s="166"/>
      <c r="B645" s="167"/>
      <c r="C645" s="167"/>
      <c r="D645" s="147"/>
      <c r="E645" s="147"/>
      <c r="F645" s="147"/>
      <c r="G645" s="147"/>
      <c r="H645" s="147"/>
      <c r="I645" s="147"/>
      <c r="J645" s="147"/>
      <c r="K645" s="3"/>
      <c r="L645" s="3"/>
      <c r="M645" s="3"/>
      <c r="N645" s="3"/>
      <c r="O645" s="3"/>
      <c r="P645" s="3"/>
      <c r="Q645" s="3"/>
      <c r="R645" s="3"/>
      <c r="S645" s="3"/>
      <c r="T645" s="3"/>
      <c r="U645" s="3"/>
      <c r="V645" s="3"/>
      <c r="W645" s="3"/>
      <c r="X645" s="3"/>
      <c r="Y645" s="3"/>
      <c r="Z645" s="3"/>
    </row>
    <row r="646" spans="1:26" ht="22.5" customHeight="1" x14ac:dyDescent="0.85">
      <c r="A646" s="166"/>
      <c r="B646" s="167"/>
      <c r="C646" s="167"/>
      <c r="D646" s="147"/>
      <c r="E646" s="147"/>
      <c r="F646" s="147"/>
      <c r="G646" s="147"/>
      <c r="H646" s="147"/>
      <c r="I646" s="147"/>
      <c r="J646" s="147"/>
      <c r="K646" s="3"/>
      <c r="L646" s="3"/>
      <c r="M646" s="3"/>
      <c r="N646" s="3"/>
      <c r="O646" s="3"/>
      <c r="P646" s="3"/>
      <c r="Q646" s="3"/>
      <c r="R646" s="3"/>
      <c r="S646" s="3"/>
      <c r="T646" s="3"/>
      <c r="U646" s="3"/>
      <c r="V646" s="3"/>
      <c r="W646" s="3"/>
      <c r="X646" s="3"/>
      <c r="Y646" s="3"/>
      <c r="Z646" s="3"/>
    </row>
    <row r="647" spans="1:26" ht="22.5" customHeight="1" x14ac:dyDescent="0.85">
      <c r="A647" s="166"/>
      <c r="B647" s="167"/>
      <c r="C647" s="167"/>
      <c r="D647" s="147"/>
      <c r="E647" s="147"/>
      <c r="F647" s="147"/>
      <c r="G647" s="147"/>
      <c r="H647" s="147"/>
      <c r="I647" s="147"/>
      <c r="J647" s="147"/>
      <c r="K647" s="3"/>
      <c r="L647" s="3"/>
      <c r="M647" s="3"/>
      <c r="N647" s="3"/>
      <c r="O647" s="3"/>
      <c r="P647" s="3"/>
      <c r="Q647" s="3"/>
      <c r="R647" s="3"/>
      <c r="S647" s="3"/>
      <c r="T647" s="3"/>
      <c r="U647" s="3"/>
      <c r="V647" s="3"/>
      <c r="W647" s="3"/>
      <c r="X647" s="3"/>
      <c r="Y647" s="3"/>
      <c r="Z647" s="3"/>
    </row>
    <row r="648" spans="1:26" ht="22.5" customHeight="1" x14ac:dyDescent="0.85">
      <c r="A648" s="166"/>
      <c r="B648" s="167"/>
      <c r="C648" s="167"/>
      <c r="D648" s="147"/>
      <c r="E648" s="147"/>
      <c r="F648" s="147"/>
      <c r="G648" s="147"/>
      <c r="H648" s="147"/>
      <c r="I648" s="147"/>
      <c r="J648" s="147"/>
      <c r="K648" s="3"/>
      <c r="L648" s="3"/>
      <c r="M648" s="3"/>
      <c r="N648" s="3"/>
      <c r="O648" s="3"/>
      <c r="P648" s="3"/>
      <c r="Q648" s="3"/>
      <c r="R648" s="3"/>
      <c r="S648" s="3"/>
      <c r="T648" s="3"/>
      <c r="U648" s="3"/>
      <c r="V648" s="3"/>
      <c r="W648" s="3"/>
      <c r="X648" s="3"/>
      <c r="Y648" s="3"/>
      <c r="Z648" s="3"/>
    </row>
    <row r="649" spans="1:26" ht="22.5" customHeight="1" x14ac:dyDescent="0.85">
      <c r="A649" s="166"/>
      <c r="B649" s="167"/>
      <c r="C649" s="167"/>
      <c r="D649" s="147"/>
      <c r="E649" s="147"/>
      <c r="F649" s="147"/>
      <c r="G649" s="147"/>
      <c r="H649" s="147"/>
      <c r="I649" s="147"/>
      <c r="J649" s="147"/>
      <c r="K649" s="3"/>
      <c r="L649" s="3"/>
      <c r="M649" s="3"/>
      <c r="N649" s="3"/>
      <c r="O649" s="3"/>
      <c r="P649" s="3"/>
      <c r="Q649" s="3"/>
      <c r="R649" s="3"/>
      <c r="S649" s="3"/>
      <c r="T649" s="3"/>
      <c r="U649" s="3"/>
      <c r="V649" s="3"/>
      <c r="W649" s="3"/>
      <c r="X649" s="3"/>
      <c r="Y649" s="3"/>
      <c r="Z649" s="3"/>
    </row>
    <row r="650" spans="1:26" ht="22.5" customHeight="1" x14ac:dyDescent="0.85">
      <c r="A650" s="166"/>
      <c r="B650" s="167"/>
      <c r="C650" s="167"/>
      <c r="D650" s="147"/>
      <c r="E650" s="147"/>
      <c r="F650" s="147"/>
      <c r="G650" s="147"/>
      <c r="H650" s="147"/>
      <c r="I650" s="147"/>
      <c r="J650" s="147"/>
      <c r="K650" s="3"/>
      <c r="L650" s="3"/>
      <c r="M650" s="3"/>
      <c r="N650" s="3"/>
      <c r="O650" s="3"/>
      <c r="P650" s="3"/>
      <c r="Q650" s="3"/>
      <c r="R650" s="3"/>
      <c r="S650" s="3"/>
      <c r="T650" s="3"/>
      <c r="U650" s="3"/>
      <c r="V650" s="3"/>
      <c r="W650" s="3"/>
      <c r="X650" s="3"/>
      <c r="Y650" s="3"/>
      <c r="Z650" s="3"/>
    </row>
    <row r="651" spans="1:26" ht="22.5" customHeight="1" x14ac:dyDescent="0.85">
      <c r="A651" s="166"/>
      <c r="B651" s="167"/>
      <c r="C651" s="167"/>
      <c r="D651" s="147"/>
      <c r="E651" s="147"/>
      <c r="F651" s="147"/>
      <c r="G651" s="147"/>
      <c r="H651" s="147"/>
      <c r="I651" s="147"/>
      <c r="J651" s="147"/>
      <c r="K651" s="3"/>
      <c r="L651" s="3"/>
      <c r="M651" s="3"/>
      <c r="N651" s="3"/>
      <c r="O651" s="3"/>
      <c r="P651" s="3"/>
      <c r="Q651" s="3"/>
      <c r="R651" s="3"/>
      <c r="S651" s="3"/>
      <c r="T651" s="3"/>
      <c r="U651" s="3"/>
      <c r="V651" s="3"/>
      <c r="W651" s="3"/>
      <c r="X651" s="3"/>
      <c r="Y651" s="3"/>
      <c r="Z651" s="3"/>
    </row>
    <row r="652" spans="1:26" ht="22.5" customHeight="1" x14ac:dyDescent="0.85">
      <c r="A652" s="166"/>
      <c r="B652" s="167"/>
      <c r="C652" s="167"/>
      <c r="D652" s="147"/>
      <c r="E652" s="147"/>
      <c r="F652" s="147"/>
      <c r="G652" s="147"/>
      <c r="H652" s="147"/>
      <c r="I652" s="147"/>
      <c r="J652" s="147"/>
      <c r="K652" s="3"/>
      <c r="L652" s="3"/>
      <c r="M652" s="3"/>
      <c r="N652" s="3"/>
      <c r="O652" s="3"/>
      <c r="P652" s="3"/>
      <c r="Q652" s="3"/>
      <c r="R652" s="3"/>
      <c r="S652" s="3"/>
      <c r="T652" s="3"/>
      <c r="U652" s="3"/>
      <c r="V652" s="3"/>
      <c r="W652" s="3"/>
      <c r="X652" s="3"/>
      <c r="Y652" s="3"/>
      <c r="Z652" s="3"/>
    </row>
    <row r="653" spans="1:26" ht="22.5" customHeight="1" x14ac:dyDescent="0.85">
      <c r="A653" s="166"/>
      <c r="B653" s="167"/>
      <c r="C653" s="167"/>
      <c r="D653" s="147"/>
      <c r="E653" s="147"/>
      <c r="F653" s="147"/>
      <c r="G653" s="147"/>
      <c r="H653" s="147"/>
      <c r="I653" s="147"/>
      <c r="J653" s="147"/>
      <c r="K653" s="3"/>
      <c r="L653" s="3"/>
      <c r="M653" s="3"/>
      <c r="N653" s="3"/>
      <c r="O653" s="3"/>
      <c r="P653" s="3"/>
      <c r="Q653" s="3"/>
      <c r="R653" s="3"/>
      <c r="S653" s="3"/>
      <c r="T653" s="3"/>
      <c r="U653" s="3"/>
      <c r="V653" s="3"/>
      <c r="W653" s="3"/>
      <c r="X653" s="3"/>
      <c r="Y653" s="3"/>
      <c r="Z653" s="3"/>
    </row>
    <row r="654" spans="1:26" ht="22.5" customHeight="1" x14ac:dyDescent="0.85">
      <c r="A654" s="166"/>
      <c r="B654" s="167"/>
      <c r="C654" s="167"/>
      <c r="D654" s="147"/>
      <c r="E654" s="147"/>
      <c r="F654" s="147"/>
      <c r="G654" s="147"/>
      <c r="H654" s="147"/>
      <c r="I654" s="147"/>
      <c r="J654" s="147"/>
      <c r="K654" s="3"/>
      <c r="L654" s="3"/>
      <c r="M654" s="3"/>
      <c r="N654" s="3"/>
      <c r="O654" s="3"/>
      <c r="P654" s="3"/>
      <c r="Q654" s="3"/>
      <c r="R654" s="3"/>
      <c r="S654" s="3"/>
      <c r="T654" s="3"/>
      <c r="U654" s="3"/>
      <c r="V654" s="3"/>
      <c r="W654" s="3"/>
      <c r="X654" s="3"/>
      <c r="Y654" s="3"/>
      <c r="Z654" s="3"/>
    </row>
    <row r="655" spans="1:26" ht="22.5" customHeight="1" x14ac:dyDescent="0.85">
      <c r="A655" s="166"/>
      <c r="B655" s="167"/>
      <c r="C655" s="167"/>
      <c r="D655" s="147"/>
      <c r="E655" s="147"/>
      <c r="F655" s="147"/>
      <c r="G655" s="147"/>
      <c r="H655" s="147"/>
      <c r="I655" s="147"/>
      <c r="J655" s="147"/>
      <c r="K655" s="3"/>
      <c r="L655" s="3"/>
      <c r="M655" s="3"/>
      <c r="N655" s="3"/>
      <c r="O655" s="3"/>
      <c r="P655" s="3"/>
      <c r="Q655" s="3"/>
      <c r="R655" s="3"/>
      <c r="S655" s="3"/>
      <c r="T655" s="3"/>
      <c r="U655" s="3"/>
      <c r="V655" s="3"/>
      <c r="W655" s="3"/>
      <c r="X655" s="3"/>
      <c r="Y655" s="3"/>
      <c r="Z655" s="3"/>
    </row>
    <row r="656" spans="1:26" ht="22.5" customHeight="1" x14ac:dyDescent="0.85">
      <c r="A656" s="166"/>
      <c r="B656" s="167"/>
      <c r="C656" s="167"/>
      <c r="D656" s="147"/>
      <c r="E656" s="147"/>
      <c r="F656" s="147"/>
      <c r="G656" s="147"/>
      <c r="H656" s="147"/>
      <c r="I656" s="147"/>
      <c r="J656" s="147"/>
      <c r="K656" s="3"/>
      <c r="L656" s="3"/>
      <c r="M656" s="3"/>
      <c r="N656" s="3"/>
      <c r="O656" s="3"/>
      <c r="P656" s="3"/>
      <c r="Q656" s="3"/>
      <c r="R656" s="3"/>
      <c r="S656" s="3"/>
      <c r="T656" s="3"/>
      <c r="U656" s="3"/>
      <c r="V656" s="3"/>
      <c r="W656" s="3"/>
      <c r="X656" s="3"/>
      <c r="Y656" s="3"/>
      <c r="Z656" s="3"/>
    </row>
    <row r="657" spans="1:26" ht="22.5" customHeight="1" x14ac:dyDescent="0.85">
      <c r="A657" s="166"/>
      <c r="B657" s="167"/>
      <c r="C657" s="167"/>
      <c r="D657" s="147"/>
      <c r="E657" s="147"/>
      <c r="F657" s="147"/>
      <c r="G657" s="147"/>
      <c r="H657" s="147"/>
      <c r="I657" s="147"/>
      <c r="J657" s="147"/>
      <c r="K657" s="3"/>
      <c r="L657" s="3"/>
      <c r="M657" s="3"/>
      <c r="N657" s="3"/>
      <c r="O657" s="3"/>
      <c r="P657" s="3"/>
      <c r="Q657" s="3"/>
      <c r="R657" s="3"/>
      <c r="S657" s="3"/>
      <c r="T657" s="3"/>
      <c r="U657" s="3"/>
      <c r="V657" s="3"/>
      <c r="W657" s="3"/>
      <c r="X657" s="3"/>
      <c r="Y657" s="3"/>
      <c r="Z657" s="3"/>
    </row>
    <row r="658" spans="1:26" ht="22.5" customHeight="1" x14ac:dyDescent="0.85">
      <c r="A658" s="166"/>
      <c r="B658" s="167"/>
      <c r="C658" s="167"/>
      <c r="D658" s="147"/>
      <c r="E658" s="147"/>
      <c r="F658" s="147"/>
      <c r="G658" s="147"/>
      <c r="H658" s="147"/>
      <c r="I658" s="147"/>
      <c r="J658" s="147"/>
      <c r="K658" s="3"/>
      <c r="L658" s="3"/>
      <c r="M658" s="3"/>
      <c r="N658" s="3"/>
      <c r="O658" s="3"/>
      <c r="P658" s="3"/>
      <c r="Q658" s="3"/>
      <c r="R658" s="3"/>
      <c r="S658" s="3"/>
      <c r="T658" s="3"/>
      <c r="U658" s="3"/>
      <c r="V658" s="3"/>
      <c r="W658" s="3"/>
      <c r="X658" s="3"/>
      <c r="Y658" s="3"/>
      <c r="Z658" s="3"/>
    </row>
    <row r="659" spans="1:26" ht="22.5" customHeight="1" x14ac:dyDescent="0.85">
      <c r="A659" s="166"/>
      <c r="B659" s="167"/>
      <c r="C659" s="167"/>
      <c r="D659" s="147"/>
      <c r="E659" s="147"/>
      <c r="F659" s="147"/>
      <c r="G659" s="147"/>
      <c r="H659" s="147"/>
      <c r="I659" s="147"/>
      <c r="J659" s="147"/>
      <c r="K659" s="3"/>
      <c r="L659" s="3"/>
      <c r="M659" s="3"/>
      <c r="N659" s="3"/>
      <c r="O659" s="3"/>
      <c r="P659" s="3"/>
      <c r="Q659" s="3"/>
      <c r="R659" s="3"/>
      <c r="S659" s="3"/>
      <c r="T659" s="3"/>
      <c r="U659" s="3"/>
      <c r="V659" s="3"/>
      <c r="W659" s="3"/>
      <c r="X659" s="3"/>
      <c r="Y659" s="3"/>
      <c r="Z659" s="3"/>
    </row>
    <row r="660" spans="1:26" ht="22.5" customHeight="1" x14ac:dyDescent="0.85">
      <c r="A660" s="166"/>
      <c r="B660" s="167"/>
      <c r="C660" s="167"/>
      <c r="D660" s="147"/>
      <c r="E660" s="147"/>
      <c r="F660" s="147"/>
      <c r="G660" s="147"/>
      <c r="H660" s="147"/>
      <c r="I660" s="147"/>
      <c r="J660" s="147"/>
      <c r="K660" s="3"/>
      <c r="L660" s="3"/>
      <c r="M660" s="3"/>
      <c r="N660" s="3"/>
      <c r="O660" s="3"/>
      <c r="P660" s="3"/>
      <c r="Q660" s="3"/>
      <c r="R660" s="3"/>
      <c r="S660" s="3"/>
      <c r="T660" s="3"/>
      <c r="U660" s="3"/>
      <c r="V660" s="3"/>
      <c r="W660" s="3"/>
      <c r="X660" s="3"/>
      <c r="Y660" s="3"/>
      <c r="Z660" s="3"/>
    </row>
    <row r="661" spans="1:26" ht="22.5" customHeight="1" x14ac:dyDescent="0.85">
      <c r="A661" s="166"/>
      <c r="B661" s="167"/>
      <c r="C661" s="167"/>
      <c r="D661" s="147"/>
      <c r="E661" s="147"/>
      <c r="F661" s="147"/>
      <c r="G661" s="147"/>
      <c r="H661" s="147"/>
      <c r="I661" s="147"/>
      <c r="J661" s="147"/>
      <c r="K661" s="3"/>
      <c r="L661" s="3"/>
      <c r="M661" s="3"/>
      <c r="N661" s="3"/>
      <c r="O661" s="3"/>
      <c r="P661" s="3"/>
      <c r="Q661" s="3"/>
      <c r="R661" s="3"/>
      <c r="S661" s="3"/>
      <c r="T661" s="3"/>
      <c r="U661" s="3"/>
      <c r="V661" s="3"/>
      <c r="W661" s="3"/>
      <c r="X661" s="3"/>
      <c r="Y661" s="3"/>
      <c r="Z661" s="3"/>
    </row>
    <row r="662" spans="1:26" ht="22.5" customHeight="1" x14ac:dyDescent="0.85">
      <c r="A662" s="166"/>
      <c r="B662" s="167"/>
      <c r="C662" s="167"/>
      <c r="D662" s="147"/>
      <c r="E662" s="147"/>
      <c r="F662" s="147"/>
      <c r="G662" s="147"/>
      <c r="H662" s="147"/>
      <c r="I662" s="147"/>
      <c r="J662" s="147"/>
      <c r="K662" s="3"/>
      <c r="L662" s="3"/>
      <c r="M662" s="3"/>
      <c r="N662" s="3"/>
      <c r="O662" s="3"/>
      <c r="P662" s="3"/>
      <c r="Q662" s="3"/>
      <c r="R662" s="3"/>
      <c r="S662" s="3"/>
      <c r="T662" s="3"/>
      <c r="U662" s="3"/>
      <c r="V662" s="3"/>
      <c r="W662" s="3"/>
      <c r="X662" s="3"/>
      <c r="Y662" s="3"/>
      <c r="Z662" s="3"/>
    </row>
    <row r="663" spans="1:26" ht="22.5" customHeight="1" x14ac:dyDescent="0.85">
      <c r="A663" s="166"/>
      <c r="B663" s="167"/>
      <c r="C663" s="167"/>
      <c r="D663" s="147"/>
      <c r="E663" s="147"/>
      <c r="F663" s="147"/>
      <c r="G663" s="147"/>
      <c r="H663" s="147"/>
      <c r="I663" s="147"/>
      <c r="J663" s="147"/>
      <c r="K663" s="3"/>
      <c r="L663" s="3"/>
      <c r="M663" s="3"/>
      <c r="N663" s="3"/>
      <c r="O663" s="3"/>
      <c r="P663" s="3"/>
      <c r="Q663" s="3"/>
      <c r="R663" s="3"/>
      <c r="S663" s="3"/>
      <c r="T663" s="3"/>
      <c r="U663" s="3"/>
      <c r="V663" s="3"/>
      <c r="W663" s="3"/>
      <c r="X663" s="3"/>
      <c r="Y663" s="3"/>
      <c r="Z663" s="3"/>
    </row>
    <row r="664" spans="1:26" ht="22.5" customHeight="1" x14ac:dyDescent="0.85">
      <c r="A664" s="166"/>
      <c r="B664" s="167"/>
      <c r="C664" s="167"/>
      <c r="D664" s="147"/>
      <c r="E664" s="147"/>
      <c r="F664" s="147"/>
      <c r="G664" s="147"/>
      <c r="H664" s="147"/>
      <c r="I664" s="147"/>
      <c r="J664" s="147"/>
      <c r="K664" s="3"/>
      <c r="L664" s="3"/>
      <c r="M664" s="3"/>
      <c r="N664" s="3"/>
      <c r="O664" s="3"/>
      <c r="P664" s="3"/>
      <c r="Q664" s="3"/>
      <c r="R664" s="3"/>
      <c r="S664" s="3"/>
      <c r="T664" s="3"/>
      <c r="U664" s="3"/>
      <c r="V664" s="3"/>
      <c r="W664" s="3"/>
      <c r="X664" s="3"/>
      <c r="Y664" s="3"/>
      <c r="Z664" s="3"/>
    </row>
    <row r="665" spans="1:26" ht="22.5" customHeight="1" x14ac:dyDescent="0.85">
      <c r="A665" s="166"/>
      <c r="B665" s="167"/>
      <c r="C665" s="167"/>
      <c r="D665" s="147"/>
      <c r="E665" s="147"/>
      <c r="F665" s="147"/>
      <c r="G665" s="147"/>
      <c r="H665" s="147"/>
      <c r="I665" s="147"/>
      <c r="J665" s="147"/>
      <c r="K665" s="3"/>
      <c r="L665" s="3"/>
      <c r="M665" s="3"/>
      <c r="N665" s="3"/>
      <c r="O665" s="3"/>
      <c r="P665" s="3"/>
      <c r="Q665" s="3"/>
      <c r="R665" s="3"/>
      <c r="S665" s="3"/>
      <c r="T665" s="3"/>
      <c r="U665" s="3"/>
      <c r="V665" s="3"/>
      <c r="W665" s="3"/>
      <c r="X665" s="3"/>
      <c r="Y665" s="3"/>
      <c r="Z665" s="3"/>
    </row>
    <row r="666" spans="1:26" ht="22.5" customHeight="1" x14ac:dyDescent="0.85">
      <c r="A666" s="166"/>
      <c r="B666" s="167"/>
      <c r="C666" s="167"/>
      <c r="D666" s="147"/>
      <c r="E666" s="147"/>
      <c r="F666" s="147"/>
      <c r="G666" s="147"/>
      <c r="H666" s="147"/>
      <c r="I666" s="147"/>
      <c r="J666" s="147"/>
      <c r="K666" s="3"/>
      <c r="L666" s="3"/>
      <c r="M666" s="3"/>
      <c r="N666" s="3"/>
      <c r="O666" s="3"/>
      <c r="P666" s="3"/>
      <c r="Q666" s="3"/>
      <c r="R666" s="3"/>
      <c r="S666" s="3"/>
      <c r="T666" s="3"/>
      <c r="U666" s="3"/>
      <c r="V666" s="3"/>
      <c r="W666" s="3"/>
      <c r="X666" s="3"/>
      <c r="Y666" s="3"/>
      <c r="Z666" s="3"/>
    </row>
    <row r="667" spans="1:26" ht="22.5" customHeight="1" x14ac:dyDescent="0.85">
      <c r="A667" s="166"/>
      <c r="B667" s="167"/>
      <c r="C667" s="167"/>
      <c r="D667" s="147"/>
      <c r="E667" s="147"/>
      <c r="F667" s="147"/>
      <c r="G667" s="147"/>
      <c r="H667" s="147"/>
      <c r="I667" s="147"/>
      <c r="J667" s="147"/>
      <c r="K667" s="3"/>
      <c r="L667" s="3"/>
      <c r="M667" s="3"/>
      <c r="N667" s="3"/>
      <c r="O667" s="3"/>
      <c r="P667" s="3"/>
      <c r="Q667" s="3"/>
      <c r="R667" s="3"/>
      <c r="S667" s="3"/>
      <c r="T667" s="3"/>
      <c r="U667" s="3"/>
      <c r="V667" s="3"/>
      <c r="W667" s="3"/>
      <c r="X667" s="3"/>
      <c r="Y667" s="3"/>
      <c r="Z667" s="3"/>
    </row>
    <row r="668" spans="1:26" ht="22.5" customHeight="1" x14ac:dyDescent="0.85">
      <c r="A668" s="166"/>
      <c r="B668" s="167"/>
      <c r="C668" s="167"/>
      <c r="D668" s="147"/>
      <c r="E668" s="147"/>
      <c r="F668" s="147"/>
      <c r="G668" s="147"/>
      <c r="H668" s="147"/>
      <c r="I668" s="147"/>
      <c r="J668" s="147"/>
      <c r="K668" s="3"/>
      <c r="L668" s="3"/>
      <c r="M668" s="3"/>
      <c r="N668" s="3"/>
      <c r="O668" s="3"/>
      <c r="P668" s="3"/>
      <c r="Q668" s="3"/>
      <c r="R668" s="3"/>
      <c r="S668" s="3"/>
      <c r="T668" s="3"/>
      <c r="U668" s="3"/>
      <c r="V668" s="3"/>
      <c r="W668" s="3"/>
      <c r="X668" s="3"/>
      <c r="Y668" s="3"/>
      <c r="Z668" s="3"/>
    </row>
    <row r="669" spans="1:26" ht="22.5" customHeight="1" x14ac:dyDescent="0.85">
      <c r="A669" s="166"/>
      <c r="B669" s="167"/>
      <c r="C669" s="167"/>
      <c r="D669" s="147"/>
      <c r="E669" s="147"/>
      <c r="F669" s="147"/>
      <c r="G669" s="147"/>
      <c r="H669" s="147"/>
      <c r="I669" s="147"/>
      <c r="J669" s="147"/>
      <c r="K669" s="3"/>
      <c r="L669" s="3"/>
      <c r="M669" s="3"/>
      <c r="N669" s="3"/>
      <c r="O669" s="3"/>
      <c r="P669" s="3"/>
      <c r="Q669" s="3"/>
      <c r="R669" s="3"/>
      <c r="S669" s="3"/>
      <c r="T669" s="3"/>
      <c r="U669" s="3"/>
      <c r="V669" s="3"/>
      <c r="W669" s="3"/>
      <c r="X669" s="3"/>
      <c r="Y669" s="3"/>
      <c r="Z669" s="3"/>
    </row>
    <row r="670" spans="1:26" ht="22.5" customHeight="1" x14ac:dyDescent="0.85">
      <c r="A670" s="166"/>
      <c r="B670" s="167"/>
      <c r="C670" s="167"/>
      <c r="D670" s="147"/>
      <c r="E670" s="147"/>
      <c r="F670" s="147"/>
      <c r="G670" s="147"/>
      <c r="H670" s="147"/>
      <c r="I670" s="147"/>
      <c r="J670" s="147"/>
      <c r="K670" s="3"/>
      <c r="L670" s="3"/>
      <c r="M670" s="3"/>
      <c r="N670" s="3"/>
      <c r="O670" s="3"/>
      <c r="P670" s="3"/>
      <c r="Q670" s="3"/>
      <c r="R670" s="3"/>
      <c r="S670" s="3"/>
      <c r="T670" s="3"/>
      <c r="U670" s="3"/>
      <c r="V670" s="3"/>
      <c r="W670" s="3"/>
      <c r="X670" s="3"/>
      <c r="Y670" s="3"/>
      <c r="Z670" s="3"/>
    </row>
    <row r="671" spans="1:26" ht="22.5" customHeight="1" x14ac:dyDescent="0.85">
      <c r="A671" s="166"/>
      <c r="B671" s="167"/>
      <c r="C671" s="167"/>
      <c r="D671" s="147"/>
      <c r="E671" s="147"/>
      <c r="F671" s="147"/>
      <c r="G671" s="147"/>
      <c r="H671" s="147"/>
      <c r="I671" s="147"/>
      <c r="J671" s="147"/>
      <c r="K671" s="3"/>
      <c r="L671" s="3"/>
      <c r="M671" s="3"/>
      <c r="N671" s="3"/>
      <c r="O671" s="3"/>
      <c r="P671" s="3"/>
      <c r="Q671" s="3"/>
      <c r="R671" s="3"/>
      <c r="S671" s="3"/>
      <c r="T671" s="3"/>
      <c r="U671" s="3"/>
      <c r="V671" s="3"/>
      <c r="W671" s="3"/>
      <c r="X671" s="3"/>
      <c r="Y671" s="3"/>
      <c r="Z671" s="3"/>
    </row>
    <row r="672" spans="1:26" ht="22.5" customHeight="1" x14ac:dyDescent="0.85">
      <c r="A672" s="166"/>
      <c r="B672" s="167"/>
      <c r="C672" s="167"/>
      <c r="D672" s="147"/>
      <c r="E672" s="147"/>
      <c r="F672" s="147"/>
      <c r="G672" s="147"/>
      <c r="H672" s="147"/>
      <c r="I672" s="147"/>
      <c r="J672" s="147"/>
      <c r="K672" s="3"/>
      <c r="L672" s="3"/>
      <c r="M672" s="3"/>
      <c r="N672" s="3"/>
      <c r="O672" s="3"/>
      <c r="P672" s="3"/>
      <c r="Q672" s="3"/>
      <c r="R672" s="3"/>
      <c r="S672" s="3"/>
      <c r="T672" s="3"/>
      <c r="U672" s="3"/>
      <c r="V672" s="3"/>
      <c r="W672" s="3"/>
      <c r="X672" s="3"/>
      <c r="Y672" s="3"/>
      <c r="Z672" s="3"/>
    </row>
    <row r="673" spans="1:26" ht="22.5" customHeight="1" x14ac:dyDescent="0.85">
      <c r="A673" s="166"/>
      <c r="B673" s="167"/>
      <c r="C673" s="167"/>
      <c r="D673" s="147"/>
      <c r="E673" s="147"/>
      <c r="F673" s="147"/>
      <c r="G673" s="147"/>
      <c r="H673" s="147"/>
      <c r="I673" s="147"/>
      <c r="J673" s="147"/>
      <c r="K673" s="3"/>
      <c r="L673" s="3"/>
      <c r="M673" s="3"/>
      <c r="N673" s="3"/>
      <c r="O673" s="3"/>
      <c r="P673" s="3"/>
      <c r="Q673" s="3"/>
      <c r="R673" s="3"/>
      <c r="S673" s="3"/>
      <c r="T673" s="3"/>
      <c r="U673" s="3"/>
      <c r="V673" s="3"/>
      <c r="W673" s="3"/>
      <c r="X673" s="3"/>
      <c r="Y673" s="3"/>
      <c r="Z673" s="3"/>
    </row>
    <row r="674" spans="1:26" ht="22.5" customHeight="1" x14ac:dyDescent="0.85">
      <c r="A674" s="166"/>
      <c r="B674" s="167"/>
      <c r="C674" s="167"/>
      <c r="D674" s="147"/>
      <c r="E674" s="147"/>
      <c r="F674" s="147"/>
      <c r="G674" s="147"/>
      <c r="H674" s="147"/>
      <c r="I674" s="147"/>
      <c r="J674" s="147"/>
      <c r="K674" s="3"/>
      <c r="L674" s="3"/>
      <c r="M674" s="3"/>
      <c r="N674" s="3"/>
      <c r="O674" s="3"/>
      <c r="P674" s="3"/>
      <c r="Q674" s="3"/>
      <c r="R674" s="3"/>
      <c r="S674" s="3"/>
      <c r="T674" s="3"/>
      <c r="U674" s="3"/>
      <c r="V674" s="3"/>
      <c r="W674" s="3"/>
      <c r="X674" s="3"/>
      <c r="Y674" s="3"/>
      <c r="Z674" s="3"/>
    </row>
    <row r="675" spans="1:26" ht="22.5" customHeight="1" x14ac:dyDescent="0.85">
      <c r="A675" s="166"/>
      <c r="B675" s="167"/>
      <c r="C675" s="167"/>
      <c r="D675" s="147"/>
      <c r="E675" s="147"/>
      <c r="F675" s="147"/>
      <c r="G675" s="147"/>
      <c r="H675" s="147"/>
      <c r="I675" s="147"/>
      <c r="J675" s="147"/>
      <c r="K675" s="3"/>
      <c r="L675" s="3"/>
      <c r="M675" s="3"/>
      <c r="N675" s="3"/>
      <c r="O675" s="3"/>
      <c r="P675" s="3"/>
      <c r="Q675" s="3"/>
      <c r="R675" s="3"/>
      <c r="S675" s="3"/>
      <c r="T675" s="3"/>
      <c r="U675" s="3"/>
      <c r="V675" s="3"/>
      <c r="W675" s="3"/>
      <c r="X675" s="3"/>
      <c r="Y675" s="3"/>
      <c r="Z675" s="3"/>
    </row>
    <row r="676" spans="1:26" ht="22.5" customHeight="1" x14ac:dyDescent="0.85">
      <c r="A676" s="166"/>
      <c r="B676" s="167"/>
      <c r="C676" s="167"/>
      <c r="D676" s="147"/>
      <c r="E676" s="147"/>
      <c r="F676" s="147"/>
      <c r="G676" s="147"/>
      <c r="H676" s="147"/>
      <c r="I676" s="147"/>
      <c r="J676" s="147"/>
      <c r="K676" s="3"/>
      <c r="L676" s="3"/>
      <c r="M676" s="3"/>
      <c r="N676" s="3"/>
      <c r="O676" s="3"/>
      <c r="P676" s="3"/>
      <c r="Q676" s="3"/>
      <c r="R676" s="3"/>
      <c r="S676" s="3"/>
      <c r="T676" s="3"/>
      <c r="U676" s="3"/>
      <c r="V676" s="3"/>
      <c r="W676" s="3"/>
      <c r="X676" s="3"/>
      <c r="Y676" s="3"/>
      <c r="Z676" s="3"/>
    </row>
    <row r="677" spans="1:26" ht="22.5" customHeight="1" x14ac:dyDescent="0.85">
      <c r="A677" s="166"/>
      <c r="B677" s="167"/>
      <c r="C677" s="167"/>
      <c r="D677" s="147"/>
      <c r="E677" s="147"/>
      <c r="F677" s="147"/>
      <c r="G677" s="147"/>
      <c r="H677" s="147"/>
      <c r="I677" s="147"/>
      <c r="J677" s="147"/>
      <c r="K677" s="3"/>
      <c r="L677" s="3"/>
      <c r="M677" s="3"/>
      <c r="N677" s="3"/>
      <c r="O677" s="3"/>
      <c r="P677" s="3"/>
      <c r="Q677" s="3"/>
      <c r="R677" s="3"/>
      <c r="S677" s="3"/>
      <c r="T677" s="3"/>
      <c r="U677" s="3"/>
      <c r="V677" s="3"/>
      <c r="W677" s="3"/>
      <c r="X677" s="3"/>
      <c r="Y677" s="3"/>
      <c r="Z677" s="3"/>
    </row>
    <row r="678" spans="1:26" ht="22.5" customHeight="1" x14ac:dyDescent="0.85">
      <c r="A678" s="166"/>
      <c r="B678" s="167"/>
      <c r="C678" s="167"/>
      <c r="D678" s="147"/>
      <c r="E678" s="147"/>
      <c r="F678" s="147"/>
      <c r="G678" s="147"/>
      <c r="H678" s="147"/>
      <c r="I678" s="147"/>
      <c r="J678" s="147"/>
      <c r="K678" s="3"/>
      <c r="L678" s="3"/>
      <c r="M678" s="3"/>
      <c r="N678" s="3"/>
      <c r="O678" s="3"/>
      <c r="P678" s="3"/>
      <c r="Q678" s="3"/>
      <c r="R678" s="3"/>
      <c r="S678" s="3"/>
      <c r="T678" s="3"/>
      <c r="U678" s="3"/>
      <c r="V678" s="3"/>
      <c r="W678" s="3"/>
      <c r="X678" s="3"/>
      <c r="Y678" s="3"/>
      <c r="Z678" s="3"/>
    </row>
    <row r="679" spans="1:26" ht="22.5" customHeight="1" x14ac:dyDescent="0.85">
      <c r="A679" s="166"/>
      <c r="B679" s="167"/>
      <c r="C679" s="167"/>
      <c r="D679" s="147"/>
      <c r="E679" s="147"/>
      <c r="F679" s="147"/>
      <c r="G679" s="147"/>
      <c r="H679" s="147"/>
      <c r="I679" s="147"/>
      <c r="J679" s="147"/>
      <c r="K679" s="3"/>
      <c r="L679" s="3"/>
      <c r="M679" s="3"/>
      <c r="N679" s="3"/>
      <c r="O679" s="3"/>
      <c r="P679" s="3"/>
      <c r="Q679" s="3"/>
      <c r="R679" s="3"/>
      <c r="S679" s="3"/>
      <c r="T679" s="3"/>
      <c r="U679" s="3"/>
      <c r="V679" s="3"/>
      <c r="W679" s="3"/>
      <c r="X679" s="3"/>
      <c r="Y679" s="3"/>
      <c r="Z679" s="3"/>
    </row>
    <row r="680" spans="1:26" ht="22.5" customHeight="1" x14ac:dyDescent="0.85">
      <c r="A680" s="166"/>
      <c r="B680" s="167"/>
      <c r="C680" s="167"/>
      <c r="D680" s="147"/>
      <c r="E680" s="147"/>
      <c r="F680" s="147"/>
      <c r="G680" s="147"/>
      <c r="H680" s="147"/>
      <c r="I680" s="147"/>
      <c r="J680" s="147"/>
      <c r="K680" s="3"/>
      <c r="L680" s="3"/>
      <c r="M680" s="3"/>
      <c r="N680" s="3"/>
      <c r="O680" s="3"/>
      <c r="P680" s="3"/>
      <c r="Q680" s="3"/>
      <c r="R680" s="3"/>
      <c r="S680" s="3"/>
      <c r="T680" s="3"/>
      <c r="U680" s="3"/>
      <c r="V680" s="3"/>
      <c r="W680" s="3"/>
      <c r="X680" s="3"/>
      <c r="Y680" s="3"/>
      <c r="Z680" s="3"/>
    </row>
    <row r="681" spans="1:26" ht="22.5" customHeight="1" x14ac:dyDescent="0.85">
      <c r="A681" s="166"/>
      <c r="B681" s="167"/>
      <c r="C681" s="167"/>
      <c r="D681" s="147"/>
      <c r="E681" s="147"/>
      <c r="F681" s="147"/>
      <c r="G681" s="147"/>
      <c r="H681" s="147"/>
      <c r="I681" s="147"/>
      <c r="J681" s="147"/>
      <c r="K681" s="3"/>
      <c r="L681" s="3"/>
      <c r="M681" s="3"/>
      <c r="N681" s="3"/>
      <c r="O681" s="3"/>
      <c r="P681" s="3"/>
      <c r="Q681" s="3"/>
      <c r="R681" s="3"/>
      <c r="S681" s="3"/>
      <c r="T681" s="3"/>
      <c r="U681" s="3"/>
      <c r="V681" s="3"/>
      <c r="W681" s="3"/>
      <c r="X681" s="3"/>
      <c r="Y681" s="3"/>
      <c r="Z681" s="3"/>
    </row>
    <row r="682" spans="1:26" ht="22.5" customHeight="1" x14ac:dyDescent="0.85">
      <c r="A682" s="166"/>
      <c r="B682" s="167"/>
      <c r="C682" s="167"/>
      <c r="D682" s="147"/>
      <c r="E682" s="147"/>
      <c r="F682" s="147"/>
      <c r="G682" s="147"/>
      <c r="H682" s="147"/>
      <c r="I682" s="147"/>
      <c r="J682" s="147"/>
      <c r="K682" s="3"/>
      <c r="L682" s="3"/>
      <c r="M682" s="3"/>
      <c r="N682" s="3"/>
      <c r="O682" s="3"/>
      <c r="P682" s="3"/>
      <c r="Q682" s="3"/>
      <c r="R682" s="3"/>
      <c r="S682" s="3"/>
      <c r="T682" s="3"/>
      <c r="U682" s="3"/>
      <c r="V682" s="3"/>
      <c r="W682" s="3"/>
      <c r="X682" s="3"/>
      <c r="Y682" s="3"/>
      <c r="Z682" s="3"/>
    </row>
    <row r="683" spans="1:26" ht="22.5" customHeight="1" x14ac:dyDescent="0.85">
      <c r="A683" s="166"/>
      <c r="B683" s="167"/>
      <c r="C683" s="167"/>
      <c r="D683" s="147"/>
      <c r="E683" s="147"/>
      <c r="F683" s="147"/>
      <c r="G683" s="147"/>
      <c r="H683" s="147"/>
      <c r="I683" s="147"/>
      <c r="J683" s="147"/>
      <c r="K683" s="3"/>
      <c r="L683" s="3"/>
      <c r="M683" s="3"/>
      <c r="N683" s="3"/>
      <c r="O683" s="3"/>
      <c r="P683" s="3"/>
      <c r="Q683" s="3"/>
      <c r="R683" s="3"/>
      <c r="S683" s="3"/>
      <c r="T683" s="3"/>
      <c r="U683" s="3"/>
      <c r="V683" s="3"/>
      <c r="W683" s="3"/>
      <c r="X683" s="3"/>
      <c r="Y683" s="3"/>
      <c r="Z683" s="3"/>
    </row>
    <row r="684" spans="1:26" ht="22.5" customHeight="1" x14ac:dyDescent="0.85">
      <c r="A684" s="166"/>
      <c r="B684" s="167"/>
      <c r="C684" s="167"/>
      <c r="D684" s="147"/>
      <c r="E684" s="147"/>
      <c r="F684" s="147"/>
      <c r="G684" s="147"/>
      <c r="H684" s="147"/>
      <c r="I684" s="147"/>
      <c r="J684" s="147"/>
      <c r="K684" s="3"/>
      <c r="L684" s="3"/>
      <c r="M684" s="3"/>
      <c r="N684" s="3"/>
      <c r="O684" s="3"/>
      <c r="P684" s="3"/>
      <c r="Q684" s="3"/>
      <c r="R684" s="3"/>
      <c r="S684" s="3"/>
      <c r="T684" s="3"/>
      <c r="U684" s="3"/>
      <c r="V684" s="3"/>
      <c r="W684" s="3"/>
      <c r="X684" s="3"/>
      <c r="Y684" s="3"/>
      <c r="Z684" s="3"/>
    </row>
    <row r="685" spans="1:26" ht="22.5" customHeight="1" x14ac:dyDescent="0.85">
      <c r="A685" s="166"/>
      <c r="B685" s="167"/>
      <c r="C685" s="167"/>
      <c r="D685" s="147"/>
      <c r="E685" s="147"/>
      <c r="F685" s="147"/>
      <c r="G685" s="147"/>
      <c r="H685" s="147"/>
      <c r="I685" s="147"/>
      <c r="J685" s="147"/>
      <c r="K685" s="3"/>
      <c r="L685" s="3"/>
      <c r="M685" s="3"/>
      <c r="N685" s="3"/>
      <c r="O685" s="3"/>
      <c r="P685" s="3"/>
      <c r="Q685" s="3"/>
      <c r="R685" s="3"/>
      <c r="S685" s="3"/>
      <c r="T685" s="3"/>
      <c r="U685" s="3"/>
      <c r="V685" s="3"/>
      <c r="W685" s="3"/>
      <c r="X685" s="3"/>
      <c r="Y685" s="3"/>
      <c r="Z685" s="3"/>
    </row>
    <row r="686" spans="1:26" ht="22.5" customHeight="1" x14ac:dyDescent="0.85">
      <c r="A686" s="166"/>
      <c r="B686" s="167"/>
      <c r="C686" s="167"/>
      <c r="D686" s="147"/>
      <c r="E686" s="147"/>
      <c r="F686" s="147"/>
      <c r="G686" s="147"/>
      <c r="H686" s="147"/>
      <c r="I686" s="147"/>
      <c r="J686" s="147"/>
      <c r="K686" s="3"/>
      <c r="L686" s="3"/>
      <c r="M686" s="3"/>
      <c r="N686" s="3"/>
      <c r="O686" s="3"/>
      <c r="P686" s="3"/>
      <c r="Q686" s="3"/>
      <c r="R686" s="3"/>
      <c r="S686" s="3"/>
      <c r="T686" s="3"/>
      <c r="U686" s="3"/>
      <c r="V686" s="3"/>
      <c r="W686" s="3"/>
      <c r="X686" s="3"/>
      <c r="Y686" s="3"/>
      <c r="Z686" s="3"/>
    </row>
    <row r="687" spans="1:26" ht="22.5" customHeight="1" x14ac:dyDescent="0.85">
      <c r="A687" s="166"/>
      <c r="B687" s="167"/>
      <c r="C687" s="167"/>
      <c r="D687" s="147"/>
      <c r="E687" s="147"/>
      <c r="F687" s="147"/>
      <c r="G687" s="147"/>
      <c r="H687" s="147"/>
      <c r="I687" s="147"/>
      <c r="J687" s="147"/>
      <c r="K687" s="3"/>
      <c r="L687" s="3"/>
      <c r="M687" s="3"/>
      <c r="N687" s="3"/>
      <c r="O687" s="3"/>
      <c r="P687" s="3"/>
      <c r="Q687" s="3"/>
      <c r="R687" s="3"/>
      <c r="S687" s="3"/>
      <c r="T687" s="3"/>
      <c r="U687" s="3"/>
      <c r="V687" s="3"/>
      <c r="W687" s="3"/>
      <c r="X687" s="3"/>
      <c r="Y687" s="3"/>
      <c r="Z687" s="3"/>
    </row>
    <row r="688" spans="1:26" ht="22.5" customHeight="1" x14ac:dyDescent="0.85">
      <c r="A688" s="166"/>
      <c r="B688" s="167"/>
      <c r="C688" s="167"/>
      <c r="D688" s="147"/>
      <c r="E688" s="147"/>
      <c r="F688" s="147"/>
      <c r="G688" s="147"/>
      <c r="H688" s="147"/>
      <c r="I688" s="147"/>
      <c r="J688" s="147"/>
      <c r="K688" s="3"/>
      <c r="L688" s="3"/>
      <c r="M688" s="3"/>
      <c r="N688" s="3"/>
      <c r="O688" s="3"/>
      <c r="P688" s="3"/>
      <c r="Q688" s="3"/>
      <c r="R688" s="3"/>
      <c r="S688" s="3"/>
      <c r="T688" s="3"/>
      <c r="U688" s="3"/>
      <c r="V688" s="3"/>
      <c r="W688" s="3"/>
      <c r="X688" s="3"/>
      <c r="Y688" s="3"/>
      <c r="Z688" s="3"/>
    </row>
    <row r="689" spans="1:26" ht="22.5" customHeight="1" x14ac:dyDescent="0.85">
      <c r="A689" s="166"/>
      <c r="B689" s="167"/>
      <c r="C689" s="167"/>
      <c r="D689" s="147"/>
      <c r="E689" s="147"/>
      <c r="F689" s="147"/>
      <c r="G689" s="147"/>
      <c r="H689" s="147"/>
      <c r="I689" s="147"/>
      <c r="J689" s="147"/>
      <c r="K689" s="3"/>
      <c r="L689" s="3"/>
      <c r="M689" s="3"/>
      <c r="N689" s="3"/>
      <c r="O689" s="3"/>
      <c r="P689" s="3"/>
      <c r="Q689" s="3"/>
      <c r="R689" s="3"/>
      <c r="S689" s="3"/>
      <c r="T689" s="3"/>
      <c r="U689" s="3"/>
      <c r="V689" s="3"/>
      <c r="W689" s="3"/>
      <c r="X689" s="3"/>
      <c r="Y689" s="3"/>
      <c r="Z689" s="3"/>
    </row>
    <row r="690" spans="1:26" ht="22.5" customHeight="1" x14ac:dyDescent="0.85">
      <c r="A690" s="166"/>
      <c r="B690" s="167"/>
      <c r="C690" s="167"/>
      <c r="D690" s="147"/>
      <c r="E690" s="147"/>
      <c r="F690" s="147"/>
      <c r="G690" s="147"/>
      <c r="H690" s="147"/>
      <c r="I690" s="147"/>
      <c r="J690" s="147"/>
      <c r="K690" s="3"/>
      <c r="L690" s="3"/>
      <c r="M690" s="3"/>
      <c r="N690" s="3"/>
      <c r="O690" s="3"/>
      <c r="P690" s="3"/>
      <c r="Q690" s="3"/>
      <c r="R690" s="3"/>
      <c r="S690" s="3"/>
      <c r="T690" s="3"/>
      <c r="U690" s="3"/>
      <c r="V690" s="3"/>
      <c r="W690" s="3"/>
      <c r="X690" s="3"/>
      <c r="Y690" s="3"/>
      <c r="Z690" s="3"/>
    </row>
    <row r="691" spans="1:26" ht="22.5" customHeight="1" x14ac:dyDescent="0.85">
      <c r="A691" s="166"/>
      <c r="B691" s="167"/>
      <c r="C691" s="167"/>
      <c r="D691" s="147"/>
      <c r="E691" s="147"/>
      <c r="F691" s="147"/>
      <c r="G691" s="147"/>
      <c r="H691" s="147"/>
      <c r="I691" s="147"/>
      <c r="J691" s="147"/>
      <c r="K691" s="3"/>
      <c r="L691" s="3"/>
      <c r="M691" s="3"/>
      <c r="N691" s="3"/>
      <c r="O691" s="3"/>
      <c r="P691" s="3"/>
      <c r="Q691" s="3"/>
      <c r="R691" s="3"/>
      <c r="S691" s="3"/>
      <c r="T691" s="3"/>
      <c r="U691" s="3"/>
      <c r="V691" s="3"/>
      <c r="W691" s="3"/>
      <c r="X691" s="3"/>
      <c r="Y691" s="3"/>
      <c r="Z691" s="3"/>
    </row>
    <row r="692" spans="1:26" ht="22.5" customHeight="1" x14ac:dyDescent="0.85">
      <c r="A692" s="166"/>
      <c r="B692" s="167"/>
      <c r="C692" s="167"/>
      <c r="D692" s="147"/>
      <c r="E692" s="147"/>
      <c r="F692" s="147"/>
      <c r="G692" s="147"/>
      <c r="H692" s="147"/>
      <c r="I692" s="147"/>
      <c r="J692" s="147"/>
      <c r="K692" s="3"/>
      <c r="L692" s="3"/>
      <c r="M692" s="3"/>
      <c r="N692" s="3"/>
      <c r="O692" s="3"/>
      <c r="P692" s="3"/>
      <c r="Q692" s="3"/>
      <c r="R692" s="3"/>
      <c r="S692" s="3"/>
      <c r="T692" s="3"/>
      <c r="U692" s="3"/>
      <c r="V692" s="3"/>
      <c r="W692" s="3"/>
      <c r="X692" s="3"/>
      <c r="Y692" s="3"/>
      <c r="Z692" s="3"/>
    </row>
    <row r="693" spans="1:26" ht="22.5" customHeight="1" x14ac:dyDescent="0.85">
      <c r="A693" s="166"/>
      <c r="B693" s="167"/>
      <c r="C693" s="167"/>
      <c r="D693" s="147"/>
      <c r="E693" s="147"/>
      <c r="F693" s="147"/>
      <c r="G693" s="147"/>
      <c r="H693" s="147"/>
      <c r="I693" s="147"/>
      <c r="J693" s="147"/>
      <c r="K693" s="3"/>
      <c r="L693" s="3"/>
      <c r="M693" s="3"/>
      <c r="N693" s="3"/>
      <c r="O693" s="3"/>
      <c r="P693" s="3"/>
      <c r="Q693" s="3"/>
      <c r="R693" s="3"/>
      <c r="S693" s="3"/>
      <c r="T693" s="3"/>
      <c r="U693" s="3"/>
      <c r="V693" s="3"/>
      <c r="W693" s="3"/>
      <c r="X693" s="3"/>
      <c r="Y693" s="3"/>
      <c r="Z693" s="3"/>
    </row>
    <row r="694" spans="1:26" ht="22.5" customHeight="1" x14ac:dyDescent="0.85">
      <c r="A694" s="166"/>
      <c r="B694" s="167"/>
      <c r="C694" s="167"/>
      <c r="D694" s="147"/>
      <c r="E694" s="147"/>
      <c r="F694" s="147"/>
      <c r="G694" s="147"/>
      <c r="H694" s="147"/>
      <c r="I694" s="147"/>
      <c r="J694" s="147"/>
      <c r="K694" s="3"/>
      <c r="L694" s="3"/>
      <c r="M694" s="3"/>
      <c r="N694" s="3"/>
      <c r="O694" s="3"/>
      <c r="P694" s="3"/>
      <c r="Q694" s="3"/>
      <c r="R694" s="3"/>
      <c r="S694" s="3"/>
      <c r="T694" s="3"/>
      <c r="U694" s="3"/>
      <c r="V694" s="3"/>
      <c r="W694" s="3"/>
      <c r="X694" s="3"/>
      <c r="Y694" s="3"/>
      <c r="Z694" s="3"/>
    </row>
    <row r="695" spans="1:26" ht="22.5" customHeight="1" x14ac:dyDescent="0.85">
      <c r="A695" s="166"/>
      <c r="B695" s="167"/>
      <c r="C695" s="167"/>
      <c r="D695" s="147"/>
      <c r="E695" s="147"/>
      <c r="F695" s="147"/>
      <c r="G695" s="147"/>
      <c r="H695" s="147"/>
      <c r="I695" s="147"/>
      <c r="J695" s="147"/>
      <c r="K695" s="3"/>
      <c r="L695" s="3"/>
      <c r="M695" s="3"/>
      <c r="N695" s="3"/>
      <c r="O695" s="3"/>
      <c r="P695" s="3"/>
      <c r="Q695" s="3"/>
      <c r="R695" s="3"/>
      <c r="S695" s="3"/>
      <c r="T695" s="3"/>
      <c r="U695" s="3"/>
      <c r="V695" s="3"/>
      <c r="W695" s="3"/>
      <c r="X695" s="3"/>
      <c r="Y695" s="3"/>
      <c r="Z695" s="3"/>
    </row>
    <row r="696" spans="1:26" ht="22.5" customHeight="1" x14ac:dyDescent="0.85">
      <c r="A696" s="166"/>
      <c r="B696" s="167"/>
      <c r="C696" s="167"/>
      <c r="D696" s="147"/>
      <c r="E696" s="147"/>
      <c r="F696" s="147"/>
      <c r="G696" s="147"/>
      <c r="H696" s="147"/>
      <c r="I696" s="147"/>
      <c r="J696" s="147"/>
      <c r="K696" s="3"/>
      <c r="L696" s="3"/>
      <c r="M696" s="3"/>
      <c r="N696" s="3"/>
      <c r="O696" s="3"/>
      <c r="P696" s="3"/>
      <c r="Q696" s="3"/>
      <c r="R696" s="3"/>
      <c r="S696" s="3"/>
      <c r="T696" s="3"/>
      <c r="U696" s="3"/>
      <c r="V696" s="3"/>
      <c r="W696" s="3"/>
      <c r="X696" s="3"/>
      <c r="Y696" s="3"/>
      <c r="Z696" s="3"/>
    </row>
    <row r="697" spans="1:26" ht="22.5" customHeight="1" x14ac:dyDescent="0.85">
      <c r="A697" s="166"/>
      <c r="B697" s="167"/>
      <c r="C697" s="167"/>
      <c r="D697" s="147"/>
      <c r="E697" s="147"/>
      <c r="F697" s="147"/>
      <c r="G697" s="147"/>
      <c r="H697" s="147"/>
      <c r="I697" s="147"/>
      <c r="J697" s="147"/>
      <c r="K697" s="3"/>
      <c r="L697" s="3"/>
      <c r="M697" s="3"/>
      <c r="N697" s="3"/>
      <c r="O697" s="3"/>
      <c r="P697" s="3"/>
      <c r="Q697" s="3"/>
      <c r="R697" s="3"/>
      <c r="S697" s="3"/>
      <c r="T697" s="3"/>
      <c r="U697" s="3"/>
      <c r="V697" s="3"/>
      <c r="W697" s="3"/>
      <c r="X697" s="3"/>
      <c r="Y697" s="3"/>
      <c r="Z697" s="3"/>
    </row>
    <row r="698" spans="1:26" ht="22.5" customHeight="1" x14ac:dyDescent="0.85">
      <c r="A698" s="166"/>
      <c r="B698" s="167"/>
      <c r="C698" s="167"/>
      <c r="D698" s="147"/>
      <c r="E698" s="147"/>
      <c r="F698" s="147"/>
      <c r="G698" s="147"/>
      <c r="H698" s="147"/>
      <c r="I698" s="147"/>
      <c r="J698" s="147"/>
      <c r="K698" s="3"/>
      <c r="L698" s="3"/>
      <c r="M698" s="3"/>
      <c r="N698" s="3"/>
      <c r="O698" s="3"/>
      <c r="P698" s="3"/>
      <c r="Q698" s="3"/>
      <c r="R698" s="3"/>
      <c r="S698" s="3"/>
      <c r="T698" s="3"/>
      <c r="U698" s="3"/>
      <c r="V698" s="3"/>
      <c r="W698" s="3"/>
      <c r="X698" s="3"/>
      <c r="Y698" s="3"/>
      <c r="Z698" s="3"/>
    </row>
    <row r="699" spans="1:26" ht="22.5" customHeight="1" x14ac:dyDescent="0.85">
      <c r="A699" s="166"/>
      <c r="B699" s="167"/>
      <c r="C699" s="167"/>
      <c r="D699" s="147"/>
      <c r="E699" s="147"/>
      <c r="F699" s="147"/>
      <c r="G699" s="147"/>
      <c r="H699" s="147"/>
      <c r="I699" s="147"/>
      <c r="J699" s="147"/>
      <c r="K699" s="3"/>
      <c r="L699" s="3"/>
      <c r="M699" s="3"/>
      <c r="N699" s="3"/>
      <c r="O699" s="3"/>
      <c r="P699" s="3"/>
      <c r="Q699" s="3"/>
      <c r="R699" s="3"/>
      <c r="S699" s="3"/>
      <c r="T699" s="3"/>
      <c r="U699" s="3"/>
      <c r="V699" s="3"/>
      <c r="W699" s="3"/>
      <c r="X699" s="3"/>
      <c r="Y699" s="3"/>
      <c r="Z699" s="3"/>
    </row>
    <row r="700" spans="1:26" ht="22.5" customHeight="1" x14ac:dyDescent="0.85">
      <c r="A700" s="166"/>
      <c r="B700" s="167"/>
      <c r="C700" s="167"/>
      <c r="D700" s="147"/>
      <c r="E700" s="147"/>
      <c r="F700" s="147"/>
      <c r="G700" s="147"/>
      <c r="H700" s="147"/>
      <c r="I700" s="147"/>
      <c r="J700" s="147"/>
      <c r="K700" s="3"/>
      <c r="L700" s="3"/>
      <c r="M700" s="3"/>
      <c r="N700" s="3"/>
      <c r="O700" s="3"/>
      <c r="P700" s="3"/>
      <c r="Q700" s="3"/>
      <c r="R700" s="3"/>
      <c r="S700" s="3"/>
      <c r="T700" s="3"/>
      <c r="U700" s="3"/>
      <c r="V700" s="3"/>
      <c r="W700" s="3"/>
      <c r="X700" s="3"/>
      <c r="Y700" s="3"/>
      <c r="Z700" s="3"/>
    </row>
    <row r="701" spans="1:26" ht="22.5" customHeight="1" x14ac:dyDescent="0.85">
      <c r="A701" s="166"/>
      <c r="B701" s="167"/>
      <c r="C701" s="167"/>
      <c r="D701" s="147"/>
      <c r="E701" s="147"/>
      <c r="F701" s="147"/>
      <c r="G701" s="147"/>
      <c r="H701" s="147"/>
      <c r="I701" s="147"/>
      <c r="J701" s="147"/>
      <c r="K701" s="3"/>
      <c r="L701" s="3"/>
      <c r="M701" s="3"/>
      <c r="N701" s="3"/>
      <c r="O701" s="3"/>
      <c r="P701" s="3"/>
      <c r="Q701" s="3"/>
      <c r="R701" s="3"/>
      <c r="S701" s="3"/>
      <c r="T701" s="3"/>
      <c r="U701" s="3"/>
      <c r="V701" s="3"/>
      <c r="W701" s="3"/>
      <c r="X701" s="3"/>
      <c r="Y701" s="3"/>
      <c r="Z701" s="3"/>
    </row>
    <row r="702" spans="1:26" ht="22.5" customHeight="1" x14ac:dyDescent="0.85">
      <c r="A702" s="166"/>
      <c r="B702" s="167"/>
      <c r="C702" s="167"/>
      <c r="D702" s="147"/>
      <c r="E702" s="147"/>
      <c r="F702" s="147"/>
      <c r="G702" s="147"/>
      <c r="H702" s="147"/>
      <c r="I702" s="147"/>
      <c r="J702" s="147"/>
      <c r="K702" s="3"/>
      <c r="L702" s="3"/>
      <c r="M702" s="3"/>
      <c r="N702" s="3"/>
      <c r="O702" s="3"/>
      <c r="P702" s="3"/>
      <c r="Q702" s="3"/>
      <c r="R702" s="3"/>
      <c r="S702" s="3"/>
      <c r="T702" s="3"/>
      <c r="U702" s="3"/>
      <c r="V702" s="3"/>
      <c r="W702" s="3"/>
      <c r="X702" s="3"/>
      <c r="Y702" s="3"/>
      <c r="Z702" s="3"/>
    </row>
    <row r="703" spans="1:26" ht="22.5" customHeight="1" x14ac:dyDescent="0.85">
      <c r="A703" s="166"/>
      <c r="B703" s="167"/>
      <c r="C703" s="167"/>
      <c r="D703" s="147"/>
      <c r="E703" s="147"/>
      <c r="F703" s="147"/>
      <c r="G703" s="147"/>
      <c r="H703" s="147"/>
      <c r="I703" s="147"/>
      <c r="J703" s="147"/>
      <c r="K703" s="3"/>
      <c r="L703" s="3"/>
      <c r="M703" s="3"/>
      <c r="N703" s="3"/>
      <c r="O703" s="3"/>
      <c r="P703" s="3"/>
      <c r="Q703" s="3"/>
      <c r="R703" s="3"/>
      <c r="S703" s="3"/>
      <c r="T703" s="3"/>
      <c r="U703" s="3"/>
      <c r="V703" s="3"/>
      <c r="W703" s="3"/>
      <c r="X703" s="3"/>
      <c r="Y703" s="3"/>
      <c r="Z703" s="3"/>
    </row>
    <row r="704" spans="1:26" ht="22.5" customHeight="1" x14ac:dyDescent="0.85">
      <c r="A704" s="166"/>
      <c r="B704" s="167"/>
      <c r="C704" s="167"/>
      <c r="D704" s="147"/>
      <c r="E704" s="147"/>
      <c r="F704" s="147"/>
      <c r="G704" s="147"/>
      <c r="H704" s="147"/>
      <c r="I704" s="147"/>
      <c r="J704" s="147"/>
      <c r="K704" s="3"/>
      <c r="L704" s="3"/>
      <c r="M704" s="3"/>
      <c r="N704" s="3"/>
      <c r="O704" s="3"/>
      <c r="P704" s="3"/>
      <c r="Q704" s="3"/>
      <c r="R704" s="3"/>
      <c r="S704" s="3"/>
      <c r="T704" s="3"/>
      <c r="U704" s="3"/>
      <c r="V704" s="3"/>
      <c r="W704" s="3"/>
      <c r="X704" s="3"/>
      <c r="Y704" s="3"/>
      <c r="Z704" s="3"/>
    </row>
    <row r="705" spans="1:26" ht="22.5" customHeight="1" x14ac:dyDescent="0.85">
      <c r="A705" s="166"/>
      <c r="B705" s="167"/>
      <c r="C705" s="167"/>
      <c r="D705" s="147"/>
      <c r="E705" s="147"/>
      <c r="F705" s="147"/>
      <c r="G705" s="147"/>
      <c r="H705" s="147"/>
      <c r="I705" s="147"/>
      <c r="J705" s="147"/>
      <c r="K705" s="3"/>
      <c r="L705" s="3"/>
      <c r="M705" s="3"/>
      <c r="N705" s="3"/>
      <c r="O705" s="3"/>
      <c r="P705" s="3"/>
      <c r="Q705" s="3"/>
      <c r="R705" s="3"/>
      <c r="S705" s="3"/>
      <c r="T705" s="3"/>
      <c r="U705" s="3"/>
      <c r="V705" s="3"/>
      <c r="W705" s="3"/>
      <c r="X705" s="3"/>
      <c r="Y705" s="3"/>
      <c r="Z705" s="3"/>
    </row>
    <row r="706" spans="1:26" ht="22.5" customHeight="1" x14ac:dyDescent="0.85">
      <c r="A706" s="166"/>
      <c r="B706" s="167"/>
      <c r="C706" s="167"/>
      <c r="D706" s="147"/>
      <c r="E706" s="147"/>
      <c r="F706" s="147"/>
      <c r="G706" s="147"/>
      <c r="H706" s="147"/>
      <c r="I706" s="147"/>
      <c r="J706" s="147"/>
      <c r="K706" s="3"/>
      <c r="L706" s="3"/>
      <c r="M706" s="3"/>
      <c r="N706" s="3"/>
      <c r="O706" s="3"/>
      <c r="P706" s="3"/>
      <c r="Q706" s="3"/>
      <c r="R706" s="3"/>
      <c r="S706" s="3"/>
      <c r="T706" s="3"/>
      <c r="U706" s="3"/>
      <c r="V706" s="3"/>
      <c r="W706" s="3"/>
      <c r="X706" s="3"/>
      <c r="Y706" s="3"/>
      <c r="Z706" s="3"/>
    </row>
    <row r="707" spans="1:26" ht="22.5" customHeight="1" x14ac:dyDescent="0.85">
      <c r="A707" s="166"/>
      <c r="B707" s="167"/>
      <c r="C707" s="167"/>
      <c r="D707" s="147"/>
      <c r="E707" s="147"/>
      <c r="F707" s="147"/>
      <c r="G707" s="147"/>
      <c r="H707" s="147"/>
      <c r="I707" s="147"/>
      <c r="J707" s="147"/>
      <c r="K707" s="3"/>
      <c r="L707" s="3"/>
      <c r="M707" s="3"/>
      <c r="N707" s="3"/>
      <c r="O707" s="3"/>
      <c r="P707" s="3"/>
      <c r="Q707" s="3"/>
      <c r="R707" s="3"/>
      <c r="S707" s="3"/>
      <c r="T707" s="3"/>
      <c r="U707" s="3"/>
      <c r="V707" s="3"/>
      <c r="W707" s="3"/>
      <c r="X707" s="3"/>
      <c r="Y707" s="3"/>
      <c r="Z707" s="3"/>
    </row>
    <row r="708" spans="1:26" ht="22.5" customHeight="1" x14ac:dyDescent="0.85">
      <c r="A708" s="166"/>
      <c r="B708" s="167"/>
      <c r="C708" s="167"/>
      <c r="D708" s="147"/>
      <c r="E708" s="147"/>
      <c r="F708" s="147"/>
      <c r="G708" s="147"/>
      <c r="H708" s="147"/>
      <c r="I708" s="147"/>
      <c r="J708" s="147"/>
      <c r="K708" s="3"/>
      <c r="L708" s="3"/>
      <c r="M708" s="3"/>
      <c r="N708" s="3"/>
      <c r="O708" s="3"/>
      <c r="P708" s="3"/>
      <c r="Q708" s="3"/>
      <c r="R708" s="3"/>
      <c r="S708" s="3"/>
      <c r="T708" s="3"/>
      <c r="U708" s="3"/>
      <c r="V708" s="3"/>
      <c r="W708" s="3"/>
      <c r="X708" s="3"/>
      <c r="Y708" s="3"/>
      <c r="Z708" s="3"/>
    </row>
    <row r="709" spans="1:26" ht="22.5" customHeight="1" x14ac:dyDescent="0.85">
      <c r="A709" s="166"/>
      <c r="B709" s="167"/>
      <c r="C709" s="167"/>
      <c r="D709" s="147"/>
      <c r="E709" s="147"/>
      <c r="F709" s="147"/>
      <c r="G709" s="147"/>
      <c r="H709" s="147"/>
      <c r="I709" s="147"/>
      <c r="J709" s="147"/>
      <c r="K709" s="3"/>
      <c r="L709" s="3"/>
      <c r="M709" s="3"/>
      <c r="N709" s="3"/>
      <c r="O709" s="3"/>
      <c r="P709" s="3"/>
      <c r="Q709" s="3"/>
      <c r="R709" s="3"/>
      <c r="S709" s="3"/>
      <c r="T709" s="3"/>
      <c r="U709" s="3"/>
      <c r="V709" s="3"/>
      <c r="W709" s="3"/>
      <c r="X709" s="3"/>
      <c r="Y709" s="3"/>
      <c r="Z709" s="3"/>
    </row>
    <row r="710" spans="1:26" ht="22.5" customHeight="1" x14ac:dyDescent="0.85">
      <c r="A710" s="166"/>
      <c r="B710" s="167"/>
      <c r="C710" s="167"/>
      <c r="D710" s="147"/>
      <c r="E710" s="147"/>
      <c r="F710" s="147"/>
      <c r="G710" s="147"/>
      <c r="H710" s="147"/>
      <c r="I710" s="147"/>
      <c r="J710" s="147"/>
      <c r="K710" s="3"/>
      <c r="L710" s="3"/>
      <c r="M710" s="3"/>
      <c r="N710" s="3"/>
      <c r="O710" s="3"/>
      <c r="P710" s="3"/>
      <c r="Q710" s="3"/>
      <c r="R710" s="3"/>
      <c r="S710" s="3"/>
      <c r="T710" s="3"/>
      <c r="U710" s="3"/>
      <c r="V710" s="3"/>
      <c r="W710" s="3"/>
      <c r="X710" s="3"/>
      <c r="Y710" s="3"/>
      <c r="Z710" s="3"/>
    </row>
    <row r="711" spans="1:26" ht="22.5" customHeight="1" x14ac:dyDescent="0.85">
      <c r="A711" s="166"/>
      <c r="B711" s="167"/>
      <c r="C711" s="167"/>
      <c r="D711" s="147"/>
      <c r="E711" s="147"/>
      <c r="F711" s="147"/>
      <c r="G711" s="147"/>
      <c r="H711" s="147"/>
      <c r="I711" s="147"/>
      <c r="J711" s="147"/>
      <c r="K711" s="3"/>
      <c r="L711" s="3"/>
      <c r="M711" s="3"/>
      <c r="N711" s="3"/>
      <c r="O711" s="3"/>
      <c r="P711" s="3"/>
      <c r="Q711" s="3"/>
      <c r="R711" s="3"/>
      <c r="S711" s="3"/>
      <c r="T711" s="3"/>
      <c r="U711" s="3"/>
      <c r="V711" s="3"/>
      <c r="W711" s="3"/>
      <c r="X711" s="3"/>
      <c r="Y711" s="3"/>
      <c r="Z711" s="3"/>
    </row>
    <row r="712" spans="1:26" ht="22.5" customHeight="1" x14ac:dyDescent="0.85">
      <c r="A712" s="166"/>
      <c r="B712" s="167"/>
      <c r="C712" s="167"/>
      <c r="D712" s="147"/>
      <c r="E712" s="147"/>
      <c r="F712" s="147"/>
      <c r="G712" s="147"/>
      <c r="H712" s="147"/>
      <c r="I712" s="147"/>
      <c r="J712" s="147"/>
      <c r="K712" s="3"/>
      <c r="L712" s="3"/>
      <c r="M712" s="3"/>
      <c r="N712" s="3"/>
      <c r="O712" s="3"/>
      <c r="P712" s="3"/>
      <c r="Q712" s="3"/>
      <c r="R712" s="3"/>
      <c r="S712" s="3"/>
      <c r="T712" s="3"/>
      <c r="U712" s="3"/>
      <c r="V712" s="3"/>
      <c r="W712" s="3"/>
      <c r="X712" s="3"/>
      <c r="Y712" s="3"/>
      <c r="Z712" s="3"/>
    </row>
    <row r="713" spans="1:26" ht="22.5" customHeight="1" x14ac:dyDescent="0.85">
      <c r="A713" s="166"/>
      <c r="B713" s="167"/>
      <c r="C713" s="167"/>
      <c r="D713" s="147"/>
      <c r="E713" s="147"/>
      <c r="F713" s="147"/>
      <c r="G713" s="147"/>
      <c r="H713" s="147"/>
      <c r="I713" s="147"/>
      <c r="J713" s="147"/>
      <c r="K713" s="3"/>
      <c r="L713" s="3"/>
      <c r="M713" s="3"/>
      <c r="N713" s="3"/>
      <c r="O713" s="3"/>
      <c r="P713" s="3"/>
      <c r="Q713" s="3"/>
      <c r="R713" s="3"/>
      <c r="S713" s="3"/>
      <c r="T713" s="3"/>
      <c r="U713" s="3"/>
      <c r="V713" s="3"/>
      <c r="W713" s="3"/>
      <c r="X713" s="3"/>
      <c r="Y713" s="3"/>
      <c r="Z713" s="3"/>
    </row>
    <row r="714" spans="1:26" ht="22.5" customHeight="1" x14ac:dyDescent="0.85">
      <c r="A714" s="166"/>
      <c r="B714" s="167"/>
      <c r="C714" s="167"/>
      <c r="D714" s="147"/>
      <c r="E714" s="147"/>
      <c r="F714" s="147"/>
      <c r="G714" s="147"/>
      <c r="H714" s="147"/>
      <c r="I714" s="147"/>
      <c r="J714" s="147"/>
      <c r="K714" s="3"/>
      <c r="L714" s="3"/>
      <c r="M714" s="3"/>
      <c r="N714" s="3"/>
      <c r="O714" s="3"/>
      <c r="P714" s="3"/>
      <c r="Q714" s="3"/>
      <c r="R714" s="3"/>
      <c r="S714" s="3"/>
      <c r="T714" s="3"/>
      <c r="U714" s="3"/>
      <c r="V714" s="3"/>
      <c r="W714" s="3"/>
      <c r="X714" s="3"/>
      <c r="Y714" s="3"/>
      <c r="Z714" s="3"/>
    </row>
    <row r="715" spans="1:26" ht="22.5" customHeight="1" x14ac:dyDescent="0.85">
      <c r="A715" s="166"/>
      <c r="B715" s="167"/>
      <c r="C715" s="167"/>
      <c r="D715" s="147"/>
      <c r="E715" s="147"/>
      <c r="F715" s="147"/>
      <c r="G715" s="147"/>
      <c r="H715" s="147"/>
      <c r="I715" s="147"/>
      <c r="J715" s="147"/>
      <c r="K715" s="3"/>
      <c r="L715" s="3"/>
      <c r="M715" s="3"/>
      <c r="N715" s="3"/>
      <c r="O715" s="3"/>
      <c r="P715" s="3"/>
      <c r="Q715" s="3"/>
      <c r="R715" s="3"/>
      <c r="S715" s="3"/>
      <c r="T715" s="3"/>
      <c r="U715" s="3"/>
      <c r="V715" s="3"/>
      <c r="W715" s="3"/>
      <c r="X715" s="3"/>
      <c r="Y715" s="3"/>
      <c r="Z715" s="3"/>
    </row>
    <row r="716" spans="1:26" ht="22.5" customHeight="1" x14ac:dyDescent="0.85">
      <c r="A716" s="166"/>
      <c r="B716" s="167"/>
      <c r="C716" s="167"/>
      <c r="D716" s="147"/>
      <c r="E716" s="147"/>
      <c r="F716" s="147"/>
      <c r="G716" s="147"/>
      <c r="H716" s="147"/>
      <c r="I716" s="147"/>
      <c r="J716" s="147"/>
      <c r="K716" s="3"/>
      <c r="L716" s="3"/>
      <c r="M716" s="3"/>
      <c r="N716" s="3"/>
      <c r="O716" s="3"/>
      <c r="P716" s="3"/>
      <c r="Q716" s="3"/>
      <c r="R716" s="3"/>
      <c r="S716" s="3"/>
      <c r="T716" s="3"/>
      <c r="U716" s="3"/>
      <c r="V716" s="3"/>
      <c r="W716" s="3"/>
      <c r="X716" s="3"/>
      <c r="Y716" s="3"/>
      <c r="Z716" s="3"/>
    </row>
    <row r="717" spans="1:26" ht="22.5" customHeight="1" x14ac:dyDescent="0.85">
      <c r="A717" s="166"/>
      <c r="B717" s="167"/>
      <c r="C717" s="167"/>
      <c r="D717" s="147"/>
      <c r="E717" s="147"/>
      <c r="F717" s="147"/>
      <c r="G717" s="147"/>
      <c r="H717" s="147"/>
      <c r="I717" s="147"/>
      <c r="J717" s="147"/>
      <c r="K717" s="3"/>
      <c r="L717" s="3"/>
      <c r="M717" s="3"/>
      <c r="N717" s="3"/>
      <c r="O717" s="3"/>
      <c r="P717" s="3"/>
      <c r="Q717" s="3"/>
      <c r="R717" s="3"/>
      <c r="S717" s="3"/>
      <c r="T717" s="3"/>
      <c r="U717" s="3"/>
      <c r="V717" s="3"/>
      <c r="W717" s="3"/>
      <c r="X717" s="3"/>
      <c r="Y717" s="3"/>
      <c r="Z717" s="3"/>
    </row>
    <row r="718" spans="1:26" ht="22.5" customHeight="1" x14ac:dyDescent="0.85">
      <c r="A718" s="166"/>
      <c r="B718" s="167"/>
      <c r="C718" s="167"/>
      <c r="D718" s="147"/>
      <c r="E718" s="147"/>
      <c r="F718" s="147"/>
      <c r="G718" s="147"/>
      <c r="H718" s="147"/>
      <c r="I718" s="147"/>
      <c r="J718" s="147"/>
      <c r="K718" s="3"/>
      <c r="L718" s="3"/>
      <c r="M718" s="3"/>
      <c r="N718" s="3"/>
      <c r="O718" s="3"/>
      <c r="P718" s="3"/>
      <c r="Q718" s="3"/>
      <c r="R718" s="3"/>
      <c r="S718" s="3"/>
      <c r="T718" s="3"/>
      <c r="U718" s="3"/>
      <c r="V718" s="3"/>
      <c r="W718" s="3"/>
      <c r="X718" s="3"/>
      <c r="Y718" s="3"/>
      <c r="Z718" s="3"/>
    </row>
    <row r="719" spans="1:26" ht="22.5" customHeight="1" x14ac:dyDescent="0.85">
      <c r="A719" s="166"/>
      <c r="B719" s="167"/>
      <c r="C719" s="167"/>
      <c r="D719" s="147"/>
      <c r="E719" s="147"/>
      <c r="F719" s="147"/>
      <c r="G719" s="147"/>
      <c r="H719" s="147"/>
      <c r="I719" s="147"/>
      <c r="J719" s="147"/>
      <c r="K719" s="3"/>
      <c r="L719" s="3"/>
      <c r="M719" s="3"/>
      <c r="N719" s="3"/>
      <c r="O719" s="3"/>
      <c r="P719" s="3"/>
      <c r="Q719" s="3"/>
      <c r="R719" s="3"/>
      <c r="S719" s="3"/>
      <c r="T719" s="3"/>
      <c r="U719" s="3"/>
      <c r="V719" s="3"/>
      <c r="W719" s="3"/>
      <c r="X719" s="3"/>
      <c r="Y719" s="3"/>
      <c r="Z719" s="3"/>
    </row>
    <row r="720" spans="1:26" ht="22.5" customHeight="1" x14ac:dyDescent="0.85">
      <c r="A720" s="166"/>
      <c r="B720" s="167"/>
      <c r="C720" s="167"/>
      <c r="D720" s="147"/>
      <c r="E720" s="147"/>
      <c r="F720" s="147"/>
      <c r="G720" s="147"/>
      <c r="H720" s="147"/>
      <c r="I720" s="147"/>
      <c r="J720" s="147"/>
      <c r="K720" s="3"/>
      <c r="L720" s="3"/>
      <c r="M720" s="3"/>
      <c r="N720" s="3"/>
      <c r="O720" s="3"/>
      <c r="P720" s="3"/>
      <c r="Q720" s="3"/>
      <c r="R720" s="3"/>
      <c r="S720" s="3"/>
      <c r="T720" s="3"/>
      <c r="U720" s="3"/>
      <c r="V720" s="3"/>
      <c r="W720" s="3"/>
      <c r="X720" s="3"/>
      <c r="Y720" s="3"/>
      <c r="Z720" s="3"/>
    </row>
    <row r="721" spans="1:26" ht="22.5" customHeight="1" x14ac:dyDescent="0.85">
      <c r="A721" s="166"/>
      <c r="B721" s="167"/>
      <c r="C721" s="167"/>
      <c r="D721" s="147"/>
      <c r="E721" s="147"/>
      <c r="F721" s="147"/>
      <c r="G721" s="147"/>
      <c r="H721" s="147"/>
      <c r="I721" s="147"/>
      <c r="J721" s="147"/>
      <c r="K721" s="3"/>
      <c r="L721" s="3"/>
      <c r="M721" s="3"/>
      <c r="N721" s="3"/>
      <c r="O721" s="3"/>
      <c r="P721" s="3"/>
      <c r="Q721" s="3"/>
      <c r="R721" s="3"/>
      <c r="S721" s="3"/>
      <c r="T721" s="3"/>
      <c r="U721" s="3"/>
      <c r="V721" s="3"/>
      <c r="W721" s="3"/>
      <c r="X721" s="3"/>
      <c r="Y721" s="3"/>
      <c r="Z721" s="3"/>
    </row>
    <row r="722" spans="1:26" ht="22.5" customHeight="1" x14ac:dyDescent="0.85">
      <c r="A722" s="166"/>
      <c r="B722" s="167"/>
      <c r="C722" s="167"/>
      <c r="D722" s="147"/>
      <c r="E722" s="147"/>
      <c r="F722" s="147"/>
      <c r="G722" s="147"/>
      <c r="H722" s="147"/>
      <c r="I722" s="147"/>
      <c r="J722" s="147"/>
      <c r="K722" s="3"/>
      <c r="L722" s="3"/>
      <c r="M722" s="3"/>
      <c r="N722" s="3"/>
      <c r="O722" s="3"/>
      <c r="P722" s="3"/>
      <c r="Q722" s="3"/>
      <c r="R722" s="3"/>
      <c r="S722" s="3"/>
      <c r="T722" s="3"/>
      <c r="U722" s="3"/>
      <c r="V722" s="3"/>
      <c r="W722" s="3"/>
      <c r="X722" s="3"/>
      <c r="Y722" s="3"/>
      <c r="Z722" s="3"/>
    </row>
    <row r="723" spans="1:26" ht="22.5" customHeight="1" x14ac:dyDescent="0.85">
      <c r="A723" s="166"/>
      <c r="B723" s="167"/>
      <c r="C723" s="167"/>
      <c r="D723" s="147"/>
      <c r="E723" s="147"/>
      <c r="F723" s="147"/>
      <c r="G723" s="147"/>
      <c r="H723" s="147"/>
      <c r="I723" s="147"/>
      <c r="J723" s="147"/>
      <c r="K723" s="3"/>
      <c r="L723" s="3"/>
      <c r="M723" s="3"/>
      <c r="N723" s="3"/>
      <c r="O723" s="3"/>
      <c r="P723" s="3"/>
      <c r="Q723" s="3"/>
      <c r="R723" s="3"/>
      <c r="S723" s="3"/>
      <c r="T723" s="3"/>
      <c r="U723" s="3"/>
      <c r="V723" s="3"/>
      <c r="W723" s="3"/>
      <c r="X723" s="3"/>
      <c r="Y723" s="3"/>
      <c r="Z723" s="3"/>
    </row>
    <row r="724" spans="1:26" ht="22.5" customHeight="1" x14ac:dyDescent="0.85">
      <c r="A724" s="166"/>
      <c r="B724" s="167"/>
      <c r="C724" s="167"/>
      <c r="D724" s="147"/>
      <c r="E724" s="147"/>
      <c r="F724" s="147"/>
      <c r="G724" s="147"/>
      <c r="H724" s="147"/>
      <c r="I724" s="147"/>
      <c r="J724" s="147"/>
      <c r="K724" s="3"/>
      <c r="L724" s="3"/>
      <c r="M724" s="3"/>
      <c r="N724" s="3"/>
      <c r="O724" s="3"/>
      <c r="P724" s="3"/>
      <c r="Q724" s="3"/>
      <c r="R724" s="3"/>
      <c r="S724" s="3"/>
      <c r="T724" s="3"/>
      <c r="U724" s="3"/>
      <c r="V724" s="3"/>
      <c r="W724" s="3"/>
      <c r="X724" s="3"/>
      <c r="Y724" s="3"/>
      <c r="Z724" s="3"/>
    </row>
    <row r="725" spans="1:26" ht="22.5" customHeight="1" x14ac:dyDescent="0.85">
      <c r="A725" s="166"/>
      <c r="B725" s="167"/>
      <c r="C725" s="167"/>
      <c r="D725" s="147"/>
      <c r="E725" s="147"/>
      <c r="F725" s="147"/>
      <c r="G725" s="147"/>
      <c r="H725" s="147"/>
      <c r="I725" s="147"/>
      <c r="J725" s="147"/>
      <c r="K725" s="3"/>
      <c r="L725" s="3"/>
      <c r="M725" s="3"/>
      <c r="N725" s="3"/>
      <c r="O725" s="3"/>
      <c r="P725" s="3"/>
      <c r="Q725" s="3"/>
      <c r="R725" s="3"/>
      <c r="S725" s="3"/>
      <c r="T725" s="3"/>
      <c r="U725" s="3"/>
      <c r="V725" s="3"/>
      <c r="W725" s="3"/>
      <c r="X725" s="3"/>
      <c r="Y725" s="3"/>
      <c r="Z725" s="3"/>
    </row>
    <row r="726" spans="1:26" ht="22.5" customHeight="1" x14ac:dyDescent="0.85">
      <c r="A726" s="166"/>
      <c r="B726" s="167"/>
      <c r="C726" s="167"/>
      <c r="D726" s="147"/>
      <c r="E726" s="147"/>
      <c r="F726" s="147"/>
      <c r="G726" s="147"/>
      <c r="H726" s="147"/>
      <c r="I726" s="147"/>
      <c r="J726" s="147"/>
      <c r="K726" s="3"/>
      <c r="L726" s="3"/>
      <c r="M726" s="3"/>
      <c r="N726" s="3"/>
      <c r="O726" s="3"/>
      <c r="P726" s="3"/>
      <c r="Q726" s="3"/>
      <c r="R726" s="3"/>
      <c r="S726" s="3"/>
      <c r="T726" s="3"/>
      <c r="U726" s="3"/>
      <c r="V726" s="3"/>
      <c r="W726" s="3"/>
      <c r="X726" s="3"/>
      <c r="Y726" s="3"/>
      <c r="Z726" s="3"/>
    </row>
    <row r="727" spans="1:26" ht="22.5" customHeight="1" x14ac:dyDescent="0.85">
      <c r="A727" s="166"/>
      <c r="B727" s="167"/>
      <c r="C727" s="167"/>
      <c r="D727" s="147"/>
      <c r="E727" s="147"/>
      <c r="F727" s="147"/>
      <c r="G727" s="147"/>
      <c r="H727" s="147"/>
      <c r="I727" s="147"/>
      <c r="J727" s="147"/>
      <c r="K727" s="3"/>
      <c r="L727" s="3"/>
      <c r="M727" s="3"/>
      <c r="N727" s="3"/>
      <c r="O727" s="3"/>
      <c r="P727" s="3"/>
      <c r="Q727" s="3"/>
      <c r="R727" s="3"/>
      <c r="S727" s="3"/>
      <c r="T727" s="3"/>
      <c r="U727" s="3"/>
      <c r="V727" s="3"/>
      <c r="W727" s="3"/>
      <c r="X727" s="3"/>
      <c r="Y727" s="3"/>
      <c r="Z727" s="3"/>
    </row>
    <row r="728" spans="1:26" ht="22.5" customHeight="1" x14ac:dyDescent="0.85">
      <c r="A728" s="166"/>
      <c r="B728" s="167"/>
      <c r="C728" s="167"/>
      <c r="D728" s="147"/>
      <c r="E728" s="147"/>
      <c r="F728" s="147"/>
      <c r="G728" s="147"/>
      <c r="H728" s="147"/>
      <c r="I728" s="147"/>
      <c r="J728" s="147"/>
      <c r="K728" s="3"/>
      <c r="L728" s="3"/>
      <c r="M728" s="3"/>
      <c r="N728" s="3"/>
      <c r="O728" s="3"/>
      <c r="P728" s="3"/>
      <c r="Q728" s="3"/>
      <c r="R728" s="3"/>
      <c r="S728" s="3"/>
      <c r="T728" s="3"/>
      <c r="U728" s="3"/>
      <c r="V728" s="3"/>
      <c r="W728" s="3"/>
      <c r="X728" s="3"/>
      <c r="Y728" s="3"/>
      <c r="Z728" s="3"/>
    </row>
    <row r="729" spans="1:26" ht="22.5" customHeight="1" x14ac:dyDescent="0.85">
      <c r="A729" s="166"/>
      <c r="B729" s="167"/>
      <c r="C729" s="167"/>
      <c r="D729" s="147"/>
      <c r="E729" s="147"/>
      <c r="F729" s="147"/>
      <c r="G729" s="147"/>
      <c r="H729" s="147"/>
      <c r="I729" s="147"/>
      <c r="J729" s="147"/>
      <c r="K729" s="3"/>
      <c r="L729" s="3"/>
      <c r="M729" s="3"/>
      <c r="N729" s="3"/>
      <c r="O729" s="3"/>
      <c r="P729" s="3"/>
      <c r="Q729" s="3"/>
      <c r="R729" s="3"/>
      <c r="S729" s="3"/>
      <c r="T729" s="3"/>
      <c r="U729" s="3"/>
      <c r="V729" s="3"/>
      <c r="W729" s="3"/>
      <c r="X729" s="3"/>
      <c r="Y729" s="3"/>
      <c r="Z729" s="3"/>
    </row>
    <row r="730" spans="1:26" ht="22.5" customHeight="1" x14ac:dyDescent="0.85">
      <c r="A730" s="166"/>
      <c r="B730" s="167"/>
      <c r="C730" s="167"/>
      <c r="D730" s="147"/>
      <c r="E730" s="147"/>
      <c r="F730" s="147"/>
      <c r="G730" s="147"/>
      <c r="H730" s="147"/>
      <c r="I730" s="147"/>
      <c r="J730" s="147"/>
      <c r="K730" s="3"/>
      <c r="L730" s="3"/>
      <c r="M730" s="3"/>
      <c r="N730" s="3"/>
      <c r="O730" s="3"/>
      <c r="P730" s="3"/>
      <c r="Q730" s="3"/>
      <c r="R730" s="3"/>
      <c r="S730" s="3"/>
      <c r="T730" s="3"/>
      <c r="U730" s="3"/>
      <c r="V730" s="3"/>
      <c r="W730" s="3"/>
      <c r="X730" s="3"/>
      <c r="Y730" s="3"/>
      <c r="Z730" s="3"/>
    </row>
    <row r="731" spans="1:26" ht="22.5" customHeight="1" x14ac:dyDescent="0.85">
      <c r="A731" s="166"/>
      <c r="B731" s="167"/>
      <c r="C731" s="167"/>
      <c r="D731" s="147"/>
      <c r="E731" s="147"/>
      <c r="F731" s="147"/>
      <c r="G731" s="147"/>
      <c r="H731" s="147"/>
      <c r="I731" s="147"/>
      <c r="J731" s="147"/>
      <c r="K731" s="3"/>
      <c r="L731" s="3"/>
      <c r="M731" s="3"/>
      <c r="N731" s="3"/>
      <c r="O731" s="3"/>
      <c r="P731" s="3"/>
      <c r="Q731" s="3"/>
      <c r="R731" s="3"/>
      <c r="S731" s="3"/>
      <c r="T731" s="3"/>
      <c r="U731" s="3"/>
      <c r="V731" s="3"/>
      <c r="W731" s="3"/>
      <c r="X731" s="3"/>
      <c r="Y731" s="3"/>
      <c r="Z731" s="3"/>
    </row>
    <row r="732" spans="1:26" ht="22.5" customHeight="1" x14ac:dyDescent="0.85">
      <c r="A732" s="166"/>
      <c r="B732" s="167"/>
      <c r="C732" s="167"/>
      <c r="D732" s="147"/>
      <c r="E732" s="147"/>
      <c r="F732" s="147"/>
      <c r="G732" s="147"/>
      <c r="H732" s="147"/>
      <c r="I732" s="147"/>
      <c r="J732" s="147"/>
      <c r="K732" s="3"/>
      <c r="L732" s="3"/>
      <c r="M732" s="3"/>
      <c r="N732" s="3"/>
      <c r="O732" s="3"/>
      <c r="P732" s="3"/>
      <c r="Q732" s="3"/>
      <c r="R732" s="3"/>
      <c r="S732" s="3"/>
      <c r="T732" s="3"/>
      <c r="U732" s="3"/>
      <c r="V732" s="3"/>
      <c r="W732" s="3"/>
      <c r="X732" s="3"/>
      <c r="Y732" s="3"/>
      <c r="Z732" s="3"/>
    </row>
    <row r="733" spans="1:26" ht="22.5" customHeight="1" x14ac:dyDescent="0.85">
      <c r="A733" s="166"/>
      <c r="B733" s="167"/>
      <c r="C733" s="167"/>
      <c r="D733" s="147"/>
      <c r="E733" s="147"/>
      <c r="F733" s="147"/>
      <c r="G733" s="147"/>
      <c r="H733" s="147"/>
      <c r="I733" s="147"/>
      <c r="J733" s="147"/>
      <c r="K733" s="3"/>
      <c r="L733" s="3"/>
      <c r="M733" s="3"/>
      <c r="N733" s="3"/>
      <c r="O733" s="3"/>
      <c r="P733" s="3"/>
      <c r="Q733" s="3"/>
      <c r="R733" s="3"/>
      <c r="S733" s="3"/>
      <c r="T733" s="3"/>
      <c r="U733" s="3"/>
      <c r="V733" s="3"/>
      <c r="W733" s="3"/>
      <c r="X733" s="3"/>
      <c r="Y733" s="3"/>
      <c r="Z733" s="3"/>
    </row>
    <row r="734" spans="1:26" ht="22.5" customHeight="1" x14ac:dyDescent="0.85">
      <c r="A734" s="166"/>
      <c r="B734" s="167"/>
      <c r="C734" s="167"/>
      <c r="D734" s="147"/>
      <c r="E734" s="147"/>
      <c r="F734" s="147"/>
      <c r="G734" s="147"/>
      <c r="H734" s="147"/>
      <c r="I734" s="147"/>
      <c r="J734" s="147"/>
      <c r="K734" s="3"/>
      <c r="L734" s="3"/>
      <c r="M734" s="3"/>
      <c r="N734" s="3"/>
      <c r="O734" s="3"/>
      <c r="P734" s="3"/>
      <c r="Q734" s="3"/>
      <c r="R734" s="3"/>
      <c r="S734" s="3"/>
      <c r="T734" s="3"/>
      <c r="U734" s="3"/>
      <c r="V734" s="3"/>
      <c r="W734" s="3"/>
      <c r="X734" s="3"/>
      <c r="Y734" s="3"/>
      <c r="Z734" s="3"/>
    </row>
    <row r="735" spans="1:26" ht="22.5" customHeight="1" x14ac:dyDescent="0.85">
      <c r="A735" s="166"/>
      <c r="B735" s="167"/>
      <c r="C735" s="167"/>
      <c r="D735" s="147"/>
      <c r="E735" s="147"/>
      <c r="F735" s="147"/>
      <c r="G735" s="147"/>
      <c r="H735" s="147"/>
      <c r="I735" s="147"/>
      <c r="J735" s="147"/>
      <c r="K735" s="3"/>
      <c r="L735" s="3"/>
      <c r="M735" s="3"/>
      <c r="N735" s="3"/>
      <c r="O735" s="3"/>
      <c r="P735" s="3"/>
      <c r="Q735" s="3"/>
      <c r="R735" s="3"/>
      <c r="S735" s="3"/>
      <c r="T735" s="3"/>
      <c r="U735" s="3"/>
      <c r="V735" s="3"/>
      <c r="W735" s="3"/>
      <c r="X735" s="3"/>
      <c r="Y735" s="3"/>
      <c r="Z735" s="3"/>
    </row>
    <row r="736" spans="1:26" ht="22.5" customHeight="1" x14ac:dyDescent="0.85">
      <c r="A736" s="166"/>
      <c r="B736" s="167"/>
      <c r="C736" s="167"/>
      <c r="D736" s="147"/>
      <c r="E736" s="147"/>
      <c r="F736" s="147"/>
      <c r="G736" s="147"/>
      <c r="H736" s="147"/>
      <c r="I736" s="147"/>
      <c r="J736" s="147"/>
      <c r="K736" s="3"/>
      <c r="L736" s="3"/>
      <c r="M736" s="3"/>
      <c r="N736" s="3"/>
      <c r="O736" s="3"/>
      <c r="P736" s="3"/>
      <c r="Q736" s="3"/>
      <c r="R736" s="3"/>
      <c r="S736" s="3"/>
      <c r="T736" s="3"/>
      <c r="U736" s="3"/>
      <c r="V736" s="3"/>
      <c r="W736" s="3"/>
      <c r="X736" s="3"/>
      <c r="Y736" s="3"/>
      <c r="Z736" s="3"/>
    </row>
    <row r="737" spans="1:26" ht="22.5" customHeight="1" x14ac:dyDescent="0.85">
      <c r="A737" s="166"/>
      <c r="B737" s="167"/>
      <c r="C737" s="167"/>
      <c r="D737" s="147"/>
      <c r="E737" s="147"/>
      <c r="F737" s="147"/>
      <c r="G737" s="147"/>
      <c r="H737" s="147"/>
      <c r="I737" s="147"/>
      <c r="J737" s="147"/>
      <c r="K737" s="3"/>
      <c r="L737" s="3"/>
      <c r="M737" s="3"/>
      <c r="N737" s="3"/>
      <c r="O737" s="3"/>
      <c r="P737" s="3"/>
      <c r="Q737" s="3"/>
      <c r="R737" s="3"/>
      <c r="S737" s="3"/>
      <c r="T737" s="3"/>
      <c r="U737" s="3"/>
      <c r="V737" s="3"/>
      <c r="W737" s="3"/>
      <c r="X737" s="3"/>
      <c r="Y737" s="3"/>
      <c r="Z737" s="3"/>
    </row>
    <row r="738" spans="1:26" ht="22.5" customHeight="1" x14ac:dyDescent="0.85">
      <c r="A738" s="166"/>
      <c r="B738" s="167"/>
      <c r="C738" s="167"/>
      <c r="D738" s="147"/>
      <c r="E738" s="147"/>
      <c r="F738" s="147"/>
      <c r="G738" s="147"/>
      <c r="H738" s="147"/>
      <c r="I738" s="147"/>
      <c r="J738" s="147"/>
      <c r="K738" s="3"/>
      <c r="L738" s="3"/>
      <c r="M738" s="3"/>
      <c r="N738" s="3"/>
      <c r="O738" s="3"/>
      <c r="P738" s="3"/>
      <c r="Q738" s="3"/>
      <c r="R738" s="3"/>
      <c r="S738" s="3"/>
      <c r="T738" s="3"/>
      <c r="U738" s="3"/>
      <c r="V738" s="3"/>
      <c r="W738" s="3"/>
      <c r="X738" s="3"/>
      <c r="Y738" s="3"/>
      <c r="Z738" s="3"/>
    </row>
    <row r="739" spans="1:26" ht="22.5" customHeight="1" x14ac:dyDescent="0.85">
      <c r="A739" s="166"/>
      <c r="B739" s="167"/>
      <c r="C739" s="167"/>
      <c r="D739" s="147"/>
      <c r="E739" s="147"/>
      <c r="F739" s="147"/>
      <c r="G739" s="147"/>
      <c r="H739" s="147"/>
      <c r="I739" s="147"/>
      <c r="J739" s="147"/>
      <c r="K739" s="3"/>
      <c r="L739" s="3"/>
      <c r="M739" s="3"/>
      <c r="N739" s="3"/>
      <c r="O739" s="3"/>
      <c r="P739" s="3"/>
      <c r="Q739" s="3"/>
      <c r="R739" s="3"/>
      <c r="S739" s="3"/>
      <c r="T739" s="3"/>
      <c r="U739" s="3"/>
      <c r="V739" s="3"/>
      <c r="W739" s="3"/>
      <c r="X739" s="3"/>
      <c r="Y739" s="3"/>
      <c r="Z739" s="3"/>
    </row>
    <row r="740" spans="1:26" ht="22.5" customHeight="1" x14ac:dyDescent="0.85">
      <c r="A740" s="166"/>
      <c r="B740" s="167"/>
      <c r="C740" s="167"/>
      <c r="D740" s="147"/>
      <c r="E740" s="147"/>
      <c r="F740" s="147"/>
      <c r="G740" s="147"/>
      <c r="H740" s="147"/>
      <c r="I740" s="147"/>
      <c r="J740" s="147"/>
      <c r="K740" s="3"/>
      <c r="L740" s="3"/>
      <c r="M740" s="3"/>
      <c r="N740" s="3"/>
      <c r="O740" s="3"/>
      <c r="P740" s="3"/>
      <c r="Q740" s="3"/>
      <c r="R740" s="3"/>
      <c r="S740" s="3"/>
      <c r="T740" s="3"/>
      <c r="U740" s="3"/>
      <c r="V740" s="3"/>
      <c r="W740" s="3"/>
      <c r="X740" s="3"/>
      <c r="Y740" s="3"/>
      <c r="Z740" s="3"/>
    </row>
    <row r="741" spans="1:26" ht="22.5" customHeight="1" x14ac:dyDescent="0.85">
      <c r="A741" s="166"/>
      <c r="B741" s="167"/>
      <c r="C741" s="167"/>
      <c r="D741" s="147"/>
      <c r="E741" s="147"/>
      <c r="F741" s="147"/>
      <c r="G741" s="147"/>
      <c r="H741" s="147"/>
      <c r="I741" s="147"/>
      <c r="J741" s="147"/>
      <c r="K741" s="3"/>
      <c r="L741" s="3"/>
      <c r="M741" s="3"/>
      <c r="N741" s="3"/>
      <c r="O741" s="3"/>
      <c r="P741" s="3"/>
      <c r="Q741" s="3"/>
      <c r="R741" s="3"/>
      <c r="S741" s="3"/>
      <c r="T741" s="3"/>
      <c r="U741" s="3"/>
      <c r="V741" s="3"/>
      <c r="W741" s="3"/>
      <c r="X741" s="3"/>
      <c r="Y741" s="3"/>
      <c r="Z741" s="3"/>
    </row>
    <row r="742" spans="1:26" ht="22.5" customHeight="1" x14ac:dyDescent="0.85">
      <c r="A742" s="166"/>
      <c r="B742" s="167"/>
      <c r="C742" s="167"/>
      <c r="D742" s="147"/>
      <c r="E742" s="147"/>
      <c r="F742" s="147"/>
      <c r="G742" s="147"/>
      <c r="H742" s="147"/>
      <c r="I742" s="147"/>
      <c r="J742" s="147"/>
      <c r="K742" s="3"/>
      <c r="L742" s="3"/>
      <c r="M742" s="3"/>
      <c r="N742" s="3"/>
      <c r="O742" s="3"/>
      <c r="P742" s="3"/>
      <c r="Q742" s="3"/>
      <c r="R742" s="3"/>
      <c r="S742" s="3"/>
      <c r="T742" s="3"/>
      <c r="U742" s="3"/>
      <c r="V742" s="3"/>
      <c r="W742" s="3"/>
      <c r="X742" s="3"/>
      <c r="Y742" s="3"/>
      <c r="Z742" s="3"/>
    </row>
    <row r="743" spans="1:26" ht="22.5" customHeight="1" x14ac:dyDescent="0.85">
      <c r="A743" s="166"/>
      <c r="B743" s="167"/>
      <c r="C743" s="167"/>
      <c r="D743" s="147"/>
      <c r="E743" s="147"/>
      <c r="F743" s="147"/>
      <c r="G743" s="147"/>
      <c r="H743" s="147"/>
      <c r="I743" s="147"/>
      <c r="J743" s="147"/>
      <c r="K743" s="3"/>
      <c r="L743" s="3"/>
      <c r="M743" s="3"/>
      <c r="N743" s="3"/>
      <c r="O743" s="3"/>
      <c r="P743" s="3"/>
      <c r="Q743" s="3"/>
      <c r="R743" s="3"/>
      <c r="S743" s="3"/>
      <c r="T743" s="3"/>
      <c r="U743" s="3"/>
      <c r="V743" s="3"/>
      <c r="W743" s="3"/>
      <c r="X743" s="3"/>
      <c r="Y743" s="3"/>
      <c r="Z743" s="3"/>
    </row>
    <row r="744" spans="1:26" ht="22.5" customHeight="1" x14ac:dyDescent="0.85">
      <c r="A744" s="166"/>
      <c r="B744" s="167"/>
      <c r="C744" s="167"/>
      <c r="D744" s="147"/>
      <c r="E744" s="147"/>
      <c r="F744" s="147"/>
      <c r="G744" s="147"/>
      <c r="H744" s="147"/>
      <c r="I744" s="147"/>
      <c r="J744" s="147"/>
      <c r="K744" s="3"/>
      <c r="L744" s="3"/>
      <c r="M744" s="3"/>
      <c r="N744" s="3"/>
      <c r="O744" s="3"/>
      <c r="P744" s="3"/>
      <c r="Q744" s="3"/>
      <c r="R744" s="3"/>
      <c r="S744" s="3"/>
      <c r="T744" s="3"/>
      <c r="U744" s="3"/>
      <c r="V744" s="3"/>
      <c r="W744" s="3"/>
      <c r="X744" s="3"/>
      <c r="Y744" s="3"/>
      <c r="Z744" s="3"/>
    </row>
    <row r="745" spans="1:26" ht="22.5" customHeight="1" x14ac:dyDescent="0.85">
      <c r="A745" s="166"/>
      <c r="B745" s="167"/>
      <c r="C745" s="167"/>
      <c r="D745" s="147"/>
      <c r="E745" s="147"/>
      <c r="F745" s="147"/>
      <c r="G745" s="147"/>
      <c r="H745" s="147"/>
      <c r="I745" s="147"/>
      <c r="J745" s="147"/>
      <c r="K745" s="3"/>
      <c r="L745" s="3"/>
      <c r="M745" s="3"/>
      <c r="N745" s="3"/>
      <c r="O745" s="3"/>
      <c r="P745" s="3"/>
      <c r="Q745" s="3"/>
      <c r="R745" s="3"/>
      <c r="S745" s="3"/>
      <c r="T745" s="3"/>
      <c r="U745" s="3"/>
      <c r="V745" s="3"/>
      <c r="W745" s="3"/>
      <c r="X745" s="3"/>
      <c r="Y745" s="3"/>
      <c r="Z745" s="3"/>
    </row>
    <row r="746" spans="1:26" ht="22.5" customHeight="1" x14ac:dyDescent="0.85">
      <c r="A746" s="166"/>
      <c r="B746" s="167"/>
      <c r="C746" s="167"/>
      <c r="D746" s="147"/>
      <c r="E746" s="147"/>
      <c r="F746" s="147"/>
      <c r="G746" s="147"/>
      <c r="H746" s="147"/>
      <c r="I746" s="147"/>
      <c r="J746" s="147"/>
      <c r="K746" s="3"/>
      <c r="L746" s="3"/>
      <c r="M746" s="3"/>
      <c r="N746" s="3"/>
      <c r="O746" s="3"/>
      <c r="P746" s="3"/>
      <c r="Q746" s="3"/>
      <c r="R746" s="3"/>
      <c r="S746" s="3"/>
      <c r="T746" s="3"/>
      <c r="U746" s="3"/>
      <c r="V746" s="3"/>
      <c r="W746" s="3"/>
      <c r="X746" s="3"/>
      <c r="Y746" s="3"/>
      <c r="Z746" s="3"/>
    </row>
    <row r="747" spans="1:26" ht="22.5" customHeight="1" x14ac:dyDescent="0.85">
      <c r="A747" s="166"/>
      <c r="B747" s="167"/>
      <c r="C747" s="167"/>
      <c r="D747" s="147"/>
      <c r="E747" s="147"/>
      <c r="F747" s="147"/>
      <c r="G747" s="147"/>
      <c r="H747" s="147"/>
      <c r="I747" s="147"/>
      <c r="J747" s="147"/>
      <c r="K747" s="3"/>
      <c r="L747" s="3"/>
      <c r="M747" s="3"/>
      <c r="N747" s="3"/>
      <c r="O747" s="3"/>
      <c r="P747" s="3"/>
      <c r="Q747" s="3"/>
      <c r="R747" s="3"/>
      <c r="S747" s="3"/>
      <c r="T747" s="3"/>
      <c r="U747" s="3"/>
      <c r="V747" s="3"/>
      <c r="W747" s="3"/>
      <c r="X747" s="3"/>
      <c r="Y747" s="3"/>
      <c r="Z747" s="3"/>
    </row>
    <row r="748" spans="1:26" ht="22.5" customHeight="1" x14ac:dyDescent="0.85">
      <c r="A748" s="166"/>
      <c r="B748" s="167"/>
      <c r="C748" s="167"/>
      <c r="D748" s="147"/>
      <c r="E748" s="147"/>
      <c r="F748" s="147"/>
      <c r="G748" s="147"/>
      <c r="H748" s="147"/>
      <c r="I748" s="147"/>
      <c r="J748" s="147"/>
      <c r="K748" s="3"/>
      <c r="L748" s="3"/>
      <c r="M748" s="3"/>
      <c r="N748" s="3"/>
      <c r="O748" s="3"/>
      <c r="P748" s="3"/>
      <c r="Q748" s="3"/>
      <c r="R748" s="3"/>
      <c r="S748" s="3"/>
      <c r="T748" s="3"/>
      <c r="U748" s="3"/>
      <c r="V748" s="3"/>
      <c r="W748" s="3"/>
      <c r="X748" s="3"/>
      <c r="Y748" s="3"/>
      <c r="Z748" s="3"/>
    </row>
    <row r="749" spans="1:26" ht="22.5" customHeight="1" x14ac:dyDescent="0.85">
      <c r="A749" s="166"/>
      <c r="B749" s="167"/>
      <c r="C749" s="167"/>
      <c r="D749" s="147"/>
      <c r="E749" s="147"/>
      <c r="F749" s="147"/>
      <c r="G749" s="147"/>
      <c r="H749" s="147"/>
      <c r="I749" s="147"/>
      <c r="J749" s="147"/>
      <c r="K749" s="3"/>
      <c r="L749" s="3"/>
      <c r="M749" s="3"/>
      <c r="N749" s="3"/>
      <c r="O749" s="3"/>
      <c r="P749" s="3"/>
      <c r="Q749" s="3"/>
      <c r="R749" s="3"/>
      <c r="S749" s="3"/>
      <c r="T749" s="3"/>
      <c r="U749" s="3"/>
      <c r="V749" s="3"/>
      <c r="W749" s="3"/>
      <c r="X749" s="3"/>
      <c r="Y749" s="3"/>
      <c r="Z749" s="3"/>
    </row>
    <row r="750" spans="1:26" ht="22.5" customHeight="1" x14ac:dyDescent="0.85">
      <c r="A750" s="166"/>
      <c r="B750" s="167"/>
      <c r="C750" s="167"/>
      <c r="D750" s="147"/>
      <c r="E750" s="147"/>
      <c r="F750" s="147"/>
      <c r="G750" s="147"/>
      <c r="H750" s="147"/>
      <c r="I750" s="147"/>
      <c r="J750" s="147"/>
      <c r="K750" s="3"/>
      <c r="L750" s="3"/>
      <c r="M750" s="3"/>
      <c r="N750" s="3"/>
      <c r="O750" s="3"/>
      <c r="P750" s="3"/>
      <c r="Q750" s="3"/>
      <c r="R750" s="3"/>
      <c r="S750" s="3"/>
      <c r="T750" s="3"/>
      <c r="U750" s="3"/>
      <c r="V750" s="3"/>
      <c r="W750" s="3"/>
      <c r="X750" s="3"/>
      <c r="Y750" s="3"/>
      <c r="Z750" s="3"/>
    </row>
    <row r="751" spans="1:26" ht="22.5" customHeight="1" x14ac:dyDescent="0.85">
      <c r="A751" s="166"/>
      <c r="B751" s="167"/>
      <c r="C751" s="167"/>
      <c r="D751" s="147"/>
      <c r="E751" s="147"/>
      <c r="F751" s="147"/>
      <c r="G751" s="147"/>
      <c r="H751" s="147"/>
      <c r="I751" s="147"/>
      <c r="J751" s="147"/>
      <c r="K751" s="3"/>
      <c r="L751" s="3"/>
      <c r="M751" s="3"/>
      <c r="N751" s="3"/>
      <c r="O751" s="3"/>
      <c r="P751" s="3"/>
      <c r="Q751" s="3"/>
      <c r="R751" s="3"/>
      <c r="S751" s="3"/>
      <c r="T751" s="3"/>
      <c r="U751" s="3"/>
      <c r="V751" s="3"/>
      <c r="W751" s="3"/>
      <c r="X751" s="3"/>
      <c r="Y751" s="3"/>
      <c r="Z751" s="3"/>
    </row>
    <row r="752" spans="1:26" ht="22.5" customHeight="1" x14ac:dyDescent="0.85">
      <c r="A752" s="166"/>
      <c r="B752" s="167"/>
      <c r="C752" s="167"/>
      <c r="D752" s="147"/>
      <c r="E752" s="147"/>
      <c r="F752" s="147"/>
      <c r="G752" s="147"/>
      <c r="H752" s="147"/>
      <c r="I752" s="147"/>
      <c r="J752" s="147"/>
      <c r="K752" s="3"/>
      <c r="L752" s="3"/>
      <c r="M752" s="3"/>
      <c r="N752" s="3"/>
      <c r="O752" s="3"/>
      <c r="P752" s="3"/>
      <c r="Q752" s="3"/>
      <c r="R752" s="3"/>
      <c r="S752" s="3"/>
      <c r="T752" s="3"/>
      <c r="U752" s="3"/>
      <c r="V752" s="3"/>
      <c r="W752" s="3"/>
      <c r="X752" s="3"/>
      <c r="Y752" s="3"/>
      <c r="Z752" s="3"/>
    </row>
    <row r="753" spans="1:26" ht="22.5" customHeight="1" x14ac:dyDescent="0.85">
      <c r="A753" s="166"/>
      <c r="B753" s="167"/>
      <c r="C753" s="167"/>
      <c r="D753" s="147"/>
      <c r="E753" s="147"/>
      <c r="F753" s="147"/>
      <c r="G753" s="147"/>
      <c r="H753" s="147"/>
      <c r="I753" s="147"/>
      <c r="J753" s="147"/>
      <c r="K753" s="3"/>
      <c r="L753" s="3"/>
      <c r="M753" s="3"/>
      <c r="N753" s="3"/>
      <c r="O753" s="3"/>
      <c r="P753" s="3"/>
      <c r="Q753" s="3"/>
      <c r="R753" s="3"/>
      <c r="S753" s="3"/>
      <c r="T753" s="3"/>
      <c r="U753" s="3"/>
      <c r="V753" s="3"/>
      <c r="W753" s="3"/>
      <c r="X753" s="3"/>
      <c r="Y753" s="3"/>
      <c r="Z753" s="3"/>
    </row>
    <row r="754" spans="1:26" ht="22.5" customHeight="1" x14ac:dyDescent="0.85">
      <c r="A754" s="166"/>
      <c r="B754" s="167"/>
      <c r="C754" s="167"/>
      <c r="D754" s="147"/>
      <c r="E754" s="147"/>
      <c r="F754" s="147"/>
      <c r="G754" s="147"/>
      <c r="H754" s="147"/>
      <c r="I754" s="147"/>
      <c r="J754" s="147"/>
      <c r="K754" s="3"/>
      <c r="L754" s="3"/>
      <c r="M754" s="3"/>
      <c r="N754" s="3"/>
      <c r="O754" s="3"/>
      <c r="P754" s="3"/>
      <c r="Q754" s="3"/>
      <c r="R754" s="3"/>
      <c r="S754" s="3"/>
      <c r="T754" s="3"/>
      <c r="U754" s="3"/>
      <c r="V754" s="3"/>
      <c r="W754" s="3"/>
      <c r="X754" s="3"/>
      <c r="Y754" s="3"/>
      <c r="Z754" s="3"/>
    </row>
    <row r="755" spans="1:26" ht="22.5" customHeight="1" x14ac:dyDescent="0.85">
      <c r="A755" s="166"/>
      <c r="B755" s="167"/>
      <c r="C755" s="167"/>
      <c r="D755" s="147"/>
      <c r="E755" s="147"/>
      <c r="F755" s="147"/>
      <c r="G755" s="147"/>
      <c r="H755" s="147"/>
      <c r="I755" s="147"/>
      <c r="J755" s="147"/>
      <c r="K755" s="3"/>
      <c r="L755" s="3"/>
      <c r="M755" s="3"/>
      <c r="N755" s="3"/>
      <c r="O755" s="3"/>
      <c r="P755" s="3"/>
      <c r="Q755" s="3"/>
      <c r="R755" s="3"/>
      <c r="S755" s="3"/>
      <c r="T755" s="3"/>
      <c r="U755" s="3"/>
      <c r="V755" s="3"/>
      <c r="W755" s="3"/>
      <c r="X755" s="3"/>
      <c r="Y755" s="3"/>
      <c r="Z755" s="3"/>
    </row>
    <row r="756" spans="1:26" ht="22.5" customHeight="1" x14ac:dyDescent="0.85">
      <c r="A756" s="166"/>
      <c r="B756" s="167"/>
      <c r="C756" s="167"/>
      <c r="D756" s="147"/>
      <c r="E756" s="147"/>
      <c r="F756" s="147"/>
      <c r="G756" s="147"/>
      <c r="H756" s="147"/>
      <c r="I756" s="147"/>
      <c r="J756" s="147"/>
      <c r="K756" s="3"/>
      <c r="L756" s="3"/>
      <c r="M756" s="3"/>
      <c r="N756" s="3"/>
      <c r="O756" s="3"/>
      <c r="P756" s="3"/>
      <c r="Q756" s="3"/>
      <c r="R756" s="3"/>
      <c r="S756" s="3"/>
      <c r="T756" s="3"/>
      <c r="U756" s="3"/>
      <c r="V756" s="3"/>
      <c r="W756" s="3"/>
      <c r="X756" s="3"/>
      <c r="Y756" s="3"/>
      <c r="Z756" s="3"/>
    </row>
    <row r="757" spans="1:26" ht="22.5" customHeight="1" x14ac:dyDescent="0.85">
      <c r="A757" s="166"/>
      <c r="B757" s="167"/>
      <c r="C757" s="167"/>
      <c r="D757" s="147"/>
      <c r="E757" s="147"/>
      <c r="F757" s="147"/>
      <c r="G757" s="147"/>
      <c r="H757" s="147"/>
      <c r="I757" s="147"/>
      <c r="J757" s="147"/>
      <c r="K757" s="3"/>
      <c r="L757" s="3"/>
      <c r="M757" s="3"/>
      <c r="N757" s="3"/>
      <c r="O757" s="3"/>
      <c r="P757" s="3"/>
      <c r="Q757" s="3"/>
      <c r="R757" s="3"/>
      <c r="S757" s="3"/>
      <c r="T757" s="3"/>
      <c r="U757" s="3"/>
      <c r="V757" s="3"/>
      <c r="W757" s="3"/>
      <c r="X757" s="3"/>
      <c r="Y757" s="3"/>
      <c r="Z757" s="3"/>
    </row>
    <row r="758" spans="1:26" ht="22.5" customHeight="1" x14ac:dyDescent="0.85">
      <c r="A758" s="166"/>
      <c r="B758" s="167"/>
      <c r="C758" s="167"/>
      <c r="D758" s="147"/>
      <c r="E758" s="147"/>
      <c r="F758" s="147"/>
      <c r="G758" s="147"/>
      <c r="H758" s="147"/>
      <c r="I758" s="147"/>
      <c r="J758" s="147"/>
      <c r="K758" s="3"/>
      <c r="L758" s="3"/>
      <c r="M758" s="3"/>
      <c r="N758" s="3"/>
      <c r="O758" s="3"/>
      <c r="P758" s="3"/>
      <c r="Q758" s="3"/>
      <c r="R758" s="3"/>
      <c r="S758" s="3"/>
      <c r="T758" s="3"/>
      <c r="U758" s="3"/>
      <c r="V758" s="3"/>
      <c r="W758" s="3"/>
      <c r="X758" s="3"/>
      <c r="Y758" s="3"/>
      <c r="Z758" s="3"/>
    </row>
    <row r="759" spans="1:26" ht="22.5" customHeight="1" x14ac:dyDescent="0.85">
      <c r="A759" s="166"/>
      <c r="B759" s="167"/>
      <c r="C759" s="167"/>
      <c r="D759" s="147"/>
      <c r="E759" s="147"/>
      <c r="F759" s="147"/>
      <c r="G759" s="147"/>
      <c r="H759" s="147"/>
      <c r="I759" s="147"/>
      <c r="J759" s="147"/>
      <c r="K759" s="3"/>
      <c r="L759" s="3"/>
      <c r="M759" s="3"/>
      <c r="N759" s="3"/>
      <c r="O759" s="3"/>
      <c r="P759" s="3"/>
      <c r="Q759" s="3"/>
      <c r="R759" s="3"/>
      <c r="S759" s="3"/>
      <c r="T759" s="3"/>
      <c r="U759" s="3"/>
      <c r="V759" s="3"/>
      <c r="W759" s="3"/>
      <c r="X759" s="3"/>
      <c r="Y759" s="3"/>
      <c r="Z759" s="3"/>
    </row>
    <row r="760" spans="1:26" ht="22.5" customHeight="1" x14ac:dyDescent="0.85">
      <c r="A760" s="166"/>
      <c r="B760" s="167"/>
      <c r="C760" s="167"/>
      <c r="D760" s="147"/>
      <c r="E760" s="147"/>
      <c r="F760" s="147"/>
      <c r="G760" s="147"/>
      <c r="H760" s="147"/>
      <c r="I760" s="147"/>
      <c r="J760" s="147"/>
      <c r="K760" s="3"/>
      <c r="L760" s="3"/>
      <c r="M760" s="3"/>
      <c r="N760" s="3"/>
      <c r="O760" s="3"/>
      <c r="P760" s="3"/>
      <c r="Q760" s="3"/>
      <c r="R760" s="3"/>
      <c r="S760" s="3"/>
      <c r="T760" s="3"/>
      <c r="U760" s="3"/>
      <c r="V760" s="3"/>
      <c r="W760" s="3"/>
      <c r="X760" s="3"/>
      <c r="Y760" s="3"/>
      <c r="Z760" s="3"/>
    </row>
    <row r="761" spans="1:26" ht="22.5" customHeight="1" x14ac:dyDescent="0.85">
      <c r="A761" s="166"/>
      <c r="B761" s="167"/>
      <c r="C761" s="167"/>
      <c r="D761" s="147"/>
      <c r="E761" s="147"/>
      <c r="F761" s="147"/>
      <c r="G761" s="147"/>
      <c r="H761" s="147"/>
      <c r="I761" s="147"/>
      <c r="J761" s="147"/>
      <c r="K761" s="3"/>
      <c r="L761" s="3"/>
      <c r="M761" s="3"/>
      <c r="N761" s="3"/>
      <c r="O761" s="3"/>
      <c r="P761" s="3"/>
      <c r="Q761" s="3"/>
      <c r="R761" s="3"/>
      <c r="S761" s="3"/>
      <c r="T761" s="3"/>
      <c r="U761" s="3"/>
      <c r="V761" s="3"/>
      <c r="W761" s="3"/>
      <c r="X761" s="3"/>
      <c r="Y761" s="3"/>
      <c r="Z761" s="3"/>
    </row>
    <row r="762" spans="1:26" ht="22.5" customHeight="1" x14ac:dyDescent="0.85">
      <c r="A762" s="166"/>
      <c r="B762" s="167"/>
      <c r="C762" s="167"/>
      <c r="D762" s="147"/>
      <c r="E762" s="147"/>
      <c r="F762" s="147"/>
      <c r="G762" s="147"/>
      <c r="H762" s="147"/>
      <c r="I762" s="147"/>
      <c r="J762" s="147"/>
      <c r="K762" s="3"/>
      <c r="L762" s="3"/>
      <c r="M762" s="3"/>
      <c r="N762" s="3"/>
      <c r="O762" s="3"/>
      <c r="P762" s="3"/>
      <c r="Q762" s="3"/>
      <c r="R762" s="3"/>
      <c r="S762" s="3"/>
      <c r="T762" s="3"/>
      <c r="U762" s="3"/>
      <c r="V762" s="3"/>
      <c r="W762" s="3"/>
      <c r="X762" s="3"/>
      <c r="Y762" s="3"/>
      <c r="Z762" s="3"/>
    </row>
    <row r="763" spans="1:26" ht="22.5" customHeight="1" x14ac:dyDescent="0.85">
      <c r="A763" s="166"/>
      <c r="B763" s="167"/>
      <c r="C763" s="167"/>
      <c r="D763" s="147"/>
      <c r="E763" s="147"/>
      <c r="F763" s="147"/>
      <c r="G763" s="147"/>
      <c r="H763" s="147"/>
      <c r="I763" s="147"/>
      <c r="J763" s="147"/>
      <c r="K763" s="3"/>
      <c r="L763" s="3"/>
      <c r="M763" s="3"/>
      <c r="N763" s="3"/>
      <c r="O763" s="3"/>
      <c r="P763" s="3"/>
      <c r="Q763" s="3"/>
      <c r="R763" s="3"/>
      <c r="S763" s="3"/>
      <c r="T763" s="3"/>
      <c r="U763" s="3"/>
      <c r="V763" s="3"/>
      <c r="W763" s="3"/>
      <c r="X763" s="3"/>
      <c r="Y763" s="3"/>
      <c r="Z763" s="3"/>
    </row>
    <row r="764" spans="1:26" ht="22.5" customHeight="1" x14ac:dyDescent="0.85">
      <c r="A764" s="166"/>
      <c r="B764" s="167"/>
      <c r="C764" s="167"/>
      <c r="D764" s="147"/>
      <c r="E764" s="147"/>
      <c r="F764" s="147"/>
      <c r="G764" s="147"/>
      <c r="H764" s="147"/>
      <c r="I764" s="147"/>
      <c r="J764" s="147"/>
      <c r="K764" s="3"/>
      <c r="L764" s="3"/>
      <c r="M764" s="3"/>
      <c r="N764" s="3"/>
      <c r="O764" s="3"/>
      <c r="P764" s="3"/>
      <c r="Q764" s="3"/>
      <c r="R764" s="3"/>
      <c r="S764" s="3"/>
      <c r="T764" s="3"/>
      <c r="U764" s="3"/>
      <c r="V764" s="3"/>
      <c r="W764" s="3"/>
      <c r="X764" s="3"/>
      <c r="Y764" s="3"/>
      <c r="Z764" s="3"/>
    </row>
    <row r="765" spans="1:26" ht="22.5" customHeight="1" x14ac:dyDescent="0.85">
      <c r="A765" s="166"/>
      <c r="B765" s="167"/>
      <c r="C765" s="167"/>
      <c r="D765" s="147"/>
      <c r="E765" s="147"/>
      <c r="F765" s="147"/>
      <c r="G765" s="147"/>
      <c r="H765" s="147"/>
      <c r="I765" s="147"/>
      <c r="J765" s="147"/>
      <c r="K765" s="3"/>
      <c r="L765" s="3"/>
      <c r="M765" s="3"/>
      <c r="N765" s="3"/>
      <c r="O765" s="3"/>
      <c r="P765" s="3"/>
      <c r="Q765" s="3"/>
      <c r="R765" s="3"/>
      <c r="S765" s="3"/>
      <c r="T765" s="3"/>
      <c r="U765" s="3"/>
      <c r="V765" s="3"/>
      <c r="W765" s="3"/>
      <c r="X765" s="3"/>
      <c r="Y765" s="3"/>
      <c r="Z765" s="3"/>
    </row>
    <row r="766" spans="1:26" ht="22.5" customHeight="1" x14ac:dyDescent="0.85">
      <c r="A766" s="166"/>
      <c r="B766" s="167"/>
      <c r="C766" s="167"/>
      <c r="D766" s="147"/>
      <c r="E766" s="147"/>
      <c r="F766" s="147"/>
      <c r="G766" s="147"/>
      <c r="H766" s="147"/>
      <c r="I766" s="147"/>
      <c r="J766" s="147"/>
      <c r="K766" s="3"/>
      <c r="L766" s="3"/>
      <c r="M766" s="3"/>
      <c r="N766" s="3"/>
      <c r="O766" s="3"/>
      <c r="P766" s="3"/>
      <c r="Q766" s="3"/>
      <c r="R766" s="3"/>
      <c r="S766" s="3"/>
      <c r="T766" s="3"/>
      <c r="U766" s="3"/>
      <c r="V766" s="3"/>
      <c r="W766" s="3"/>
      <c r="X766" s="3"/>
      <c r="Y766" s="3"/>
      <c r="Z766" s="3"/>
    </row>
    <row r="767" spans="1:26" ht="22.5" customHeight="1" x14ac:dyDescent="0.85">
      <c r="A767" s="166"/>
      <c r="B767" s="167"/>
      <c r="C767" s="167"/>
      <c r="D767" s="147"/>
      <c r="E767" s="147"/>
      <c r="F767" s="147"/>
      <c r="G767" s="147"/>
      <c r="H767" s="147"/>
      <c r="I767" s="147"/>
      <c r="J767" s="147"/>
      <c r="K767" s="3"/>
      <c r="L767" s="3"/>
      <c r="M767" s="3"/>
      <c r="N767" s="3"/>
      <c r="O767" s="3"/>
      <c r="P767" s="3"/>
      <c r="Q767" s="3"/>
      <c r="R767" s="3"/>
      <c r="S767" s="3"/>
      <c r="T767" s="3"/>
      <c r="U767" s="3"/>
      <c r="V767" s="3"/>
      <c r="W767" s="3"/>
      <c r="X767" s="3"/>
      <c r="Y767" s="3"/>
      <c r="Z767" s="3"/>
    </row>
    <row r="768" spans="1:26" ht="22.5" customHeight="1" x14ac:dyDescent="0.85">
      <c r="A768" s="166"/>
      <c r="B768" s="167"/>
      <c r="C768" s="167"/>
      <c r="D768" s="147"/>
      <c r="E768" s="147"/>
      <c r="F768" s="147"/>
      <c r="G768" s="147"/>
      <c r="H768" s="147"/>
      <c r="I768" s="147"/>
      <c r="J768" s="147"/>
      <c r="K768" s="3"/>
      <c r="L768" s="3"/>
      <c r="M768" s="3"/>
      <c r="N768" s="3"/>
      <c r="O768" s="3"/>
      <c r="P768" s="3"/>
      <c r="Q768" s="3"/>
      <c r="R768" s="3"/>
      <c r="S768" s="3"/>
      <c r="T768" s="3"/>
      <c r="U768" s="3"/>
      <c r="V768" s="3"/>
      <c r="W768" s="3"/>
      <c r="X768" s="3"/>
      <c r="Y768" s="3"/>
      <c r="Z768" s="3"/>
    </row>
    <row r="769" spans="1:26" ht="22.5" customHeight="1" x14ac:dyDescent="0.85">
      <c r="A769" s="166"/>
      <c r="B769" s="167"/>
      <c r="C769" s="167"/>
      <c r="D769" s="147"/>
      <c r="E769" s="147"/>
      <c r="F769" s="147"/>
      <c r="G769" s="147"/>
      <c r="H769" s="147"/>
      <c r="I769" s="147"/>
      <c r="J769" s="147"/>
      <c r="K769" s="3"/>
      <c r="L769" s="3"/>
      <c r="M769" s="3"/>
      <c r="N769" s="3"/>
      <c r="O769" s="3"/>
      <c r="P769" s="3"/>
      <c r="Q769" s="3"/>
      <c r="R769" s="3"/>
      <c r="S769" s="3"/>
      <c r="T769" s="3"/>
      <c r="U769" s="3"/>
      <c r="V769" s="3"/>
      <c r="W769" s="3"/>
      <c r="X769" s="3"/>
      <c r="Y769" s="3"/>
      <c r="Z769" s="3"/>
    </row>
    <row r="770" spans="1:26" ht="22.5" customHeight="1" x14ac:dyDescent="0.85">
      <c r="A770" s="166"/>
      <c r="B770" s="167"/>
      <c r="C770" s="167"/>
      <c r="D770" s="147"/>
      <c r="E770" s="147"/>
      <c r="F770" s="147"/>
      <c r="G770" s="147"/>
      <c r="H770" s="147"/>
      <c r="I770" s="147"/>
      <c r="J770" s="147"/>
      <c r="K770" s="3"/>
      <c r="L770" s="3"/>
      <c r="M770" s="3"/>
      <c r="N770" s="3"/>
      <c r="O770" s="3"/>
      <c r="P770" s="3"/>
      <c r="Q770" s="3"/>
      <c r="R770" s="3"/>
      <c r="S770" s="3"/>
      <c r="T770" s="3"/>
      <c r="U770" s="3"/>
      <c r="V770" s="3"/>
      <c r="W770" s="3"/>
      <c r="X770" s="3"/>
      <c r="Y770" s="3"/>
      <c r="Z770" s="3"/>
    </row>
    <row r="771" spans="1:26" ht="22.5" customHeight="1" x14ac:dyDescent="0.85">
      <c r="A771" s="166"/>
      <c r="B771" s="167"/>
      <c r="C771" s="167"/>
      <c r="D771" s="147"/>
      <c r="E771" s="147"/>
      <c r="F771" s="147"/>
      <c r="G771" s="147"/>
      <c r="H771" s="147"/>
      <c r="I771" s="147"/>
      <c r="J771" s="147"/>
      <c r="K771" s="3"/>
      <c r="L771" s="3"/>
      <c r="M771" s="3"/>
      <c r="N771" s="3"/>
      <c r="O771" s="3"/>
      <c r="P771" s="3"/>
      <c r="Q771" s="3"/>
      <c r="R771" s="3"/>
      <c r="S771" s="3"/>
      <c r="T771" s="3"/>
      <c r="U771" s="3"/>
      <c r="V771" s="3"/>
      <c r="W771" s="3"/>
      <c r="X771" s="3"/>
      <c r="Y771" s="3"/>
      <c r="Z771" s="3"/>
    </row>
    <row r="772" spans="1:26" ht="22.5" customHeight="1" x14ac:dyDescent="0.85">
      <c r="A772" s="166"/>
      <c r="B772" s="167"/>
      <c r="C772" s="167"/>
      <c r="D772" s="147"/>
      <c r="E772" s="147"/>
      <c r="F772" s="147"/>
      <c r="G772" s="147"/>
      <c r="H772" s="147"/>
      <c r="I772" s="147"/>
      <c r="J772" s="147"/>
      <c r="K772" s="3"/>
      <c r="L772" s="3"/>
      <c r="M772" s="3"/>
      <c r="N772" s="3"/>
      <c r="O772" s="3"/>
      <c r="P772" s="3"/>
      <c r="Q772" s="3"/>
      <c r="R772" s="3"/>
      <c r="S772" s="3"/>
      <c r="T772" s="3"/>
      <c r="U772" s="3"/>
      <c r="V772" s="3"/>
      <c r="W772" s="3"/>
      <c r="X772" s="3"/>
      <c r="Y772" s="3"/>
      <c r="Z772" s="3"/>
    </row>
    <row r="773" spans="1:26" ht="22.5" customHeight="1" x14ac:dyDescent="0.85">
      <c r="A773" s="166"/>
      <c r="B773" s="167"/>
      <c r="C773" s="167"/>
      <c r="D773" s="147"/>
      <c r="E773" s="147"/>
      <c r="F773" s="147"/>
      <c r="G773" s="147"/>
      <c r="H773" s="147"/>
      <c r="I773" s="147"/>
      <c r="J773" s="147"/>
      <c r="K773" s="3"/>
      <c r="L773" s="3"/>
      <c r="M773" s="3"/>
      <c r="N773" s="3"/>
      <c r="O773" s="3"/>
      <c r="P773" s="3"/>
      <c r="Q773" s="3"/>
      <c r="R773" s="3"/>
      <c r="S773" s="3"/>
      <c r="T773" s="3"/>
      <c r="U773" s="3"/>
      <c r="V773" s="3"/>
      <c r="W773" s="3"/>
      <c r="X773" s="3"/>
      <c r="Y773" s="3"/>
      <c r="Z773" s="3"/>
    </row>
    <row r="774" spans="1:26" ht="22.5" customHeight="1" x14ac:dyDescent="0.85">
      <c r="A774" s="166"/>
      <c r="B774" s="167"/>
      <c r="C774" s="167"/>
      <c r="D774" s="147"/>
      <c r="E774" s="147"/>
      <c r="F774" s="147"/>
      <c r="G774" s="147"/>
      <c r="H774" s="147"/>
      <c r="I774" s="147"/>
      <c r="J774" s="147"/>
      <c r="K774" s="3"/>
      <c r="L774" s="3"/>
      <c r="M774" s="3"/>
      <c r="N774" s="3"/>
      <c r="O774" s="3"/>
      <c r="P774" s="3"/>
      <c r="Q774" s="3"/>
      <c r="R774" s="3"/>
      <c r="S774" s="3"/>
      <c r="T774" s="3"/>
      <c r="U774" s="3"/>
      <c r="V774" s="3"/>
      <c r="W774" s="3"/>
      <c r="X774" s="3"/>
      <c r="Y774" s="3"/>
      <c r="Z774" s="3"/>
    </row>
    <row r="775" spans="1:26" ht="22.5" customHeight="1" x14ac:dyDescent="0.85">
      <c r="A775" s="166"/>
      <c r="B775" s="167"/>
      <c r="C775" s="167"/>
      <c r="D775" s="147"/>
      <c r="E775" s="147"/>
      <c r="F775" s="147"/>
      <c r="G775" s="147"/>
      <c r="H775" s="147"/>
      <c r="I775" s="147"/>
      <c r="J775" s="147"/>
      <c r="K775" s="3"/>
      <c r="L775" s="3"/>
      <c r="M775" s="3"/>
      <c r="N775" s="3"/>
      <c r="O775" s="3"/>
      <c r="P775" s="3"/>
      <c r="Q775" s="3"/>
      <c r="R775" s="3"/>
      <c r="S775" s="3"/>
      <c r="T775" s="3"/>
      <c r="U775" s="3"/>
      <c r="V775" s="3"/>
      <c r="W775" s="3"/>
      <c r="X775" s="3"/>
      <c r="Y775" s="3"/>
      <c r="Z775" s="3"/>
    </row>
    <row r="776" spans="1:26" ht="22.5" customHeight="1" x14ac:dyDescent="0.85">
      <c r="A776" s="166"/>
      <c r="B776" s="167"/>
      <c r="C776" s="167"/>
      <c r="D776" s="147"/>
      <c r="E776" s="147"/>
      <c r="F776" s="147"/>
      <c r="G776" s="147"/>
      <c r="H776" s="147"/>
      <c r="I776" s="147"/>
      <c r="J776" s="147"/>
      <c r="K776" s="3"/>
      <c r="L776" s="3"/>
      <c r="M776" s="3"/>
      <c r="N776" s="3"/>
      <c r="O776" s="3"/>
      <c r="P776" s="3"/>
      <c r="Q776" s="3"/>
      <c r="R776" s="3"/>
      <c r="S776" s="3"/>
      <c r="T776" s="3"/>
      <c r="U776" s="3"/>
      <c r="V776" s="3"/>
      <c r="W776" s="3"/>
      <c r="X776" s="3"/>
      <c r="Y776" s="3"/>
      <c r="Z776" s="3"/>
    </row>
    <row r="777" spans="1:26" ht="22.5" customHeight="1" x14ac:dyDescent="0.85">
      <c r="A777" s="166"/>
      <c r="B777" s="167"/>
      <c r="C777" s="167"/>
      <c r="D777" s="147"/>
      <c r="E777" s="147"/>
      <c r="F777" s="147"/>
      <c r="G777" s="147"/>
      <c r="H777" s="147"/>
      <c r="I777" s="147"/>
      <c r="J777" s="147"/>
      <c r="K777" s="3"/>
      <c r="L777" s="3"/>
      <c r="M777" s="3"/>
      <c r="N777" s="3"/>
      <c r="O777" s="3"/>
      <c r="P777" s="3"/>
      <c r="Q777" s="3"/>
      <c r="R777" s="3"/>
      <c r="S777" s="3"/>
      <c r="T777" s="3"/>
      <c r="U777" s="3"/>
      <c r="V777" s="3"/>
      <c r="W777" s="3"/>
      <c r="X777" s="3"/>
      <c r="Y777" s="3"/>
      <c r="Z777" s="3"/>
    </row>
    <row r="778" spans="1:26" ht="22.5" customHeight="1" x14ac:dyDescent="0.85">
      <c r="A778" s="166"/>
      <c r="B778" s="167"/>
      <c r="C778" s="167"/>
      <c r="D778" s="147"/>
      <c r="E778" s="147"/>
      <c r="F778" s="147"/>
      <c r="G778" s="147"/>
      <c r="H778" s="147"/>
      <c r="I778" s="147"/>
      <c r="J778" s="147"/>
      <c r="K778" s="3"/>
      <c r="L778" s="3"/>
      <c r="M778" s="3"/>
      <c r="N778" s="3"/>
      <c r="O778" s="3"/>
      <c r="P778" s="3"/>
      <c r="Q778" s="3"/>
      <c r="R778" s="3"/>
      <c r="S778" s="3"/>
      <c r="T778" s="3"/>
      <c r="U778" s="3"/>
      <c r="V778" s="3"/>
      <c r="W778" s="3"/>
      <c r="X778" s="3"/>
      <c r="Y778" s="3"/>
      <c r="Z778" s="3"/>
    </row>
    <row r="779" spans="1:26" ht="22.5" customHeight="1" x14ac:dyDescent="0.85">
      <c r="A779" s="166"/>
      <c r="B779" s="167"/>
      <c r="C779" s="167"/>
      <c r="D779" s="147"/>
      <c r="E779" s="147"/>
      <c r="F779" s="147"/>
      <c r="G779" s="147"/>
      <c r="H779" s="147"/>
      <c r="I779" s="147"/>
      <c r="J779" s="147"/>
      <c r="K779" s="3"/>
      <c r="L779" s="3"/>
      <c r="M779" s="3"/>
      <c r="N779" s="3"/>
      <c r="O779" s="3"/>
      <c r="P779" s="3"/>
      <c r="Q779" s="3"/>
      <c r="R779" s="3"/>
      <c r="S779" s="3"/>
      <c r="T779" s="3"/>
      <c r="U779" s="3"/>
      <c r="V779" s="3"/>
      <c r="W779" s="3"/>
      <c r="X779" s="3"/>
      <c r="Y779" s="3"/>
      <c r="Z779" s="3"/>
    </row>
    <row r="780" spans="1:26" ht="22.5" customHeight="1" x14ac:dyDescent="0.85">
      <c r="A780" s="166"/>
      <c r="B780" s="167"/>
      <c r="C780" s="167"/>
      <c r="D780" s="147"/>
      <c r="E780" s="147"/>
      <c r="F780" s="147"/>
      <c r="G780" s="147"/>
      <c r="H780" s="147"/>
      <c r="I780" s="147"/>
      <c r="J780" s="147"/>
      <c r="K780" s="3"/>
      <c r="L780" s="3"/>
      <c r="M780" s="3"/>
      <c r="N780" s="3"/>
      <c r="O780" s="3"/>
      <c r="P780" s="3"/>
      <c r="Q780" s="3"/>
      <c r="R780" s="3"/>
      <c r="S780" s="3"/>
      <c r="T780" s="3"/>
      <c r="U780" s="3"/>
      <c r="V780" s="3"/>
      <c r="W780" s="3"/>
      <c r="X780" s="3"/>
      <c r="Y780" s="3"/>
      <c r="Z780" s="3"/>
    </row>
    <row r="781" spans="1:26" ht="22.5" customHeight="1" x14ac:dyDescent="0.85">
      <c r="A781" s="166"/>
      <c r="B781" s="167"/>
      <c r="C781" s="167"/>
      <c r="D781" s="147"/>
      <c r="E781" s="147"/>
      <c r="F781" s="147"/>
      <c r="G781" s="147"/>
      <c r="H781" s="147"/>
      <c r="I781" s="147"/>
      <c r="J781" s="147"/>
      <c r="K781" s="3"/>
      <c r="L781" s="3"/>
      <c r="M781" s="3"/>
      <c r="N781" s="3"/>
      <c r="O781" s="3"/>
      <c r="P781" s="3"/>
      <c r="Q781" s="3"/>
      <c r="R781" s="3"/>
      <c r="S781" s="3"/>
      <c r="T781" s="3"/>
      <c r="U781" s="3"/>
      <c r="V781" s="3"/>
      <c r="W781" s="3"/>
      <c r="X781" s="3"/>
      <c r="Y781" s="3"/>
      <c r="Z781" s="3"/>
    </row>
    <row r="782" spans="1:26" ht="22.5" customHeight="1" x14ac:dyDescent="0.85">
      <c r="A782" s="166"/>
      <c r="B782" s="167"/>
      <c r="C782" s="167"/>
      <c r="D782" s="147"/>
      <c r="E782" s="147"/>
      <c r="F782" s="147"/>
      <c r="G782" s="147"/>
      <c r="H782" s="147"/>
      <c r="I782" s="147"/>
      <c r="J782" s="147"/>
      <c r="K782" s="3"/>
      <c r="L782" s="3"/>
      <c r="M782" s="3"/>
      <c r="N782" s="3"/>
      <c r="O782" s="3"/>
      <c r="P782" s="3"/>
      <c r="Q782" s="3"/>
      <c r="R782" s="3"/>
      <c r="S782" s="3"/>
      <c r="T782" s="3"/>
      <c r="U782" s="3"/>
      <c r="V782" s="3"/>
      <c r="W782" s="3"/>
      <c r="X782" s="3"/>
      <c r="Y782" s="3"/>
      <c r="Z782" s="3"/>
    </row>
    <row r="783" spans="1:26" ht="22.5" customHeight="1" x14ac:dyDescent="0.85">
      <c r="A783" s="166"/>
      <c r="B783" s="167"/>
      <c r="C783" s="167"/>
      <c r="D783" s="147"/>
      <c r="E783" s="147"/>
      <c r="F783" s="147"/>
      <c r="G783" s="147"/>
      <c r="H783" s="147"/>
      <c r="I783" s="147"/>
      <c r="J783" s="147"/>
      <c r="K783" s="3"/>
      <c r="L783" s="3"/>
      <c r="M783" s="3"/>
      <c r="N783" s="3"/>
      <c r="O783" s="3"/>
      <c r="P783" s="3"/>
      <c r="Q783" s="3"/>
      <c r="R783" s="3"/>
      <c r="S783" s="3"/>
      <c r="T783" s="3"/>
      <c r="U783" s="3"/>
      <c r="V783" s="3"/>
      <c r="W783" s="3"/>
      <c r="X783" s="3"/>
      <c r="Y783" s="3"/>
      <c r="Z783" s="3"/>
    </row>
    <row r="784" spans="1:26" ht="22.5" customHeight="1" x14ac:dyDescent="0.85">
      <c r="A784" s="166"/>
      <c r="B784" s="167"/>
      <c r="C784" s="167"/>
      <c r="D784" s="147"/>
      <c r="E784" s="147"/>
      <c r="F784" s="147"/>
      <c r="G784" s="147"/>
      <c r="H784" s="147"/>
      <c r="I784" s="147"/>
      <c r="J784" s="147"/>
      <c r="K784" s="3"/>
      <c r="L784" s="3"/>
      <c r="M784" s="3"/>
      <c r="N784" s="3"/>
      <c r="O784" s="3"/>
      <c r="P784" s="3"/>
      <c r="Q784" s="3"/>
      <c r="R784" s="3"/>
      <c r="S784" s="3"/>
      <c r="T784" s="3"/>
      <c r="U784" s="3"/>
      <c r="V784" s="3"/>
      <c r="W784" s="3"/>
      <c r="X784" s="3"/>
      <c r="Y784" s="3"/>
      <c r="Z784" s="3"/>
    </row>
    <row r="785" spans="1:26" ht="22.5" customHeight="1" x14ac:dyDescent="0.85">
      <c r="A785" s="166"/>
      <c r="B785" s="167"/>
      <c r="C785" s="167"/>
      <c r="D785" s="147"/>
      <c r="E785" s="147"/>
      <c r="F785" s="147"/>
      <c r="G785" s="147"/>
      <c r="H785" s="147"/>
      <c r="I785" s="147"/>
      <c r="J785" s="147"/>
      <c r="K785" s="3"/>
      <c r="L785" s="3"/>
      <c r="M785" s="3"/>
      <c r="N785" s="3"/>
      <c r="O785" s="3"/>
      <c r="P785" s="3"/>
      <c r="Q785" s="3"/>
      <c r="R785" s="3"/>
      <c r="S785" s="3"/>
      <c r="T785" s="3"/>
      <c r="U785" s="3"/>
      <c r="V785" s="3"/>
      <c r="W785" s="3"/>
      <c r="X785" s="3"/>
      <c r="Y785" s="3"/>
      <c r="Z785" s="3"/>
    </row>
    <row r="786" spans="1:26" ht="22.5" customHeight="1" x14ac:dyDescent="0.85">
      <c r="A786" s="166"/>
      <c r="B786" s="167"/>
      <c r="C786" s="167"/>
      <c r="D786" s="147"/>
      <c r="E786" s="147"/>
      <c r="F786" s="147"/>
      <c r="G786" s="147"/>
      <c r="H786" s="147"/>
      <c r="I786" s="147"/>
      <c r="J786" s="147"/>
      <c r="K786" s="3"/>
      <c r="L786" s="3"/>
      <c r="M786" s="3"/>
      <c r="N786" s="3"/>
      <c r="O786" s="3"/>
      <c r="P786" s="3"/>
      <c r="Q786" s="3"/>
      <c r="R786" s="3"/>
      <c r="S786" s="3"/>
      <c r="T786" s="3"/>
      <c r="U786" s="3"/>
      <c r="V786" s="3"/>
      <c r="W786" s="3"/>
      <c r="X786" s="3"/>
      <c r="Y786" s="3"/>
      <c r="Z786" s="3"/>
    </row>
    <row r="787" spans="1:26" ht="22.5" customHeight="1" x14ac:dyDescent="0.85">
      <c r="A787" s="166"/>
      <c r="B787" s="167"/>
      <c r="C787" s="167"/>
      <c r="D787" s="147"/>
      <c r="E787" s="147"/>
      <c r="F787" s="147"/>
      <c r="G787" s="147"/>
      <c r="H787" s="147"/>
      <c r="I787" s="147"/>
      <c r="J787" s="147"/>
      <c r="K787" s="3"/>
      <c r="L787" s="3"/>
      <c r="M787" s="3"/>
      <c r="N787" s="3"/>
      <c r="O787" s="3"/>
      <c r="P787" s="3"/>
      <c r="Q787" s="3"/>
      <c r="R787" s="3"/>
      <c r="S787" s="3"/>
      <c r="T787" s="3"/>
      <c r="U787" s="3"/>
      <c r="V787" s="3"/>
      <c r="W787" s="3"/>
      <c r="X787" s="3"/>
      <c r="Y787" s="3"/>
      <c r="Z787" s="3"/>
    </row>
    <row r="788" spans="1:26" ht="22.5" customHeight="1" x14ac:dyDescent="0.85">
      <c r="A788" s="166"/>
      <c r="B788" s="167"/>
      <c r="C788" s="167"/>
      <c r="D788" s="147"/>
      <c r="E788" s="147"/>
      <c r="F788" s="147"/>
      <c r="G788" s="147"/>
      <c r="H788" s="147"/>
      <c r="I788" s="147"/>
      <c r="J788" s="147"/>
      <c r="K788" s="3"/>
      <c r="L788" s="3"/>
      <c r="M788" s="3"/>
      <c r="N788" s="3"/>
      <c r="O788" s="3"/>
      <c r="P788" s="3"/>
      <c r="Q788" s="3"/>
      <c r="R788" s="3"/>
      <c r="S788" s="3"/>
      <c r="T788" s="3"/>
      <c r="U788" s="3"/>
      <c r="V788" s="3"/>
      <c r="W788" s="3"/>
      <c r="X788" s="3"/>
      <c r="Y788" s="3"/>
      <c r="Z788" s="3"/>
    </row>
    <row r="789" spans="1:26" ht="22.5" customHeight="1" x14ac:dyDescent="0.85">
      <c r="A789" s="166"/>
      <c r="B789" s="167"/>
      <c r="C789" s="167"/>
      <c r="D789" s="147"/>
      <c r="E789" s="147"/>
      <c r="F789" s="147"/>
      <c r="G789" s="147"/>
      <c r="H789" s="147"/>
      <c r="I789" s="147"/>
      <c r="J789" s="147"/>
      <c r="K789" s="3"/>
      <c r="L789" s="3"/>
      <c r="M789" s="3"/>
      <c r="N789" s="3"/>
      <c r="O789" s="3"/>
      <c r="P789" s="3"/>
      <c r="Q789" s="3"/>
      <c r="R789" s="3"/>
      <c r="S789" s="3"/>
      <c r="T789" s="3"/>
      <c r="U789" s="3"/>
      <c r="V789" s="3"/>
      <c r="W789" s="3"/>
      <c r="X789" s="3"/>
      <c r="Y789" s="3"/>
      <c r="Z789" s="3"/>
    </row>
    <row r="790" spans="1:26" ht="22.5" customHeight="1" x14ac:dyDescent="0.85">
      <c r="A790" s="166"/>
      <c r="B790" s="167"/>
      <c r="C790" s="167"/>
      <c r="D790" s="147"/>
      <c r="E790" s="147"/>
      <c r="F790" s="147"/>
      <c r="G790" s="147"/>
      <c r="H790" s="147"/>
      <c r="I790" s="147"/>
      <c r="J790" s="147"/>
      <c r="K790" s="3"/>
      <c r="L790" s="3"/>
      <c r="M790" s="3"/>
      <c r="N790" s="3"/>
      <c r="O790" s="3"/>
      <c r="P790" s="3"/>
      <c r="Q790" s="3"/>
      <c r="R790" s="3"/>
      <c r="S790" s="3"/>
      <c r="T790" s="3"/>
      <c r="U790" s="3"/>
      <c r="V790" s="3"/>
      <c r="W790" s="3"/>
      <c r="X790" s="3"/>
      <c r="Y790" s="3"/>
      <c r="Z790" s="3"/>
    </row>
    <row r="791" spans="1:26" ht="22.5" customHeight="1" x14ac:dyDescent="0.85">
      <c r="A791" s="166"/>
      <c r="B791" s="167"/>
      <c r="C791" s="167"/>
      <c r="D791" s="147"/>
      <c r="E791" s="147"/>
      <c r="F791" s="147"/>
      <c r="G791" s="147"/>
      <c r="H791" s="147"/>
      <c r="I791" s="147"/>
      <c r="J791" s="147"/>
      <c r="K791" s="3"/>
      <c r="L791" s="3"/>
      <c r="M791" s="3"/>
      <c r="N791" s="3"/>
      <c r="O791" s="3"/>
      <c r="P791" s="3"/>
      <c r="Q791" s="3"/>
      <c r="R791" s="3"/>
      <c r="S791" s="3"/>
      <c r="T791" s="3"/>
      <c r="U791" s="3"/>
      <c r="V791" s="3"/>
      <c r="W791" s="3"/>
      <c r="X791" s="3"/>
      <c r="Y791" s="3"/>
      <c r="Z791" s="3"/>
    </row>
    <row r="792" spans="1:26" ht="22.5" customHeight="1" x14ac:dyDescent="0.85">
      <c r="A792" s="166"/>
      <c r="B792" s="167"/>
      <c r="C792" s="167"/>
      <c r="D792" s="147"/>
      <c r="E792" s="147"/>
      <c r="F792" s="147"/>
      <c r="G792" s="147"/>
      <c r="H792" s="147"/>
      <c r="I792" s="147"/>
      <c r="J792" s="147"/>
      <c r="K792" s="3"/>
      <c r="L792" s="3"/>
      <c r="M792" s="3"/>
      <c r="N792" s="3"/>
      <c r="O792" s="3"/>
      <c r="P792" s="3"/>
      <c r="Q792" s="3"/>
      <c r="R792" s="3"/>
      <c r="S792" s="3"/>
      <c r="T792" s="3"/>
      <c r="U792" s="3"/>
      <c r="V792" s="3"/>
      <c r="W792" s="3"/>
      <c r="X792" s="3"/>
      <c r="Y792" s="3"/>
      <c r="Z792" s="3"/>
    </row>
    <row r="793" spans="1:26" ht="22.5" customHeight="1" x14ac:dyDescent="0.85">
      <c r="A793" s="166"/>
      <c r="B793" s="167"/>
      <c r="C793" s="167"/>
      <c r="D793" s="147"/>
      <c r="E793" s="147"/>
      <c r="F793" s="147"/>
      <c r="G793" s="147"/>
      <c r="H793" s="147"/>
      <c r="I793" s="147"/>
      <c r="J793" s="147"/>
      <c r="K793" s="3"/>
      <c r="L793" s="3"/>
      <c r="M793" s="3"/>
      <c r="N793" s="3"/>
      <c r="O793" s="3"/>
      <c r="P793" s="3"/>
      <c r="Q793" s="3"/>
      <c r="R793" s="3"/>
      <c r="S793" s="3"/>
      <c r="T793" s="3"/>
      <c r="U793" s="3"/>
      <c r="V793" s="3"/>
      <c r="W793" s="3"/>
      <c r="X793" s="3"/>
      <c r="Y793" s="3"/>
      <c r="Z793" s="3"/>
    </row>
    <row r="794" spans="1:26" ht="22.5" customHeight="1" x14ac:dyDescent="0.85">
      <c r="A794" s="166"/>
      <c r="B794" s="167"/>
      <c r="C794" s="167"/>
      <c r="D794" s="147"/>
      <c r="E794" s="147"/>
      <c r="F794" s="147"/>
      <c r="G794" s="147"/>
      <c r="H794" s="147"/>
      <c r="I794" s="147"/>
      <c r="J794" s="147"/>
      <c r="K794" s="3"/>
      <c r="L794" s="3"/>
      <c r="M794" s="3"/>
      <c r="N794" s="3"/>
      <c r="O794" s="3"/>
      <c r="P794" s="3"/>
      <c r="Q794" s="3"/>
      <c r="R794" s="3"/>
      <c r="S794" s="3"/>
      <c r="T794" s="3"/>
      <c r="U794" s="3"/>
      <c r="V794" s="3"/>
      <c r="W794" s="3"/>
      <c r="X794" s="3"/>
      <c r="Y794" s="3"/>
      <c r="Z794" s="3"/>
    </row>
    <row r="795" spans="1:26" ht="22.5" customHeight="1" x14ac:dyDescent="0.85">
      <c r="A795" s="166"/>
      <c r="B795" s="167"/>
      <c r="C795" s="167"/>
      <c r="D795" s="147"/>
      <c r="E795" s="147"/>
      <c r="F795" s="147"/>
      <c r="G795" s="147"/>
      <c r="H795" s="147"/>
      <c r="I795" s="147"/>
      <c r="J795" s="147"/>
      <c r="K795" s="3"/>
      <c r="L795" s="3"/>
      <c r="M795" s="3"/>
      <c r="N795" s="3"/>
      <c r="O795" s="3"/>
      <c r="P795" s="3"/>
      <c r="Q795" s="3"/>
      <c r="R795" s="3"/>
      <c r="S795" s="3"/>
      <c r="T795" s="3"/>
      <c r="U795" s="3"/>
      <c r="V795" s="3"/>
      <c r="W795" s="3"/>
      <c r="X795" s="3"/>
      <c r="Y795" s="3"/>
      <c r="Z795" s="3"/>
    </row>
    <row r="796" spans="1:26" ht="22.5" customHeight="1" x14ac:dyDescent="0.85">
      <c r="A796" s="166"/>
      <c r="B796" s="167"/>
      <c r="C796" s="167"/>
      <c r="D796" s="147"/>
      <c r="E796" s="147"/>
      <c r="F796" s="147"/>
      <c r="G796" s="147"/>
      <c r="H796" s="147"/>
      <c r="I796" s="147"/>
      <c r="J796" s="147"/>
      <c r="K796" s="3"/>
      <c r="L796" s="3"/>
      <c r="M796" s="3"/>
      <c r="N796" s="3"/>
      <c r="O796" s="3"/>
      <c r="P796" s="3"/>
      <c r="Q796" s="3"/>
      <c r="R796" s="3"/>
      <c r="S796" s="3"/>
      <c r="T796" s="3"/>
      <c r="U796" s="3"/>
      <c r="V796" s="3"/>
      <c r="W796" s="3"/>
      <c r="X796" s="3"/>
      <c r="Y796" s="3"/>
      <c r="Z796" s="3"/>
    </row>
    <row r="797" spans="1:26" ht="22.5" customHeight="1" x14ac:dyDescent="0.85">
      <c r="A797" s="166"/>
      <c r="B797" s="167"/>
      <c r="C797" s="167"/>
      <c r="D797" s="147"/>
      <c r="E797" s="147"/>
      <c r="F797" s="147"/>
      <c r="G797" s="147"/>
      <c r="H797" s="147"/>
      <c r="I797" s="147"/>
      <c r="J797" s="147"/>
      <c r="K797" s="3"/>
      <c r="L797" s="3"/>
      <c r="M797" s="3"/>
      <c r="N797" s="3"/>
      <c r="O797" s="3"/>
      <c r="P797" s="3"/>
      <c r="Q797" s="3"/>
      <c r="R797" s="3"/>
      <c r="S797" s="3"/>
      <c r="T797" s="3"/>
      <c r="U797" s="3"/>
      <c r="V797" s="3"/>
      <c r="W797" s="3"/>
      <c r="X797" s="3"/>
      <c r="Y797" s="3"/>
      <c r="Z797" s="3"/>
    </row>
    <row r="798" spans="1:26" ht="22.5" customHeight="1" x14ac:dyDescent="0.85">
      <c r="A798" s="166"/>
      <c r="B798" s="167"/>
      <c r="C798" s="167"/>
      <c r="D798" s="147"/>
      <c r="E798" s="147"/>
      <c r="F798" s="147"/>
      <c r="G798" s="147"/>
      <c r="H798" s="147"/>
      <c r="I798" s="147"/>
      <c r="J798" s="147"/>
      <c r="K798" s="3"/>
      <c r="L798" s="3"/>
      <c r="M798" s="3"/>
      <c r="N798" s="3"/>
      <c r="O798" s="3"/>
      <c r="P798" s="3"/>
      <c r="Q798" s="3"/>
      <c r="R798" s="3"/>
      <c r="S798" s="3"/>
      <c r="T798" s="3"/>
      <c r="U798" s="3"/>
      <c r="V798" s="3"/>
      <c r="W798" s="3"/>
      <c r="X798" s="3"/>
      <c r="Y798" s="3"/>
      <c r="Z798" s="3"/>
    </row>
    <row r="799" spans="1:26" ht="22.5" customHeight="1" x14ac:dyDescent="0.85">
      <c r="A799" s="166"/>
      <c r="B799" s="167"/>
      <c r="C799" s="167"/>
      <c r="D799" s="147"/>
      <c r="E799" s="147"/>
      <c r="F799" s="147"/>
      <c r="G799" s="147"/>
      <c r="H799" s="147"/>
      <c r="I799" s="147"/>
      <c r="J799" s="147"/>
      <c r="K799" s="3"/>
      <c r="L799" s="3"/>
      <c r="M799" s="3"/>
      <c r="N799" s="3"/>
      <c r="O799" s="3"/>
      <c r="P799" s="3"/>
      <c r="Q799" s="3"/>
      <c r="R799" s="3"/>
      <c r="S799" s="3"/>
      <c r="T799" s="3"/>
      <c r="U799" s="3"/>
      <c r="V799" s="3"/>
      <c r="W799" s="3"/>
      <c r="X799" s="3"/>
      <c r="Y799" s="3"/>
      <c r="Z799" s="3"/>
    </row>
    <row r="800" spans="1:26" ht="22.5" customHeight="1" x14ac:dyDescent="0.85">
      <c r="A800" s="166"/>
      <c r="B800" s="167"/>
      <c r="C800" s="167"/>
      <c r="D800" s="147"/>
      <c r="E800" s="147"/>
      <c r="F800" s="147"/>
      <c r="G800" s="147"/>
      <c r="H800" s="147"/>
      <c r="I800" s="147"/>
      <c r="J800" s="147"/>
      <c r="K800" s="3"/>
      <c r="L800" s="3"/>
      <c r="M800" s="3"/>
      <c r="N800" s="3"/>
      <c r="O800" s="3"/>
      <c r="P800" s="3"/>
      <c r="Q800" s="3"/>
      <c r="R800" s="3"/>
      <c r="S800" s="3"/>
      <c r="T800" s="3"/>
      <c r="U800" s="3"/>
      <c r="V800" s="3"/>
      <c r="W800" s="3"/>
      <c r="X800" s="3"/>
      <c r="Y800" s="3"/>
      <c r="Z800" s="3"/>
    </row>
    <row r="801" spans="1:26" ht="22.5" customHeight="1" x14ac:dyDescent="0.85">
      <c r="A801" s="166"/>
      <c r="B801" s="167"/>
      <c r="C801" s="167"/>
      <c r="D801" s="147"/>
      <c r="E801" s="147"/>
      <c r="F801" s="147"/>
      <c r="G801" s="147"/>
      <c r="H801" s="147"/>
      <c r="I801" s="147"/>
      <c r="J801" s="147"/>
      <c r="K801" s="3"/>
      <c r="L801" s="3"/>
      <c r="M801" s="3"/>
      <c r="N801" s="3"/>
      <c r="O801" s="3"/>
      <c r="P801" s="3"/>
      <c r="Q801" s="3"/>
      <c r="R801" s="3"/>
      <c r="S801" s="3"/>
      <c r="T801" s="3"/>
      <c r="U801" s="3"/>
      <c r="V801" s="3"/>
      <c r="W801" s="3"/>
      <c r="X801" s="3"/>
      <c r="Y801" s="3"/>
      <c r="Z801" s="3"/>
    </row>
    <row r="802" spans="1:26" ht="22.5" customHeight="1" x14ac:dyDescent="0.85">
      <c r="A802" s="166"/>
      <c r="B802" s="167"/>
      <c r="C802" s="167"/>
      <c r="D802" s="147"/>
      <c r="E802" s="147"/>
      <c r="F802" s="147"/>
      <c r="G802" s="147"/>
      <c r="H802" s="147"/>
      <c r="I802" s="147"/>
      <c r="J802" s="147"/>
      <c r="K802" s="3"/>
      <c r="L802" s="3"/>
      <c r="M802" s="3"/>
      <c r="N802" s="3"/>
      <c r="O802" s="3"/>
      <c r="P802" s="3"/>
      <c r="Q802" s="3"/>
      <c r="R802" s="3"/>
      <c r="S802" s="3"/>
      <c r="T802" s="3"/>
      <c r="U802" s="3"/>
      <c r="V802" s="3"/>
      <c r="W802" s="3"/>
      <c r="X802" s="3"/>
      <c r="Y802" s="3"/>
      <c r="Z802" s="3"/>
    </row>
    <row r="803" spans="1:26" ht="22.5" customHeight="1" x14ac:dyDescent="0.85">
      <c r="A803" s="166"/>
      <c r="B803" s="167"/>
      <c r="C803" s="167"/>
      <c r="D803" s="147"/>
      <c r="E803" s="147"/>
      <c r="F803" s="147"/>
      <c r="G803" s="147"/>
      <c r="H803" s="147"/>
      <c r="I803" s="147"/>
      <c r="J803" s="147"/>
      <c r="K803" s="3"/>
      <c r="L803" s="3"/>
      <c r="M803" s="3"/>
      <c r="N803" s="3"/>
      <c r="O803" s="3"/>
      <c r="P803" s="3"/>
      <c r="Q803" s="3"/>
      <c r="R803" s="3"/>
      <c r="S803" s="3"/>
      <c r="T803" s="3"/>
      <c r="U803" s="3"/>
      <c r="V803" s="3"/>
      <c r="W803" s="3"/>
      <c r="X803" s="3"/>
      <c r="Y803" s="3"/>
      <c r="Z803" s="3"/>
    </row>
    <row r="804" spans="1:26" ht="22.5" customHeight="1" x14ac:dyDescent="0.85">
      <c r="A804" s="166"/>
      <c r="B804" s="167"/>
      <c r="C804" s="167"/>
      <c r="D804" s="147"/>
      <c r="E804" s="147"/>
      <c r="F804" s="147"/>
      <c r="G804" s="147"/>
      <c r="H804" s="147"/>
      <c r="I804" s="147"/>
      <c r="J804" s="147"/>
      <c r="K804" s="3"/>
      <c r="L804" s="3"/>
      <c r="M804" s="3"/>
      <c r="N804" s="3"/>
      <c r="O804" s="3"/>
      <c r="P804" s="3"/>
      <c r="Q804" s="3"/>
      <c r="R804" s="3"/>
      <c r="S804" s="3"/>
      <c r="T804" s="3"/>
      <c r="U804" s="3"/>
      <c r="V804" s="3"/>
      <c r="W804" s="3"/>
      <c r="X804" s="3"/>
      <c r="Y804" s="3"/>
      <c r="Z804" s="3"/>
    </row>
    <row r="805" spans="1:26" ht="22.5" customHeight="1" x14ac:dyDescent="0.85">
      <c r="A805" s="166"/>
      <c r="B805" s="167"/>
      <c r="C805" s="167"/>
      <c r="D805" s="147"/>
      <c r="E805" s="147"/>
      <c r="F805" s="147"/>
      <c r="G805" s="147"/>
      <c r="H805" s="147"/>
      <c r="I805" s="147"/>
      <c r="J805" s="147"/>
      <c r="K805" s="3"/>
      <c r="L805" s="3"/>
      <c r="M805" s="3"/>
      <c r="N805" s="3"/>
      <c r="O805" s="3"/>
      <c r="P805" s="3"/>
      <c r="Q805" s="3"/>
      <c r="R805" s="3"/>
      <c r="S805" s="3"/>
      <c r="T805" s="3"/>
      <c r="U805" s="3"/>
      <c r="V805" s="3"/>
      <c r="W805" s="3"/>
      <c r="X805" s="3"/>
      <c r="Y805" s="3"/>
      <c r="Z805" s="3"/>
    </row>
    <row r="806" spans="1:26" ht="22.5" customHeight="1" x14ac:dyDescent="0.85">
      <c r="A806" s="166"/>
      <c r="B806" s="167"/>
      <c r="C806" s="167"/>
      <c r="D806" s="147"/>
      <c r="E806" s="147"/>
      <c r="F806" s="147"/>
      <c r="G806" s="147"/>
      <c r="H806" s="147"/>
      <c r="I806" s="147"/>
      <c r="J806" s="147"/>
      <c r="K806" s="3"/>
      <c r="L806" s="3"/>
      <c r="M806" s="3"/>
      <c r="N806" s="3"/>
      <c r="O806" s="3"/>
      <c r="P806" s="3"/>
      <c r="Q806" s="3"/>
      <c r="R806" s="3"/>
      <c r="S806" s="3"/>
      <c r="T806" s="3"/>
      <c r="U806" s="3"/>
      <c r="V806" s="3"/>
      <c r="W806" s="3"/>
      <c r="X806" s="3"/>
      <c r="Y806" s="3"/>
      <c r="Z806" s="3"/>
    </row>
    <row r="807" spans="1:26" ht="22.5" customHeight="1" x14ac:dyDescent="0.85">
      <c r="A807" s="166"/>
      <c r="B807" s="167"/>
      <c r="C807" s="167"/>
      <c r="D807" s="147"/>
      <c r="E807" s="147"/>
      <c r="F807" s="147"/>
      <c r="G807" s="147"/>
      <c r="H807" s="147"/>
      <c r="I807" s="147"/>
      <c r="J807" s="147"/>
      <c r="K807" s="3"/>
      <c r="L807" s="3"/>
      <c r="M807" s="3"/>
      <c r="N807" s="3"/>
      <c r="O807" s="3"/>
      <c r="P807" s="3"/>
      <c r="Q807" s="3"/>
      <c r="R807" s="3"/>
      <c r="S807" s="3"/>
      <c r="T807" s="3"/>
      <c r="U807" s="3"/>
      <c r="V807" s="3"/>
      <c r="W807" s="3"/>
      <c r="X807" s="3"/>
      <c r="Y807" s="3"/>
      <c r="Z807" s="3"/>
    </row>
    <row r="808" spans="1:26" ht="22.5" customHeight="1" x14ac:dyDescent="0.85">
      <c r="A808" s="166"/>
      <c r="B808" s="167"/>
      <c r="C808" s="167"/>
      <c r="D808" s="147"/>
      <c r="E808" s="147"/>
      <c r="F808" s="147"/>
      <c r="G808" s="147"/>
      <c r="H808" s="147"/>
      <c r="I808" s="147"/>
      <c r="J808" s="147"/>
      <c r="K808" s="3"/>
      <c r="L808" s="3"/>
      <c r="M808" s="3"/>
      <c r="N808" s="3"/>
      <c r="O808" s="3"/>
      <c r="P808" s="3"/>
      <c r="Q808" s="3"/>
      <c r="R808" s="3"/>
      <c r="S808" s="3"/>
      <c r="T808" s="3"/>
      <c r="U808" s="3"/>
      <c r="V808" s="3"/>
      <c r="W808" s="3"/>
      <c r="X808" s="3"/>
      <c r="Y808" s="3"/>
      <c r="Z808" s="3"/>
    </row>
    <row r="809" spans="1:26" ht="22.5" customHeight="1" x14ac:dyDescent="0.85">
      <c r="A809" s="166"/>
      <c r="B809" s="167"/>
      <c r="C809" s="167"/>
      <c r="D809" s="147"/>
      <c r="E809" s="147"/>
      <c r="F809" s="147"/>
      <c r="G809" s="147"/>
      <c r="H809" s="147"/>
      <c r="I809" s="147"/>
      <c r="J809" s="147"/>
      <c r="K809" s="3"/>
      <c r="L809" s="3"/>
      <c r="M809" s="3"/>
      <c r="N809" s="3"/>
      <c r="O809" s="3"/>
      <c r="P809" s="3"/>
      <c r="Q809" s="3"/>
      <c r="R809" s="3"/>
      <c r="S809" s="3"/>
      <c r="T809" s="3"/>
      <c r="U809" s="3"/>
      <c r="V809" s="3"/>
      <c r="W809" s="3"/>
      <c r="X809" s="3"/>
      <c r="Y809" s="3"/>
      <c r="Z809" s="3"/>
    </row>
    <row r="810" spans="1:26" ht="22.5" customHeight="1" x14ac:dyDescent="0.85">
      <c r="A810" s="166"/>
      <c r="B810" s="167"/>
      <c r="C810" s="167"/>
      <c r="D810" s="147"/>
      <c r="E810" s="147"/>
      <c r="F810" s="147"/>
      <c r="G810" s="147"/>
      <c r="H810" s="147"/>
      <c r="I810" s="147"/>
      <c r="J810" s="147"/>
      <c r="K810" s="3"/>
      <c r="L810" s="3"/>
      <c r="M810" s="3"/>
      <c r="N810" s="3"/>
      <c r="O810" s="3"/>
      <c r="P810" s="3"/>
      <c r="Q810" s="3"/>
      <c r="R810" s="3"/>
      <c r="S810" s="3"/>
      <c r="T810" s="3"/>
      <c r="U810" s="3"/>
      <c r="V810" s="3"/>
      <c r="W810" s="3"/>
      <c r="X810" s="3"/>
      <c r="Y810" s="3"/>
      <c r="Z810" s="3"/>
    </row>
    <row r="811" spans="1:26" ht="22.5" customHeight="1" x14ac:dyDescent="0.85">
      <c r="A811" s="166"/>
      <c r="B811" s="167"/>
      <c r="C811" s="167"/>
      <c r="D811" s="147"/>
      <c r="E811" s="147"/>
      <c r="F811" s="147"/>
      <c r="G811" s="147"/>
      <c r="H811" s="147"/>
      <c r="I811" s="147"/>
      <c r="J811" s="147"/>
      <c r="K811" s="3"/>
      <c r="L811" s="3"/>
      <c r="M811" s="3"/>
      <c r="N811" s="3"/>
      <c r="O811" s="3"/>
      <c r="P811" s="3"/>
      <c r="Q811" s="3"/>
      <c r="R811" s="3"/>
      <c r="S811" s="3"/>
      <c r="T811" s="3"/>
      <c r="U811" s="3"/>
      <c r="V811" s="3"/>
      <c r="W811" s="3"/>
      <c r="X811" s="3"/>
      <c r="Y811" s="3"/>
      <c r="Z811" s="3"/>
    </row>
    <row r="812" spans="1:26" ht="22.5" customHeight="1" x14ac:dyDescent="0.85">
      <c r="A812" s="166"/>
      <c r="B812" s="167"/>
      <c r="C812" s="167"/>
      <c r="D812" s="147"/>
      <c r="E812" s="147"/>
      <c r="F812" s="147"/>
      <c r="G812" s="147"/>
      <c r="H812" s="147"/>
      <c r="I812" s="147"/>
      <c r="J812" s="147"/>
      <c r="K812" s="3"/>
      <c r="L812" s="3"/>
      <c r="M812" s="3"/>
      <c r="N812" s="3"/>
      <c r="O812" s="3"/>
      <c r="P812" s="3"/>
      <c r="Q812" s="3"/>
      <c r="R812" s="3"/>
      <c r="S812" s="3"/>
      <c r="T812" s="3"/>
      <c r="U812" s="3"/>
      <c r="V812" s="3"/>
      <c r="W812" s="3"/>
      <c r="X812" s="3"/>
      <c r="Y812" s="3"/>
      <c r="Z812" s="3"/>
    </row>
    <row r="813" spans="1:26" ht="22.5" customHeight="1" x14ac:dyDescent="0.85">
      <c r="A813" s="166"/>
      <c r="B813" s="167"/>
      <c r="C813" s="167"/>
      <c r="D813" s="147"/>
      <c r="E813" s="147"/>
      <c r="F813" s="147"/>
      <c r="G813" s="147"/>
      <c r="H813" s="147"/>
      <c r="I813" s="147"/>
      <c r="J813" s="147"/>
      <c r="K813" s="3"/>
      <c r="L813" s="3"/>
      <c r="M813" s="3"/>
      <c r="N813" s="3"/>
      <c r="O813" s="3"/>
      <c r="P813" s="3"/>
      <c r="Q813" s="3"/>
      <c r="R813" s="3"/>
      <c r="S813" s="3"/>
      <c r="T813" s="3"/>
      <c r="U813" s="3"/>
      <c r="V813" s="3"/>
      <c r="W813" s="3"/>
      <c r="X813" s="3"/>
      <c r="Y813" s="3"/>
      <c r="Z813" s="3"/>
    </row>
    <row r="814" spans="1:26" ht="22.5" customHeight="1" x14ac:dyDescent="0.85">
      <c r="A814" s="166"/>
      <c r="B814" s="167"/>
      <c r="C814" s="167"/>
      <c r="D814" s="147"/>
      <c r="E814" s="147"/>
      <c r="F814" s="147"/>
      <c r="G814" s="147"/>
      <c r="H814" s="147"/>
      <c r="I814" s="147"/>
      <c r="J814" s="147"/>
      <c r="K814" s="3"/>
      <c r="L814" s="3"/>
      <c r="M814" s="3"/>
      <c r="N814" s="3"/>
      <c r="O814" s="3"/>
      <c r="P814" s="3"/>
      <c r="Q814" s="3"/>
      <c r="R814" s="3"/>
      <c r="S814" s="3"/>
      <c r="T814" s="3"/>
      <c r="U814" s="3"/>
      <c r="V814" s="3"/>
      <c r="W814" s="3"/>
      <c r="X814" s="3"/>
      <c r="Y814" s="3"/>
      <c r="Z814" s="3"/>
    </row>
    <row r="815" spans="1:26" ht="22.5" customHeight="1" x14ac:dyDescent="0.85">
      <c r="A815" s="166"/>
      <c r="B815" s="167"/>
      <c r="C815" s="167"/>
      <c r="D815" s="147"/>
      <c r="E815" s="147"/>
      <c r="F815" s="147"/>
      <c r="G815" s="147"/>
      <c r="H815" s="147"/>
      <c r="I815" s="147"/>
      <c r="J815" s="147"/>
      <c r="K815" s="3"/>
      <c r="L815" s="3"/>
      <c r="M815" s="3"/>
      <c r="N815" s="3"/>
      <c r="O815" s="3"/>
      <c r="P815" s="3"/>
      <c r="Q815" s="3"/>
      <c r="R815" s="3"/>
      <c r="S815" s="3"/>
      <c r="T815" s="3"/>
      <c r="U815" s="3"/>
      <c r="V815" s="3"/>
      <c r="W815" s="3"/>
      <c r="X815" s="3"/>
      <c r="Y815" s="3"/>
      <c r="Z815" s="3"/>
    </row>
    <row r="816" spans="1:26" ht="22.5" customHeight="1" x14ac:dyDescent="0.85">
      <c r="A816" s="166"/>
      <c r="B816" s="167"/>
      <c r="C816" s="167"/>
      <c r="D816" s="147"/>
      <c r="E816" s="147"/>
      <c r="F816" s="147"/>
      <c r="G816" s="147"/>
      <c r="H816" s="147"/>
      <c r="I816" s="147"/>
      <c r="J816" s="147"/>
      <c r="K816" s="3"/>
      <c r="L816" s="3"/>
      <c r="M816" s="3"/>
      <c r="N816" s="3"/>
      <c r="O816" s="3"/>
      <c r="P816" s="3"/>
      <c r="Q816" s="3"/>
      <c r="R816" s="3"/>
      <c r="S816" s="3"/>
      <c r="T816" s="3"/>
      <c r="U816" s="3"/>
      <c r="V816" s="3"/>
      <c r="W816" s="3"/>
      <c r="X816" s="3"/>
      <c r="Y816" s="3"/>
      <c r="Z816" s="3"/>
    </row>
    <row r="817" spans="1:26" ht="22.5" customHeight="1" x14ac:dyDescent="0.85">
      <c r="A817" s="166"/>
      <c r="B817" s="167"/>
      <c r="C817" s="167"/>
      <c r="D817" s="147"/>
      <c r="E817" s="147"/>
      <c r="F817" s="147"/>
      <c r="G817" s="147"/>
      <c r="H817" s="147"/>
      <c r="I817" s="147"/>
      <c r="J817" s="147"/>
      <c r="K817" s="3"/>
      <c r="L817" s="3"/>
      <c r="M817" s="3"/>
      <c r="N817" s="3"/>
      <c r="O817" s="3"/>
      <c r="P817" s="3"/>
      <c r="Q817" s="3"/>
      <c r="R817" s="3"/>
      <c r="S817" s="3"/>
      <c r="T817" s="3"/>
      <c r="U817" s="3"/>
      <c r="V817" s="3"/>
      <c r="W817" s="3"/>
      <c r="X817" s="3"/>
      <c r="Y817" s="3"/>
      <c r="Z817" s="3"/>
    </row>
    <row r="818" spans="1:26" ht="22.5" customHeight="1" x14ac:dyDescent="0.85">
      <c r="A818" s="166"/>
      <c r="B818" s="167"/>
      <c r="C818" s="167"/>
      <c r="D818" s="147"/>
      <c r="E818" s="147"/>
      <c r="F818" s="147"/>
      <c r="G818" s="147"/>
      <c r="H818" s="147"/>
      <c r="I818" s="147"/>
      <c r="J818" s="147"/>
      <c r="K818" s="3"/>
      <c r="L818" s="3"/>
      <c r="M818" s="3"/>
      <c r="N818" s="3"/>
      <c r="O818" s="3"/>
      <c r="P818" s="3"/>
      <c r="Q818" s="3"/>
      <c r="R818" s="3"/>
      <c r="S818" s="3"/>
      <c r="T818" s="3"/>
      <c r="U818" s="3"/>
      <c r="V818" s="3"/>
      <c r="W818" s="3"/>
      <c r="X818" s="3"/>
      <c r="Y818" s="3"/>
      <c r="Z818" s="3"/>
    </row>
    <row r="819" spans="1:26" ht="22.5" customHeight="1" x14ac:dyDescent="0.85">
      <c r="A819" s="166"/>
      <c r="B819" s="167"/>
      <c r="C819" s="167"/>
      <c r="D819" s="147"/>
      <c r="E819" s="147"/>
      <c r="F819" s="147"/>
      <c r="G819" s="147"/>
      <c r="H819" s="147"/>
      <c r="I819" s="147"/>
      <c r="J819" s="147"/>
      <c r="K819" s="3"/>
      <c r="L819" s="3"/>
      <c r="M819" s="3"/>
      <c r="N819" s="3"/>
      <c r="O819" s="3"/>
      <c r="P819" s="3"/>
      <c r="Q819" s="3"/>
      <c r="R819" s="3"/>
      <c r="S819" s="3"/>
      <c r="T819" s="3"/>
      <c r="U819" s="3"/>
      <c r="V819" s="3"/>
      <c r="W819" s="3"/>
      <c r="X819" s="3"/>
      <c r="Y819" s="3"/>
      <c r="Z819" s="3"/>
    </row>
    <row r="820" spans="1:26" ht="22.5" customHeight="1" x14ac:dyDescent="0.85">
      <c r="A820" s="166"/>
      <c r="B820" s="167"/>
      <c r="C820" s="167"/>
      <c r="D820" s="147"/>
      <c r="E820" s="147"/>
      <c r="F820" s="147"/>
      <c r="G820" s="147"/>
      <c r="H820" s="147"/>
      <c r="I820" s="147"/>
      <c r="J820" s="147"/>
      <c r="K820" s="3"/>
      <c r="L820" s="3"/>
      <c r="M820" s="3"/>
      <c r="N820" s="3"/>
      <c r="O820" s="3"/>
      <c r="P820" s="3"/>
      <c r="Q820" s="3"/>
      <c r="R820" s="3"/>
      <c r="S820" s="3"/>
      <c r="T820" s="3"/>
      <c r="U820" s="3"/>
      <c r="V820" s="3"/>
      <c r="W820" s="3"/>
      <c r="X820" s="3"/>
      <c r="Y820" s="3"/>
      <c r="Z820" s="3"/>
    </row>
    <row r="821" spans="1:26" ht="22.5" customHeight="1" x14ac:dyDescent="0.85">
      <c r="A821" s="166"/>
      <c r="B821" s="167"/>
      <c r="C821" s="167"/>
      <c r="D821" s="147"/>
      <c r="E821" s="147"/>
      <c r="F821" s="147"/>
      <c r="G821" s="147"/>
      <c r="H821" s="147"/>
      <c r="I821" s="147"/>
      <c r="J821" s="147"/>
      <c r="K821" s="3"/>
      <c r="L821" s="3"/>
      <c r="M821" s="3"/>
      <c r="N821" s="3"/>
      <c r="O821" s="3"/>
      <c r="P821" s="3"/>
      <c r="Q821" s="3"/>
      <c r="R821" s="3"/>
      <c r="S821" s="3"/>
      <c r="T821" s="3"/>
      <c r="U821" s="3"/>
      <c r="V821" s="3"/>
      <c r="W821" s="3"/>
      <c r="X821" s="3"/>
      <c r="Y821" s="3"/>
      <c r="Z821" s="3"/>
    </row>
    <row r="822" spans="1:26" ht="22.5" customHeight="1" x14ac:dyDescent="0.85">
      <c r="A822" s="166"/>
      <c r="B822" s="167"/>
      <c r="C822" s="167"/>
      <c r="D822" s="147"/>
      <c r="E822" s="147"/>
      <c r="F822" s="147"/>
      <c r="G822" s="147"/>
      <c r="H822" s="147"/>
      <c r="I822" s="147"/>
      <c r="J822" s="147"/>
      <c r="K822" s="3"/>
      <c r="L822" s="3"/>
      <c r="M822" s="3"/>
      <c r="N822" s="3"/>
      <c r="O822" s="3"/>
      <c r="P822" s="3"/>
      <c r="Q822" s="3"/>
      <c r="R822" s="3"/>
      <c r="S822" s="3"/>
      <c r="T822" s="3"/>
      <c r="U822" s="3"/>
      <c r="V822" s="3"/>
      <c r="W822" s="3"/>
      <c r="X822" s="3"/>
      <c r="Y822" s="3"/>
      <c r="Z822" s="3"/>
    </row>
    <row r="823" spans="1:26" ht="22.5" customHeight="1" x14ac:dyDescent="0.85">
      <c r="A823" s="166"/>
      <c r="B823" s="167"/>
      <c r="C823" s="167"/>
      <c r="D823" s="147"/>
      <c r="E823" s="147"/>
      <c r="F823" s="147"/>
      <c r="G823" s="147"/>
      <c r="H823" s="147"/>
      <c r="I823" s="147"/>
      <c r="J823" s="147"/>
      <c r="K823" s="3"/>
      <c r="L823" s="3"/>
      <c r="M823" s="3"/>
      <c r="N823" s="3"/>
      <c r="O823" s="3"/>
      <c r="P823" s="3"/>
      <c r="Q823" s="3"/>
      <c r="R823" s="3"/>
      <c r="S823" s="3"/>
      <c r="T823" s="3"/>
      <c r="U823" s="3"/>
      <c r="V823" s="3"/>
      <c r="W823" s="3"/>
      <c r="X823" s="3"/>
      <c r="Y823" s="3"/>
      <c r="Z823" s="3"/>
    </row>
    <row r="824" spans="1:26" ht="22.5" customHeight="1" x14ac:dyDescent="0.85">
      <c r="A824" s="166"/>
      <c r="B824" s="167"/>
      <c r="C824" s="167"/>
      <c r="D824" s="147"/>
      <c r="E824" s="147"/>
      <c r="F824" s="147"/>
      <c r="G824" s="147"/>
      <c r="H824" s="147"/>
      <c r="I824" s="147"/>
      <c r="J824" s="147"/>
      <c r="K824" s="3"/>
      <c r="L824" s="3"/>
      <c r="M824" s="3"/>
      <c r="N824" s="3"/>
      <c r="O824" s="3"/>
      <c r="P824" s="3"/>
      <c r="Q824" s="3"/>
      <c r="R824" s="3"/>
      <c r="S824" s="3"/>
      <c r="T824" s="3"/>
      <c r="U824" s="3"/>
      <c r="V824" s="3"/>
      <c r="W824" s="3"/>
      <c r="X824" s="3"/>
      <c r="Y824" s="3"/>
      <c r="Z824" s="3"/>
    </row>
    <row r="825" spans="1:26" ht="22.5" customHeight="1" x14ac:dyDescent="0.85">
      <c r="A825" s="166"/>
      <c r="B825" s="167"/>
      <c r="C825" s="167"/>
      <c r="D825" s="147"/>
      <c r="E825" s="147"/>
      <c r="F825" s="147"/>
      <c r="G825" s="147"/>
      <c r="H825" s="147"/>
      <c r="I825" s="147"/>
      <c r="J825" s="147"/>
      <c r="K825" s="3"/>
      <c r="L825" s="3"/>
      <c r="M825" s="3"/>
      <c r="N825" s="3"/>
      <c r="O825" s="3"/>
      <c r="P825" s="3"/>
      <c r="Q825" s="3"/>
      <c r="R825" s="3"/>
      <c r="S825" s="3"/>
      <c r="T825" s="3"/>
      <c r="U825" s="3"/>
      <c r="V825" s="3"/>
      <c r="W825" s="3"/>
      <c r="X825" s="3"/>
      <c r="Y825" s="3"/>
      <c r="Z825" s="3"/>
    </row>
    <row r="826" spans="1:26" ht="22.5" customHeight="1" x14ac:dyDescent="0.85">
      <c r="A826" s="166"/>
      <c r="B826" s="167"/>
      <c r="C826" s="167"/>
      <c r="D826" s="147"/>
      <c r="E826" s="147"/>
      <c r="F826" s="147"/>
      <c r="G826" s="147"/>
      <c r="H826" s="147"/>
      <c r="I826" s="147"/>
      <c r="J826" s="147"/>
      <c r="K826" s="3"/>
      <c r="L826" s="3"/>
      <c r="M826" s="3"/>
      <c r="N826" s="3"/>
      <c r="O826" s="3"/>
      <c r="P826" s="3"/>
      <c r="Q826" s="3"/>
      <c r="R826" s="3"/>
      <c r="S826" s="3"/>
      <c r="T826" s="3"/>
      <c r="U826" s="3"/>
      <c r="V826" s="3"/>
      <c r="W826" s="3"/>
      <c r="X826" s="3"/>
      <c r="Y826" s="3"/>
      <c r="Z826" s="3"/>
    </row>
    <row r="827" spans="1:26" ht="22.5" customHeight="1" x14ac:dyDescent="0.85">
      <c r="A827" s="166"/>
      <c r="B827" s="167"/>
      <c r="C827" s="167"/>
      <c r="D827" s="147"/>
      <c r="E827" s="147"/>
      <c r="F827" s="147"/>
      <c r="G827" s="147"/>
      <c r="H827" s="147"/>
      <c r="I827" s="147"/>
      <c r="J827" s="147"/>
      <c r="K827" s="3"/>
      <c r="L827" s="3"/>
      <c r="M827" s="3"/>
      <c r="N827" s="3"/>
      <c r="O827" s="3"/>
      <c r="P827" s="3"/>
      <c r="Q827" s="3"/>
      <c r="R827" s="3"/>
      <c r="S827" s="3"/>
      <c r="T827" s="3"/>
      <c r="U827" s="3"/>
      <c r="V827" s="3"/>
      <c r="W827" s="3"/>
      <c r="X827" s="3"/>
      <c r="Y827" s="3"/>
      <c r="Z827" s="3"/>
    </row>
    <row r="828" spans="1:26" ht="22.5" customHeight="1" x14ac:dyDescent="0.85">
      <c r="A828" s="166"/>
      <c r="B828" s="167"/>
      <c r="C828" s="167"/>
      <c r="D828" s="147"/>
      <c r="E828" s="147"/>
      <c r="F828" s="147"/>
      <c r="G828" s="147"/>
      <c r="H828" s="147"/>
      <c r="I828" s="147"/>
      <c r="J828" s="147"/>
      <c r="K828" s="3"/>
      <c r="L828" s="3"/>
      <c r="M828" s="3"/>
      <c r="N828" s="3"/>
      <c r="O828" s="3"/>
      <c r="P828" s="3"/>
      <c r="Q828" s="3"/>
      <c r="R828" s="3"/>
      <c r="S828" s="3"/>
      <c r="T828" s="3"/>
      <c r="U828" s="3"/>
      <c r="V828" s="3"/>
      <c r="W828" s="3"/>
      <c r="X828" s="3"/>
      <c r="Y828" s="3"/>
      <c r="Z828" s="3"/>
    </row>
    <row r="829" spans="1:26" ht="22.5" customHeight="1" x14ac:dyDescent="0.85">
      <c r="A829" s="166"/>
      <c r="B829" s="167"/>
      <c r="C829" s="167"/>
      <c r="D829" s="147"/>
      <c r="E829" s="147"/>
      <c r="F829" s="147"/>
      <c r="G829" s="147"/>
      <c r="H829" s="147"/>
      <c r="I829" s="147"/>
      <c r="J829" s="147"/>
      <c r="K829" s="3"/>
      <c r="L829" s="3"/>
      <c r="M829" s="3"/>
      <c r="N829" s="3"/>
      <c r="O829" s="3"/>
      <c r="P829" s="3"/>
      <c r="Q829" s="3"/>
      <c r="R829" s="3"/>
      <c r="S829" s="3"/>
      <c r="T829" s="3"/>
      <c r="U829" s="3"/>
      <c r="V829" s="3"/>
      <c r="W829" s="3"/>
      <c r="X829" s="3"/>
      <c r="Y829" s="3"/>
      <c r="Z829" s="3"/>
    </row>
    <row r="830" spans="1:26" ht="22.5" customHeight="1" x14ac:dyDescent="0.85">
      <c r="A830" s="166"/>
      <c r="B830" s="167"/>
      <c r="C830" s="167"/>
      <c r="D830" s="147"/>
      <c r="E830" s="147"/>
      <c r="F830" s="147"/>
      <c r="G830" s="147"/>
      <c r="H830" s="147"/>
      <c r="I830" s="147"/>
      <c r="J830" s="147"/>
      <c r="K830" s="3"/>
      <c r="L830" s="3"/>
      <c r="M830" s="3"/>
      <c r="N830" s="3"/>
      <c r="O830" s="3"/>
      <c r="P830" s="3"/>
      <c r="Q830" s="3"/>
      <c r="R830" s="3"/>
      <c r="S830" s="3"/>
      <c r="T830" s="3"/>
      <c r="U830" s="3"/>
      <c r="V830" s="3"/>
      <c r="W830" s="3"/>
      <c r="X830" s="3"/>
      <c r="Y830" s="3"/>
      <c r="Z830" s="3"/>
    </row>
    <row r="831" spans="1:26" ht="22.5" customHeight="1" x14ac:dyDescent="0.85">
      <c r="A831" s="166"/>
      <c r="B831" s="167"/>
      <c r="C831" s="167"/>
      <c r="D831" s="147"/>
      <c r="E831" s="147"/>
      <c r="F831" s="147"/>
      <c r="G831" s="147"/>
      <c r="H831" s="147"/>
      <c r="I831" s="147"/>
      <c r="J831" s="147"/>
      <c r="K831" s="3"/>
      <c r="L831" s="3"/>
      <c r="M831" s="3"/>
      <c r="N831" s="3"/>
      <c r="O831" s="3"/>
      <c r="P831" s="3"/>
      <c r="Q831" s="3"/>
      <c r="R831" s="3"/>
      <c r="S831" s="3"/>
      <c r="T831" s="3"/>
      <c r="U831" s="3"/>
      <c r="V831" s="3"/>
      <c r="W831" s="3"/>
      <c r="X831" s="3"/>
      <c r="Y831" s="3"/>
      <c r="Z831" s="3"/>
    </row>
    <row r="832" spans="1:26" ht="22.5" customHeight="1" x14ac:dyDescent="0.85">
      <c r="A832" s="166"/>
      <c r="B832" s="167"/>
      <c r="C832" s="167"/>
      <c r="D832" s="147"/>
      <c r="E832" s="147"/>
      <c r="F832" s="147"/>
      <c r="G832" s="147"/>
      <c r="H832" s="147"/>
      <c r="I832" s="147"/>
      <c r="J832" s="147"/>
      <c r="K832" s="3"/>
      <c r="L832" s="3"/>
      <c r="M832" s="3"/>
      <c r="N832" s="3"/>
      <c r="O832" s="3"/>
      <c r="P832" s="3"/>
      <c r="Q832" s="3"/>
      <c r="R832" s="3"/>
      <c r="S832" s="3"/>
      <c r="T832" s="3"/>
      <c r="U832" s="3"/>
      <c r="V832" s="3"/>
      <c r="W832" s="3"/>
      <c r="X832" s="3"/>
      <c r="Y832" s="3"/>
      <c r="Z832" s="3"/>
    </row>
    <row r="833" spans="1:26" ht="22.5" customHeight="1" x14ac:dyDescent="0.85">
      <c r="A833" s="166"/>
      <c r="B833" s="167"/>
      <c r="C833" s="167"/>
      <c r="D833" s="147"/>
      <c r="E833" s="147"/>
      <c r="F833" s="147"/>
      <c r="G833" s="147"/>
      <c r="H833" s="147"/>
      <c r="I833" s="147"/>
      <c r="J833" s="147"/>
      <c r="K833" s="3"/>
      <c r="L833" s="3"/>
      <c r="M833" s="3"/>
      <c r="N833" s="3"/>
      <c r="O833" s="3"/>
      <c r="P833" s="3"/>
      <c r="Q833" s="3"/>
      <c r="R833" s="3"/>
      <c r="S833" s="3"/>
      <c r="T833" s="3"/>
      <c r="U833" s="3"/>
      <c r="V833" s="3"/>
      <c r="W833" s="3"/>
      <c r="X833" s="3"/>
      <c r="Y833" s="3"/>
      <c r="Z833" s="3"/>
    </row>
    <row r="834" spans="1:26" ht="22.5" customHeight="1" x14ac:dyDescent="0.85">
      <c r="A834" s="166"/>
      <c r="B834" s="167"/>
      <c r="C834" s="167"/>
      <c r="D834" s="147"/>
      <c r="E834" s="147"/>
      <c r="F834" s="147"/>
      <c r="G834" s="147"/>
      <c r="H834" s="147"/>
      <c r="I834" s="147"/>
      <c r="J834" s="147"/>
      <c r="K834" s="3"/>
      <c r="L834" s="3"/>
      <c r="M834" s="3"/>
      <c r="N834" s="3"/>
      <c r="O834" s="3"/>
      <c r="P834" s="3"/>
      <c r="Q834" s="3"/>
      <c r="R834" s="3"/>
      <c r="S834" s="3"/>
      <c r="T834" s="3"/>
      <c r="U834" s="3"/>
      <c r="V834" s="3"/>
      <c r="W834" s="3"/>
      <c r="X834" s="3"/>
      <c r="Y834" s="3"/>
      <c r="Z834" s="3"/>
    </row>
    <row r="835" spans="1:26" ht="22.5" customHeight="1" x14ac:dyDescent="0.85">
      <c r="A835" s="166"/>
      <c r="B835" s="167"/>
      <c r="C835" s="167"/>
      <c r="D835" s="147"/>
      <c r="E835" s="147"/>
      <c r="F835" s="147"/>
      <c r="G835" s="147"/>
      <c r="H835" s="147"/>
      <c r="I835" s="147"/>
      <c r="J835" s="147"/>
      <c r="K835" s="3"/>
      <c r="L835" s="3"/>
      <c r="M835" s="3"/>
      <c r="N835" s="3"/>
      <c r="O835" s="3"/>
      <c r="P835" s="3"/>
      <c r="Q835" s="3"/>
      <c r="R835" s="3"/>
      <c r="S835" s="3"/>
      <c r="T835" s="3"/>
      <c r="U835" s="3"/>
      <c r="V835" s="3"/>
      <c r="W835" s="3"/>
      <c r="X835" s="3"/>
      <c r="Y835" s="3"/>
      <c r="Z835" s="3"/>
    </row>
    <row r="836" spans="1:26" ht="22.5" customHeight="1" x14ac:dyDescent="0.85">
      <c r="A836" s="166"/>
      <c r="B836" s="167"/>
      <c r="C836" s="167"/>
      <c r="D836" s="147"/>
      <c r="E836" s="147"/>
      <c r="F836" s="147"/>
      <c r="G836" s="147"/>
      <c r="H836" s="147"/>
      <c r="I836" s="147"/>
      <c r="J836" s="147"/>
      <c r="K836" s="3"/>
      <c r="L836" s="3"/>
      <c r="M836" s="3"/>
      <c r="N836" s="3"/>
      <c r="O836" s="3"/>
      <c r="P836" s="3"/>
      <c r="Q836" s="3"/>
      <c r="R836" s="3"/>
      <c r="S836" s="3"/>
      <c r="T836" s="3"/>
      <c r="U836" s="3"/>
      <c r="V836" s="3"/>
      <c r="W836" s="3"/>
      <c r="X836" s="3"/>
      <c r="Y836" s="3"/>
      <c r="Z836" s="3"/>
    </row>
    <row r="837" spans="1:26" ht="22.5" customHeight="1" x14ac:dyDescent="0.85">
      <c r="A837" s="166"/>
      <c r="B837" s="167"/>
      <c r="C837" s="167"/>
      <c r="D837" s="147"/>
      <c r="E837" s="147"/>
      <c r="F837" s="147"/>
      <c r="G837" s="147"/>
      <c r="H837" s="147"/>
      <c r="I837" s="147"/>
      <c r="J837" s="147"/>
      <c r="K837" s="3"/>
      <c r="L837" s="3"/>
      <c r="M837" s="3"/>
      <c r="N837" s="3"/>
      <c r="O837" s="3"/>
      <c r="P837" s="3"/>
      <c r="Q837" s="3"/>
      <c r="R837" s="3"/>
      <c r="S837" s="3"/>
      <c r="T837" s="3"/>
      <c r="U837" s="3"/>
      <c r="V837" s="3"/>
      <c r="W837" s="3"/>
      <c r="X837" s="3"/>
      <c r="Y837" s="3"/>
      <c r="Z837" s="3"/>
    </row>
    <row r="838" spans="1:26" ht="22.5" customHeight="1" x14ac:dyDescent="0.85">
      <c r="A838" s="166"/>
      <c r="B838" s="167"/>
      <c r="C838" s="167"/>
      <c r="D838" s="147"/>
      <c r="E838" s="147"/>
      <c r="F838" s="147"/>
      <c r="G838" s="147"/>
      <c r="H838" s="147"/>
      <c r="I838" s="147"/>
      <c r="J838" s="147"/>
      <c r="K838" s="3"/>
      <c r="L838" s="3"/>
      <c r="M838" s="3"/>
      <c r="N838" s="3"/>
      <c r="O838" s="3"/>
      <c r="P838" s="3"/>
      <c r="Q838" s="3"/>
      <c r="R838" s="3"/>
      <c r="S838" s="3"/>
      <c r="T838" s="3"/>
      <c r="U838" s="3"/>
      <c r="V838" s="3"/>
      <c r="W838" s="3"/>
      <c r="X838" s="3"/>
      <c r="Y838" s="3"/>
      <c r="Z838" s="3"/>
    </row>
    <row r="839" spans="1:26" ht="22.5" customHeight="1" x14ac:dyDescent="0.85">
      <c r="A839" s="166"/>
      <c r="B839" s="167"/>
      <c r="C839" s="167"/>
      <c r="D839" s="147"/>
      <c r="E839" s="147"/>
      <c r="F839" s="147"/>
      <c r="G839" s="147"/>
      <c r="H839" s="147"/>
      <c r="I839" s="147"/>
      <c r="J839" s="147"/>
      <c r="K839" s="3"/>
      <c r="L839" s="3"/>
      <c r="M839" s="3"/>
      <c r="N839" s="3"/>
      <c r="O839" s="3"/>
      <c r="P839" s="3"/>
      <c r="Q839" s="3"/>
      <c r="R839" s="3"/>
      <c r="S839" s="3"/>
      <c r="T839" s="3"/>
      <c r="U839" s="3"/>
      <c r="V839" s="3"/>
      <c r="W839" s="3"/>
      <c r="X839" s="3"/>
      <c r="Y839" s="3"/>
      <c r="Z839" s="3"/>
    </row>
    <row r="840" spans="1:26" ht="22.5" customHeight="1" x14ac:dyDescent="0.85">
      <c r="A840" s="166"/>
      <c r="B840" s="167"/>
      <c r="C840" s="167"/>
      <c r="D840" s="147"/>
      <c r="E840" s="147"/>
      <c r="F840" s="147"/>
      <c r="G840" s="147"/>
      <c r="H840" s="147"/>
      <c r="I840" s="147"/>
      <c r="J840" s="147"/>
      <c r="K840" s="3"/>
      <c r="L840" s="3"/>
      <c r="M840" s="3"/>
      <c r="N840" s="3"/>
      <c r="O840" s="3"/>
      <c r="P840" s="3"/>
      <c r="Q840" s="3"/>
      <c r="R840" s="3"/>
      <c r="S840" s="3"/>
      <c r="T840" s="3"/>
      <c r="U840" s="3"/>
      <c r="V840" s="3"/>
      <c r="W840" s="3"/>
      <c r="X840" s="3"/>
      <c r="Y840" s="3"/>
      <c r="Z840" s="3"/>
    </row>
    <row r="841" spans="1:26" ht="22.5" customHeight="1" x14ac:dyDescent="0.85">
      <c r="A841" s="166"/>
      <c r="B841" s="167"/>
      <c r="C841" s="167"/>
      <c r="D841" s="147"/>
      <c r="E841" s="147"/>
      <c r="F841" s="147"/>
      <c r="G841" s="147"/>
      <c r="H841" s="147"/>
      <c r="I841" s="147"/>
      <c r="J841" s="147"/>
      <c r="K841" s="3"/>
      <c r="L841" s="3"/>
      <c r="M841" s="3"/>
      <c r="N841" s="3"/>
      <c r="O841" s="3"/>
      <c r="P841" s="3"/>
      <c r="Q841" s="3"/>
      <c r="R841" s="3"/>
      <c r="S841" s="3"/>
      <c r="T841" s="3"/>
      <c r="U841" s="3"/>
      <c r="V841" s="3"/>
      <c r="W841" s="3"/>
      <c r="X841" s="3"/>
      <c r="Y841" s="3"/>
      <c r="Z841" s="3"/>
    </row>
    <row r="842" spans="1:26" ht="22.5" customHeight="1" x14ac:dyDescent="0.85">
      <c r="A842" s="166"/>
      <c r="B842" s="167"/>
      <c r="C842" s="167"/>
      <c r="D842" s="147"/>
      <c r="E842" s="147"/>
      <c r="F842" s="147"/>
      <c r="G842" s="147"/>
      <c r="H842" s="147"/>
      <c r="I842" s="147"/>
      <c r="J842" s="147"/>
      <c r="K842" s="3"/>
      <c r="L842" s="3"/>
      <c r="M842" s="3"/>
      <c r="N842" s="3"/>
      <c r="O842" s="3"/>
      <c r="P842" s="3"/>
      <c r="Q842" s="3"/>
      <c r="R842" s="3"/>
      <c r="S842" s="3"/>
      <c r="T842" s="3"/>
      <c r="U842" s="3"/>
      <c r="V842" s="3"/>
      <c r="W842" s="3"/>
      <c r="X842" s="3"/>
      <c r="Y842" s="3"/>
      <c r="Z842" s="3"/>
    </row>
    <row r="843" spans="1:26" ht="22.5" customHeight="1" x14ac:dyDescent="0.85">
      <c r="A843" s="166"/>
      <c r="B843" s="167"/>
      <c r="C843" s="167"/>
      <c r="D843" s="147"/>
      <c r="E843" s="147"/>
      <c r="F843" s="147"/>
      <c r="G843" s="147"/>
      <c r="H843" s="147"/>
      <c r="I843" s="147"/>
      <c r="J843" s="147"/>
      <c r="K843" s="3"/>
      <c r="L843" s="3"/>
      <c r="M843" s="3"/>
      <c r="N843" s="3"/>
      <c r="O843" s="3"/>
      <c r="P843" s="3"/>
      <c r="Q843" s="3"/>
      <c r="R843" s="3"/>
      <c r="S843" s="3"/>
      <c r="T843" s="3"/>
      <c r="U843" s="3"/>
      <c r="V843" s="3"/>
      <c r="W843" s="3"/>
      <c r="X843" s="3"/>
      <c r="Y843" s="3"/>
      <c r="Z843" s="3"/>
    </row>
    <row r="844" spans="1:26" ht="22.5" customHeight="1" x14ac:dyDescent="0.85">
      <c r="A844" s="166"/>
      <c r="B844" s="167"/>
      <c r="C844" s="167"/>
      <c r="D844" s="147"/>
      <c r="E844" s="147"/>
      <c r="F844" s="147"/>
      <c r="G844" s="147"/>
      <c r="H844" s="147"/>
      <c r="I844" s="147"/>
      <c r="J844" s="147"/>
      <c r="K844" s="3"/>
      <c r="L844" s="3"/>
      <c r="M844" s="3"/>
      <c r="N844" s="3"/>
      <c r="O844" s="3"/>
      <c r="P844" s="3"/>
      <c r="Q844" s="3"/>
      <c r="R844" s="3"/>
      <c r="S844" s="3"/>
      <c r="T844" s="3"/>
      <c r="U844" s="3"/>
      <c r="V844" s="3"/>
      <c r="W844" s="3"/>
      <c r="X844" s="3"/>
      <c r="Y844" s="3"/>
      <c r="Z844" s="3"/>
    </row>
    <row r="845" spans="1:26" ht="22.5" customHeight="1" x14ac:dyDescent="0.85">
      <c r="A845" s="166"/>
      <c r="B845" s="167"/>
      <c r="C845" s="167"/>
      <c r="D845" s="147"/>
      <c r="E845" s="147"/>
      <c r="F845" s="147"/>
      <c r="G845" s="147"/>
      <c r="H845" s="147"/>
      <c r="I845" s="147"/>
      <c r="J845" s="147"/>
      <c r="K845" s="3"/>
      <c r="L845" s="3"/>
      <c r="M845" s="3"/>
      <c r="N845" s="3"/>
      <c r="O845" s="3"/>
      <c r="P845" s="3"/>
      <c r="Q845" s="3"/>
      <c r="R845" s="3"/>
      <c r="S845" s="3"/>
      <c r="T845" s="3"/>
      <c r="U845" s="3"/>
      <c r="V845" s="3"/>
      <c r="W845" s="3"/>
      <c r="X845" s="3"/>
      <c r="Y845" s="3"/>
      <c r="Z845" s="3"/>
    </row>
    <row r="846" spans="1:26" ht="22.5" customHeight="1" x14ac:dyDescent="0.85">
      <c r="A846" s="166"/>
      <c r="B846" s="167"/>
      <c r="C846" s="167"/>
      <c r="D846" s="147"/>
      <c r="E846" s="147"/>
      <c r="F846" s="147"/>
      <c r="G846" s="147"/>
      <c r="H846" s="147"/>
      <c r="I846" s="147"/>
      <c r="J846" s="147"/>
      <c r="K846" s="3"/>
      <c r="L846" s="3"/>
      <c r="M846" s="3"/>
      <c r="N846" s="3"/>
      <c r="O846" s="3"/>
      <c r="P846" s="3"/>
      <c r="Q846" s="3"/>
      <c r="R846" s="3"/>
      <c r="S846" s="3"/>
      <c r="T846" s="3"/>
      <c r="U846" s="3"/>
      <c r="V846" s="3"/>
      <c r="W846" s="3"/>
      <c r="X846" s="3"/>
      <c r="Y846" s="3"/>
      <c r="Z846" s="3"/>
    </row>
    <row r="847" spans="1:26" ht="22.5" customHeight="1" x14ac:dyDescent="0.85">
      <c r="A847" s="166"/>
      <c r="B847" s="167"/>
      <c r="C847" s="167"/>
      <c r="D847" s="147"/>
      <c r="E847" s="147"/>
      <c r="F847" s="147"/>
      <c r="G847" s="147"/>
      <c r="H847" s="147"/>
      <c r="I847" s="147"/>
      <c r="J847" s="147"/>
      <c r="K847" s="3"/>
      <c r="L847" s="3"/>
      <c r="M847" s="3"/>
      <c r="N847" s="3"/>
      <c r="O847" s="3"/>
      <c r="P847" s="3"/>
      <c r="Q847" s="3"/>
      <c r="R847" s="3"/>
      <c r="S847" s="3"/>
      <c r="T847" s="3"/>
      <c r="U847" s="3"/>
      <c r="V847" s="3"/>
      <c r="W847" s="3"/>
      <c r="X847" s="3"/>
      <c r="Y847" s="3"/>
      <c r="Z847" s="3"/>
    </row>
    <row r="848" spans="1:26" ht="22.5" customHeight="1" x14ac:dyDescent="0.85">
      <c r="A848" s="166"/>
      <c r="B848" s="167"/>
      <c r="C848" s="167"/>
      <c r="D848" s="147"/>
      <c r="E848" s="147"/>
      <c r="F848" s="147"/>
      <c r="G848" s="147"/>
      <c r="H848" s="147"/>
      <c r="I848" s="147"/>
      <c r="J848" s="147"/>
      <c r="K848" s="3"/>
      <c r="L848" s="3"/>
      <c r="M848" s="3"/>
      <c r="N848" s="3"/>
      <c r="O848" s="3"/>
      <c r="P848" s="3"/>
      <c r="Q848" s="3"/>
      <c r="R848" s="3"/>
      <c r="S848" s="3"/>
      <c r="T848" s="3"/>
      <c r="U848" s="3"/>
      <c r="V848" s="3"/>
      <c r="W848" s="3"/>
      <c r="X848" s="3"/>
      <c r="Y848" s="3"/>
      <c r="Z848" s="3"/>
    </row>
    <row r="849" spans="1:26" ht="22.5" customHeight="1" x14ac:dyDescent="0.85">
      <c r="A849" s="166"/>
      <c r="B849" s="167"/>
      <c r="C849" s="167"/>
      <c r="D849" s="147"/>
      <c r="E849" s="147"/>
      <c r="F849" s="147"/>
      <c r="G849" s="147"/>
      <c r="H849" s="147"/>
      <c r="I849" s="147"/>
      <c r="J849" s="147"/>
      <c r="K849" s="3"/>
      <c r="L849" s="3"/>
      <c r="M849" s="3"/>
      <c r="N849" s="3"/>
      <c r="O849" s="3"/>
      <c r="P849" s="3"/>
      <c r="Q849" s="3"/>
      <c r="R849" s="3"/>
      <c r="S849" s="3"/>
      <c r="T849" s="3"/>
      <c r="U849" s="3"/>
      <c r="V849" s="3"/>
      <c r="W849" s="3"/>
      <c r="X849" s="3"/>
      <c r="Y849" s="3"/>
      <c r="Z849" s="3"/>
    </row>
    <row r="850" spans="1:26" ht="22.5" customHeight="1" x14ac:dyDescent="0.85">
      <c r="A850" s="166"/>
      <c r="B850" s="167"/>
      <c r="C850" s="167"/>
      <c r="D850" s="147"/>
      <c r="E850" s="147"/>
      <c r="F850" s="147"/>
      <c r="G850" s="147"/>
      <c r="H850" s="147"/>
      <c r="I850" s="147"/>
      <c r="J850" s="147"/>
      <c r="K850" s="3"/>
      <c r="L850" s="3"/>
      <c r="M850" s="3"/>
      <c r="N850" s="3"/>
      <c r="O850" s="3"/>
      <c r="P850" s="3"/>
      <c r="Q850" s="3"/>
      <c r="R850" s="3"/>
      <c r="S850" s="3"/>
      <c r="T850" s="3"/>
      <c r="U850" s="3"/>
      <c r="V850" s="3"/>
      <c r="W850" s="3"/>
      <c r="X850" s="3"/>
      <c r="Y850" s="3"/>
      <c r="Z850" s="3"/>
    </row>
    <row r="851" spans="1:26" ht="22.5" customHeight="1" x14ac:dyDescent="0.85">
      <c r="A851" s="166"/>
      <c r="B851" s="167"/>
      <c r="C851" s="167"/>
      <c r="D851" s="147"/>
      <c r="E851" s="147"/>
      <c r="F851" s="147"/>
      <c r="G851" s="147"/>
      <c r="H851" s="147"/>
      <c r="I851" s="147"/>
      <c r="J851" s="147"/>
      <c r="K851" s="3"/>
      <c r="L851" s="3"/>
      <c r="M851" s="3"/>
      <c r="N851" s="3"/>
      <c r="O851" s="3"/>
      <c r="P851" s="3"/>
      <c r="Q851" s="3"/>
      <c r="R851" s="3"/>
      <c r="S851" s="3"/>
      <c r="T851" s="3"/>
      <c r="U851" s="3"/>
      <c r="V851" s="3"/>
      <c r="W851" s="3"/>
      <c r="X851" s="3"/>
      <c r="Y851" s="3"/>
      <c r="Z851" s="3"/>
    </row>
    <row r="852" spans="1:26" ht="22.5" customHeight="1" x14ac:dyDescent="0.85">
      <c r="A852" s="166"/>
      <c r="B852" s="167"/>
      <c r="C852" s="167"/>
      <c r="D852" s="147"/>
      <c r="E852" s="147"/>
      <c r="F852" s="147"/>
      <c r="G852" s="147"/>
      <c r="H852" s="147"/>
      <c r="I852" s="147"/>
      <c r="J852" s="147"/>
      <c r="K852" s="3"/>
      <c r="L852" s="3"/>
      <c r="M852" s="3"/>
      <c r="N852" s="3"/>
      <c r="O852" s="3"/>
      <c r="P852" s="3"/>
      <c r="Q852" s="3"/>
      <c r="R852" s="3"/>
      <c r="S852" s="3"/>
      <c r="T852" s="3"/>
      <c r="U852" s="3"/>
      <c r="V852" s="3"/>
      <c r="W852" s="3"/>
      <c r="X852" s="3"/>
      <c r="Y852" s="3"/>
      <c r="Z852" s="3"/>
    </row>
    <row r="853" spans="1:26" ht="22.5" customHeight="1" x14ac:dyDescent="0.85">
      <c r="A853" s="166"/>
      <c r="B853" s="167"/>
      <c r="C853" s="167"/>
      <c r="D853" s="147"/>
      <c r="E853" s="147"/>
      <c r="F853" s="147"/>
      <c r="G853" s="147"/>
      <c r="H853" s="147"/>
      <c r="I853" s="147"/>
      <c r="J853" s="147"/>
      <c r="K853" s="3"/>
      <c r="L853" s="3"/>
      <c r="M853" s="3"/>
      <c r="N853" s="3"/>
      <c r="O853" s="3"/>
      <c r="P853" s="3"/>
      <c r="Q853" s="3"/>
      <c r="R853" s="3"/>
      <c r="S853" s="3"/>
      <c r="T853" s="3"/>
      <c r="U853" s="3"/>
      <c r="V853" s="3"/>
      <c r="W853" s="3"/>
      <c r="X853" s="3"/>
      <c r="Y853" s="3"/>
      <c r="Z853" s="3"/>
    </row>
    <row r="854" spans="1:26" ht="22.5" customHeight="1" x14ac:dyDescent="0.85">
      <c r="A854" s="166"/>
      <c r="B854" s="167"/>
      <c r="C854" s="167"/>
      <c r="D854" s="147"/>
      <c r="E854" s="147"/>
      <c r="F854" s="147"/>
      <c r="G854" s="147"/>
      <c r="H854" s="147"/>
      <c r="I854" s="147"/>
      <c r="J854" s="147"/>
      <c r="K854" s="3"/>
      <c r="L854" s="3"/>
      <c r="M854" s="3"/>
      <c r="N854" s="3"/>
      <c r="O854" s="3"/>
      <c r="P854" s="3"/>
      <c r="Q854" s="3"/>
      <c r="R854" s="3"/>
      <c r="S854" s="3"/>
      <c r="T854" s="3"/>
      <c r="U854" s="3"/>
      <c r="V854" s="3"/>
      <c r="W854" s="3"/>
      <c r="X854" s="3"/>
      <c r="Y854" s="3"/>
      <c r="Z854" s="3"/>
    </row>
    <row r="855" spans="1:26" ht="22.5" customHeight="1" x14ac:dyDescent="0.85">
      <c r="A855" s="166"/>
      <c r="B855" s="167"/>
      <c r="C855" s="167"/>
      <c r="D855" s="147"/>
      <c r="E855" s="147"/>
      <c r="F855" s="147"/>
      <c r="G855" s="147"/>
      <c r="H855" s="147"/>
      <c r="I855" s="147"/>
      <c r="J855" s="147"/>
      <c r="K855" s="3"/>
      <c r="L855" s="3"/>
      <c r="M855" s="3"/>
      <c r="N855" s="3"/>
      <c r="O855" s="3"/>
      <c r="P855" s="3"/>
      <c r="Q855" s="3"/>
      <c r="R855" s="3"/>
      <c r="S855" s="3"/>
      <c r="T855" s="3"/>
      <c r="U855" s="3"/>
      <c r="V855" s="3"/>
      <c r="W855" s="3"/>
      <c r="X855" s="3"/>
      <c r="Y855" s="3"/>
      <c r="Z855" s="3"/>
    </row>
    <row r="856" spans="1:26" ht="22.5" customHeight="1" x14ac:dyDescent="0.85">
      <c r="A856" s="166"/>
      <c r="B856" s="167"/>
      <c r="C856" s="167"/>
      <c r="D856" s="147"/>
      <c r="E856" s="147"/>
      <c r="F856" s="147"/>
      <c r="G856" s="147"/>
      <c r="H856" s="147"/>
      <c r="I856" s="147"/>
      <c r="J856" s="147"/>
      <c r="K856" s="3"/>
      <c r="L856" s="3"/>
      <c r="M856" s="3"/>
      <c r="N856" s="3"/>
      <c r="O856" s="3"/>
      <c r="P856" s="3"/>
      <c r="Q856" s="3"/>
      <c r="R856" s="3"/>
      <c r="S856" s="3"/>
      <c r="T856" s="3"/>
      <c r="U856" s="3"/>
      <c r="V856" s="3"/>
      <c r="W856" s="3"/>
      <c r="X856" s="3"/>
      <c r="Y856" s="3"/>
      <c r="Z856" s="3"/>
    </row>
    <row r="857" spans="1:26" ht="22.5" customHeight="1" x14ac:dyDescent="0.85">
      <c r="A857" s="166"/>
      <c r="B857" s="167"/>
      <c r="C857" s="167"/>
      <c r="D857" s="147"/>
      <c r="E857" s="147"/>
      <c r="F857" s="147"/>
      <c r="G857" s="147"/>
      <c r="H857" s="147"/>
      <c r="I857" s="147"/>
      <c r="J857" s="147"/>
      <c r="K857" s="3"/>
      <c r="L857" s="3"/>
      <c r="M857" s="3"/>
      <c r="N857" s="3"/>
      <c r="O857" s="3"/>
      <c r="P857" s="3"/>
      <c r="Q857" s="3"/>
      <c r="R857" s="3"/>
      <c r="S857" s="3"/>
      <c r="T857" s="3"/>
      <c r="U857" s="3"/>
      <c r="V857" s="3"/>
      <c r="W857" s="3"/>
      <c r="X857" s="3"/>
      <c r="Y857" s="3"/>
      <c r="Z857" s="3"/>
    </row>
    <row r="858" spans="1:26" ht="22.5" customHeight="1" x14ac:dyDescent="0.85">
      <c r="A858" s="166"/>
      <c r="B858" s="167"/>
      <c r="C858" s="167"/>
      <c r="D858" s="147"/>
      <c r="E858" s="147"/>
      <c r="F858" s="147"/>
      <c r="G858" s="147"/>
      <c r="H858" s="147"/>
      <c r="I858" s="147"/>
      <c r="J858" s="147"/>
      <c r="K858" s="3"/>
      <c r="L858" s="3"/>
      <c r="M858" s="3"/>
      <c r="N858" s="3"/>
      <c r="O858" s="3"/>
      <c r="P858" s="3"/>
      <c r="Q858" s="3"/>
      <c r="R858" s="3"/>
      <c r="S858" s="3"/>
      <c r="T858" s="3"/>
      <c r="U858" s="3"/>
      <c r="V858" s="3"/>
      <c r="W858" s="3"/>
      <c r="X858" s="3"/>
      <c r="Y858" s="3"/>
      <c r="Z858" s="3"/>
    </row>
    <row r="859" spans="1:26" ht="22.5" customHeight="1" x14ac:dyDescent="0.85">
      <c r="A859" s="166"/>
      <c r="B859" s="167"/>
      <c r="C859" s="167"/>
      <c r="D859" s="147"/>
      <c r="E859" s="147"/>
      <c r="F859" s="147"/>
      <c r="G859" s="147"/>
      <c r="H859" s="147"/>
      <c r="I859" s="147"/>
      <c r="J859" s="147"/>
      <c r="K859" s="3"/>
      <c r="L859" s="3"/>
      <c r="M859" s="3"/>
      <c r="N859" s="3"/>
      <c r="O859" s="3"/>
      <c r="P859" s="3"/>
      <c r="Q859" s="3"/>
      <c r="R859" s="3"/>
      <c r="S859" s="3"/>
      <c r="T859" s="3"/>
      <c r="U859" s="3"/>
      <c r="V859" s="3"/>
      <c r="W859" s="3"/>
      <c r="X859" s="3"/>
      <c r="Y859" s="3"/>
      <c r="Z859" s="3"/>
    </row>
    <row r="860" spans="1:26" ht="22.5" customHeight="1" x14ac:dyDescent="0.85">
      <c r="A860" s="166"/>
      <c r="B860" s="167"/>
      <c r="C860" s="167"/>
      <c r="D860" s="147"/>
      <c r="E860" s="147"/>
      <c r="F860" s="147"/>
      <c r="G860" s="147"/>
      <c r="H860" s="147"/>
      <c r="I860" s="147"/>
      <c r="J860" s="147"/>
      <c r="K860" s="3"/>
      <c r="L860" s="3"/>
      <c r="M860" s="3"/>
      <c r="N860" s="3"/>
      <c r="O860" s="3"/>
      <c r="P860" s="3"/>
      <c r="Q860" s="3"/>
      <c r="R860" s="3"/>
      <c r="S860" s="3"/>
      <c r="T860" s="3"/>
      <c r="U860" s="3"/>
      <c r="V860" s="3"/>
      <c r="W860" s="3"/>
      <c r="X860" s="3"/>
      <c r="Y860" s="3"/>
      <c r="Z860" s="3"/>
    </row>
    <row r="861" spans="1:26" ht="22.5" customHeight="1" x14ac:dyDescent="0.85">
      <c r="A861" s="166"/>
      <c r="B861" s="167"/>
      <c r="C861" s="167"/>
      <c r="D861" s="147"/>
      <c r="E861" s="147"/>
      <c r="F861" s="147"/>
      <c r="G861" s="147"/>
      <c r="H861" s="147"/>
      <c r="I861" s="147"/>
      <c r="J861" s="147"/>
      <c r="K861" s="3"/>
      <c r="L861" s="3"/>
      <c r="M861" s="3"/>
      <c r="N861" s="3"/>
      <c r="O861" s="3"/>
      <c r="P861" s="3"/>
      <c r="Q861" s="3"/>
      <c r="R861" s="3"/>
      <c r="S861" s="3"/>
      <c r="T861" s="3"/>
      <c r="U861" s="3"/>
      <c r="V861" s="3"/>
      <c r="W861" s="3"/>
      <c r="X861" s="3"/>
      <c r="Y861" s="3"/>
      <c r="Z861" s="3"/>
    </row>
    <row r="862" spans="1:26" ht="22.5" customHeight="1" x14ac:dyDescent="0.85">
      <c r="A862" s="166"/>
      <c r="B862" s="167"/>
      <c r="C862" s="167"/>
      <c r="D862" s="147"/>
      <c r="E862" s="147"/>
      <c r="F862" s="147"/>
      <c r="G862" s="147"/>
      <c r="H862" s="147"/>
      <c r="I862" s="147"/>
      <c r="J862" s="147"/>
      <c r="K862" s="3"/>
      <c r="L862" s="3"/>
      <c r="M862" s="3"/>
      <c r="N862" s="3"/>
      <c r="O862" s="3"/>
      <c r="P862" s="3"/>
      <c r="Q862" s="3"/>
      <c r="R862" s="3"/>
      <c r="S862" s="3"/>
      <c r="T862" s="3"/>
      <c r="U862" s="3"/>
      <c r="V862" s="3"/>
      <c r="W862" s="3"/>
      <c r="X862" s="3"/>
      <c r="Y862" s="3"/>
      <c r="Z862" s="3"/>
    </row>
    <row r="863" spans="1:26" ht="22.5" customHeight="1" x14ac:dyDescent="0.85">
      <c r="A863" s="166"/>
      <c r="B863" s="167"/>
      <c r="C863" s="167"/>
      <c r="D863" s="147"/>
      <c r="E863" s="147"/>
      <c r="F863" s="147"/>
      <c r="G863" s="147"/>
      <c r="H863" s="147"/>
      <c r="I863" s="147"/>
      <c r="J863" s="147"/>
      <c r="K863" s="3"/>
      <c r="L863" s="3"/>
      <c r="M863" s="3"/>
      <c r="N863" s="3"/>
      <c r="O863" s="3"/>
      <c r="P863" s="3"/>
      <c r="Q863" s="3"/>
      <c r="R863" s="3"/>
      <c r="S863" s="3"/>
      <c r="T863" s="3"/>
      <c r="U863" s="3"/>
      <c r="V863" s="3"/>
      <c r="W863" s="3"/>
      <c r="X863" s="3"/>
      <c r="Y863" s="3"/>
      <c r="Z863" s="3"/>
    </row>
    <row r="864" spans="1:26" ht="22.5" customHeight="1" x14ac:dyDescent="0.85">
      <c r="A864" s="166"/>
      <c r="B864" s="167"/>
      <c r="C864" s="167"/>
      <c r="D864" s="147"/>
      <c r="E864" s="147"/>
      <c r="F864" s="147"/>
      <c r="G864" s="147"/>
      <c r="H864" s="147"/>
      <c r="I864" s="147"/>
      <c r="J864" s="147"/>
      <c r="K864" s="3"/>
      <c r="L864" s="3"/>
      <c r="M864" s="3"/>
      <c r="N864" s="3"/>
      <c r="O864" s="3"/>
      <c r="P864" s="3"/>
      <c r="Q864" s="3"/>
      <c r="R864" s="3"/>
      <c r="S864" s="3"/>
      <c r="T864" s="3"/>
      <c r="U864" s="3"/>
      <c r="V864" s="3"/>
      <c r="W864" s="3"/>
      <c r="X864" s="3"/>
      <c r="Y864" s="3"/>
      <c r="Z864" s="3"/>
    </row>
    <row r="865" spans="1:26" ht="22.5" customHeight="1" x14ac:dyDescent="0.85">
      <c r="A865" s="166"/>
      <c r="B865" s="167"/>
      <c r="C865" s="167"/>
      <c r="D865" s="147"/>
      <c r="E865" s="147"/>
      <c r="F865" s="147"/>
      <c r="G865" s="147"/>
      <c r="H865" s="147"/>
      <c r="I865" s="147"/>
      <c r="J865" s="147"/>
      <c r="K865" s="3"/>
      <c r="L865" s="3"/>
      <c r="M865" s="3"/>
      <c r="N865" s="3"/>
      <c r="O865" s="3"/>
      <c r="P865" s="3"/>
      <c r="Q865" s="3"/>
      <c r="R865" s="3"/>
      <c r="S865" s="3"/>
      <c r="T865" s="3"/>
      <c r="U865" s="3"/>
      <c r="V865" s="3"/>
      <c r="W865" s="3"/>
      <c r="X865" s="3"/>
      <c r="Y865" s="3"/>
      <c r="Z865" s="3"/>
    </row>
    <row r="866" spans="1:26" ht="22.5" customHeight="1" x14ac:dyDescent="0.85">
      <c r="A866" s="166"/>
      <c r="B866" s="167"/>
      <c r="C866" s="167"/>
      <c r="D866" s="147"/>
      <c r="E866" s="147"/>
      <c r="F866" s="147"/>
      <c r="G866" s="147"/>
      <c r="H866" s="147"/>
      <c r="I866" s="147"/>
      <c r="J866" s="147"/>
      <c r="K866" s="3"/>
      <c r="L866" s="3"/>
      <c r="M866" s="3"/>
      <c r="N866" s="3"/>
      <c r="O866" s="3"/>
      <c r="P866" s="3"/>
      <c r="Q866" s="3"/>
      <c r="R866" s="3"/>
      <c r="S866" s="3"/>
      <c r="T866" s="3"/>
      <c r="U866" s="3"/>
      <c r="V866" s="3"/>
      <c r="W866" s="3"/>
      <c r="X866" s="3"/>
      <c r="Y866" s="3"/>
      <c r="Z866" s="3"/>
    </row>
    <row r="867" spans="1:26" ht="22.5" customHeight="1" x14ac:dyDescent="0.85">
      <c r="A867" s="166"/>
      <c r="B867" s="167"/>
      <c r="C867" s="167"/>
      <c r="D867" s="147"/>
      <c r="E867" s="147"/>
      <c r="F867" s="147"/>
      <c r="G867" s="147"/>
      <c r="H867" s="147"/>
      <c r="I867" s="147"/>
      <c r="J867" s="147"/>
      <c r="K867" s="3"/>
      <c r="L867" s="3"/>
      <c r="M867" s="3"/>
      <c r="N867" s="3"/>
      <c r="O867" s="3"/>
      <c r="P867" s="3"/>
      <c r="Q867" s="3"/>
      <c r="R867" s="3"/>
      <c r="S867" s="3"/>
      <c r="T867" s="3"/>
      <c r="U867" s="3"/>
      <c r="V867" s="3"/>
      <c r="W867" s="3"/>
      <c r="X867" s="3"/>
      <c r="Y867" s="3"/>
      <c r="Z867" s="3"/>
    </row>
    <row r="868" spans="1:26" ht="22.5" customHeight="1" x14ac:dyDescent="0.85">
      <c r="A868" s="166"/>
      <c r="B868" s="167"/>
      <c r="C868" s="167"/>
      <c r="D868" s="147"/>
      <c r="E868" s="147"/>
      <c r="F868" s="147"/>
      <c r="G868" s="147"/>
      <c r="H868" s="147"/>
      <c r="I868" s="147"/>
      <c r="J868" s="147"/>
      <c r="K868" s="3"/>
      <c r="L868" s="3"/>
      <c r="M868" s="3"/>
      <c r="N868" s="3"/>
      <c r="O868" s="3"/>
      <c r="P868" s="3"/>
      <c r="Q868" s="3"/>
      <c r="R868" s="3"/>
      <c r="S868" s="3"/>
      <c r="T868" s="3"/>
      <c r="U868" s="3"/>
      <c r="V868" s="3"/>
      <c r="W868" s="3"/>
      <c r="X868" s="3"/>
      <c r="Y868" s="3"/>
      <c r="Z868" s="3"/>
    </row>
    <row r="869" spans="1:26" ht="22.5" customHeight="1" x14ac:dyDescent="0.85">
      <c r="A869" s="166"/>
      <c r="B869" s="167"/>
      <c r="C869" s="167"/>
      <c r="D869" s="147"/>
      <c r="E869" s="147"/>
      <c r="F869" s="147"/>
      <c r="G869" s="147"/>
      <c r="H869" s="147"/>
      <c r="I869" s="147"/>
      <c r="J869" s="147"/>
      <c r="K869" s="3"/>
      <c r="L869" s="3"/>
      <c r="M869" s="3"/>
      <c r="N869" s="3"/>
      <c r="O869" s="3"/>
      <c r="P869" s="3"/>
      <c r="Q869" s="3"/>
      <c r="R869" s="3"/>
      <c r="S869" s="3"/>
      <c r="T869" s="3"/>
      <c r="U869" s="3"/>
      <c r="V869" s="3"/>
      <c r="W869" s="3"/>
      <c r="X869" s="3"/>
      <c r="Y869" s="3"/>
      <c r="Z869" s="3"/>
    </row>
    <row r="870" spans="1:26" ht="22.5" customHeight="1" x14ac:dyDescent="0.85">
      <c r="A870" s="166"/>
      <c r="B870" s="167"/>
      <c r="C870" s="167"/>
      <c r="D870" s="147"/>
      <c r="E870" s="147"/>
      <c r="F870" s="147"/>
      <c r="G870" s="147"/>
      <c r="H870" s="147"/>
      <c r="I870" s="147"/>
      <c r="J870" s="147"/>
      <c r="K870" s="3"/>
      <c r="L870" s="3"/>
      <c r="M870" s="3"/>
      <c r="N870" s="3"/>
      <c r="O870" s="3"/>
      <c r="P870" s="3"/>
      <c r="Q870" s="3"/>
      <c r="R870" s="3"/>
      <c r="S870" s="3"/>
      <c r="T870" s="3"/>
      <c r="U870" s="3"/>
      <c r="V870" s="3"/>
      <c r="W870" s="3"/>
      <c r="X870" s="3"/>
      <c r="Y870" s="3"/>
      <c r="Z870" s="3"/>
    </row>
    <row r="871" spans="1:26" ht="22.5" customHeight="1" x14ac:dyDescent="0.85">
      <c r="A871" s="166"/>
      <c r="B871" s="167"/>
      <c r="C871" s="167"/>
      <c r="D871" s="147"/>
      <c r="E871" s="147"/>
      <c r="F871" s="147"/>
      <c r="G871" s="147"/>
      <c r="H871" s="147"/>
      <c r="I871" s="147"/>
      <c r="J871" s="147"/>
      <c r="K871" s="3"/>
      <c r="L871" s="3"/>
      <c r="M871" s="3"/>
      <c r="N871" s="3"/>
      <c r="O871" s="3"/>
      <c r="P871" s="3"/>
      <c r="Q871" s="3"/>
      <c r="R871" s="3"/>
      <c r="S871" s="3"/>
      <c r="T871" s="3"/>
      <c r="U871" s="3"/>
      <c r="V871" s="3"/>
      <c r="W871" s="3"/>
      <c r="X871" s="3"/>
      <c r="Y871" s="3"/>
      <c r="Z871" s="3"/>
    </row>
    <row r="872" spans="1:26" ht="22.5" customHeight="1" x14ac:dyDescent="0.85">
      <c r="A872" s="166"/>
      <c r="B872" s="167"/>
      <c r="C872" s="167"/>
      <c r="D872" s="147"/>
      <c r="E872" s="147"/>
      <c r="F872" s="147"/>
      <c r="G872" s="147"/>
      <c r="H872" s="147"/>
      <c r="I872" s="147"/>
      <c r="J872" s="147"/>
      <c r="K872" s="3"/>
      <c r="L872" s="3"/>
      <c r="M872" s="3"/>
      <c r="N872" s="3"/>
      <c r="O872" s="3"/>
      <c r="P872" s="3"/>
      <c r="Q872" s="3"/>
      <c r="R872" s="3"/>
      <c r="S872" s="3"/>
      <c r="T872" s="3"/>
      <c r="U872" s="3"/>
      <c r="V872" s="3"/>
      <c r="W872" s="3"/>
      <c r="X872" s="3"/>
      <c r="Y872" s="3"/>
      <c r="Z872" s="3"/>
    </row>
    <row r="873" spans="1:26" ht="22.5" customHeight="1" x14ac:dyDescent="0.85">
      <c r="A873" s="166"/>
      <c r="B873" s="167"/>
      <c r="C873" s="167"/>
      <c r="D873" s="147"/>
      <c r="E873" s="147"/>
      <c r="F873" s="147"/>
      <c r="G873" s="147"/>
      <c r="H873" s="147"/>
      <c r="I873" s="147"/>
      <c r="J873" s="147"/>
      <c r="K873" s="3"/>
      <c r="L873" s="3"/>
      <c r="M873" s="3"/>
      <c r="N873" s="3"/>
      <c r="O873" s="3"/>
      <c r="P873" s="3"/>
      <c r="Q873" s="3"/>
      <c r="R873" s="3"/>
      <c r="S873" s="3"/>
      <c r="T873" s="3"/>
      <c r="U873" s="3"/>
      <c r="V873" s="3"/>
      <c r="W873" s="3"/>
      <c r="X873" s="3"/>
      <c r="Y873" s="3"/>
      <c r="Z873" s="3"/>
    </row>
    <row r="874" spans="1:26" ht="22.5" customHeight="1" x14ac:dyDescent="0.85">
      <c r="A874" s="166"/>
      <c r="B874" s="167"/>
      <c r="C874" s="167"/>
      <c r="D874" s="147"/>
      <c r="E874" s="147"/>
      <c r="F874" s="147"/>
      <c r="G874" s="147"/>
      <c r="H874" s="147"/>
      <c r="I874" s="147"/>
      <c r="J874" s="147"/>
      <c r="K874" s="3"/>
      <c r="L874" s="3"/>
      <c r="M874" s="3"/>
      <c r="N874" s="3"/>
      <c r="O874" s="3"/>
      <c r="P874" s="3"/>
      <c r="Q874" s="3"/>
      <c r="R874" s="3"/>
      <c r="S874" s="3"/>
      <c r="T874" s="3"/>
      <c r="U874" s="3"/>
      <c r="V874" s="3"/>
      <c r="W874" s="3"/>
      <c r="X874" s="3"/>
      <c r="Y874" s="3"/>
      <c r="Z874" s="3"/>
    </row>
    <row r="875" spans="1:26" ht="22.5" customHeight="1" x14ac:dyDescent="0.85">
      <c r="A875" s="166"/>
      <c r="B875" s="167"/>
      <c r="C875" s="167"/>
      <c r="D875" s="147"/>
      <c r="E875" s="147"/>
      <c r="F875" s="147"/>
      <c r="G875" s="147"/>
      <c r="H875" s="147"/>
      <c r="I875" s="147"/>
      <c r="J875" s="147"/>
      <c r="K875" s="3"/>
      <c r="L875" s="3"/>
      <c r="M875" s="3"/>
      <c r="N875" s="3"/>
      <c r="O875" s="3"/>
      <c r="P875" s="3"/>
      <c r="Q875" s="3"/>
      <c r="R875" s="3"/>
      <c r="S875" s="3"/>
      <c r="T875" s="3"/>
      <c r="U875" s="3"/>
      <c r="V875" s="3"/>
      <c r="W875" s="3"/>
      <c r="X875" s="3"/>
      <c r="Y875" s="3"/>
      <c r="Z875" s="3"/>
    </row>
    <row r="876" spans="1:26" ht="22.5" customHeight="1" x14ac:dyDescent="0.85">
      <c r="A876" s="166"/>
      <c r="B876" s="167"/>
      <c r="C876" s="167"/>
      <c r="D876" s="147"/>
      <c r="E876" s="147"/>
      <c r="F876" s="147"/>
      <c r="G876" s="147"/>
      <c r="H876" s="147"/>
      <c r="I876" s="147"/>
      <c r="J876" s="147"/>
      <c r="K876" s="3"/>
      <c r="L876" s="3"/>
      <c r="M876" s="3"/>
      <c r="N876" s="3"/>
      <c r="O876" s="3"/>
      <c r="P876" s="3"/>
      <c r="Q876" s="3"/>
      <c r="R876" s="3"/>
      <c r="S876" s="3"/>
      <c r="T876" s="3"/>
      <c r="U876" s="3"/>
      <c r="V876" s="3"/>
      <c r="W876" s="3"/>
      <c r="X876" s="3"/>
      <c r="Y876" s="3"/>
      <c r="Z876" s="3"/>
    </row>
    <row r="877" spans="1:26" ht="22.5" customHeight="1" x14ac:dyDescent="0.85">
      <c r="A877" s="166"/>
      <c r="B877" s="167"/>
      <c r="C877" s="167"/>
      <c r="D877" s="147"/>
      <c r="E877" s="147"/>
      <c r="F877" s="147"/>
      <c r="G877" s="147"/>
      <c r="H877" s="147"/>
      <c r="I877" s="147"/>
      <c r="J877" s="147"/>
      <c r="K877" s="3"/>
      <c r="L877" s="3"/>
      <c r="M877" s="3"/>
      <c r="N877" s="3"/>
      <c r="O877" s="3"/>
      <c r="P877" s="3"/>
      <c r="Q877" s="3"/>
      <c r="R877" s="3"/>
      <c r="S877" s="3"/>
      <c r="T877" s="3"/>
      <c r="U877" s="3"/>
      <c r="V877" s="3"/>
      <c r="W877" s="3"/>
      <c r="X877" s="3"/>
      <c r="Y877" s="3"/>
      <c r="Z877" s="3"/>
    </row>
    <row r="878" spans="1:26" ht="22.5" customHeight="1" x14ac:dyDescent="0.85">
      <c r="A878" s="166"/>
      <c r="B878" s="167"/>
      <c r="C878" s="167"/>
      <c r="D878" s="147"/>
      <c r="E878" s="147"/>
      <c r="F878" s="147"/>
      <c r="G878" s="147"/>
      <c r="H878" s="147"/>
      <c r="I878" s="147"/>
      <c r="J878" s="147"/>
      <c r="K878" s="3"/>
      <c r="L878" s="3"/>
      <c r="M878" s="3"/>
      <c r="N878" s="3"/>
      <c r="O878" s="3"/>
      <c r="P878" s="3"/>
      <c r="Q878" s="3"/>
      <c r="R878" s="3"/>
      <c r="S878" s="3"/>
      <c r="T878" s="3"/>
      <c r="U878" s="3"/>
      <c r="V878" s="3"/>
      <c r="W878" s="3"/>
      <c r="X878" s="3"/>
      <c r="Y878" s="3"/>
      <c r="Z878" s="3"/>
    </row>
    <row r="879" spans="1:26" ht="22.5" customHeight="1" x14ac:dyDescent="0.85">
      <c r="A879" s="166"/>
      <c r="B879" s="167"/>
      <c r="C879" s="167"/>
      <c r="D879" s="147"/>
      <c r="E879" s="147"/>
      <c r="F879" s="147"/>
      <c r="G879" s="147"/>
      <c r="H879" s="147"/>
      <c r="I879" s="147"/>
      <c r="J879" s="147"/>
      <c r="K879" s="3"/>
      <c r="L879" s="3"/>
      <c r="M879" s="3"/>
      <c r="N879" s="3"/>
      <c r="O879" s="3"/>
      <c r="P879" s="3"/>
      <c r="Q879" s="3"/>
      <c r="R879" s="3"/>
      <c r="S879" s="3"/>
      <c r="T879" s="3"/>
      <c r="U879" s="3"/>
      <c r="V879" s="3"/>
      <c r="W879" s="3"/>
      <c r="X879" s="3"/>
      <c r="Y879" s="3"/>
      <c r="Z879" s="3"/>
    </row>
    <row r="880" spans="1:26" ht="22.5" customHeight="1" x14ac:dyDescent="0.85">
      <c r="A880" s="166"/>
      <c r="B880" s="167"/>
      <c r="C880" s="167"/>
      <c r="D880" s="147"/>
      <c r="E880" s="147"/>
      <c r="F880" s="147"/>
      <c r="G880" s="147"/>
      <c r="H880" s="147"/>
      <c r="I880" s="147"/>
      <c r="J880" s="147"/>
      <c r="K880" s="3"/>
      <c r="L880" s="3"/>
      <c r="M880" s="3"/>
      <c r="N880" s="3"/>
      <c r="O880" s="3"/>
      <c r="P880" s="3"/>
      <c r="Q880" s="3"/>
      <c r="R880" s="3"/>
      <c r="S880" s="3"/>
      <c r="T880" s="3"/>
      <c r="U880" s="3"/>
      <c r="V880" s="3"/>
      <c r="W880" s="3"/>
      <c r="X880" s="3"/>
      <c r="Y880" s="3"/>
      <c r="Z880" s="3"/>
    </row>
    <row r="881" spans="1:26" ht="22.5" customHeight="1" x14ac:dyDescent="0.85">
      <c r="A881" s="166"/>
      <c r="B881" s="167"/>
      <c r="C881" s="167"/>
      <c r="D881" s="147"/>
      <c r="E881" s="147"/>
      <c r="F881" s="147"/>
      <c r="G881" s="147"/>
      <c r="H881" s="147"/>
      <c r="I881" s="147"/>
      <c r="J881" s="147"/>
      <c r="K881" s="3"/>
      <c r="L881" s="3"/>
      <c r="M881" s="3"/>
      <c r="N881" s="3"/>
      <c r="O881" s="3"/>
      <c r="P881" s="3"/>
      <c r="Q881" s="3"/>
      <c r="R881" s="3"/>
      <c r="S881" s="3"/>
      <c r="T881" s="3"/>
      <c r="U881" s="3"/>
      <c r="V881" s="3"/>
      <c r="W881" s="3"/>
      <c r="X881" s="3"/>
      <c r="Y881" s="3"/>
      <c r="Z881" s="3"/>
    </row>
    <row r="882" spans="1:26" ht="22.5" customHeight="1" x14ac:dyDescent="0.85">
      <c r="A882" s="166"/>
      <c r="B882" s="167"/>
      <c r="C882" s="167"/>
      <c r="D882" s="147"/>
      <c r="E882" s="147"/>
      <c r="F882" s="147"/>
      <c r="G882" s="147"/>
      <c r="H882" s="147"/>
      <c r="I882" s="147"/>
      <c r="J882" s="147"/>
      <c r="K882" s="3"/>
      <c r="L882" s="3"/>
      <c r="M882" s="3"/>
      <c r="N882" s="3"/>
      <c r="O882" s="3"/>
      <c r="P882" s="3"/>
      <c r="Q882" s="3"/>
      <c r="R882" s="3"/>
      <c r="S882" s="3"/>
      <c r="T882" s="3"/>
      <c r="U882" s="3"/>
      <c r="V882" s="3"/>
      <c r="W882" s="3"/>
      <c r="X882" s="3"/>
      <c r="Y882" s="3"/>
      <c r="Z882" s="3"/>
    </row>
    <row r="883" spans="1:26" ht="22.5" customHeight="1" x14ac:dyDescent="0.85">
      <c r="A883" s="166"/>
      <c r="B883" s="167"/>
      <c r="C883" s="167"/>
      <c r="D883" s="147"/>
      <c r="E883" s="147"/>
      <c r="F883" s="147"/>
      <c r="G883" s="147"/>
      <c r="H883" s="147"/>
      <c r="I883" s="147"/>
      <c r="J883" s="147"/>
      <c r="K883" s="3"/>
      <c r="L883" s="3"/>
      <c r="M883" s="3"/>
      <c r="N883" s="3"/>
      <c r="O883" s="3"/>
      <c r="P883" s="3"/>
      <c r="Q883" s="3"/>
      <c r="R883" s="3"/>
      <c r="S883" s="3"/>
      <c r="T883" s="3"/>
      <c r="U883" s="3"/>
      <c r="V883" s="3"/>
      <c r="W883" s="3"/>
      <c r="X883" s="3"/>
      <c r="Y883" s="3"/>
      <c r="Z883" s="3"/>
    </row>
    <row r="884" spans="1:26" ht="22.5" customHeight="1" x14ac:dyDescent="0.85">
      <c r="A884" s="166"/>
      <c r="B884" s="167"/>
      <c r="C884" s="167"/>
      <c r="D884" s="147"/>
      <c r="E884" s="147"/>
      <c r="F884" s="147"/>
      <c r="G884" s="147"/>
      <c r="H884" s="147"/>
      <c r="I884" s="147"/>
      <c r="J884" s="147"/>
      <c r="K884" s="3"/>
      <c r="L884" s="3"/>
      <c r="M884" s="3"/>
      <c r="N884" s="3"/>
      <c r="O884" s="3"/>
      <c r="P884" s="3"/>
      <c r="Q884" s="3"/>
      <c r="R884" s="3"/>
      <c r="S884" s="3"/>
      <c r="T884" s="3"/>
      <c r="U884" s="3"/>
      <c r="V884" s="3"/>
      <c r="W884" s="3"/>
      <c r="X884" s="3"/>
      <c r="Y884" s="3"/>
      <c r="Z884" s="3"/>
    </row>
    <row r="885" spans="1:26" ht="22.5" customHeight="1" x14ac:dyDescent="0.85">
      <c r="A885" s="166"/>
      <c r="B885" s="167"/>
      <c r="C885" s="167"/>
      <c r="D885" s="147"/>
      <c r="E885" s="147"/>
      <c r="F885" s="147"/>
      <c r="G885" s="147"/>
      <c r="H885" s="147"/>
      <c r="I885" s="147"/>
      <c r="J885" s="147"/>
      <c r="K885" s="3"/>
      <c r="L885" s="3"/>
      <c r="M885" s="3"/>
      <c r="N885" s="3"/>
      <c r="O885" s="3"/>
      <c r="P885" s="3"/>
      <c r="Q885" s="3"/>
      <c r="R885" s="3"/>
      <c r="S885" s="3"/>
      <c r="T885" s="3"/>
      <c r="U885" s="3"/>
      <c r="V885" s="3"/>
      <c r="W885" s="3"/>
      <c r="X885" s="3"/>
      <c r="Y885" s="3"/>
      <c r="Z885" s="3"/>
    </row>
    <row r="886" spans="1:26" ht="22.5" customHeight="1" x14ac:dyDescent="0.85">
      <c r="A886" s="166"/>
      <c r="B886" s="167"/>
      <c r="C886" s="167"/>
      <c r="D886" s="147"/>
      <c r="E886" s="147"/>
      <c r="F886" s="147"/>
      <c r="G886" s="147"/>
      <c r="H886" s="147"/>
      <c r="I886" s="147"/>
      <c r="J886" s="147"/>
      <c r="K886" s="3"/>
      <c r="L886" s="3"/>
      <c r="M886" s="3"/>
      <c r="N886" s="3"/>
      <c r="O886" s="3"/>
      <c r="P886" s="3"/>
      <c r="Q886" s="3"/>
      <c r="R886" s="3"/>
      <c r="S886" s="3"/>
      <c r="T886" s="3"/>
      <c r="U886" s="3"/>
      <c r="V886" s="3"/>
      <c r="W886" s="3"/>
      <c r="X886" s="3"/>
      <c r="Y886" s="3"/>
      <c r="Z886" s="3"/>
    </row>
    <row r="887" spans="1:26" ht="22.5" customHeight="1" x14ac:dyDescent="0.85">
      <c r="A887" s="166"/>
      <c r="B887" s="167"/>
      <c r="C887" s="167"/>
      <c r="D887" s="147"/>
      <c r="E887" s="147"/>
      <c r="F887" s="147"/>
      <c r="G887" s="147"/>
      <c r="H887" s="147"/>
      <c r="I887" s="147"/>
      <c r="J887" s="147"/>
      <c r="K887" s="3"/>
      <c r="L887" s="3"/>
      <c r="M887" s="3"/>
      <c r="N887" s="3"/>
      <c r="O887" s="3"/>
      <c r="P887" s="3"/>
      <c r="Q887" s="3"/>
      <c r="R887" s="3"/>
      <c r="S887" s="3"/>
      <c r="T887" s="3"/>
      <c r="U887" s="3"/>
      <c r="V887" s="3"/>
      <c r="W887" s="3"/>
      <c r="X887" s="3"/>
      <c r="Y887" s="3"/>
      <c r="Z887" s="3"/>
    </row>
    <row r="888" spans="1:26" ht="22.5" customHeight="1" x14ac:dyDescent="0.85">
      <c r="A888" s="166"/>
      <c r="B888" s="167"/>
      <c r="C888" s="167"/>
      <c r="D888" s="147"/>
      <c r="E888" s="147"/>
      <c r="F888" s="147"/>
      <c r="G888" s="147"/>
      <c r="H888" s="147"/>
      <c r="I888" s="147"/>
      <c r="J888" s="147"/>
      <c r="K888" s="3"/>
      <c r="L888" s="3"/>
      <c r="M888" s="3"/>
      <c r="N888" s="3"/>
      <c r="O888" s="3"/>
      <c r="P888" s="3"/>
      <c r="Q888" s="3"/>
      <c r="R888" s="3"/>
      <c r="S888" s="3"/>
      <c r="T888" s="3"/>
      <c r="U888" s="3"/>
      <c r="V888" s="3"/>
      <c r="W888" s="3"/>
      <c r="X888" s="3"/>
      <c r="Y888" s="3"/>
      <c r="Z888" s="3"/>
    </row>
    <row r="889" spans="1:26" ht="22.5" customHeight="1" x14ac:dyDescent="0.85">
      <c r="A889" s="166"/>
      <c r="B889" s="167"/>
      <c r="C889" s="167"/>
      <c r="D889" s="147"/>
      <c r="E889" s="147"/>
      <c r="F889" s="147"/>
      <c r="G889" s="147"/>
      <c r="H889" s="147"/>
      <c r="I889" s="147"/>
      <c r="J889" s="147"/>
      <c r="K889" s="3"/>
      <c r="L889" s="3"/>
      <c r="M889" s="3"/>
      <c r="N889" s="3"/>
      <c r="O889" s="3"/>
      <c r="P889" s="3"/>
      <c r="Q889" s="3"/>
      <c r="R889" s="3"/>
      <c r="S889" s="3"/>
      <c r="T889" s="3"/>
      <c r="U889" s="3"/>
      <c r="V889" s="3"/>
      <c r="W889" s="3"/>
      <c r="X889" s="3"/>
      <c r="Y889" s="3"/>
      <c r="Z889" s="3"/>
    </row>
    <row r="890" spans="1:26" ht="22.5" customHeight="1" x14ac:dyDescent="0.85">
      <c r="A890" s="166"/>
      <c r="B890" s="167"/>
      <c r="C890" s="167"/>
      <c r="D890" s="147"/>
      <c r="E890" s="147"/>
      <c r="F890" s="147"/>
      <c r="G890" s="147"/>
      <c r="H890" s="147"/>
      <c r="I890" s="147"/>
      <c r="J890" s="147"/>
      <c r="K890" s="3"/>
      <c r="L890" s="3"/>
      <c r="M890" s="3"/>
      <c r="N890" s="3"/>
      <c r="O890" s="3"/>
      <c r="P890" s="3"/>
      <c r="Q890" s="3"/>
      <c r="R890" s="3"/>
      <c r="S890" s="3"/>
      <c r="T890" s="3"/>
      <c r="U890" s="3"/>
      <c r="V890" s="3"/>
      <c r="W890" s="3"/>
      <c r="X890" s="3"/>
      <c r="Y890" s="3"/>
      <c r="Z890" s="3"/>
    </row>
    <row r="891" spans="1:26" ht="22.5" customHeight="1" x14ac:dyDescent="0.85">
      <c r="A891" s="166"/>
      <c r="B891" s="167"/>
      <c r="C891" s="167"/>
      <c r="D891" s="147"/>
      <c r="E891" s="147"/>
      <c r="F891" s="147"/>
      <c r="G891" s="147"/>
      <c r="H891" s="147"/>
      <c r="I891" s="147"/>
      <c r="J891" s="147"/>
      <c r="K891" s="3"/>
      <c r="L891" s="3"/>
      <c r="M891" s="3"/>
      <c r="N891" s="3"/>
      <c r="O891" s="3"/>
      <c r="P891" s="3"/>
      <c r="Q891" s="3"/>
      <c r="R891" s="3"/>
      <c r="S891" s="3"/>
      <c r="T891" s="3"/>
      <c r="U891" s="3"/>
      <c r="V891" s="3"/>
      <c r="W891" s="3"/>
      <c r="X891" s="3"/>
      <c r="Y891" s="3"/>
      <c r="Z891" s="3"/>
    </row>
    <row r="892" spans="1:26" ht="22.5" customHeight="1" x14ac:dyDescent="0.85">
      <c r="A892" s="166"/>
      <c r="B892" s="167"/>
      <c r="C892" s="167"/>
      <c r="D892" s="147"/>
      <c r="E892" s="147"/>
      <c r="F892" s="147"/>
      <c r="G892" s="147"/>
      <c r="H892" s="147"/>
      <c r="I892" s="147"/>
      <c r="J892" s="147"/>
      <c r="K892" s="3"/>
      <c r="L892" s="3"/>
      <c r="M892" s="3"/>
      <c r="N892" s="3"/>
      <c r="O892" s="3"/>
      <c r="P892" s="3"/>
      <c r="Q892" s="3"/>
      <c r="R892" s="3"/>
      <c r="S892" s="3"/>
      <c r="T892" s="3"/>
      <c r="U892" s="3"/>
      <c r="V892" s="3"/>
      <c r="W892" s="3"/>
      <c r="X892" s="3"/>
      <c r="Y892" s="3"/>
      <c r="Z892" s="3"/>
    </row>
    <row r="893" spans="1:26" ht="22.5" customHeight="1" x14ac:dyDescent="0.85">
      <c r="A893" s="166"/>
      <c r="B893" s="167"/>
      <c r="C893" s="167"/>
      <c r="D893" s="147"/>
      <c r="E893" s="147"/>
      <c r="F893" s="147"/>
      <c r="G893" s="147"/>
      <c r="H893" s="147"/>
      <c r="I893" s="147"/>
      <c r="J893" s="147"/>
      <c r="K893" s="3"/>
      <c r="L893" s="3"/>
      <c r="M893" s="3"/>
      <c r="N893" s="3"/>
      <c r="O893" s="3"/>
      <c r="P893" s="3"/>
      <c r="Q893" s="3"/>
      <c r="R893" s="3"/>
      <c r="S893" s="3"/>
      <c r="T893" s="3"/>
      <c r="U893" s="3"/>
      <c r="V893" s="3"/>
      <c r="W893" s="3"/>
      <c r="X893" s="3"/>
      <c r="Y893" s="3"/>
      <c r="Z893" s="3"/>
    </row>
    <row r="894" spans="1:26" ht="22.5" customHeight="1" x14ac:dyDescent="0.85">
      <c r="A894" s="166"/>
      <c r="B894" s="167"/>
      <c r="C894" s="167"/>
      <c r="D894" s="147"/>
      <c r="E894" s="147"/>
      <c r="F894" s="147"/>
      <c r="G894" s="147"/>
      <c r="H894" s="147"/>
      <c r="I894" s="147"/>
      <c r="J894" s="147"/>
      <c r="K894" s="3"/>
      <c r="L894" s="3"/>
      <c r="M894" s="3"/>
      <c r="N894" s="3"/>
      <c r="O894" s="3"/>
      <c r="P894" s="3"/>
      <c r="Q894" s="3"/>
      <c r="R894" s="3"/>
      <c r="S894" s="3"/>
      <c r="T894" s="3"/>
      <c r="U894" s="3"/>
      <c r="V894" s="3"/>
      <c r="W894" s="3"/>
      <c r="X894" s="3"/>
      <c r="Y894" s="3"/>
      <c r="Z894" s="3"/>
    </row>
    <row r="895" spans="1:26" ht="22.5" customHeight="1" x14ac:dyDescent="0.85">
      <c r="A895" s="166"/>
      <c r="B895" s="167"/>
      <c r="C895" s="167"/>
      <c r="D895" s="147"/>
      <c r="E895" s="147"/>
      <c r="F895" s="147"/>
      <c r="G895" s="147"/>
      <c r="H895" s="147"/>
      <c r="I895" s="147"/>
      <c r="J895" s="147"/>
      <c r="K895" s="3"/>
      <c r="L895" s="3"/>
      <c r="M895" s="3"/>
      <c r="N895" s="3"/>
      <c r="O895" s="3"/>
      <c r="P895" s="3"/>
      <c r="Q895" s="3"/>
      <c r="R895" s="3"/>
      <c r="S895" s="3"/>
      <c r="T895" s="3"/>
      <c r="U895" s="3"/>
      <c r="V895" s="3"/>
      <c r="W895" s="3"/>
      <c r="X895" s="3"/>
      <c r="Y895" s="3"/>
      <c r="Z895" s="3"/>
    </row>
    <row r="896" spans="1:26" ht="22.5" customHeight="1" x14ac:dyDescent="0.85">
      <c r="A896" s="166"/>
      <c r="B896" s="167"/>
      <c r="C896" s="167"/>
      <c r="D896" s="147"/>
      <c r="E896" s="147"/>
      <c r="F896" s="147"/>
      <c r="G896" s="147"/>
      <c r="H896" s="147"/>
      <c r="I896" s="147"/>
      <c r="J896" s="147"/>
      <c r="K896" s="3"/>
      <c r="L896" s="3"/>
      <c r="M896" s="3"/>
      <c r="N896" s="3"/>
      <c r="O896" s="3"/>
      <c r="P896" s="3"/>
      <c r="Q896" s="3"/>
      <c r="R896" s="3"/>
      <c r="S896" s="3"/>
      <c r="T896" s="3"/>
      <c r="U896" s="3"/>
      <c r="V896" s="3"/>
      <c r="W896" s="3"/>
      <c r="X896" s="3"/>
      <c r="Y896" s="3"/>
      <c r="Z896" s="3"/>
    </row>
    <row r="897" spans="1:26" ht="22.5" customHeight="1" x14ac:dyDescent="0.85">
      <c r="A897" s="166"/>
      <c r="B897" s="167"/>
      <c r="C897" s="167"/>
      <c r="D897" s="147"/>
      <c r="E897" s="147"/>
      <c r="F897" s="147"/>
      <c r="G897" s="147"/>
      <c r="H897" s="147"/>
      <c r="I897" s="147"/>
      <c r="J897" s="147"/>
      <c r="K897" s="3"/>
      <c r="L897" s="3"/>
      <c r="M897" s="3"/>
      <c r="N897" s="3"/>
      <c r="O897" s="3"/>
      <c r="P897" s="3"/>
      <c r="Q897" s="3"/>
      <c r="R897" s="3"/>
      <c r="S897" s="3"/>
      <c r="T897" s="3"/>
      <c r="U897" s="3"/>
      <c r="V897" s="3"/>
      <c r="W897" s="3"/>
      <c r="X897" s="3"/>
      <c r="Y897" s="3"/>
      <c r="Z897" s="3"/>
    </row>
    <row r="898" spans="1:26" ht="22.5" customHeight="1" x14ac:dyDescent="0.85">
      <c r="A898" s="166"/>
      <c r="B898" s="167"/>
      <c r="C898" s="167"/>
      <c r="D898" s="147"/>
      <c r="E898" s="147"/>
      <c r="F898" s="147"/>
      <c r="G898" s="147"/>
      <c r="H898" s="147"/>
      <c r="I898" s="147"/>
      <c r="J898" s="147"/>
      <c r="K898" s="3"/>
      <c r="L898" s="3"/>
      <c r="M898" s="3"/>
      <c r="N898" s="3"/>
      <c r="O898" s="3"/>
      <c r="P898" s="3"/>
      <c r="Q898" s="3"/>
      <c r="R898" s="3"/>
      <c r="S898" s="3"/>
      <c r="T898" s="3"/>
      <c r="U898" s="3"/>
      <c r="V898" s="3"/>
      <c r="W898" s="3"/>
      <c r="X898" s="3"/>
      <c r="Y898" s="3"/>
      <c r="Z898" s="3"/>
    </row>
    <row r="899" spans="1:26" ht="22.5" customHeight="1" x14ac:dyDescent="0.85">
      <c r="A899" s="166"/>
      <c r="B899" s="167"/>
      <c r="C899" s="167"/>
      <c r="D899" s="147"/>
      <c r="E899" s="147"/>
      <c r="F899" s="147"/>
      <c r="G899" s="147"/>
      <c r="H899" s="147"/>
      <c r="I899" s="147"/>
      <c r="J899" s="147"/>
      <c r="K899" s="3"/>
      <c r="L899" s="3"/>
      <c r="M899" s="3"/>
      <c r="N899" s="3"/>
      <c r="O899" s="3"/>
      <c r="P899" s="3"/>
      <c r="Q899" s="3"/>
      <c r="R899" s="3"/>
      <c r="S899" s="3"/>
      <c r="T899" s="3"/>
      <c r="U899" s="3"/>
      <c r="V899" s="3"/>
      <c r="W899" s="3"/>
      <c r="X899" s="3"/>
      <c r="Y899" s="3"/>
      <c r="Z899" s="3"/>
    </row>
    <row r="900" spans="1:26" ht="22.5" customHeight="1" x14ac:dyDescent="0.85">
      <c r="A900" s="166"/>
      <c r="B900" s="167"/>
      <c r="C900" s="167"/>
      <c r="D900" s="147"/>
      <c r="E900" s="147"/>
      <c r="F900" s="147"/>
      <c r="G900" s="147"/>
      <c r="H900" s="147"/>
      <c r="I900" s="147"/>
      <c r="J900" s="147"/>
      <c r="K900" s="3"/>
      <c r="L900" s="3"/>
      <c r="M900" s="3"/>
      <c r="N900" s="3"/>
      <c r="O900" s="3"/>
      <c r="P900" s="3"/>
      <c r="Q900" s="3"/>
      <c r="R900" s="3"/>
      <c r="S900" s="3"/>
      <c r="T900" s="3"/>
      <c r="U900" s="3"/>
      <c r="V900" s="3"/>
      <c r="W900" s="3"/>
      <c r="X900" s="3"/>
      <c r="Y900" s="3"/>
      <c r="Z900" s="3"/>
    </row>
    <row r="901" spans="1:26" ht="22.5" customHeight="1" x14ac:dyDescent="0.85">
      <c r="A901" s="166"/>
      <c r="B901" s="167"/>
      <c r="C901" s="167"/>
      <c r="D901" s="147"/>
      <c r="E901" s="147"/>
      <c r="F901" s="147"/>
      <c r="G901" s="147"/>
      <c r="H901" s="147"/>
      <c r="I901" s="147"/>
      <c r="J901" s="147"/>
      <c r="K901" s="3"/>
      <c r="L901" s="3"/>
      <c r="M901" s="3"/>
      <c r="N901" s="3"/>
      <c r="O901" s="3"/>
      <c r="P901" s="3"/>
      <c r="Q901" s="3"/>
      <c r="R901" s="3"/>
      <c r="S901" s="3"/>
      <c r="T901" s="3"/>
      <c r="U901" s="3"/>
      <c r="V901" s="3"/>
      <c r="W901" s="3"/>
      <c r="X901" s="3"/>
      <c r="Y901" s="3"/>
      <c r="Z901" s="3"/>
    </row>
    <row r="902" spans="1:26" ht="22.5" customHeight="1" x14ac:dyDescent="0.85">
      <c r="A902" s="166"/>
      <c r="B902" s="167"/>
      <c r="C902" s="167"/>
      <c r="D902" s="147"/>
      <c r="E902" s="147"/>
      <c r="F902" s="147"/>
      <c r="G902" s="147"/>
      <c r="H902" s="147"/>
      <c r="I902" s="147"/>
      <c r="J902" s="147"/>
      <c r="K902" s="3"/>
      <c r="L902" s="3"/>
      <c r="M902" s="3"/>
      <c r="N902" s="3"/>
      <c r="O902" s="3"/>
      <c r="P902" s="3"/>
      <c r="Q902" s="3"/>
      <c r="R902" s="3"/>
      <c r="S902" s="3"/>
      <c r="T902" s="3"/>
      <c r="U902" s="3"/>
      <c r="V902" s="3"/>
      <c r="W902" s="3"/>
      <c r="X902" s="3"/>
      <c r="Y902" s="3"/>
      <c r="Z902" s="3"/>
    </row>
    <row r="903" spans="1:26" ht="22.5" customHeight="1" x14ac:dyDescent="0.85">
      <c r="A903" s="166"/>
      <c r="B903" s="167"/>
      <c r="C903" s="167"/>
      <c r="D903" s="147"/>
      <c r="E903" s="147"/>
      <c r="F903" s="147"/>
      <c r="G903" s="147"/>
      <c r="H903" s="147"/>
      <c r="I903" s="147"/>
      <c r="J903" s="147"/>
      <c r="K903" s="3"/>
      <c r="L903" s="3"/>
      <c r="M903" s="3"/>
      <c r="N903" s="3"/>
      <c r="O903" s="3"/>
      <c r="P903" s="3"/>
      <c r="Q903" s="3"/>
      <c r="R903" s="3"/>
      <c r="S903" s="3"/>
      <c r="T903" s="3"/>
      <c r="U903" s="3"/>
      <c r="V903" s="3"/>
      <c r="W903" s="3"/>
      <c r="X903" s="3"/>
      <c r="Y903" s="3"/>
      <c r="Z903" s="3"/>
    </row>
    <row r="904" spans="1:26" ht="22.5" customHeight="1" x14ac:dyDescent="0.85">
      <c r="A904" s="166"/>
      <c r="B904" s="167"/>
      <c r="C904" s="167"/>
      <c r="D904" s="147"/>
      <c r="E904" s="147"/>
      <c r="F904" s="147"/>
      <c r="G904" s="147"/>
      <c r="H904" s="147"/>
      <c r="I904" s="147"/>
      <c r="J904" s="147"/>
      <c r="K904" s="3"/>
      <c r="L904" s="3"/>
      <c r="M904" s="3"/>
      <c r="N904" s="3"/>
      <c r="O904" s="3"/>
      <c r="P904" s="3"/>
      <c r="Q904" s="3"/>
      <c r="R904" s="3"/>
      <c r="S904" s="3"/>
      <c r="T904" s="3"/>
      <c r="U904" s="3"/>
      <c r="V904" s="3"/>
      <c r="W904" s="3"/>
      <c r="X904" s="3"/>
      <c r="Y904" s="3"/>
      <c r="Z904" s="3"/>
    </row>
    <row r="905" spans="1:26" ht="22.5" customHeight="1" x14ac:dyDescent="0.85">
      <c r="A905" s="166"/>
      <c r="B905" s="167"/>
      <c r="C905" s="167"/>
      <c r="D905" s="147"/>
      <c r="E905" s="147"/>
      <c r="F905" s="147"/>
      <c r="G905" s="147"/>
      <c r="H905" s="147"/>
      <c r="I905" s="147"/>
      <c r="J905" s="147"/>
      <c r="K905" s="3"/>
      <c r="L905" s="3"/>
      <c r="M905" s="3"/>
      <c r="N905" s="3"/>
      <c r="O905" s="3"/>
      <c r="P905" s="3"/>
      <c r="Q905" s="3"/>
      <c r="R905" s="3"/>
      <c r="S905" s="3"/>
      <c r="T905" s="3"/>
      <c r="U905" s="3"/>
      <c r="V905" s="3"/>
      <c r="W905" s="3"/>
      <c r="X905" s="3"/>
      <c r="Y905" s="3"/>
      <c r="Z905" s="3"/>
    </row>
    <row r="906" spans="1:26" ht="22.5" customHeight="1" x14ac:dyDescent="0.85">
      <c r="A906" s="166"/>
      <c r="B906" s="167"/>
      <c r="C906" s="167"/>
      <c r="D906" s="147"/>
      <c r="E906" s="147"/>
      <c r="F906" s="147"/>
      <c r="G906" s="147"/>
      <c r="H906" s="147"/>
      <c r="I906" s="147"/>
      <c r="J906" s="147"/>
      <c r="K906" s="3"/>
      <c r="L906" s="3"/>
      <c r="M906" s="3"/>
      <c r="N906" s="3"/>
      <c r="O906" s="3"/>
      <c r="P906" s="3"/>
      <c r="Q906" s="3"/>
      <c r="R906" s="3"/>
      <c r="S906" s="3"/>
      <c r="T906" s="3"/>
      <c r="U906" s="3"/>
      <c r="V906" s="3"/>
      <c r="W906" s="3"/>
      <c r="X906" s="3"/>
      <c r="Y906" s="3"/>
      <c r="Z906" s="3"/>
    </row>
    <row r="907" spans="1:26" ht="22.5" customHeight="1" x14ac:dyDescent="0.85">
      <c r="A907" s="166"/>
      <c r="B907" s="167"/>
      <c r="C907" s="167"/>
      <c r="D907" s="147"/>
      <c r="E907" s="147"/>
      <c r="F907" s="147"/>
      <c r="G907" s="147"/>
      <c r="H907" s="147"/>
      <c r="I907" s="147"/>
      <c r="J907" s="147"/>
      <c r="K907" s="3"/>
      <c r="L907" s="3"/>
      <c r="M907" s="3"/>
      <c r="N907" s="3"/>
      <c r="O907" s="3"/>
      <c r="P907" s="3"/>
      <c r="Q907" s="3"/>
      <c r="R907" s="3"/>
      <c r="S907" s="3"/>
      <c r="T907" s="3"/>
      <c r="U907" s="3"/>
      <c r="V907" s="3"/>
      <c r="W907" s="3"/>
      <c r="X907" s="3"/>
      <c r="Y907" s="3"/>
      <c r="Z907" s="3"/>
    </row>
    <row r="908" spans="1:26" ht="22.5" customHeight="1" x14ac:dyDescent="0.85">
      <c r="A908" s="166"/>
      <c r="B908" s="167"/>
      <c r="C908" s="167"/>
      <c r="D908" s="147"/>
      <c r="E908" s="147"/>
      <c r="F908" s="147"/>
      <c r="G908" s="147"/>
      <c r="H908" s="147"/>
      <c r="I908" s="147"/>
      <c r="J908" s="147"/>
      <c r="K908" s="3"/>
      <c r="L908" s="3"/>
      <c r="M908" s="3"/>
      <c r="N908" s="3"/>
      <c r="O908" s="3"/>
      <c r="P908" s="3"/>
      <c r="Q908" s="3"/>
      <c r="R908" s="3"/>
      <c r="S908" s="3"/>
      <c r="T908" s="3"/>
      <c r="U908" s="3"/>
      <c r="V908" s="3"/>
      <c r="W908" s="3"/>
      <c r="X908" s="3"/>
      <c r="Y908" s="3"/>
      <c r="Z908" s="3"/>
    </row>
    <row r="909" spans="1:26" ht="22.5" customHeight="1" x14ac:dyDescent="0.85">
      <c r="A909" s="166"/>
      <c r="B909" s="167"/>
      <c r="C909" s="167"/>
      <c r="D909" s="147"/>
      <c r="E909" s="147"/>
      <c r="F909" s="147"/>
      <c r="G909" s="147"/>
      <c r="H909" s="147"/>
      <c r="I909" s="147"/>
      <c r="J909" s="147"/>
      <c r="K909" s="3"/>
      <c r="L909" s="3"/>
      <c r="M909" s="3"/>
      <c r="N909" s="3"/>
      <c r="O909" s="3"/>
      <c r="P909" s="3"/>
      <c r="Q909" s="3"/>
      <c r="R909" s="3"/>
      <c r="S909" s="3"/>
      <c r="T909" s="3"/>
      <c r="U909" s="3"/>
      <c r="V909" s="3"/>
      <c r="W909" s="3"/>
      <c r="X909" s="3"/>
      <c r="Y909" s="3"/>
      <c r="Z909" s="3"/>
    </row>
    <row r="910" spans="1:26" ht="22.5" customHeight="1" x14ac:dyDescent="0.85">
      <c r="A910" s="166"/>
      <c r="B910" s="167"/>
      <c r="C910" s="167"/>
      <c r="D910" s="147"/>
      <c r="E910" s="147"/>
      <c r="F910" s="147"/>
      <c r="G910" s="147"/>
      <c r="H910" s="147"/>
      <c r="I910" s="147"/>
      <c r="J910" s="147"/>
      <c r="K910" s="3"/>
      <c r="L910" s="3"/>
      <c r="M910" s="3"/>
      <c r="N910" s="3"/>
      <c r="O910" s="3"/>
      <c r="P910" s="3"/>
      <c r="Q910" s="3"/>
      <c r="R910" s="3"/>
      <c r="S910" s="3"/>
      <c r="T910" s="3"/>
      <c r="U910" s="3"/>
      <c r="V910" s="3"/>
      <c r="W910" s="3"/>
      <c r="X910" s="3"/>
      <c r="Y910" s="3"/>
      <c r="Z910" s="3"/>
    </row>
    <row r="911" spans="1:26" ht="22.5" customHeight="1" x14ac:dyDescent="0.85">
      <c r="A911" s="166"/>
      <c r="B911" s="167"/>
      <c r="C911" s="167"/>
      <c r="D911" s="147"/>
      <c r="E911" s="147"/>
      <c r="F911" s="147"/>
      <c r="G911" s="147"/>
      <c r="H911" s="147"/>
      <c r="I911" s="147"/>
      <c r="J911" s="147"/>
      <c r="K911" s="3"/>
      <c r="L911" s="3"/>
      <c r="M911" s="3"/>
      <c r="N911" s="3"/>
      <c r="O911" s="3"/>
      <c r="P911" s="3"/>
      <c r="Q911" s="3"/>
      <c r="R911" s="3"/>
      <c r="S911" s="3"/>
      <c r="T911" s="3"/>
      <c r="U911" s="3"/>
      <c r="V911" s="3"/>
      <c r="W911" s="3"/>
      <c r="X911" s="3"/>
      <c r="Y911" s="3"/>
      <c r="Z911" s="3"/>
    </row>
    <row r="912" spans="1:26" ht="22.5" customHeight="1" x14ac:dyDescent="0.85">
      <c r="A912" s="166"/>
      <c r="B912" s="167"/>
      <c r="C912" s="167"/>
      <c r="D912" s="147"/>
      <c r="E912" s="147"/>
      <c r="F912" s="147"/>
      <c r="G912" s="147"/>
      <c r="H912" s="147"/>
      <c r="I912" s="147"/>
      <c r="J912" s="147"/>
      <c r="K912" s="3"/>
      <c r="L912" s="3"/>
      <c r="M912" s="3"/>
      <c r="N912" s="3"/>
      <c r="O912" s="3"/>
      <c r="P912" s="3"/>
      <c r="Q912" s="3"/>
      <c r="R912" s="3"/>
      <c r="S912" s="3"/>
      <c r="T912" s="3"/>
      <c r="U912" s="3"/>
      <c r="V912" s="3"/>
      <c r="W912" s="3"/>
      <c r="X912" s="3"/>
      <c r="Y912" s="3"/>
      <c r="Z912" s="3"/>
    </row>
    <row r="913" spans="1:26" ht="22.5" customHeight="1" x14ac:dyDescent="0.85">
      <c r="A913" s="166"/>
      <c r="B913" s="167"/>
      <c r="C913" s="167"/>
      <c r="D913" s="147"/>
      <c r="E913" s="147"/>
      <c r="F913" s="147"/>
      <c r="G913" s="147"/>
      <c r="H913" s="147"/>
      <c r="I913" s="147"/>
      <c r="J913" s="147"/>
      <c r="K913" s="3"/>
      <c r="L913" s="3"/>
      <c r="M913" s="3"/>
      <c r="N913" s="3"/>
      <c r="O913" s="3"/>
      <c r="P913" s="3"/>
      <c r="Q913" s="3"/>
      <c r="R913" s="3"/>
      <c r="S913" s="3"/>
      <c r="T913" s="3"/>
      <c r="U913" s="3"/>
      <c r="V913" s="3"/>
      <c r="W913" s="3"/>
      <c r="X913" s="3"/>
      <c r="Y913" s="3"/>
      <c r="Z913" s="3"/>
    </row>
    <row r="914" spans="1:26" ht="22.5" customHeight="1" x14ac:dyDescent="0.85">
      <c r="A914" s="166"/>
      <c r="B914" s="167"/>
      <c r="C914" s="167"/>
      <c r="D914" s="147"/>
      <c r="E914" s="147"/>
      <c r="F914" s="147"/>
      <c r="G914" s="147"/>
      <c r="H914" s="147"/>
      <c r="I914" s="147"/>
      <c r="J914" s="147"/>
      <c r="K914" s="3"/>
      <c r="L914" s="3"/>
      <c r="M914" s="3"/>
      <c r="N914" s="3"/>
      <c r="O914" s="3"/>
      <c r="P914" s="3"/>
      <c r="Q914" s="3"/>
      <c r="R914" s="3"/>
      <c r="S914" s="3"/>
      <c r="T914" s="3"/>
      <c r="U914" s="3"/>
      <c r="V914" s="3"/>
      <c r="W914" s="3"/>
      <c r="X914" s="3"/>
      <c r="Y914" s="3"/>
      <c r="Z914" s="3"/>
    </row>
    <row r="915" spans="1:26" ht="22.5" customHeight="1" x14ac:dyDescent="0.85">
      <c r="A915" s="166"/>
      <c r="B915" s="167"/>
      <c r="C915" s="167"/>
      <c r="D915" s="147"/>
      <c r="E915" s="147"/>
      <c r="F915" s="147"/>
      <c r="G915" s="147"/>
      <c r="H915" s="147"/>
      <c r="I915" s="147"/>
      <c r="J915" s="147"/>
      <c r="K915" s="3"/>
      <c r="L915" s="3"/>
      <c r="M915" s="3"/>
      <c r="N915" s="3"/>
      <c r="O915" s="3"/>
      <c r="P915" s="3"/>
      <c r="Q915" s="3"/>
      <c r="R915" s="3"/>
      <c r="S915" s="3"/>
      <c r="T915" s="3"/>
      <c r="U915" s="3"/>
      <c r="V915" s="3"/>
      <c r="W915" s="3"/>
      <c r="X915" s="3"/>
      <c r="Y915" s="3"/>
      <c r="Z915" s="3"/>
    </row>
    <row r="916" spans="1:26" ht="22.5" customHeight="1" x14ac:dyDescent="0.85">
      <c r="A916" s="166"/>
      <c r="B916" s="167"/>
      <c r="C916" s="167"/>
      <c r="D916" s="147"/>
      <c r="E916" s="147"/>
      <c r="F916" s="147"/>
      <c r="G916" s="147"/>
      <c r="H916" s="147"/>
      <c r="I916" s="147"/>
      <c r="J916" s="147"/>
      <c r="K916" s="3"/>
      <c r="L916" s="3"/>
      <c r="M916" s="3"/>
      <c r="N916" s="3"/>
      <c r="O916" s="3"/>
      <c r="P916" s="3"/>
      <c r="Q916" s="3"/>
      <c r="R916" s="3"/>
      <c r="S916" s="3"/>
      <c r="T916" s="3"/>
      <c r="U916" s="3"/>
      <c r="V916" s="3"/>
      <c r="W916" s="3"/>
      <c r="X916" s="3"/>
      <c r="Y916" s="3"/>
      <c r="Z916" s="3"/>
    </row>
    <row r="917" spans="1:26" ht="22.5" customHeight="1" x14ac:dyDescent="0.85">
      <c r="A917" s="166"/>
      <c r="B917" s="167"/>
      <c r="C917" s="167"/>
      <c r="D917" s="147"/>
      <c r="E917" s="147"/>
      <c r="F917" s="147"/>
      <c r="G917" s="147"/>
      <c r="H917" s="147"/>
      <c r="I917" s="147"/>
      <c r="J917" s="147"/>
      <c r="K917" s="3"/>
      <c r="L917" s="3"/>
      <c r="M917" s="3"/>
      <c r="N917" s="3"/>
      <c r="O917" s="3"/>
      <c r="P917" s="3"/>
      <c r="Q917" s="3"/>
      <c r="R917" s="3"/>
      <c r="S917" s="3"/>
      <c r="T917" s="3"/>
      <c r="U917" s="3"/>
      <c r="V917" s="3"/>
      <c r="W917" s="3"/>
      <c r="X917" s="3"/>
      <c r="Y917" s="3"/>
      <c r="Z917" s="3"/>
    </row>
    <row r="918" spans="1:26" ht="22.5" customHeight="1" x14ac:dyDescent="0.85">
      <c r="A918" s="166"/>
      <c r="B918" s="167"/>
      <c r="C918" s="167"/>
      <c r="D918" s="147"/>
      <c r="E918" s="147"/>
      <c r="F918" s="147"/>
      <c r="G918" s="147"/>
      <c r="H918" s="147"/>
      <c r="I918" s="147"/>
      <c r="J918" s="147"/>
      <c r="K918" s="3"/>
      <c r="L918" s="3"/>
      <c r="M918" s="3"/>
      <c r="N918" s="3"/>
      <c r="O918" s="3"/>
      <c r="P918" s="3"/>
      <c r="Q918" s="3"/>
      <c r="R918" s="3"/>
      <c r="S918" s="3"/>
      <c r="T918" s="3"/>
      <c r="U918" s="3"/>
      <c r="V918" s="3"/>
      <c r="W918" s="3"/>
      <c r="X918" s="3"/>
      <c r="Y918" s="3"/>
      <c r="Z918" s="3"/>
    </row>
    <row r="919" spans="1:26" ht="22.5" customHeight="1" x14ac:dyDescent="0.85">
      <c r="A919" s="166"/>
      <c r="B919" s="167"/>
      <c r="C919" s="167"/>
      <c r="D919" s="147"/>
      <c r="E919" s="147"/>
      <c r="F919" s="147"/>
      <c r="G919" s="147"/>
      <c r="H919" s="147"/>
      <c r="I919" s="147"/>
      <c r="J919" s="147"/>
      <c r="K919" s="3"/>
      <c r="L919" s="3"/>
      <c r="M919" s="3"/>
      <c r="N919" s="3"/>
      <c r="O919" s="3"/>
      <c r="P919" s="3"/>
      <c r="Q919" s="3"/>
      <c r="R919" s="3"/>
      <c r="S919" s="3"/>
      <c r="T919" s="3"/>
      <c r="U919" s="3"/>
      <c r="V919" s="3"/>
      <c r="W919" s="3"/>
      <c r="X919" s="3"/>
      <c r="Y919" s="3"/>
      <c r="Z919" s="3"/>
    </row>
    <row r="920" spans="1:26" ht="22.5" customHeight="1" x14ac:dyDescent="0.85">
      <c r="A920" s="166"/>
      <c r="B920" s="167"/>
      <c r="C920" s="167"/>
      <c r="D920" s="147"/>
      <c r="E920" s="147"/>
      <c r="F920" s="147"/>
      <c r="G920" s="147"/>
      <c r="H920" s="147"/>
      <c r="I920" s="147"/>
      <c r="J920" s="147"/>
      <c r="K920" s="3"/>
      <c r="L920" s="3"/>
      <c r="M920" s="3"/>
      <c r="N920" s="3"/>
      <c r="O920" s="3"/>
      <c r="P920" s="3"/>
      <c r="Q920" s="3"/>
      <c r="R920" s="3"/>
      <c r="S920" s="3"/>
      <c r="T920" s="3"/>
      <c r="U920" s="3"/>
      <c r="V920" s="3"/>
      <c r="W920" s="3"/>
      <c r="X920" s="3"/>
      <c r="Y920" s="3"/>
      <c r="Z920" s="3"/>
    </row>
    <row r="921" spans="1:26" ht="22.5" customHeight="1" x14ac:dyDescent="0.85">
      <c r="A921" s="166"/>
      <c r="B921" s="167"/>
      <c r="C921" s="167"/>
      <c r="D921" s="147"/>
      <c r="E921" s="147"/>
      <c r="F921" s="147"/>
      <c r="G921" s="147"/>
      <c r="H921" s="147"/>
      <c r="I921" s="147"/>
      <c r="J921" s="147"/>
      <c r="K921" s="3"/>
      <c r="L921" s="3"/>
      <c r="M921" s="3"/>
      <c r="N921" s="3"/>
      <c r="O921" s="3"/>
      <c r="P921" s="3"/>
      <c r="Q921" s="3"/>
      <c r="R921" s="3"/>
      <c r="S921" s="3"/>
      <c r="T921" s="3"/>
      <c r="U921" s="3"/>
      <c r="V921" s="3"/>
      <c r="W921" s="3"/>
      <c r="X921" s="3"/>
      <c r="Y921" s="3"/>
      <c r="Z921" s="3"/>
    </row>
    <row r="922" spans="1:26" ht="22.5" customHeight="1" x14ac:dyDescent="0.85">
      <c r="A922" s="166"/>
      <c r="B922" s="167"/>
      <c r="C922" s="167"/>
      <c r="D922" s="147"/>
      <c r="E922" s="147"/>
      <c r="F922" s="147"/>
      <c r="G922" s="147"/>
      <c r="H922" s="147"/>
      <c r="I922" s="147"/>
      <c r="J922" s="147"/>
      <c r="K922" s="3"/>
      <c r="L922" s="3"/>
      <c r="M922" s="3"/>
      <c r="N922" s="3"/>
      <c r="O922" s="3"/>
      <c r="P922" s="3"/>
      <c r="Q922" s="3"/>
      <c r="R922" s="3"/>
      <c r="S922" s="3"/>
      <c r="T922" s="3"/>
      <c r="U922" s="3"/>
      <c r="V922" s="3"/>
      <c r="W922" s="3"/>
      <c r="X922" s="3"/>
      <c r="Y922" s="3"/>
      <c r="Z922" s="3"/>
    </row>
    <row r="923" spans="1:26" ht="22.5" customHeight="1" x14ac:dyDescent="0.85">
      <c r="A923" s="166"/>
      <c r="B923" s="167"/>
      <c r="C923" s="167"/>
      <c r="D923" s="147"/>
      <c r="E923" s="147"/>
      <c r="F923" s="147"/>
      <c r="G923" s="147"/>
      <c r="H923" s="147"/>
      <c r="I923" s="147"/>
      <c r="J923" s="147"/>
      <c r="K923" s="3"/>
      <c r="L923" s="3"/>
      <c r="M923" s="3"/>
      <c r="N923" s="3"/>
      <c r="O923" s="3"/>
      <c r="P923" s="3"/>
      <c r="Q923" s="3"/>
      <c r="R923" s="3"/>
      <c r="S923" s="3"/>
      <c r="T923" s="3"/>
      <c r="U923" s="3"/>
      <c r="V923" s="3"/>
      <c r="W923" s="3"/>
      <c r="X923" s="3"/>
      <c r="Y923" s="3"/>
      <c r="Z923" s="3"/>
    </row>
    <row r="924" spans="1:26" ht="22.5" customHeight="1" x14ac:dyDescent="0.85">
      <c r="A924" s="166"/>
      <c r="B924" s="167"/>
      <c r="C924" s="167"/>
      <c r="D924" s="147"/>
      <c r="E924" s="147"/>
      <c r="F924" s="147"/>
      <c r="G924" s="147"/>
      <c r="H924" s="147"/>
      <c r="I924" s="147"/>
      <c r="J924" s="147"/>
      <c r="K924" s="3"/>
      <c r="L924" s="3"/>
      <c r="M924" s="3"/>
      <c r="N924" s="3"/>
      <c r="O924" s="3"/>
      <c r="P924" s="3"/>
      <c r="Q924" s="3"/>
      <c r="R924" s="3"/>
      <c r="S924" s="3"/>
      <c r="T924" s="3"/>
      <c r="U924" s="3"/>
      <c r="V924" s="3"/>
      <c r="W924" s="3"/>
      <c r="X924" s="3"/>
      <c r="Y924" s="3"/>
      <c r="Z924" s="3"/>
    </row>
    <row r="925" spans="1:26" ht="22.5" customHeight="1" x14ac:dyDescent="0.85">
      <c r="A925" s="166"/>
      <c r="B925" s="167"/>
      <c r="C925" s="167"/>
      <c r="D925" s="147"/>
      <c r="E925" s="147"/>
      <c r="F925" s="147"/>
      <c r="G925" s="147"/>
      <c r="H925" s="147"/>
      <c r="I925" s="147"/>
      <c r="J925" s="147"/>
      <c r="K925" s="3"/>
      <c r="L925" s="3"/>
      <c r="M925" s="3"/>
      <c r="N925" s="3"/>
      <c r="O925" s="3"/>
      <c r="P925" s="3"/>
      <c r="Q925" s="3"/>
      <c r="R925" s="3"/>
      <c r="S925" s="3"/>
      <c r="T925" s="3"/>
      <c r="U925" s="3"/>
      <c r="V925" s="3"/>
      <c r="W925" s="3"/>
      <c r="X925" s="3"/>
      <c r="Y925" s="3"/>
      <c r="Z925" s="3"/>
    </row>
    <row r="926" spans="1:26" ht="22.5" customHeight="1" x14ac:dyDescent="0.85">
      <c r="A926" s="166"/>
      <c r="B926" s="167"/>
      <c r="C926" s="167"/>
      <c r="D926" s="147"/>
      <c r="E926" s="147"/>
      <c r="F926" s="147"/>
      <c r="G926" s="147"/>
      <c r="H926" s="147"/>
      <c r="I926" s="147"/>
      <c r="J926" s="147"/>
      <c r="K926" s="3"/>
      <c r="L926" s="3"/>
      <c r="M926" s="3"/>
      <c r="N926" s="3"/>
      <c r="O926" s="3"/>
      <c r="P926" s="3"/>
      <c r="Q926" s="3"/>
      <c r="R926" s="3"/>
      <c r="S926" s="3"/>
      <c r="T926" s="3"/>
      <c r="U926" s="3"/>
      <c r="V926" s="3"/>
      <c r="W926" s="3"/>
      <c r="X926" s="3"/>
      <c r="Y926" s="3"/>
      <c r="Z926" s="3"/>
    </row>
    <row r="927" spans="1:26" ht="22.5" customHeight="1" x14ac:dyDescent="0.85">
      <c r="A927" s="166"/>
      <c r="B927" s="167"/>
      <c r="C927" s="167"/>
      <c r="D927" s="147"/>
      <c r="E927" s="147"/>
      <c r="F927" s="147"/>
      <c r="G927" s="147"/>
      <c r="H927" s="147"/>
      <c r="I927" s="147"/>
      <c r="J927" s="147"/>
      <c r="K927" s="3"/>
      <c r="L927" s="3"/>
      <c r="M927" s="3"/>
      <c r="N927" s="3"/>
      <c r="O927" s="3"/>
      <c r="P927" s="3"/>
      <c r="Q927" s="3"/>
      <c r="R927" s="3"/>
      <c r="S927" s="3"/>
      <c r="T927" s="3"/>
      <c r="U927" s="3"/>
      <c r="V927" s="3"/>
      <c r="W927" s="3"/>
      <c r="X927" s="3"/>
      <c r="Y927" s="3"/>
      <c r="Z927" s="3"/>
    </row>
    <row r="928" spans="1:26" ht="22.5" customHeight="1" x14ac:dyDescent="0.85">
      <c r="A928" s="166"/>
      <c r="B928" s="167"/>
      <c r="C928" s="167"/>
      <c r="D928" s="147"/>
      <c r="E928" s="147"/>
      <c r="F928" s="147"/>
      <c r="G928" s="147"/>
      <c r="H928" s="147"/>
      <c r="I928" s="147"/>
      <c r="J928" s="147"/>
      <c r="K928" s="3"/>
      <c r="L928" s="3"/>
      <c r="M928" s="3"/>
      <c r="N928" s="3"/>
      <c r="O928" s="3"/>
      <c r="P928" s="3"/>
      <c r="Q928" s="3"/>
      <c r="R928" s="3"/>
      <c r="S928" s="3"/>
      <c r="T928" s="3"/>
      <c r="U928" s="3"/>
      <c r="V928" s="3"/>
      <c r="W928" s="3"/>
      <c r="X928" s="3"/>
      <c r="Y928" s="3"/>
      <c r="Z928" s="3"/>
    </row>
    <row r="929" spans="1:26" ht="22.5" customHeight="1" x14ac:dyDescent="0.85">
      <c r="A929" s="166"/>
      <c r="B929" s="167"/>
      <c r="C929" s="167"/>
      <c r="D929" s="147"/>
      <c r="E929" s="147"/>
      <c r="F929" s="147"/>
      <c r="G929" s="147"/>
      <c r="H929" s="147"/>
      <c r="I929" s="147"/>
      <c r="J929" s="147"/>
      <c r="K929" s="3"/>
      <c r="L929" s="3"/>
      <c r="M929" s="3"/>
      <c r="N929" s="3"/>
      <c r="O929" s="3"/>
      <c r="P929" s="3"/>
      <c r="Q929" s="3"/>
      <c r="R929" s="3"/>
      <c r="S929" s="3"/>
      <c r="T929" s="3"/>
      <c r="U929" s="3"/>
      <c r="V929" s="3"/>
      <c r="W929" s="3"/>
      <c r="X929" s="3"/>
      <c r="Y929" s="3"/>
      <c r="Z929" s="3"/>
    </row>
    <row r="930" spans="1:26" ht="22.5" customHeight="1" x14ac:dyDescent="0.85">
      <c r="A930" s="166"/>
      <c r="B930" s="167"/>
      <c r="C930" s="167"/>
      <c r="D930" s="147"/>
      <c r="E930" s="147"/>
      <c r="F930" s="147"/>
      <c r="G930" s="147"/>
      <c r="H930" s="147"/>
      <c r="I930" s="147"/>
      <c r="J930" s="147"/>
      <c r="K930" s="3"/>
      <c r="L930" s="3"/>
      <c r="M930" s="3"/>
      <c r="N930" s="3"/>
      <c r="O930" s="3"/>
      <c r="P930" s="3"/>
      <c r="Q930" s="3"/>
      <c r="R930" s="3"/>
      <c r="S930" s="3"/>
      <c r="T930" s="3"/>
      <c r="U930" s="3"/>
      <c r="V930" s="3"/>
      <c r="W930" s="3"/>
      <c r="X930" s="3"/>
      <c r="Y930" s="3"/>
      <c r="Z930" s="3"/>
    </row>
    <row r="931" spans="1:26" ht="22.5" customHeight="1" x14ac:dyDescent="0.85">
      <c r="A931" s="166"/>
      <c r="B931" s="167"/>
      <c r="C931" s="167"/>
      <c r="D931" s="147"/>
      <c r="E931" s="147"/>
      <c r="F931" s="147"/>
      <c r="G931" s="147"/>
      <c r="H931" s="147"/>
      <c r="I931" s="147"/>
      <c r="J931" s="147"/>
      <c r="K931" s="3"/>
      <c r="L931" s="3"/>
      <c r="M931" s="3"/>
      <c r="N931" s="3"/>
      <c r="O931" s="3"/>
      <c r="P931" s="3"/>
      <c r="Q931" s="3"/>
      <c r="R931" s="3"/>
      <c r="S931" s="3"/>
      <c r="T931" s="3"/>
      <c r="U931" s="3"/>
      <c r="V931" s="3"/>
      <c r="W931" s="3"/>
      <c r="X931" s="3"/>
      <c r="Y931" s="3"/>
      <c r="Z931" s="3"/>
    </row>
    <row r="932" spans="1:26" ht="22.5" customHeight="1" x14ac:dyDescent="0.85">
      <c r="A932" s="166"/>
      <c r="B932" s="167"/>
      <c r="C932" s="167"/>
      <c r="D932" s="147"/>
      <c r="E932" s="147"/>
      <c r="F932" s="147"/>
      <c r="G932" s="147"/>
      <c r="H932" s="147"/>
      <c r="I932" s="147"/>
      <c r="J932" s="147"/>
      <c r="K932" s="3"/>
      <c r="L932" s="3"/>
      <c r="M932" s="3"/>
      <c r="N932" s="3"/>
      <c r="O932" s="3"/>
      <c r="P932" s="3"/>
      <c r="Q932" s="3"/>
      <c r="R932" s="3"/>
      <c r="S932" s="3"/>
      <c r="T932" s="3"/>
      <c r="U932" s="3"/>
      <c r="V932" s="3"/>
      <c r="W932" s="3"/>
      <c r="X932" s="3"/>
      <c r="Y932" s="3"/>
      <c r="Z932" s="3"/>
    </row>
    <row r="933" spans="1:26" ht="22.5" customHeight="1" x14ac:dyDescent="0.85">
      <c r="A933" s="166"/>
      <c r="B933" s="167"/>
      <c r="C933" s="167"/>
      <c r="D933" s="147"/>
      <c r="E933" s="147"/>
      <c r="F933" s="147"/>
      <c r="G933" s="147"/>
      <c r="H933" s="147"/>
      <c r="I933" s="147"/>
      <c r="J933" s="147"/>
      <c r="K933" s="3"/>
      <c r="L933" s="3"/>
      <c r="M933" s="3"/>
      <c r="N933" s="3"/>
      <c r="O933" s="3"/>
      <c r="P933" s="3"/>
      <c r="Q933" s="3"/>
      <c r="R933" s="3"/>
      <c r="S933" s="3"/>
      <c r="T933" s="3"/>
      <c r="U933" s="3"/>
      <c r="V933" s="3"/>
      <c r="W933" s="3"/>
      <c r="X933" s="3"/>
      <c r="Y933" s="3"/>
      <c r="Z933" s="3"/>
    </row>
    <row r="934" spans="1:26" ht="22.5" customHeight="1" x14ac:dyDescent="0.85">
      <c r="A934" s="166"/>
      <c r="B934" s="167"/>
      <c r="C934" s="167"/>
      <c r="D934" s="147"/>
      <c r="E934" s="147"/>
      <c r="F934" s="147"/>
      <c r="G934" s="147"/>
      <c r="H934" s="147"/>
      <c r="I934" s="147"/>
      <c r="J934" s="147"/>
      <c r="K934" s="3"/>
      <c r="L934" s="3"/>
      <c r="M934" s="3"/>
      <c r="N934" s="3"/>
      <c r="O934" s="3"/>
      <c r="P934" s="3"/>
      <c r="Q934" s="3"/>
      <c r="R934" s="3"/>
      <c r="S934" s="3"/>
      <c r="T934" s="3"/>
      <c r="U934" s="3"/>
      <c r="V934" s="3"/>
      <c r="W934" s="3"/>
      <c r="X934" s="3"/>
      <c r="Y934" s="3"/>
      <c r="Z934" s="3"/>
    </row>
    <row r="935" spans="1:26" ht="22.5" customHeight="1" x14ac:dyDescent="0.85">
      <c r="A935" s="166"/>
      <c r="B935" s="167"/>
      <c r="C935" s="167"/>
      <c r="D935" s="147"/>
      <c r="E935" s="147"/>
      <c r="F935" s="147"/>
      <c r="G935" s="147"/>
      <c r="H935" s="147"/>
      <c r="I935" s="147"/>
      <c r="J935" s="147"/>
      <c r="K935" s="3"/>
      <c r="L935" s="3"/>
      <c r="M935" s="3"/>
      <c r="N935" s="3"/>
      <c r="O935" s="3"/>
      <c r="P935" s="3"/>
      <c r="Q935" s="3"/>
      <c r="R935" s="3"/>
      <c r="S935" s="3"/>
      <c r="T935" s="3"/>
      <c r="U935" s="3"/>
      <c r="V935" s="3"/>
      <c r="W935" s="3"/>
      <c r="X935" s="3"/>
      <c r="Y935" s="3"/>
      <c r="Z935" s="3"/>
    </row>
    <row r="936" spans="1:26" ht="22.5" customHeight="1" x14ac:dyDescent="0.85">
      <c r="A936" s="166"/>
      <c r="B936" s="167"/>
      <c r="C936" s="167"/>
      <c r="D936" s="147"/>
      <c r="E936" s="147"/>
      <c r="F936" s="147"/>
      <c r="G936" s="147"/>
      <c r="H936" s="147"/>
      <c r="I936" s="147"/>
      <c r="J936" s="147"/>
      <c r="K936" s="3"/>
      <c r="L936" s="3"/>
      <c r="M936" s="3"/>
      <c r="N936" s="3"/>
      <c r="O936" s="3"/>
      <c r="P936" s="3"/>
      <c r="Q936" s="3"/>
      <c r="R936" s="3"/>
      <c r="S936" s="3"/>
      <c r="T936" s="3"/>
      <c r="U936" s="3"/>
      <c r="V936" s="3"/>
      <c r="W936" s="3"/>
      <c r="X936" s="3"/>
      <c r="Y936" s="3"/>
      <c r="Z936" s="3"/>
    </row>
    <row r="937" spans="1:26" ht="22.5" customHeight="1" x14ac:dyDescent="0.85">
      <c r="A937" s="166"/>
      <c r="B937" s="167"/>
      <c r="C937" s="167"/>
      <c r="D937" s="147"/>
      <c r="E937" s="147"/>
      <c r="F937" s="147"/>
      <c r="G937" s="147"/>
      <c r="H937" s="147"/>
      <c r="I937" s="147"/>
      <c r="J937" s="147"/>
      <c r="K937" s="3"/>
      <c r="L937" s="3"/>
      <c r="M937" s="3"/>
      <c r="N937" s="3"/>
      <c r="O937" s="3"/>
      <c r="P937" s="3"/>
      <c r="Q937" s="3"/>
      <c r="R937" s="3"/>
      <c r="S937" s="3"/>
      <c r="T937" s="3"/>
      <c r="U937" s="3"/>
      <c r="V937" s="3"/>
      <c r="W937" s="3"/>
      <c r="X937" s="3"/>
      <c r="Y937" s="3"/>
      <c r="Z937" s="3"/>
    </row>
    <row r="938" spans="1:26" ht="22.5" customHeight="1" x14ac:dyDescent="0.85">
      <c r="A938" s="166"/>
      <c r="B938" s="167"/>
      <c r="C938" s="167"/>
      <c r="D938" s="147"/>
      <c r="E938" s="147"/>
      <c r="F938" s="147"/>
      <c r="G938" s="147"/>
      <c r="H938" s="147"/>
      <c r="I938" s="147"/>
      <c r="J938" s="147"/>
      <c r="K938" s="3"/>
      <c r="L938" s="3"/>
      <c r="M938" s="3"/>
      <c r="N938" s="3"/>
      <c r="O938" s="3"/>
      <c r="P938" s="3"/>
      <c r="Q938" s="3"/>
      <c r="R938" s="3"/>
      <c r="S938" s="3"/>
      <c r="T938" s="3"/>
      <c r="U938" s="3"/>
      <c r="V938" s="3"/>
      <c r="W938" s="3"/>
      <c r="X938" s="3"/>
      <c r="Y938" s="3"/>
      <c r="Z938" s="3"/>
    </row>
    <row r="939" spans="1:26" ht="22.5" customHeight="1" x14ac:dyDescent="0.85">
      <c r="A939" s="166"/>
      <c r="B939" s="167"/>
      <c r="C939" s="167"/>
      <c r="D939" s="147"/>
      <c r="E939" s="147"/>
      <c r="F939" s="147"/>
      <c r="G939" s="147"/>
      <c r="H939" s="147"/>
      <c r="I939" s="147"/>
      <c r="J939" s="147"/>
      <c r="K939" s="3"/>
      <c r="L939" s="3"/>
      <c r="M939" s="3"/>
      <c r="N939" s="3"/>
      <c r="O939" s="3"/>
      <c r="P939" s="3"/>
      <c r="Q939" s="3"/>
      <c r="R939" s="3"/>
      <c r="S939" s="3"/>
      <c r="T939" s="3"/>
      <c r="U939" s="3"/>
      <c r="V939" s="3"/>
      <c r="W939" s="3"/>
      <c r="X939" s="3"/>
      <c r="Y939" s="3"/>
      <c r="Z939" s="3"/>
    </row>
    <row r="940" spans="1:26" ht="22.5" customHeight="1" x14ac:dyDescent="0.85">
      <c r="A940" s="166"/>
      <c r="B940" s="167"/>
      <c r="C940" s="167"/>
      <c r="D940" s="147"/>
      <c r="E940" s="147"/>
      <c r="F940" s="147"/>
      <c r="G940" s="147"/>
      <c r="H940" s="147"/>
      <c r="I940" s="147"/>
      <c r="J940" s="147"/>
      <c r="K940" s="3"/>
      <c r="L940" s="3"/>
      <c r="M940" s="3"/>
      <c r="N940" s="3"/>
      <c r="O940" s="3"/>
      <c r="P940" s="3"/>
      <c r="Q940" s="3"/>
      <c r="R940" s="3"/>
      <c r="S940" s="3"/>
      <c r="T940" s="3"/>
      <c r="U940" s="3"/>
      <c r="V940" s="3"/>
      <c r="W940" s="3"/>
      <c r="X940" s="3"/>
      <c r="Y940" s="3"/>
      <c r="Z940" s="3"/>
    </row>
    <row r="941" spans="1:26" ht="22.5" customHeight="1" x14ac:dyDescent="0.85">
      <c r="A941" s="166"/>
      <c r="B941" s="167"/>
      <c r="C941" s="167"/>
      <c r="D941" s="147"/>
      <c r="E941" s="147"/>
      <c r="F941" s="147"/>
      <c r="G941" s="147"/>
      <c r="H941" s="147"/>
      <c r="I941" s="147"/>
      <c r="J941" s="147"/>
      <c r="K941" s="3"/>
      <c r="L941" s="3"/>
      <c r="M941" s="3"/>
      <c r="N941" s="3"/>
      <c r="O941" s="3"/>
      <c r="P941" s="3"/>
      <c r="Q941" s="3"/>
      <c r="R941" s="3"/>
      <c r="S941" s="3"/>
      <c r="T941" s="3"/>
      <c r="U941" s="3"/>
      <c r="V941" s="3"/>
      <c r="W941" s="3"/>
      <c r="X941" s="3"/>
      <c r="Y941" s="3"/>
      <c r="Z941" s="3"/>
    </row>
    <row r="942" spans="1:26" ht="22.5" customHeight="1" x14ac:dyDescent="0.85">
      <c r="A942" s="166"/>
      <c r="B942" s="167"/>
      <c r="C942" s="167"/>
      <c r="D942" s="147"/>
      <c r="E942" s="147"/>
      <c r="F942" s="147"/>
      <c r="G942" s="147"/>
      <c r="H942" s="147"/>
      <c r="I942" s="147"/>
      <c r="J942" s="147"/>
      <c r="K942" s="3"/>
      <c r="L942" s="3"/>
      <c r="M942" s="3"/>
      <c r="N942" s="3"/>
      <c r="O942" s="3"/>
      <c r="P942" s="3"/>
      <c r="Q942" s="3"/>
      <c r="R942" s="3"/>
      <c r="S942" s="3"/>
      <c r="T942" s="3"/>
      <c r="U942" s="3"/>
      <c r="V942" s="3"/>
      <c r="W942" s="3"/>
      <c r="X942" s="3"/>
      <c r="Y942" s="3"/>
      <c r="Z942" s="3"/>
    </row>
    <row r="943" spans="1:26" ht="22.5" customHeight="1" x14ac:dyDescent="0.85">
      <c r="A943" s="166"/>
      <c r="B943" s="167"/>
      <c r="C943" s="167"/>
      <c r="D943" s="147"/>
      <c r="E943" s="147"/>
      <c r="F943" s="147"/>
      <c r="G943" s="147"/>
      <c r="H943" s="147"/>
      <c r="I943" s="147"/>
      <c r="J943" s="147"/>
      <c r="K943" s="3"/>
      <c r="L943" s="3"/>
      <c r="M943" s="3"/>
      <c r="N943" s="3"/>
      <c r="O943" s="3"/>
      <c r="P943" s="3"/>
      <c r="Q943" s="3"/>
      <c r="R943" s="3"/>
      <c r="S943" s="3"/>
      <c r="T943" s="3"/>
      <c r="U943" s="3"/>
      <c r="V943" s="3"/>
      <c r="W943" s="3"/>
      <c r="X943" s="3"/>
      <c r="Y943" s="3"/>
      <c r="Z943" s="3"/>
    </row>
    <row r="944" spans="1:26" ht="22.5" customHeight="1" x14ac:dyDescent="0.85">
      <c r="A944" s="166"/>
      <c r="B944" s="167"/>
      <c r="C944" s="167"/>
      <c r="D944" s="147"/>
      <c r="E944" s="147"/>
      <c r="F944" s="147"/>
      <c r="G944" s="147"/>
      <c r="H944" s="147"/>
      <c r="I944" s="147"/>
      <c r="J944" s="147"/>
      <c r="K944" s="3"/>
      <c r="L944" s="3"/>
      <c r="M944" s="3"/>
      <c r="N944" s="3"/>
      <c r="O944" s="3"/>
      <c r="P944" s="3"/>
      <c r="Q944" s="3"/>
      <c r="R944" s="3"/>
      <c r="S944" s="3"/>
      <c r="T944" s="3"/>
      <c r="U944" s="3"/>
      <c r="V944" s="3"/>
      <c r="W944" s="3"/>
      <c r="X944" s="3"/>
      <c r="Y944" s="3"/>
      <c r="Z944" s="3"/>
    </row>
    <row r="945" spans="1:26" ht="22.5" customHeight="1" x14ac:dyDescent="0.85">
      <c r="A945" s="166"/>
      <c r="B945" s="167"/>
      <c r="C945" s="167"/>
      <c r="D945" s="147"/>
      <c r="E945" s="147"/>
      <c r="F945" s="147"/>
      <c r="G945" s="147"/>
      <c r="H945" s="147"/>
      <c r="I945" s="147"/>
      <c r="J945" s="147"/>
      <c r="K945" s="3"/>
      <c r="L945" s="3"/>
      <c r="M945" s="3"/>
      <c r="N945" s="3"/>
      <c r="O945" s="3"/>
      <c r="P945" s="3"/>
      <c r="Q945" s="3"/>
      <c r="R945" s="3"/>
      <c r="S945" s="3"/>
      <c r="T945" s="3"/>
      <c r="U945" s="3"/>
      <c r="V945" s="3"/>
      <c r="W945" s="3"/>
      <c r="X945" s="3"/>
      <c r="Y945" s="3"/>
      <c r="Z945" s="3"/>
    </row>
    <row r="946" spans="1:26" ht="22.5" customHeight="1" x14ac:dyDescent="0.85">
      <c r="A946" s="166"/>
      <c r="B946" s="167"/>
      <c r="C946" s="167"/>
      <c r="D946" s="147"/>
      <c r="E946" s="147"/>
      <c r="F946" s="147"/>
      <c r="G946" s="147"/>
      <c r="H946" s="147"/>
      <c r="I946" s="147"/>
      <c r="J946" s="147"/>
      <c r="K946" s="3"/>
      <c r="L946" s="3"/>
      <c r="M946" s="3"/>
      <c r="N946" s="3"/>
      <c r="O946" s="3"/>
      <c r="P946" s="3"/>
      <c r="Q946" s="3"/>
      <c r="R946" s="3"/>
      <c r="S946" s="3"/>
      <c r="T946" s="3"/>
      <c r="U946" s="3"/>
      <c r="V946" s="3"/>
      <c r="W946" s="3"/>
      <c r="X946" s="3"/>
      <c r="Y946" s="3"/>
      <c r="Z946" s="3"/>
    </row>
    <row r="947" spans="1:26" ht="22.5" customHeight="1" x14ac:dyDescent="0.85">
      <c r="A947" s="166"/>
      <c r="B947" s="167"/>
      <c r="C947" s="167"/>
      <c r="D947" s="147"/>
      <c r="E947" s="147"/>
      <c r="F947" s="147"/>
      <c r="G947" s="147"/>
      <c r="H947" s="147"/>
      <c r="I947" s="147"/>
      <c r="J947" s="147"/>
      <c r="K947" s="3"/>
      <c r="L947" s="3"/>
      <c r="M947" s="3"/>
      <c r="N947" s="3"/>
      <c r="O947" s="3"/>
      <c r="P947" s="3"/>
      <c r="Q947" s="3"/>
      <c r="R947" s="3"/>
      <c r="S947" s="3"/>
      <c r="T947" s="3"/>
      <c r="U947" s="3"/>
      <c r="V947" s="3"/>
      <c r="W947" s="3"/>
      <c r="X947" s="3"/>
      <c r="Y947" s="3"/>
      <c r="Z947" s="3"/>
    </row>
    <row r="948" spans="1:26" ht="22.5" customHeight="1" x14ac:dyDescent="0.85">
      <c r="A948" s="166"/>
      <c r="B948" s="167"/>
      <c r="C948" s="167"/>
      <c r="D948" s="147"/>
      <c r="E948" s="147"/>
      <c r="F948" s="147"/>
      <c r="G948" s="147"/>
      <c r="H948" s="147"/>
      <c r="I948" s="147"/>
      <c r="J948" s="147"/>
      <c r="K948" s="3"/>
      <c r="L948" s="3"/>
      <c r="M948" s="3"/>
      <c r="N948" s="3"/>
      <c r="O948" s="3"/>
      <c r="P948" s="3"/>
      <c r="Q948" s="3"/>
      <c r="R948" s="3"/>
      <c r="S948" s="3"/>
      <c r="T948" s="3"/>
      <c r="U948" s="3"/>
      <c r="V948" s="3"/>
      <c r="W948" s="3"/>
      <c r="X948" s="3"/>
      <c r="Y948" s="3"/>
      <c r="Z948" s="3"/>
    </row>
    <row r="949" spans="1:26" ht="22.5" customHeight="1" x14ac:dyDescent="0.85">
      <c r="A949" s="166"/>
      <c r="B949" s="167"/>
      <c r="C949" s="167"/>
      <c r="D949" s="147"/>
      <c r="E949" s="147"/>
      <c r="F949" s="147"/>
      <c r="G949" s="147"/>
      <c r="H949" s="147"/>
      <c r="I949" s="147"/>
      <c r="J949" s="147"/>
      <c r="K949" s="3"/>
      <c r="L949" s="3"/>
      <c r="M949" s="3"/>
      <c r="N949" s="3"/>
      <c r="O949" s="3"/>
      <c r="P949" s="3"/>
      <c r="Q949" s="3"/>
      <c r="R949" s="3"/>
      <c r="S949" s="3"/>
      <c r="T949" s="3"/>
      <c r="U949" s="3"/>
      <c r="V949" s="3"/>
      <c r="W949" s="3"/>
      <c r="X949" s="3"/>
      <c r="Y949" s="3"/>
      <c r="Z949" s="3"/>
    </row>
    <row r="950" spans="1:26" ht="22.5" customHeight="1" x14ac:dyDescent="0.85">
      <c r="A950" s="166"/>
      <c r="B950" s="167"/>
      <c r="C950" s="167"/>
      <c r="D950" s="147"/>
      <c r="E950" s="147"/>
      <c r="F950" s="147"/>
      <c r="G950" s="147"/>
      <c r="H950" s="147"/>
      <c r="I950" s="147"/>
      <c r="J950" s="147"/>
      <c r="K950" s="3"/>
      <c r="L950" s="3"/>
      <c r="M950" s="3"/>
      <c r="N950" s="3"/>
      <c r="O950" s="3"/>
      <c r="P950" s="3"/>
      <c r="Q950" s="3"/>
      <c r="R950" s="3"/>
      <c r="S950" s="3"/>
      <c r="T950" s="3"/>
      <c r="U950" s="3"/>
      <c r="V950" s="3"/>
      <c r="W950" s="3"/>
      <c r="X950" s="3"/>
      <c r="Y950" s="3"/>
      <c r="Z950" s="3"/>
    </row>
    <row r="951" spans="1:26" ht="22.5" customHeight="1" x14ac:dyDescent="0.85">
      <c r="A951" s="166"/>
      <c r="B951" s="167"/>
      <c r="C951" s="167"/>
      <c r="D951" s="147"/>
      <c r="E951" s="147"/>
      <c r="F951" s="147"/>
      <c r="G951" s="147"/>
      <c r="H951" s="147"/>
      <c r="I951" s="147"/>
      <c r="J951" s="147"/>
      <c r="K951" s="3"/>
      <c r="L951" s="3"/>
      <c r="M951" s="3"/>
      <c r="N951" s="3"/>
      <c r="O951" s="3"/>
      <c r="P951" s="3"/>
      <c r="Q951" s="3"/>
      <c r="R951" s="3"/>
      <c r="S951" s="3"/>
      <c r="T951" s="3"/>
      <c r="U951" s="3"/>
      <c r="V951" s="3"/>
      <c r="W951" s="3"/>
      <c r="X951" s="3"/>
      <c r="Y951" s="3"/>
      <c r="Z951" s="3"/>
    </row>
    <row r="952" spans="1:26" ht="22.5" customHeight="1" x14ac:dyDescent="0.85">
      <c r="A952" s="166"/>
      <c r="B952" s="167"/>
      <c r="C952" s="167"/>
      <c r="D952" s="147"/>
      <c r="E952" s="147"/>
      <c r="F952" s="147"/>
      <c r="G952" s="147"/>
      <c r="H952" s="147"/>
      <c r="I952" s="147"/>
      <c r="J952" s="147"/>
      <c r="K952" s="3"/>
      <c r="L952" s="3"/>
      <c r="M952" s="3"/>
      <c r="N952" s="3"/>
      <c r="O952" s="3"/>
      <c r="P952" s="3"/>
      <c r="Q952" s="3"/>
      <c r="R952" s="3"/>
      <c r="S952" s="3"/>
      <c r="T952" s="3"/>
      <c r="U952" s="3"/>
      <c r="V952" s="3"/>
      <c r="W952" s="3"/>
      <c r="X952" s="3"/>
      <c r="Y952" s="3"/>
      <c r="Z952" s="3"/>
    </row>
    <row r="953" spans="1:26" ht="22.5" customHeight="1" x14ac:dyDescent="0.85">
      <c r="A953" s="166"/>
      <c r="B953" s="167"/>
      <c r="C953" s="167"/>
      <c r="D953" s="147"/>
      <c r="E953" s="147"/>
      <c r="F953" s="147"/>
      <c r="G953" s="147"/>
      <c r="H953" s="147"/>
      <c r="I953" s="147"/>
      <c r="J953" s="147"/>
      <c r="K953" s="3"/>
      <c r="L953" s="3"/>
      <c r="M953" s="3"/>
      <c r="N953" s="3"/>
      <c r="O953" s="3"/>
      <c r="P953" s="3"/>
      <c r="Q953" s="3"/>
      <c r="R953" s="3"/>
      <c r="S953" s="3"/>
      <c r="T953" s="3"/>
      <c r="U953" s="3"/>
      <c r="V953" s="3"/>
      <c r="W953" s="3"/>
      <c r="X953" s="3"/>
      <c r="Y953" s="3"/>
      <c r="Z953" s="3"/>
    </row>
    <row r="954" spans="1:26" ht="22.5" customHeight="1" x14ac:dyDescent="0.85">
      <c r="A954" s="166"/>
      <c r="B954" s="167"/>
      <c r="C954" s="167"/>
      <c r="D954" s="147"/>
      <c r="E954" s="147"/>
      <c r="F954" s="147"/>
      <c r="G954" s="147"/>
      <c r="H954" s="147"/>
      <c r="I954" s="147"/>
      <c r="J954" s="147"/>
      <c r="K954" s="3"/>
      <c r="L954" s="3"/>
      <c r="M954" s="3"/>
      <c r="N954" s="3"/>
      <c r="O954" s="3"/>
      <c r="P954" s="3"/>
      <c r="Q954" s="3"/>
      <c r="R954" s="3"/>
      <c r="S954" s="3"/>
      <c r="T954" s="3"/>
      <c r="U954" s="3"/>
      <c r="V954" s="3"/>
      <c r="W954" s="3"/>
      <c r="X954" s="3"/>
      <c r="Y954" s="3"/>
      <c r="Z954" s="3"/>
    </row>
    <row r="955" spans="1:26" ht="22.5" customHeight="1" x14ac:dyDescent="0.85">
      <c r="A955" s="166"/>
      <c r="B955" s="167"/>
      <c r="C955" s="167"/>
      <c r="D955" s="147"/>
      <c r="E955" s="147"/>
      <c r="F955" s="147"/>
      <c r="G955" s="147"/>
      <c r="H955" s="147"/>
      <c r="I955" s="147"/>
      <c r="J955" s="147"/>
      <c r="K955" s="3"/>
      <c r="L955" s="3"/>
      <c r="M955" s="3"/>
      <c r="N955" s="3"/>
      <c r="O955" s="3"/>
      <c r="P955" s="3"/>
      <c r="Q955" s="3"/>
      <c r="R955" s="3"/>
      <c r="S955" s="3"/>
      <c r="T955" s="3"/>
      <c r="U955" s="3"/>
      <c r="V955" s="3"/>
      <c r="W955" s="3"/>
      <c r="X955" s="3"/>
      <c r="Y955" s="3"/>
      <c r="Z955" s="3"/>
    </row>
    <row r="956" spans="1:26" ht="22.5" customHeight="1" x14ac:dyDescent="0.85">
      <c r="A956" s="166"/>
      <c r="B956" s="167"/>
      <c r="C956" s="167"/>
      <c r="D956" s="147"/>
      <c r="E956" s="147"/>
      <c r="F956" s="147"/>
      <c r="G956" s="147"/>
      <c r="H956" s="147"/>
      <c r="I956" s="147"/>
      <c r="J956" s="147"/>
      <c r="K956" s="3"/>
      <c r="L956" s="3"/>
      <c r="M956" s="3"/>
      <c r="N956" s="3"/>
      <c r="O956" s="3"/>
      <c r="P956" s="3"/>
      <c r="Q956" s="3"/>
      <c r="R956" s="3"/>
      <c r="S956" s="3"/>
      <c r="T956" s="3"/>
      <c r="U956" s="3"/>
      <c r="V956" s="3"/>
      <c r="W956" s="3"/>
      <c r="X956" s="3"/>
      <c r="Y956" s="3"/>
      <c r="Z956" s="3"/>
    </row>
    <row r="957" spans="1:26" ht="22.5" customHeight="1" x14ac:dyDescent="0.85">
      <c r="A957" s="166"/>
      <c r="B957" s="167"/>
      <c r="C957" s="167"/>
      <c r="D957" s="147"/>
      <c r="E957" s="147"/>
      <c r="F957" s="147"/>
      <c r="G957" s="147"/>
      <c r="H957" s="147"/>
      <c r="I957" s="147"/>
      <c r="J957" s="147"/>
      <c r="K957" s="3"/>
      <c r="L957" s="3"/>
      <c r="M957" s="3"/>
      <c r="N957" s="3"/>
      <c r="O957" s="3"/>
      <c r="P957" s="3"/>
      <c r="Q957" s="3"/>
      <c r="R957" s="3"/>
      <c r="S957" s="3"/>
      <c r="T957" s="3"/>
      <c r="U957" s="3"/>
      <c r="V957" s="3"/>
      <c r="W957" s="3"/>
      <c r="X957" s="3"/>
      <c r="Y957" s="3"/>
      <c r="Z957" s="3"/>
    </row>
    <row r="958" spans="1:26" ht="22.5" customHeight="1" x14ac:dyDescent="0.85">
      <c r="A958" s="166"/>
      <c r="B958" s="167"/>
      <c r="C958" s="167"/>
      <c r="D958" s="147"/>
      <c r="E958" s="147"/>
      <c r="F958" s="147"/>
      <c r="G958" s="147"/>
      <c r="H958" s="147"/>
      <c r="I958" s="147"/>
      <c r="J958" s="147"/>
      <c r="K958" s="3"/>
      <c r="L958" s="3"/>
      <c r="M958" s="3"/>
      <c r="N958" s="3"/>
      <c r="O958" s="3"/>
      <c r="P958" s="3"/>
      <c r="Q958" s="3"/>
      <c r="R958" s="3"/>
      <c r="S958" s="3"/>
      <c r="T958" s="3"/>
      <c r="U958" s="3"/>
      <c r="V958" s="3"/>
      <c r="W958" s="3"/>
      <c r="X958" s="3"/>
      <c r="Y958" s="3"/>
      <c r="Z958" s="3"/>
    </row>
    <row r="959" spans="1:26" ht="22.5" customHeight="1" x14ac:dyDescent="0.85">
      <c r="A959" s="166"/>
      <c r="B959" s="167"/>
      <c r="C959" s="167"/>
      <c r="D959" s="147"/>
      <c r="E959" s="147"/>
      <c r="F959" s="147"/>
      <c r="G959" s="147"/>
      <c r="H959" s="147"/>
      <c r="I959" s="147"/>
      <c r="J959" s="147"/>
      <c r="K959" s="3"/>
      <c r="L959" s="3"/>
      <c r="M959" s="3"/>
      <c r="N959" s="3"/>
      <c r="O959" s="3"/>
      <c r="P959" s="3"/>
      <c r="Q959" s="3"/>
      <c r="R959" s="3"/>
      <c r="S959" s="3"/>
      <c r="T959" s="3"/>
      <c r="U959" s="3"/>
      <c r="V959" s="3"/>
      <c r="W959" s="3"/>
      <c r="X959" s="3"/>
      <c r="Y959" s="3"/>
      <c r="Z959" s="3"/>
    </row>
    <row r="960" spans="1:26" ht="22.5" customHeight="1" x14ac:dyDescent="0.85">
      <c r="A960" s="166"/>
      <c r="B960" s="167"/>
      <c r="C960" s="167"/>
      <c r="D960" s="147"/>
      <c r="E960" s="147"/>
      <c r="F960" s="147"/>
      <c r="G960" s="147"/>
      <c r="H960" s="147"/>
      <c r="I960" s="147"/>
      <c r="J960" s="147"/>
      <c r="K960" s="3"/>
      <c r="L960" s="3"/>
      <c r="M960" s="3"/>
      <c r="N960" s="3"/>
      <c r="O960" s="3"/>
      <c r="P960" s="3"/>
      <c r="Q960" s="3"/>
      <c r="R960" s="3"/>
      <c r="S960" s="3"/>
      <c r="T960" s="3"/>
      <c r="U960" s="3"/>
      <c r="V960" s="3"/>
      <c r="W960" s="3"/>
      <c r="X960" s="3"/>
      <c r="Y960" s="3"/>
      <c r="Z960" s="3"/>
    </row>
    <row r="961" spans="1:26" ht="22.5" customHeight="1" x14ac:dyDescent="0.85">
      <c r="A961" s="166"/>
      <c r="B961" s="167"/>
      <c r="C961" s="167"/>
      <c r="D961" s="147"/>
      <c r="E961" s="147"/>
      <c r="F961" s="147"/>
      <c r="G961" s="147"/>
      <c r="H961" s="147"/>
      <c r="I961" s="147"/>
      <c r="J961" s="147"/>
      <c r="K961" s="3"/>
      <c r="L961" s="3"/>
      <c r="M961" s="3"/>
      <c r="N961" s="3"/>
      <c r="O961" s="3"/>
      <c r="P961" s="3"/>
      <c r="Q961" s="3"/>
      <c r="R961" s="3"/>
      <c r="S961" s="3"/>
      <c r="T961" s="3"/>
      <c r="U961" s="3"/>
      <c r="V961" s="3"/>
      <c r="W961" s="3"/>
      <c r="X961" s="3"/>
      <c r="Y961" s="3"/>
      <c r="Z961" s="3"/>
    </row>
    <row r="962" spans="1:26" ht="22.5" customHeight="1" x14ac:dyDescent="0.85">
      <c r="A962" s="166"/>
      <c r="B962" s="167"/>
      <c r="C962" s="167"/>
      <c r="D962" s="147"/>
      <c r="E962" s="147"/>
      <c r="F962" s="147"/>
      <c r="G962" s="147"/>
      <c r="H962" s="147"/>
      <c r="I962" s="147"/>
      <c r="J962" s="147"/>
      <c r="K962" s="3"/>
      <c r="L962" s="3"/>
      <c r="M962" s="3"/>
      <c r="N962" s="3"/>
      <c r="O962" s="3"/>
      <c r="P962" s="3"/>
      <c r="Q962" s="3"/>
      <c r="R962" s="3"/>
      <c r="S962" s="3"/>
      <c r="T962" s="3"/>
      <c r="U962" s="3"/>
      <c r="V962" s="3"/>
      <c r="W962" s="3"/>
      <c r="X962" s="3"/>
      <c r="Y962" s="3"/>
      <c r="Z962" s="3"/>
    </row>
    <row r="963" spans="1:26" ht="22.5" customHeight="1" x14ac:dyDescent="0.85">
      <c r="A963" s="166"/>
      <c r="B963" s="167"/>
      <c r="C963" s="167"/>
      <c r="D963" s="147"/>
      <c r="E963" s="147"/>
      <c r="F963" s="147"/>
      <c r="G963" s="147"/>
      <c r="H963" s="147"/>
      <c r="I963" s="147"/>
      <c r="J963" s="147"/>
      <c r="K963" s="3"/>
      <c r="L963" s="3"/>
      <c r="M963" s="3"/>
      <c r="N963" s="3"/>
      <c r="O963" s="3"/>
      <c r="P963" s="3"/>
      <c r="Q963" s="3"/>
      <c r="R963" s="3"/>
      <c r="S963" s="3"/>
      <c r="T963" s="3"/>
      <c r="U963" s="3"/>
      <c r="V963" s="3"/>
      <c r="W963" s="3"/>
      <c r="X963" s="3"/>
      <c r="Y963" s="3"/>
      <c r="Z963" s="3"/>
    </row>
    <row r="964" spans="1:26" ht="22.5" customHeight="1" x14ac:dyDescent="0.85">
      <c r="A964" s="166"/>
      <c r="B964" s="167"/>
      <c r="C964" s="167"/>
      <c r="D964" s="147"/>
      <c r="E964" s="147"/>
      <c r="F964" s="147"/>
      <c r="G964" s="147"/>
      <c r="H964" s="147"/>
      <c r="I964" s="147"/>
      <c r="J964" s="147"/>
      <c r="K964" s="3"/>
      <c r="L964" s="3"/>
      <c r="M964" s="3"/>
      <c r="N964" s="3"/>
      <c r="O964" s="3"/>
      <c r="P964" s="3"/>
      <c r="Q964" s="3"/>
      <c r="R964" s="3"/>
      <c r="S964" s="3"/>
      <c r="T964" s="3"/>
      <c r="U964" s="3"/>
      <c r="V964" s="3"/>
      <c r="W964" s="3"/>
      <c r="X964" s="3"/>
      <c r="Y964" s="3"/>
      <c r="Z964" s="3"/>
    </row>
    <row r="965" spans="1:26" ht="22.5" customHeight="1" x14ac:dyDescent="0.85">
      <c r="A965" s="166"/>
      <c r="B965" s="167"/>
      <c r="C965" s="167"/>
      <c r="D965" s="147"/>
      <c r="E965" s="147"/>
      <c r="F965" s="147"/>
      <c r="G965" s="147"/>
      <c r="H965" s="147"/>
      <c r="I965" s="147"/>
      <c r="J965" s="147"/>
      <c r="K965" s="3"/>
      <c r="L965" s="3"/>
      <c r="M965" s="3"/>
      <c r="N965" s="3"/>
      <c r="O965" s="3"/>
      <c r="P965" s="3"/>
      <c r="Q965" s="3"/>
      <c r="R965" s="3"/>
      <c r="S965" s="3"/>
      <c r="T965" s="3"/>
      <c r="U965" s="3"/>
      <c r="V965" s="3"/>
      <c r="W965" s="3"/>
      <c r="X965" s="3"/>
      <c r="Y965" s="3"/>
      <c r="Z965" s="3"/>
    </row>
    <row r="966" spans="1:26" ht="22.5" customHeight="1" x14ac:dyDescent="0.85">
      <c r="A966" s="166"/>
      <c r="B966" s="167"/>
      <c r="C966" s="167"/>
      <c r="D966" s="147"/>
      <c r="E966" s="147"/>
      <c r="F966" s="147"/>
      <c r="G966" s="147"/>
      <c r="H966" s="147"/>
      <c r="I966" s="147"/>
      <c r="J966" s="147"/>
      <c r="K966" s="3"/>
      <c r="L966" s="3"/>
      <c r="M966" s="3"/>
      <c r="N966" s="3"/>
      <c r="O966" s="3"/>
      <c r="P966" s="3"/>
      <c r="Q966" s="3"/>
      <c r="R966" s="3"/>
      <c r="S966" s="3"/>
      <c r="T966" s="3"/>
      <c r="U966" s="3"/>
      <c r="V966" s="3"/>
      <c r="W966" s="3"/>
      <c r="X966" s="3"/>
      <c r="Y966" s="3"/>
      <c r="Z966" s="3"/>
    </row>
    <row r="967" spans="1:26" ht="22.5" customHeight="1" x14ac:dyDescent="0.85">
      <c r="A967" s="166"/>
      <c r="B967" s="167"/>
      <c r="C967" s="167"/>
      <c r="D967" s="147"/>
      <c r="E967" s="147"/>
      <c r="F967" s="147"/>
      <c r="G967" s="147"/>
      <c r="H967" s="147"/>
      <c r="I967" s="147"/>
      <c r="J967" s="147"/>
      <c r="K967" s="3"/>
      <c r="L967" s="3"/>
      <c r="M967" s="3"/>
      <c r="N967" s="3"/>
      <c r="O967" s="3"/>
      <c r="P967" s="3"/>
      <c r="Q967" s="3"/>
      <c r="R967" s="3"/>
      <c r="S967" s="3"/>
      <c r="T967" s="3"/>
      <c r="U967" s="3"/>
      <c r="V967" s="3"/>
      <c r="W967" s="3"/>
      <c r="X967" s="3"/>
      <c r="Y967" s="3"/>
      <c r="Z967" s="3"/>
    </row>
    <row r="968" spans="1:26" ht="22.5" customHeight="1" x14ac:dyDescent="0.85">
      <c r="A968" s="166"/>
      <c r="B968" s="167"/>
      <c r="C968" s="167"/>
      <c r="D968" s="147"/>
      <c r="E968" s="147"/>
      <c r="F968" s="147"/>
      <c r="G968" s="147"/>
      <c r="H968" s="147"/>
      <c r="I968" s="147"/>
      <c r="J968" s="147"/>
      <c r="K968" s="3"/>
      <c r="L968" s="3"/>
      <c r="M968" s="3"/>
      <c r="N968" s="3"/>
      <c r="O968" s="3"/>
      <c r="P968" s="3"/>
      <c r="Q968" s="3"/>
      <c r="R968" s="3"/>
      <c r="S968" s="3"/>
      <c r="T968" s="3"/>
      <c r="U968" s="3"/>
      <c r="V968" s="3"/>
      <c r="W968" s="3"/>
      <c r="X968" s="3"/>
      <c r="Y968" s="3"/>
      <c r="Z968" s="3"/>
    </row>
    <row r="969" spans="1:26" ht="22.5" customHeight="1" x14ac:dyDescent="0.85">
      <c r="A969" s="166"/>
      <c r="B969" s="167"/>
      <c r="C969" s="167"/>
      <c r="D969" s="147"/>
      <c r="E969" s="147"/>
      <c r="F969" s="147"/>
      <c r="G969" s="147"/>
      <c r="H969" s="147"/>
      <c r="I969" s="147"/>
      <c r="J969" s="147"/>
      <c r="K969" s="3"/>
      <c r="L969" s="3"/>
      <c r="M969" s="3"/>
      <c r="N969" s="3"/>
      <c r="O969" s="3"/>
      <c r="P969" s="3"/>
      <c r="Q969" s="3"/>
      <c r="R969" s="3"/>
      <c r="S969" s="3"/>
      <c r="T969" s="3"/>
      <c r="U969" s="3"/>
      <c r="V969" s="3"/>
      <c r="W969" s="3"/>
      <c r="X969" s="3"/>
      <c r="Y969" s="3"/>
      <c r="Z969" s="3"/>
    </row>
    <row r="970" spans="1:26" ht="22.5" customHeight="1" x14ac:dyDescent="0.85">
      <c r="A970" s="166"/>
      <c r="B970" s="167"/>
      <c r="C970" s="167"/>
      <c r="D970" s="147"/>
      <c r="E970" s="147"/>
      <c r="F970" s="147"/>
      <c r="G970" s="147"/>
      <c r="H970" s="147"/>
      <c r="I970" s="147"/>
      <c r="J970" s="147"/>
      <c r="K970" s="3"/>
      <c r="L970" s="3"/>
      <c r="M970" s="3"/>
      <c r="N970" s="3"/>
      <c r="O970" s="3"/>
      <c r="P970" s="3"/>
      <c r="Q970" s="3"/>
      <c r="R970" s="3"/>
      <c r="S970" s="3"/>
      <c r="T970" s="3"/>
      <c r="U970" s="3"/>
      <c r="V970" s="3"/>
      <c r="W970" s="3"/>
      <c r="X970" s="3"/>
      <c r="Y970" s="3"/>
      <c r="Z970" s="3"/>
    </row>
    <row r="971" spans="1:26" ht="22.5" customHeight="1" x14ac:dyDescent="0.85">
      <c r="A971" s="166"/>
      <c r="B971" s="167"/>
      <c r="C971" s="167"/>
      <c r="D971" s="147"/>
      <c r="E971" s="147"/>
      <c r="F971" s="147"/>
      <c r="G971" s="147"/>
      <c r="H971" s="147"/>
      <c r="I971" s="147"/>
      <c r="J971" s="147"/>
      <c r="K971" s="3"/>
      <c r="L971" s="3"/>
      <c r="M971" s="3"/>
      <c r="N971" s="3"/>
      <c r="O971" s="3"/>
      <c r="P971" s="3"/>
      <c r="Q971" s="3"/>
      <c r="R971" s="3"/>
      <c r="S971" s="3"/>
      <c r="T971" s="3"/>
      <c r="U971" s="3"/>
      <c r="V971" s="3"/>
      <c r="W971" s="3"/>
      <c r="X971" s="3"/>
      <c r="Y971" s="3"/>
      <c r="Z971" s="3"/>
    </row>
    <row r="972" spans="1:26" ht="22.5" customHeight="1" x14ac:dyDescent="0.85">
      <c r="A972" s="166"/>
      <c r="B972" s="167"/>
      <c r="C972" s="167"/>
      <c r="D972" s="147"/>
      <c r="E972" s="147"/>
      <c r="F972" s="147"/>
      <c r="G972" s="147"/>
      <c r="H972" s="147"/>
      <c r="I972" s="147"/>
      <c r="J972" s="147"/>
      <c r="K972" s="3"/>
      <c r="L972" s="3"/>
      <c r="M972" s="3"/>
      <c r="N972" s="3"/>
      <c r="O972" s="3"/>
      <c r="P972" s="3"/>
      <c r="Q972" s="3"/>
      <c r="R972" s="3"/>
      <c r="S972" s="3"/>
      <c r="T972" s="3"/>
      <c r="U972" s="3"/>
      <c r="V972" s="3"/>
      <c r="W972" s="3"/>
      <c r="X972" s="3"/>
      <c r="Y972" s="3"/>
      <c r="Z972" s="3"/>
    </row>
    <row r="973" spans="1:26" ht="22.5" customHeight="1" x14ac:dyDescent="0.85">
      <c r="A973" s="166"/>
      <c r="B973" s="167"/>
      <c r="C973" s="167"/>
      <c r="D973" s="147"/>
      <c r="E973" s="147"/>
      <c r="F973" s="147"/>
      <c r="G973" s="147"/>
      <c r="H973" s="147"/>
      <c r="I973" s="147"/>
      <c r="J973" s="147"/>
      <c r="K973" s="3"/>
      <c r="L973" s="3"/>
      <c r="M973" s="3"/>
      <c r="N973" s="3"/>
      <c r="O973" s="3"/>
      <c r="P973" s="3"/>
      <c r="Q973" s="3"/>
      <c r="R973" s="3"/>
      <c r="S973" s="3"/>
      <c r="T973" s="3"/>
      <c r="U973" s="3"/>
      <c r="V973" s="3"/>
      <c r="W973" s="3"/>
      <c r="X973" s="3"/>
      <c r="Y973" s="3"/>
      <c r="Z973" s="3"/>
    </row>
    <row r="974" spans="1:26" ht="22.5" customHeight="1" x14ac:dyDescent="0.85">
      <c r="A974" s="166"/>
      <c r="B974" s="167"/>
      <c r="C974" s="167"/>
      <c r="D974" s="147"/>
      <c r="E974" s="147"/>
      <c r="F974" s="147"/>
      <c r="G974" s="147"/>
      <c r="H974" s="147"/>
      <c r="I974" s="147"/>
      <c r="J974" s="147"/>
      <c r="K974" s="3"/>
      <c r="L974" s="3"/>
      <c r="M974" s="3"/>
      <c r="N974" s="3"/>
      <c r="O974" s="3"/>
      <c r="P974" s="3"/>
      <c r="Q974" s="3"/>
      <c r="R974" s="3"/>
      <c r="S974" s="3"/>
      <c r="T974" s="3"/>
      <c r="U974" s="3"/>
      <c r="V974" s="3"/>
      <c r="W974" s="3"/>
      <c r="X974" s="3"/>
      <c r="Y974" s="3"/>
      <c r="Z974" s="3"/>
    </row>
    <row r="975" spans="1:26" ht="22.5" customHeight="1" x14ac:dyDescent="0.85">
      <c r="A975" s="166"/>
      <c r="B975" s="167"/>
      <c r="C975" s="167"/>
      <c r="D975" s="147"/>
      <c r="E975" s="147"/>
      <c r="F975" s="147"/>
      <c r="G975" s="147"/>
      <c r="H975" s="147"/>
      <c r="I975" s="147"/>
      <c r="J975" s="147"/>
      <c r="K975" s="3"/>
      <c r="L975" s="3"/>
      <c r="M975" s="3"/>
      <c r="N975" s="3"/>
      <c r="O975" s="3"/>
      <c r="P975" s="3"/>
      <c r="Q975" s="3"/>
      <c r="R975" s="3"/>
      <c r="S975" s="3"/>
      <c r="T975" s="3"/>
      <c r="U975" s="3"/>
      <c r="V975" s="3"/>
      <c r="W975" s="3"/>
      <c r="X975" s="3"/>
      <c r="Y975" s="3"/>
      <c r="Z975" s="3"/>
    </row>
    <row r="976" spans="1:26" ht="22.5" customHeight="1" x14ac:dyDescent="0.85">
      <c r="A976" s="166"/>
      <c r="B976" s="167"/>
      <c r="C976" s="167"/>
      <c r="D976" s="147"/>
      <c r="E976" s="147"/>
      <c r="F976" s="147"/>
      <c r="G976" s="147"/>
      <c r="H976" s="147"/>
      <c r="I976" s="147"/>
      <c r="J976" s="147"/>
      <c r="K976" s="3"/>
      <c r="L976" s="3"/>
      <c r="M976" s="3"/>
      <c r="N976" s="3"/>
      <c r="O976" s="3"/>
      <c r="P976" s="3"/>
      <c r="Q976" s="3"/>
      <c r="R976" s="3"/>
      <c r="S976" s="3"/>
      <c r="T976" s="3"/>
      <c r="U976" s="3"/>
      <c r="V976" s="3"/>
      <c r="W976" s="3"/>
      <c r="X976" s="3"/>
      <c r="Y976" s="3"/>
      <c r="Z976" s="3"/>
    </row>
    <row r="977" spans="1:26" ht="22.5" customHeight="1" x14ac:dyDescent="0.85">
      <c r="A977" s="166"/>
      <c r="B977" s="167"/>
      <c r="C977" s="167"/>
      <c r="D977" s="147"/>
      <c r="E977" s="147"/>
      <c r="F977" s="147"/>
      <c r="G977" s="147"/>
      <c r="H977" s="147"/>
      <c r="I977" s="147"/>
      <c r="J977" s="147"/>
      <c r="K977" s="3"/>
      <c r="L977" s="3"/>
      <c r="M977" s="3"/>
      <c r="N977" s="3"/>
      <c r="O977" s="3"/>
      <c r="P977" s="3"/>
      <c r="Q977" s="3"/>
      <c r="R977" s="3"/>
      <c r="S977" s="3"/>
      <c r="T977" s="3"/>
      <c r="U977" s="3"/>
      <c r="V977" s="3"/>
      <c r="W977" s="3"/>
      <c r="X977" s="3"/>
      <c r="Y977" s="3"/>
      <c r="Z977" s="3"/>
    </row>
    <row r="978" spans="1:26" ht="22.5" customHeight="1" x14ac:dyDescent="0.85">
      <c r="A978" s="166"/>
      <c r="B978" s="167"/>
      <c r="C978" s="167"/>
      <c r="D978" s="147"/>
      <c r="E978" s="147"/>
      <c r="F978" s="147"/>
      <c r="G978" s="147"/>
      <c r="H978" s="147"/>
      <c r="I978" s="147"/>
      <c r="J978" s="147"/>
      <c r="K978" s="3"/>
      <c r="L978" s="3"/>
      <c r="M978" s="3"/>
      <c r="N978" s="3"/>
      <c r="O978" s="3"/>
      <c r="P978" s="3"/>
      <c r="Q978" s="3"/>
      <c r="R978" s="3"/>
      <c r="S978" s="3"/>
      <c r="T978" s="3"/>
      <c r="U978" s="3"/>
      <c r="V978" s="3"/>
      <c r="W978" s="3"/>
      <c r="X978" s="3"/>
      <c r="Y978" s="3"/>
      <c r="Z978" s="3"/>
    </row>
    <row r="979" spans="1:26" ht="22.5" customHeight="1" x14ac:dyDescent="0.85">
      <c r="A979" s="166"/>
      <c r="B979" s="167"/>
      <c r="C979" s="167"/>
      <c r="D979" s="147"/>
      <c r="E979" s="147"/>
      <c r="F979" s="147"/>
      <c r="G979" s="147"/>
      <c r="H979" s="147"/>
      <c r="I979" s="147"/>
      <c r="J979" s="147"/>
      <c r="K979" s="3"/>
      <c r="L979" s="3"/>
      <c r="M979" s="3"/>
      <c r="N979" s="3"/>
      <c r="O979" s="3"/>
      <c r="P979" s="3"/>
      <c r="Q979" s="3"/>
      <c r="R979" s="3"/>
      <c r="S979" s="3"/>
      <c r="T979" s="3"/>
      <c r="U979" s="3"/>
      <c r="V979" s="3"/>
      <c r="W979" s="3"/>
      <c r="X979" s="3"/>
      <c r="Y979" s="3"/>
      <c r="Z979" s="3"/>
    </row>
    <row r="980" spans="1:26" ht="22.5" customHeight="1" x14ac:dyDescent="0.85">
      <c r="A980" s="166"/>
      <c r="B980" s="167"/>
      <c r="C980" s="167"/>
      <c r="D980" s="147"/>
      <c r="E980" s="147"/>
      <c r="F980" s="147"/>
      <c r="G980" s="147"/>
      <c r="H980" s="147"/>
      <c r="I980" s="147"/>
      <c r="J980" s="147"/>
      <c r="K980" s="3"/>
      <c r="L980" s="3"/>
      <c r="M980" s="3"/>
      <c r="N980" s="3"/>
      <c r="O980" s="3"/>
      <c r="P980" s="3"/>
      <c r="Q980" s="3"/>
      <c r="R980" s="3"/>
      <c r="S980" s="3"/>
      <c r="T980" s="3"/>
      <c r="U980" s="3"/>
      <c r="V980" s="3"/>
      <c r="W980" s="3"/>
      <c r="X980" s="3"/>
      <c r="Y980" s="3"/>
      <c r="Z980" s="3"/>
    </row>
    <row r="981" spans="1:26" ht="22.5" customHeight="1" x14ac:dyDescent="0.85">
      <c r="A981" s="166"/>
      <c r="B981" s="167"/>
      <c r="C981" s="167"/>
      <c r="D981" s="147"/>
      <c r="E981" s="147"/>
      <c r="F981" s="147"/>
      <c r="G981" s="147"/>
      <c r="H981" s="147"/>
      <c r="I981" s="147"/>
      <c r="J981" s="147"/>
      <c r="K981" s="3"/>
      <c r="L981" s="3"/>
      <c r="M981" s="3"/>
      <c r="N981" s="3"/>
      <c r="O981" s="3"/>
      <c r="P981" s="3"/>
      <c r="Q981" s="3"/>
      <c r="R981" s="3"/>
      <c r="S981" s="3"/>
      <c r="T981" s="3"/>
      <c r="U981" s="3"/>
      <c r="V981" s="3"/>
      <c r="W981" s="3"/>
      <c r="X981" s="3"/>
      <c r="Y981" s="3"/>
      <c r="Z981" s="3"/>
    </row>
    <row r="982" spans="1:26" ht="22.5" customHeight="1" x14ac:dyDescent="0.85">
      <c r="A982" s="166"/>
      <c r="B982" s="167"/>
      <c r="C982" s="167"/>
      <c r="D982" s="147"/>
      <c r="E982" s="147"/>
      <c r="F982" s="147"/>
      <c r="G982" s="147"/>
      <c r="H982" s="147"/>
      <c r="I982" s="147"/>
      <c r="J982" s="147"/>
      <c r="K982" s="3"/>
      <c r="L982" s="3"/>
      <c r="M982" s="3"/>
      <c r="N982" s="3"/>
      <c r="O982" s="3"/>
      <c r="P982" s="3"/>
      <c r="Q982" s="3"/>
      <c r="R982" s="3"/>
      <c r="S982" s="3"/>
      <c r="T982" s="3"/>
      <c r="U982" s="3"/>
      <c r="V982" s="3"/>
      <c r="W982" s="3"/>
      <c r="X982" s="3"/>
      <c r="Y982" s="3"/>
      <c r="Z982" s="3"/>
    </row>
    <row r="983" spans="1:26" ht="22.5" customHeight="1" x14ac:dyDescent="0.85">
      <c r="A983" s="166"/>
      <c r="B983" s="167"/>
      <c r="C983" s="167"/>
      <c r="D983" s="147"/>
      <c r="E983" s="147"/>
      <c r="F983" s="147"/>
      <c r="G983" s="147"/>
      <c r="H983" s="147"/>
      <c r="I983" s="147"/>
      <c r="J983" s="147"/>
      <c r="K983" s="3"/>
      <c r="L983" s="3"/>
      <c r="M983" s="3"/>
      <c r="N983" s="3"/>
      <c r="O983" s="3"/>
      <c r="P983" s="3"/>
      <c r="Q983" s="3"/>
      <c r="R983" s="3"/>
      <c r="S983" s="3"/>
      <c r="T983" s="3"/>
      <c r="U983" s="3"/>
      <c r="V983" s="3"/>
      <c r="W983" s="3"/>
      <c r="X983" s="3"/>
      <c r="Y983" s="3"/>
      <c r="Z983" s="3"/>
    </row>
    <row r="984" spans="1:26" ht="22.5" customHeight="1" x14ac:dyDescent="0.85">
      <c r="A984" s="166"/>
      <c r="B984" s="167"/>
      <c r="C984" s="167"/>
      <c r="D984" s="147"/>
      <c r="E984" s="147"/>
      <c r="F984" s="147"/>
      <c r="G984" s="147"/>
      <c r="H984" s="147"/>
      <c r="I984" s="147"/>
      <c r="J984" s="147"/>
      <c r="K984" s="3"/>
      <c r="L984" s="3"/>
      <c r="M984" s="3"/>
      <c r="N984" s="3"/>
      <c r="O984" s="3"/>
      <c r="P984" s="3"/>
      <c r="Q984" s="3"/>
      <c r="R984" s="3"/>
      <c r="S984" s="3"/>
      <c r="T984" s="3"/>
      <c r="U984" s="3"/>
      <c r="V984" s="3"/>
      <c r="W984" s="3"/>
      <c r="X984" s="3"/>
      <c r="Y984" s="3"/>
      <c r="Z984" s="3"/>
    </row>
    <row r="985" spans="1:26" ht="22.5" customHeight="1" x14ac:dyDescent="0.85">
      <c r="A985" s="166"/>
      <c r="B985" s="167"/>
      <c r="C985" s="167"/>
      <c r="D985" s="147"/>
      <c r="E985" s="147"/>
      <c r="F985" s="147"/>
      <c r="G985" s="147"/>
      <c r="H985" s="147"/>
      <c r="I985" s="147"/>
      <c r="J985" s="147"/>
      <c r="K985" s="3"/>
      <c r="L985" s="3"/>
      <c r="M985" s="3"/>
      <c r="N985" s="3"/>
      <c r="O985" s="3"/>
      <c r="P985" s="3"/>
      <c r="Q985" s="3"/>
      <c r="R985" s="3"/>
      <c r="S985" s="3"/>
      <c r="T985" s="3"/>
      <c r="U985" s="3"/>
      <c r="V985" s="3"/>
      <c r="W985" s="3"/>
      <c r="X985" s="3"/>
      <c r="Y985" s="3"/>
      <c r="Z985" s="3"/>
    </row>
    <row r="986" spans="1:26" ht="22.5" customHeight="1" x14ac:dyDescent="0.85">
      <c r="A986" s="166"/>
      <c r="B986" s="167"/>
      <c r="C986" s="167"/>
      <c r="D986" s="147"/>
      <c r="E986" s="147"/>
      <c r="F986" s="147"/>
      <c r="G986" s="147"/>
      <c r="H986" s="147"/>
      <c r="I986" s="147"/>
      <c r="J986" s="147"/>
      <c r="K986" s="3"/>
      <c r="L986" s="3"/>
      <c r="M986" s="3"/>
      <c r="N986" s="3"/>
      <c r="O986" s="3"/>
      <c r="P986" s="3"/>
      <c r="Q986" s="3"/>
      <c r="R986" s="3"/>
      <c r="S986" s="3"/>
      <c r="T986" s="3"/>
      <c r="U986" s="3"/>
      <c r="V986" s="3"/>
      <c r="W986" s="3"/>
      <c r="X986" s="3"/>
      <c r="Y986" s="3"/>
      <c r="Z986" s="3"/>
    </row>
    <row r="987" spans="1:26" ht="22.5" customHeight="1" x14ac:dyDescent="0.85">
      <c r="A987" s="166"/>
      <c r="B987" s="167"/>
      <c r="C987" s="167"/>
      <c r="D987" s="147"/>
      <c r="E987" s="147"/>
      <c r="F987" s="147"/>
      <c r="G987" s="147"/>
      <c r="H987" s="147"/>
      <c r="I987" s="147"/>
      <c r="J987" s="147"/>
      <c r="K987" s="3"/>
      <c r="L987" s="3"/>
      <c r="M987" s="3"/>
      <c r="N987" s="3"/>
      <c r="O987" s="3"/>
      <c r="P987" s="3"/>
      <c r="Q987" s="3"/>
      <c r="R987" s="3"/>
      <c r="S987" s="3"/>
      <c r="T987" s="3"/>
      <c r="U987" s="3"/>
      <c r="V987" s="3"/>
      <c r="W987" s="3"/>
      <c r="X987" s="3"/>
      <c r="Y987" s="3"/>
      <c r="Z987" s="3"/>
    </row>
    <row r="988" spans="1:26" ht="22.5" customHeight="1" x14ac:dyDescent="0.85">
      <c r="A988" s="166"/>
      <c r="B988" s="167"/>
      <c r="C988" s="167"/>
      <c r="D988" s="147"/>
      <c r="E988" s="147"/>
      <c r="F988" s="147"/>
      <c r="G988" s="147"/>
      <c r="H988" s="147"/>
      <c r="I988" s="147"/>
      <c r="J988" s="147"/>
      <c r="K988" s="3"/>
      <c r="L988" s="3"/>
      <c r="M988" s="3"/>
      <c r="N988" s="3"/>
      <c r="O988" s="3"/>
      <c r="P988" s="3"/>
      <c r="Q988" s="3"/>
      <c r="R988" s="3"/>
      <c r="S988" s="3"/>
      <c r="T988" s="3"/>
      <c r="U988" s="3"/>
      <c r="V988" s="3"/>
      <c r="W988" s="3"/>
      <c r="X988" s="3"/>
      <c r="Y988" s="3"/>
      <c r="Z988" s="3"/>
    </row>
    <row r="989" spans="1:26" ht="22.5" customHeight="1" x14ac:dyDescent="0.85">
      <c r="A989" s="166"/>
      <c r="B989" s="167"/>
      <c r="C989" s="167"/>
      <c r="D989" s="147"/>
      <c r="E989" s="147"/>
      <c r="F989" s="147"/>
      <c r="G989" s="147"/>
      <c r="H989" s="147"/>
      <c r="I989" s="147"/>
      <c r="J989" s="147"/>
      <c r="K989" s="3"/>
      <c r="L989" s="3"/>
      <c r="M989" s="3"/>
      <c r="N989" s="3"/>
      <c r="O989" s="3"/>
      <c r="P989" s="3"/>
      <c r="Q989" s="3"/>
      <c r="R989" s="3"/>
      <c r="S989" s="3"/>
      <c r="T989" s="3"/>
      <c r="U989" s="3"/>
      <c r="V989" s="3"/>
      <c r="W989" s="3"/>
      <c r="X989" s="3"/>
      <c r="Y989" s="3"/>
      <c r="Z989" s="3"/>
    </row>
    <row r="990" spans="1:26" ht="22.5" customHeight="1" x14ac:dyDescent="0.85">
      <c r="A990" s="166"/>
      <c r="B990" s="167"/>
      <c r="C990" s="167"/>
      <c r="D990" s="147"/>
      <c r="E990" s="147"/>
      <c r="F990" s="147"/>
      <c r="G990" s="147"/>
      <c r="H990" s="147"/>
      <c r="I990" s="147"/>
      <c r="J990" s="147"/>
      <c r="K990" s="3"/>
      <c r="L990" s="3"/>
      <c r="M990" s="3"/>
      <c r="N990" s="3"/>
      <c r="O990" s="3"/>
      <c r="P990" s="3"/>
      <c r="Q990" s="3"/>
      <c r="R990" s="3"/>
      <c r="S990" s="3"/>
      <c r="T990" s="3"/>
      <c r="U990" s="3"/>
      <c r="V990" s="3"/>
      <c r="W990" s="3"/>
      <c r="X990" s="3"/>
      <c r="Y990" s="3"/>
      <c r="Z990" s="3"/>
    </row>
    <row r="991" spans="1:26" ht="22.5" customHeight="1" x14ac:dyDescent="0.85">
      <c r="A991" s="166"/>
      <c r="B991" s="167"/>
      <c r="C991" s="167"/>
      <c r="D991" s="147"/>
      <c r="E991" s="147"/>
      <c r="F991" s="147"/>
      <c r="G991" s="147"/>
      <c r="H991" s="147"/>
      <c r="I991" s="147"/>
      <c r="J991" s="147"/>
      <c r="K991" s="3"/>
      <c r="L991" s="3"/>
      <c r="M991" s="3"/>
      <c r="N991" s="3"/>
      <c r="O991" s="3"/>
      <c r="P991" s="3"/>
      <c r="Q991" s="3"/>
      <c r="R991" s="3"/>
      <c r="S991" s="3"/>
      <c r="T991" s="3"/>
      <c r="U991" s="3"/>
      <c r="V991" s="3"/>
      <c r="W991" s="3"/>
      <c r="X991" s="3"/>
      <c r="Y991" s="3"/>
      <c r="Z991" s="3"/>
    </row>
    <row r="992" spans="1:26" ht="22.5" customHeight="1" x14ac:dyDescent="0.85">
      <c r="A992" s="166"/>
      <c r="B992" s="167"/>
      <c r="C992" s="167"/>
      <c r="D992" s="147"/>
      <c r="E992" s="147"/>
      <c r="F992" s="147"/>
      <c r="G992" s="147"/>
      <c r="H992" s="147"/>
      <c r="I992" s="147"/>
      <c r="J992" s="147"/>
      <c r="K992" s="3"/>
      <c r="L992" s="3"/>
      <c r="M992" s="3"/>
      <c r="N992" s="3"/>
      <c r="O992" s="3"/>
      <c r="P992" s="3"/>
      <c r="Q992" s="3"/>
      <c r="R992" s="3"/>
      <c r="S992" s="3"/>
      <c r="T992" s="3"/>
      <c r="U992" s="3"/>
      <c r="V992" s="3"/>
      <c r="W992" s="3"/>
      <c r="X992" s="3"/>
      <c r="Y992" s="3"/>
      <c r="Z992" s="3"/>
    </row>
    <row r="993" spans="1:26" ht="22.5" customHeight="1" x14ac:dyDescent="0.85">
      <c r="A993" s="166"/>
      <c r="B993" s="167"/>
      <c r="C993" s="167"/>
      <c r="D993" s="147"/>
      <c r="E993" s="147"/>
      <c r="F993" s="147"/>
      <c r="G993" s="147"/>
      <c r="H993" s="147"/>
      <c r="I993" s="147"/>
      <c r="J993" s="147"/>
      <c r="K993" s="3"/>
      <c r="L993" s="3"/>
      <c r="M993" s="3"/>
      <c r="N993" s="3"/>
      <c r="O993" s="3"/>
      <c r="P993" s="3"/>
      <c r="Q993" s="3"/>
      <c r="R993" s="3"/>
      <c r="S993" s="3"/>
      <c r="T993" s="3"/>
      <c r="U993" s="3"/>
      <c r="V993" s="3"/>
      <c r="W993" s="3"/>
      <c r="X993" s="3"/>
      <c r="Y993" s="3"/>
      <c r="Z993" s="3"/>
    </row>
    <row r="994" spans="1:26" ht="22.5" customHeight="1" x14ac:dyDescent="0.85">
      <c r="A994" s="166"/>
      <c r="B994" s="167"/>
      <c r="C994" s="167"/>
      <c r="D994" s="147"/>
      <c r="E994" s="147"/>
      <c r="F994" s="147"/>
      <c r="G994" s="147"/>
      <c r="H994" s="147"/>
      <c r="I994" s="147"/>
      <c r="J994" s="147"/>
      <c r="K994" s="3"/>
      <c r="L994" s="3"/>
      <c r="M994" s="3"/>
      <c r="N994" s="3"/>
      <c r="O994" s="3"/>
      <c r="P994" s="3"/>
      <c r="Q994" s="3"/>
      <c r="R994" s="3"/>
      <c r="S994" s="3"/>
      <c r="T994" s="3"/>
      <c r="U994" s="3"/>
      <c r="V994" s="3"/>
      <c r="W994" s="3"/>
      <c r="X994" s="3"/>
      <c r="Y994" s="3"/>
      <c r="Z994" s="3"/>
    </row>
    <row r="995" spans="1:26" ht="22.5" customHeight="1" x14ac:dyDescent="0.85">
      <c r="A995" s="166"/>
      <c r="B995" s="167"/>
      <c r="C995" s="167"/>
      <c r="D995" s="147"/>
      <c r="E995" s="147"/>
      <c r="F995" s="147"/>
      <c r="G995" s="147"/>
      <c r="H995" s="147"/>
      <c r="I995" s="147"/>
      <c r="J995" s="147"/>
      <c r="K995" s="3"/>
      <c r="L995" s="3"/>
      <c r="M995" s="3"/>
      <c r="N995" s="3"/>
      <c r="O995" s="3"/>
      <c r="P995" s="3"/>
      <c r="Q995" s="3"/>
      <c r="R995" s="3"/>
      <c r="S995" s="3"/>
      <c r="T995" s="3"/>
      <c r="U995" s="3"/>
      <c r="V995" s="3"/>
      <c r="W995" s="3"/>
      <c r="X995" s="3"/>
      <c r="Y995" s="3"/>
      <c r="Z995" s="3"/>
    </row>
    <row r="996" spans="1:26" ht="22.5" customHeight="1" x14ac:dyDescent="0.85">
      <c r="A996" s="166"/>
      <c r="B996" s="167"/>
      <c r="C996" s="167"/>
      <c r="D996" s="147"/>
      <c r="E996" s="147"/>
      <c r="F996" s="147"/>
      <c r="G996" s="147"/>
      <c r="H996" s="147"/>
      <c r="I996" s="147"/>
      <c r="J996" s="147"/>
      <c r="K996" s="3"/>
      <c r="L996" s="3"/>
      <c r="M996" s="3"/>
      <c r="N996" s="3"/>
      <c r="O996" s="3"/>
      <c r="P996" s="3"/>
      <c r="Q996" s="3"/>
      <c r="R996" s="3"/>
      <c r="S996" s="3"/>
      <c r="T996" s="3"/>
      <c r="U996" s="3"/>
      <c r="V996" s="3"/>
      <c r="W996" s="3"/>
      <c r="X996" s="3"/>
      <c r="Y996" s="3"/>
      <c r="Z996" s="3"/>
    </row>
    <row r="997" spans="1:26" ht="22.5" customHeight="1" x14ac:dyDescent="0.85">
      <c r="A997" s="166"/>
      <c r="B997" s="167"/>
      <c r="C997" s="167"/>
      <c r="D997" s="147"/>
      <c r="E997" s="147"/>
      <c r="F997" s="147"/>
      <c r="G997" s="147"/>
      <c r="H997" s="147"/>
      <c r="I997" s="147"/>
      <c r="J997" s="147"/>
      <c r="K997" s="3"/>
      <c r="L997" s="3"/>
      <c r="M997" s="3"/>
      <c r="N997" s="3"/>
      <c r="O997" s="3"/>
      <c r="P997" s="3"/>
      <c r="Q997" s="3"/>
      <c r="R997" s="3"/>
      <c r="S997" s="3"/>
      <c r="T997" s="3"/>
      <c r="U997" s="3"/>
      <c r="V997" s="3"/>
      <c r="W997" s="3"/>
      <c r="X997" s="3"/>
      <c r="Y997" s="3"/>
      <c r="Z997" s="3"/>
    </row>
    <row r="998" spans="1:26" ht="22.5" customHeight="1" x14ac:dyDescent="0.85">
      <c r="A998" s="166"/>
      <c r="B998" s="167"/>
      <c r="C998" s="167"/>
      <c r="D998" s="147"/>
      <c r="E998" s="147"/>
      <c r="F998" s="147"/>
      <c r="G998" s="147"/>
      <c r="H998" s="147"/>
      <c r="I998" s="147"/>
      <c r="J998" s="147"/>
      <c r="K998" s="3"/>
      <c r="L998" s="3"/>
      <c r="M998" s="3"/>
      <c r="N998" s="3"/>
      <c r="O998" s="3"/>
      <c r="P998" s="3"/>
      <c r="Q998" s="3"/>
      <c r="R998" s="3"/>
      <c r="S998" s="3"/>
      <c r="T998" s="3"/>
      <c r="U998" s="3"/>
      <c r="V998" s="3"/>
      <c r="W998" s="3"/>
      <c r="X998" s="3"/>
      <c r="Y998" s="3"/>
      <c r="Z998" s="3"/>
    </row>
    <row r="999" spans="1:26" ht="22.5" customHeight="1" x14ac:dyDescent="0.85">
      <c r="A999" s="166"/>
      <c r="B999" s="167"/>
      <c r="C999" s="167"/>
      <c r="D999" s="147"/>
      <c r="E999" s="147"/>
      <c r="F999" s="147"/>
      <c r="G999" s="147"/>
      <c r="H999" s="147"/>
      <c r="I999" s="147"/>
      <c r="J999" s="147"/>
      <c r="K999" s="3"/>
      <c r="L999" s="3"/>
      <c r="M999" s="3"/>
      <c r="N999" s="3"/>
      <c r="O999" s="3"/>
      <c r="P999" s="3"/>
      <c r="Q999" s="3"/>
      <c r="R999" s="3"/>
      <c r="S999" s="3"/>
      <c r="T999" s="3"/>
      <c r="U999" s="3"/>
      <c r="V999" s="3"/>
      <c r="W999" s="3"/>
      <c r="X999" s="3"/>
      <c r="Y999" s="3"/>
      <c r="Z999" s="3"/>
    </row>
    <row r="1000" spans="1:26" ht="22.5" customHeight="1" x14ac:dyDescent="0.85">
      <c r="A1000" s="166"/>
      <c r="B1000" s="167"/>
      <c r="C1000" s="167"/>
      <c r="D1000" s="147"/>
      <c r="E1000" s="147"/>
      <c r="F1000" s="147"/>
      <c r="G1000" s="147"/>
      <c r="H1000" s="147"/>
      <c r="I1000" s="147"/>
      <c r="J1000" s="147"/>
      <c r="K1000" s="3"/>
      <c r="L1000" s="3"/>
      <c r="M1000" s="3"/>
      <c r="N1000" s="3"/>
      <c r="O1000" s="3"/>
      <c r="P1000" s="3"/>
      <c r="Q1000" s="3"/>
      <c r="R1000" s="3"/>
      <c r="S1000" s="3"/>
      <c r="T1000" s="3"/>
      <c r="U1000" s="3"/>
      <c r="V1000" s="3"/>
      <c r="W1000" s="3"/>
      <c r="X1000" s="3"/>
      <c r="Y1000" s="3"/>
      <c r="Z1000" s="3"/>
    </row>
  </sheetData>
  <mergeCells count="13">
    <mergeCell ref="D14:M14"/>
    <mergeCell ref="A1:M1"/>
    <mergeCell ref="A2:M2"/>
    <mergeCell ref="D3:M3"/>
    <mergeCell ref="D4:M4"/>
    <mergeCell ref="D5:M5"/>
    <mergeCell ref="D6:M6"/>
    <mergeCell ref="D7:M7"/>
    <mergeCell ref="D8:M8"/>
    <mergeCell ref="D9:M9"/>
    <mergeCell ref="D10:M10"/>
    <mergeCell ref="D11:M11"/>
    <mergeCell ref="D12:M13"/>
  </mergeCells>
  <pageMargins left="0.7" right="0.7" top="0.75" bottom="0.75" header="0" footer="0"/>
  <pageSetup orientation="portrait"/>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574B"/>
  </sheetPr>
  <dimension ref="A1:Z1000"/>
  <sheetViews>
    <sheetView workbookViewId="0">
      <selection sqref="A1:M1"/>
    </sheetView>
  </sheetViews>
  <sheetFormatPr defaultColWidth="11.23046875" defaultRowHeight="15" customHeight="1" x14ac:dyDescent="0.85"/>
  <cols>
    <col min="1" max="1" width="42.07421875" customWidth="1"/>
    <col min="2" max="13" width="23.07421875" customWidth="1"/>
    <col min="14" max="26" width="11" customWidth="1"/>
  </cols>
  <sheetData>
    <row r="1" spans="1:26" ht="22.5" customHeight="1" x14ac:dyDescent="0.85">
      <c r="A1" s="847" t="s">
        <v>129</v>
      </c>
      <c r="B1" s="765"/>
      <c r="C1" s="765"/>
      <c r="D1" s="765"/>
      <c r="E1" s="765"/>
      <c r="F1" s="765"/>
      <c r="G1" s="765"/>
      <c r="H1" s="765"/>
      <c r="I1" s="765"/>
      <c r="J1" s="765"/>
      <c r="K1" s="765"/>
      <c r="L1" s="765"/>
      <c r="M1" s="762"/>
      <c r="N1" s="3"/>
      <c r="O1" s="3"/>
      <c r="P1" s="3"/>
      <c r="Q1" s="3"/>
      <c r="R1" s="3"/>
      <c r="S1" s="3"/>
      <c r="T1" s="3"/>
      <c r="U1" s="3"/>
      <c r="V1" s="3"/>
      <c r="W1" s="3"/>
      <c r="X1" s="3"/>
      <c r="Y1" s="3"/>
      <c r="Z1" s="3"/>
    </row>
    <row r="2" spans="1:26" ht="22.5" customHeight="1" x14ac:dyDescent="0.85">
      <c r="A2" s="848" t="s">
        <v>361</v>
      </c>
      <c r="B2" s="765"/>
      <c r="C2" s="765"/>
      <c r="D2" s="765"/>
      <c r="E2" s="765"/>
      <c r="F2" s="765"/>
      <c r="G2" s="765"/>
      <c r="H2" s="765"/>
      <c r="I2" s="765"/>
      <c r="J2" s="765"/>
      <c r="K2" s="765"/>
      <c r="L2" s="765"/>
      <c r="M2" s="762"/>
      <c r="N2" s="3"/>
      <c r="O2" s="3"/>
      <c r="P2" s="3"/>
      <c r="Q2" s="3"/>
      <c r="R2" s="3"/>
      <c r="S2" s="3"/>
      <c r="T2" s="3"/>
      <c r="U2" s="3"/>
      <c r="V2" s="3"/>
      <c r="W2" s="3"/>
      <c r="X2" s="3"/>
      <c r="Y2" s="3"/>
      <c r="Z2" s="3"/>
    </row>
    <row r="3" spans="1:26" ht="22.5" customHeight="1" x14ac:dyDescent="0.85">
      <c r="A3" s="130" t="s">
        <v>361</v>
      </c>
      <c r="B3" s="130" t="s">
        <v>251</v>
      </c>
      <c r="C3" s="130" t="s">
        <v>362</v>
      </c>
      <c r="D3" s="849" t="s">
        <v>138</v>
      </c>
      <c r="E3" s="765"/>
      <c r="F3" s="765"/>
      <c r="G3" s="765"/>
      <c r="H3" s="765"/>
      <c r="I3" s="765"/>
      <c r="J3" s="765"/>
      <c r="K3" s="765"/>
      <c r="L3" s="765"/>
      <c r="M3" s="762"/>
      <c r="N3" s="3"/>
      <c r="O3" s="3"/>
      <c r="P3" s="3"/>
      <c r="Q3" s="3"/>
      <c r="R3" s="3"/>
      <c r="S3" s="3"/>
      <c r="T3" s="3"/>
      <c r="U3" s="3"/>
      <c r="V3" s="3"/>
      <c r="W3" s="3"/>
      <c r="X3" s="3"/>
      <c r="Y3" s="3"/>
      <c r="Z3" s="3"/>
    </row>
    <row r="4" spans="1:26" ht="20.25" customHeight="1" x14ac:dyDescent="0.85">
      <c r="A4" s="131" t="s">
        <v>363</v>
      </c>
      <c r="B4" s="132">
        <v>1066.74</v>
      </c>
      <c r="C4" s="133" t="s">
        <v>364</v>
      </c>
      <c r="D4" s="850" t="s">
        <v>499</v>
      </c>
      <c r="E4" s="765"/>
      <c r="F4" s="765"/>
      <c r="G4" s="765"/>
      <c r="H4" s="765"/>
      <c r="I4" s="765"/>
      <c r="J4" s="765"/>
      <c r="K4" s="765"/>
      <c r="L4" s="765"/>
      <c r="M4" s="762"/>
      <c r="N4" s="15"/>
      <c r="O4" s="15"/>
      <c r="P4" s="15"/>
      <c r="Q4" s="15"/>
      <c r="R4" s="15"/>
      <c r="S4" s="15"/>
      <c r="T4" s="15"/>
      <c r="U4" s="15"/>
      <c r="V4" s="15"/>
      <c r="W4" s="15"/>
      <c r="X4" s="15"/>
      <c r="Y4" s="15"/>
      <c r="Z4" s="15"/>
    </row>
    <row r="5" spans="1:26" ht="20.25" customHeight="1" x14ac:dyDescent="0.85">
      <c r="A5" s="131" t="s">
        <v>366</v>
      </c>
      <c r="B5" s="136">
        <v>78080</v>
      </c>
      <c r="C5" s="133" t="s">
        <v>367</v>
      </c>
      <c r="D5" s="850" t="s">
        <v>368</v>
      </c>
      <c r="E5" s="765"/>
      <c r="F5" s="765"/>
      <c r="G5" s="765"/>
      <c r="H5" s="765"/>
      <c r="I5" s="765"/>
      <c r="J5" s="765"/>
      <c r="K5" s="765"/>
      <c r="L5" s="765"/>
      <c r="M5" s="762"/>
      <c r="N5" s="15"/>
      <c r="O5" s="15"/>
      <c r="P5" s="15"/>
      <c r="Q5" s="15"/>
      <c r="R5" s="15"/>
      <c r="S5" s="15"/>
      <c r="T5" s="15"/>
      <c r="U5" s="15"/>
      <c r="V5" s="15"/>
      <c r="W5" s="15"/>
      <c r="X5" s="15"/>
      <c r="Y5" s="15"/>
      <c r="Z5" s="15"/>
    </row>
    <row r="6" spans="1:26" ht="20.25" customHeight="1" x14ac:dyDescent="0.85">
      <c r="A6" s="131" t="s">
        <v>369</v>
      </c>
      <c r="B6" s="135">
        <v>2011498109.22</v>
      </c>
      <c r="C6" s="133" t="s">
        <v>370</v>
      </c>
      <c r="D6" s="850" t="s">
        <v>485</v>
      </c>
      <c r="E6" s="765"/>
      <c r="F6" s="765"/>
      <c r="G6" s="765"/>
      <c r="H6" s="765"/>
      <c r="I6" s="765"/>
      <c r="J6" s="765"/>
      <c r="K6" s="765"/>
      <c r="L6" s="765"/>
      <c r="M6" s="762"/>
      <c r="N6" s="15"/>
      <c r="O6" s="15"/>
      <c r="P6" s="15"/>
      <c r="Q6" s="15"/>
      <c r="R6" s="15"/>
      <c r="S6" s="15"/>
      <c r="T6" s="15"/>
      <c r="U6" s="15"/>
      <c r="V6" s="15"/>
      <c r="W6" s="15"/>
      <c r="X6" s="15"/>
      <c r="Y6" s="15"/>
      <c r="Z6" s="15"/>
    </row>
    <row r="7" spans="1:26" ht="20.25" customHeight="1" x14ac:dyDescent="0.85">
      <c r="A7" s="131" t="s">
        <v>372</v>
      </c>
      <c r="B7" s="136">
        <v>30658</v>
      </c>
      <c r="C7" s="133" t="s">
        <v>373</v>
      </c>
      <c r="D7" s="850" t="s">
        <v>374</v>
      </c>
      <c r="E7" s="765"/>
      <c r="F7" s="765"/>
      <c r="G7" s="765"/>
      <c r="H7" s="765"/>
      <c r="I7" s="765"/>
      <c r="J7" s="765"/>
      <c r="K7" s="765"/>
      <c r="L7" s="765"/>
      <c r="M7" s="762"/>
      <c r="N7" s="15"/>
      <c r="O7" s="15"/>
      <c r="P7" s="15"/>
      <c r="Q7" s="15"/>
      <c r="R7" s="15"/>
      <c r="S7" s="15"/>
      <c r="T7" s="15"/>
      <c r="U7" s="15"/>
      <c r="V7" s="15"/>
      <c r="W7" s="15"/>
      <c r="X7" s="15"/>
      <c r="Y7" s="15"/>
      <c r="Z7" s="15"/>
    </row>
    <row r="8" spans="1:26" ht="20.25" customHeight="1" x14ac:dyDescent="0.85">
      <c r="A8" s="131" t="s">
        <v>375</v>
      </c>
      <c r="B8" s="136">
        <v>29080</v>
      </c>
      <c r="C8" s="133" t="s">
        <v>373</v>
      </c>
      <c r="D8" s="850" t="s">
        <v>376</v>
      </c>
      <c r="E8" s="765"/>
      <c r="F8" s="765"/>
      <c r="G8" s="765"/>
      <c r="H8" s="765"/>
      <c r="I8" s="765"/>
      <c r="J8" s="765"/>
      <c r="K8" s="765"/>
      <c r="L8" s="765"/>
      <c r="M8" s="762"/>
      <c r="N8" s="15"/>
      <c r="O8" s="15"/>
      <c r="P8" s="15"/>
      <c r="Q8" s="15"/>
      <c r="R8" s="15"/>
      <c r="S8" s="15"/>
      <c r="T8" s="15"/>
      <c r="U8" s="15"/>
      <c r="V8" s="15"/>
      <c r="W8" s="15"/>
      <c r="X8" s="15"/>
      <c r="Y8" s="15"/>
      <c r="Z8" s="15"/>
    </row>
    <row r="9" spans="1:26" ht="20.25" customHeight="1" x14ac:dyDescent="0.85">
      <c r="A9" s="131" t="s">
        <v>377</v>
      </c>
      <c r="B9" s="136">
        <v>35044790</v>
      </c>
      <c r="C9" s="133" t="s">
        <v>378</v>
      </c>
      <c r="D9" s="850" t="s">
        <v>486</v>
      </c>
      <c r="E9" s="765"/>
      <c r="F9" s="765"/>
      <c r="G9" s="765"/>
      <c r="H9" s="765"/>
      <c r="I9" s="765"/>
      <c r="J9" s="765"/>
      <c r="K9" s="765"/>
      <c r="L9" s="765"/>
      <c r="M9" s="762"/>
      <c r="N9" s="15"/>
      <c r="O9" s="15"/>
      <c r="P9" s="15"/>
      <c r="Q9" s="15"/>
      <c r="R9" s="15"/>
      <c r="S9" s="15"/>
      <c r="T9" s="15"/>
      <c r="U9" s="15"/>
      <c r="V9" s="15"/>
      <c r="W9" s="15"/>
      <c r="X9" s="15"/>
      <c r="Y9" s="15"/>
      <c r="Z9" s="15"/>
    </row>
    <row r="10" spans="1:26" ht="20.25" customHeight="1" x14ac:dyDescent="0.85">
      <c r="A10" s="131" t="s">
        <v>380</v>
      </c>
      <c r="B10" s="136">
        <f>10244000*'Conversion Factors and GWP'!$A$27</f>
        <v>110265391.59999999</v>
      </c>
      <c r="C10" s="133" t="s">
        <v>378</v>
      </c>
      <c r="D10" s="850" t="s">
        <v>381</v>
      </c>
      <c r="E10" s="765"/>
      <c r="F10" s="765"/>
      <c r="G10" s="765"/>
      <c r="H10" s="765"/>
      <c r="I10" s="765"/>
      <c r="J10" s="765"/>
      <c r="K10" s="765"/>
      <c r="L10" s="765"/>
      <c r="M10" s="762"/>
      <c r="N10" s="15"/>
      <c r="O10" s="15"/>
      <c r="P10" s="15"/>
      <c r="Q10" s="15"/>
      <c r="R10" s="15"/>
      <c r="S10" s="15"/>
      <c r="T10" s="15"/>
      <c r="U10" s="15"/>
      <c r="V10" s="15"/>
      <c r="W10" s="15"/>
      <c r="X10" s="15"/>
      <c r="Y10" s="15"/>
      <c r="Z10" s="15"/>
    </row>
    <row r="11" spans="1:26" ht="20.25" customHeight="1" x14ac:dyDescent="0.85">
      <c r="A11" s="131" t="s">
        <v>487</v>
      </c>
      <c r="B11" s="136">
        <v>32700</v>
      </c>
      <c r="C11" s="133" t="s">
        <v>383</v>
      </c>
      <c r="D11" s="850" t="s">
        <v>384</v>
      </c>
      <c r="E11" s="765"/>
      <c r="F11" s="765"/>
      <c r="G11" s="765"/>
      <c r="H11" s="765"/>
      <c r="I11" s="765"/>
      <c r="J11" s="765"/>
      <c r="K11" s="765"/>
      <c r="L11" s="765"/>
      <c r="M11" s="762"/>
      <c r="N11" s="15"/>
      <c r="O11" s="15"/>
      <c r="P11" s="15"/>
      <c r="Q11" s="15"/>
      <c r="R11" s="15"/>
      <c r="S11" s="15"/>
      <c r="T11" s="15"/>
      <c r="U11" s="15"/>
      <c r="V11" s="15"/>
      <c r="W11" s="15"/>
      <c r="X11" s="15"/>
      <c r="Y11" s="15"/>
      <c r="Z11" s="15"/>
    </row>
    <row r="12" spans="1:26" ht="20.25" customHeight="1" x14ac:dyDescent="0.85">
      <c r="A12" s="131" t="s">
        <v>385</v>
      </c>
      <c r="B12" s="136">
        <v>2925</v>
      </c>
      <c r="C12" s="133" t="s">
        <v>386</v>
      </c>
      <c r="D12" s="851" t="s">
        <v>500</v>
      </c>
      <c r="E12" s="828"/>
      <c r="F12" s="828"/>
      <c r="G12" s="828"/>
      <c r="H12" s="828"/>
      <c r="I12" s="828"/>
      <c r="J12" s="828"/>
      <c r="K12" s="828"/>
      <c r="L12" s="828"/>
      <c r="M12" s="825"/>
      <c r="N12" s="15"/>
      <c r="O12" s="15"/>
      <c r="P12" s="15"/>
      <c r="Q12" s="15"/>
      <c r="R12" s="15"/>
      <c r="S12" s="15"/>
      <c r="T12" s="15"/>
      <c r="U12" s="15"/>
      <c r="V12" s="15"/>
      <c r="W12" s="15"/>
      <c r="X12" s="15"/>
      <c r="Y12" s="15"/>
      <c r="Z12" s="15"/>
    </row>
    <row r="13" spans="1:26" ht="22.5" customHeight="1" x14ac:dyDescent="0.85">
      <c r="A13" s="137" t="s">
        <v>388</v>
      </c>
      <c r="B13" s="138">
        <v>2491</v>
      </c>
      <c r="C13" s="139" t="s">
        <v>389</v>
      </c>
      <c r="D13" s="810"/>
      <c r="E13" s="830"/>
      <c r="F13" s="830"/>
      <c r="G13" s="830"/>
      <c r="H13" s="830"/>
      <c r="I13" s="830"/>
      <c r="J13" s="830"/>
      <c r="K13" s="830"/>
      <c r="L13" s="830"/>
      <c r="M13" s="767"/>
      <c r="N13" s="15"/>
      <c r="O13" s="15"/>
      <c r="P13" s="15"/>
      <c r="Q13" s="15"/>
      <c r="R13" s="15"/>
      <c r="S13" s="15"/>
      <c r="T13" s="15"/>
      <c r="U13" s="15"/>
      <c r="V13" s="15"/>
      <c r="W13" s="15"/>
      <c r="X13" s="15"/>
      <c r="Y13" s="15"/>
      <c r="Z13" s="15"/>
    </row>
    <row r="14" spans="1:26" ht="22.5" customHeight="1" x14ac:dyDescent="0.85">
      <c r="A14" s="140" t="s">
        <v>501</v>
      </c>
      <c r="B14" s="141">
        <f>B5/'Albuquerque MSA Data'!B5</f>
        <v>8.4934928183863237E-2</v>
      </c>
      <c r="C14" s="133" t="s">
        <v>391</v>
      </c>
      <c r="D14" s="850"/>
      <c r="E14" s="765"/>
      <c r="F14" s="765"/>
      <c r="G14" s="765"/>
      <c r="H14" s="765"/>
      <c r="I14" s="765"/>
      <c r="J14" s="765"/>
      <c r="K14" s="765"/>
      <c r="L14" s="765"/>
      <c r="M14" s="762"/>
      <c r="N14" s="15"/>
      <c r="O14" s="15"/>
      <c r="P14" s="15"/>
      <c r="Q14" s="15"/>
      <c r="R14" s="15"/>
      <c r="S14" s="15"/>
      <c r="T14" s="15"/>
      <c r="U14" s="15"/>
      <c r="V14" s="15"/>
      <c r="W14" s="15"/>
      <c r="X14" s="15"/>
      <c r="Y14" s="15"/>
      <c r="Z14" s="15"/>
    </row>
    <row r="15" spans="1:26" ht="22.5" customHeight="1" x14ac:dyDescent="0.85">
      <c r="A15" s="142"/>
      <c r="B15" s="76"/>
      <c r="C15" s="76"/>
      <c r="D15" s="143"/>
      <c r="E15" s="143"/>
      <c r="F15" s="143"/>
      <c r="G15" s="143"/>
      <c r="H15" s="143"/>
      <c r="I15" s="143"/>
      <c r="J15" s="143"/>
      <c r="K15" s="15"/>
      <c r="L15" s="15"/>
      <c r="M15" s="15"/>
      <c r="N15" s="15"/>
      <c r="O15" s="15"/>
      <c r="P15" s="15"/>
      <c r="Q15" s="15"/>
      <c r="R15" s="15"/>
      <c r="S15" s="15"/>
      <c r="T15" s="15"/>
      <c r="U15" s="15"/>
      <c r="V15" s="15"/>
      <c r="W15" s="15"/>
      <c r="X15" s="15"/>
      <c r="Y15" s="15"/>
      <c r="Z15" s="15"/>
    </row>
    <row r="16" spans="1:26" ht="22.5" customHeight="1" x14ac:dyDescent="0.85">
      <c r="A16" s="144" t="s">
        <v>393</v>
      </c>
      <c r="B16" s="145"/>
      <c r="C16" s="145"/>
      <c r="D16" s="145"/>
      <c r="E16" s="145"/>
      <c r="F16" s="145"/>
      <c r="G16" s="145"/>
      <c r="H16" s="145"/>
      <c r="I16" s="145"/>
      <c r="J16" s="145"/>
      <c r="K16" s="145"/>
      <c r="L16" s="146"/>
      <c r="M16" s="3"/>
      <c r="N16" s="3"/>
      <c r="O16" s="3"/>
      <c r="P16" s="3"/>
      <c r="Q16" s="3"/>
      <c r="R16" s="3"/>
      <c r="S16" s="3"/>
      <c r="T16" s="3"/>
      <c r="U16" s="3"/>
      <c r="V16" s="3"/>
      <c r="W16" s="3"/>
      <c r="X16" s="3"/>
      <c r="Y16" s="3"/>
      <c r="Z16" s="3"/>
    </row>
    <row r="17" spans="1:26" ht="22.5" customHeight="1" x14ac:dyDescent="0.85">
      <c r="A17" s="227" t="s">
        <v>137</v>
      </c>
      <c r="B17" s="202"/>
      <c r="C17" s="203"/>
      <c r="D17" s="227" t="s">
        <v>124</v>
      </c>
      <c r="E17" s="202"/>
      <c r="F17" s="203"/>
      <c r="G17" s="227" t="s">
        <v>116</v>
      </c>
      <c r="H17" s="202"/>
      <c r="I17" s="203"/>
      <c r="J17" s="227" t="s">
        <v>394</v>
      </c>
      <c r="K17" s="202"/>
      <c r="L17" s="203"/>
      <c r="M17" s="3"/>
      <c r="N17" s="3"/>
      <c r="O17" s="3"/>
      <c r="P17" s="3"/>
      <c r="Q17" s="3"/>
      <c r="R17" s="3"/>
      <c r="S17" s="3"/>
      <c r="T17" s="3"/>
      <c r="U17" s="3"/>
      <c r="V17" s="3"/>
      <c r="W17" s="3"/>
      <c r="X17" s="3"/>
      <c r="Y17" s="3"/>
      <c r="Z17" s="3"/>
    </row>
    <row r="18" spans="1:26" ht="22.5" customHeight="1" x14ac:dyDescent="0.85">
      <c r="A18" s="148" t="s">
        <v>138</v>
      </c>
      <c r="B18" s="148" t="s">
        <v>118</v>
      </c>
      <c r="C18" s="148" t="s">
        <v>395</v>
      </c>
      <c r="D18" s="148" t="s">
        <v>125</v>
      </c>
      <c r="E18" s="148" t="s">
        <v>118</v>
      </c>
      <c r="F18" s="148" t="s">
        <v>395</v>
      </c>
      <c r="G18" s="148" t="s">
        <v>117</v>
      </c>
      <c r="H18" s="148" t="s">
        <v>118</v>
      </c>
      <c r="I18" s="148" t="s">
        <v>395</v>
      </c>
      <c r="J18" s="148" t="s">
        <v>396</v>
      </c>
      <c r="K18" s="148" t="s">
        <v>118</v>
      </c>
      <c r="L18" s="148" t="s">
        <v>397</v>
      </c>
      <c r="M18" s="3"/>
      <c r="N18" s="3"/>
      <c r="O18" s="3"/>
      <c r="P18" s="3"/>
      <c r="Q18" s="3"/>
      <c r="R18" s="3"/>
      <c r="S18" s="3"/>
      <c r="T18" s="3"/>
      <c r="U18" s="3"/>
      <c r="V18" s="3"/>
      <c r="W18" s="3"/>
      <c r="X18" s="3"/>
      <c r="Y18" s="3"/>
      <c r="Z18" s="3"/>
    </row>
    <row r="19" spans="1:26" ht="22.5" customHeight="1" x14ac:dyDescent="0.85">
      <c r="A19" s="149" t="s">
        <v>139</v>
      </c>
      <c r="B19" s="150">
        <f>B64</f>
        <v>118984.42212488731</v>
      </c>
      <c r="C19" s="151">
        <f t="shared" ref="C19:C43" si="0">B19/$B$45</f>
        <v>0.16536458188406983</v>
      </c>
      <c r="D19" s="149" t="s">
        <v>130</v>
      </c>
      <c r="E19" s="150">
        <f>SUM(B19:B25)</f>
        <v>232074.61414731728</v>
      </c>
      <c r="F19" s="151">
        <f t="shared" ref="F19:F25" si="1">E19/$E$26</f>
        <v>0.33105425930321164</v>
      </c>
      <c r="G19" s="150" t="s">
        <v>120</v>
      </c>
      <c r="H19" s="150">
        <f>B53+B54+B55+B56+B57+B71+B72+B78+B83+B87+B91+B94+B99+B101+B106+B107+B112+B113+B117+B118+B119</f>
        <v>578305.17524846049</v>
      </c>
      <c r="I19" s="152">
        <f t="shared" ref="I19:I21" si="2">H19/$H$22</f>
        <v>0.82495188948828091</v>
      </c>
      <c r="J19" s="150">
        <f>B5</f>
        <v>78080</v>
      </c>
      <c r="K19" s="150">
        <f>B47</f>
        <v>701016.85033679276</v>
      </c>
      <c r="L19" s="133">
        <f>K19/J19</f>
        <v>8.9781871200921213</v>
      </c>
      <c r="M19" s="3"/>
      <c r="N19" s="3"/>
      <c r="O19" s="3"/>
      <c r="P19" s="3"/>
      <c r="Q19" s="3"/>
      <c r="R19" s="3"/>
      <c r="S19" s="3"/>
      <c r="T19" s="3"/>
      <c r="U19" s="3"/>
      <c r="V19" s="3"/>
      <c r="W19" s="3"/>
      <c r="X19" s="3"/>
      <c r="Y19" s="3"/>
      <c r="Z19" s="3"/>
    </row>
    <row r="20" spans="1:26" ht="22.5" customHeight="1" x14ac:dyDescent="0.85">
      <c r="A20" s="149" t="s">
        <v>140</v>
      </c>
      <c r="B20" s="150">
        <f>B53+B54</f>
        <v>100024.44834162401</v>
      </c>
      <c r="C20" s="151">
        <f t="shared" si="0"/>
        <v>0.13901400521856813</v>
      </c>
      <c r="D20" s="149" t="s">
        <v>131</v>
      </c>
      <c r="E20" s="150">
        <f>SUM(B26:B34)</f>
        <v>358089.16974116769</v>
      </c>
      <c r="F20" s="151">
        <f t="shared" si="1"/>
        <v>0.51081392632592115</v>
      </c>
      <c r="G20" s="150" t="s">
        <v>121</v>
      </c>
      <c r="H20" s="150">
        <f>B61+B62+B63+B79+B84</f>
        <v>119380.70581178389</v>
      </c>
      <c r="I20" s="152">
        <f t="shared" si="2"/>
        <v>0.17029648539037157</v>
      </c>
      <c r="J20" s="147"/>
      <c r="K20" s="147"/>
      <c r="L20" s="147"/>
      <c r="M20" s="3"/>
      <c r="N20" s="3"/>
      <c r="O20" s="3"/>
      <c r="P20" s="3"/>
      <c r="Q20" s="3"/>
      <c r="R20" s="3"/>
      <c r="S20" s="3"/>
      <c r="T20" s="3"/>
      <c r="U20" s="3"/>
      <c r="V20" s="3"/>
      <c r="W20" s="3"/>
      <c r="X20" s="3"/>
      <c r="Y20" s="3"/>
      <c r="Z20" s="3"/>
    </row>
    <row r="21" spans="1:26" ht="22.5" customHeight="1" x14ac:dyDescent="0.85">
      <c r="A21" s="149" t="s">
        <v>266</v>
      </c>
      <c r="B21" s="150">
        <f t="shared" ref="B21:B23" si="3">B55</f>
        <v>0</v>
      </c>
      <c r="C21" s="151">
        <f t="shared" si="0"/>
        <v>0</v>
      </c>
      <c r="D21" s="149" t="s">
        <v>132</v>
      </c>
      <c r="E21" s="150">
        <f>SUM(B35,B36)</f>
        <v>0</v>
      </c>
      <c r="F21" s="151">
        <f t="shared" si="1"/>
        <v>0</v>
      </c>
      <c r="G21" s="150" t="s">
        <v>122</v>
      </c>
      <c r="H21" s="150">
        <f>B67+B80+B88+B100+B102</f>
        <v>3330.9692765482887</v>
      </c>
      <c r="I21" s="152">
        <f t="shared" si="2"/>
        <v>4.7516251213476201E-3</v>
      </c>
      <c r="J21" s="147"/>
      <c r="K21" s="147"/>
      <c r="L21" s="147"/>
      <c r="M21" s="3"/>
      <c r="N21" s="3"/>
      <c r="O21" s="3"/>
      <c r="P21" s="3"/>
      <c r="Q21" s="3"/>
      <c r="R21" s="3"/>
      <c r="S21" s="3"/>
      <c r="T21" s="3"/>
      <c r="U21" s="3"/>
      <c r="V21" s="3"/>
      <c r="W21" s="3"/>
      <c r="X21" s="3"/>
      <c r="Y21" s="3"/>
      <c r="Z21" s="3"/>
    </row>
    <row r="22" spans="1:26" ht="22.5" customHeight="1" x14ac:dyDescent="0.85">
      <c r="A22" s="149" t="s">
        <v>141</v>
      </c>
      <c r="B22" s="150">
        <f t="shared" si="3"/>
        <v>6465.787278939345</v>
      </c>
      <c r="C22" s="151">
        <f t="shared" si="0"/>
        <v>8.9861529000064052E-3</v>
      </c>
      <c r="D22" s="149" t="s">
        <v>340</v>
      </c>
      <c r="E22" s="150">
        <f>B37</f>
        <v>9486.4670208000007</v>
      </c>
      <c r="F22" s="151">
        <f t="shared" si="1"/>
        <v>1.3532437938178484E-2</v>
      </c>
      <c r="G22" s="154" t="s">
        <v>398</v>
      </c>
      <c r="H22" s="155">
        <f t="shared" ref="H22:I22" si="4">SUM(H16:H21)</f>
        <v>701016.85033679265</v>
      </c>
      <c r="I22" s="156">
        <f t="shared" si="4"/>
        <v>1</v>
      </c>
      <c r="J22" s="147"/>
      <c r="K22" s="147"/>
      <c r="L22" s="147"/>
      <c r="M22" s="3"/>
      <c r="N22" s="3"/>
      <c r="O22" s="3"/>
      <c r="P22" s="3"/>
      <c r="Q22" s="3"/>
      <c r="R22" s="3"/>
      <c r="S22" s="3"/>
      <c r="T22" s="3"/>
      <c r="U22" s="3"/>
      <c r="V22" s="3"/>
      <c r="W22" s="3"/>
      <c r="X22" s="3"/>
      <c r="Y22" s="3"/>
      <c r="Z22" s="3"/>
    </row>
    <row r="23" spans="1:26" ht="22.5" customHeight="1" x14ac:dyDescent="0.85">
      <c r="A23" s="149" t="s">
        <v>142</v>
      </c>
      <c r="B23" s="150">
        <f t="shared" si="3"/>
        <v>22.362445000000001</v>
      </c>
      <c r="C23" s="160">
        <f t="shared" si="0"/>
        <v>3.1079332078018531E-5</v>
      </c>
      <c r="D23" s="149" t="s">
        <v>133</v>
      </c>
      <c r="E23" s="150">
        <f>SUM(B38,B39)</f>
        <v>29833.51699514901</v>
      </c>
      <c r="F23" s="153">
        <f t="shared" si="1"/>
        <v>4.2557489139977103E-2</v>
      </c>
      <c r="G23" s="147"/>
      <c r="H23" s="147"/>
      <c r="I23" s="147"/>
      <c r="J23" s="147"/>
      <c r="K23" s="147"/>
      <c r="L23" s="147"/>
      <c r="M23" s="3"/>
      <c r="N23" s="3"/>
      <c r="O23" s="3"/>
      <c r="P23" s="3"/>
      <c r="Q23" s="3"/>
      <c r="R23" s="3"/>
      <c r="S23" s="3"/>
      <c r="T23" s="3"/>
      <c r="U23" s="3"/>
      <c r="V23" s="3"/>
      <c r="W23" s="3"/>
      <c r="X23" s="3"/>
      <c r="Y23" s="3"/>
      <c r="Z23" s="3"/>
    </row>
    <row r="24" spans="1:26" ht="22.5" customHeight="1" x14ac:dyDescent="0.85">
      <c r="A24" s="149" t="s">
        <v>143</v>
      </c>
      <c r="B24" s="150">
        <f>B73</f>
        <v>3257.4321967735245</v>
      </c>
      <c r="C24" s="153">
        <f t="shared" si="0"/>
        <v>4.5271801435466368E-3</v>
      </c>
      <c r="D24" s="149" t="s">
        <v>399</v>
      </c>
      <c r="E24" s="158">
        <f>SUM(B40:B43)</f>
        <v>90044.082432358715</v>
      </c>
      <c r="F24" s="151">
        <f t="shared" si="1"/>
        <v>0.12844781461258517</v>
      </c>
      <c r="G24" s="147"/>
      <c r="H24" s="147"/>
      <c r="I24" s="147"/>
      <c r="J24" s="147"/>
      <c r="K24" s="147"/>
      <c r="L24" s="147"/>
      <c r="M24" s="3"/>
      <c r="N24" s="3"/>
      <c r="O24" s="3"/>
      <c r="P24" s="3"/>
      <c r="Q24" s="3"/>
      <c r="R24" s="3"/>
      <c r="S24" s="3"/>
      <c r="T24" s="3"/>
      <c r="U24" s="3"/>
      <c r="V24" s="3"/>
      <c r="W24" s="3"/>
      <c r="X24" s="3"/>
      <c r="Y24" s="3"/>
      <c r="Z24" s="3"/>
    </row>
    <row r="25" spans="1:26" ht="22.5" customHeight="1" x14ac:dyDescent="0.85">
      <c r="A25" s="149" t="s">
        <v>400</v>
      </c>
      <c r="B25" s="150">
        <f>B68</f>
        <v>3320.1617600930649</v>
      </c>
      <c r="C25" s="151">
        <f t="shared" si="0"/>
        <v>4.6143617075266527E-3</v>
      </c>
      <c r="D25" s="149" t="s">
        <v>401</v>
      </c>
      <c r="E25" s="158">
        <f>B44</f>
        <v>-18511</v>
      </c>
      <c r="F25" s="151">
        <f t="shared" si="1"/>
        <v>-2.6405927319873519E-2</v>
      </c>
      <c r="G25" s="147"/>
      <c r="H25" s="147"/>
      <c r="I25" s="147"/>
      <c r="J25" s="147"/>
      <c r="K25" s="147"/>
      <c r="L25" s="147"/>
      <c r="M25" s="3"/>
      <c r="N25" s="3"/>
      <c r="O25" s="3"/>
      <c r="P25" s="3"/>
      <c r="Q25" s="3"/>
      <c r="R25" s="3"/>
      <c r="S25" s="3"/>
      <c r="T25" s="3"/>
      <c r="U25" s="3"/>
      <c r="V25" s="3"/>
      <c r="W25" s="3"/>
      <c r="X25" s="3"/>
      <c r="Y25" s="3"/>
      <c r="Z25" s="3"/>
    </row>
    <row r="26" spans="1:26" ht="22.5" customHeight="1" x14ac:dyDescent="0.85">
      <c r="A26" s="149" t="s">
        <v>145</v>
      </c>
      <c r="B26" s="150">
        <f t="shared" ref="B26:B28" si="5">B78</f>
        <v>229053.68304265582</v>
      </c>
      <c r="C26" s="159">
        <f t="shared" si="0"/>
        <v>0.31833887032370128</v>
      </c>
      <c r="D26" s="154" t="s">
        <v>398</v>
      </c>
      <c r="E26" s="155">
        <f t="shared" ref="E26:F26" si="6">SUM(E19:E25)</f>
        <v>701016.85033679265</v>
      </c>
      <c r="F26" s="156">
        <f t="shared" si="6"/>
        <v>1</v>
      </c>
      <c r="G26" s="147"/>
      <c r="H26" s="147"/>
      <c r="I26" s="147"/>
      <c r="J26" s="147"/>
      <c r="K26" s="147"/>
      <c r="L26" s="147"/>
      <c r="M26" s="3"/>
      <c r="N26" s="3"/>
      <c r="O26" s="3"/>
      <c r="P26" s="3"/>
      <c r="Q26" s="3"/>
      <c r="R26" s="3"/>
      <c r="S26" s="3"/>
      <c r="T26" s="3"/>
      <c r="U26" s="3"/>
      <c r="V26" s="3"/>
      <c r="W26" s="3"/>
      <c r="X26" s="3"/>
      <c r="Y26" s="3"/>
      <c r="Z26" s="3"/>
    </row>
    <row r="27" spans="1:26" ht="22.5" customHeight="1" x14ac:dyDescent="0.85">
      <c r="A27" s="149" t="s">
        <v>146</v>
      </c>
      <c r="B27" s="150">
        <f t="shared" si="5"/>
        <v>396.28368689658913</v>
      </c>
      <c r="C27" s="159">
        <f t="shared" si="0"/>
        <v>5.5075517467614182E-4</v>
      </c>
      <c r="D27" s="147"/>
      <c r="E27" s="147"/>
      <c r="F27" s="147"/>
      <c r="G27" s="147"/>
      <c r="H27" s="147"/>
      <c r="I27" s="147"/>
      <c r="J27" s="147"/>
      <c r="K27" s="147"/>
      <c r="L27" s="147"/>
      <c r="M27" s="3"/>
      <c r="N27" s="3"/>
      <c r="O27" s="3"/>
      <c r="P27" s="3"/>
      <c r="Q27" s="3"/>
      <c r="R27" s="3"/>
      <c r="S27" s="3"/>
      <c r="T27" s="3"/>
      <c r="U27" s="3"/>
      <c r="V27" s="3"/>
      <c r="W27" s="3"/>
      <c r="X27" s="3"/>
      <c r="Y27" s="3"/>
      <c r="Z27" s="3"/>
    </row>
    <row r="28" spans="1:26" ht="22.5" customHeight="1" x14ac:dyDescent="0.85">
      <c r="A28" s="149" t="s">
        <v>147</v>
      </c>
      <c r="B28" s="150">
        <f t="shared" si="5"/>
        <v>10.807516455223976</v>
      </c>
      <c r="C28" s="157">
        <f t="shared" si="0"/>
        <v>1.5020289277427206E-5</v>
      </c>
      <c r="D28" s="147"/>
      <c r="E28" s="147"/>
      <c r="F28" s="147"/>
      <c r="G28" s="147"/>
      <c r="H28" s="147"/>
      <c r="I28" s="147"/>
      <c r="J28" s="147"/>
      <c r="K28" s="147"/>
      <c r="L28" s="147"/>
      <c r="M28" s="3"/>
      <c r="N28" s="3"/>
      <c r="O28" s="3"/>
      <c r="P28" s="3"/>
      <c r="Q28" s="3"/>
      <c r="R28" s="3"/>
      <c r="S28" s="3"/>
      <c r="T28" s="3"/>
      <c r="U28" s="3"/>
      <c r="V28" s="3"/>
      <c r="W28" s="3"/>
      <c r="X28" s="3"/>
      <c r="Y28" s="3"/>
      <c r="Z28" s="3"/>
    </row>
    <row r="29" spans="1:26" ht="22.5" customHeight="1" x14ac:dyDescent="0.85">
      <c r="A29" s="149" t="s">
        <v>148</v>
      </c>
      <c r="B29" s="150">
        <f t="shared" ref="B29:B30" si="7">B83</f>
        <v>605.93503775015995</v>
      </c>
      <c r="C29" s="159">
        <f t="shared" si="0"/>
        <v>8.4212867850290592E-4</v>
      </c>
      <c r="D29" s="147"/>
      <c r="E29" s="147"/>
      <c r="F29" s="147"/>
      <c r="G29" s="147"/>
      <c r="H29" s="147"/>
      <c r="I29" s="147"/>
      <c r="J29" s="147"/>
      <c r="K29" s="147"/>
      <c r="L29" s="147"/>
      <c r="M29" s="3"/>
      <c r="N29" s="3"/>
      <c r="O29" s="3"/>
      <c r="P29" s="3"/>
      <c r="Q29" s="3"/>
      <c r="R29" s="3"/>
      <c r="S29" s="3"/>
      <c r="T29" s="3"/>
      <c r="U29" s="3"/>
      <c r="V29" s="3"/>
      <c r="W29" s="3"/>
      <c r="X29" s="3"/>
      <c r="Y29" s="3"/>
      <c r="Z29" s="3"/>
    </row>
    <row r="30" spans="1:26" ht="22.5" customHeight="1" x14ac:dyDescent="0.85">
      <c r="A30" s="149" t="s">
        <v>149</v>
      </c>
      <c r="B30" s="150">
        <f t="shared" si="7"/>
        <v>0</v>
      </c>
      <c r="C30" s="151">
        <f t="shared" si="0"/>
        <v>0</v>
      </c>
      <c r="D30" s="147"/>
      <c r="E30" s="147"/>
      <c r="F30" s="147"/>
      <c r="G30" s="147"/>
      <c r="H30" s="147"/>
      <c r="I30" s="147"/>
      <c r="J30" s="147"/>
      <c r="K30" s="147"/>
      <c r="L30" s="147"/>
      <c r="M30" s="3"/>
      <c r="N30" s="3"/>
      <c r="O30" s="3"/>
      <c r="P30" s="3"/>
      <c r="Q30" s="3"/>
      <c r="R30" s="3"/>
      <c r="S30" s="3"/>
      <c r="T30" s="3"/>
      <c r="U30" s="3"/>
      <c r="V30" s="3"/>
      <c r="W30" s="3"/>
      <c r="X30" s="3"/>
      <c r="Y30" s="3"/>
      <c r="Z30" s="3"/>
    </row>
    <row r="31" spans="1:26" ht="22.5" customHeight="1" x14ac:dyDescent="0.85">
      <c r="A31" s="149" t="s">
        <v>150</v>
      </c>
      <c r="B31" s="150">
        <f t="shared" ref="B31:B32" si="8">B87</f>
        <v>0</v>
      </c>
      <c r="C31" s="151">
        <f t="shared" si="0"/>
        <v>0</v>
      </c>
      <c r="D31" s="147"/>
      <c r="E31" s="147"/>
      <c r="F31" s="147"/>
      <c r="G31" s="147"/>
      <c r="H31" s="147"/>
      <c r="I31" s="147"/>
      <c r="J31" s="147"/>
      <c r="K31" s="147"/>
      <c r="L31" s="147"/>
      <c r="M31" s="3"/>
      <c r="N31" s="3"/>
      <c r="O31" s="3"/>
      <c r="P31" s="3"/>
      <c r="Q31" s="3"/>
      <c r="R31" s="3"/>
      <c r="S31" s="3"/>
      <c r="T31" s="3"/>
      <c r="U31" s="3"/>
      <c r="V31" s="3"/>
      <c r="W31" s="3"/>
      <c r="X31" s="3"/>
      <c r="Y31" s="3"/>
      <c r="Z31" s="3"/>
    </row>
    <row r="32" spans="1:26" ht="22.5" customHeight="1" x14ac:dyDescent="0.85">
      <c r="A32" s="149" t="s">
        <v>151</v>
      </c>
      <c r="B32" s="150">
        <f t="shared" si="8"/>
        <v>0</v>
      </c>
      <c r="C32" s="151">
        <f t="shared" si="0"/>
        <v>0</v>
      </c>
      <c r="D32" s="147"/>
      <c r="E32" s="147"/>
      <c r="F32" s="147"/>
      <c r="G32" s="147"/>
      <c r="H32" s="147"/>
      <c r="I32" s="147"/>
      <c r="J32" s="147"/>
      <c r="K32" s="147"/>
      <c r="L32" s="147"/>
      <c r="M32" s="3"/>
      <c r="N32" s="3"/>
      <c r="O32" s="3"/>
      <c r="P32" s="3"/>
      <c r="Q32" s="3"/>
      <c r="R32" s="3"/>
      <c r="S32" s="3"/>
      <c r="T32" s="3"/>
      <c r="U32" s="3"/>
      <c r="V32" s="3"/>
      <c r="W32" s="3"/>
      <c r="X32" s="3"/>
      <c r="Y32" s="3"/>
      <c r="Z32" s="3"/>
    </row>
    <row r="33" spans="1:26" ht="22.5" customHeight="1" x14ac:dyDescent="0.85">
      <c r="A33" s="149" t="s">
        <v>152</v>
      </c>
      <c r="B33" s="150">
        <f>B91</f>
        <v>19166.497934357136</v>
      </c>
      <c r="C33" s="151">
        <f t="shared" si="0"/>
        <v>2.6637603986260968E-2</v>
      </c>
      <c r="D33" s="147"/>
      <c r="E33" s="147"/>
      <c r="F33" s="147"/>
      <c r="G33" s="147"/>
      <c r="H33" s="147"/>
      <c r="I33" s="147"/>
      <c r="J33" s="147"/>
      <c r="K33" s="147"/>
      <c r="L33" s="147"/>
      <c r="M33" s="3"/>
      <c r="N33" s="3"/>
      <c r="O33" s="3"/>
      <c r="P33" s="3"/>
      <c r="Q33" s="3"/>
      <c r="R33" s="3"/>
      <c r="S33" s="3"/>
      <c r="T33" s="3"/>
      <c r="U33" s="3"/>
      <c r="V33" s="3"/>
      <c r="W33" s="3"/>
      <c r="X33" s="3"/>
      <c r="Y33" s="3"/>
      <c r="Z33" s="3"/>
    </row>
    <row r="34" spans="1:26" ht="22.5" customHeight="1" x14ac:dyDescent="0.85">
      <c r="A34" s="149" t="s">
        <v>153</v>
      </c>
      <c r="B34" s="150">
        <f>B94</f>
        <v>108855.96252305277</v>
      </c>
      <c r="C34" s="151">
        <f t="shared" si="0"/>
        <v>0.15128804600419574</v>
      </c>
      <c r="D34" s="147"/>
      <c r="E34" s="147"/>
      <c r="F34" s="147"/>
      <c r="G34" s="147"/>
      <c r="H34" s="147"/>
      <c r="I34" s="147"/>
      <c r="J34" s="147"/>
      <c r="K34" s="147"/>
      <c r="L34" s="147"/>
      <c r="M34" s="3"/>
      <c r="N34" s="3"/>
      <c r="O34" s="3"/>
      <c r="P34" s="3"/>
      <c r="Q34" s="3"/>
      <c r="R34" s="3"/>
      <c r="S34" s="3"/>
      <c r="T34" s="3"/>
      <c r="U34" s="3"/>
      <c r="V34" s="3"/>
      <c r="W34" s="3"/>
      <c r="X34" s="3"/>
      <c r="Y34" s="3"/>
      <c r="Z34" s="3"/>
    </row>
    <row r="35" spans="1:26" ht="22.5" customHeight="1" x14ac:dyDescent="0.85">
      <c r="A35" s="149" t="s">
        <v>154</v>
      </c>
      <c r="B35" s="150">
        <f>B99+B100</f>
        <v>0</v>
      </c>
      <c r="C35" s="151">
        <f t="shared" si="0"/>
        <v>0</v>
      </c>
      <c r="D35" s="147"/>
      <c r="E35" s="147"/>
      <c r="F35" s="147"/>
      <c r="G35" s="147"/>
      <c r="H35" s="147"/>
      <c r="I35" s="147"/>
      <c r="J35" s="147"/>
      <c r="K35" s="147"/>
      <c r="L35" s="147"/>
      <c r="M35" s="3"/>
      <c r="N35" s="3"/>
      <c r="O35" s="3"/>
      <c r="P35" s="3"/>
      <c r="Q35" s="3"/>
      <c r="R35" s="3"/>
      <c r="S35" s="3"/>
      <c r="T35" s="3"/>
      <c r="U35" s="3"/>
      <c r="V35" s="3"/>
      <c r="W35" s="3"/>
      <c r="X35" s="3"/>
      <c r="Y35" s="3"/>
      <c r="Z35" s="3"/>
    </row>
    <row r="36" spans="1:26" ht="22.5" customHeight="1" x14ac:dyDescent="0.85">
      <c r="A36" s="149" t="s">
        <v>155</v>
      </c>
      <c r="B36" s="150">
        <f>B101+B102</f>
        <v>0</v>
      </c>
      <c r="C36" s="151">
        <f t="shared" si="0"/>
        <v>0</v>
      </c>
      <c r="D36" s="147"/>
      <c r="E36" s="147"/>
      <c r="F36" s="147"/>
      <c r="G36" s="147"/>
      <c r="H36" s="147"/>
      <c r="I36" s="147"/>
      <c r="J36" s="147"/>
      <c r="K36" s="147"/>
      <c r="L36" s="147"/>
      <c r="M36" s="3"/>
      <c r="N36" s="3"/>
      <c r="O36" s="3"/>
      <c r="P36" s="3"/>
      <c r="Q36" s="3"/>
      <c r="R36" s="3"/>
      <c r="S36" s="3"/>
      <c r="T36" s="3"/>
      <c r="U36" s="3"/>
      <c r="V36" s="3"/>
      <c r="W36" s="3"/>
      <c r="X36" s="3"/>
      <c r="Y36" s="3"/>
      <c r="Z36" s="3"/>
    </row>
    <row r="37" spans="1:26" ht="22.5" customHeight="1" x14ac:dyDescent="0.85">
      <c r="A37" s="149" t="s">
        <v>156</v>
      </c>
      <c r="B37" s="150">
        <f>B108</f>
        <v>9486.4670208000007</v>
      </c>
      <c r="C37" s="151">
        <f t="shared" si="0"/>
        <v>1.3184294418012625E-2</v>
      </c>
      <c r="D37" s="147"/>
      <c r="E37" s="147"/>
      <c r="F37" s="147"/>
      <c r="G37" s="147"/>
      <c r="H37" s="147"/>
      <c r="I37" s="147"/>
      <c r="J37" s="147"/>
      <c r="K37" s="147"/>
      <c r="L37" s="147"/>
      <c r="M37" s="3"/>
      <c r="N37" s="3"/>
      <c r="O37" s="3"/>
      <c r="P37" s="3"/>
      <c r="Q37" s="3"/>
      <c r="R37" s="3"/>
      <c r="S37" s="3"/>
      <c r="T37" s="3"/>
      <c r="U37" s="3"/>
      <c r="V37" s="3"/>
      <c r="W37" s="3"/>
      <c r="X37" s="3"/>
      <c r="Y37" s="3"/>
      <c r="Z37" s="3"/>
    </row>
    <row r="38" spans="1:26" ht="22.5" customHeight="1" x14ac:dyDescent="0.85">
      <c r="A38" s="149" t="s">
        <v>346</v>
      </c>
      <c r="B38" s="150">
        <f t="shared" ref="B38:B39" si="9">B112</f>
        <v>6589.6</v>
      </c>
      <c r="C38" s="153">
        <f t="shared" si="0"/>
        <v>9.1582278530505466E-3</v>
      </c>
      <c r="D38" s="147"/>
      <c r="E38" s="147"/>
      <c r="F38" s="147"/>
      <c r="G38" s="147"/>
      <c r="H38" s="147"/>
      <c r="I38" s="147"/>
      <c r="J38" s="147"/>
      <c r="K38" s="147"/>
      <c r="L38" s="147"/>
      <c r="M38" s="3"/>
      <c r="N38" s="3"/>
      <c r="O38" s="3"/>
      <c r="P38" s="3"/>
      <c r="Q38" s="3"/>
      <c r="R38" s="3"/>
      <c r="S38" s="3"/>
      <c r="T38" s="3"/>
      <c r="U38" s="3"/>
      <c r="V38" s="3"/>
      <c r="W38" s="3"/>
      <c r="X38" s="3"/>
      <c r="Y38" s="3"/>
      <c r="Z38" s="3"/>
    </row>
    <row r="39" spans="1:26" ht="22.5" customHeight="1" x14ac:dyDescent="0.85">
      <c r="A39" s="149" t="s">
        <v>158</v>
      </c>
      <c r="B39" s="150">
        <f t="shared" si="9"/>
        <v>23243.916995149011</v>
      </c>
      <c r="C39" s="153">
        <f t="shared" si="0"/>
        <v>3.2304402094052539E-2</v>
      </c>
      <c r="D39" s="147"/>
      <c r="E39" s="147"/>
      <c r="F39" s="147"/>
      <c r="G39" s="147"/>
      <c r="H39" s="147"/>
      <c r="I39" s="147"/>
      <c r="J39" s="147"/>
      <c r="K39" s="147"/>
      <c r="L39" s="147"/>
      <c r="M39" s="3"/>
      <c r="N39" s="3"/>
      <c r="O39" s="3"/>
      <c r="P39" s="3"/>
      <c r="Q39" s="3"/>
      <c r="R39" s="3"/>
      <c r="S39" s="3"/>
      <c r="T39" s="3"/>
      <c r="U39" s="3"/>
      <c r="V39" s="3"/>
      <c r="W39" s="3"/>
      <c r="X39" s="3"/>
      <c r="Y39" s="3"/>
      <c r="Z39" s="3"/>
    </row>
    <row r="40" spans="1:26" ht="22.5" customHeight="1" x14ac:dyDescent="0.85">
      <c r="A40" s="149" t="s">
        <v>402</v>
      </c>
      <c r="B40" s="150">
        <f>'AFOLU Data'!Q70</f>
        <v>50922.999052761144</v>
      </c>
      <c r="C40" s="153">
        <f t="shared" si="0"/>
        <v>7.0772797785277355E-2</v>
      </c>
      <c r="D40" s="147"/>
      <c r="E40" s="147"/>
      <c r="F40" s="147"/>
      <c r="G40" s="147"/>
      <c r="H40" s="147"/>
      <c r="I40" s="147"/>
      <c r="J40" s="147"/>
      <c r="K40" s="3"/>
      <c r="L40" s="3"/>
      <c r="M40" s="3"/>
      <c r="N40" s="3"/>
      <c r="O40" s="3"/>
      <c r="P40" s="3"/>
      <c r="Q40" s="3"/>
      <c r="R40" s="3"/>
      <c r="S40" s="3"/>
      <c r="T40" s="3"/>
      <c r="U40" s="3"/>
      <c r="V40" s="3"/>
      <c r="W40" s="3"/>
      <c r="X40" s="3"/>
      <c r="Y40" s="3"/>
      <c r="Z40" s="3"/>
    </row>
    <row r="41" spans="1:26" ht="22.5" customHeight="1" x14ac:dyDescent="0.85">
      <c r="A41" s="149" t="s">
        <v>403</v>
      </c>
      <c r="B41" s="150">
        <f>'AFOLU Data'!J111</f>
        <v>38514.306558257427</v>
      </c>
      <c r="C41" s="151">
        <f t="shared" si="0"/>
        <v>5.3527193617633917E-2</v>
      </c>
      <c r="D41" s="147"/>
      <c r="E41" s="147"/>
      <c r="F41" s="147"/>
      <c r="G41" s="147"/>
      <c r="H41" s="147"/>
      <c r="I41" s="147"/>
      <c r="J41" s="147"/>
      <c r="K41" s="3"/>
      <c r="L41" s="3"/>
      <c r="M41" s="3"/>
      <c r="N41" s="3"/>
      <c r="O41" s="3"/>
      <c r="P41" s="3"/>
      <c r="Q41" s="3"/>
      <c r="R41" s="3"/>
      <c r="S41" s="3"/>
      <c r="T41" s="3"/>
      <c r="U41" s="3"/>
      <c r="V41" s="3"/>
      <c r="W41" s="3"/>
      <c r="X41" s="3"/>
      <c r="Y41" s="3"/>
      <c r="Z41" s="3"/>
    </row>
    <row r="42" spans="1:26" ht="22.5" customHeight="1" x14ac:dyDescent="0.85">
      <c r="A42" s="149" t="s">
        <v>404</v>
      </c>
      <c r="B42" s="150">
        <f>'AFOLU Data'!E127</f>
        <v>115.7446736273896</v>
      </c>
      <c r="C42" s="159">
        <f t="shared" si="0"/>
        <v>1.6086197855053484E-4</v>
      </c>
      <c r="D42" s="147"/>
      <c r="E42" s="147"/>
      <c r="F42" s="147"/>
      <c r="G42" s="147"/>
      <c r="H42" s="147"/>
      <c r="I42" s="147"/>
      <c r="J42" s="147"/>
      <c r="K42" s="3"/>
      <c r="L42" s="3"/>
      <c r="M42" s="3"/>
      <c r="N42" s="3"/>
      <c r="O42" s="3"/>
      <c r="P42" s="3"/>
      <c r="Q42" s="3"/>
      <c r="R42" s="3"/>
      <c r="S42" s="3"/>
      <c r="T42" s="3"/>
      <c r="U42" s="3"/>
      <c r="V42" s="3"/>
      <c r="W42" s="3"/>
      <c r="X42" s="3"/>
      <c r="Y42" s="3"/>
      <c r="Z42" s="3"/>
    </row>
    <row r="43" spans="1:26" ht="22.5" customHeight="1" x14ac:dyDescent="0.85">
      <c r="A43" s="149" t="s">
        <v>405</v>
      </c>
      <c r="B43" s="150">
        <f>'AFOLU Data'!I143</f>
        <v>491.03214771276532</v>
      </c>
      <c r="C43" s="159">
        <f t="shared" si="0"/>
        <v>6.824366110122431E-4</v>
      </c>
      <c r="D43" s="147"/>
      <c r="E43" s="147"/>
      <c r="F43" s="147"/>
      <c r="G43" s="147"/>
      <c r="H43" s="147"/>
      <c r="I43" s="147"/>
      <c r="J43" s="147"/>
      <c r="K43" s="3"/>
      <c r="L43" s="3"/>
      <c r="M43" s="3"/>
      <c r="N43" s="3"/>
      <c r="O43" s="3"/>
      <c r="P43" s="3"/>
      <c r="Q43" s="3"/>
      <c r="R43" s="3"/>
      <c r="S43" s="3"/>
      <c r="T43" s="3"/>
      <c r="U43" s="3"/>
      <c r="V43" s="3"/>
      <c r="W43" s="3"/>
      <c r="X43" s="3"/>
      <c r="Y43" s="3"/>
      <c r="Z43" s="3"/>
    </row>
    <row r="44" spans="1:26" ht="22.5" customHeight="1" x14ac:dyDescent="0.85">
      <c r="A44" s="162" t="s">
        <v>406</v>
      </c>
      <c r="B44" s="158">
        <f>B119</f>
        <v>-18511</v>
      </c>
      <c r="C44" s="163" t="s">
        <v>106</v>
      </c>
      <c r="D44" s="147"/>
      <c r="E44" s="147"/>
      <c r="F44" s="147"/>
      <c r="G44" s="147"/>
      <c r="H44" s="147"/>
      <c r="I44" s="147"/>
      <c r="J44" s="147"/>
      <c r="K44" s="3"/>
      <c r="L44" s="3"/>
      <c r="M44" s="3"/>
      <c r="N44" s="3"/>
      <c r="O44" s="3"/>
      <c r="P44" s="3"/>
      <c r="Q44" s="3"/>
      <c r="R44" s="3"/>
      <c r="S44" s="3"/>
      <c r="T44" s="3"/>
      <c r="U44" s="3"/>
      <c r="V44" s="3"/>
      <c r="W44" s="3"/>
      <c r="X44" s="3"/>
      <c r="Y44" s="3"/>
      <c r="Z44" s="3"/>
    </row>
    <row r="45" spans="1:26" ht="22.5" customHeight="1" x14ac:dyDescent="0.85">
      <c r="A45" s="164" t="s">
        <v>101</v>
      </c>
      <c r="B45" s="155">
        <f t="shared" ref="B45:C45" si="10">SUM(B19:B43)</f>
        <v>719527.85033679276</v>
      </c>
      <c r="C45" s="156">
        <f t="shared" si="10"/>
        <v>0.99999999999999989</v>
      </c>
      <c r="D45" s="147"/>
      <c r="E45" s="147"/>
      <c r="F45" s="147"/>
      <c r="G45" s="147"/>
      <c r="H45" s="147"/>
      <c r="I45" s="147"/>
      <c r="J45" s="147"/>
      <c r="K45" s="3"/>
      <c r="L45" s="3"/>
      <c r="M45" s="3"/>
      <c r="N45" s="3"/>
      <c r="O45" s="3"/>
      <c r="P45" s="3"/>
      <c r="Q45" s="3"/>
      <c r="R45" s="3"/>
      <c r="S45" s="3"/>
      <c r="T45" s="3"/>
      <c r="U45" s="3"/>
      <c r="V45" s="3"/>
      <c r="W45" s="3"/>
      <c r="X45" s="3"/>
      <c r="Y45" s="3"/>
      <c r="Z45" s="3"/>
    </row>
    <row r="46" spans="1:26" ht="22.5" customHeight="1" x14ac:dyDescent="0.85">
      <c r="A46" s="164" t="s">
        <v>136</v>
      </c>
      <c r="B46" s="165">
        <f>B44</f>
        <v>-18511</v>
      </c>
      <c r="C46" s="156" t="s">
        <v>106</v>
      </c>
      <c r="D46" s="147"/>
      <c r="E46" s="147"/>
      <c r="F46" s="147"/>
      <c r="G46" s="147"/>
      <c r="H46" s="147"/>
      <c r="I46" s="147"/>
      <c r="J46" s="147"/>
      <c r="K46" s="3"/>
      <c r="L46" s="3"/>
      <c r="M46" s="3"/>
      <c r="N46" s="3"/>
      <c r="O46" s="3"/>
      <c r="P46" s="3"/>
      <c r="Q46" s="3"/>
      <c r="R46" s="3"/>
      <c r="S46" s="3"/>
      <c r="T46" s="3"/>
      <c r="U46" s="3"/>
      <c r="V46" s="3"/>
      <c r="W46" s="3"/>
      <c r="X46" s="3"/>
      <c r="Y46" s="3"/>
      <c r="Z46" s="3"/>
    </row>
    <row r="47" spans="1:26" ht="22.5" customHeight="1" x14ac:dyDescent="0.85">
      <c r="A47" s="164" t="s">
        <v>123</v>
      </c>
      <c r="B47" s="155">
        <f>B45+B46</f>
        <v>701016.85033679276</v>
      </c>
      <c r="C47" s="156" t="s">
        <v>106</v>
      </c>
      <c r="D47" s="147"/>
      <c r="E47" s="147"/>
      <c r="F47" s="147"/>
      <c r="G47" s="147"/>
      <c r="H47" s="147"/>
      <c r="I47" s="147"/>
      <c r="J47" s="147"/>
      <c r="K47" s="3"/>
      <c r="L47" s="3"/>
      <c r="M47" s="3"/>
      <c r="N47" s="3"/>
      <c r="O47" s="3"/>
      <c r="P47" s="3"/>
      <c r="Q47" s="3"/>
      <c r="R47" s="3"/>
      <c r="S47" s="3"/>
      <c r="T47" s="3"/>
      <c r="U47" s="3"/>
      <c r="V47" s="3"/>
      <c r="W47" s="3"/>
      <c r="X47" s="3"/>
      <c r="Y47" s="3"/>
      <c r="Z47" s="3"/>
    </row>
    <row r="48" spans="1:26" ht="22.5" customHeight="1" x14ac:dyDescent="0.85">
      <c r="A48" s="166"/>
      <c r="B48" s="167"/>
      <c r="C48" s="167"/>
      <c r="D48" s="147"/>
      <c r="E48" s="147"/>
      <c r="F48" s="147"/>
      <c r="G48" s="147"/>
      <c r="H48" s="147"/>
      <c r="I48" s="147"/>
      <c r="J48" s="147"/>
      <c r="K48" s="3"/>
      <c r="L48" s="3"/>
      <c r="M48" s="3"/>
      <c r="N48" s="3"/>
      <c r="O48" s="3"/>
      <c r="P48" s="3"/>
      <c r="Q48" s="3"/>
      <c r="R48" s="3"/>
      <c r="S48" s="3"/>
      <c r="T48" s="3"/>
      <c r="U48" s="3"/>
      <c r="V48" s="3"/>
      <c r="W48" s="3"/>
      <c r="X48" s="3"/>
      <c r="Y48" s="3"/>
      <c r="Z48" s="3"/>
    </row>
    <row r="49" spans="1:26" ht="22.5" customHeight="1" x14ac:dyDescent="0.85">
      <c r="A49" s="144" t="s">
        <v>407</v>
      </c>
      <c r="B49" s="145"/>
      <c r="C49" s="145"/>
      <c r="D49" s="145"/>
      <c r="E49" s="145"/>
      <c r="F49" s="146"/>
      <c r="G49" s="147"/>
      <c r="H49" s="147"/>
      <c r="I49" s="147"/>
      <c r="J49" s="147"/>
      <c r="K49" s="147"/>
      <c r="L49" s="147"/>
      <c r="M49" s="3"/>
      <c r="N49" s="3"/>
      <c r="O49" s="3"/>
      <c r="P49" s="3"/>
      <c r="Q49" s="3"/>
      <c r="R49" s="3"/>
      <c r="S49" s="3"/>
      <c r="T49" s="3"/>
      <c r="U49" s="3"/>
      <c r="V49" s="3"/>
      <c r="W49" s="3"/>
      <c r="X49" s="3"/>
      <c r="Y49" s="3"/>
      <c r="Z49" s="3"/>
    </row>
    <row r="50" spans="1:26" ht="22.5" customHeight="1" x14ac:dyDescent="0.85">
      <c r="A50" s="168" t="s">
        <v>184</v>
      </c>
      <c r="B50" s="169"/>
      <c r="C50" s="169"/>
      <c r="D50" s="169"/>
      <c r="E50" s="169"/>
      <c r="F50" s="170"/>
      <c r="G50" s="147"/>
      <c r="H50" s="147"/>
      <c r="I50" s="147"/>
      <c r="J50" s="147"/>
      <c r="K50" s="147"/>
      <c r="L50" s="147"/>
      <c r="M50" s="3"/>
      <c r="N50" s="3"/>
      <c r="O50" s="3"/>
      <c r="P50" s="3"/>
      <c r="Q50" s="3"/>
      <c r="R50" s="3"/>
      <c r="S50" s="3"/>
      <c r="T50" s="3"/>
      <c r="U50" s="3"/>
      <c r="V50" s="3"/>
      <c r="W50" s="3"/>
      <c r="X50" s="3"/>
      <c r="Y50" s="3"/>
      <c r="Z50" s="3"/>
    </row>
    <row r="51" spans="1:26" ht="22.5" customHeight="1" x14ac:dyDescent="0.85">
      <c r="A51" s="171" t="s">
        <v>408</v>
      </c>
      <c r="B51" s="172"/>
      <c r="C51" s="172"/>
      <c r="D51" s="172"/>
      <c r="E51" s="172"/>
      <c r="F51" s="173"/>
      <c r="G51" s="147"/>
      <c r="H51" s="147"/>
      <c r="I51" s="147"/>
      <c r="J51" s="147"/>
      <c r="K51" s="3"/>
      <c r="L51" s="3"/>
      <c r="M51" s="3"/>
      <c r="N51" s="3"/>
      <c r="O51" s="3"/>
      <c r="P51" s="3"/>
      <c r="Q51" s="3"/>
      <c r="R51" s="3"/>
      <c r="S51" s="3"/>
      <c r="T51" s="3"/>
      <c r="U51" s="3"/>
      <c r="V51" s="3"/>
      <c r="W51" s="3"/>
      <c r="X51" s="3"/>
      <c r="Y51" s="3"/>
      <c r="Z51" s="3"/>
    </row>
    <row r="52" spans="1:26" ht="22.5" customHeight="1" x14ac:dyDescent="0.85">
      <c r="A52" s="130" t="s">
        <v>409</v>
      </c>
      <c r="B52" s="130" t="s">
        <v>410</v>
      </c>
      <c r="C52" s="174" t="s">
        <v>362</v>
      </c>
      <c r="D52" s="174" t="s">
        <v>117</v>
      </c>
      <c r="E52" s="174" t="s">
        <v>251</v>
      </c>
      <c r="F52" s="174" t="s">
        <v>362</v>
      </c>
      <c r="G52" s="147"/>
      <c r="H52" s="147"/>
      <c r="I52" s="147"/>
      <c r="J52" s="147"/>
      <c r="K52" s="3"/>
      <c r="L52" s="3"/>
      <c r="M52" s="3"/>
      <c r="N52" s="3"/>
      <c r="O52" s="3"/>
      <c r="P52" s="3"/>
      <c r="Q52" s="3"/>
      <c r="R52" s="3"/>
      <c r="S52" s="3"/>
      <c r="T52" s="3"/>
      <c r="U52" s="3"/>
      <c r="V52" s="3"/>
      <c r="W52" s="3"/>
      <c r="X52" s="3"/>
      <c r="Y52" s="3"/>
      <c r="Z52" s="3"/>
    </row>
    <row r="53" spans="1:26" ht="22.5" customHeight="1" x14ac:dyDescent="0.85">
      <c r="A53" s="175" t="s">
        <v>411</v>
      </c>
      <c r="B53" s="150">
        <f>'Energy Data'!F231</f>
        <v>28195.375981150384</v>
      </c>
      <c r="C53" s="176" t="s">
        <v>412</v>
      </c>
      <c r="D53" s="177">
        <v>1</v>
      </c>
      <c r="E53" s="178">
        <f>'Energy Data'!F227</f>
        <v>5308414.0830000052</v>
      </c>
      <c r="F53" s="176" t="s">
        <v>413</v>
      </c>
      <c r="G53" s="147"/>
      <c r="H53" s="147"/>
      <c r="I53" s="147"/>
      <c r="J53" s="147"/>
      <c r="K53" s="3"/>
      <c r="L53" s="3"/>
      <c r="M53" s="3"/>
      <c r="N53" s="3"/>
      <c r="O53" s="3"/>
      <c r="P53" s="3"/>
      <c r="Q53" s="3"/>
      <c r="R53" s="3"/>
      <c r="S53" s="3"/>
      <c r="T53" s="3"/>
      <c r="U53" s="3"/>
      <c r="V53" s="3"/>
      <c r="W53" s="3"/>
      <c r="X53" s="3"/>
      <c r="Y53" s="3"/>
      <c r="Z53" s="3"/>
    </row>
    <row r="54" spans="1:26" ht="22.5" customHeight="1" x14ac:dyDescent="0.85">
      <c r="A54" s="13" t="s">
        <v>414</v>
      </c>
      <c r="B54" s="150">
        <f>'Energy Data'!F223</f>
        <v>71829.072360473627</v>
      </c>
      <c r="C54" s="176" t="s">
        <v>412</v>
      </c>
      <c r="D54" s="177">
        <v>1</v>
      </c>
      <c r="E54" s="178">
        <f>'Energy Data'!F219</f>
        <v>13523439.43000002</v>
      </c>
      <c r="F54" s="176" t="s">
        <v>413</v>
      </c>
      <c r="G54" s="147"/>
      <c r="H54" s="147"/>
      <c r="I54" s="147"/>
      <c r="J54" s="147"/>
      <c r="K54" s="3"/>
      <c r="L54" s="3"/>
      <c r="M54" s="3"/>
      <c r="N54" s="3"/>
      <c r="O54" s="3"/>
      <c r="P54" s="3"/>
      <c r="Q54" s="3"/>
      <c r="R54" s="3"/>
      <c r="S54" s="3"/>
      <c r="T54" s="3"/>
      <c r="U54" s="3"/>
      <c r="V54" s="3"/>
      <c r="W54" s="3"/>
      <c r="X54" s="3"/>
      <c r="Y54" s="3"/>
      <c r="Z54" s="3"/>
    </row>
    <row r="55" spans="1:26" ht="22.5" customHeight="1" x14ac:dyDescent="0.85">
      <c r="A55" s="13" t="s">
        <v>266</v>
      </c>
      <c r="B55" s="150">
        <f>'Energy Data'!F240</f>
        <v>0</v>
      </c>
      <c r="C55" s="176" t="s">
        <v>412</v>
      </c>
      <c r="D55" s="177">
        <v>1</v>
      </c>
      <c r="E55" s="178" t="s">
        <v>106</v>
      </c>
      <c r="F55" s="176" t="s">
        <v>415</v>
      </c>
      <c r="G55" s="147"/>
      <c r="H55" s="147"/>
      <c r="I55" s="147"/>
      <c r="J55" s="147"/>
      <c r="K55" s="3"/>
      <c r="L55" s="3"/>
      <c r="M55" s="3"/>
      <c r="N55" s="3"/>
      <c r="O55" s="3"/>
      <c r="P55" s="3"/>
      <c r="Q55" s="3"/>
      <c r="R55" s="3"/>
      <c r="S55" s="3"/>
      <c r="T55" s="3"/>
      <c r="U55" s="3"/>
      <c r="V55" s="3"/>
      <c r="W55" s="3"/>
      <c r="X55" s="3"/>
      <c r="Y55" s="3"/>
      <c r="Z55" s="3"/>
    </row>
    <row r="56" spans="1:26" ht="22.5" customHeight="1" x14ac:dyDescent="0.85">
      <c r="A56" s="13" t="s">
        <v>141</v>
      </c>
      <c r="B56" s="150">
        <f>'Energy Data'!F248+'Energy Data'!F256</f>
        <v>6465.787278939345</v>
      </c>
      <c r="C56" s="176" t="s">
        <v>412</v>
      </c>
      <c r="D56" s="177">
        <v>1</v>
      </c>
      <c r="E56" s="178">
        <f>'Energy Data'!F244+'Energy Data'!F251</f>
        <v>62436.400000000009</v>
      </c>
      <c r="F56" s="176" t="s">
        <v>416</v>
      </c>
      <c r="G56" s="147"/>
      <c r="H56" s="147"/>
      <c r="I56" s="147"/>
      <c r="J56" s="147"/>
      <c r="K56" s="3"/>
      <c r="L56" s="3"/>
      <c r="M56" s="3"/>
      <c r="N56" s="3"/>
      <c r="O56" s="3"/>
      <c r="P56" s="3"/>
      <c r="Q56" s="3"/>
      <c r="R56" s="3"/>
      <c r="S56" s="3"/>
      <c r="T56" s="3"/>
      <c r="U56" s="3"/>
      <c r="V56" s="3"/>
      <c r="W56" s="3"/>
      <c r="X56" s="3"/>
      <c r="Y56" s="3"/>
      <c r="Z56" s="3"/>
    </row>
    <row r="57" spans="1:26" ht="22.5" customHeight="1" x14ac:dyDescent="0.85">
      <c r="A57" s="13" t="s">
        <v>142</v>
      </c>
      <c r="B57" s="150">
        <f>'Energy Data'!F265</f>
        <v>22.362445000000001</v>
      </c>
      <c r="C57" s="179" t="s">
        <v>412</v>
      </c>
      <c r="D57" s="180">
        <v>1</v>
      </c>
      <c r="E57" s="178">
        <f>'Energy Data'!F260</f>
        <v>2245</v>
      </c>
      <c r="F57" s="179" t="s">
        <v>417</v>
      </c>
      <c r="G57" s="147"/>
      <c r="H57" s="147"/>
      <c r="I57" s="147"/>
      <c r="J57" s="147"/>
      <c r="K57" s="3"/>
      <c r="L57" s="3"/>
      <c r="M57" s="3"/>
      <c r="N57" s="3"/>
      <c r="O57" s="3"/>
      <c r="P57" s="3"/>
      <c r="Q57" s="3"/>
      <c r="R57" s="3"/>
      <c r="S57" s="3"/>
      <c r="T57" s="3"/>
      <c r="U57" s="3"/>
      <c r="V57" s="3"/>
      <c r="W57" s="3"/>
      <c r="X57" s="3"/>
      <c r="Y57" s="3"/>
      <c r="Z57" s="3"/>
    </row>
    <row r="58" spans="1:26" ht="22.5" customHeight="1" x14ac:dyDescent="0.85">
      <c r="A58" s="181" t="s">
        <v>418</v>
      </c>
      <c r="B58" s="182">
        <f>SUM(B53:B57)</f>
        <v>106512.59806556336</v>
      </c>
      <c r="C58" s="183"/>
      <c r="D58" s="184"/>
      <c r="E58" s="184"/>
      <c r="F58" s="185"/>
      <c r="G58" s="147"/>
      <c r="H58" s="147"/>
      <c r="I58" s="147"/>
      <c r="J58" s="147"/>
      <c r="K58" s="3"/>
      <c r="L58" s="3"/>
      <c r="M58" s="3"/>
      <c r="N58" s="3"/>
      <c r="O58" s="3"/>
      <c r="P58" s="3"/>
      <c r="Q58" s="3"/>
      <c r="R58" s="3"/>
      <c r="S58" s="3"/>
      <c r="T58" s="3"/>
      <c r="U58" s="3"/>
      <c r="V58" s="3"/>
      <c r="W58" s="3"/>
      <c r="X58" s="3"/>
      <c r="Y58" s="3"/>
      <c r="Z58" s="3"/>
    </row>
    <row r="59" spans="1:26" ht="22.5" customHeight="1" x14ac:dyDescent="0.85">
      <c r="A59" s="171" t="s">
        <v>419</v>
      </c>
      <c r="B59" s="172"/>
      <c r="C59" s="172"/>
      <c r="D59" s="172"/>
      <c r="E59" s="172"/>
      <c r="F59" s="173"/>
      <c r="G59" s="147"/>
      <c r="H59" s="147"/>
      <c r="I59" s="147"/>
      <c r="J59" s="147"/>
      <c r="K59" s="3"/>
      <c r="L59" s="3"/>
      <c r="M59" s="3"/>
      <c r="N59" s="3"/>
      <c r="O59" s="3"/>
      <c r="P59" s="3"/>
      <c r="Q59" s="3"/>
      <c r="R59" s="3"/>
      <c r="S59" s="3"/>
      <c r="T59" s="3"/>
      <c r="U59" s="3"/>
      <c r="V59" s="3"/>
      <c r="W59" s="3"/>
      <c r="X59" s="3"/>
      <c r="Y59" s="3"/>
      <c r="Z59" s="3"/>
    </row>
    <row r="60" spans="1:26" ht="22.5" customHeight="1" x14ac:dyDescent="0.85">
      <c r="A60" s="130" t="s">
        <v>409</v>
      </c>
      <c r="B60" s="130" t="s">
        <v>410</v>
      </c>
      <c r="C60" s="174" t="s">
        <v>362</v>
      </c>
      <c r="D60" s="174" t="s">
        <v>117</v>
      </c>
      <c r="E60" s="174" t="s">
        <v>251</v>
      </c>
      <c r="F60" s="174" t="s">
        <v>362</v>
      </c>
      <c r="G60" s="147"/>
      <c r="H60" s="147"/>
      <c r="I60" s="147"/>
      <c r="J60" s="147"/>
      <c r="K60" s="3"/>
      <c r="L60" s="3"/>
      <c r="M60" s="3"/>
      <c r="N60" s="3"/>
      <c r="O60" s="3"/>
      <c r="P60" s="3"/>
      <c r="Q60" s="3"/>
      <c r="R60" s="3"/>
      <c r="S60" s="3"/>
      <c r="T60" s="3"/>
      <c r="U60" s="3"/>
      <c r="V60" s="3"/>
      <c r="W60" s="3"/>
      <c r="X60" s="3"/>
      <c r="Y60" s="3"/>
      <c r="Z60" s="3"/>
    </row>
    <row r="61" spans="1:26" ht="22.5" customHeight="1" x14ac:dyDescent="0.85">
      <c r="A61" s="13" t="s">
        <v>420</v>
      </c>
      <c r="B61" s="150">
        <f>SUM('Energy Data'!F87,'Energy Data'!F140,'Energy Data'!F170,'Energy Data'!F200)</f>
        <v>44414.1579469485</v>
      </c>
      <c r="C61" s="176" t="s">
        <v>412</v>
      </c>
      <c r="D61" s="177">
        <v>2</v>
      </c>
      <c r="E61" s="150">
        <f>'Energy Data'!F83+'Energy Data'!F136+'Energy Data'!F166+'Energy Data'!F196</f>
        <v>164793172.43347982</v>
      </c>
      <c r="F61" s="176" t="s">
        <v>421</v>
      </c>
      <c r="G61" s="147"/>
      <c r="H61" s="147"/>
      <c r="I61" s="147"/>
      <c r="J61" s="147"/>
      <c r="K61" s="3"/>
      <c r="L61" s="3"/>
      <c r="M61" s="3"/>
      <c r="N61" s="3"/>
      <c r="O61" s="3"/>
      <c r="P61" s="3"/>
      <c r="Q61" s="3"/>
      <c r="R61" s="3"/>
      <c r="S61" s="3"/>
      <c r="T61" s="3"/>
      <c r="U61" s="3"/>
      <c r="V61" s="3"/>
      <c r="W61" s="3"/>
      <c r="X61" s="3"/>
      <c r="Y61" s="3"/>
      <c r="Z61" s="3"/>
    </row>
    <row r="62" spans="1:26" ht="22.5" customHeight="1" x14ac:dyDescent="0.85">
      <c r="A62" s="13" t="s">
        <v>422</v>
      </c>
      <c r="B62" s="150">
        <f>SUM('Energy Data'!F78,'Energy Data'!F133,'Energy Data'!F163,'Energy Data'!F193)</f>
        <v>64427.072363185354</v>
      </c>
      <c r="C62" s="176" t="s">
        <v>412</v>
      </c>
      <c r="D62" s="177">
        <v>2</v>
      </c>
      <c r="E62" s="150">
        <f>'Energy Data'!F189+'Energy Data'!F159+'Energy Data'!F129+'Energy Data'!F74</f>
        <v>238073571.12993073</v>
      </c>
      <c r="F62" s="176" t="s">
        <v>421</v>
      </c>
      <c r="G62" s="147"/>
      <c r="H62" s="147"/>
      <c r="I62" s="147"/>
      <c r="J62" s="147"/>
      <c r="K62" s="3"/>
      <c r="L62" s="3"/>
      <c r="M62" s="3"/>
      <c r="N62" s="3"/>
      <c r="O62" s="3"/>
      <c r="P62" s="3"/>
      <c r="Q62" s="3"/>
      <c r="R62" s="3"/>
      <c r="S62" s="3"/>
      <c r="T62" s="3"/>
      <c r="U62" s="3"/>
      <c r="V62" s="3"/>
      <c r="W62" s="3"/>
      <c r="X62" s="3"/>
      <c r="Y62" s="3"/>
      <c r="Z62" s="3"/>
    </row>
    <row r="63" spans="1:26" ht="22.5" customHeight="1" x14ac:dyDescent="0.85">
      <c r="A63" s="13" t="s">
        <v>423</v>
      </c>
      <c r="B63" s="150">
        <f>SUM('Energy Data'!F94,'Energy Data'!F147,'Energy Data'!F177,'Energy Data'!F207)</f>
        <v>10143.191814753449</v>
      </c>
      <c r="C63" s="179" t="s">
        <v>412</v>
      </c>
      <c r="D63" s="180">
        <v>2</v>
      </c>
      <c r="E63" s="150">
        <f>'Energy Data'!F90+'Energy Data'!F143+'Energy Data'!F173+'Energy Data'!F203</f>
        <v>23400546.589728456</v>
      </c>
      <c r="F63" s="179" t="s">
        <v>421</v>
      </c>
      <c r="G63" s="147"/>
      <c r="H63" s="147"/>
      <c r="I63" s="147"/>
      <c r="J63" s="147"/>
      <c r="K63" s="3"/>
      <c r="L63" s="3"/>
      <c r="M63" s="3"/>
      <c r="N63" s="3"/>
      <c r="O63" s="3"/>
      <c r="P63" s="3"/>
      <c r="Q63" s="3"/>
      <c r="R63" s="3"/>
      <c r="S63" s="3"/>
      <c r="T63" s="3"/>
      <c r="U63" s="3"/>
      <c r="V63" s="3"/>
      <c r="W63" s="3"/>
      <c r="X63" s="3"/>
      <c r="Y63" s="3"/>
      <c r="Z63" s="3"/>
    </row>
    <row r="64" spans="1:26" ht="22.5" customHeight="1" x14ac:dyDescent="0.85">
      <c r="A64" s="181" t="s">
        <v>424</v>
      </c>
      <c r="B64" s="182">
        <f>SUM(B61:B63)</f>
        <v>118984.42212488731</v>
      </c>
      <c r="C64" s="183"/>
      <c r="D64" s="184"/>
      <c r="E64" s="184"/>
      <c r="F64" s="185"/>
      <c r="G64" s="147"/>
      <c r="H64" s="147"/>
      <c r="I64" s="147"/>
      <c r="J64" s="147"/>
      <c r="K64" s="3"/>
      <c r="L64" s="3"/>
      <c r="M64" s="3"/>
      <c r="N64" s="3"/>
      <c r="O64" s="3"/>
      <c r="P64" s="3"/>
      <c r="Q64" s="3"/>
      <c r="R64" s="3"/>
      <c r="S64" s="3"/>
      <c r="T64" s="3"/>
      <c r="U64" s="3"/>
      <c r="V64" s="3"/>
      <c r="W64" s="3"/>
      <c r="X64" s="3"/>
      <c r="Y64" s="3"/>
      <c r="Z64" s="3"/>
    </row>
    <row r="65" spans="1:26" ht="22.5" customHeight="1" x14ac:dyDescent="0.85">
      <c r="A65" s="171" t="s">
        <v>425</v>
      </c>
      <c r="B65" s="172"/>
      <c r="C65" s="172"/>
      <c r="D65" s="172"/>
      <c r="E65" s="172"/>
      <c r="F65" s="173"/>
      <c r="G65" s="147"/>
      <c r="H65" s="147"/>
      <c r="I65" s="147"/>
      <c r="J65" s="147"/>
      <c r="K65" s="3"/>
      <c r="L65" s="3"/>
      <c r="M65" s="3"/>
      <c r="N65" s="3"/>
      <c r="O65" s="3"/>
      <c r="P65" s="3"/>
      <c r="Q65" s="3"/>
      <c r="R65" s="3"/>
      <c r="S65" s="3"/>
      <c r="T65" s="3"/>
      <c r="U65" s="3"/>
      <c r="V65" s="3"/>
      <c r="W65" s="3"/>
      <c r="X65" s="3"/>
      <c r="Y65" s="3"/>
      <c r="Z65" s="3"/>
    </row>
    <row r="66" spans="1:26" ht="22.5" customHeight="1" x14ac:dyDescent="0.85">
      <c r="A66" s="130" t="s">
        <v>409</v>
      </c>
      <c r="B66" s="130" t="s">
        <v>410</v>
      </c>
      <c r="C66" s="174" t="s">
        <v>362</v>
      </c>
      <c r="D66" s="174" t="s">
        <v>117</v>
      </c>
      <c r="E66" s="174" t="s">
        <v>251</v>
      </c>
      <c r="F66" s="174" t="s">
        <v>362</v>
      </c>
      <c r="G66" s="147"/>
      <c r="H66" s="147"/>
      <c r="I66" s="147"/>
      <c r="J66" s="147"/>
      <c r="K66" s="3"/>
      <c r="L66" s="3"/>
      <c r="M66" s="3"/>
      <c r="N66" s="3"/>
      <c r="O66" s="3"/>
      <c r="P66" s="3"/>
      <c r="Q66" s="3"/>
      <c r="R66" s="3"/>
      <c r="S66" s="3"/>
      <c r="T66" s="3"/>
      <c r="U66" s="3"/>
      <c r="V66" s="3"/>
      <c r="W66" s="3"/>
      <c r="X66" s="3"/>
      <c r="Y66" s="3"/>
      <c r="Z66" s="3"/>
    </row>
    <row r="67" spans="1:26" ht="22.5" customHeight="1" x14ac:dyDescent="0.85">
      <c r="A67" s="13" t="s">
        <v>426</v>
      </c>
      <c r="B67" s="150">
        <f>'Energy Data'!F8</f>
        <v>3320.1617600930649</v>
      </c>
      <c r="C67" s="176" t="s">
        <v>412</v>
      </c>
      <c r="D67" s="177">
        <v>3</v>
      </c>
      <c r="E67" s="150">
        <f>'Energy Data'!F97+'Energy Data'!F150</f>
        <v>11197629.587885221</v>
      </c>
      <c r="F67" s="176" t="s">
        <v>421</v>
      </c>
      <c r="G67" s="147"/>
      <c r="H67" s="147"/>
      <c r="I67" s="147"/>
      <c r="J67" s="147"/>
      <c r="K67" s="3"/>
      <c r="L67" s="3"/>
      <c r="M67" s="3"/>
      <c r="N67" s="3"/>
      <c r="O67" s="3"/>
      <c r="P67" s="3"/>
      <c r="Q67" s="3"/>
      <c r="R67" s="3"/>
      <c r="S67" s="3"/>
      <c r="T67" s="3"/>
      <c r="U67" s="3"/>
      <c r="V67" s="3"/>
      <c r="W67" s="3"/>
      <c r="X67" s="3"/>
      <c r="Y67" s="3"/>
      <c r="Z67" s="3"/>
    </row>
    <row r="68" spans="1:26" ht="22.5" customHeight="1" x14ac:dyDescent="0.85">
      <c r="A68" s="181" t="s">
        <v>427</v>
      </c>
      <c r="B68" s="182">
        <f>B67</f>
        <v>3320.1617600930649</v>
      </c>
      <c r="C68" s="183"/>
      <c r="D68" s="184"/>
      <c r="E68" s="184"/>
      <c r="F68" s="185"/>
      <c r="G68" s="147"/>
      <c r="H68" s="147"/>
      <c r="I68" s="147"/>
      <c r="J68" s="147"/>
      <c r="K68" s="3"/>
      <c r="L68" s="3"/>
      <c r="M68" s="3"/>
      <c r="N68" s="3"/>
      <c r="O68" s="3"/>
      <c r="P68" s="3"/>
      <c r="Q68" s="3"/>
      <c r="R68" s="3"/>
      <c r="S68" s="3"/>
      <c r="T68" s="3"/>
      <c r="U68" s="3"/>
      <c r="V68" s="3"/>
      <c r="W68" s="3"/>
      <c r="X68" s="3"/>
      <c r="Y68" s="3"/>
      <c r="Z68" s="3"/>
    </row>
    <row r="69" spans="1:26" ht="22.5" customHeight="1" x14ac:dyDescent="0.85">
      <c r="A69" s="171" t="s">
        <v>428</v>
      </c>
      <c r="B69" s="172"/>
      <c r="C69" s="172"/>
      <c r="D69" s="172"/>
      <c r="E69" s="172"/>
      <c r="F69" s="173"/>
      <c r="G69" s="147"/>
      <c r="H69" s="147"/>
      <c r="I69" s="147"/>
      <c r="J69" s="147"/>
      <c r="K69" s="3"/>
      <c r="L69" s="3"/>
      <c r="M69" s="3"/>
      <c r="N69" s="3"/>
      <c r="O69" s="3"/>
      <c r="P69" s="3"/>
      <c r="Q69" s="3"/>
      <c r="R69" s="3"/>
      <c r="S69" s="3"/>
      <c r="T69" s="3"/>
      <c r="U69" s="3"/>
      <c r="V69" s="3"/>
      <c r="W69" s="3"/>
      <c r="X69" s="3"/>
      <c r="Y69" s="3"/>
      <c r="Z69" s="3"/>
    </row>
    <row r="70" spans="1:26" ht="22.5" customHeight="1" x14ac:dyDescent="0.85">
      <c r="A70" s="130" t="s">
        <v>409</v>
      </c>
      <c r="B70" s="130" t="s">
        <v>410</v>
      </c>
      <c r="C70" s="174" t="s">
        <v>362</v>
      </c>
      <c r="D70" s="174" t="s">
        <v>117</v>
      </c>
      <c r="E70" s="174" t="s">
        <v>251</v>
      </c>
      <c r="F70" s="174" t="s">
        <v>362</v>
      </c>
      <c r="G70" s="147"/>
      <c r="H70" s="147"/>
      <c r="I70" s="147"/>
      <c r="J70" s="147"/>
      <c r="K70" s="3"/>
      <c r="L70" s="3"/>
      <c r="M70" s="3"/>
      <c r="N70" s="3"/>
      <c r="O70" s="3"/>
      <c r="P70" s="3"/>
      <c r="Q70" s="3"/>
      <c r="R70" s="3"/>
      <c r="S70" s="3"/>
      <c r="T70" s="3"/>
      <c r="U70" s="3"/>
      <c r="V70" s="3"/>
      <c r="W70" s="3"/>
      <c r="X70" s="3"/>
      <c r="Y70" s="3"/>
      <c r="Z70" s="3"/>
    </row>
    <row r="71" spans="1:26" ht="22.5" customHeight="1" x14ac:dyDescent="0.85">
      <c r="A71" s="175" t="s">
        <v>429</v>
      </c>
      <c r="B71" s="150">
        <f>'Fugitive Emissions Data'!F30</f>
        <v>918.22076546173901</v>
      </c>
      <c r="C71" s="176" t="s">
        <v>412</v>
      </c>
      <c r="D71" s="177">
        <v>1</v>
      </c>
      <c r="E71" s="178">
        <f>'Fugitive Emissions Data'!F24</f>
        <v>5308414.0830000052</v>
      </c>
      <c r="F71" s="176" t="s">
        <v>413</v>
      </c>
      <c r="G71" s="147"/>
      <c r="H71" s="147"/>
      <c r="I71" s="147"/>
      <c r="J71" s="147"/>
      <c r="K71" s="3"/>
      <c r="L71" s="3"/>
      <c r="M71" s="3"/>
      <c r="N71" s="3"/>
      <c r="O71" s="3"/>
      <c r="P71" s="3"/>
      <c r="Q71" s="3"/>
      <c r="R71" s="3"/>
      <c r="S71" s="3"/>
      <c r="T71" s="3"/>
      <c r="U71" s="3"/>
      <c r="V71" s="3"/>
      <c r="W71" s="3"/>
      <c r="X71" s="3"/>
      <c r="Y71" s="3"/>
      <c r="Z71" s="3"/>
    </row>
    <row r="72" spans="1:26" ht="22.5" customHeight="1" x14ac:dyDescent="0.85">
      <c r="A72" s="175" t="s">
        <v>430</v>
      </c>
      <c r="B72" s="150">
        <f>'Fugitive Emissions Data'!F31</f>
        <v>2339.2114313117854</v>
      </c>
      <c r="C72" s="179" t="s">
        <v>412</v>
      </c>
      <c r="D72" s="180">
        <v>1</v>
      </c>
      <c r="E72" s="178">
        <f>'Fugitive Emissions Data'!F25</f>
        <v>13523439.43000002</v>
      </c>
      <c r="F72" s="179" t="s">
        <v>413</v>
      </c>
      <c r="G72" s="147"/>
      <c r="H72" s="147"/>
      <c r="I72" s="147"/>
      <c r="J72" s="147"/>
      <c r="K72" s="3"/>
      <c r="L72" s="3"/>
      <c r="M72" s="3"/>
      <c r="N72" s="3"/>
      <c r="O72" s="3"/>
      <c r="P72" s="3"/>
      <c r="Q72" s="3"/>
      <c r="R72" s="3"/>
      <c r="S72" s="3"/>
      <c r="T72" s="3"/>
      <c r="U72" s="3"/>
      <c r="V72" s="3"/>
      <c r="W72" s="3"/>
      <c r="X72" s="3"/>
      <c r="Y72" s="3"/>
      <c r="Z72" s="3"/>
    </row>
    <row r="73" spans="1:26" ht="22.5" customHeight="1" x14ac:dyDescent="0.85">
      <c r="A73" s="181" t="s">
        <v>431</v>
      </c>
      <c r="B73" s="182">
        <f>SUM(B71:B72)</f>
        <v>3257.4321967735245</v>
      </c>
      <c r="C73" s="183"/>
      <c r="D73" s="184"/>
      <c r="E73" s="184"/>
      <c r="F73" s="185"/>
      <c r="G73" s="147"/>
      <c r="H73" s="147"/>
      <c r="I73" s="147"/>
      <c r="J73" s="147"/>
      <c r="K73" s="3"/>
      <c r="L73" s="3"/>
      <c r="M73" s="3"/>
      <c r="N73" s="3"/>
      <c r="O73" s="3"/>
      <c r="P73" s="3"/>
      <c r="Q73" s="3"/>
      <c r="R73" s="3"/>
      <c r="S73" s="3"/>
      <c r="T73" s="3"/>
      <c r="U73" s="3"/>
      <c r="V73" s="3"/>
      <c r="W73" s="3"/>
      <c r="X73" s="3"/>
      <c r="Y73" s="3"/>
      <c r="Z73" s="3"/>
    </row>
    <row r="74" spans="1:26" ht="22.5" customHeight="1" x14ac:dyDescent="0.85">
      <c r="A74" s="186" t="s">
        <v>432</v>
      </c>
      <c r="B74" s="187">
        <f>SUM(B53,B55,B54,B56,B57,B61,B62,B63,B67,B71,B72)</f>
        <v>232074.61414731725</v>
      </c>
      <c r="C74" s="188"/>
      <c r="D74" s="189"/>
      <c r="E74" s="189"/>
      <c r="F74" s="190"/>
      <c r="G74" s="147"/>
      <c r="H74" s="147"/>
      <c r="I74" s="147"/>
      <c r="J74" s="147"/>
      <c r="K74" s="3"/>
      <c r="L74" s="3"/>
      <c r="M74" s="3"/>
      <c r="N74" s="3"/>
      <c r="O74" s="3"/>
      <c r="P74" s="3"/>
      <c r="Q74" s="3"/>
      <c r="R74" s="3"/>
      <c r="S74" s="3"/>
      <c r="T74" s="3"/>
      <c r="U74" s="3"/>
      <c r="V74" s="3"/>
      <c r="W74" s="3"/>
      <c r="X74" s="3"/>
      <c r="Y74" s="3"/>
      <c r="Z74" s="3"/>
    </row>
    <row r="75" spans="1:26" ht="22.5" customHeight="1" x14ac:dyDescent="0.85">
      <c r="A75" s="191" t="s">
        <v>131</v>
      </c>
      <c r="B75" s="192"/>
      <c r="C75" s="193"/>
      <c r="D75" s="193"/>
      <c r="E75" s="193"/>
      <c r="F75" s="194"/>
      <c r="G75" s="147"/>
      <c r="H75" s="147"/>
      <c r="I75" s="147"/>
      <c r="J75" s="147"/>
      <c r="K75" s="147"/>
      <c r="L75" s="147"/>
      <c r="M75" s="3"/>
      <c r="N75" s="3"/>
      <c r="O75" s="3"/>
      <c r="P75" s="3"/>
      <c r="Q75" s="3"/>
      <c r="R75" s="3"/>
      <c r="S75" s="3"/>
      <c r="T75" s="3"/>
      <c r="U75" s="3"/>
      <c r="V75" s="3"/>
      <c r="W75" s="3"/>
      <c r="X75" s="3"/>
      <c r="Y75" s="3"/>
      <c r="Z75" s="3"/>
    </row>
    <row r="76" spans="1:26" ht="22.5" customHeight="1" x14ac:dyDescent="0.85">
      <c r="A76" s="171" t="s">
        <v>433</v>
      </c>
      <c r="B76" s="172"/>
      <c r="C76" s="172"/>
      <c r="D76" s="172"/>
      <c r="E76" s="172"/>
      <c r="F76" s="173"/>
      <c r="G76" s="147"/>
      <c r="H76" s="147"/>
      <c r="I76" s="147"/>
      <c r="J76" s="147"/>
      <c r="K76" s="3"/>
      <c r="L76" s="3"/>
      <c r="M76" s="3"/>
      <c r="N76" s="3"/>
      <c r="O76" s="3"/>
      <c r="P76" s="3"/>
      <c r="Q76" s="3"/>
      <c r="R76" s="3"/>
      <c r="S76" s="3"/>
      <c r="T76" s="3"/>
      <c r="U76" s="3"/>
      <c r="V76" s="3"/>
      <c r="W76" s="3"/>
      <c r="X76" s="3"/>
      <c r="Y76" s="3"/>
      <c r="Z76" s="3"/>
    </row>
    <row r="77" spans="1:26" ht="22.5" customHeight="1" x14ac:dyDescent="0.85">
      <c r="A77" s="130" t="s">
        <v>409</v>
      </c>
      <c r="B77" s="130" t="s">
        <v>410</v>
      </c>
      <c r="C77" s="174" t="s">
        <v>362</v>
      </c>
      <c r="D77" s="174" t="s">
        <v>117</v>
      </c>
      <c r="E77" s="174" t="s">
        <v>251</v>
      </c>
      <c r="F77" s="174" t="s">
        <v>362</v>
      </c>
      <c r="G77" s="147"/>
      <c r="H77" s="147"/>
      <c r="I77" s="147"/>
      <c r="J77" s="147"/>
      <c r="K77" s="3"/>
      <c r="L77" s="3"/>
      <c r="M77" s="3"/>
      <c r="N77" s="3"/>
      <c r="O77" s="3"/>
      <c r="P77" s="3"/>
      <c r="Q77" s="3"/>
      <c r="R77" s="3"/>
      <c r="S77" s="3"/>
      <c r="T77" s="3"/>
      <c r="U77" s="3"/>
      <c r="V77" s="3"/>
      <c r="W77" s="3"/>
      <c r="X77" s="3"/>
      <c r="Y77" s="3"/>
      <c r="Z77" s="3"/>
    </row>
    <row r="78" spans="1:26" ht="22.5" customHeight="1" x14ac:dyDescent="0.85">
      <c r="A78" s="175" t="s">
        <v>434</v>
      </c>
      <c r="B78" s="150">
        <f>'On-Road Data'!D8</f>
        <v>229053.68304265582</v>
      </c>
      <c r="C78" s="176" t="s">
        <v>412</v>
      </c>
      <c r="D78" s="176">
        <v>1</v>
      </c>
      <c r="E78" s="178">
        <f>'On-Road Data'!C96</f>
        <v>503065562.07709891</v>
      </c>
      <c r="F78" s="176" t="s">
        <v>435</v>
      </c>
      <c r="G78" s="147"/>
      <c r="H78" s="147"/>
      <c r="I78" s="147"/>
      <c r="J78" s="147"/>
      <c r="K78" s="3"/>
      <c r="L78" s="3"/>
      <c r="M78" s="3"/>
      <c r="N78" s="3"/>
      <c r="O78" s="3"/>
      <c r="P78" s="3"/>
      <c r="Q78" s="3"/>
      <c r="R78" s="3"/>
      <c r="S78" s="3"/>
      <c r="T78" s="3"/>
      <c r="U78" s="3"/>
      <c r="V78" s="3"/>
      <c r="W78" s="3"/>
      <c r="X78" s="3"/>
      <c r="Y78" s="3"/>
      <c r="Z78" s="3"/>
    </row>
    <row r="79" spans="1:26" ht="22.5" customHeight="1" x14ac:dyDescent="0.85">
      <c r="A79" s="175" t="s">
        <v>436</v>
      </c>
      <c r="B79" s="150">
        <f>'On-Road Data'!E8</f>
        <v>396.28368689658913</v>
      </c>
      <c r="C79" s="176" t="s">
        <v>412</v>
      </c>
      <c r="D79" s="176">
        <v>2</v>
      </c>
      <c r="E79" s="178">
        <f>'On-Road Data'!E148+'On-Road Data'!F148</f>
        <v>1420048.56</v>
      </c>
      <c r="F79" s="176" t="s">
        <v>421</v>
      </c>
      <c r="G79" s="147"/>
      <c r="H79" s="147"/>
      <c r="I79" s="147"/>
      <c r="J79" s="147"/>
      <c r="K79" s="3"/>
      <c r="L79" s="3"/>
      <c r="M79" s="3"/>
      <c r="N79" s="3"/>
      <c r="O79" s="3"/>
      <c r="P79" s="3"/>
      <c r="Q79" s="3"/>
      <c r="R79" s="3"/>
      <c r="S79" s="3"/>
      <c r="T79" s="3"/>
      <c r="U79" s="3"/>
      <c r="V79" s="3"/>
      <c r="W79" s="3"/>
      <c r="X79" s="3"/>
      <c r="Y79" s="3"/>
      <c r="Z79" s="3"/>
    </row>
    <row r="80" spans="1:26" ht="22.5" customHeight="1" x14ac:dyDescent="0.85">
      <c r="A80" s="175" t="s">
        <v>437</v>
      </c>
      <c r="B80" s="150">
        <f>'On-Road Data'!F8</f>
        <v>10.807516455223976</v>
      </c>
      <c r="C80" s="176" t="s">
        <v>412</v>
      </c>
      <c r="D80" s="176">
        <v>3</v>
      </c>
      <c r="E80" s="178">
        <f>'On-Road Data'!I148</f>
        <v>38727.807090938833</v>
      </c>
      <c r="F80" s="176" t="s">
        <v>421</v>
      </c>
      <c r="G80" s="147"/>
      <c r="H80" s="147"/>
      <c r="I80" s="147"/>
      <c r="J80" s="147"/>
      <c r="K80" s="3"/>
      <c r="L80" s="3"/>
      <c r="M80" s="3"/>
      <c r="N80" s="3"/>
      <c r="O80" s="3"/>
      <c r="P80" s="3"/>
      <c r="Q80" s="3"/>
      <c r="R80" s="3"/>
      <c r="S80" s="3"/>
      <c r="T80" s="3"/>
      <c r="U80" s="3"/>
      <c r="V80" s="3"/>
      <c r="W80" s="3"/>
      <c r="X80" s="3"/>
      <c r="Y80" s="3"/>
      <c r="Z80" s="3"/>
    </row>
    <row r="81" spans="1:26" ht="22.5" customHeight="1" x14ac:dyDescent="0.85">
      <c r="A81" s="171" t="s">
        <v>292</v>
      </c>
      <c r="B81" s="172"/>
      <c r="C81" s="172"/>
      <c r="D81" s="172"/>
      <c r="E81" s="172"/>
      <c r="F81" s="173"/>
      <c r="G81" s="147"/>
      <c r="H81" s="147"/>
      <c r="I81" s="147"/>
      <c r="J81" s="147"/>
      <c r="K81" s="3"/>
      <c r="L81" s="3"/>
      <c r="M81" s="3"/>
      <c r="N81" s="3"/>
      <c r="O81" s="3"/>
      <c r="P81" s="3"/>
      <c r="Q81" s="3"/>
      <c r="R81" s="3"/>
      <c r="S81" s="3"/>
      <c r="T81" s="3"/>
      <c r="U81" s="3"/>
      <c r="V81" s="3"/>
      <c r="W81" s="3"/>
      <c r="X81" s="3"/>
      <c r="Y81" s="3"/>
      <c r="Z81" s="3"/>
    </row>
    <row r="82" spans="1:26" ht="22.5" customHeight="1" x14ac:dyDescent="0.85">
      <c r="A82" s="130" t="s">
        <v>409</v>
      </c>
      <c r="B82" s="130" t="s">
        <v>410</v>
      </c>
      <c r="C82" s="174" t="s">
        <v>362</v>
      </c>
      <c r="D82" s="174" t="s">
        <v>117</v>
      </c>
      <c r="E82" s="174" t="s">
        <v>251</v>
      </c>
      <c r="F82" s="174" t="s">
        <v>362</v>
      </c>
      <c r="G82" s="147"/>
      <c r="H82" s="147"/>
      <c r="I82" s="147"/>
      <c r="J82" s="147"/>
      <c r="K82" s="3"/>
      <c r="L82" s="3"/>
      <c r="M82" s="3"/>
      <c r="N82" s="3"/>
      <c r="O82" s="3"/>
      <c r="P82" s="3"/>
      <c r="Q82" s="3"/>
      <c r="R82" s="3"/>
      <c r="S82" s="3"/>
      <c r="T82" s="3"/>
      <c r="U82" s="3"/>
      <c r="V82" s="3"/>
      <c r="W82" s="3"/>
      <c r="X82" s="3"/>
      <c r="Y82" s="3"/>
      <c r="Z82" s="3"/>
    </row>
    <row r="83" spans="1:26" ht="22.5" customHeight="1" x14ac:dyDescent="0.85">
      <c r="A83" s="175" t="s">
        <v>438</v>
      </c>
      <c r="B83" s="150">
        <f>'Transit Data'!D8</f>
        <v>605.93503775015995</v>
      </c>
      <c r="C83" s="176" t="s">
        <v>412</v>
      </c>
      <c r="D83" s="176">
        <v>1</v>
      </c>
      <c r="E83" s="150">
        <f>SUM('Transit Data'!B56,'Transit Data'!B57)</f>
        <v>68892</v>
      </c>
      <c r="F83" s="176" t="s">
        <v>439</v>
      </c>
      <c r="G83" s="147"/>
      <c r="H83" s="147"/>
      <c r="I83" s="147"/>
      <c r="J83" s="147"/>
      <c r="K83" s="3"/>
      <c r="L83" s="3"/>
      <c r="M83" s="3"/>
      <c r="N83" s="3"/>
      <c r="O83" s="3"/>
      <c r="P83" s="3"/>
      <c r="Q83" s="3"/>
      <c r="R83" s="3"/>
      <c r="S83" s="3"/>
      <c r="T83" s="3"/>
      <c r="U83" s="3"/>
      <c r="V83" s="3"/>
      <c r="W83" s="3"/>
      <c r="X83" s="3"/>
      <c r="Y83" s="3"/>
      <c r="Z83" s="3"/>
    </row>
    <row r="84" spans="1:26" ht="22.5" customHeight="1" x14ac:dyDescent="0.85">
      <c r="A84" s="175" t="s">
        <v>440</v>
      </c>
      <c r="B84" s="150">
        <f>'Transit Data'!E8</f>
        <v>0</v>
      </c>
      <c r="C84" s="176" t="s">
        <v>412</v>
      </c>
      <c r="D84" s="176">
        <v>2</v>
      </c>
      <c r="E84" s="150">
        <v>0</v>
      </c>
      <c r="F84" s="176" t="s">
        <v>421</v>
      </c>
      <c r="G84" s="147"/>
      <c r="H84" s="147"/>
      <c r="I84" s="147"/>
      <c r="J84" s="147"/>
      <c r="K84" s="3"/>
      <c r="L84" s="3"/>
      <c r="M84" s="3"/>
      <c r="N84" s="3"/>
      <c r="O84" s="3"/>
      <c r="P84" s="3"/>
      <c r="Q84" s="3"/>
      <c r="R84" s="3"/>
      <c r="S84" s="3"/>
      <c r="T84" s="3"/>
      <c r="U84" s="3"/>
      <c r="V84" s="3"/>
      <c r="W84" s="3"/>
      <c r="X84" s="3"/>
      <c r="Y84" s="3"/>
      <c r="Z84" s="3"/>
    </row>
    <row r="85" spans="1:26" ht="22.5" customHeight="1" x14ac:dyDescent="0.85">
      <c r="A85" s="171" t="s">
        <v>299</v>
      </c>
      <c r="B85" s="172"/>
      <c r="C85" s="172"/>
      <c r="D85" s="172"/>
      <c r="E85" s="172"/>
      <c r="F85" s="173"/>
      <c r="G85" s="147"/>
      <c r="H85" s="147"/>
      <c r="I85" s="147"/>
      <c r="J85" s="147"/>
      <c r="K85" s="3"/>
      <c r="L85" s="3"/>
      <c r="M85" s="3"/>
      <c r="N85" s="3"/>
      <c r="O85" s="3"/>
      <c r="P85" s="3"/>
      <c r="Q85" s="3"/>
      <c r="R85" s="3"/>
      <c r="S85" s="3"/>
      <c r="T85" s="3"/>
      <c r="U85" s="3"/>
      <c r="V85" s="3"/>
      <c r="W85" s="3"/>
      <c r="X85" s="3"/>
      <c r="Y85" s="3"/>
      <c r="Z85" s="3"/>
    </row>
    <row r="86" spans="1:26" ht="22.5" customHeight="1" x14ac:dyDescent="0.85">
      <c r="A86" s="130" t="s">
        <v>409</v>
      </c>
      <c r="B86" s="130" t="s">
        <v>410</v>
      </c>
      <c r="C86" s="174" t="s">
        <v>362</v>
      </c>
      <c r="D86" s="174" t="s">
        <v>117</v>
      </c>
      <c r="E86" s="174" t="s">
        <v>251</v>
      </c>
      <c r="F86" s="174" t="s">
        <v>362</v>
      </c>
      <c r="G86" s="147"/>
      <c r="H86" s="147"/>
      <c r="I86" s="147"/>
      <c r="J86" s="147"/>
      <c r="K86" s="3"/>
      <c r="L86" s="3"/>
      <c r="M86" s="3"/>
      <c r="N86" s="3"/>
      <c r="O86" s="3"/>
      <c r="P86" s="3"/>
      <c r="Q86" s="3"/>
      <c r="R86" s="3"/>
      <c r="S86" s="3"/>
      <c r="T86" s="3"/>
      <c r="U86" s="3"/>
      <c r="V86" s="3"/>
      <c r="W86" s="3"/>
      <c r="X86" s="3"/>
      <c r="Y86" s="3"/>
      <c r="Z86" s="3"/>
    </row>
    <row r="87" spans="1:26" ht="22.5" customHeight="1" x14ac:dyDescent="0.85">
      <c r="A87" s="175" t="s">
        <v>150</v>
      </c>
      <c r="B87" s="150">
        <f>'Aviation Data'!D8</f>
        <v>0</v>
      </c>
      <c r="C87" s="176" t="s">
        <v>412</v>
      </c>
      <c r="D87" s="177">
        <v>1</v>
      </c>
      <c r="E87" s="150">
        <v>0</v>
      </c>
      <c r="F87" s="176" t="s">
        <v>442</v>
      </c>
      <c r="G87" s="147"/>
      <c r="H87" s="147"/>
      <c r="I87" s="147"/>
      <c r="J87" s="147"/>
      <c r="K87" s="3"/>
      <c r="L87" s="3"/>
      <c r="M87" s="3"/>
      <c r="N87" s="3"/>
      <c r="O87" s="3"/>
      <c r="P87" s="3"/>
      <c r="Q87" s="3"/>
      <c r="R87" s="3"/>
      <c r="S87" s="3"/>
      <c r="T87" s="3"/>
      <c r="U87" s="3"/>
      <c r="V87" s="3"/>
      <c r="W87" s="3"/>
      <c r="X87" s="3"/>
      <c r="Y87" s="3"/>
      <c r="Z87" s="3"/>
    </row>
    <row r="88" spans="1:26" ht="22.5" customHeight="1" x14ac:dyDescent="0.85">
      <c r="A88" s="175" t="s">
        <v>151</v>
      </c>
      <c r="B88" s="150">
        <f>'Aviation Data'!F8</f>
        <v>0</v>
      </c>
      <c r="C88" s="176" t="s">
        <v>412</v>
      </c>
      <c r="D88" s="177">
        <v>3</v>
      </c>
      <c r="E88" s="150">
        <v>0</v>
      </c>
      <c r="F88" s="176" t="s">
        <v>443</v>
      </c>
      <c r="G88" s="147"/>
      <c r="H88" s="147"/>
      <c r="I88" s="147"/>
      <c r="J88" s="147"/>
      <c r="K88" s="3"/>
      <c r="L88" s="3"/>
      <c r="M88" s="3"/>
      <c r="N88" s="3"/>
      <c r="O88" s="3"/>
      <c r="P88" s="3"/>
      <c r="Q88" s="3"/>
      <c r="R88" s="3"/>
      <c r="S88" s="3"/>
      <c r="T88" s="3"/>
      <c r="U88" s="3"/>
      <c r="V88" s="3"/>
      <c r="W88" s="3"/>
      <c r="X88" s="3"/>
      <c r="Y88" s="3"/>
      <c r="Z88" s="3"/>
    </row>
    <row r="89" spans="1:26" ht="22.5" customHeight="1" x14ac:dyDescent="0.85">
      <c r="A89" s="171" t="s">
        <v>152</v>
      </c>
      <c r="B89" s="172"/>
      <c r="C89" s="172"/>
      <c r="D89" s="172"/>
      <c r="E89" s="172"/>
      <c r="F89" s="173"/>
      <c r="G89" s="147"/>
      <c r="H89" s="147"/>
      <c r="I89" s="147"/>
      <c r="J89" s="147"/>
      <c r="K89" s="3"/>
      <c r="L89" s="3"/>
      <c r="M89" s="3"/>
      <c r="N89" s="3"/>
      <c r="O89" s="3"/>
      <c r="P89" s="3"/>
      <c r="Q89" s="3"/>
      <c r="R89" s="3"/>
      <c r="S89" s="3"/>
      <c r="T89" s="3"/>
      <c r="U89" s="3"/>
      <c r="V89" s="3"/>
      <c r="W89" s="3"/>
      <c r="X89" s="3"/>
      <c r="Y89" s="3"/>
      <c r="Z89" s="3"/>
    </row>
    <row r="90" spans="1:26" ht="22.5" customHeight="1" x14ac:dyDescent="0.85">
      <c r="A90" s="130" t="s">
        <v>409</v>
      </c>
      <c r="B90" s="130" t="s">
        <v>410</v>
      </c>
      <c r="C90" s="174" t="s">
        <v>362</v>
      </c>
      <c r="D90" s="174" t="s">
        <v>117</v>
      </c>
      <c r="E90" s="174" t="s">
        <v>251</v>
      </c>
      <c r="F90" s="174" t="s">
        <v>362</v>
      </c>
      <c r="G90" s="147"/>
      <c r="H90" s="147"/>
      <c r="I90" s="147"/>
      <c r="J90" s="147"/>
      <c r="K90" s="3"/>
      <c r="L90" s="3"/>
      <c r="M90" s="3"/>
      <c r="N90" s="3"/>
      <c r="O90" s="3"/>
      <c r="P90" s="3"/>
      <c r="Q90" s="3"/>
      <c r="R90" s="3"/>
      <c r="S90" s="3"/>
      <c r="T90" s="3"/>
      <c r="U90" s="3"/>
      <c r="V90" s="3"/>
      <c r="W90" s="3"/>
      <c r="X90" s="3"/>
      <c r="Y90" s="3"/>
      <c r="Z90" s="3"/>
    </row>
    <row r="91" spans="1:26" ht="22.5" customHeight="1" x14ac:dyDescent="0.85">
      <c r="A91" s="175" t="s">
        <v>444</v>
      </c>
      <c r="B91" s="150">
        <f>'Off-Road Data'!B8</f>
        <v>19166.497934357136</v>
      </c>
      <c r="C91" s="176" t="s">
        <v>412</v>
      </c>
      <c r="D91" s="177">
        <v>1</v>
      </c>
      <c r="E91" s="176" t="s">
        <v>106</v>
      </c>
      <c r="F91" s="176" t="s">
        <v>106</v>
      </c>
      <c r="G91" s="147"/>
      <c r="H91" s="147"/>
      <c r="I91" s="147"/>
      <c r="J91" s="147"/>
      <c r="K91" s="3"/>
      <c r="L91" s="3"/>
      <c r="M91" s="3"/>
      <c r="N91" s="3"/>
      <c r="O91" s="3"/>
      <c r="P91" s="3"/>
      <c r="Q91" s="3"/>
      <c r="R91" s="3"/>
      <c r="S91" s="3"/>
      <c r="T91" s="3"/>
      <c r="U91" s="3"/>
      <c r="V91" s="3"/>
      <c r="W91" s="3"/>
      <c r="X91" s="3"/>
      <c r="Y91" s="3"/>
      <c r="Z91" s="3"/>
    </row>
    <row r="92" spans="1:26" ht="22.5" customHeight="1" x14ac:dyDescent="0.85">
      <c r="A92" s="171" t="s">
        <v>153</v>
      </c>
      <c r="B92" s="172"/>
      <c r="C92" s="172"/>
      <c r="D92" s="172"/>
      <c r="E92" s="172"/>
      <c r="F92" s="173"/>
      <c r="G92" s="147"/>
      <c r="H92" s="147"/>
      <c r="I92" s="147"/>
      <c r="J92" s="147"/>
      <c r="K92" s="3"/>
      <c r="L92" s="3"/>
      <c r="M92" s="3"/>
      <c r="N92" s="3"/>
      <c r="O92" s="3"/>
      <c r="P92" s="3"/>
      <c r="Q92" s="3"/>
      <c r="R92" s="3"/>
      <c r="S92" s="3"/>
      <c r="T92" s="3"/>
      <c r="U92" s="3"/>
      <c r="V92" s="3"/>
      <c r="W92" s="3"/>
      <c r="X92" s="3"/>
      <c r="Y92" s="3"/>
      <c r="Z92" s="3"/>
    </row>
    <row r="93" spans="1:26" ht="22.5" customHeight="1" x14ac:dyDescent="0.85">
      <c r="A93" s="130" t="s">
        <v>409</v>
      </c>
      <c r="B93" s="130" t="s">
        <v>410</v>
      </c>
      <c r="C93" s="174" t="s">
        <v>362</v>
      </c>
      <c r="D93" s="174" t="s">
        <v>117</v>
      </c>
      <c r="E93" s="174" t="s">
        <v>251</v>
      </c>
      <c r="F93" s="174" t="s">
        <v>362</v>
      </c>
      <c r="G93" s="147"/>
      <c r="H93" s="147"/>
      <c r="I93" s="147"/>
      <c r="J93" s="147"/>
      <c r="K93" s="3"/>
      <c r="L93" s="3"/>
      <c r="M93" s="3"/>
      <c r="N93" s="3"/>
      <c r="O93" s="3"/>
      <c r="P93" s="3"/>
      <c r="Q93" s="3"/>
      <c r="R93" s="3"/>
      <c r="S93" s="3"/>
      <c r="T93" s="3"/>
      <c r="U93" s="3"/>
      <c r="V93" s="3"/>
      <c r="W93" s="3"/>
      <c r="X93" s="3"/>
      <c r="Y93" s="3"/>
      <c r="Z93" s="3"/>
    </row>
    <row r="94" spans="1:26" ht="22.5" customHeight="1" x14ac:dyDescent="0.85">
      <c r="A94" s="175" t="s">
        <v>445</v>
      </c>
      <c r="B94" s="150">
        <f>'Railways Data'!B8</f>
        <v>108855.96252305277</v>
      </c>
      <c r="C94" s="176" t="s">
        <v>412</v>
      </c>
      <c r="D94" s="176">
        <v>1</v>
      </c>
      <c r="E94" s="176" t="s">
        <v>106</v>
      </c>
      <c r="F94" s="176" t="s">
        <v>106</v>
      </c>
      <c r="G94" s="147"/>
      <c r="H94" s="147"/>
      <c r="I94" s="147"/>
      <c r="J94" s="147"/>
      <c r="K94" s="3"/>
      <c r="L94" s="3"/>
      <c r="M94" s="3"/>
      <c r="N94" s="3"/>
      <c r="O94" s="3"/>
      <c r="P94" s="3"/>
      <c r="Q94" s="3"/>
      <c r="R94" s="3"/>
      <c r="S94" s="3"/>
      <c r="T94" s="3"/>
      <c r="U94" s="3"/>
      <c r="V94" s="3"/>
      <c r="W94" s="3"/>
      <c r="X94" s="3"/>
      <c r="Y94" s="3"/>
      <c r="Z94" s="3"/>
    </row>
    <row r="95" spans="1:26" ht="22.5" customHeight="1" x14ac:dyDescent="0.85">
      <c r="A95" s="197" t="s">
        <v>446</v>
      </c>
      <c r="B95" s="198">
        <f>SUM(B78,B79,B80,B83,B84,B87,B88,B94,B91)</f>
        <v>358089.16974116769</v>
      </c>
      <c r="C95" s="199"/>
      <c r="D95" s="200"/>
      <c r="E95" s="200"/>
      <c r="F95" s="201"/>
      <c r="G95" s="147"/>
      <c r="H95" s="147"/>
      <c r="I95" s="147"/>
      <c r="J95" s="147"/>
      <c r="K95" s="3"/>
      <c r="L95" s="3"/>
      <c r="M95" s="3"/>
      <c r="N95" s="3"/>
      <c r="O95" s="3"/>
      <c r="P95" s="3"/>
      <c r="Q95" s="3"/>
      <c r="R95" s="3"/>
      <c r="S95" s="3"/>
      <c r="T95" s="3"/>
      <c r="U95" s="3"/>
      <c r="V95" s="3"/>
      <c r="W95" s="3"/>
      <c r="X95" s="3"/>
      <c r="Y95" s="3"/>
      <c r="Z95" s="3"/>
    </row>
    <row r="96" spans="1:26" ht="22.5" customHeight="1" x14ac:dyDescent="0.85">
      <c r="A96" s="168" t="s">
        <v>329</v>
      </c>
      <c r="B96" s="169"/>
      <c r="C96" s="202"/>
      <c r="D96" s="202"/>
      <c r="E96" s="202"/>
      <c r="F96" s="203"/>
      <c r="G96" s="147"/>
      <c r="H96" s="147"/>
      <c r="I96" s="147"/>
      <c r="J96" s="147"/>
      <c r="K96" s="147"/>
      <c r="L96" s="147"/>
      <c r="M96" s="3"/>
      <c r="N96" s="3"/>
      <c r="O96" s="3"/>
      <c r="P96" s="3"/>
      <c r="Q96" s="3"/>
      <c r="R96" s="3"/>
      <c r="S96" s="3"/>
      <c r="T96" s="3"/>
      <c r="U96" s="3"/>
      <c r="V96" s="3"/>
      <c r="W96" s="3"/>
      <c r="X96" s="3"/>
      <c r="Y96" s="3"/>
      <c r="Z96" s="3"/>
    </row>
    <row r="97" spans="1:26" ht="22.5" customHeight="1" x14ac:dyDescent="0.85">
      <c r="A97" s="171" t="s">
        <v>447</v>
      </c>
      <c r="B97" s="172"/>
      <c r="C97" s="172"/>
      <c r="D97" s="172"/>
      <c r="E97" s="172"/>
      <c r="F97" s="173"/>
      <c r="G97" s="147"/>
      <c r="H97" s="147"/>
      <c r="I97" s="147"/>
      <c r="J97" s="147"/>
      <c r="K97" s="3"/>
      <c r="L97" s="3"/>
      <c r="M97" s="3"/>
      <c r="N97" s="3"/>
      <c r="O97" s="3"/>
      <c r="P97" s="3"/>
      <c r="Q97" s="3"/>
      <c r="R97" s="3"/>
      <c r="S97" s="3"/>
      <c r="T97" s="3"/>
      <c r="U97" s="3"/>
      <c r="V97" s="3"/>
      <c r="W97" s="3"/>
      <c r="X97" s="3"/>
      <c r="Y97" s="3"/>
      <c r="Z97" s="3"/>
    </row>
    <row r="98" spans="1:26" ht="22.5" customHeight="1" x14ac:dyDescent="0.85">
      <c r="A98" s="148" t="s">
        <v>409</v>
      </c>
      <c r="B98" s="148" t="s">
        <v>410</v>
      </c>
      <c r="C98" s="204" t="s">
        <v>362</v>
      </c>
      <c r="D98" s="204" t="s">
        <v>117</v>
      </c>
      <c r="E98" s="204" t="s">
        <v>251</v>
      </c>
      <c r="F98" s="204" t="s">
        <v>362</v>
      </c>
      <c r="G98" s="147"/>
      <c r="H98" s="147"/>
      <c r="I98" s="147"/>
      <c r="J98" s="147"/>
      <c r="K98" s="3"/>
      <c r="L98" s="3"/>
      <c r="M98" s="3"/>
      <c r="N98" s="3"/>
      <c r="O98" s="3"/>
      <c r="P98" s="3"/>
      <c r="Q98" s="3"/>
      <c r="R98" s="3"/>
      <c r="S98" s="3"/>
      <c r="T98" s="3"/>
      <c r="U98" s="3"/>
      <c r="V98" s="3"/>
      <c r="W98" s="3"/>
      <c r="X98" s="3"/>
      <c r="Y98" s="3"/>
      <c r="Z98" s="3"/>
    </row>
    <row r="99" spans="1:26" ht="22.5" customHeight="1" x14ac:dyDescent="0.85">
      <c r="A99" s="175" t="s">
        <v>448</v>
      </c>
      <c r="B99" s="150">
        <f>'Waste_Recycling Data'!G80</f>
        <v>0</v>
      </c>
      <c r="C99" s="176" t="s">
        <v>412</v>
      </c>
      <c r="D99" s="176">
        <v>1</v>
      </c>
      <c r="E99" s="176">
        <v>0</v>
      </c>
      <c r="F99" s="176" t="s">
        <v>449</v>
      </c>
      <c r="G99" s="147"/>
      <c r="H99" s="147"/>
      <c r="I99" s="147"/>
      <c r="J99" s="147"/>
      <c r="K99" s="3"/>
      <c r="L99" s="3"/>
      <c r="M99" s="3"/>
      <c r="N99" s="3"/>
      <c r="O99" s="3"/>
      <c r="P99" s="3"/>
      <c r="Q99" s="3"/>
      <c r="R99" s="3"/>
      <c r="S99" s="3"/>
      <c r="T99" s="3"/>
      <c r="U99" s="3"/>
      <c r="V99" s="3"/>
      <c r="W99" s="3"/>
      <c r="X99" s="3"/>
      <c r="Y99" s="3"/>
      <c r="Z99" s="3"/>
    </row>
    <row r="100" spans="1:26" ht="22.5" customHeight="1" x14ac:dyDescent="0.85">
      <c r="A100" s="175" t="s">
        <v>450</v>
      </c>
      <c r="B100" s="150">
        <f>'Waste_Recycling Data'!G81</f>
        <v>0</v>
      </c>
      <c r="C100" s="176" t="s">
        <v>412</v>
      </c>
      <c r="D100" s="176">
        <v>3</v>
      </c>
      <c r="E100" s="176">
        <v>0</v>
      </c>
      <c r="F100" s="176" t="s">
        <v>449</v>
      </c>
      <c r="G100" s="147"/>
      <c r="H100" s="147"/>
      <c r="I100" s="147"/>
      <c r="J100" s="147"/>
      <c r="K100" s="3"/>
      <c r="L100" s="3"/>
      <c r="M100" s="3"/>
      <c r="N100" s="3"/>
      <c r="O100" s="3"/>
      <c r="P100" s="3"/>
      <c r="Q100" s="3"/>
      <c r="R100" s="3"/>
      <c r="S100" s="3"/>
      <c r="T100" s="3"/>
      <c r="U100" s="3"/>
      <c r="V100" s="3"/>
      <c r="W100" s="3"/>
      <c r="X100" s="3"/>
      <c r="Y100" s="3"/>
      <c r="Z100" s="3"/>
    </row>
    <row r="101" spans="1:26" ht="22.5" customHeight="1" x14ac:dyDescent="0.85">
      <c r="A101" s="175" t="s">
        <v>451</v>
      </c>
      <c r="B101" s="150">
        <f>'Waste_Recycling Data'!G82</f>
        <v>0</v>
      </c>
      <c r="C101" s="176" t="s">
        <v>412</v>
      </c>
      <c r="D101" s="176">
        <v>1</v>
      </c>
      <c r="E101" s="176">
        <v>0</v>
      </c>
      <c r="F101" s="176" t="s">
        <v>449</v>
      </c>
      <c r="G101" s="147"/>
      <c r="H101" s="147"/>
      <c r="I101" s="147"/>
      <c r="J101" s="147"/>
      <c r="K101" s="3"/>
      <c r="L101" s="3"/>
      <c r="M101" s="3"/>
      <c r="N101" s="3"/>
      <c r="O101" s="3"/>
      <c r="P101" s="3"/>
      <c r="Q101" s="3"/>
      <c r="R101" s="3"/>
      <c r="S101" s="3"/>
      <c r="T101" s="3"/>
      <c r="U101" s="3"/>
      <c r="V101" s="3"/>
      <c r="W101" s="3"/>
      <c r="X101" s="3"/>
      <c r="Y101" s="3"/>
      <c r="Z101" s="3"/>
    </row>
    <row r="102" spans="1:26" ht="22.5" customHeight="1" x14ac:dyDescent="0.85">
      <c r="A102" s="175" t="s">
        <v>452</v>
      </c>
      <c r="B102" s="150">
        <f>'Waste_Recycling Data'!G83</f>
        <v>0</v>
      </c>
      <c r="C102" s="179" t="s">
        <v>412</v>
      </c>
      <c r="D102" s="179">
        <v>3</v>
      </c>
      <c r="E102" s="176">
        <v>0</v>
      </c>
      <c r="F102" s="179" t="s">
        <v>449</v>
      </c>
      <c r="G102" s="147"/>
      <c r="H102" s="147"/>
      <c r="I102" s="147"/>
      <c r="J102" s="147"/>
      <c r="K102" s="3"/>
      <c r="L102" s="3"/>
      <c r="M102" s="3"/>
      <c r="N102" s="3"/>
      <c r="O102" s="3"/>
      <c r="P102" s="3"/>
      <c r="Q102" s="3"/>
      <c r="R102" s="3"/>
      <c r="S102" s="3"/>
      <c r="T102" s="3"/>
      <c r="U102" s="3"/>
      <c r="V102" s="3"/>
      <c r="W102" s="3"/>
      <c r="X102" s="3"/>
      <c r="Y102" s="3"/>
      <c r="Z102" s="3"/>
    </row>
    <row r="103" spans="1:26" ht="22.5" customHeight="1" x14ac:dyDescent="0.85">
      <c r="A103" s="181" t="s">
        <v>453</v>
      </c>
      <c r="B103" s="182">
        <f>SUM(B99:B102)</f>
        <v>0</v>
      </c>
      <c r="C103" s="183"/>
      <c r="D103" s="184"/>
      <c r="E103" s="184"/>
      <c r="F103" s="185"/>
      <c r="G103" s="147"/>
      <c r="H103" s="147"/>
      <c r="I103" s="147"/>
      <c r="J103" s="147"/>
      <c r="K103" s="3"/>
      <c r="L103" s="3"/>
      <c r="M103" s="3"/>
      <c r="N103" s="3"/>
      <c r="O103" s="3"/>
      <c r="P103" s="3"/>
      <c r="Q103" s="3"/>
      <c r="R103" s="3"/>
      <c r="S103" s="3"/>
      <c r="T103" s="3"/>
      <c r="U103" s="3"/>
      <c r="V103" s="3"/>
      <c r="W103" s="3"/>
      <c r="X103" s="3"/>
      <c r="Y103" s="3"/>
      <c r="Z103" s="3"/>
    </row>
    <row r="104" spans="1:26" ht="22.5" customHeight="1" x14ac:dyDescent="0.85">
      <c r="A104" s="171" t="s">
        <v>454</v>
      </c>
      <c r="B104" s="172"/>
      <c r="C104" s="172"/>
      <c r="D104" s="172"/>
      <c r="E104" s="172"/>
      <c r="F104" s="173"/>
      <c r="G104" s="147"/>
      <c r="H104" s="147"/>
      <c r="I104" s="147"/>
      <c r="J104" s="147"/>
      <c r="K104" s="3"/>
      <c r="L104" s="3"/>
      <c r="M104" s="3"/>
      <c r="N104" s="3"/>
      <c r="O104" s="3"/>
      <c r="P104" s="3"/>
      <c r="Q104" s="3"/>
      <c r="R104" s="3"/>
      <c r="S104" s="3"/>
      <c r="T104" s="3"/>
      <c r="U104" s="3"/>
      <c r="V104" s="3"/>
      <c r="W104" s="3"/>
      <c r="X104" s="3"/>
      <c r="Y104" s="3"/>
      <c r="Z104" s="3"/>
    </row>
    <row r="105" spans="1:26" ht="22.5" customHeight="1" x14ac:dyDescent="0.85">
      <c r="A105" s="130" t="s">
        <v>409</v>
      </c>
      <c r="B105" s="130" t="s">
        <v>410</v>
      </c>
      <c r="C105" s="174" t="s">
        <v>362</v>
      </c>
      <c r="D105" s="174" t="s">
        <v>117</v>
      </c>
      <c r="E105" s="174" t="s">
        <v>251</v>
      </c>
      <c r="F105" s="174" t="s">
        <v>362</v>
      </c>
      <c r="G105" s="147"/>
      <c r="H105" s="147"/>
      <c r="I105" s="147"/>
      <c r="J105" s="147"/>
      <c r="K105" s="3"/>
      <c r="L105" s="3"/>
      <c r="M105" s="3"/>
      <c r="N105" s="3"/>
      <c r="O105" s="3"/>
      <c r="P105" s="3"/>
      <c r="Q105" s="3"/>
      <c r="R105" s="3"/>
      <c r="S105" s="3"/>
      <c r="T105" s="3"/>
      <c r="U105" s="3"/>
      <c r="V105" s="3"/>
      <c r="W105" s="3"/>
      <c r="X105" s="3"/>
      <c r="Y105" s="3"/>
      <c r="Z105" s="3"/>
    </row>
    <row r="106" spans="1:26" ht="22.5" customHeight="1" x14ac:dyDescent="0.85">
      <c r="A106" s="175" t="s">
        <v>491</v>
      </c>
      <c r="B106" s="150">
        <f>'Wastewater Data'!B8</f>
        <v>0</v>
      </c>
      <c r="C106" s="176" t="s">
        <v>412</v>
      </c>
      <c r="D106" s="176">
        <v>1</v>
      </c>
      <c r="E106" s="177">
        <v>0</v>
      </c>
      <c r="F106" s="176" t="s">
        <v>32</v>
      </c>
      <c r="G106" s="147"/>
      <c r="H106" s="147"/>
      <c r="I106" s="147"/>
      <c r="J106" s="147"/>
      <c r="K106" s="3"/>
      <c r="L106" s="3"/>
      <c r="M106" s="3"/>
      <c r="N106" s="3"/>
      <c r="O106" s="3"/>
      <c r="P106" s="3"/>
      <c r="Q106" s="3"/>
      <c r="R106" s="3"/>
      <c r="S106" s="3"/>
      <c r="T106" s="3"/>
      <c r="U106" s="3"/>
      <c r="V106" s="3"/>
      <c r="W106" s="3"/>
      <c r="X106" s="3"/>
      <c r="Y106" s="3"/>
      <c r="Z106" s="3"/>
    </row>
    <row r="107" spans="1:26" ht="22.5" customHeight="1" x14ac:dyDescent="0.85">
      <c r="A107" s="175" t="s">
        <v>456</v>
      </c>
      <c r="B107" s="150">
        <f>'Wastewater Data'!C8</f>
        <v>9486.4670208000007</v>
      </c>
      <c r="C107" s="179" t="s">
        <v>412</v>
      </c>
      <c r="D107" s="179">
        <v>1</v>
      </c>
      <c r="E107" s="180">
        <v>0</v>
      </c>
      <c r="F107" s="179" t="s">
        <v>32</v>
      </c>
      <c r="G107" s="147"/>
      <c r="H107" s="147"/>
      <c r="I107" s="147"/>
      <c r="J107" s="147"/>
      <c r="K107" s="3"/>
      <c r="L107" s="3"/>
      <c r="M107" s="3"/>
      <c r="N107" s="3"/>
      <c r="O107" s="3"/>
      <c r="P107" s="3"/>
      <c r="Q107" s="3"/>
      <c r="R107" s="3"/>
      <c r="S107" s="3"/>
      <c r="T107" s="3"/>
      <c r="U107" s="3"/>
      <c r="V107" s="3"/>
      <c r="W107" s="3"/>
      <c r="X107" s="3"/>
      <c r="Y107" s="3"/>
      <c r="Z107" s="3"/>
    </row>
    <row r="108" spans="1:26" ht="22.5" customHeight="1" x14ac:dyDescent="0.85">
      <c r="A108" s="181" t="s">
        <v>457</v>
      </c>
      <c r="B108" s="182">
        <f>SUM(B106:B107)</f>
        <v>9486.4670208000007</v>
      </c>
      <c r="C108" s="183"/>
      <c r="D108" s="184"/>
      <c r="E108" s="184"/>
      <c r="F108" s="185"/>
      <c r="G108" s="147"/>
      <c r="H108" s="147"/>
      <c r="I108" s="147"/>
      <c r="J108" s="147"/>
      <c r="K108" s="3"/>
      <c r="L108" s="3"/>
      <c r="M108" s="3"/>
      <c r="N108" s="3"/>
      <c r="O108" s="3"/>
      <c r="P108" s="3"/>
      <c r="Q108" s="3"/>
      <c r="R108" s="3"/>
      <c r="S108" s="3"/>
      <c r="T108" s="3"/>
      <c r="U108" s="3"/>
      <c r="V108" s="3"/>
      <c r="W108" s="3"/>
      <c r="X108" s="3"/>
      <c r="Y108" s="3"/>
      <c r="Z108" s="3"/>
    </row>
    <row r="109" spans="1:26" ht="22.5" customHeight="1" x14ac:dyDescent="0.85">
      <c r="A109" s="186" t="s">
        <v>453</v>
      </c>
      <c r="B109" s="187">
        <f>SUM(B103+B108)</f>
        <v>9486.4670208000007</v>
      </c>
      <c r="C109" s="188"/>
      <c r="D109" s="189"/>
      <c r="E109" s="189"/>
      <c r="F109" s="190"/>
      <c r="G109" s="147"/>
      <c r="H109" s="147"/>
      <c r="I109" s="147"/>
      <c r="J109" s="147"/>
      <c r="K109" s="3"/>
      <c r="L109" s="3"/>
      <c r="M109" s="3"/>
      <c r="N109" s="3"/>
      <c r="O109" s="3"/>
      <c r="P109" s="3"/>
      <c r="Q109" s="3"/>
      <c r="R109" s="3"/>
      <c r="S109" s="3"/>
      <c r="T109" s="3"/>
      <c r="U109" s="3"/>
      <c r="V109" s="3"/>
      <c r="W109" s="3"/>
      <c r="X109" s="3"/>
      <c r="Y109" s="3"/>
      <c r="Z109" s="3"/>
    </row>
    <row r="110" spans="1:26" ht="22.5" customHeight="1" x14ac:dyDescent="0.85">
      <c r="A110" s="205" t="s">
        <v>458</v>
      </c>
      <c r="B110" s="169"/>
      <c r="C110" s="202"/>
      <c r="D110" s="202"/>
      <c r="E110" s="202"/>
      <c r="F110" s="203"/>
      <c r="G110" s="147"/>
      <c r="H110" s="147"/>
      <c r="I110" s="147"/>
      <c r="J110" s="147"/>
      <c r="K110" s="147"/>
      <c r="L110" s="147"/>
      <c r="M110" s="3"/>
      <c r="N110" s="3"/>
      <c r="O110" s="3"/>
      <c r="P110" s="3"/>
      <c r="Q110" s="3"/>
      <c r="R110" s="3"/>
      <c r="S110" s="3"/>
      <c r="T110" s="3"/>
      <c r="U110" s="3"/>
      <c r="V110" s="3"/>
      <c r="W110" s="3"/>
      <c r="X110" s="3"/>
      <c r="Y110" s="3"/>
      <c r="Z110" s="3"/>
    </row>
    <row r="111" spans="1:26" ht="22.5" customHeight="1" x14ac:dyDescent="0.85">
      <c r="A111" s="130" t="s">
        <v>409</v>
      </c>
      <c r="B111" s="130" t="s">
        <v>410</v>
      </c>
      <c r="C111" s="174" t="s">
        <v>362</v>
      </c>
      <c r="D111" s="174" t="s">
        <v>117</v>
      </c>
      <c r="E111" s="174" t="s">
        <v>251</v>
      </c>
      <c r="F111" s="174" t="s">
        <v>362</v>
      </c>
      <c r="G111" s="147"/>
      <c r="H111" s="147"/>
      <c r="I111" s="147"/>
      <c r="J111" s="147"/>
      <c r="K111" s="3"/>
      <c r="L111" s="3"/>
      <c r="M111" s="3"/>
      <c r="N111" s="3"/>
      <c r="O111" s="3"/>
      <c r="P111" s="3"/>
      <c r="Q111" s="3"/>
      <c r="R111" s="3"/>
      <c r="S111" s="3"/>
      <c r="T111" s="3"/>
      <c r="U111" s="3"/>
      <c r="V111" s="3"/>
      <c r="W111" s="3"/>
      <c r="X111" s="3"/>
      <c r="Y111" s="3"/>
      <c r="Z111" s="3"/>
    </row>
    <row r="112" spans="1:26" ht="22.5" customHeight="1" x14ac:dyDescent="0.85">
      <c r="A112" s="175" t="s">
        <v>459</v>
      </c>
      <c r="B112" s="150">
        <f>'Industrial Processes Data'!B8</f>
        <v>6589.6</v>
      </c>
      <c r="C112" s="176" t="s">
        <v>412</v>
      </c>
      <c r="D112" s="176">
        <v>1</v>
      </c>
      <c r="E112" s="178" t="s">
        <v>106</v>
      </c>
      <c r="F112" s="176" t="s">
        <v>106</v>
      </c>
      <c r="G112" s="147"/>
      <c r="H112" s="147"/>
      <c r="I112" s="147"/>
      <c r="J112" s="147"/>
      <c r="K112" s="3"/>
      <c r="L112" s="3"/>
      <c r="M112" s="3"/>
      <c r="N112" s="3"/>
      <c r="O112" s="3"/>
      <c r="P112" s="3"/>
      <c r="Q112" s="3"/>
      <c r="R112" s="3"/>
      <c r="S112" s="3"/>
      <c r="T112" s="3"/>
      <c r="U112" s="3"/>
      <c r="V112" s="3"/>
      <c r="W112" s="3"/>
      <c r="X112" s="3"/>
      <c r="Y112" s="3"/>
      <c r="Z112" s="3"/>
    </row>
    <row r="113" spans="1:26" ht="22.5" customHeight="1" x14ac:dyDescent="0.85">
      <c r="A113" s="175" t="s">
        <v>460</v>
      </c>
      <c r="B113" s="150">
        <f>'Refrigerants Data'!B8</f>
        <v>23243.916995149011</v>
      </c>
      <c r="C113" s="179" t="s">
        <v>412</v>
      </c>
      <c r="D113" s="179">
        <v>1</v>
      </c>
      <c r="E113" s="206">
        <f>'Refrigerants Data'!B31+'Refrigerants Data'!B41</f>
        <v>145310181.59999999</v>
      </c>
      <c r="F113" s="179" t="s">
        <v>461</v>
      </c>
      <c r="G113" s="147"/>
      <c r="H113" s="147"/>
      <c r="I113" s="147"/>
      <c r="J113" s="147"/>
      <c r="K113" s="3"/>
      <c r="L113" s="3"/>
      <c r="M113" s="3"/>
      <c r="N113" s="3"/>
      <c r="O113" s="3"/>
      <c r="P113" s="3"/>
      <c r="Q113" s="3"/>
      <c r="R113" s="3"/>
      <c r="S113" s="3"/>
      <c r="T113" s="3"/>
      <c r="U113" s="3"/>
      <c r="V113" s="3"/>
      <c r="W113" s="3"/>
      <c r="X113" s="3"/>
      <c r="Y113" s="3"/>
      <c r="Z113" s="3"/>
    </row>
    <row r="114" spans="1:26" ht="22.5" customHeight="1" x14ac:dyDescent="0.85">
      <c r="A114" s="186" t="s">
        <v>462</v>
      </c>
      <c r="B114" s="187">
        <f>B112+B113</f>
        <v>29833.51699514901</v>
      </c>
      <c r="C114" s="188"/>
      <c r="D114" s="189"/>
      <c r="E114" s="189"/>
      <c r="F114" s="190"/>
      <c r="G114" s="147"/>
      <c r="H114" s="147"/>
      <c r="I114" s="147"/>
      <c r="J114" s="147"/>
      <c r="K114" s="3"/>
      <c r="L114" s="3"/>
      <c r="M114" s="3"/>
      <c r="N114" s="3"/>
      <c r="O114" s="3"/>
      <c r="P114" s="3"/>
      <c r="Q114" s="3"/>
      <c r="R114" s="3"/>
      <c r="S114" s="3"/>
      <c r="T114" s="3"/>
      <c r="U114" s="3"/>
      <c r="V114" s="3"/>
      <c r="W114" s="3"/>
      <c r="X114" s="3"/>
      <c r="Y114" s="3"/>
      <c r="Z114" s="3"/>
    </row>
    <row r="115" spans="1:26" ht="22.5" customHeight="1" x14ac:dyDescent="0.85">
      <c r="A115" s="205" t="s">
        <v>463</v>
      </c>
      <c r="B115" s="169"/>
      <c r="C115" s="202"/>
      <c r="D115" s="202"/>
      <c r="E115" s="202"/>
      <c r="F115" s="203"/>
      <c r="G115" s="147"/>
      <c r="H115" s="147"/>
      <c r="I115" s="147"/>
      <c r="J115" s="147"/>
      <c r="K115" s="147"/>
      <c r="L115" s="147"/>
      <c r="M115" s="3"/>
      <c r="N115" s="3"/>
      <c r="O115" s="3"/>
      <c r="P115" s="3"/>
      <c r="Q115" s="3"/>
      <c r="R115" s="3"/>
      <c r="S115" s="3"/>
      <c r="T115" s="3"/>
      <c r="U115" s="3"/>
      <c r="V115" s="3"/>
      <c r="W115" s="3"/>
      <c r="X115" s="3"/>
      <c r="Y115" s="3"/>
      <c r="Z115" s="3"/>
    </row>
    <row r="116" spans="1:26" ht="22.5" customHeight="1" x14ac:dyDescent="0.85">
      <c r="A116" s="130" t="s">
        <v>409</v>
      </c>
      <c r="B116" s="130" t="s">
        <v>410</v>
      </c>
      <c r="C116" s="174" t="s">
        <v>362</v>
      </c>
      <c r="D116" s="174" t="s">
        <v>117</v>
      </c>
      <c r="E116" s="174" t="s">
        <v>251</v>
      </c>
      <c r="F116" s="174" t="s">
        <v>362</v>
      </c>
      <c r="G116" s="147"/>
      <c r="H116" s="147"/>
      <c r="I116" s="147"/>
      <c r="J116" s="147"/>
      <c r="K116" s="3"/>
      <c r="L116" s="3"/>
      <c r="M116" s="3"/>
      <c r="N116" s="3"/>
      <c r="O116" s="3"/>
      <c r="P116" s="3"/>
      <c r="Q116" s="3"/>
      <c r="R116" s="3"/>
      <c r="S116" s="3"/>
      <c r="T116" s="3"/>
      <c r="U116" s="3"/>
      <c r="V116" s="3"/>
      <c r="W116" s="3"/>
      <c r="X116" s="3"/>
      <c r="Y116" s="3"/>
      <c r="Z116" s="3"/>
    </row>
    <row r="117" spans="1:26" ht="22.5" customHeight="1" x14ac:dyDescent="0.85">
      <c r="A117" s="175" t="s">
        <v>464</v>
      </c>
      <c r="B117" s="150">
        <f>SUM('AFOLU Data'!Q70,'AFOLU Data'!J111)</f>
        <v>89437.305611018572</v>
      </c>
      <c r="C117" s="176" t="s">
        <v>412</v>
      </c>
      <c r="D117" s="176">
        <v>1</v>
      </c>
      <c r="E117" s="178">
        <f>SUM('AFOLU Data'!C63:I63)</f>
        <v>25378</v>
      </c>
      <c r="F117" s="176" t="s">
        <v>465</v>
      </c>
      <c r="G117" s="147"/>
      <c r="H117" s="147"/>
      <c r="I117" s="147"/>
      <c r="J117" s="147"/>
      <c r="K117" s="3"/>
      <c r="L117" s="3"/>
      <c r="M117" s="3"/>
      <c r="N117" s="3"/>
      <c r="O117" s="3"/>
      <c r="P117" s="3"/>
      <c r="Q117" s="3"/>
      <c r="R117" s="3"/>
      <c r="S117" s="3"/>
      <c r="T117" s="3"/>
      <c r="U117" s="3"/>
      <c r="V117" s="3"/>
      <c r="W117" s="3"/>
      <c r="X117" s="3"/>
      <c r="Y117" s="3"/>
      <c r="Z117" s="3"/>
    </row>
    <row r="118" spans="1:26" ht="22.5" customHeight="1" x14ac:dyDescent="0.85">
      <c r="A118" s="175" t="s">
        <v>466</v>
      </c>
      <c r="B118" s="150">
        <f>SUM('AFOLU Data'!I143,'AFOLU Data'!E127)</f>
        <v>606.77682134015492</v>
      </c>
      <c r="C118" s="179" t="s">
        <v>412</v>
      </c>
      <c r="D118" s="179">
        <v>1</v>
      </c>
      <c r="E118" s="178">
        <f>'AFOLU Data'!G143</f>
        <v>5134</v>
      </c>
      <c r="F118" s="179" t="s">
        <v>467</v>
      </c>
      <c r="G118" s="147"/>
      <c r="H118" s="147"/>
      <c r="I118" s="147"/>
      <c r="J118" s="147"/>
      <c r="K118" s="3"/>
      <c r="L118" s="3"/>
      <c r="M118" s="3"/>
      <c r="N118" s="3"/>
      <c r="O118" s="3"/>
      <c r="P118" s="3"/>
      <c r="Q118" s="3"/>
      <c r="R118" s="3"/>
      <c r="S118" s="3"/>
      <c r="T118" s="3"/>
      <c r="U118" s="3"/>
      <c r="V118" s="3"/>
      <c r="W118" s="3"/>
      <c r="X118" s="3"/>
      <c r="Y118" s="3"/>
      <c r="Z118" s="3"/>
    </row>
    <row r="119" spans="1:26" ht="22.5" customHeight="1" x14ac:dyDescent="0.85">
      <c r="A119" s="175" t="s">
        <v>468</v>
      </c>
      <c r="B119" s="207">
        <f>Trees!B8</f>
        <v>-18511</v>
      </c>
      <c r="C119" s="179" t="s">
        <v>412</v>
      </c>
      <c r="D119" s="179">
        <v>1</v>
      </c>
      <c r="E119" s="178">
        <f>SUM(Trees!D89:D101)</f>
        <v>6251</v>
      </c>
      <c r="F119" s="179" t="s">
        <v>469</v>
      </c>
      <c r="G119" s="147"/>
      <c r="H119" s="147"/>
      <c r="I119" s="147"/>
      <c r="J119" s="147"/>
      <c r="K119" s="3"/>
      <c r="L119" s="3"/>
      <c r="M119" s="3"/>
      <c r="N119" s="3"/>
      <c r="O119" s="3"/>
      <c r="P119" s="3"/>
      <c r="Q119" s="3"/>
      <c r="R119" s="3"/>
      <c r="S119" s="3"/>
      <c r="T119" s="3"/>
      <c r="U119" s="3"/>
      <c r="V119" s="3"/>
      <c r="W119" s="3"/>
      <c r="X119" s="3"/>
      <c r="Y119" s="3"/>
      <c r="Z119" s="3"/>
    </row>
    <row r="120" spans="1:26" ht="22.5" customHeight="1" x14ac:dyDescent="0.85">
      <c r="A120" s="186" t="s">
        <v>470</v>
      </c>
      <c r="B120" s="208">
        <f>SUM(B117+B118+B119)</f>
        <v>71533.082432358729</v>
      </c>
      <c r="C120" s="188"/>
      <c r="D120" s="189"/>
      <c r="E120" s="189"/>
      <c r="F120" s="190"/>
      <c r="G120" s="147"/>
      <c r="H120" s="147"/>
      <c r="I120" s="147"/>
      <c r="J120" s="147"/>
      <c r="K120" s="3"/>
      <c r="L120" s="3"/>
      <c r="M120" s="3"/>
      <c r="N120" s="3"/>
      <c r="O120" s="3"/>
      <c r="P120" s="3"/>
      <c r="Q120" s="3"/>
      <c r="R120" s="3"/>
      <c r="S120" s="3"/>
      <c r="T120" s="3"/>
      <c r="U120" s="3"/>
      <c r="V120" s="3"/>
      <c r="W120" s="3"/>
      <c r="X120" s="3"/>
      <c r="Y120" s="3"/>
      <c r="Z120" s="3"/>
    </row>
    <row r="121" spans="1:26" ht="22.5" customHeight="1" x14ac:dyDescent="0.85">
      <c r="A121" s="209" t="s">
        <v>101</v>
      </c>
      <c r="B121" s="210">
        <f>B114+B109+B95+B74+B117+B118</f>
        <v>719527.85033679265</v>
      </c>
      <c r="C121" s="211"/>
      <c r="D121" s="212"/>
      <c r="E121" s="212"/>
      <c r="F121" s="213"/>
      <c r="G121" s="147"/>
      <c r="H121" s="147"/>
      <c r="I121" s="147"/>
      <c r="J121" s="147"/>
      <c r="K121" s="3"/>
      <c r="L121" s="3"/>
      <c r="M121" s="3"/>
      <c r="N121" s="3"/>
      <c r="O121" s="3"/>
      <c r="P121" s="3"/>
      <c r="Q121" s="3"/>
      <c r="R121" s="3"/>
      <c r="S121" s="3"/>
      <c r="T121" s="3"/>
      <c r="U121" s="3"/>
      <c r="V121" s="3"/>
      <c r="W121" s="3"/>
      <c r="X121" s="3"/>
      <c r="Y121" s="3"/>
      <c r="Z121" s="3"/>
    </row>
    <row r="122" spans="1:26" ht="22.5" customHeight="1" x14ac:dyDescent="0.85">
      <c r="A122" s="209" t="s">
        <v>136</v>
      </c>
      <c r="B122" s="214">
        <f>B119</f>
        <v>-18511</v>
      </c>
      <c r="C122" s="211"/>
      <c r="D122" s="212"/>
      <c r="E122" s="212"/>
      <c r="F122" s="213"/>
      <c r="G122" s="147"/>
      <c r="H122" s="147"/>
      <c r="I122" s="147"/>
      <c r="J122" s="147"/>
      <c r="K122" s="3"/>
      <c r="L122" s="3"/>
      <c r="M122" s="3"/>
      <c r="N122" s="3"/>
      <c r="O122" s="3"/>
      <c r="P122" s="3"/>
      <c r="Q122" s="3"/>
      <c r="R122" s="3"/>
      <c r="S122" s="3"/>
      <c r="T122" s="3"/>
      <c r="U122" s="3"/>
      <c r="V122" s="3"/>
      <c r="W122" s="3"/>
      <c r="X122" s="3"/>
      <c r="Y122" s="3"/>
      <c r="Z122" s="3"/>
    </row>
    <row r="123" spans="1:26" ht="22.5" customHeight="1" x14ac:dyDescent="0.85">
      <c r="A123" s="209" t="s">
        <v>123</v>
      </c>
      <c r="B123" s="210">
        <f>B121+B122</f>
        <v>701016.85033679265</v>
      </c>
      <c r="C123" s="211"/>
      <c r="D123" s="212"/>
      <c r="E123" s="212"/>
      <c r="F123" s="213"/>
      <c r="G123" s="147"/>
      <c r="H123" s="147"/>
      <c r="I123" s="147"/>
      <c r="J123" s="147"/>
      <c r="K123" s="3"/>
      <c r="L123" s="3"/>
      <c r="M123" s="3"/>
      <c r="N123" s="3"/>
      <c r="O123" s="3"/>
      <c r="P123" s="3"/>
      <c r="Q123" s="3"/>
      <c r="R123" s="3"/>
      <c r="S123" s="3"/>
      <c r="T123" s="3"/>
      <c r="U123" s="3"/>
      <c r="V123" s="3"/>
      <c r="W123" s="3"/>
      <c r="X123" s="3"/>
      <c r="Y123" s="3"/>
      <c r="Z123" s="3"/>
    </row>
    <row r="124" spans="1:26" ht="22.5" customHeight="1" x14ac:dyDescent="0.85">
      <c r="A124" s="166"/>
      <c r="B124" s="167"/>
      <c r="C124" s="167"/>
      <c r="D124" s="147"/>
      <c r="E124" s="147"/>
      <c r="F124" s="147"/>
      <c r="G124" s="147"/>
      <c r="H124" s="147"/>
      <c r="I124" s="147"/>
      <c r="J124" s="147"/>
      <c r="K124" s="3"/>
      <c r="L124" s="3"/>
      <c r="M124" s="3"/>
      <c r="N124" s="3"/>
      <c r="O124" s="3"/>
      <c r="P124" s="3"/>
      <c r="Q124" s="3"/>
      <c r="R124" s="3"/>
      <c r="S124" s="3"/>
      <c r="T124" s="3"/>
      <c r="U124" s="3"/>
      <c r="V124" s="3"/>
      <c r="W124" s="3"/>
      <c r="X124" s="3"/>
      <c r="Y124" s="3"/>
      <c r="Z124" s="3"/>
    </row>
    <row r="125" spans="1:26" ht="22.5" customHeight="1" x14ac:dyDescent="0.85">
      <c r="A125" s="144" t="s">
        <v>471</v>
      </c>
      <c r="B125" s="145"/>
      <c r="C125" s="145"/>
      <c r="D125" s="145"/>
      <c r="E125" s="145"/>
      <c r="F125" s="145"/>
      <c r="G125" s="146"/>
      <c r="H125" s="147"/>
      <c r="I125" s="147"/>
      <c r="J125" s="147"/>
      <c r="K125" s="147"/>
      <c r="L125" s="147"/>
      <c r="M125" s="3"/>
      <c r="N125" s="3"/>
      <c r="O125" s="3"/>
      <c r="P125" s="3"/>
      <c r="Q125" s="3"/>
      <c r="R125" s="3"/>
      <c r="S125" s="3"/>
      <c r="T125" s="3"/>
      <c r="U125" s="3"/>
      <c r="V125" s="3"/>
      <c r="W125" s="3"/>
      <c r="X125" s="3"/>
      <c r="Y125" s="3"/>
      <c r="Z125" s="3"/>
    </row>
    <row r="126" spans="1:26" ht="22.5" customHeight="1" x14ac:dyDescent="0.85">
      <c r="A126" s="215" t="s">
        <v>472</v>
      </c>
      <c r="B126" s="216"/>
      <c r="C126" s="216"/>
      <c r="D126" s="216"/>
      <c r="E126" s="216"/>
      <c r="F126" s="216"/>
      <c r="G126" s="217"/>
      <c r="H126" s="147"/>
      <c r="I126" s="147"/>
      <c r="J126" s="147"/>
      <c r="K126" s="3"/>
      <c r="L126" s="3"/>
      <c r="M126" s="3"/>
      <c r="N126" s="3"/>
      <c r="O126" s="3"/>
      <c r="P126" s="3"/>
      <c r="Q126" s="3"/>
      <c r="R126" s="3"/>
      <c r="S126" s="3"/>
      <c r="T126" s="3"/>
      <c r="U126" s="3"/>
      <c r="V126" s="3"/>
      <c r="W126" s="3"/>
      <c r="X126" s="3"/>
      <c r="Y126" s="3"/>
      <c r="Z126" s="3"/>
    </row>
    <row r="127" spans="1:26" ht="22.5" customHeight="1" x14ac:dyDescent="0.85">
      <c r="A127" s="218" t="s">
        <v>473</v>
      </c>
      <c r="B127" s="148" t="s">
        <v>409</v>
      </c>
      <c r="C127" s="148" t="s">
        <v>410</v>
      </c>
      <c r="D127" s="204" t="s">
        <v>362</v>
      </c>
      <c r="E127" s="204" t="s">
        <v>117</v>
      </c>
      <c r="F127" s="204" t="s">
        <v>251</v>
      </c>
      <c r="G127" s="204" t="s">
        <v>362</v>
      </c>
      <c r="H127" s="147"/>
      <c r="I127" s="147"/>
      <c r="J127" s="147"/>
      <c r="K127" s="3"/>
      <c r="L127" s="3"/>
      <c r="M127" s="3"/>
      <c r="N127" s="3"/>
      <c r="O127" s="3"/>
      <c r="P127" s="3"/>
      <c r="Q127" s="3"/>
      <c r="R127" s="3"/>
      <c r="S127" s="3"/>
      <c r="T127" s="3"/>
      <c r="U127" s="3"/>
      <c r="V127" s="3"/>
      <c r="W127" s="3"/>
      <c r="X127" s="3"/>
      <c r="Y127" s="3"/>
      <c r="Z127" s="3"/>
    </row>
    <row r="128" spans="1:26" ht="22.5" customHeight="1" x14ac:dyDescent="0.85">
      <c r="A128" s="87" t="s">
        <v>474</v>
      </c>
      <c r="B128" s="175" t="s">
        <v>475</v>
      </c>
      <c r="C128" s="219">
        <v>0</v>
      </c>
      <c r="D128" s="176" t="s">
        <v>412</v>
      </c>
      <c r="E128" s="176" t="s">
        <v>106</v>
      </c>
      <c r="F128" s="178">
        <v>0</v>
      </c>
      <c r="G128" s="176" t="s">
        <v>476</v>
      </c>
      <c r="H128" s="147"/>
      <c r="I128" s="147"/>
      <c r="J128" s="147"/>
      <c r="K128" s="3"/>
      <c r="L128" s="3"/>
      <c r="M128" s="3"/>
      <c r="N128" s="3"/>
      <c r="O128" s="3"/>
      <c r="P128" s="3"/>
      <c r="Q128" s="3"/>
      <c r="R128" s="3"/>
      <c r="S128" s="3"/>
      <c r="T128" s="3"/>
      <c r="U128" s="3"/>
      <c r="V128" s="3"/>
      <c r="W128" s="3"/>
      <c r="X128" s="3"/>
      <c r="Y128" s="3"/>
      <c r="Z128" s="3"/>
    </row>
    <row r="129" spans="1:26" ht="22.5" customHeight="1" x14ac:dyDescent="0.85">
      <c r="A129" s="228"/>
      <c r="B129" s="175" t="s">
        <v>477</v>
      </c>
      <c r="C129" s="219">
        <f>'Renewable Energy Data '!K26</f>
        <v>-194.04876834172327</v>
      </c>
      <c r="D129" s="176" t="s">
        <v>412</v>
      </c>
      <c r="E129" s="176" t="s">
        <v>106</v>
      </c>
      <c r="F129" s="178">
        <f>'Renewable Energy Data '!J26</f>
        <v>749.83349069974429</v>
      </c>
      <c r="G129" s="176" t="s">
        <v>476</v>
      </c>
      <c r="H129" s="147"/>
      <c r="I129" s="147"/>
      <c r="J129" s="147"/>
      <c r="K129" s="3"/>
      <c r="L129" s="3"/>
      <c r="M129" s="3"/>
      <c r="N129" s="3"/>
      <c r="O129" s="3"/>
      <c r="P129" s="3"/>
      <c r="Q129" s="3"/>
      <c r="R129" s="3"/>
      <c r="S129" s="3"/>
      <c r="T129" s="3"/>
      <c r="U129" s="3"/>
      <c r="V129" s="3"/>
      <c r="W129" s="3"/>
      <c r="X129" s="3"/>
      <c r="Y129" s="3"/>
      <c r="Z129" s="3"/>
    </row>
    <row r="130" spans="1:26" ht="22.5" customHeight="1" x14ac:dyDescent="0.85">
      <c r="A130" s="86" t="s">
        <v>478</v>
      </c>
      <c r="B130" s="175" t="s">
        <v>495</v>
      </c>
      <c r="C130" s="219">
        <v>0</v>
      </c>
      <c r="D130" s="176" t="s">
        <v>412</v>
      </c>
      <c r="E130" s="176" t="s">
        <v>106</v>
      </c>
      <c r="F130" s="178">
        <v>0</v>
      </c>
      <c r="G130" s="176" t="s">
        <v>476</v>
      </c>
      <c r="H130" s="147"/>
      <c r="I130" s="147"/>
      <c r="J130" s="147"/>
      <c r="K130" s="3"/>
      <c r="L130" s="3"/>
      <c r="M130" s="3"/>
      <c r="N130" s="3"/>
      <c r="O130" s="3"/>
      <c r="P130" s="3"/>
      <c r="Q130" s="3"/>
      <c r="R130" s="3"/>
      <c r="S130" s="3"/>
      <c r="T130" s="3"/>
      <c r="U130" s="3"/>
      <c r="V130" s="3"/>
      <c r="W130" s="3"/>
      <c r="X130" s="3"/>
      <c r="Y130" s="3"/>
      <c r="Z130" s="3"/>
    </row>
    <row r="131" spans="1:26" ht="22.5" customHeight="1" x14ac:dyDescent="0.85">
      <c r="A131" s="220" t="s">
        <v>480</v>
      </c>
      <c r="B131" s="221"/>
      <c r="C131" s="222"/>
      <c r="D131" s="223"/>
      <c r="E131" s="223"/>
      <c r="F131" s="224"/>
      <c r="G131" s="225"/>
      <c r="H131" s="147"/>
      <c r="I131" s="147"/>
      <c r="J131" s="147"/>
      <c r="K131" s="3"/>
      <c r="L131" s="3"/>
      <c r="M131" s="3"/>
      <c r="N131" s="3"/>
      <c r="O131" s="3"/>
      <c r="P131" s="3"/>
      <c r="Q131" s="3"/>
      <c r="R131" s="3"/>
      <c r="S131" s="3"/>
      <c r="T131" s="3"/>
      <c r="U131" s="3"/>
      <c r="V131" s="3"/>
      <c r="W131" s="3"/>
      <c r="X131" s="3"/>
      <c r="Y131" s="3"/>
      <c r="Z131" s="3"/>
    </row>
    <row r="132" spans="1:26" ht="22.5" customHeight="1" x14ac:dyDescent="0.85">
      <c r="A132" s="130" t="s">
        <v>409</v>
      </c>
      <c r="B132" s="130" t="s">
        <v>410</v>
      </c>
      <c r="C132" s="174" t="s">
        <v>362</v>
      </c>
      <c r="D132" s="174" t="s">
        <v>117</v>
      </c>
      <c r="E132" s="174" t="s">
        <v>251</v>
      </c>
      <c r="F132" s="174" t="s">
        <v>362</v>
      </c>
      <c r="G132" s="225"/>
      <c r="H132" s="147"/>
      <c r="I132" s="147"/>
      <c r="J132" s="147"/>
      <c r="K132" s="3"/>
      <c r="L132" s="3"/>
      <c r="M132" s="3"/>
      <c r="N132" s="3"/>
      <c r="O132" s="3"/>
      <c r="P132" s="3"/>
      <c r="Q132" s="3"/>
      <c r="R132" s="3"/>
      <c r="S132" s="3"/>
      <c r="T132" s="3"/>
      <c r="U132" s="3"/>
      <c r="V132" s="3"/>
      <c r="W132" s="3"/>
      <c r="X132" s="3"/>
      <c r="Y132" s="3"/>
      <c r="Z132" s="3"/>
    </row>
    <row r="133" spans="1:26" ht="22.5" customHeight="1" x14ac:dyDescent="0.85">
      <c r="A133" s="175" t="s">
        <v>481</v>
      </c>
      <c r="B133" s="178">
        <f>'Waste_Recycling Data'!G86+'Waste_Recycling Data'!G87</f>
        <v>0</v>
      </c>
      <c r="C133" s="179" t="s">
        <v>412</v>
      </c>
      <c r="D133" s="179" t="s">
        <v>106</v>
      </c>
      <c r="E133" s="178">
        <v>0</v>
      </c>
      <c r="F133" s="179" t="s">
        <v>482</v>
      </c>
      <c r="G133" s="225"/>
      <c r="H133" s="147"/>
      <c r="I133" s="147"/>
      <c r="J133" s="147"/>
      <c r="K133" s="3"/>
      <c r="L133" s="3"/>
      <c r="M133" s="3"/>
      <c r="N133" s="3"/>
      <c r="O133" s="3"/>
      <c r="P133" s="3"/>
      <c r="Q133" s="3"/>
      <c r="R133" s="3"/>
      <c r="S133" s="3"/>
      <c r="T133" s="3"/>
      <c r="U133" s="3"/>
      <c r="V133" s="3"/>
      <c r="W133" s="3"/>
      <c r="X133" s="3"/>
      <c r="Y133" s="3"/>
      <c r="Z133" s="3"/>
    </row>
    <row r="134" spans="1:26" ht="22.5" customHeight="1" x14ac:dyDescent="0.85">
      <c r="A134" s="186" t="s">
        <v>483</v>
      </c>
      <c r="B134" s="226">
        <f>B133+SUM(C128:C130)</f>
        <v>-194.04876834172327</v>
      </c>
      <c r="C134" s="188"/>
      <c r="D134" s="189"/>
      <c r="E134" s="189"/>
      <c r="F134" s="190"/>
      <c r="G134" s="225"/>
      <c r="H134" s="147"/>
      <c r="I134" s="147"/>
      <c r="J134" s="147"/>
      <c r="K134" s="3"/>
      <c r="L134" s="3"/>
      <c r="M134" s="3"/>
      <c r="N134" s="3"/>
      <c r="O134" s="3"/>
      <c r="P134" s="3"/>
      <c r="Q134" s="3"/>
      <c r="R134" s="3"/>
      <c r="S134" s="3"/>
      <c r="T134" s="3"/>
      <c r="U134" s="3"/>
      <c r="V134" s="3"/>
      <c r="W134" s="3"/>
      <c r="X134" s="3"/>
      <c r="Y134" s="3"/>
      <c r="Z134" s="3"/>
    </row>
    <row r="135" spans="1:26" ht="22.5" customHeight="1" x14ac:dyDescent="0.85">
      <c r="A135" s="166"/>
      <c r="B135" s="167"/>
      <c r="C135" s="167"/>
      <c r="D135" s="147"/>
      <c r="E135" s="147"/>
      <c r="F135" s="147"/>
      <c r="G135" s="147"/>
      <c r="H135" s="147"/>
      <c r="I135" s="147"/>
      <c r="J135" s="147"/>
      <c r="K135" s="3"/>
      <c r="L135" s="3"/>
      <c r="M135" s="3"/>
      <c r="N135" s="3"/>
      <c r="O135" s="3"/>
      <c r="P135" s="3"/>
      <c r="Q135" s="3"/>
      <c r="R135" s="3"/>
      <c r="S135" s="3"/>
      <c r="T135" s="3"/>
      <c r="U135" s="3"/>
      <c r="V135" s="3"/>
      <c r="W135" s="3"/>
      <c r="X135" s="3"/>
      <c r="Y135" s="3"/>
      <c r="Z135" s="3"/>
    </row>
    <row r="136" spans="1:26" ht="22.5" customHeight="1" x14ac:dyDescent="0.85">
      <c r="A136" s="166"/>
      <c r="B136" s="167"/>
      <c r="C136" s="167"/>
      <c r="D136" s="147"/>
      <c r="E136" s="147"/>
      <c r="F136" s="147"/>
      <c r="G136" s="147"/>
      <c r="H136" s="147"/>
      <c r="I136" s="147"/>
      <c r="J136" s="147"/>
      <c r="K136" s="3"/>
      <c r="L136" s="3"/>
      <c r="M136" s="3"/>
      <c r="N136" s="3"/>
      <c r="O136" s="3"/>
      <c r="P136" s="3"/>
      <c r="Q136" s="3"/>
      <c r="R136" s="3"/>
      <c r="S136" s="3"/>
      <c r="T136" s="3"/>
      <c r="U136" s="3"/>
      <c r="V136" s="3"/>
      <c r="W136" s="3"/>
      <c r="X136" s="3"/>
      <c r="Y136" s="3"/>
      <c r="Z136" s="3"/>
    </row>
    <row r="137" spans="1:26" ht="22.5" customHeight="1" x14ac:dyDescent="0.85">
      <c r="A137" s="166"/>
      <c r="B137" s="167"/>
      <c r="C137" s="167"/>
      <c r="D137" s="147"/>
      <c r="E137" s="147"/>
      <c r="F137" s="147"/>
      <c r="G137" s="147"/>
      <c r="H137" s="147"/>
      <c r="I137" s="147"/>
      <c r="J137" s="147"/>
      <c r="K137" s="3"/>
      <c r="L137" s="3"/>
      <c r="M137" s="3"/>
      <c r="N137" s="3"/>
      <c r="O137" s="3"/>
      <c r="P137" s="3"/>
      <c r="Q137" s="3"/>
      <c r="R137" s="3"/>
      <c r="S137" s="3"/>
      <c r="T137" s="3"/>
      <c r="U137" s="3"/>
      <c r="V137" s="3"/>
      <c r="W137" s="3"/>
      <c r="X137" s="3"/>
      <c r="Y137" s="3"/>
      <c r="Z137" s="3"/>
    </row>
    <row r="138" spans="1:26" ht="22.5" customHeight="1" x14ac:dyDescent="0.85">
      <c r="A138" s="166"/>
      <c r="B138" s="167"/>
      <c r="C138" s="167"/>
      <c r="D138" s="147"/>
      <c r="E138" s="147"/>
      <c r="F138" s="147"/>
      <c r="G138" s="147"/>
      <c r="H138" s="147"/>
      <c r="I138" s="147"/>
      <c r="J138" s="147"/>
      <c r="K138" s="3"/>
      <c r="L138" s="3"/>
      <c r="M138" s="3"/>
      <c r="N138" s="3"/>
      <c r="O138" s="3"/>
      <c r="P138" s="3"/>
      <c r="Q138" s="3"/>
      <c r="R138" s="3"/>
      <c r="S138" s="3"/>
      <c r="T138" s="3"/>
      <c r="U138" s="3"/>
      <c r="V138" s="3"/>
      <c r="W138" s="3"/>
      <c r="X138" s="3"/>
      <c r="Y138" s="3"/>
      <c r="Z138" s="3"/>
    </row>
    <row r="139" spans="1:26" ht="22.5" customHeight="1" x14ac:dyDescent="0.85">
      <c r="A139" s="166"/>
      <c r="B139" s="167"/>
      <c r="C139" s="167"/>
      <c r="D139" s="147"/>
      <c r="E139" s="147"/>
      <c r="F139" s="147"/>
      <c r="G139" s="147"/>
      <c r="H139" s="147"/>
      <c r="I139" s="147"/>
      <c r="J139" s="147"/>
      <c r="K139" s="3"/>
      <c r="L139" s="3"/>
      <c r="M139" s="3"/>
      <c r="N139" s="3"/>
      <c r="O139" s="3"/>
      <c r="P139" s="3"/>
      <c r="Q139" s="3"/>
      <c r="R139" s="3"/>
      <c r="S139" s="3"/>
      <c r="T139" s="3"/>
      <c r="U139" s="3"/>
      <c r="V139" s="3"/>
      <c r="W139" s="3"/>
      <c r="X139" s="3"/>
      <c r="Y139" s="3"/>
      <c r="Z139" s="3"/>
    </row>
    <row r="140" spans="1:26" ht="22.5" customHeight="1" x14ac:dyDescent="0.85">
      <c r="A140" s="166"/>
      <c r="B140" s="167"/>
      <c r="C140" s="167"/>
      <c r="D140" s="147"/>
      <c r="E140" s="147"/>
      <c r="F140" s="147"/>
      <c r="G140" s="147"/>
      <c r="H140" s="147"/>
      <c r="I140" s="147"/>
      <c r="J140" s="147"/>
      <c r="K140" s="3"/>
      <c r="L140" s="3"/>
      <c r="M140" s="3"/>
      <c r="N140" s="3"/>
      <c r="O140" s="3"/>
      <c r="P140" s="3"/>
      <c r="Q140" s="3"/>
      <c r="R140" s="3"/>
      <c r="S140" s="3"/>
      <c r="T140" s="3"/>
      <c r="U140" s="3"/>
      <c r="V140" s="3"/>
      <c r="W140" s="3"/>
      <c r="X140" s="3"/>
      <c r="Y140" s="3"/>
      <c r="Z140" s="3"/>
    </row>
    <row r="141" spans="1:26" ht="22.5" customHeight="1" x14ac:dyDescent="0.85">
      <c r="A141" s="166"/>
      <c r="B141" s="167"/>
      <c r="C141" s="167"/>
      <c r="D141" s="147"/>
      <c r="E141" s="147"/>
      <c r="F141" s="147"/>
      <c r="G141" s="147"/>
      <c r="H141" s="147"/>
      <c r="I141" s="147"/>
      <c r="J141" s="147"/>
      <c r="K141" s="3"/>
      <c r="L141" s="3"/>
      <c r="M141" s="3"/>
      <c r="N141" s="3"/>
      <c r="O141" s="3"/>
      <c r="P141" s="3"/>
      <c r="Q141" s="3"/>
      <c r="R141" s="3"/>
      <c r="S141" s="3"/>
      <c r="T141" s="3"/>
      <c r="U141" s="3"/>
      <c r="V141" s="3"/>
      <c r="W141" s="3"/>
      <c r="X141" s="3"/>
      <c r="Y141" s="3"/>
      <c r="Z141" s="3"/>
    </row>
    <row r="142" spans="1:26" ht="22.5" customHeight="1" x14ac:dyDescent="0.85">
      <c r="A142" s="166"/>
      <c r="B142" s="167"/>
      <c r="C142" s="167"/>
      <c r="D142" s="147"/>
      <c r="E142" s="147"/>
      <c r="F142" s="147"/>
      <c r="G142" s="147"/>
      <c r="H142" s="147"/>
      <c r="I142" s="147"/>
      <c r="J142" s="147"/>
      <c r="K142" s="3"/>
      <c r="L142" s="3"/>
      <c r="M142" s="3"/>
      <c r="N142" s="3"/>
      <c r="O142" s="3"/>
      <c r="P142" s="3"/>
      <c r="Q142" s="3"/>
      <c r="R142" s="3"/>
      <c r="S142" s="3"/>
      <c r="T142" s="3"/>
      <c r="U142" s="3"/>
      <c r="V142" s="3"/>
      <c r="W142" s="3"/>
      <c r="X142" s="3"/>
      <c r="Y142" s="3"/>
      <c r="Z142" s="3"/>
    </row>
    <row r="143" spans="1:26" ht="22.5" customHeight="1" x14ac:dyDescent="0.85">
      <c r="A143" s="166"/>
      <c r="B143" s="167"/>
      <c r="C143" s="167"/>
      <c r="D143" s="147"/>
      <c r="E143" s="147"/>
      <c r="F143" s="147"/>
      <c r="G143" s="147"/>
      <c r="H143" s="147"/>
      <c r="I143" s="147"/>
      <c r="J143" s="147"/>
      <c r="K143" s="3"/>
      <c r="L143" s="3"/>
      <c r="M143" s="3"/>
      <c r="N143" s="3"/>
      <c r="O143" s="3"/>
      <c r="P143" s="3"/>
      <c r="Q143" s="3"/>
      <c r="R143" s="3"/>
      <c r="S143" s="3"/>
      <c r="T143" s="3"/>
      <c r="U143" s="3"/>
      <c r="V143" s="3"/>
      <c r="W143" s="3"/>
      <c r="X143" s="3"/>
      <c r="Y143" s="3"/>
      <c r="Z143" s="3"/>
    </row>
    <row r="144" spans="1:26" ht="22.5" customHeight="1" x14ac:dyDescent="0.85">
      <c r="A144" s="166"/>
      <c r="B144" s="167"/>
      <c r="C144" s="167"/>
      <c r="D144" s="147"/>
      <c r="E144" s="147"/>
      <c r="F144" s="147"/>
      <c r="G144" s="147"/>
      <c r="H144" s="147"/>
      <c r="I144" s="147"/>
      <c r="J144" s="147"/>
      <c r="K144" s="3"/>
      <c r="L144" s="3"/>
      <c r="M144" s="3"/>
      <c r="N144" s="3"/>
      <c r="O144" s="3"/>
      <c r="P144" s="3"/>
      <c r="Q144" s="3"/>
      <c r="R144" s="3"/>
      <c r="S144" s="3"/>
      <c r="T144" s="3"/>
      <c r="U144" s="3"/>
      <c r="V144" s="3"/>
      <c r="W144" s="3"/>
      <c r="X144" s="3"/>
      <c r="Y144" s="3"/>
      <c r="Z144" s="3"/>
    </row>
    <row r="145" spans="1:26" ht="22.5" customHeight="1" x14ac:dyDescent="0.85">
      <c r="A145" s="166"/>
      <c r="B145" s="167"/>
      <c r="C145" s="167"/>
      <c r="D145" s="147"/>
      <c r="E145" s="147"/>
      <c r="F145" s="147"/>
      <c r="G145" s="147"/>
      <c r="H145" s="147"/>
      <c r="I145" s="147"/>
      <c r="J145" s="147"/>
      <c r="K145" s="3"/>
      <c r="L145" s="3"/>
      <c r="M145" s="3"/>
      <c r="N145" s="3"/>
      <c r="O145" s="3"/>
      <c r="P145" s="3"/>
      <c r="Q145" s="3"/>
      <c r="R145" s="3"/>
      <c r="S145" s="3"/>
      <c r="T145" s="3"/>
      <c r="U145" s="3"/>
      <c r="V145" s="3"/>
      <c r="W145" s="3"/>
      <c r="X145" s="3"/>
      <c r="Y145" s="3"/>
      <c r="Z145" s="3"/>
    </row>
    <row r="146" spans="1:26" ht="22.5" customHeight="1" x14ac:dyDescent="0.85">
      <c r="A146" s="166"/>
      <c r="B146" s="167"/>
      <c r="C146" s="167"/>
      <c r="D146" s="147"/>
      <c r="E146" s="147"/>
      <c r="F146" s="147"/>
      <c r="G146" s="147"/>
      <c r="H146" s="147"/>
      <c r="I146" s="147"/>
      <c r="J146" s="147"/>
      <c r="K146" s="3"/>
      <c r="L146" s="3"/>
      <c r="M146" s="3"/>
      <c r="N146" s="3"/>
      <c r="O146" s="3"/>
      <c r="P146" s="3"/>
      <c r="Q146" s="3"/>
      <c r="R146" s="3"/>
      <c r="S146" s="3"/>
      <c r="T146" s="3"/>
      <c r="U146" s="3"/>
      <c r="V146" s="3"/>
      <c r="W146" s="3"/>
      <c r="X146" s="3"/>
      <c r="Y146" s="3"/>
      <c r="Z146" s="3"/>
    </row>
    <row r="147" spans="1:26" ht="22.5" customHeight="1" x14ac:dyDescent="0.85">
      <c r="A147" s="166"/>
      <c r="B147" s="167"/>
      <c r="C147" s="167"/>
      <c r="D147" s="147"/>
      <c r="E147" s="147"/>
      <c r="F147" s="147"/>
      <c r="G147" s="147"/>
      <c r="H147" s="147"/>
      <c r="I147" s="147"/>
      <c r="J147" s="147"/>
      <c r="K147" s="3"/>
      <c r="L147" s="3"/>
      <c r="M147" s="3"/>
      <c r="N147" s="3"/>
      <c r="O147" s="3"/>
      <c r="P147" s="3"/>
      <c r="Q147" s="3"/>
      <c r="R147" s="3"/>
      <c r="S147" s="3"/>
      <c r="T147" s="3"/>
      <c r="U147" s="3"/>
      <c r="V147" s="3"/>
      <c r="W147" s="3"/>
      <c r="X147" s="3"/>
      <c r="Y147" s="3"/>
      <c r="Z147" s="3"/>
    </row>
    <row r="148" spans="1:26" ht="22.5" customHeight="1" x14ac:dyDescent="0.85">
      <c r="A148" s="166"/>
      <c r="B148" s="167"/>
      <c r="C148" s="167"/>
      <c r="D148" s="147"/>
      <c r="E148" s="147"/>
      <c r="F148" s="147"/>
      <c r="G148" s="147"/>
      <c r="H148" s="147"/>
      <c r="I148" s="147"/>
      <c r="J148" s="147"/>
      <c r="K148" s="3"/>
      <c r="L148" s="3"/>
      <c r="M148" s="3"/>
      <c r="N148" s="3"/>
      <c r="O148" s="3"/>
      <c r="P148" s="3"/>
      <c r="Q148" s="3"/>
      <c r="R148" s="3"/>
      <c r="S148" s="3"/>
      <c r="T148" s="3"/>
      <c r="U148" s="3"/>
      <c r="V148" s="3"/>
      <c r="W148" s="3"/>
      <c r="X148" s="3"/>
      <c r="Y148" s="3"/>
      <c r="Z148" s="3"/>
    </row>
    <row r="149" spans="1:26" ht="22.5" customHeight="1" x14ac:dyDescent="0.85">
      <c r="A149" s="166"/>
      <c r="B149" s="167"/>
      <c r="C149" s="167"/>
      <c r="D149" s="147"/>
      <c r="E149" s="147"/>
      <c r="F149" s="147"/>
      <c r="G149" s="147"/>
      <c r="H149" s="147"/>
      <c r="I149" s="147"/>
      <c r="J149" s="147"/>
      <c r="K149" s="3"/>
      <c r="L149" s="3"/>
      <c r="M149" s="3"/>
      <c r="N149" s="3"/>
      <c r="O149" s="3"/>
      <c r="P149" s="3"/>
      <c r="Q149" s="3"/>
      <c r="R149" s="3"/>
      <c r="S149" s="3"/>
      <c r="T149" s="3"/>
      <c r="U149" s="3"/>
      <c r="V149" s="3"/>
      <c r="W149" s="3"/>
      <c r="X149" s="3"/>
      <c r="Y149" s="3"/>
      <c r="Z149" s="3"/>
    </row>
    <row r="150" spans="1:26" ht="22.5" customHeight="1" x14ac:dyDescent="0.85">
      <c r="A150" s="166"/>
      <c r="B150" s="167"/>
      <c r="C150" s="167"/>
      <c r="D150" s="147"/>
      <c r="E150" s="147"/>
      <c r="F150" s="147"/>
      <c r="G150" s="147"/>
      <c r="H150" s="147"/>
      <c r="I150" s="147"/>
      <c r="J150" s="147"/>
      <c r="K150" s="3"/>
      <c r="L150" s="3"/>
      <c r="M150" s="3"/>
      <c r="N150" s="3"/>
      <c r="O150" s="3"/>
      <c r="P150" s="3"/>
      <c r="Q150" s="3"/>
      <c r="R150" s="3"/>
      <c r="S150" s="3"/>
      <c r="T150" s="3"/>
      <c r="U150" s="3"/>
      <c r="V150" s="3"/>
      <c r="W150" s="3"/>
      <c r="X150" s="3"/>
      <c r="Y150" s="3"/>
      <c r="Z150" s="3"/>
    </row>
    <row r="151" spans="1:26" ht="22.5" customHeight="1" x14ac:dyDescent="0.85">
      <c r="A151" s="166"/>
      <c r="B151" s="167"/>
      <c r="C151" s="167"/>
      <c r="D151" s="147"/>
      <c r="E151" s="147"/>
      <c r="F151" s="147"/>
      <c r="G151" s="147"/>
      <c r="H151" s="147"/>
      <c r="I151" s="147"/>
      <c r="J151" s="147"/>
      <c r="K151" s="3"/>
      <c r="L151" s="3"/>
      <c r="M151" s="3"/>
      <c r="N151" s="3"/>
      <c r="O151" s="3"/>
      <c r="P151" s="3"/>
      <c r="Q151" s="3"/>
      <c r="R151" s="3"/>
      <c r="S151" s="3"/>
      <c r="T151" s="3"/>
      <c r="U151" s="3"/>
      <c r="V151" s="3"/>
      <c r="W151" s="3"/>
      <c r="X151" s="3"/>
      <c r="Y151" s="3"/>
      <c r="Z151" s="3"/>
    </row>
    <row r="152" spans="1:26" ht="22.5" customHeight="1" x14ac:dyDescent="0.85">
      <c r="A152" s="166"/>
      <c r="B152" s="167"/>
      <c r="C152" s="167"/>
      <c r="D152" s="147"/>
      <c r="E152" s="147"/>
      <c r="F152" s="147"/>
      <c r="G152" s="147"/>
      <c r="H152" s="147"/>
      <c r="I152" s="147"/>
      <c r="J152" s="147"/>
      <c r="K152" s="3"/>
      <c r="L152" s="3"/>
      <c r="M152" s="3"/>
      <c r="N152" s="3"/>
      <c r="O152" s="3"/>
      <c r="P152" s="3"/>
      <c r="Q152" s="3"/>
      <c r="R152" s="3"/>
      <c r="S152" s="3"/>
      <c r="T152" s="3"/>
      <c r="U152" s="3"/>
      <c r="V152" s="3"/>
      <c r="W152" s="3"/>
      <c r="X152" s="3"/>
      <c r="Y152" s="3"/>
      <c r="Z152" s="3"/>
    </row>
    <row r="153" spans="1:26" ht="22.5" customHeight="1" x14ac:dyDescent="0.85">
      <c r="A153" s="166"/>
      <c r="B153" s="167"/>
      <c r="C153" s="167"/>
      <c r="D153" s="147"/>
      <c r="E153" s="147"/>
      <c r="F153" s="147"/>
      <c r="G153" s="147"/>
      <c r="H153" s="147"/>
      <c r="I153" s="147"/>
      <c r="J153" s="147"/>
      <c r="K153" s="3"/>
      <c r="L153" s="3"/>
      <c r="M153" s="3"/>
      <c r="N153" s="3"/>
      <c r="O153" s="3"/>
      <c r="P153" s="3"/>
      <c r="Q153" s="3"/>
      <c r="R153" s="3"/>
      <c r="S153" s="3"/>
      <c r="T153" s="3"/>
      <c r="U153" s="3"/>
      <c r="V153" s="3"/>
      <c r="W153" s="3"/>
      <c r="X153" s="3"/>
      <c r="Y153" s="3"/>
      <c r="Z153" s="3"/>
    </row>
    <row r="154" spans="1:26" ht="22.5" customHeight="1" x14ac:dyDescent="0.85">
      <c r="A154" s="166"/>
      <c r="B154" s="167"/>
      <c r="C154" s="167"/>
      <c r="D154" s="147"/>
      <c r="E154" s="147"/>
      <c r="F154" s="147"/>
      <c r="G154" s="147"/>
      <c r="H154" s="147"/>
      <c r="I154" s="147"/>
      <c r="J154" s="147"/>
      <c r="K154" s="3"/>
      <c r="L154" s="3"/>
      <c r="M154" s="3"/>
      <c r="N154" s="3"/>
      <c r="O154" s="3"/>
      <c r="P154" s="3"/>
      <c r="Q154" s="3"/>
      <c r="R154" s="3"/>
      <c r="S154" s="3"/>
      <c r="T154" s="3"/>
      <c r="U154" s="3"/>
      <c r="V154" s="3"/>
      <c r="W154" s="3"/>
      <c r="X154" s="3"/>
      <c r="Y154" s="3"/>
      <c r="Z154" s="3"/>
    </row>
    <row r="155" spans="1:26" ht="22.5" customHeight="1" x14ac:dyDescent="0.85">
      <c r="A155" s="166"/>
      <c r="B155" s="167"/>
      <c r="C155" s="167"/>
      <c r="D155" s="147"/>
      <c r="E155" s="147"/>
      <c r="F155" s="147"/>
      <c r="G155" s="147"/>
      <c r="H155" s="147"/>
      <c r="I155" s="147"/>
      <c r="J155" s="147"/>
      <c r="K155" s="3"/>
      <c r="L155" s="3"/>
      <c r="M155" s="3"/>
      <c r="N155" s="3"/>
      <c r="O155" s="3"/>
      <c r="P155" s="3"/>
      <c r="Q155" s="3"/>
      <c r="R155" s="3"/>
      <c r="S155" s="3"/>
      <c r="T155" s="3"/>
      <c r="U155" s="3"/>
      <c r="V155" s="3"/>
      <c r="W155" s="3"/>
      <c r="X155" s="3"/>
      <c r="Y155" s="3"/>
      <c r="Z155" s="3"/>
    </row>
    <row r="156" spans="1:26" ht="22.5" customHeight="1" x14ac:dyDescent="0.85">
      <c r="A156" s="166"/>
      <c r="B156" s="167"/>
      <c r="C156" s="167"/>
      <c r="D156" s="147"/>
      <c r="E156" s="147"/>
      <c r="F156" s="147"/>
      <c r="G156" s="147"/>
      <c r="H156" s="147"/>
      <c r="I156" s="147"/>
      <c r="J156" s="147"/>
      <c r="K156" s="3"/>
      <c r="L156" s="3"/>
      <c r="M156" s="3"/>
      <c r="N156" s="3"/>
      <c r="O156" s="3"/>
      <c r="P156" s="3"/>
      <c r="Q156" s="3"/>
      <c r="R156" s="3"/>
      <c r="S156" s="3"/>
      <c r="T156" s="3"/>
      <c r="U156" s="3"/>
      <c r="V156" s="3"/>
      <c r="W156" s="3"/>
      <c r="X156" s="3"/>
      <c r="Y156" s="3"/>
      <c r="Z156" s="3"/>
    </row>
    <row r="157" spans="1:26" ht="22.5" customHeight="1" x14ac:dyDescent="0.85">
      <c r="A157" s="166"/>
      <c r="B157" s="167"/>
      <c r="C157" s="167"/>
      <c r="D157" s="147"/>
      <c r="E157" s="147"/>
      <c r="F157" s="147"/>
      <c r="G157" s="147"/>
      <c r="H157" s="147"/>
      <c r="I157" s="147"/>
      <c r="J157" s="147"/>
      <c r="K157" s="3"/>
      <c r="L157" s="3"/>
      <c r="M157" s="3"/>
      <c r="N157" s="3"/>
      <c r="O157" s="3"/>
      <c r="P157" s="3"/>
      <c r="Q157" s="3"/>
      <c r="R157" s="3"/>
      <c r="S157" s="3"/>
      <c r="T157" s="3"/>
      <c r="U157" s="3"/>
      <c r="V157" s="3"/>
      <c r="W157" s="3"/>
      <c r="X157" s="3"/>
      <c r="Y157" s="3"/>
      <c r="Z157" s="3"/>
    </row>
    <row r="158" spans="1:26" ht="22.5" customHeight="1" x14ac:dyDescent="0.85">
      <c r="A158" s="166"/>
      <c r="B158" s="167"/>
      <c r="C158" s="167"/>
      <c r="D158" s="147"/>
      <c r="E158" s="147"/>
      <c r="F158" s="147"/>
      <c r="G158" s="147"/>
      <c r="H158" s="147"/>
      <c r="I158" s="147"/>
      <c r="J158" s="147"/>
      <c r="K158" s="3"/>
      <c r="L158" s="3"/>
      <c r="M158" s="3"/>
      <c r="N158" s="3"/>
      <c r="O158" s="3"/>
      <c r="P158" s="3"/>
      <c r="Q158" s="3"/>
      <c r="R158" s="3"/>
      <c r="S158" s="3"/>
      <c r="T158" s="3"/>
      <c r="U158" s="3"/>
      <c r="V158" s="3"/>
      <c r="W158" s="3"/>
      <c r="X158" s="3"/>
      <c r="Y158" s="3"/>
      <c r="Z158" s="3"/>
    </row>
    <row r="159" spans="1:26" ht="22.5" customHeight="1" x14ac:dyDescent="0.85">
      <c r="A159" s="166"/>
      <c r="B159" s="167"/>
      <c r="C159" s="167"/>
      <c r="D159" s="147"/>
      <c r="E159" s="147"/>
      <c r="F159" s="147"/>
      <c r="G159" s="147"/>
      <c r="H159" s="147"/>
      <c r="I159" s="147"/>
      <c r="J159" s="147"/>
      <c r="K159" s="3"/>
      <c r="L159" s="3"/>
      <c r="M159" s="3"/>
      <c r="N159" s="3"/>
      <c r="O159" s="3"/>
      <c r="P159" s="3"/>
      <c r="Q159" s="3"/>
      <c r="R159" s="3"/>
      <c r="S159" s="3"/>
      <c r="T159" s="3"/>
      <c r="U159" s="3"/>
      <c r="V159" s="3"/>
      <c r="W159" s="3"/>
      <c r="X159" s="3"/>
      <c r="Y159" s="3"/>
      <c r="Z159" s="3"/>
    </row>
    <row r="160" spans="1:26" ht="22.5" customHeight="1" x14ac:dyDescent="0.85">
      <c r="A160" s="166"/>
      <c r="B160" s="167"/>
      <c r="C160" s="167"/>
      <c r="D160" s="147"/>
      <c r="E160" s="147"/>
      <c r="F160" s="147"/>
      <c r="G160" s="147"/>
      <c r="H160" s="147"/>
      <c r="I160" s="147"/>
      <c r="J160" s="147"/>
      <c r="K160" s="3"/>
      <c r="L160" s="3"/>
      <c r="M160" s="3"/>
      <c r="N160" s="3"/>
      <c r="O160" s="3"/>
      <c r="P160" s="3"/>
      <c r="Q160" s="3"/>
      <c r="R160" s="3"/>
      <c r="S160" s="3"/>
      <c r="T160" s="3"/>
      <c r="U160" s="3"/>
      <c r="V160" s="3"/>
      <c r="W160" s="3"/>
      <c r="X160" s="3"/>
      <c r="Y160" s="3"/>
      <c r="Z160" s="3"/>
    </row>
    <row r="161" spans="1:26" ht="22.5" customHeight="1" x14ac:dyDescent="0.85">
      <c r="A161" s="166"/>
      <c r="B161" s="167"/>
      <c r="C161" s="167"/>
      <c r="D161" s="147"/>
      <c r="E161" s="147"/>
      <c r="F161" s="147"/>
      <c r="G161" s="147"/>
      <c r="H161" s="147"/>
      <c r="I161" s="147"/>
      <c r="J161" s="147"/>
      <c r="K161" s="3"/>
      <c r="L161" s="3"/>
      <c r="M161" s="3"/>
      <c r="N161" s="3"/>
      <c r="O161" s="3"/>
      <c r="P161" s="3"/>
      <c r="Q161" s="3"/>
      <c r="R161" s="3"/>
      <c r="S161" s="3"/>
      <c r="T161" s="3"/>
      <c r="U161" s="3"/>
      <c r="V161" s="3"/>
      <c r="W161" s="3"/>
      <c r="X161" s="3"/>
      <c r="Y161" s="3"/>
      <c r="Z161" s="3"/>
    </row>
    <row r="162" spans="1:26" ht="22.5" customHeight="1" x14ac:dyDescent="0.85">
      <c r="A162" s="166"/>
      <c r="B162" s="167"/>
      <c r="C162" s="167"/>
      <c r="D162" s="147"/>
      <c r="E162" s="147"/>
      <c r="F162" s="147"/>
      <c r="G162" s="147"/>
      <c r="H162" s="147"/>
      <c r="I162" s="147"/>
      <c r="J162" s="147"/>
      <c r="K162" s="3"/>
      <c r="L162" s="3"/>
      <c r="M162" s="3"/>
      <c r="N162" s="3"/>
      <c r="O162" s="3"/>
      <c r="P162" s="3"/>
      <c r="Q162" s="3"/>
      <c r="R162" s="3"/>
      <c r="S162" s="3"/>
      <c r="T162" s="3"/>
      <c r="U162" s="3"/>
      <c r="V162" s="3"/>
      <c r="W162" s="3"/>
      <c r="X162" s="3"/>
      <c r="Y162" s="3"/>
      <c r="Z162" s="3"/>
    </row>
    <row r="163" spans="1:26" ht="22.5" customHeight="1" x14ac:dyDescent="0.85">
      <c r="A163" s="166"/>
      <c r="B163" s="167"/>
      <c r="C163" s="167"/>
      <c r="D163" s="147"/>
      <c r="E163" s="147"/>
      <c r="F163" s="147"/>
      <c r="G163" s="147"/>
      <c r="H163" s="147"/>
      <c r="I163" s="147"/>
      <c r="J163" s="147"/>
      <c r="K163" s="3"/>
      <c r="L163" s="3"/>
      <c r="M163" s="3"/>
      <c r="N163" s="3"/>
      <c r="O163" s="3"/>
      <c r="P163" s="3"/>
      <c r="Q163" s="3"/>
      <c r="R163" s="3"/>
      <c r="S163" s="3"/>
      <c r="T163" s="3"/>
      <c r="U163" s="3"/>
      <c r="V163" s="3"/>
      <c r="W163" s="3"/>
      <c r="X163" s="3"/>
      <c r="Y163" s="3"/>
      <c r="Z163" s="3"/>
    </row>
    <row r="164" spans="1:26" ht="22.5" customHeight="1" x14ac:dyDescent="0.85">
      <c r="A164" s="166"/>
      <c r="B164" s="167"/>
      <c r="C164" s="167"/>
      <c r="D164" s="147"/>
      <c r="E164" s="147"/>
      <c r="F164" s="147"/>
      <c r="G164" s="147"/>
      <c r="H164" s="147"/>
      <c r="I164" s="147"/>
      <c r="J164" s="147"/>
      <c r="K164" s="3"/>
      <c r="L164" s="3"/>
      <c r="M164" s="3"/>
      <c r="N164" s="3"/>
      <c r="O164" s="3"/>
      <c r="P164" s="3"/>
      <c r="Q164" s="3"/>
      <c r="R164" s="3"/>
      <c r="S164" s="3"/>
      <c r="T164" s="3"/>
      <c r="U164" s="3"/>
      <c r="V164" s="3"/>
      <c r="W164" s="3"/>
      <c r="X164" s="3"/>
      <c r="Y164" s="3"/>
      <c r="Z164" s="3"/>
    </row>
    <row r="165" spans="1:26" ht="22.5" customHeight="1" x14ac:dyDescent="0.85">
      <c r="A165" s="166"/>
      <c r="B165" s="167"/>
      <c r="C165" s="167"/>
      <c r="D165" s="147"/>
      <c r="E165" s="147"/>
      <c r="F165" s="147"/>
      <c r="G165" s="147"/>
      <c r="H165" s="147"/>
      <c r="I165" s="147"/>
      <c r="J165" s="147"/>
      <c r="K165" s="3"/>
      <c r="L165" s="3"/>
      <c r="M165" s="3"/>
      <c r="N165" s="3"/>
      <c r="O165" s="3"/>
      <c r="P165" s="3"/>
      <c r="Q165" s="3"/>
      <c r="R165" s="3"/>
      <c r="S165" s="3"/>
      <c r="T165" s="3"/>
      <c r="U165" s="3"/>
      <c r="V165" s="3"/>
      <c r="W165" s="3"/>
      <c r="X165" s="3"/>
      <c r="Y165" s="3"/>
      <c r="Z165" s="3"/>
    </row>
    <row r="166" spans="1:26" ht="22.5" customHeight="1" x14ac:dyDescent="0.85">
      <c r="A166" s="166"/>
      <c r="B166" s="167"/>
      <c r="C166" s="167"/>
      <c r="D166" s="147"/>
      <c r="E166" s="147"/>
      <c r="F166" s="147"/>
      <c r="G166" s="147"/>
      <c r="H166" s="147"/>
      <c r="I166" s="147"/>
      <c r="J166" s="147"/>
      <c r="K166" s="3"/>
      <c r="L166" s="3"/>
      <c r="M166" s="3"/>
      <c r="N166" s="3"/>
      <c r="O166" s="3"/>
      <c r="P166" s="3"/>
      <c r="Q166" s="3"/>
      <c r="R166" s="3"/>
      <c r="S166" s="3"/>
      <c r="T166" s="3"/>
      <c r="U166" s="3"/>
      <c r="V166" s="3"/>
      <c r="W166" s="3"/>
      <c r="X166" s="3"/>
      <c r="Y166" s="3"/>
      <c r="Z166" s="3"/>
    </row>
    <row r="167" spans="1:26" ht="22.5" customHeight="1" x14ac:dyDescent="0.85">
      <c r="A167" s="166"/>
      <c r="B167" s="167"/>
      <c r="C167" s="167"/>
      <c r="D167" s="147"/>
      <c r="E167" s="147"/>
      <c r="F167" s="147"/>
      <c r="G167" s="147"/>
      <c r="H167" s="147"/>
      <c r="I167" s="147"/>
      <c r="J167" s="147"/>
      <c r="K167" s="3"/>
      <c r="L167" s="3"/>
      <c r="M167" s="3"/>
      <c r="N167" s="3"/>
      <c r="O167" s="3"/>
      <c r="P167" s="3"/>
      <c r="Q167" s="3"/>
      <c r="R167" s="3"/>
      <c r="S167" s="3"/>
      <c r="T167" s="3"/>
      <c r="U167" s="3"/>
      <c r="V167" s="3"/>
      <c r="W167" s="3"/>
      <c r="X167" s="3"/>
      <c r="Y167" s="3"/>
      <c r="Z167" s="3"/>
    </row>
    <row r="168" spans="1:26" ht="22.5" customHeight="1" x14ac:dyDescent="0.85">
      <c r="A168" s="166"/>
      <c r="B168" s="167"/>
      <c r="C168" s="167"/>
      <c r="D168" s="147"/>
      <c r="E168" s="147"/>
      <c r="F168" s="147"/>
      <c r="G168" s="147"/>
      <c r="H168" s="147"/>
      <c r="I168" s="147"/>
      <c r="J168" s="147"/>
      <c r="K168" s="3"/>
      <c r="L168" s="3"/>
      <c r="M168" s="3"/>
      <c r="N168" s="3"/>
      <c r="O168" s="3"/>
      <c r="P168" s="3"/>
      <c r="Q168" s="3"/>
      <c r="R168" s="3"/>
      <c r="S168" s="3"/>
      <c r="T168" s="3"/>
      <c r="U168" s="3"/>
      <c r="V168" s="3"/>
      <c r="W168" s="3"/>
      <c r="X168" s="3"/>
      <c r="Y168" s="3"/>
      <c r="Z168" s="3"/>
    </row>
    <row r="169" spans="1:26" ht="22.5" customHeight="1" x14ac:dyDescent="0.85">
      <c r="A169" s="166"/>
      <c r="B169" s="167"/>
      <c r="C169" s="167"/>
      <c r="D169" s="147"/>
      <c r="E169" s="147"/>
      <c r="F169" s="147"/>
      <c r="G169" s="147"/>
      <c r="H169" s="147"/>
      <c r="I169" s="147"/>
      <c r="J169" s="147"/>
      <c r="K169" s="3"/>
      <c r="L169" s="3"/>
      <c r="M169" s="3"/>
      <c r="N169" s="3"/>
      <c r="O169" s="3"/>
      <c r="P169" s="3"/>
      <c r="Q169" s="3"/>
      <c r="R169" s="3"/>
      <c r="S169" s="3"/>
      <c r="T169" s="3"/>
      <c r="U169" s="3"/>
      <c r="V169" s="3"/>
      <c r="W169" s="3"/>
      <c r="X169" s="3"/>
      <c r="Y169" s="3"/>
      <c r="Z169" s="3"/>
    </row>
    <row r="170" spans="1:26" ht="22.5" customHeight="1" x14ac:dyDescent="0.85">
      <c r="A170" s="166"/>
      <c r="B170" s="167"/>
      <c r="C170" s="167"/>
      <c r="D170" s="147"/>
      <c r="E170" s="147"/>
      <c r="F170" s="147"/>
      <c r="G170" s="147"/>
      <c r="H170" s="147"/>
      <c r="I170" s="147"/>
      <c r="J170" s="147"/>
      <c r="K170" s="3"/>
      <c r="L170" s="3"/>
      <c r="M170" s="3"/>
      <c r="N170" s="3"/>
      <c r="O170" s="3"/>
      <c r="P170" s="3"/>
      <c r="Q170" s="3"/>
      <c r="R170" s="3"/>
      <c r="S170" s="3"/>
      <c r="T170" s="3"/>
      <c r="U170" s="3"/>
      <c r="V170" s="3"/>
      <c r="W170" s="3"/>
      <c r="X170" s="3"/>
      <c r="Y170" s="3"/>
      <c r="Z170" s="3"/>
    </row>
    <row r="171" spans="1:26" ht="22.5" customHeight="1" x14ac:dyDescent="0.85">
      <c r="A171" s="166"/>
      <c r="B171" s="167"/>
      <c r="C171" s="167"/>
      <c r="D171" s="147"/>
      <c r="E171" s="147"/>
      <c r="F171" s="147"/>
      <c r="G171" s="147"/>
      <c r="H171" s="147"/>
      <c r="I171" s="147"/>
      <c r="J171" s="147"/>
      <c r="K171" s="3"/>
      <c r="L171" s="3"/>
      <c r="M171" s="3"/>
      <c r="N171" s="3"/>
      <c r="O171" s="3"/>
      <c r="P171" s="3"/>
      <c r="Q171" s="3"/>
      <c r="R171" s="3"/>
      <c r="S171" s="3"/>
      <c r="T171" s="3"/>
      <c r="U171" s="3"/>
      <c r="V171" s="3"/>
      <c r="W171" s="3"/>
      <c r="X171" s="3"/>
      <c r="Y171" s="3"/>
      <c r="Z171" s="3"/>
    </row>
    <row r="172" spans="1:26" ht="22.5" customHeight="1" x14ac:dyDescent="0.85">
      <c r="A172" s="166"/>
      <c r="B172" s="167"/>
      <c r="C172" s="167"/>
      <c r="D172" s="147"/>
      <c r="E172" s="147"/>
      <c r="F172" s="147"/>
      <c r="G172" s="147"/>
      <c r="H172" s="147"/>
      <c r="I172" s="147"/>
      <c r="J172" s="147"/>
      <c r="K172" s="3"/>
      <c r="L172" s="3"/>
      <c r="M172" s="3"/>
      <c r="N172" s="3"/>
      <c r="O172" s="3"/>
      <c r="P172" s="3"/>
      <c r="Q172" s="3"/>
      <c r="R172" s="3"/>
      <c r="S172" s="3"/>
      <c r="T172" s="3"/>
      <c r="U172" s="3"/>
      <c r="V172" s="3"/>
      <c r="W172" s="3"/>
      <c r="X172" s="3"/>
      <c r="Y172" s="3"/>
      <c r="Z172" s="3"/>
    </row>
    <row r="173" spans="1:26" ht="22.5" customHeight="1" x14ac:dyDescent="0.85">
      <c r="A173" s="166"/>
      <c r="B173" s="167"/>
      <c r="C173" s="167"/>
      <c r="D173" s="147"/>
      <c r="E173" s="147"/>
      <c r="F173" s="147"/>
      <c r="G173" s="147"/>
      <c r="H173" s="147"/>
      <c r="I173" s="147"/>
      <c r="J173" s="147"/>
      <c r="K173" s="3"/>
      <c r="L173" s="3"/>
      <c r="M173" s="3"/>
      <c r="N173" s="3"/>
      <c r="O173" s="3"/>
      <c r="P173" s="3"/>
      <c r="Q173" s="3"/>
      <c r="R173" s="3"/>
      <c r="S173" s="3"/>
      <c r="T173" s="3"/>
      <c r="U173" s="3"/>
      <c r="V173" s="3"/>
      <c r="W173" s="3"/>
      <c r="X173" s="3"/>
      <c r="Y173" s="3"/>
      <c r="Z173" s="3"/>
    </row>
    <row r="174" spans="1:26" ht="22.5" customHeight="1" x14ac:dyDescent="0.85">
      <c r="A174" s="166"/>
      <c r="B174" s="167"/>
      <c r="C174" s="167"/>
      <c r="D174" s="147"/>
      <c r="E174" s="147"/>
      <c r="F174" s="147"/>
      <c r="G174" s="147"/>
      <c r="H174" s="147"/>
      <c r="I174" s="147"/>
      <c r="J174" s="147"/>
      <c r="K174" s="3"/>
      <c r="L174" s="3"/>
      <c r="M174" s="3"/>
      <c r="N174" s="3"/>
      <c r="O174" s="3"/>
      <c r="P174" s="3"/>
      <c r="Q174" s="3"/>
      <c r="R174" s="3"/>
      <c r="S174" s="3"/>
      <c r="T174" s="3"/>
      <c r="U174" s="3"/>
      <c r="V174" s="3"/>
      <c r="W174" s="3"/>
      <c r="X174" s="3"/>
      <c r="Y174" s="3"/>
      <c r="Z174" s="3"/>
    </row>
    <row r="175" spans="1:26" ht="22.5" customHeight="1" x14ac:dyDescent="0.85">
      <c r="A175" s="166"/>
      <c r="B175" s="167"/>
      <c r="C175" s="167"/>
      <c r="D175" s="147"/>
      <c r="E175" s="147"/>
      <c r="F175" s="147"/>
      <c r="G175" s="147"/>
      <c r="H175" s="147"/>
      <c r="I175" s="147"/>
      <c r="J175" s="147"/>
      <c r="K175" s="3"/>
      <c r="L175" s="3"/>
      <c r="M175" s="3"/>
      <c r="N175" s="3"/>
      <c r="O175" s="3"/>
      <c r="P175" s="3"/>
      <c r="Q175" s="3"/>
      <c r="R175" s="3"/>
      <c r="S175" s="3"/>
      <c r="T175" s="3"/>
      <c r="U175" s="3"/>
      <c r="V175" s="3"/>
      <c r="W175" s="3"/>
      <c r="X175" s="3"/>
      <c r="Y175" s="3"/>
      <c r="Z175" s="3"/>
    </row>
    <row r="176" spans="1:26" ht="22.5" customHeight="1" x14ac:dyDescent="0.85">
      <c r="A176" s="166"/>
      <c r="B176" s="167"/>
      <c r="C176" s="167"/>
      <c r="D176" s="147"/>
      <c r="E176" s="147"/>
      <c r="F176" s="147"/>
      <c r="G176" s="147"/>
      <c r="H176" s="147"/>
      <c r="I176" s="147"/>
      <c r="J176" s="147"/>
      <c r="K176" s="3"/>
      <c r="L176" s="3"/>
      <c r="M176" s="3"/>
      <c r="N176" s="3"/>
      <c r="O176" s="3"/>
      <c r="P176" s="3"/>
      <c r="Q176" s="3"/>
      <c r="R176" s="3"/>
      <c r="S176" s="3"/>
      <c r="T176" s="3"/>
      <c r="U176" s="3"/>
      <c r="V176" s="3"/>
      <c r="W176" s="3"/>
      <c r="X176" s="3"/>
      <c r="Y176" s="3"/>
      <c r="Z176" s="3"/>
    </row>
    <row r="177" spans="1:26" ht="22.5" customHeight="1" x14ac:dyDescent="0.85">
      <c r="A177" s="166"/>
      <c r="B177" s="167"/>
      <c r="C177" s="167"/>
      <c r="D177" s="147"/>
      <c r="E177" s="147"/>
      <c r="F177" s="147"/>
      <c r="G177" s="147"/>
      <c r="H177" s="147"/>
      <c r="I177" s="147"/>
      <c r="J177" s="147"/>
      <c r="K177" s="3"/>
      <c r="L177" s="3"/>
      <c r="M177" s="3"/>
      <c r="N177" s="3"/>
      <c r="O177" s="3"/>
      <c r="P177" s="3"/>
      <c r="Q177" s="3"/>
      <c r="R177" s="3"/>
      <c r="S177" s="3"/>
      <c r="T177" s="3"/>
      <c r="U177" s="3"/>
      <c r="V177" s="3"/>
      <c r="W177" s="3"/>
      <c r="X177" s="3"/>
      <c r="Y177" s="3"/>
      <c r="Z177" s="3"/>
    </row>
    <row r="178" spans="1:26" ht="22.5" customHeight="1" x14ac:dyDescent="0.85">
      <c r="A178" s="166"/>
      <c r="B178" s="167"/>
      <c r="C178" s="167"/>
      <c r="D178" s="147"/>
      <c r="E178" s="147"/>
      <c r="F178" s="147"/>
      <c r="G178" s="147"/>
      <c r="H178" s="147"/>
      <c r="I178" s="147"/>
      <c r="J178" s="147"/>
      <c r="K178" s="3"/>
      <c r="L178" s="3"/>
      <c r="M178" s="3"/>
      <c r="N178" s="3"/>
      <c r="O178" s="3"/>
      <c r="P178" s="3"/>
      <c r="Q178" s="3"/>
      <c r="R178" s="3"/>
      <c r="S178" s="3"/>
      <c r="T178" s="3"/>
      <c r="U178" s="3"/>
      <c r="V178" s="3"/>
      <c r="W178" s="3"/>
      <c r="X178" s="3"/>
      <c r="Y178" s="3"/>
      <c r="Z178" s="3"/>
    </row>
    <row r="179" spans="1:26" ht="22.5" customHeight="1" x14ac:dyDescent="0.85">
      <c r="A179" s="166"/>
      <c r="B179" s="167"/>
      <c r="C179" s="167"/>
      <c r="D179" s="147"/>
      <c r="E179" s="147"/>
      <c r="F179" s="147"/>
      <c r="G179" s="147"/>
      <c r="H179" s="147"/>
      <c r="I179" s="147"/>
      <c r="J179" s="147"/>
      <c r="K179" s="3"/>
      <c r="L179" s="3"/>
      <c r="M179" s="3"/>
      <c r="N179" s="3"/>
      <c r="O179" s="3"/>
      <c r="P179" s="3"/>
      <c r="Q179" s="3"/>
      <c r="R179" s="3"/>
      <c r="S179" s="3"/>
      <c r="T179" s="3"/>
      <c r="U179" s="3"/>
      <c r="V179" s="3"/>
      <c r="W179" s="3"/>
      <c r="X179" s="3"/>
      <c r="Y179" s="3"/>
      <c r="Z179" s="3"/>
    </row>
    <row r="180" spans="1:26" ht="22.5" customHeight="1" x14ac:dyDescent="0.85">
      <c r="A180" s="166"/>
      <c r="B180" s="167"/>
      <c r="C180" s="167"/>
      <c r="D180" s="147"/>
      <c r="E180" s="147"/>
      <c r="F180" s="147"/>
      <c r="G180" s="147"/>
      <c r="H180" s="147"/>
      <c r="I180" s="147"/>
      <c r="J180" s="147"/>
      <c r="K180" s="3"/>
      <c r="L180" s="3"/>
      <c r="M180" s="3"/>
      <c r="N180" s="3"/>
      <c r="O180" s="3"/>
      <c r="P180" s="3"/>
      <c r="Q180" s="3"/>
      <c r="R180" s="3"/>
      <c r="S180" s="3"/>
      <c r="T180" s="3"/>
      <c r="U180" s="3"/>
      <c r="V180" s="3"/>
      <c r="W180" s="3"/>
      <c r="X180" s="3"/>
      <c r="Y180" s="3"/>
      <c r="Z180" s="3"/>
    </row>
    <row r="181" spans="1:26" ht="22.5" customHeight="1" x14ac:dyDescent="0.85">
      <c r="A181" s="166"/>
      <c r="B181" s="167"/>
      <c r="C181" s="167"/>
      <c r="D181" s="147"/>
      <c r="E181" s="147"/>
      <c r="F181" s="147"/>
      <c r="G181" s="147"/>
      <c r="H181" s="147"/>
      <c r="I181" s="147"/>
      <c r="J181" s="147"/>
      <c r="K181" s="3"/>
      <c r="L181" s="3"/>
      <c r="M181" s="3"/>
      <c r="N181" s="3"/>
      <c r="O181" s="3"/>
      <c r="P181" s="3"/>
      <c r="Q181" s="3"/>
      <c r="R181" s="3"/>
      <c r="S181" s="3"/>
      <c r="T181" s="3"/>
      <c r="U181" s="3"/>
      <c r="V181" s="3"/>
      <c r="W181" s="3"/>
      <c r="X181" s="3"/>
      <c r="Y181" s="3"/>
      <c r="Z181" s="3"/>
    </row>
    <row r="182" spans="1:26" ht="22.5" customHeight="1" x14ac:dyDescent="0.85">
      <c r="A182" s="166"/>
      <c r="B182" s="167"/>
      <c r="C182" s="167"/>
      <c r="D182" s="147"/>
      <c r="E182" s="147"/>
      <c r="F182" s="147"/>
      <c r="G182" s="147"/>
      <c r="H182" s="147"/>
      <c r="I182" s="147"/>
      <c r="J182" s="147"/>
      <c r="K182" s="3"/>
      <c r="L182" s="3"/>
      <c r="M182" s="3"/>
      <c r="N182" s="3"/>
      <c r="O182" s="3"/>
      <c r="P182" s="3"/>
      <c r="Q182" s="3"/>
      <c r="R182" s="3"/>
      <c r="S182" s="3"/>
      <c r="T182" s="3"/>
      <c r="U182" s="3"/>
      <c r="V182" s="3"/>
      <c r="W182" s="3"/>
      <c r="X182" s="3"/>
      <c r="Y182" s="3"/>
      <c r="Z182" s="3"/>
    </row>
    <row r="183" spans="1:26" ht="22.5" customHeight="1" x14ac:dyDescent="0.85">
      <c r="A183" s="166"/>
      <c r="B183" s="167"/>
      <c r="C183" s="167"/>
      <c r="D183" s="147"/>
      <c r="E183" s="147"/>
      <c r="F183" s="147"/>
      <c r="G183" s="147"/>
      <c r="H183" s="147"/>
      <c r="I183" s="147"/>
      <c r="J183" s="147"/>
      <c r="K183" s="3"/>
      <c r="L183" s="3"/>
      <c r="M183" s="3"/>
      <c r="N183" s="3"/>
      <c r="O183" s="3"/>
      <c r="P183" s="3"/>
      <c r="Q183" s="3"/>
      <c r="R183" s="3"/>
      <c r="S183" s="3"/>
      <c r="T183" s="3"/>
      <c r="U183" s="3"/>
      <c r="V183" s="3"/>
      <c r="W183" s="3"/>
      <c r="X183" s="3"/>
      <c r="Y183" s="3"/>
      <c r="Z183" s="3"/>
    </row>
    <row r="184" spans="1:26" ht="22.5" customHeight="1" x14ac:dyDescent="0.85">
      <c r="A184" s="166"/>
      <c r="B184" s="167"/>
      <c r="C184" s="167"/>
      <c r="D184" s="147"/>
      <c r="E184" s="147"/>
      <c r="F184" s="147"/>
      <c r="G184" s="147"/>
      <c r="H184" s="147"/>
      <c r="I184" s="147"/>
      <c r="J184" s="147"/>
      <c r="K184" s="3"/>
      <c r="L184" s="3"/>
      <c r="M184" s="3"/>
      <c r="N184" s="3"/>
      <c r="O184" s="3"/>
      <c r="P184" s="3"/>
      <c r="Q184" s="3"/>
      <c r="R184" s="3"/>
      <c r="S184" s="3"/>
      <c r="T184" s="3"/>
      <c r="U184" s="3"/>
      <c r="V184" s="3"/>
      <c r="W184" s="3"/>
      <c r="X184" s="3"/>
      <c r="Y184" s="3"/>
      <c r="Z184" s="3"/>
    </row>
    <row r="185" spans="1:26" ht="22.5" customHeight="1" x14ac:dyDescent="0.85">
      <c r="A185" s="166"/>
      <c r="B185" s="167"/>
      <c r="C185" s="167"/>
      <c r="D185" s="147"/>
      <c r="E185" s="147"/>
      <c r="F185" s="147"/>
      <c r="G185" s="147"/>
      <c r="H185" s="147"/>
      <c r="I185" s="147"/>
      <c r="J185" s="147"/>
      <c r="K185" s="3"/>
      <c r="L185" s="3"/>
      <c r="M185" s="3"/>
      <c r="N185" s="3"/>
      <c r="O185" s="3"/>
      <c r="P185" s="3"/>
      <c r="Q185" s="3"/>
      <c r="R185" s="3"/>
      <c r="S185" s="3"/>
      <c r="T185" s="3"/>
      <c r="U185" s="3"/>
      <c r="V185" s="3"/>
      <c r="W185" s="3"/>
      <c r="X185" s="3"/>
      <c r="Y185" s="3"/>
      <c r="Z185" s="3"/>
    </row>
    <row r="186" spans="1:26" ht="22.5" customHeight="1" x14ac:dyDescent="0.85">
      <c r="A186" s="166"/>
      <c r="B186" s="167"/>
      <c r="C186" s="167"/>
      <c r="D186" s="147"/>
      <c r="E186" s="147"/>
      <c r="F186" s="147"/>
      <c r="G186" s="147"/>
      <c r="H186" s="147"/>
      <c r="I186" s="147"/>
      <c r="J186" s="147"/>
      <c r="K186" s="3"/>
      <c r="L186" s="3"/>
      <c r="M186" s="3"/>
      <c r="N186" s="3"/>
      <c r="O186" s="3"/>
      <c r="P186" s="3"/>
      <c r="Q186" s="3"/>
      <c r="R186" s="3"/>
      <c r="S186" s="3"/>
      <c r="T186" s="3"/>
      <c r="U186" s="3"/>
      <c r="V186" s="3"/>
      <c r="W186" s="3"/>
      <c r="X186" s="3"/>
      <c r="Y186" s="3"/>
      <c r="Z186" s="3"/>
    </row>
    <row r="187" spans="1:26" ht="22.5" customHeight="1" x14ac:dyDescent="0.85">
      <c r="A187" s="166"/>
      <c r="B187" s="167"/>
      <c r="C187" s="167"/>
      <c r="D187" s="147"/>
      <c r="E187" s="147"/>
      <c r="F187" s="147"/>
      <c r="G187" s="147"/>
      <c r="H187" s="147"/>
      <c r="I187" s="147"/>
      <c r="J187" s="147"/>
      <c r="K187" s="3"/>
      <c r="L187" s="3"/>
      <c r="M187" s="3"/>
      <c r="N187" s="3"/>
      <c r="O187" s="3"/>
      <c r="P187" s="3"/>
      <c r="Q187" s="3"/>
      <c r="R187" s="3"/>
      <c r="S187" s="3"/>
      <c r="T187" s="3"/>
      <c r="U187" s="3"/>
      <c r="V187" s="3"/>
      <c r="W187" s="3"/>
      <c r="X187" s="3"/>
      <c r="Y187" s="3"/>
      <c r="Z187" s="3"/>
    </row>
    <row r="188" spans="1:26" ht="22.5" customHeight="1" x14ac:dyDescent="0.85">
      <c r="A188" s="166"/>
      <c r="B188" s="167"/>
      <c r="C188" s="167"/>
      <c r="D188" s="147"/>
      <c r="E188" s="147"/>
      <c r="F188" s="147"/>
      <c r="G188" s="147"/>
      <c r="H188" s="147"/>
      <c r="I188" s="147"/>
      <c r="J188" s="147"/>
      <c r="K188" s="3"/>
      <c r="L188" s="3"/>
      <c r="M188" s="3"/>
      <c r="N188" s="3"/>
      <c r="O188" s="3"/>
      <c r="P188" s="3"/>
      <c r="Q188" s="3"/>
      <c r="R188" s="3"/>
      <c r="S188" s="3"/>
      <c r="T188" s="3"/>
      <c r="U188" s="3"/>
      <c r="V188" s="3"/>
      <c r="W188" s="3"/>
      <c r="X188" s="3"/>
      <c r="Y188" s="3"/>
      <c r="Z188" s="3"/>
    </row>
    <row r="189" spans="1:26" ht="22.5" customHeight="1" x14ac:dyDescent="0.85">
      <c r="A189" s="166"/>
      <c r="B189" s="167"/>
      <c r="C189" s="167"/>
      <c r="D189" s="147"/>
      <c r="E189" s="147"/>
      <c r="F189" s="147"/>
      <c r="G189" s="147"/>
      <c r="H189" s="147"/>
      <c r="I189" s="147"/>
      <c r="J189" s="147"/>
      <c r="K189" s="3"/>
      <c r="L189" s="3"/>
      <c r="M189" s="3"/>
      <c r="N189" s="3"/>
      <c r="O189" s="3"/>
      <c r="P189" s="3"/>
      <c r="Q189" s="3"/>
      <c r="R189" s="3"/>
      <c r="S189" s="3"/>
      <c r="T189" s="3"/>
      <c r="U189" s="3"/>
      <c r="V189" s="3"/>
      <c r="W189" s="3"/>
      <c r="X189" s="3"/>
      <c r="Y189" s="3"/>
      <c r="Z189" s="3"/>
    </row>
    <row r="190" spans="1:26" ht="22.5" customHeight="1" x14ac:dyDescent="0.85">
      <c r="A190" s="166"/>
      <c r="B190" s="167"/>
      <c r="C190" s="167"/>
      <c r="D190" s="147"/>
      <c r="E190" s="147"/>
      <c r="F190" s="147"/>
      <c r="G190" s="147"/>
      <c r="H190" s="147"/>
      <c r="I190" s="147"/>
      <c r="J190" s="147"/>
      <c r="K190" s="3"/>
      <c r="L190" s="3"/>
      <c r="M190" s="3"/>
      <c r="N190" s="3"/>
      <c r="O190" s="3"/>
      <c r="P190" s="3"/>
      <c r="Q190" s="3"/>
      <c r="R190" s="3"/>
      <c r="S190" s="3"/>
      <c r="T190" s="3"/>
      <c r="U190" s="3"/>
      <c r="V190" s="3"/>
      <c r="W190" s="3"/>
      <c r="X190" s="3"/>
      <c r="Y190" s="3"/>
      <c r="Z190" s="3"/>
    </row>
    <row r="191" spans="1:26" ht="22.5" customHeight="1" x14ac:dyDescent="0.85">
      <c r="A191" s="166"/>
      <c r="B191" s="167"/>
      <c r="C191" s="167"/>
      <c r="D191" s="147"/>
      <c r="E191" s="147"/>
      <c r="F191" s="147"/>
      <c r="G191" s="147"/>
      <c r="H191" s="147"/>
      <c r="I191" s="147"/>
      <c r="J191" s="147"/>
      <c r="K191" s="3"/>
      <c r="L191" s="3"/>
      <c r="M191" s="3"/>
      <c r="N191" s="3"/>
      <c r="O191" s="3"/>
      <c r="P191" s="3"/>
      <c r="Q191" s="3"/>
      <c r="R191" s="3"/>
      <c r="S191" s="3"/>
      <c r="T191" s="3"/>
      <c r="U191" s="3"/>
      <c r="V191" s="3"/>
      <c r="W191" s="3"/>
      <c r="X191" s="3"/>
      <c r="Y191" s="3"/>
      <c r="Z191" s="3"/>
    </row>
    <row r="192" spans="1:26" ht="22.5" customHeight="1" x14ac:dyDescent="0.85">
      <c r="A192" s="166"/>
      <c r="B192" s="167"/>
      <c r="C192" s="167"/>
      <c r="D192" s="147"/>
      <c r="E192" s="147"/>
      <c r="F192" s="147"/>
      <c r="G192" s="147"/>
      <c r="H192" s="147"/>
      <c r="I192" s="147"/>
      <c r="J192" s="147"/>
      <c r="K192" s="3"/>
      <c r="L192" s="3"/>
      <c r="M192" s="3"/>
      <c r="N192" s="3"/>
      <c r="O192" s="3"/>
      <c r="P192" s="3"/>
      <c r="Q192" s="3"/>
      <c r="R192" s="3"/>
      <c r="S192" s="3"/>
      <c r="T192" s="3"/>
      <c r="U192" s="3"/>
      <c r="V192" s="3"/>
      <c r="W192" s="3"/>
      <c r="X192" s="3"/>
      <c r="Y192" s="3"/>
      <c r="Z192" s="3"/>
    </row>
    <row r="193" spans="1:26" ht="22.5" customHeight="1" x14ac:dyDescent="0.85">
      <c r="A193" s="166"/>
      <c r="B193" s="167"/>
      <c r="C193" s="167"/>
      <c r="D193" s="147"/>
      <c r="E193" s="147"/>
      <c r="F193" s="147"/>
      <c r="G193" s="147"/>
      <c r="H193" s="147"/>
      <c r="I193" s="147"/>
      <c r="J193" s="147"/>
      <c r="K193" s="3"/>
      <c r="L193" s="3"/>
      <c r="M193" s="3"/>
      <c r="N193" s="3"/>
      <c r="O193" s="3"/>
      <c r="P193" s="3"/>
      <c r="Q193" s="3"/>
      <c r="R193" s="3"/>
      <c r="S193" s="3"/>
      <c r="T193" s="3"/>
      <c r="U193" s="3"/>
      <c r="V193" s="3"/>
      <c r="W193" s="3"/>
      <c r="X193" s="3"/>
      <c r="Y193" s="3"/>
      <c r="Z193" s="3"/>
    </row>
    <row r="194" spans="1:26" ht="22.5" customHeight="1" x14ac:dyDescent="0.85">
      <c r="A194" s="166"/>
      <c r="B194" s="167"/>
      <c r="C194" s="167"/>
      <c r="D194" s="147"/>
      <c r="E194" s="147"/>
      <c r="F194" s="147"/>
      <c r="G194" s="147"/>
      <c r="H194" s="147"/>
      <c r="I194" s="147"/>
      <c r="J194" s="147"/>
      <c r="K194" s="3"/>
      <c r="L194" s="3"/>
      <c r="M194" s="3"/>
      <c r="N194" s="3"/>
      <c r="O194" s="3"/>
      <c r="P194" s="3"/>
      <c r="Q194" s="3"/>
      <c r="R194" s="3"/>
      <c r="S194" s="3"/>
      <c r="T194" s="3"/>
      <c r="U194" s="3"/>
      <c r="V194" s="3"/>
      <c r="W194" s="3"/>
      <c r="X194" s="3"/>
      <c r="Y194" s="3"/>
      <c r="Z194" s="3"/>
    </row>
    <row r="195" spans="1:26" ht="22.5" customHeight="1" x14ac:dyDescent="0.85">
      <c r="A195" s="166"/>
      <c r="B195" s="167"/>
      <c r="C195" s="167"/>
      <c r="D195" s="147"/>
      <c r="E195" s="147"/>
      <c r="F195" s="147"/>
      <c r="G195" s="147"/>
      <c r="H195" s="147"/>
      <c r="I195" s="147"/>
      <c r="J195" s="147"/>
      <c r="K195" s="3"/>
      <c r="L195" s="3"/>
      <c r="M195" s="3"/>
      <c r="N195" s="3"/>
      <c r="O195" s="3"/>
      <c r="P195" s="3"/>
      <c r="Q195" s="3"/>
      <c r="R195" s="3"/>
      <c r="S195" s="3"/>
      <c r="T195" s="3"/>
      <c r="U195" s="3"/>
      <c r="V195" s="3"/>
      <c r="W195" s="3"/>
      <c r="X195" s="3"/>
      <c r="Y195" s="3"/>
      <c r="Z195" s="3"/>
    </row>
    <row r="196" spans="1:26" ht="22.5" customHeight="1" x14ac:dyDescent="0.85">
      <c r="A196" s="166"/>
      <c r="B196" s="167"/>
      <c r="C196" s="167"/>
      <c r="D196" s="147"/>
      <c r="E196" s="147"/>
      <c r="F196" s="147"/>
      <c r="G196" s="147"/>
      <c r="H196" s="147"/>
      <c r="I196" s="147"/>
      <c r="J196" s="147"/>
      <c r="K196" s="3"/>
      <c r="L196" s="3"/>
      <c r="M196" s="3"/>
      <c r="N196" s="3"/>
      <c r="O196" s="3"/>
      <c r="P196" s="3"/>
      <c r="Q196" s="3"/>
      <c r="R196" s="3"/>
      <c r="S196" s="3"/>
      <c r="T196" s="3"/>
      <c r="U196" s="3"/>
      <c r="V196" s="3"/>
      <c r="W196" s="3"/>
      <c r="X196" s="3"/>
      <c r="Y196" s="3"/>
      <c r="Z196" s="3"/>
    </row>
    <row r="197" spans="1:26" ht="22.5" customHeight="1" x14ac:dyDescent="0.85">
      <c r="A197" s="166"/>
      <c r="B197" s="167"/>
      <c r="C197" s="167"/>
      <c r="D197" s="147"/>
      <c r="E197" s="147"/>
      <c r="F197" s="147"/>
      <c r="G197" s="147"/>
      <c r="H197" s="147"/>
      <c r="I197" s="147"/>
      <c r="J197" s="147"/>
      <c r="K197" s="3"/>
      <c r="L197" s="3"/>
      <c r="M197" s="3"/>
      <c r="N197" s="3"/>
      <c r="O197" s="3"/>
      <c r="P197" s="3"/>
      <c r="Q197" s="3"/>
      <c r="R197" s="3"/>
      <c r="S197" s="3"/>
      <c r="T197" s="3"/>
      <c r="U197" s="3"/>
      <c r="V197" s="3"/>
      <c r="W197" s="3"/>
      <c r="X197" s="3"/>
      <c r="Y197" s="3"/>
      <c r="Z197" s="3"/>
    </row>
    <row r="198" spans="1:26" ht="22.5" customHeight="1" x14ac:dyDescent="0.85">
      <c r="A198" s="166"/>
      <c r="B198" s="167"/>
      <c r="C198" s="167"/>
      <c r="D198" s="147"/>
      <c r="E198" s="147"/>
      <c r="F198" s="147"/>
      <c r="G198" s="147"/>
      <c r="H198" s="147"/>
      <c r="I198" s="147"/>
      <c r="J198" s="147"/>
      <c r="K198" s="3"/>
      <c r="L198" s="3"/>
      <c r="M198" s="3"/>
      <c r="N198" s="3"/>
      <c r="O198" s="3"/>
      <c r="P198" s="3"/>
      <c r="Q198" s="3"/>
      <c r="R198" s="3"/>
      <c r="S198" s="3"/>
      <c r="T198" s="3"/>
      <c r="U198" s="3"/>
      <c r="V198" s="3"/>
      <c r="W198" s="3"/>
      <c r="X198" s="3"/>
      <c r="Y198" s="3"/>
      <c r="Z198" s="3"/>
    </row>
    <row r="199" spans="1:26" ht="22.5" customHeight="1" x14ac:dyDescent="0.85">
      <c r="A199" s="166"/>
      <c r="B199" s="167"/>
      <c r="C199" s="167"/>
      <c r="D199" s="147"/>
      <c r="E199" s="147"/>
      <c r="F199" s="147"/>
      <c r="G199" s="147"/>
      <c r="H199" s="147"/>
      <c r="I199" s="147"/>
      <c r="J199" s="147"/>
      <c r="K199" s="3"/>
      <c r="L199" s="3"/>
      <c r="M199" s="3"/>
      <c r="N199" s="3"/>
      <c r="O199" s="3"/>
      <c r="P199" s="3"/>
      <c r="Q199" s="3"/>
      <c r="R199" s="3"/>
      <c r="S199" s="3"/>
      <c r="T199" s="3"/>
      <c r="U199" s="3"/>
      <c r="V199" s="3"/>
      <c r="W199" s="3"/>
      <c r="X199" s="3"/>
      <c r="Y199" s="3"/>
      <c r="Z199" s="3"/>
    </row>
    <row r="200" spans="1:26" ht="22.5" customHeight="1" x14ac:dyDescent="0.85">
      <c r="A200" s="166"/>
      <c r="B200" s="167"/>
      <c r="C200" s="167"/>
      <c r="D200" s="147"/>
      <c r="E200" s="147"/>
      <c r="F200" s="147"/>
      <c r="G200" s="147"/>
      <c r="H200" s="147"/>
      <c r="I200" s="147"/>
      <c r="J200" s="147"/>
      <c r="K200" s="3"/>
      <c r="L200" s="3"/>
      <c r="M200" s="3"/>
      <c r="N200" s="3"/>
      <c r="O200" s="3"/>
      <c r="P200" s="3"/>
      <c r="Q200" s="3"/>
      <c r="R200" s="3"/>
      <c r="S200" s="3"/>
      <c r="T200" s="3"/>
      <c r="U200" s="3"/>
      <c r="V200" s="3"/>
      <c r="W200" s="3"/>
      <c r="X200" s="3"/>
      <c r="Y200" s="3"/>
      <c r="Z200" s="3"/>
    </row>
    <row r="201" spans="1:26" ht="22.5" customHeight="1" x14ac:dyDescent="0.85">
      <c r="A201" s="166"/>
      <c r="B201" s="167"/>
      <c r="C201" s="167"/>
      <c r="D201" s="147"/>
      <c r="E201" s="147"/>
      <c r="F201" s="147"/>
      <c r="G201" s="147"/>
      <c r="H201" s="147"/>
      <c r="I201" s="147"/>
      <c r="J201" s="147"/>
      <c r="K201" s="3"/>
      <c r="L201" s="3"/>
      <c r="M201" s="3"/>
      <c r="N201" s="3"/>
      <c r="O201" s="3"/>
      <c r="P201" s="3"/>
      <c r="Q201" s="3"/>
      <c r="R201" s="3"/>
      <c r="S201" s="3"/>
      <c r="T201" s="3"/>
      <c r="U201" s="3"/>
      <c r="V201" s="3"/>
      <c r="W201" s="3"/>
      <c r="X201" s="3"/>
      <c r="Y201" s="3"/>
      <c r="Z201" s="3"/>
    </row>
    <row r="202" spans="1:26" ht="22.5" customHeight="1" x14ac:dyDescent="0.85">
      <c r="A202" s="166"/>
      <c r="B202" s="167"/>
      <c r="C202" s="167"/>
      <c r="D202" s="147"/>
      <c r="E202" s="147"/>
      <c r="F202" s="147"/>
      <c r="G202" s="147"/>
      <c r="H202" s="147"/>
      <c r="I202" s="147"/>
      <c r="J202" s="147"/>
      <c r="K202" s="3"/>
      <c r="L202" s="3"/>
      <c r="M202" s="3"/>
      <c r="N202" s="3"/>
      <c r="O202" s="3"/>
      <c r="P202" s="3"/>
      <c r="Q202" s="3"/>
      <c r="R202" s="3"/>
      <c r="S202" s="3"/>
      <c r="T202" s="3"/>
      <c r="U202" s="3"/>
      <c r="V202" s="3"/>
      <c r="W202" s="3"/>
      <c r="X202" s="3"/>
      <c r="Y202" s="3"/>
      <c r="Z202" s="3"/>
    </row>
    <row r="203" spans="1:26" ht="22.5" customHeight="1" x14ac:dyDescent="0.85">
      <c r="A203" s="166"/>
      <c r="B203" s="167"/>
      <c r="C203" s="167"/>
      <c r="D203" s="147"/>
      <c r="E203" s="147"/>
      <c r="F203" s="147"/>
      <c r="G203" s="147"/>
      <c r="H203" s="147"/>
      <c r="I203" s="147"/>
      <c r="J203" s="147"/>
      <c r="K203" s="3"/>
      <c r="L203" s="3"/>
      <c r="M203" s="3"/>
      <c r="N203" s="3"/>
      <c r="O203" s="3"/>
      <c r="P203" s="3"/>
      <c r="Q203" s="3"/>
      <c r="R203" s="3"/>
      <c r="S203" s="3"/>
      <c r="T203" s="3"/>
      <c r="U203" s="3"/>
      <c r="V203" s="3"/>
      <c r="W203" s="3"/>
      <c r="X203" s="3"/>
      <c r="Y203" s="3"/>
      <c r="Z203" s="3"/>
    </row>
    <row r="204" spans="1:26" ht="22.5" customHeight="1" x14ac:dyDescent="0.85">
      <c r="A204" s="166"/>
      <c r="B204" s="167"/>
      <c r="C204" s="167"/>
      <c r="D204" s="147"/>
      <c r="E204" s="147"/>
      <c r="F204" s="147"/>
      <c r="G204" s="147"/>
      <c r="H204" s="147"/>
      <c r="I204" s="147"/>
      <c r="J204" s="147"/>
      <c r="K204" s="3"/>
      <c r="L204" s="3"/>
      <c r="M204" s="3"/>
      <c r="N204" s="3"/>
      <c r="O204" s="3"/>
      <c r="P204" s="3"/>
      <c r="Q204" s="3"/>
      <c r="R204" s="3"/>
      <c r="S204" s="3"/>
      <c r="T204" s="3"/>
      <c r="U204" s="3"/>
      <c r="V204" s="3"/>
      <c r="W204" s="3"/>
      <c r="X204" s="3"/>
      <c r="Y204" s="3"/>
      <c r="Z204" s="3"/>
    </row>
    <row r="205" spans="1:26" ht="22.5" customHeight="1" x14ac:dyDescent="0.85">
      <c r="A205" s="166"/>
      <c r="B205" s="167"/>
      <c r="C205" s="167"/>
      <c r="D205" s="147"/>
      <c r="E205" s="147"/>
      <c r="F205" s="147"/>
      <c r="G205" s="147"/>
      <c r="H205" s="147"/>
      <c r="I205" s="147"/>
      <c r="J205" s="147"/>
      <c r="K205" s="3"/>
      <c r="L205" s="3"/>
      <c r="M205" s="3"/>
      <c r="N205" s="3"/>
      <c r="O205" s="3"/>
      <c r="P205" s="3"/>
      <c r="Q205" s="3"/>
      <c r="R205" s="3"/>
      <c r="S205" s="3"/>
      <c r="T205" s="3"/>
      <c r="U205" s="3"/>
      <c r="V205" s="3"/>
      <c r="W205" s="3"/>
      <c r="X205" s="3"/>
      <c r="Y205" s="3"/>
      <c r="Z205" s="3"/>
    </row>
    <row r="206" spans="1:26" ht="22.5" customHeight="1" x14ac:dyDescent="0.85">
      <c r="A206" s="166"/>
      <c r="B206" s="167"/>
      <c r="C206" s="167"/>
      <c r="D206" s="147"/>
      <c r="E206" s="147"/>
      <c r="F206" s="147"/>
      <c r="G206" s="147"/>
      <c r="H206" s="147"/>
      <c r="I206" s="147"/>
      <c r="J206" s="147"/>
      <c r="K206" s="3"/>
      <c r="L206" s="3"/>
      <c r="M206" s="3"/>
      <c r="N206" s="3"/>
      <c r="O206" s="3"/>
      <c r="P206" s="3"/>
      <c r="Q206" s="3"/>
      <c r="R206" s="3"/>
      <c r="S206" s="3"/>
      <c r="T206" s="3"/>
      <c r="U206" s="3"/>
      <c r="V206" s="3"/>
      <c r="W206" s="3"/>
      <c r="X206" s="3"/>
      <c r="Y206" s="3"/>
      <c r="Z206" s="3"/>
    </row>
    <row r="207" spans="1:26" ht="22.5" customHeight="1" x14ac:dyDescent="0.85">
      <c r="A207" s="166"/>
      <c r="B207" s="167"/>
      <c r="C207" s="167"/>
      <c r="D207" s="147"/>
      <c r="E207" s="147"/>
      <c r="F207" s="147"/>
      <c r="G207" s="147"/>
      <c r="H207" s="147"/>
      <c r="I207" s="147"/>
      <c r="J207" s="147"/>
      <c r="K207" s="3"/>
      <c r="L207" s="3"/>
      <c r="M207" s="3"/>
      <c r="N207" s="3"/>
      <c r="O207" s="3"/>
      <c r="P207" s="3"/>
      <c r="Q207" s="3"/>
      <c r="R207" s="3"/>
      <c r="S207" s="3"/>
      <c r="T207" s="3"/>
      <c r="U207" s="3"/>
      <c r="V207" s="3"/>
      <c r="W207" s="3"/>
      <c r="X207" s="3"/>
      <c r="Y207" s="3"/>
      <c r="Z207" s="3"/>
    </row>
    <row r="208" spans="1:26" ht="22.5" customHeight="1" x14ac:dyDescent="0.85">
      <c r="A208" s="166"/>
      <c r="B208" s="167"/>
      <c r="C208" s="167"/>
      <c r="D208" s="147"/>
      <c r="E208" s="147"/>
      <c r="F208" s="147"/>
      <c r="G208" s="147"/>
      <c r="H208" s="147"/>
      <c r="I208" s="147"/>
      <c r="J208" s="147"/>
      <c r="K208" s="3"/>
      <c r="L208" s="3"/>
      <c r="M208" s="3"/>
      <c r="N208" s="3"/>
      <c r="O208" s="3"/>
      <c r="P208" s="3"/>
      <c r="Q208" s="3"/>
      <c r="R208" s="3"/>
      <c r="S208" s="3"/>
      <c r="T208" s="3"/>
      <c r="U208" s="3"/>
      <c r="V208" s="3"/>
      <c r="W208" s="3"/>
      <c r="X208" s="3"/>
      <c r="Y208" s="3"/>
      <c r="Z208" s="3"/>
    </row>
    <row r="209" spans="1:26" ht="22.5" customHeight="1" x14ac:dyDescent="0.85">
      <c r="A209" s="166"/>
      <c r="B209" s="167"/>
      <c r="C209" s="167"/>
      <c r="D209" s="147"/>
      <c r="E209" s="147"/>
      <c r="F209" s="147"/>
      <c r="G209" s="147"/>
      <c r="H209" s="147"/>
      <c r="I209" s="147"/>
      <c r="J209" s="147"/>
      <c r="K209" s="3"/>
      <c r="L209" s="3"/>
      <c r="M209" s="3"/>
      <c r="N209" s="3"/>
      <c r="O209" s="3"/>
      <c r="P209" s="3"/>
      <c r="Q209" s="3"/>
      <c r="R209" s="3"/>
      <c r="S209" s="3"/>
      <c r="T209" s="3"/>
      <c r="U209" s="3"/>
      <c r="V209" s="3"/>
      <c r="W209" s="3"/>
      <c r="X209" s="3"/>
      <c r="Y209" s="3"/>
      <c r="Z209" s="3"/>
    </row>
    <row r="210" spans="1:26" ht="22.5" customHeight="1" x14ac:dyDescent="0.85">
      <c r="A210" s="166"/>
      <c r="B210" s="167"/>
      <c r="C210" s="167"/>
      <c r="D210" s="147"/>
      <c r="E210" s="147"/>
      <c r="F210" s="147"/>
      <c r="G210" s="147"/>
      <c r="H210" s="147"/>
      <c r="I210" s="147"/>
      <c r="J210" s="147"/>
      <c r="K210" s="3"/>
      <c r="L210" s="3"/>
      <c r="M210" s="3"/>
      <c r="N210" s="3"/>
      <c r="O210" s="3"/>
      <c r="P210" s="3"/>
      <c r="Q210" s="3"/>
      <c r="R210" s="3"/>
      <c r="S210" s="3"/>
      <c r="T210" s="3"/>
      <c r="U210" s="3"/>
      <c r="V210" s="3"/>
      <c r="W210" s="3"/>
      <c r="X210" s="3"/>
      <c r="Y210" s="3"/>
      <c r="Z210" s="3"/>
    </row>
    <row r="211" spans="1:26" ht="22.5" customHeight="1" x14ac:dyDescent="0.85">
      <c r="A211" s="166"/>
      <c r="B211" s="167"/>
      <c r="C211" s="167"/>
      <c r="D211" s="147"/>
      <c r="E211" s="147"/>
      <c r="F211" s="147"/>
      <c r="G211" s="147"/>
      <c r="H211" s="147"/>
      <c r="I211" s="147"/>
      <c r="J211" s="147"/>
      <c r="K211" s="3"/>
      <c r="L211" s="3"/>
      <c r="M211" s="3"/>
      <c r="N211" s="3"/>
      <c r="O211" s="3"/>
      <c r="P211" s="3"/>
      <c r="Q211" s="3"/>
      <c r="R211" s="3"/>
      <c r="S211" s="3"/>
      <c r="T211" s="3"/>
      <c r="U211" s="3"/>
      <c r="V211" s="3"/>
      <c r="W211" s="3"/>
      <c r="X211" s="3"/>
      <c r="Y211" s="3"/>
      <c r="Z211" s="3"/>
    </row>
    <row r="212" spans="1:26" ht="22.5" customHeight="1" x14ac:dyDescent="0.85">
      <c r="A212" s="166"/>
      <c r="B212" s="167"/>
      <c r="C212" s="167"/>
      <c r="D212" s="147"/>
      <c r="E212" s="147"/>
      <c r="F212" s="147"/>
      <c r="G212" s="147"/>
      <c r="H212" s="147"/>
      <c r="I212" s="147"/>
      <c r="J212" s="147"/>
      <c r="K212" s="3"/>
      <c r="L212" s="3"/>
      <c r="M212" s="3"/>
      <c r="N212" s="3"/>
      <c r="O212" s="3"/>
      <c r="P212" s="3"/>
      <c r="Q212" s="3"/>
      <c r="R212" s="3"/>
      <c r="S212" s="3"/>
      <c r="T212" s="3"/>
      <c r="U212" s="3"/>
      <c r="V212" s="3"/>
      <c r="W212" s="3"/>
      <c r="X212" s="3"/>
      <c r="Y212" s="3"/>
      <c r="Z212" s="3"/>
    </row>
    <row r="213" spans="1:26" ht="22.5" customHeight="1" x14ac:dyDescent="0.85">
      <c r="A213" s="166"/>
      <c r="B213" s="167"/>
      <c r="C213" s="167"/>
      <c r="D213" s="147"/>
      <c r="E213" s="147"/>
      <c r="F213" s="147"/>
      <c r="G213" s="147"/>
      <c r="H213" s="147"/>
      <c r="I213" s="147"/>
      <c r="J213" s="147"/>
      <c r="K213" s="3"/>
      <c r="L213" s="3"/>
      <c r="M213" s="3"/>
      <c r="N213" s="3"/>
      <c r="O213" s="3"/>
      <c r="P213" s="3"/>
      <c r="Q213" s="3"/>
      <c r="R213" s="3"/>
      <c r="S213" s="3"/>
      <c r="T213" s="3"/>
      <c r="U213" s="3"/>
      <c r="V213" s="3"/>
      <c r="W213" s="3"/>
      <c r="X213" s="3"/>
      <c r="Y213" s="3"/>
      <c r="Z213" s="3"/>
    </row>
    <row r="214" spans="1:26" ht="22.5" customHeight="1" x14ac:dyDescent="0.85">
      <c r="A214" s="166"/>
      <c r="B214" s="167"/>
      <c r="C214" s="167"/>
      <c r="D214" s="147"/>
      <c r="E214" s="147"/>
      <c r="F214" s="147"/>
      <c r="G214" s="147"/>
      <c r="H214" s="147"/>
      <c r="I214" s="147"/>
      <c r="J214" s="147"/>
      <c r="K214" s="3"/>
      <c r="L214" s="3"/>
      <c r="M214" s="3"/>
      <c r="N214" s="3"/>
      <c r="O214" s="3"/>
      <c r="P214" s="3"/>
      <c r="Q214" s="3"/>
      <c r="R214" s="3"/>
      <c r="S214" s="3"/>
      <c r="T214" s="3"/>
      <c r="U214" s="3"/>
      <c r="V214" s="3"/>
      <c r="W214" s="3"/>
      <c r="X214" s="3"/>
      <c r="Y214" s="3"/>
      <c r="Z214" s="3"/>
    </row>
    <row r="215" spans="1:26" ht="22.5" customHeight="1" x14ac:dyDescent="0.85">
      <c r="A215" s="166"/>
      <c r="B215" s="167"/>
      <c r="C215" s="167"/>
      <c r="D215" s="147"/>
      <c r="E215" s="147"/>
      <c r="F215" s="147"/>
      <c r="G215" s="147"/>
      <c r="H215" s="147"/>
      <c r="I215" s="147"/>
      <c r="J215" s="147"/>
      <c r="K215" s="3"/>
      <c r="L215" s="3"/>
      <c r="M215" s="3"/>
      <c r="N215" s="3"/>
      <c r="O215" s="3"/>
      <c r="P215" s="3"/>
      <c r="Q215" s="3"/>
      <c r="R215" s="3"/>
      <c r="S215" s="3"/>
      <c r="T215" s="3"/>
      <c r="U215" s="3"/>
      <c r="V215" s="3"/>
      <c r="W215" s="3"/>
      <c r="X215" s="3"/>
      <c r="Y215" s="3"/>
      <c r="Z215" s="3"/>
    </row>
    <row r="216" spans="1:26" ht="22.5" customHeight="1" x14ac:dyDescent="0.85">
      <c r="A216" s="166"/>
      <c r="B216" s="167"/>
      <c r="C216" s="167"/>
      <c r="D216" s="147"/>
      <c r="E216" s="147"/>
      <c r="F216" s="147"/>
      <c r="G216" s="147"/>
      <c r="H216" s="147"/>
      <c r="I216" s="147"/>
      <c r="J216" s="147"/>
      <c r="K216" s="3"/>
      <c r="L216" s="3"/>
      <c r="M216" s="3"/>
      <c r="N216" s="3"/>
      <c r="O216" s="3"/>
      <c r="P216" s="3"/>
      <c r="Q216" s="3"/>
      <c r="R216" s="3"/>
      <c r="S216" s="3"/>
      <c r="T216" s="3"/>
      <c r="U216" s="3"/>
      <c r="V216" s="3"/>
      <c r="W216" s="3"/>
      <c r="X216" s="3"/>
      <c r="Y216" s="3"/>
      <c r="Z216" s="3"/>
    </row>
    <row r="217" spans="1:26" ht="22.5" customHeight="1" x14ac:dyDescent="0.85">
      <c r="A217" s="166"/>
      <c r="B217" s="167"/>
      <c r="C217" s="167"/>
      <c r="D217" s="147"/>
      <c r="E217" s="147"/>
      <c r="F217" s="147"/>
      <c r="G217" s="147"/>
      <c r="H217" s="147"/>
      <c r="I217" s="147"/>
      <c r="J217" s="147"/>
      <c r="K217" s="3"/>
      <c r="L217" s="3"/>
      <c r="M217" s="3"/>
      <c r="N217" s="3"/>
      <c r="O217" s="3"/>
      <c r="P217" s="3"/>
      <c r="Q217" s="3"/>
      <c r="R217" s="3"/>
      <c r="S217" s="3"/>
      <c r="T217" s="3"/>
      <c r="U217" s="3"/>
      <c r="V217" s="3"/>
      <c r="W217" s="3"/>
      <c r="X217" s="3"/>
      <c r="Y217" s="3"/>
      <c r="Z217" s="3"/>
    </row>
    <row r="218" spans="1:26" ht="22.5" customHeight="1" x14ac:dyDescent="0.85">
      <c r="A218" s="166"/>
      <c r="B218" s="167"/>
      <c r="C218" s="167"/>
      <c r="D218" s="147"/>
      <c r="E218" s="147"/>
      <c r="F218" s="147"/>
      <c r="G218" s="147"/>
      <c r="H218" s="147"/>
      <c r="I218" s="147"/>
      <c r="J218" s="147"/>
      <c r="K218" s="3"/>
      <c r="L218" s="3"/>
      <c r="M218" s="3"/>
      <c r="N218" s="3"/>
      <c r="O218" s="3"/>
      <c r="P218" s="3"/>
      <c r="Q218" s="3"/>
      <c r="R218" s="3"/>
      <c r="S218" s="3"/>
      <c r="T218" s="3"/>
      <c r="U218" s="3"/>
      <c r="V218" s="3"/>
      <c r="W218" s="3"/>
      <c r="X218" s="3"/>
      <c r="Y218" s="3"/>
      <c r="Z218" s="3"/>
    </row>
    <row r="219" spans="1:26" ht="22.5" customHeight="1" x14ac:dyDescent="0.85">
      <c r="A219" s="166"/>
      <c r="B219" s="167"/>
      <c r="C219" s="167"/>
      <c r="D219" s="147"/>
      <c r="E219" s="147"/>
      <c r="F219" s="147"/>
      <c r="G219" s="147"/>
      <c r="H219" s="147"/>
      <c r="I219" s="147"/>
      <c r="J219" s="147"/>
      <c r="K219" s="3"/>
      <c r="L219" s="3"/>
      <c r="M219" s="3"/>
      <c r="N219" s="3"/>
      <c r="O219" s="3"/>
      <c r="P219" s="3"/>
      <c r="Q219" s="3"/>
      <c r="R219" s="3"/>
      <c r="S219" s="3"/>
      <c r="T219" s="3"/>
      <c r="U219" s="3"/>
      <c r="V219" s="3"/>
      <c r="W219" s="3"/>
      <c r="X219" s="3"/>
      <c r="Y219" s="3"/>
      <c r="Z219" s="3"/>
    </row>
    <row r="220" spans="1:26" ht="22.5" customHeight="1" x14ac:dyDescent="0.85">
      <c r="A220" s="166"/>
      <c r="B220" s="167"/>
      <c r="C220" s="167"/>
      <c r="D220" s="147"/>
      <c r="E220" s="147"/>
      <c r="F220" s="147"/>
      <c r="G220" s="147"/>
      <c r="H220" s="147"/>
      <c r="I220" s="147"/>
      <c r="J220" s="147"/>
      <c r="K220" s="3"/>
      <c r="L220" s="3"/>
      <c r="M220" s="3"/>
      <c r="N220" s="3"/>
      <c r="O220" s="3"/>
      <c r="P220" s="3"/>
      <c r="Q220" s="3"/>
      <c r="R220" s="3"/>
      <c r="S220" s="3"/>
      <c r="T220" s="3"/>
      <c r="U220" s="3"/>
      <c r="V220" s="3"/>
      <c r="W220" s="3"/>
      <c r="X220" s="3"/>
      <c r="Y220" s="3"/>
      <c r="Z220" s="3"/>
    </row>
    <row r="221" spans="1:26" ht="22.5" customHeight="1" x14ac:dyDescent="0.85">
      <c r="A221" s="166"/>
      <c r="B221" s="167"/>
      <c r="C221" s="167"/>
      <c r="D221" s="147"/>
      <c r="E221" s="147"/>
      <c r="F221" s="147"/>
      <c r="G221" s="147"/>
      <c r="H221" s="147"/>
      <c r="I221" s="147"/>
      <c r="J221" s="147"/>
      <c r="K221" s="3"/>
      <c r="L221" s="3"/>
      <c r="M221" s="3"/>
      <c r="N221" s="3"/>
      <c r="O221" s="3"/>
      <c r="P221" s="3"/>
      <c r="Q221" s="3"/>
      <c r="R221" s="3"/>
      <c r="S221" s="3"/>
      <c r="T221" s="3"/>
      <c r="U221" s="3"/>
      <c r="V221" s="3"/>
      <c r="W221" s="3"/>
      <c r="X221" s="3"/>
      <c r="Y221" s="3"/>
      <c r="Z221" s="3"/>
    </row>
    <row r="222" spans="1:26" ht="22.5" customHeight="1" x14ac:dyDescent="0.85">
      <c r="A222" s="166"/>
      <c r="B222" s="167"/>
      <c r="C222" s="167"/>
      <c r="D222" s="147"/>
      <c r="E222" s="147"/>
      <c r="F222" s="147"/>
      <c r="G222" s="147"/>
      <c r="H222" s="147"/>
      <c r="I222" s="147"/>
      <c r="J222" s="147"/>
      <c r="K222" s="3"/>
      <c r="L222" s="3"/>
      <c r="M222" s="3"/>
      <c r="N222" s="3"/>
      <c r="O222" s="3"/>
      <c r="P222" s="3"/>
      <c r="Q222" s="3"/>
      <c r="R222" s="3"/>
      <c r="S222" s="3"/>
      <c r="T222" s="3"/>
      <c r="U222" s="3"/>
      <c r="V222" s="3"/>
      <c r="W222" s="3"/>
      <c r="X222" s="3"/>
      <c r="Y222" s="3"/>
      <c r="Z222" s="3"/>
    </row>
    <row r="223" spans="1:26" ht="22.5" customHeight="1" x14ac:dyDescent="0.85">
      <c r="A223" s="166"/>
      <c r="B223" s="167"/>
      <c r="C223" s="167"/>
      <c r="D223" s="147"/>
      <c r="E223" s="147"/>
      <c r="F223" s="147"/>
      <c r="G223" s="147"/>
      <c r="H223" s="147"/>
      <c r="I223" s="147"/>
      <c r="J223" s="147"/>
      <c r="K223" s="3"/>
      <c r="L223" s="3"/>
      <c r="M223" s="3"/>
      <c r="N223" s="3"/>
      <c r="O223" s="3"/>
      <c r="P223" s="3"/>
      <c r="Q223" s="3"/>
      <c r="R223" s="3"/>
      <c r="S223" s="3"/>
      <c r="T223" s="3"/>
      <c r="U223" s="3"/>
      <c r="V223" s="3"/>
      <c r="W223" s="3"/>
      <c r="X223" s="3"/>
      <c r="Y223" s="3"/>
      <c r="Z223" s="3"/>
    </row>
    <row r="224" spans="1:26" ht="22.5" customHeight="1" x14ac:dyDescent="0.85">
      <c r="A224" s="166"/>
      <c r="B224" s="167"/>
      <c r="C224" s="167"/>
      <c r="D224" s="147"/>
      <c r="E224" s="147"/>
      <c r="F224" s="147"/>
      <c r="G224" s="147"/>
      <c r="H224" s="147"/>
      <c r="I224" s="147"/>
      <c r="J224" s="147"/>
      <c r="K224" s="3"/>
      <c r="L224" s="3"/>
      <c r="M224" s="3"/>
      <c r="N224" s="3"/>
      <c r="O224" s="3"/>
      <c r="P224" s="3"/>
      <c r="Q224" s="3"/>
      <c r="R224" s="3"/>
      <c r="S224" s="3"/>
      <c r="T224" s="3"/>
      <c r="U224" s="3"/>
      <c r="V224" s="3"/>
      <c r="W224" s="3"/>
      <c r="X224" s="3"/>
      <c r="Y224" s="3"/>
      <c r="Z224" s="3"/>
    </row>
    <row r="225" spans="1:26" ht="22.5" customHeight="1" x14ac:dyDescent="0.85">
      <c r="A225" s="166"/>
      <c r="B225" s="167"/>
      <c r="C225" s="167"/>
      <c r="D225" s="147"/>
      <c r="E225" s="147"/>
      <c r="F225" s="147"/>
      <c r="G225" s="147"/>
      <c r="H225" s="147"/>
      <c r="I225" s="147"/>
      <c r="J225" s="147"/>
      <c r="K225" s="3"/>
      <c r="L225" s="3"/>
      <c r="M225" s="3"/>
      <c r="N225" s="3"/>
      <c r="O225" s="3"/>
      <c r="P225" s="3"/>
      <c r="Q225" s="3"/>
      <c r="R225" s="3"/>
      <c r="S225" s="3"/>
      <c r="T225" s="3"/>
      <c r="U225" s="3"/>
      <c r="V225" s="3"/>
      <c r="W225" s="3"/>
      <c r="X225" s="3"/>
      <c r="Y225" s="3"/>
      <c r="Z225" s="3"/>
    </row>
    <row r="226" spans="1:26" ht="22.5" customHeight="1" x14ac:dyDescent="0.85">
      <c r="A226" s="166"/>
      <c r="B226" s="167"/>
      <c r="C226" s="167"/>
      <c r="D226" s="147"/>
      <c r="E226" s="147"/>
      <c r="F226" s="147"/>
      <c r="G226" s="147"/>
      <c r="H226" s="147"/>
      <c r="I226" s="147"/>
      <c r="J226" s="147"/>
      <c r="K226" s="3"/>
      <c r="L226" s="3"/>
      <c r="M226" s="3"/>
      <c r="N226" s="3"/>
      <c r="O226" s="3"/>
      <c r="P226" s="3"/>
      <c r="Q226" s="3"/>
      <c r="R226" s="3"/>
      <c r="S226" s="3"/>
      <c r="T226" s="3"/>
      <c r="U226" s="3"/>
      <c r="V226" s="3"/>
      <c r="W226" s="3"/>
      <c r="X226" s="3"/>
      <c r="Y226" s="3"/>
      <c r="Z226" s="3"/>
    </row>
    <row r="227" spans="1:26" ht="22.5" customHeight="1" x14ac:dyDescent="0.85">
      <c r="A227" s="166"/>
      <c r="B227" s="167"/>
      <c r="C227" s="167"/>
      <c r="D227" s="147"/>
      <c r="E227" s="147"/>
      <c r="F227" s="147"/>
      <c r="G227" s="147"/>
      <c r="H227" s="147"/>
      <c r="I227" s="147"/>
      <c r="J227" s="147"/>
      <c r="K227" s="3"/>
      <c r="L227" s="3"/>
      <c r="M227" s="3"/>
      <c r="N227" s="3"/>
      <c r="O227" s="3"/>
      <c r="P227" s="3"/>
      <c r="Q227" s="3"/>
      <c r="R227" s="3"/>
      <c r="S227" s="3"/>
      <c r="T227" s="3"/>
      <c r="U227" s="3"/>
      <c r="V227" s="3"/>
      <c r="W227" s="3"/>
      <c r="X227" s="3"/>
      <c r="Y227" s="3"/>
      <c r="Z227" s="3"/>
    </row>
    <row r="228" spans="1:26" ht="22.5" customHeight="1" x14ac:dyDescent="0.85">
      <c r="A228" s="166"/>
      <c r="B228" s="167"/>
      <c r="C228" s="167"/>
      <c r="D228" s="147"/>
      <c r="E228" s="147"/>
      <c r="F228" s="147"/>
      <c r="G228" s="147"/>
      <c r="H228" s="147"/>
      <c r="I228" s="147"/>
      <c r="J228" s="147"/>
      <c r="K228" s="3"/>
      <c r="L228" s="3"/>
      <c r="M228" s="3"/>
      <c r="N228" s="3"/>
      <c r="O228" s="3"/>
      <c r="P228" s="3"/>
      <c r="Q228" s="3"/>
      <c r="R228" s="3"/>
      <c r="S228" s="3"/>
      <c r="T228" s="3"/>
      <c r="U228" s="3"/>
      <c r="V228" s="3"/>
      <c r="W228" s="3"/>
      <c r="X228" s="3"/>
      <c r="Y228" s="3"/>
      <c r="Z228" s="3"/>
    </row>
    <row r="229" spans="1:26" ht="22.5" customHeight="1" x14ac:dyDescent="0.85">
      <c r="A229" s="166"/>
      <c r="B229" s="167"/>
      <c r="C229" s="167"/>
      <c r="D229" s="147"/>
      <c r="E229" s="147"/>
      <c r="F229" s="147"/>
      <c r="G229" s="147"/>
      <c r="H229" s="147"/>
      <c r="I229" s="147"/>
      <c r="J229" s="147"/>
      <c r="K229" s="3"/>
      <c r="L229" s="3"/>
      <c r="M229" s="3"/>
      <c r="N229" s="3"/>
      <c r="O229" s="3"/>
      <c r="P229" s="3"/>
      <c r="Q229" s="3"/>
      <c r="R229" s="3"/>
      <c r="S229" s="3"/>
      <c r="T229" s="3"/>
      <c r="U229" s="3"/>
      <c r="V229" s="3"/>
      <c r="W229" s="3"/>
      <c r="X229" s="3"/>
      <c r="Y229" s="3"/>
      <c r="Z229" s="3"/>
    </row>
    <row r="230" spans="1:26" ht="22.5" customHeight="1" x14ac:dyDescent="0.85">
      <c r="A230" s="166"/>
      <c r="B230" s="167"/>
      <c r="C230" s="167"/>
      <c r="D230" s="147"/>
      <c r="E230" s="147"/>
      <c r="F230" s="147"/>
      <c r="G230" s="147"/>
      <c r="H230" s="147"/>
      <c r="I230" s="147"/>
      <c r="J230" s="147"/>
      <c r="K230" s="3"/>
      <c r="L230" s="3"/>
      <c r="M230" s="3"/>
      <c r="N230" s="3"/>
      <c r="O230" s="3"/>
      <c r="P230" s="3"/>
      <c r="Q230" s="3"/>
      <c r="R230" s="3"/>
      <c r="S230" s="3"/>
      <c r="T230" s="3"/>
      <c r="U230" s="3"/>
      <c r="V230" s="3"/>
      <c r="W230" s="3"/>
      <c r="X230" s="3"/>
      <c r="Y230" s="3"/>
      <c r="Z230" s="3"/>
    </row>
    <row r="231" spans="1:26" ht="22.5" customHeight="1" x14ac:dyDescent="0.85">
      <c r="A231" s="166"/>
      <c r="B231" s="167"/>
      <c r="C231" s="167"/>
      <c r="D231" s="147"/>
      <c r="E231" s="147"/>
      <c r="F231" s="147"/>
      <c r="G231" s="147"/>
      <c r="H231" s="147"/>
      <c r="I231" s="147"/>
      <c r="J231" s="147"/>
      <c r="K231" s="3"/>
      <c r="L231" s="3"/>
      <c r="M231" s="3"/>
      <c r="N231" s="3"/>
      <c r="O231" s="3"/>
      <c r="P231" s="3"/>
      <c r="Q231" s="3"/>
      <c r="R231" s="3"/>
      <c r="S231" s="3"/>
      <c r="T231" s="3"/>
      <c r="U231" s="3"/>
      <c r="V231" s="3"/>
      <c r="W231" s="3"/>
      <c r="X231" s="3"/>
      <c r="Y231" s="3"/>
      <c r="Z231" s="3"/>
    </row>
    <row r="232" spans="1:26" ht="22.5" customHeight="1" x14ac:dyDescent="0.85">
      <c r="A232" s="166"/>
      <c r="B232" s="167"/>
      <c r="C232" s="167"/>
      <c r="D232" s="147"/>
      <c r="E232" s="147"/>
      <c r="F232" s="147"/>
      <c r="G232" s="147"/>
      <c r="H232" s="147"/>
      <c r="I232" s="147"/>
      <c r="J232" s="147"/>
      <c r="K232" s="3"/>
      <c r="L232" s="3"/>
      <c r="M232" s="3"/>
      <c r="N232" s="3"/>
      <c r="O232" s="3"/>
      <c r="P232" s="3"/>
      <c r="Q232" s="3"/>
      <c r="R232" s="3"/>
      <c r="S232" s="3"/>
      <c r="T232" s="3"/>
      <c r="U232" s="3"/>
      <c r="V232" s="3"/>
      <c r="W232" s="3"/>
      <c r="X232" s="3"/>
      <c r="Y232" s="3"/>
      <c r="Z232" s="3"/>
    </row>
    <row r="233" spans="1:26" ht="22.5" customHeight="1" x14ac:dyDescent="0.85">
      <c r="A233" s="166"/>
      <c r="B233" s="167"/>
      <c r="C233" s="167"/>
      <c r="D233" s="147"/>
      <c r="E233" s="147"/>
      <c r="F233" s="147"/>
      <c r="G233" s="147"/>
      <c r="H233" s="147"/>
      <c r="I233" s="147"/>
      <c r="J233" s="147"/>
      <c r="K233" s="3"/>
      <c r="L233" s="3"/>
      <c r="M233" s="3"/>
      <c r="N233" s="3"/>
      <c r="O233" s="3"/>
      <c r="P233" s="3"/>
      <c r="Q233" s="3"/>
      <c r="R233" s="3"/>
      <c r="S233" s="3"/>
      <c r="T233" s="3"/>
      <c r="U233" s="3"/>
      <c r="V233" s="3"/>
      <c r="W233" s="3"/>
      <c r="X233" s="3"/>
      <c r="Y233" s="3"/>
      <c r="Z233" s="3"/>
    </row>
    <row r="234" spans="1:26" ht="22.5" customHeight="1" x14ac:dyDescent="0.85">
      <c r="A234" s="166"/>
      <c r="B234" s="167"/>
      <c r="C234" s="167"/>
      <c r="D234" s="147"/>
      <c r="E234" s="147"/>
      <c r="F234" s="147"/>
      <c r="G234" s="147"/>
      <c r="H234" s="147"/>
      <c r="I234" s="147"/>
      <c r="J234" s="147"/>
      <c r="K234" s="3"/>
      <c r="L234" s="3"/>
      <c r="M234" s="3"/>
      <c r="N234" s="3"/>
      <c r="O234" s="3"/>
      <c r="P234" s="3"/>
      <c r="Q234" s="3"/>
      <c r="R234" s="3"/>
      <c r="S234" s="3"/>
      <c r="T234" s="3"/>
      <c r="U234" s="3"/>
      <c r="V234" s="3"/>
      <c r="W234" s="3"/>
      <c r="X234" s="3"/>
      <c r="Y234" s="3"/>
      <c r="Z234" s="3"/>
    </row>
    <row r="235" spans="1:26" ht="22.5" customHeight="1" x14ac:dyDescent="0.85">
      <c r="A235" s="166"/>
      <c r="B235" s="167"/>
      <c r="C235" s="167"/>
      <c r="D235" s="147"/>
      <c r="E235" s="147"/>
      <c r="F235" s="147"/>
      <c r="G235" s="147"/>
      <c r="H235" s="147"/>
      <c r="I235" s="147"/>
      <c r="J235" s="147"/>
      <c r="K235" s="3"/>
      <c r="L235" s="3"/>
      <c r="M235" s="3"/>
      <c r="N235" s="3"/>
      <c r="O235" s="3"/>
      <c r="P235" s="3"/>
      <c r="Q235" s="3"/>
      <c r="R235" s="3"/>
      <c r="S235" s="3"/>
      <c r="T235" s="3"/>
      <c r="U235" s="3"/>
      <c r="V235" s="3"/>
      <c r="W235" s="3"/>
      <c r="X235" s="3"/>
      <c r="Y235" s="3"/>
      <c r="Z235" s="3"/>
    </row>
    <row r="236" spans="1:26" ht="22.5" customHeight="1" x14ac:dyDescent="0.85">
      <c r="A236" s="166"/>
      <c r="B236" s="167"/>
      <c r="C236" s="167"/>
      <c r="D236" s="147"/>
      <c r="E236" s="147"/>
      <c r="F236" s="147"/>
      <c r="G236" s="147"/>
      <c r="H236" s="147"/>
      <c r="I236" s="147"/>
      <c r="J236" s="147"/>
      <c r="K236" s="3"/>
      <c r="L236" s="3"/>
      <c r="M236" s="3"/>
      <c r="N236" s="3"/>
      <c r="O236" s="3"/>
      <c r="P236" s="3"/>
      <c r="Q236" s="3"/>
      <c r="R236" s="3"/>
      <c r="S236" s="3"/>
      <c r="T236" s="3"/>
      <c r="U236" s="3"/>
      <c r="V236" s="3"/>
      <c r="W236" s="3"/>
      <c r="X236" s="3"/>
      <c r="Y236" s="3"/>
      <c r="Z236" s="3"/>
    </row>
    <row r="237" spans="1:26" ht="22.5" customHeight="1" x14ac:dyDescent="0.85">
      <c r="A237" s="166"/>
      <c r="B237" s="167"/>
      <c r="C237" s="167"/>
      <c r="D237" s="147"/>
      <c r="E237" s="147"/>
      <c r="F237" s="147"/>
      <c r="G237" s="147"/>
      <c r="H237" s="147"/>
      <c r="I237" s="147"/>
      <c r="J237" s="147"/>
      <c r="K237" s="3"/>
      <c r="L237" s="3"/>
      <c r="M237" s="3"/>
      <c r="N237" s="3"/>
      <c r="O237" s="3"/>
      <c r="P237" s="3"/>
      <c r="Q237" s="3"/>
      <c r="R237" s="3"/>
      <c r="S237" s="3"/>
      <c r="T237" s="3"/>
      <c r="U237" s="3"/>
      <c r="V237" s="3"/>
      <c r="W237" s="3"/>
      <c r="X237" s="3"/>
      <c r="Y237" s="3"/>
      <c r="Z237" s="3"/>
    </row>
    <row r="238" spans="1:26" ht="22.5" customHeight="1" x14ac:dyDescent="0.85">
      <c r="A238" s="166"/>
      <c r="B238" s="167"/>
      <c r="C238" s="167"/>
      <c r="D238" s="147"/>
      <c r="E238" s="147"/>
      <c r="F238" s="147"/>
      <c r="G238" s="147"/>
      <c r="H238" s="147"/>
      <c r="I238" s="147"/>
      <c r="J238" s="147"/>
      <c r="K238" s="3"/>
      <c r="L238" s="3"/>
      <c r="M238" s="3"/>
      <c r="N238" s="3"/>
      <c r="O238" s="3"/>
      <c r="P238" s="3"/>
      <c r="Q238" s="3"/>
      <c r="R238" s="3"/>
      <c r="S238" s="3"/>
      <c r="T238" s="3"/>
      <c r="U238" s="3"/>
      <c r="V238" s="3"/>
      <c r="W238" s="3"/>
      <c r="X238" s="3"/>
      <c r="Y238" s="3"/>
      <c r="Z238" s="3"/>
    </row>
    <row r="239" spans="1:26" ht="22.5" customHeight="1" x14ac:dyDescent="0.85">
      <c r="A239" s="166"/>
      <c r="B239" s="167"/>
      <c r="C239" s="167"/>
      <c r="D239" s="147"/>
      <c r="E239" s="147"/>
      <c r="F239" s="147"/>
      <c r="G239" s="147"/>
      <c r="H239" s="147"/>
      <c r="I239" s="147"/>
      <c r="J239" s="147"/>
      <c r="K239" s="3"/>
      <c r="L239" s="3"/>
      <c r="M239" s="3"/>
      <c r="N239" s="3"/>
      <c r="O239" s="3"/>
      <c r="P239" s="3"/>
      <c r="Q239" s="3"/>
      <c r="R239" s="3"/>
      <c r="S239" s="3"/>
      <c r="T239" s="3"/>
      <c r="U239" s="3"/>
      <c r="V239" s="3"/>
      <c r="W239" s="3"/>
      <c r="X239" s="3"/>
      <c r="Y239" s="3"/>
      <c r="Z239" s="3"/>
    </row>
    <row r="240" spans="1:26" ht="22.5" customHeight="1" x14ac:dyDescent="0.85">
      <c r="A240" s="166"/>
      <c r="B240" s="167"/>
      <c r="C240" s="167"/>
      <c r="D240" s="147"/>
      <c r="E240" s="147"/>
      <c r="F240" s="147"/>
      <c r="G240" s="147"/>
      <c r="H240" s="147"/>
      <c r="I240" s="147"/>
      <c r="J240" s="147"/>
      <c r="K240" s="3"/>
      <c r="L240" s="3"/>
      <c r="M240" s="3"/>
      <c r="N240" s="3"/>
      <c r="O240" s="3"/>
      <c r="P240" s="3"/>
      <c r="Q240" s="3"/>
      <c r="R240" s="3"/>
      <c r="S240" s="3"/>
      <c r="T240" s="3"/>
      <c r="U240" s="3"/>
      <c r="V240" s="3"/>
      <c r="W240" s="3"/>
      <c r="X240" s="3"/>
      <c r="Y240" s="3"/>
      <c r="Z240" s="3"/>
    </row>
    <row r="241" spans="1:26" ht="22.5" customHeight="1" x14ac:dyDescent="0.85">
      <c r="A241" s="166"/>
      <c r="B241" s="167"/>
      <c r="C241" s="167"/>
      <c r="D241" s="147"/>
      <c r="E241" s="147"/>
      <c r="F241" s="147"/>
      <c r="G241" s="147"/>
      <c r="H241" s="147"/>
      <c r="I241" s="147"/>
      <c r="J241" s="147"/>
      <c r="K241" s="3"/>
      <c r="L241" s="3"/>
      <c r="M241" s="3"/>
      <c r="N241" s="3"/>
      <c r="O241" s="3"/>
      <c r="P241" s="3"/>
      <c r="Q241" s="3"/>
      <c r="R241" s="3"/>
      <c r="S241" s="3"/>
      <c r="T241" s="3"/>
      <c r="U241" s="3"/>
      <c r="V241" s="3"/>
      <c r="W241" s="3"/>
      <c r="X241" s="3"/>
      <c r="Y241" s="3"/>
      <c r="Z241" s="3"/>
    </row>
    <row r="242" spans="1:26" ht="22.5" customHeight="1" x14ac:dyDescent="0.85">
      <c r="A242" s="166"/>
      <c r="B242" s="167"/>
      <c r="C242" s="167"/>
      <c r="D242" s="147"/>
      <c r="E242" s="147"/>
      <c r="F242" s="147"/>
      <c r="G242" s="147"/>
      <c r="H242" s="147"/>
      <c r="I242" s="147"/>
      <c r="J242" s="147"/>
      <c r="K242" s="3"/>
      <c r="L242" s="3"/>
      <c r="M242" s="3"/>
      <c r="N242" s="3"/>
      <c r="O242" s="3"/>
      <c r="P242" s="3"/>
      <c r="Q242" s="3"/>
      <c r="R242" s="3"/>
      <c r="S242" s="3"/>
      <c r="T242" s="3"/>
      <c r="U242" s="3"/>
      <c r="V242" s="3"/>
      <c r="W242" s="3"/>
      <c r="X242" s="3"/>
      <c r="Y242" s="3"/>
      <c r="Z242" s="3"/>
    </row>
    <row r="243" spans="1:26" ht="22.5" customHeight="1" x14ac:dyDescent="0.85">
      <c r="A243" s="166"/>
      <c r="B243" s="167"/>
      <c r="C243" s="167"/>
      <c r="D243" s="147"/>
      <c r="E243" s="147"/>
      <c r="F243" s="147"/>
      <c r="G243" s="147"/>
      <c r="H243" s="147"/>
      <c r="I243" s="147"/>
      <c r="J243" s="147"/>
      <c r="K243" s="3"/>
      <c r="L243" s="3"/>
      <c r="M243" s="3"/>
      <c r="N243" s="3"/>
      <c r="O243" s="3"/>
      <c r="P243" s="3"/>
      <c r="Q243" s="3"/>
      <c r="R243" s="3"/>
      <c r="S243" s="3"/>
      <c r="T243" s="3"/>
      <c r="U243" s="3"/>
      <c r="V243" s="3"/>
      <c r="W243" s="3"/>
      <c r="X243" s="3"/>
      <c r="Y243" s="3"/>
      <c r="Z243" s="3"/>
    </row>
    <row r="244" spans="1:26" ht="22.5" customHeight="1" x14ac:dyDescent="0.85">
      <c r="A244" s="166"/>
      <c r="B244" s="167"/>
      <c r="C244" s="167"/>
      <c r="D244" s="147"/>
      <c r="E244" s="147"/>
      <c r="F244" s="147"/>
      <c r="G244" s="147"/>
      <c r="H244" s="147"/>
      <c r="I244" s="147"/>
      <c r="J244" s="147"/>
      <c r="K244" s="3"/>
      <c r="L244" s="3"/>
      <c r="M244" s="3"/>
      <c r="N244" s="3"/>
      <c r="O244" s="3"/>
      <c r="P244" s="3"/>
      <c r="Q244" s="3"/>
      <c r="R244" s="3"/>
      <c r="S244" s="3"/>
      <c r="T244" s="3"/>
      <c r="U244" s="3"/>
      <c r="V244" s="3"/>
      <c r="W244" s="3"/>
      <c r="X244" s="3"/>
      <c r="Y244" s="3"/>
      <c r="Z244" s="3"/>
    </row>
    <row r="245" spans="1:26" ht="22.5" customHeight="1" x14ac:dyDescent="0.85">
      <c r="A245" s="166"/>
      <c r="B245" s="167"/>
      <c r="C245" s="167"/>
      <c r="D245" s="147"/>
      <c r="E245" s="147"/>
      <c r="F245" s="147"/>
      <c r="G245" s="147"/>
      <c r="H245" s="147"/>
      <c r="I245" s="147"/>
      <c r="J245" s="147"/>
      <c r="K245" s="3"/>
      <c r="L245" s="3"/>
      <c r="M245" s="3"/>
      <c r="N245" s="3"/>
      <c r="O245" s="3"/>
      <c r="P245" s="3"/>
      <c r="Q245" s="3"/>
      <c r="R245" s="3"/>
      <c r="S245" s="3"/>
      <c r="T245" s="3"/>
      <c r="U245" s="3"/>
      <c r="V245" s="3"/>
      <c r="W245" s="3"/>
      <c r="X245" s="3"/>
      <c r="Y245" s="3"/>
      <c r="Z245" s="3"/>
    </row>
    <row r="246" spans="1:26" ht="22.5" customHeight="1" x14ac:dyDescent="0.85">
      <c r="A246" s="166"/>
      <c r="B246" s="167"/>
      <c r="C246" s="167"/>
      <c r="D246" s="147"/>
      <c r="E246" s="147"/>
      <c r="F246" s="147"/>
      <c r="G246" s="147"/>
      <c r="H246" s="147"/>
      <c r="I246" s="147"/>
      <c r="J246" s="147"/>
      <c r="K246" s="3"/>
      <c r="L246" s="3"/>
      <c r="M246" s="3"/>
      <c r="N246" s="3"/>
      <c r="O246" s="3"/>
      <c r="P246" s="3"/>
      <c r="Q246" s="3"/>
      <c r="R246" s="3"/>
      <c r="S246" s="3"/>
      <c r="T246" s="3"/>
      <c r="U246" s="3"/>
      <c r="V246" s="3"/>
      <c r="W246" s="3"/>
      <c r="X246" s="3"/>
      <c r="Y246" s="3"/>
      <c r="Z246" s="3"/>
    </row>
    <row r="247" spans="1:26" ht="22.5" customHeight="1" x14ac:dyDescent="0.85">
      <c r="A247" s="166"/>
      <c r="B247" s="167"/>
      <c r="C247" s="167"/>
      <c r="D247" s="147"/>
      <c r="E247" s="147"/>
      <c r="F247" s="147"/>
      <c r="G247" s="147"/>
      <c r="H247" s="147"/>
      <c r="I247" s="147"/>
      <c r="J247" s="147"/>
      <c r="K247" s="3"/>
      <c r="L247" s="3"/>
      <c r="M247" s="3"/>
      <c r="N247" s="3"/>
      <c r="O247" s="3"/>
      <c r="P247" s="3"/>
      <c r="Q247" s="3"/>
      <c r="R247" s="3"/>
      <c r="S247" s="3"/>
      <c r="T247" s="3"/>
      <c r="U247" s="3"/>
      <c r="V247" s="3"/>
      <c r="W247" s="3"/>
      <c r="X247" s="3"/>
      <c r="Y247" s="3"/>
      <c r="Z247" s="3"/>
    </row>
    <row r="248" spans="1:26" ht="22.5" customHeight="1" x14ac:dyDescent="0.85">
      <c r="A248" s="166"/>
      <c r="B248" s="167"/>
      <c r="C248" s="167"/>
      <c r="D248" s="147"/>
      <c r="E248" s="147"/>
      <c r="F248" s="147"/>
      <c r="G248" s="147"/>
      <c r="H248" s="147"/>
      <c r="I248" s="147"/>
      <c r="J248" s="147"/>
      <c r="K248" s="3"/>
      <c r="L248" s="3"/>
      <c r="M248" s="3"/>
      <c r="N248" s="3"/>
      <c r="O248" s="3"/>
      <c r="P248" s="3"/>
      <c r="Q248" s="3"/>
      <c r="R248" s="3"/>
      <c r="S248" s="3"/>
      <c r="T248" s="3"/>
      <c r="U248" s="3"/>
      <c r="V248" s="3"/>
      <c r="W248" s="3"/>
      <c r="X248" s="3"/>
      <c r="Y248" s="3"/>
      <c r="Z248" s="3"/>
    </row>
    <row r="249" spans="1:26" ht="22.5" customHeight="1" x14ac:dyDescent="0.85">
      <c r="A249" s="166"/>
      <c r="B249" s="167"/>
      <c r="C249" s="167"/>
      <c r="D249" s="147"/>
      <c r="E249" s="147"/>
      <c r="F249" s="147"/>
      <c r="G249" s="147"/>
      <c r="H249" s="147"/>
      <c r="I249" s="147"/>
      <c r="J249" s="147"/>
      <c r="K249" s="3"/>
      <c r="L249" s="3"/>
      <c r="M249" s="3"/>
      <c r="N249" s="3"/>
      <c r="O249" s="3"/>
      <c r="P249" s="3"/>
      <c r="Q249" s="3"/>
      <c r="R249" s="3"/>
      <c r="S249" s="3"/>
      <c r="T249" s="3"/>
      <c r="U249" s="3"/>
      <c r="V249" s="3"/>
      <c r="W249" s="3"/>
      <c r="X249" s="3"/>
      <c r="Y249" s="3"/>
      <c r="Z249" s="3"/>
    </row>
    <row r="250" spans="1:26" ht="22.5" customHeight="1" x14ac:dyDescent="0.85">
      <c r="A250" s="166"/>
      <c r="B250" s="167"/>
      <c r="C250" s="167"/>
      <c r="D250" s="147"/>
      <c r="E250" s="147"/>
      <c r="F250" s="147"/>
      <c r="G250" s="147"/>
      <c r="H250" s="147"/>
      <c r="I250" s="147"/>
      <c r="J250" s="147"/>
      <c r="K250" s="3"/>
      <c r="L250" s="3"/>
      <c r="M250" s="3"/>
      <c r="N250" s="3"/>
      <c r="O250" s="3"/>
      <c r="P250" s="3"/>
      <c r="Q250" s="3"/>
      <c r="R250" s="3"/>
      <c r="S250" s="3"/>
      <c r="T250" s="3"/>
      <c r="U250" s="3"/>
      <c r="V250" s="3"/>
      <c r="W250" s="3"/>
      <c r="X250" s="3"/>
      <c r="Y250" s="3"/>
      <c r="Z250" s="3"/>
    </row>
    <row r="251" spans="1:26" ht="22.5" customHeight="1" x14ac:dyDescent="0.85">
      <c r="A251" s="166"/>
      <c r="B251" s="167"/>
      <c r="C251" s="167"/>
      <c r="D251" s="147"/>
      <c r="E251" s="147"/>
      <c r="F251" s="147"/>
      <c r="G251" s="147"/>
      <c r="H251" s="147"/>
      <c r="I251" s="147"/>
      <c r="J251" s="147"/>
      <c r="K251" s="3"/>
      <c r="L251" s="3"/>
      <c r="M251" s="3"/>
      <c r="N251" s="3"/>
      <c r="O251" s="3"/>
      <c r="P251" s="3"/>
      <c r="Q251" s="3"/>
      <c r="R251" s="3"/>
      <c r="S251" s="3"/>
      <c r="T251" s="3"/>
      <c r="U251" s="3"/>
      <c r="V251" s="3"/>
      <c r="W251" s="3"/>
      <c r="X251" s="3"/>
      <c r="Y251" s="3"/>
      <c r="Z251" s="3"/>
    </row>
    <row r="252" spans="1:26" ht="22.5" customHeight="1" x14ac:dyDescent="0.85">
      <c r="A252" s="166"/>
      <c r="B252" s="167"/>
      <c r="C252" s="167"/>
      <c r="D252" s="147"/>
      <c r="E252" s="147"/>
      <c r="F252" s="147"/>
      <c r="G252" s="147"/>
      <c r="H252" s="147"/>
      <c r="I252" s="147"/>
      <c r="J252" s="147"/>
      <c r="K252" s="3"/>
      <c r="L252" s="3"/>
      <c r="M252" s="3"/>
      <c r="N252" s="3"/>
      <c r="O252" s="3"/>
      <c r="P252" s="3"/>
      <c r="Q252" s="3"/>
      <c r="R252" s="3"/>
      <c r="S252" s="3"/>
      <c r="T252" s="3"/>
      <c r="U252" s="3"/>
      <c r="V252" s="3"/>
      <c r="W252" s="3"/>
      <c r="X252" s="3"/>
      <c r="Y252" s="3"/>
      <c r="Z252" s="3"/>
    </row>
    <row r="253" spans="1:26" ht="22.5" customHeight="1" x14ac:dyDescent="0.85">
      <c r="A253" s="166"/>
      <c r="B253" s="167"/>
      <c r="C253" s="167"/>
      <c r="D253" s="147"/>
      <c r="E253" s="147"/>
      <c r="F253" s="147"/>
      <c r="G253" s="147"/>
      <c r="H253" s="147"/>
      <c r="I253" s="147"/>
      <c r="J253" s="147"/>
      <c r="K253" s="3"/>
      <c r="L253" s="3"/>
      <c r="M253" s="3"/>
      <c r="N253" s="3"/>
      <c r="O253" s="3"/>
      <c r="P253" s="3"/>
      <c r="Q253" s="3"/>
      <c r="R253" s="3"/>
      <c r="S253" s="3"/>
      <c r="T253" s="3"/>
      <c r="U253" s="3"/>
      <c r="V253" s="3"/>
      <c r="W253" s="3"/>
      <c r="X253" s="3"/>
      <c r="Y253" s="3"/>
      <c r="Z253" s="3"/>
    </row>
    <row r="254" spans="1:26" ht="22.5" customHeight="1" x14ac:dyDescent="0.85">
      <c r="A254" s="166"/>
      <c r="B254" s="167"/>
      <c r="C254" s="167"/>
      <c r="D254" s="147"/>
      <c r="E254" s="147"/>
      <c r="F254" s="147"/>
      <c r="G254" s="147"/>
      <c r="H254" s="147"/>
      <c r="I254" s="147"/>
      <c r="J254" s="147"/>
      <c r="K254" s="3"/>
      <c r="L254" s="3"/>
      <c r="M254" s="3"/>
      <c r="N254" s="3"/>
      <c r="O254" s="3"/>
      <c r="P254" s="3"/>
      <c r="Q254" s="3"/>
      <c r="R254" s="3"/>
      <c r="S254" s="3"/>
      <c r="T254" s="3"/>
      <c r="U254" s="3"/>
      <c r="V254" s="3"/>
      <c r="W254" s="3"/>
      <c r="X254" s="3"/>
      <c r="Y254" s="3"/>
      <c r="Z254" s="3"/>
    </row>
    <row r="255" spans="1:26" ht="22.5" customHeight="1" x14ac:dyDescent="0.85">
      <c r="A255" s="166"/>
      <c r="B255" s="167"/>
      <c r="C255" s="167"/>
      <c r="D255" s="147"/>
      <c r="E255" s="147"/>
      <c r="F255" s="147"/>
      <c r="G255" s="147"/>
      <c r="H255" s="147"/>
      <c r="I255" s="147"/>
      <c r="J255" s="147"/>
      <c r="K255" s="3"/>
      <c r="L255" s="3"/>
      <c r="M255" s="3"/>
      <c r="N255" s="3"/>
      <c r="O255" s="3"/>
      <c r="P255" s="3"/>
      <c r="Q255" s="3"/>
      <c r="R255" s="3"/>
      <c r="S255" s="3"/>
      <c r="T255" s="3"/>
      <c r="U255" s="3"/>
      <c r="V255" s="3"/>
      <c r="W255" s="3"/>
      <c r="X255" s="3"/>
      <c r="Y255" s="3"/>
      <c r="Z255" s="3"/>
    </row>
    <row r="256" spans="1:26" ht="22.5" customHeight="1" x14ac:dyDescent="0.85">
      <c r="A256" s="166"/>
      <c r="B256" s="167"/>
      <c r="C256" s="167"/>
      <c r="D256" s="147"/>
      <c r="E256" s="147"/>
      <c r="F256" s="147"/>
      <c r="G256" s="147"/>
      <c r="H256" s="147"/>
      <c r="I256" s="147"/>
      <c r="J256" s="147"/>
      <c r="K256" s="3"/>
      <c r="L256" s="3"/>
      <c r="M256" s="3"/>
      <c r="N256" s="3"/>
      <c r="O256" s="3"/>
      <c r="P256" s="3"/>
      <c r="Q256" s="3"/>
      <c r="R256" s="3"/>
      <c r="S256" s="3"/>
      <c r="T256" s="3"/>
      <c r="U256" s="3"/>
      <c r="V256" s="3"/>
      <c r="W256" s="3"/>
      <c r="X256" s="3"/>
      <c r="Y256" s="3"/>
      <c r="Z256" s="3"/>
    </row>
    <row r="257" spans="1:26" ht="22.5" customHeight="1" x14ac:dyDescent="0.85">
      <c r="A257" s="166"/>
      <c r="B257" s="167"/>
      <c r="C257" s="167"/>
      <c r="D257" s="147"/>
      <c r="E257" s="147"/>
      <c r="F257" s="147"/>
      <c r="G257" s="147"/>
      <c r="H257" s="147"/>
      <c r="I257" s="147"/>
      <c r="J257" s="147"/>
      <c r="K257" s="3"/>
      <c r="L257" s="3"/>
      <c r="M257" s="3"/>
      <c r="N257" s="3"/>
      <c r="O257" s="3"/>
      <c r="P257" s="3"/>
      <c r="Q257" s="3"/>
      <c r="R257" s="3"/>
      <c r="S257" s="3"/>
      <c r="T257" s="3"/>
      <c r="U257" s="3"/>
      <c r="V257" s="3"/>
      <c r="W257" s="3"/>
      <c r="X257" s="3"/>
      <c r="Y257" s="3"/>
      <c r="Z257" s="3"/>
    </row>
    <row r="258" spans="1:26" ht="22.5" customHeight="1" x14ac:dyDescent="0.85">
      <c r="A258" s="166"/>
      <c r="B258" s="167"/>
      <c r="C258" s="167"/>
      <c r="D258" s="147"/>
      <c r="E258" s="147"/>
      <c r="F258" s="147"/>
      <c r="G258" s="147"/>
      <c r="H258" s="147"/>
      <c r="I258" s="147"/>
      <c r="J258" s="147"/>
      <c r="K258" s="3"/>
      <c r="L258" s="3"/>
      <c r="M258" s="3"/>
      <c r="N258" s="3"/>
      <c r="O258" s="3"/>
      <c r="P258" s="3"/>
      <c r="Q258" s="3"/>
      <c r="R258" s="3"/>
      <c r="S258" s="3"/>
      <c r="T258" s="3"/>
      <c r="U258" s="3"/>
      <c r="V258" s="3"/>
      <c r="W258" s="3"/>
      <c r="X258" s="3"/>
      <c r="Y258" s="3"/>
      <c r="Z258" s="3"/>
    </row>
    <row r="259" spans="1:26" ht="22.5" customHeight="1" x14ac:dyDescent="0.85">
      <c r="A259" s="166"/>
      <c r="B259" s="167"/>
      <c r="C259" s="167"/>
      <c r="D259" s="147"/>
      <c r="E259" s="147"/>
      <c r="F259" s="147"/>
      <c r="G259" s="147"/>
      <c r="H259" s="147"/>
      <c r="I259" s="147"/>
      <c r="J259" s="147"/>
      <c r="K259" s="3"/>
      <c r="L259" s="3"/>
      <c r="M259" s="3"/>
      <c r="N259" s="3"/>
      <c r="O259" s="3"/>
      <c r="P259" s="3"/>
      <c r="Q259" s="3"/>
      <c r="R259" s="3"/>
      <c r="S259" s="3"/>
      <c r="T259" s="3"/>
      <c r="U259" s="3"/>
      <c r="V259" s="3"/>
      <c r="W259" s="3"/>
      <c r="X259" s="3"/>
      <c r="Y259" s="3"/>
      <c r="Z259" s="3"/>
    </row>
    <row r="260" spans="1:26" ht="22.5" customHeight="1" x14ac:dyDescent="0.85">
      <c r="A260" s="166"/>
      <c r="B260" s="167"/>
      <c r="C260" s="167"/>
      <c r="D260" s="147"/>
      <c r="E260" s="147"/>
      <c r="F260" s="147"/>
      <c r="G260" s="147"/>
      <c r="H260" s="147"/>
      <c r="I260" s="147"/>
      <c r="J260" s="147"/>
      <c r="K260" s="3"/>
      <c r="L260" s="3"/>
      <c r="M260" s="3"/>
      <c r="N260" s="3"/>
      <c r="O260" s="3"/>
      <c r="P260" s="3"/>
      <c r="Q260" s="3"/>
      <c r="R260" s="3"/>
      <c r="S260" s="3"/>
      <c r="T260" s="3"/>
      <c r="U260" s="3"/>
      <c r="V260" s="3"/>
      <c r="W260" s="3"/>
      <c r="X260" s="3"/>
      <c r="Y260" s="3"/>
      <c r="Z260" s="3"/>
    </row>
    <row r="261" spans="1:26" ht="22.5" customHeight="1" x14ac:dyDescent="0.85">
      <c r="A261" s="166"/>
      <c r="B261" s="167"/>
      <c r="C261" s="167"/>
      <c r="D261" s="147"/>
      <c r="E261" s="147"/>
      <c r="F261" s="147"/>
      <c r="G261" s="147"/>
      <c r="H261" s="147"/>
      <c r="I261" s="147"/>
      <c r="J261" s="147"/>
      <c r="K261" s="3"/>
      <c r="L261" s="3"/>
      <c r="M261" s="3"/>
      <c r="N261" s="3"/>
      <c r="O261" s="3"/>
      <c r="P261" s="3"/>
      <c r="Q261" s="3"/>
      <c r="R261" s="3"/>
      <c r="S261" s="3"/>
      <c r="T261" s="3"/>
      <c r="U261" s="3"/>
      <c r="V261" s="3"/>
      <c r="W261" s="3"/>
      <c r="X261" s="3"/>
      <c r="Y261" s="3"/>
      <c r="Z261" s="3"/>
    </row>
    <row r="262" spans="1:26" ht="22.5" customHeight="1" x14ac:dyDescent="0.85">
      <c r="A262" s="166"/>
      <c r="B262" s="167"/>
      <c r="C262" s="167"/>
      <c r="D262" s="147"/>
      <c r="E262" s="147"/>
      <c r="F262" s="147"/>
      <c r="G262" s="147"/>
      <c r="H262" s="147"/>
      <c r="I262" s="147"/>
      <c r="J262" s="147"/>
      <c r="K262" s="3"/>
      <c r="L262" s="3"/>
      <c r="M262" s="3"/>
      <c r="N262" s="3"/>
      <c r="O262" s="3"/>
      <c r="P262" s="3"/>
      <c r="Q262" s="3"/>
      <c r="R262" s="3"/>
      <c r="S262" s="3"/>
      <c r="T262" s="3"/>
      <c r="U262" s="3"/>
      <c r="V262" s="3"/>
      <c r="W262" s="3"/>
      <c r="X262" s="3"/>
      <c r="Y262" s="3"/>
      <c r="Z262" s="3"/>
    </row>
    <row r="263" spans="1:26" ht="22.5" customHeight="1" x14ac:dyDescent="0.85">
      <c r="A263" s="166"/>
      <c r="B263" s="167"/>
      <c r="C263" s="167"/>
      <c r="D263" s="147"/>
      <c r="E263" s="147"/>
      <c r="F263" s="147"/>
      <c r="G263" s="147"/>
      <c r="H263" s="147"/>
      <c r="I263" s="147"/>
      <c r="J263" s="147"/>
      <c r="K263" s="3"/>
      <c r="L263" s="3"/>
      <c r="M263" s="3"/>
      <c r="N263" s="3"/>
      <c r="O263" s="3"/>
      <c r="P263" s="3"/>
      <c r="Q263" s="3"/>
      <c r="R263" s="3"/>
      <c r="S263" s="3"/>
      <c r="T263" s="3"/>
      <c r="U263" s="3"/>
      <c r="V263" s="3"/>
      <c r="W263" s="3"/>
      <c r="X263" s="3"/>
      <c r="Y263" s="3"/>
      <c r="Z263" s="3"/>
    </row>
    <row r="264" spans="1:26" ht="22.5" customHeight="1" x14ac:dyDescent="0.85">
      <c r="A264" s="166"/>
      <c r="B264" s="167"/>
      <c r="C264" s="167"/>
      <c r="D264" s="147"/>
      <c r="E264" s="147"/>
      <c r="F264" s="147"/>
      <c r="G264" s="147"/>
      <c r="H264" s="147"/>
      <c r="I264" s="147"/>
      <c r="J264" s="147"/>
      <c r="K264" s="3"/>
      <c r="L264" s="3"/>
      <c r="M264" s="3"/>
      <c r="N264" s="3"/>
      <c r="O264" s="3"/>
      <c r="P264" s="3"/>
      <c r="Q264" s="3"/>
      <c r="R264" s="3"/>
      <c r="S264" s="3"/>
      <c r="T264" s="3"/>
      <c r="U264" s="3"/>
      <c r="V264" s="3"/>
      <c r="W264" s="3"/>
      <c r="X264" s="3"/>
      <c r="Y264" s="3"/>
      <c r="Z264" s="3"/>
    </row>
    <row r="265" spans="1:26" ht="22.5" customHeight="1" x14ac:dyDescent="0.85">
      <c r="A265" s="166"/>
      <c r="B265" s="167"/>
      <c r="C265" s="167"/>
      <c r="D265" s="147"/>
      <c r="E265" s="147"/>
      <c r="F265" s="147"/>
      <c r="G265" s="147"/>
      <c r="H265" s="147"/>
      <c r="I265" s="147"/>
      <c r="J265" s="147"/>
      <c r="K265" s="3"/>
      <c r="L265" s="3"/>
      <c r="M265" s="3"/>
      <c r="N265" s="3"/>
      <c r="O265" s="3"/>
      <c r="P265" s="3"/>
      <c r="Q265" s="3"/>
      <c r="R265" s="3"/>
      <c r="S265" s="3"/>
      <c r="T265" s="3"/>
      <c r="U265" s="3"/>
      <c r="V265" s="3"/>
      <c r="W265" s="3"/>
      <c r="X265" s="3"/>
      <c r="Y265" s="3"/>
      <c r="Z265" s="3"/>
    </row>
    <row r="266" spans="1:26" ht="22.5" customHeight="1" x14ac:dyDescent="0.85">
      <c r="A266" s="166"/>
      <c r="B266" s="167"/>
      <c r="C266" s="167"/>
      <c r="D266" s="147"/>
      <c r="E266" s="147"/>
      <c r="F266" s="147"/>
      <c r="G266" s="147"/>
      <c r="H266" s="147"/>
      <c r="I266" s="147"/>
      <c r="J266" s="147"/>
      <c r="K266" s="3"/>
      <c r="L266" s="3"/>
      <c r="M266" s="3"/>
      <c r="N266" s="3"/>
      <c r="O266" s="3"/>
      <c r="P266" s="3"/>
      <c r="Q266" s="3"/>
      <c r="R266" s="3"/>
      <c r="S266" s="3"/>
      <c r="T266" s="3"/>
      <c r="U266" s="3"/>
      <c r="V266" s="3"/>
      <c r="W266" s="3"/>
      <c r="X266" s="3"/>
      <c r="Y266" s="3"/>
      <c r="Z266" s="3"/>
    </row>
    <row r="267" spans="1:26" ht="22.5" customHeight="1" x14ac:dyDescent="0.85">
      <c r="A267" s="166"/>
      <c r="B267" s="167"/>
      <c r="C267" s="167"/>
      <c r="D267" s="147"/>
      <c r="E267" s="147"/>
      <c r="F267" s="147"/>
      <c r="G267" s="147"/>
      <c r="H267" s="147"/>
      <c r="I267" s="147"/>
      <c r="J267" s="147"/>
      <c r="K267" s="3"/>
      <c r="L267" s="3"/>
      <c r="M267" s="3"/>
      <c r="N267" s="3"/>
      <c r="O267" s="3"/>
      <c r="P267" s="3"/>
      <c r="Q267" s="3"/>
      <c r="R267" s="3"/>
      <c r="S267" s="3"/>
      <c r="T267" s="3"/>
      <c r="U267" s="3"/>
      <c r="V267" s="3"/>
      <c r="W267" s="3"/>
      <c r="X267" s="3"/>
      <c r="Y267" s="3"/>
      <c r="Z267" s="3"/>
    </row>
    <row r="268" spans="1:26" ht="22.5" customHeight="1" x14ac:dyDescent="0.85">
      <c r="A268" s="166"/>
      <c r="B268" s="167"/>
      <c r="C268" s="167"/>
      <c r="D268" s="147"/>
      <c r="E268" s="147"/>
      <c r="F268" s="147"/>
      <c r="G268" s="147"/>
      <c r="H268" s="147"/>
      <c r="I268" s="147"/>
      <c r="J268" s="147"/>
      <c r="K268" s="3"/>
      <c r="L268" s="3"/>
      <c r="M268" s="3"/>
      <c r="N268" s="3"/>
      <c r="O268" s="3"/>
      <c r="P268" s="3"/>
      <c r="Q268" s="3"/>
      <c r="R268" s="3"/>
      <c r="S268" s="3"/>
      <c r="T268" s="3"/>
      <c r="U268" s="3"/>
      <c r="V268" s="3"/>
      <c r="W268" s="3"/>
      <c r="X268" s="3"/>
      <c r="Y268" s="3"/>
      <c r="Z268" s="3"/>
    </row>
    <row r="269" spans="1:26" ht="22.5" customHeight="1" x14ac:dyDescent="0.85">
      <c r="A269" s="166"/>
      <c r="B269" s="167"/>
      <c r="C269" s="167"/>
      <c r="D269" s="147"/>
      <c r="E269" s="147"/>
      <c r="F269" s="147"/>
      <c r="G269" s="147"/>
      <c r="H269" s="147"/>
      <c r="I269" s="147"/>
      <c r="J269" s="147"/>
      <c r="K269" s="3"/>
      <c r="L269" s="3"/>
      <c r="M269" s="3"/>
      <c r="N269" s="3"/>
      <c r="O269" s="3"/>
      <c r="P269" s="3"/>
      <c r="Q269" s="3"/>
      <c r="R269" s="3"/>
      <c r="S269" s="3"/>
      <c r="T269" s="3"/>
      <c r="U269" s="3"/>
      <c r="V269" s="3"/>
      <c r="W269" s="3"/>
      <c r="X269" s="3"/>
      <c r="Y269" s="3"/>
      <c r="Z269" s="3"/>
    </row>
    <row r="270" spans="1:26" ht="22.5" customHeight="1" x14ac:dyDescent="0.85">
      <c r="A270" s="166"/>
      <c r="B270" s="167"/>
      <c r="C270" s="167"/>
      <c r="D270" s="147"/>
      <c r="E270" s="147"/>
      <c r="F270" s="147"/>
      <c r="G270" s="147"/>
      <c r="H270" s="147"/>
      <c r="I270" s="147"/>
      <c r="J270" s="147"/>
      <c r="K270" s="3"/>
      <c r="L270" s="3"/>
      <c r="M270" s="3"/>
      <c r="N270" s="3"/>
      <c r="O270" s="3"/>
      <c r="P270" s="3"/>
      <c r="Q270" s="3"/>
      <c r="R270" s="3"/>
      <c r="S270" s="3"/>
      <c r="T270" s="3"/>
      <c r="U270" s="3"/>
      <c r="V270" s="3"/>
      <c r="W270" s="3"/>
      <c r="X270" s="3"/>
      <c r="Y270" s="3"/>
      <c r="Z270" s="3"/>
    </row>
    <row r="271" spans="1:26" ht="22.5" customHeight="1" x14ac:dyDescent="0.85">
      <c r="A271" s="166"/>
      <c r="B271" s="167"/>
      <c r="C271" s="167"/>
      <c r="D271" s="147"/>
      <c r="E271" s="147"/>
      <c r="F271" s="147"/>
      <c r="G271" s="147"/>
      <c r="H271" s="147"/>
      <c r="I271" s="147"/>
      <c r="J271" s="147"/>
      <c r="K271" s="3"/>
      <c r="L271" s="3"/>
      <c r="M271" s="3"/>
      <c r="N271" s="3"/>
      <c r="O271" s="3"/>
      <c r="P271" s="3"/>
      <c r="Q271" s="3"/>
      <c r="R271" s="3"/>
      <c r="S271" s="3"/>
      <c r="T271" s="3"/>
      <c r="U271" s="3"/>
      <c r="V271" s="3"/>
      <c r="W271" s="3"/>
      <c r="X271" s="3"/>
      <c r="Y271" s="3"/>
      <c r="Z271" s="3"/>
    </row>
    <row r="272" spans="1:26" ht="22.5" customHeight="1" x14ac:dyDescent="0.85">
      <c r="A272" s="166"/>
      <c r="B272" s="167"/>
      <c r="C272" s="167"/>
      <c r="D272" s="147"/>
      <c r="E272" s="147"/>
      <c r="F272" s="147"/>
      <c r="G272" s="147"/>
      <c r="H272" s="147"/>
      <c r="I272" s="147"/>
      <c r="J272" s="147"/>
      <c r="K272" s="3"/>
      <c r="L272" s="3"/>
      <c r="M272" s="3"/>
      <c r="N272" s="3"/>
      <c r="O272" s="3"/>
      <c r="P272" s="3"/>
      <c r="Q272" s="3"/>
      <c r="R272" s="3"/>
      <c r="S272" s="3"/>
      <c r="T272" s="3"/>
      <c r="U272" s="3"/>
      <c r="V272" s="3"/>
      <c r="W272" s="3"/>
      <c r="X272" s="3"/>
      <c r="Y272" s="3"/>
      <c r="Z272" s="3"/>
    </row>
    <row r="273" spans="1:26" ht="22.5" customHeight="1" x14ac:dyDescent="0.85">
      <c r="A273" s="166"/>
      <c r="B273" s="167"/>
      <c r="C273" s="167"/>
      <c r="D273" s="147"/>
      <c r="E273" s="147"/>
      <c r="F273" s="147"/>
      <c r="G273" s="147"/>
      <c r="H273" s="147"/>
      <c r="I273" s="147"/>
      <c r="J273" s="147"/>
      <c r="K273" s="3"/>
      <c r="L273" s="3"/>
      <c r="M273" s="3"/>
      <c r="N273" s="3"/>
      <c r="O273" s="3"/>
      <c r="P273" s="3"/>
      <c r="Q273" s="3"/>
      <c r="R273" s="3"/>
      <c r="S273" s="3"/>
      <c r="T273" s="3"/>
      <c r="U273" s="3"/>
      <c r="V273" s="3"/>
      <c r="W273" s="3"/>
      <c r="X273" s="3"/>
      <c r="Y273" s="3"/>
      <c r="Z273" s="3"/>
    </row>
    <row r="274" spans="1:26" ht="22.5" customHeight="1" x14ac:dyDescent="0.85">
      <c r="A274" s="166"/>
      <c r="B274" s="167"/>
      <c r="C274" s="167"/>
      <c r="D274" s="147"/>
      <c r="E274" s="147"/>
      <c r="F274" s="147"/>
      <c r="G274" s="147"/>
      <c r="H274" s="147"/>
      <c r="I274" s="147"/>
      <c r="J274" s="147"/>
      <c r="K274" s="3"/>
      <c r="L274" s="3"/>
      <c r="M274" s="3"/>
      <c r="N274" s="3"/>
      <c r="O274" s="3"/>
      <c r="P274" s="3"/>
      <c r="Q274" s="3"/>
      <c r="R274" s="3"/>
      <c r="S274" s="3"/>
      <c r="T274" s="3"/>
      <c r="U274" s="3"/>
      <c r="V274" s="3"/>
      <c r="W274" s="3"/>
      <c r="X274" s="3"/>
      <c r="Y274" s="3"/>
      <c r="Z274" s="3"/>
    </row>
    <row r="275" spans="1:26" ht="22.5" customHeight="1" x14ac:dyDescent="0.85">
      <c r="A275" s="166"/>
      <c r="B275" s="167"/>
      <c r="C275" s="167"/>
      <c r="D275" s="147"/>
      <c r="E275" s="147"/>
      <c r="F275" s="147"/>
      <c r="G275" s="147"/>
      <c r="H275" s="147"/>
      <c r="I275" s="147"/>
      <c r="J275" s="147"/>
      <c r="K275" s="3"/>
      <c r="L275" s="3"/>
      <c r="M275" s="3"/>
      <c r="N275" s="3"/>
      <c r="O275" s="3"/>
      <c r="P275" s="3"/>
      <c r="Q275" s="3"/>
      <c r="R275" s="3"/>
      <c r="S275" s="3"/>
      <c r="T275" s="3"/>
      <c r="U275" s="3"/>
      <c r="V275" s="3"/>
      <c r="W275" s="3"/>
      <c r="X275" s="3"/>
      <c r="Y275" s="3"/>
      <c r="Z275" s="3"/>
    </row>
    <row r="276" spans="1:26" ht="22.5" customHeight="1" x14ac:dyDescent="0.85">
      <c r="A276" s="166"/>
      <c r="B276" s="167"/>
      <c r="C276" s="167"/>
      <c r="D276" s="147"/>
      <c r="E276" s="147"/>
      <c r="F276" s="147"/>
      <c r="G276" s="147"/>
      <c r="H276" s="147"/>
      <c r="I276" s="147"/>
      <c r="J276" s="147"/>
      <c r="K276" s="3"/>
      <c r="L276" s="3"/>
      <c r="M276" s="3"/>
      <c r="N276" s="3"/>
      <c r="O276" s="3"/>
      <c r="P276" s="3"/>
      <c r="Q276" s="3"/>
      <c r="R276" s="3"/>
      <c r="S276" s="3"/>
      <c r="T276" s="3"/>
      <c r="U276" s="3"/>
      <c r="V276" s="3"/>
      <c r="W276" s="3"/>
      <c r="X276" s="3"/>
      <c r="Y276" s="3"/>
      <c r="Z276" s="3"/>
    </row>
    <row r="277" spans="1:26" ht="22.5" customHeight="1" x14ac:dyDescent="0.85">
      <c r="A277" s="166"/>
      <c r="B277" s="167"/>
      <c r="C277" s="167"/>
      <c r="D277" s="147"/>
      <c r="E277" s="147"/>
      <c r="F277" s="147"/>
      <c r="G277" s="147"/>
      <c r="H277" s="147"/>
      <c r="I277" s="147"/>
      <c r="J277" s="147"/>
      <c r="K277" s="3"/>
      <c r="L277" s="3"/>
      <c r="M277" s="3"/>
      <c r="N277" s="3"/>
      <c r="O277" s="3"/>
      <c r="P277" s="3"/>
      <c r="Q277" s="3"/>
      <c r="R277" s="3"/>
      <c r="S277" s="3"/>
      <c r="T277" s="3"/>
      <c r="U277" s="3"/>
      <c r="V277" s="3"/>
      <c r="W277" s="3"/>
      <c r="X277" s="3"/>
      <c r="Y277" s="3"/>
      <c r="Z277" s="3"/>
    </row>
    <row r="278" spans="1:26" ht="22.5" customHeight="1" x14ac:dyDescent="0.85">
      <c r="A278" s="166"/>
      <c r="B278" s="167"/>
      <c r="C278" s="167"/>
      <c r="D278" s="147"/>
      <c r="E278" s="147"/>
      <c r="F278" s="147"/>
      <c r="G278" s="147"/>
      <c r="H278" s="147"/>
      <c r="I278" s="147"/>
      <c r="J278" s="147"/>
      <c r="K278" s="3"/>
      <c r="L278" s="3"/>
      <c r="M278" s="3"/>
      <c r="N278" s="3"/>
      <c r="O278" s="3"/>
      <c r="P278" s="3"/>
      <c r="Q278" s="3"/>
      <c r="R278" s="3"/>
      <c r="S278" s="3"/>
      <c r="T278" s="3"/>
      <c r="U278" s="3"/>
      <c r="V278" s="3"/>
      <c r="W278" s="3"/>
      <c r="X278" s="3"/>
      <c r="Y278" s="3"/>
      <c r="Z278" s="3"/>
    </row>
    <row r="279" spans="1:26" ht="22.5" customHeight="1" x14ac:dyDescent="0.85">
      <c r="A279" s="166"/>
      <c r="B279" s="167"/>
      <c r="C279" s="167"/>
      <c r="D279" s="147"/>
      <c r="E279" s="147"/>
      <c r="F279" s="147"/>
      <c r="G279" s="147"/>
      <c r="H279" s="147"/>
      <c r="I279" s="147"/>
      <c r="J279" s="147"/>
      <c r="K279" s="3"/>
      <c r="L279" s="3"/>
      <c r="M279" s="3"/>
      <c r="N279" s="3"/>
      <c r="O279" s="3"/>
      <c r="P279" s="3"/>
      <c r="Q279" s="3"/>
      <c r="R279" s="3"/>
      <c r="S279" s="3"/>
      <c r="T279" s="3"/>
      <c r="U279" s="3"/>
      <c r="V279" s="3"/>
      <c r="W279" s="3"/>
      <c r="X279" s="3"/>
      <c r="Y279" s="3"/>
      <c r="Z279" s="3"/>
    </row>
    <row r="280" spans="1:26" ht="22.5" customHeight="1" x14ac:dyDescent="0.85">
      <c r="A280" s="166"/>
      <c r="B280" s="167"/>
      <c r="C280" s="167"/>
      <c r="D280" s="147"/>
      <c r="E280" s="147"/>
      <c r="F280" s="147"/>
      <c r="G280" s="147"/>
      <c r="H280" s="147"/>
      <c r="I280" s="147"/>
      <c r="J280" s="147"/>
      <c r="K280" s="3"/>
      <c r="L280" s="3"/>
      <c r="M280" s="3"/>
      <c r="N280" s="3"/>
      <c r="O280" s="3"/>
      <c r="P280" s="3"/>
      <c r="Q280" s="3"/>
      <c r="R280" s="3"/>
      <c r="S280" s="3"/>
      <c r="T280" s="3"/>
      <c r="U280" s="3"/>
      <c r="V280" s="3"/>
      <c r="W280" s="3"/>
      <c r="X280" s="3"/>
      <c r="Y280" s="3"/>
      <c r="Z280" s="3"/>
    </row>
    <row r="281" spans="1:26" ht="22.5" customHeight="1" x14ac:dyDescent="0.85">
      <c r="A281" s="166"/>
      <c r="B281" s="167"/>
      <c r="C281" s="167"/>
      <c r="D281" s="147"/>
      <c r="E281" s="147"/>
      <c r="F281" s="147"/>
      <c r="G281" s="147"/>
      <c r="H281" s="147"/>
      <c r="I281" s="147"/>
      <c r="J281" s="147"/>
      <c r="K281" s="3"/>
      <c r="L281" s="3"/>
      <c r="M281" s="3"/>
      <c r="N281" s="3"/>
      <c r="O281" s="3"/>
      <c r="P281" s="3"/>
      <c r="Q281" s="3"/>
      <c r="R281" s="3"/>
      <c r="S281" s="3"/>
      <c r="T281" s="3"/>
      <c r="U281" s="3"/>
      <c r="V281" s="3"/>
      <c r="W281" s="3"/>
      <c r="X281" s="3"/>
      <c r="Y281" s="3"/>
      <c r="Z281" s="3"/>
    </row>
    <row r="282" spans="1:26" ht="22.5" customHeight="1" x14ac:dyDescent="0.85">
      <c r="A282" s="166"/>
      <c r="B282" s="167"/>
      <c r="C282" s="167"/>
      <c r="D282" s="147"/>
      <c r="E282" s="147"/>
      <c r="F282" s="147"/>
      <c r="G282" s="147"/>
      <c r="H282" s="147"/>
      <c r="I282" s="147"/>
      <c r="J282" s="147"/>
      <c r="K282" s="3"/>
      <c r="L282" s="3"/>
      <c r="M282" s="3"/>
      <c r="N282" s="3"/>
      <c r="O282" s="3"/>
      <c r="P282" s="3"/>
      <c r="Q282" s="3"/>
      <c r="R282" s="3"/>
      <c r="S282" s="3"/>
      <c r="T282" s="3"/>
      <c r="U282" s="3"/>
      <c r="V282" s="3"/>
      <c r="W282" s="3"/>
      <c r="X282" s="3"/>
      <c r="Y282" s="3"/>
      <c r="Z282" s="3"/>
    </row>
    <row r="283" spans="1:26" ht="22.5" customHeight="1" x14ac:dyDescent="0.85">
      <c r="A283" s="166"/>
      <c r="B283" s="167"/>
      <c r="C283" s="167"/>
      <c r="D283" s="147"/>
      <c r="E283" s="147"/>
      <c r="F283" s="147"/>
      <c r="G283" s="147"/>
      <c r="H283" s="147"/>
      <c r="I283" s="147"/>
      <c r="J283" s="147"/>
      <c r="K283" s="3"/>
      <c r="L283" s="3"/>
      <c r="M283" s="3"/>
      <c r="N283" s="3"/>
      <c r="O283" s="3"/>
      <c r="P283" s="3"/>
      <c r="Q283" s="3"/>
      <c r="R283" s="3"/>
      <c r="S283" s="3"/>
      <c r="T283" s="3"/>
      <c r="U283" s="3"/>
      <c r="V283" s="3"/>
      <c r="W283" s="3"/>
      <c r="X283" s="3"/>
      <c r="Y283" s="3"/>
      <c r="Z283" s="3"/>
    </row>
    <row r="284" spans="1:26" ht="22.5" customHeight="1" x14ac:dyDescent="0.85">
      <c r="A284" s="166"/>
      <c r="B284" s="167"/>
      <c r="C284" s="167"/>
      <c r="D284" s="147"/>
      <c r="E284" s="147"/>
      <c r="F284" s="147"/>
      <c r="G284" s="147"/>
      <c r="H284" s="147"/>
      <c r="I284" s="147"/>
      <c r="J284" s="147"/>
      <c r="K284" s="3"/>
      <c r="L284" s="3"/>
      <c r="M284" s="3"/>
      <c r="N284" s="3"/>
      <c r="O284" s="3"/>
      <c r="P284" s="3"/>
      <c r="Q284" s="3"/>
      <c r="R284" s="3"/>
      <c r="S284" s="3"/>
      <c r="T284" s="3"/>
      <c r="U284" s="3"/>
      <c r="V284" s="3"/>
      <c r="W284" s="3"/>
      <c r="X284" s="3"/>
      <c r="Y284" s="3"/>
      <c r="Z284" s="3"/>
    </row>
    <row r="285" spans="1:26" ht="22.5" customHeight="1" x14ac:dyDescent="0.85">
      <c r="A285" s="166"/>
      <c r="B285" s="167"/>
      <c r="C285" s="167"/>
      <c r="D285" s="147"/>
      <c r="E285" s="147"/>
      <c r="F285" s="147"/>
      <c r="G285" s="147"/>
      <c r="H285" s="147"/>
      <c r="I285" s="147"/>
      <c r="J285" s="147"/>
      <c r="K285" s="3"/>
      <c r="L285" s="3"/>
      <c r="M285" s="3"/>
      <c r="N285" s="3"/>
      <c r="O285" s="3"/>
      <c r="P285" s="3"/>
      <c r="Q285" s="3"/>
      <c r="R285" s="3"/>
      <c r="S285" s="3"/>
      <c r="T285" s="3"/>
      <c r="U285" s="3"/>
      <c r="V285" s="3"/>
      <c r="W285" s="3"/>
      <c r="X285" s="3"/>
      <c r="Y285" s="3"/>
      <c r="Z285" s="3"/>
    </row>
    <row r="286" spans="1:26" ht="22.5" customHeight="1" x14ac:dyDescent="0.85">
      <c r="A286" s="166"/>
      <c r="B286" s="167"/>
      <c r="C286" s="167"/>
      <c r="D286" s="147"/>
      <c r="E286" s="147"/>
      <c r="F286" s="147"/>
      <c r="G286" s="147"/>
      <c r="H286" s="147"/>
      <c r="I286" s="147"/>
      <c r="J286" s="147"/>
      <c r="K286" s="3"/>
      <c r="L286" s="3"/>
      <c r="M286" s="3"/>
      <c r="N286" s="3"/>
      <c r="O286" s="3"/>
      <c r="P286" s="3"/>
      <c r="Q286" s="3"/>
      <c r="R286" s="3"/>
      <c r="S286" s="3"/>
      <c r="T286" s="3"/>
      <c r="U286" s="3"/>
      <c r="V286" s="3"/>
      <c r="W286" s="3"/>
      <c r="X286" s="3"/>
      <c r="Y286" s="3"/>
      <c r="Z286" s="3"/>
    </row>
    <row r="287" spans="1:26" ht="22.5" customHeight="1" x14ac:dyDescent="0.85">
      <c r="A287" s="166"/>
      <c r="B287" s="167"/>
      <c r="C287" s="167"/>
      <c r="D287" s="147"/>
      <c r="E287" s="147"/>
      <c r="F287" s="147"/>
      <c r="G287" s="147"/>
      <c r="H287" s="147"/>
      <c r="I287" s="147"/>
      <c r="J287" s="147"/>
      <c r="K287" s="3"/>
      <c r="L287" s="3"/>
      <c r="M287" s="3"/>
      <c r="N287" s="3"/>
      <c r="O287" s="3"/>
      <c r="P287" s="3"/>
      <c r="Q287" s="3"/>
      <c r="R287" s="3"/>
      <c r="S287" s="3"/>
      <c r="T287" s="3"/>
      <c r="U287" s="3"/>
      <c r="V287" s="3"/>
      <c r="W287" s="3"/>
      <c r="X287" s="3"/>
      <c r="Y287" s="3"/>
      <c r="Z287" s="3"/>
    </row>
    <row r="288" spans="1:26" ht="22.5" customHeight="1" x14ac:dyDescent="0.85">
      <c r="A288" s="166"/>
      <c r="B288" s="167"/>
      <c r="C288" s="167"/>
      <c r="D288" s="147"/>
      <c r="E288" s="147"/>
      <c r="F288" s="147"/>
      <c r="G288" s="147"/>
      <c r="H288" s="147"/>
      <c r="I288" s="147"/>
      <c r="J288" s="147"/>
      <c r="K288" s="3"/>
      <c r="L288" s="3"/>
      <c r="M288" s="3"/>
      <c r="N288" s="3"/>
      <c r="O288" s="3"/>
      <c r="P288" s="3"/>
      <c r="Q288" s="3"/>
      <c r="R288" s="3"/>
      <c r="S288" s="3"/>
      <c r="T288" s="3"/>
      <c r="U288" s="3"/>
      <c r="V288" s="3"/>
      <c r="W288" s="3"/>
      <c r="X288" s="3"/>
      <c r="Y288" s="3"/>
      <c r="Z288" s="3"/>
    </row>
    <row r="289" spans="1:26" ht="22.5" customHeight="1" x14ac:dyDescent="0.85">
      <c r="A289" s="166"/>
      <c r="B289" s="167"/>
      <c r="C289" s="167"/>
      <c r="D289" s="147"/>
      <c r="E289" s="147"/>
      <c r="F289" s="147"/>
      <c r="G289" s="147"/>
      <c r="H289" s="147"/>
      <c r="I289" s="147"/>
      <c r="J289" s="147"/>
      <c r="K289" s="3"/>
      <c r="L289" s="3"/>
      <c r="M289" s="3"/>
      <c r="N289" s="3"/>
      <c r="O289" s="3"/>
      <c r="P289" s="3"/>
      <c r="Q289" s="3"/>
      <c r="R289" s="3"/>
      <c r="S289" s="3"/>
      <c r="T289" s="3"/>
      <c r="U289" s="3"/>
      <c r="V289" s="3"/>
      <c r="W289" s="3"/>
      <c r="X289" s="3"/>
      <c r="Y289" s="3"/>
      <c r="Z289" s="3"/>
    </row>
    <row r="290" spans="1:26" ht="22.5" customHeight="1" x14ac:dyDescent="0.85">
      <c r="A290" s="166"/>
      <c r="B290" s="167"/>
      <c r="C290" s="167"/>
      <c r="D290" s="147"/>
      <c r="E290" s="147"/>
      <c r="F290" s="147"/>
      <c r="G290" s="147"/>
      <c r="H290" s="147"/>
      <c r="I290" s="147"/>
      <c r="J290" s="147"/>
      <c r="K290" s="3"/>
      <c r="L290" s="3"/>
      <c r="M290" s="3"/>
      <c r="N290" s="3"/>
      <c r="O290" s="3"/>
      <c r="P290" s="3"/>
      <c r="Q290" s="3"/>
      <c r="R290" s="3"/>
      <c r="S290" s="3"/>
      <c r="T290" s="3"/>
      <c r="U290" s="3"/>
      <c r="V290" s="3"/>
      <c r="W290" s="3"/>
      <c r="X290" s="3"/>
      <c r="Y290" s="3"/>
      <c r="Z290" s="3"/>
    </row>
    <row r="291" spans="1:26" ht="22.5" customHeight="1" x14ac:dyDescent="0.85">
      <c r="A291" s="166"/>
      <c r="B291" s="167"/>
      <c r="C291" s="167"/>
      <c r="D291" s="147"/>
      <c r="E291" s="147"/>
      <c r="F291" s="147"/>
      <c r="G291" s="147"/>
      <c r="H291" s="147"/>
      <c r="I291" s="147"/>
      <c r="J291" s="147"/>
      <c r="K291" s="3"/>
      <c r="L291" s="3"/>
      <c r="M291" s="3"/>
      <c r="N291" s="3"/>
      <c r="O291" s="3"/>
      <c r="P291" s="3"/>
      <c r="Q291" s="3"/>
      <c r="R291" s="3"/>
      <c r="S291" s="3"/>
      <c r="T291" s="3"/>
      <c r="U291" s="3"/>
      <c r="V291" s="3"/>
      <c r="W291" s="3"/>
      <c r="X291" s="3"/>
      <c r="Y291" s="3"/>
      <c r="Z291" s="3"/>
    </row>
    <row r="292" spans="1:26" ht="22.5" customHeight="1" x14ac:dyDescent="0.85">
      <c r="A292" s="166"/>
      <c r="B292" s="167"/>
      <c r="C292" s="167"/>
      <c r="D292" s="147"/>
      <c r="E292" s="147"/>
      <c r="F292" s="147"/>
      <c r="G292" s="147"/>
      <c r="H292" s="147"/>
      <c r="I292" s="147"/>
      <c r="J292" s="147"/>
      <c r="K292" s="3"/>
      <c r="L292" s="3"/>
      <c r="M292" s="3"/>
      <c r="N292" s="3"/>
      <c r="O292" s="3"/>
      <c r="P292" s="3"/>
      <c r="Q292" s="3"/>
      <c r="R292" s="3"/>
      <c r="S292" s="3"/>
      <c r="T292" s="3"/>
      <c r="U292" s="3"/>
      <c r="V292" s="3"/>
      <c r="W292" s="3"/>
      <c r="X292" s="3"/>
      <c r="Y292" s="3"/>
      <c r="Z292" s="3"/>
    </row>
    <row r="293" spans="1:26" ht="22.5" customHeight="1" x14ac:dyDescent="0.85">
      <c r="A293" s="166"/>
      <c r="B293" s="167"/>
      <c r="C293" s="167"/>
      <c r="D293" s="147"/>
      <c r="E293" s="147"/>
      <c r="F293" s="147"/>
      <c r="G293" s="147"/>
      <c r="H293" s="147"/>
      <c r="I293" s="147"/>
      <c r="J293" s="147"/>
      <c r="K293" s="3"/>
      <c r="L293" s="3"/>
      <c r="M293" s="3"/>
      <c r="N293" s="3"/>
      <c r="O293" s="3"/>
      <c r="P293" s="3"/>
      <c r="Q293" s="3"/>
      <c r="R293" s="3"/>
      <c r="S293" s="3"/>
      <c r="T293" s="3"/>
      <c r="U293" s="3"/>
      <c r="V293" s="3"/>
      <c r="W293" s="3"/>
      <c r="X293" s="3"/>
      <c r="Y293" s="3"/>
      <c r="Z293" s="3"/>
    </row>
    <row r="294" spans="1:26" ht="22.5" customHeight="1" x14ac:dyDescent="0.85">
      <c r="A294" s="166"/>
      <c r="B294" s="167"/>
      <c r="C294" s="167"/>
      <c r="D294" s="147"/>
      <c r="E294" s="147"/>
      <c r="F294" s="147"/>
      <c r="G294" s="147"/>
      <c r="H294" s="147"/>
      <c r="I294" s="147"/>
      <c r="J294" s="147"/>
      <c r="K294" s="3"/>
      <c r="L294" s="3"/>
      <c r="M294" s="3"/>
      <c r="N294" s="3"/>
      <c r="O294" s="3"/>
      <c r="P294" s="3"/>
      <c r="Q294" s="3"/>
      <c r="R294" s="3"/>
      <c r="S294" s="3"/>
      <c r="T294" s="3"/>
      <c r="U294" s="3"/>
      <c r="V294" s="3"/>
      <c r="W294" s="3"/>
      <c r="X294" s="3"/>
      <c r="Y294" s="3"/>
      <c r="Z294" s="3"/>
    </row>
    <row r="295" spans="1:26" ht="22.5" customHeight="1" x14ac:dyDescent="0.85">
      <c r="A295" s="166"/>
      <c r="B295" s="167"/>
      <c r="C295" s="167"/>
      <c r="D295" s="147"/>
      <c r="E295" s="147"/>
      <c r="F295" s="147"/>
      <c r="G295" s="147"/>
      <c r="H295" s="147"/>
      <c r="I295" s="147"/>
      <c r="J295" s="147"/>
      <c r="K295" s="3"/>
      <c r="L295" s="3"/>
      <c r="M295" s="3"/>
      <c r="N295" s="3"/>
      <c r="O295" s="3"/>
      <c r="P295" s="3"/>
      <c r="Q295" s="3"/>
      <c r="R295" s="3"/>
      <c r="S295" s="3"/>
      <c r="T295" s="3"/>
      <c r="U295" s="3"/>
      <c r="V295" s="3"/>
      <c r="W295" s="3"/>
      <c r="X295" s="3"/>
      <c r="Y295" s="3"/>
      <c r="Z295" s="3"/>
    </row>
    <row r="296" spans="1:26" ht="22.5" customHeight="1" x14ac:dyDescent="0.85">
      <c r="A296" s="166"/>
      <c r="B296" s="167"/>
      <c r="C296" s="167"/>
      <c r="D296" s="147"/>
      <c r="E296" s="147"/>
      <c r="F296" s="147"/>
      <c r="G296" s="147"/>
      <c r="H296" s="147"/>
      <c r="I296" s="147"/>
      <c r="J296" s="147"/>
      <c r="K296" s="3"/>
      <c r="L296" s="3"/>
      <c r="M296" s="3"/>
      <c r="N296" s="3"/>
      <c r="O296" s="3"/>
      <c r="P296" s="3"/>
      <c r="Q296" s="3"/>
      <c r="R296" s="3"/>
      <c r="S296" s="3"/>
      <c r="T296" s="3"/>
      <c r="U296" s="3"/>
      <c r="V296" s="3"/>
      <c r="W296" s="3"/>
      <c r="X296" s="3"/>
      <c r="Y296" s="3"/>
      <c r="Z296" s="3"/>
    </row>
    <row r="297" spans="1:26" ht="22.5" customHeight="1" x14ac:dyDescent="0.85">
      <c r="A297" s="166"/>
      <c r="B297" s="167"/>
      <c r="C297" s="167"/>
      <c r="D297" s="147"/>
      <c r="E297" s="147"/>
      <c r="F297" s="147"/>
      <c r="G297" s="147"/>
      <c r="H297" s="147"/>
      <c r="I297" s="147"/>
      <c r="J297" s="147"/>
      <c r="K297" s="3"/>
      <c r="L297" s="3"/>
      <c r="M297" s="3"/>
      <c r="N297" s="3"/>
      <c r="O297" s="3"/>
      <c r="P297" s="3"/>
      <c r="Q297" s="3"/>
      <c r="R297" s="3"/>
      <c r="S297" s="3"/>
      <c r="T297" s="3"/>
      <c r="U297" s="3"/>
      <c r="V297" s="3"/>
      <c r="W297" s="3"/>
      <c r="X297" s="3"/>
      <c r="Y297" s="3"/>
      <c r="Z297" s="3"/>
    </row>
    <row r="298" spans="1:26" ht="22.5" customHeight="1" x14ac:dyDescent="0.85">
      <c r="A298" s="166"/>
      <c r="B298" s="167"/>
      <c r="C298" s="167"/>
      <c r="D298" s="147"/>
      <c r="E298" s="147"/>
      <c r="F298" s="147"/>
      <c r="G298" s="147"/>
      <c r="H298" s="147"/>
      <c r="I298" s="147"/>
      <c r="J298" s="147"/>
      <c r="K298" s="3"/>
      <c r="L298" s="3"/>
      <c r="M298" s="3"/>
      <c r="N298" s="3"/>
      <c r="O298" s="3"/>
      <c r="P298" s="3"/>
      <c r="Q298" s="3"/>
      <c r="R298" s="3"/>
      <c r="S298" s="3"/>
      <c r="T298" s="3"/>
      <c r="U298" s="3"/>
      <c r="V298" s="3"/>
      <c r="W298" s="3"/>
      <c r="X298" s="3"/>
      <c r="Y298" s="3"/>
      <c r="Z298" s="3"/>
    </row>
    <row r="299" spans="1:26" ht="22.5" customHeight="1" x14ac:dyDescent="0.85">
      <c r="A299" s="166"/>
      <c r="B299" s="167"/>
      <c r="C299" s="167"/>
      <c r="D299" s="147"/>
      <c r="E299" s="147"/>
      <c r="F299" s="147"/>
      <c r="G299" s="147"/>
      <c r="H299" s="147"/>
      <c r="I299" s="147"/>
      <c r="J299" s="147"/>
      <c r="K299" s="3"/>
      <c r="L299" s="3"/>
      <c r="M299" s="3"/>
      <c r="N299" s="3"/>
      <c r="O299" s="3"/>
      <c r="P299" s="3"/>
      <c r="Q299" s="3"/>
      <c r="R299" s="3"/>
      <c r="S299" s="3"/>
      <c r="T299" s="3"/>
      <c r="U299" s="3"/>
      <c r="V299" s="3"/>
      <c r="W299" s="3"/>
      <c r="X299" s="3"/>
      <c r="Y299" s="3"/>
      <c r="Z299" s="3"/>
    </row>
    <row r="300" spans="1:26" ht="22.5" customHeight="1" x14ac:dyDescent="0.85">
      <c r="A300" s="166"/>
      <c r="B300" s="167"/>
      <c r="C300" s="167"/>
      <c r="D300" s="147"/>
      <c r="E300" s="147"/>
      <c r="F300" s="147"/>
      <c r="G300" s="147"/>
      <c r="H300" s="147"/>
      <c r="I300" s="147"/>
      <c r="J300" s="147"/>
      <c r="K300" s="3"/>
      <c r="L300" s="3"/>
      <c r="M300" s="3"/>
      <c r="N300" s="3"/>
      <c r="O300" s="3"/>
      <c r="P300" s="3"/>
      <c r="Q300" s="3"/>
      <c r="R300" s="3"/>
      <c r="S300" s="3"/>
      <c r="T300" s="3"/>
      <c r="U300" s="3"/>
      <c r="V300" s="3"/>
      <c r="W300" s="3"/>
      <c r="X300" s="3"/>
      <c r="Y300" s="3"/>
      <c r="Z300" s="3"/>
    </row>
    <row r="301" spans="1:26" ht="22.5" customHeight="1" x14ac:dyDescent="0.85">
      <c r="A301" s="166"/>
      <c r="B301" s="167"/>
      <c r="C301" s="167"/>
      <c r="D301" s="147"/>
      <c r="E301" s="147"/>
      <c r="F301" s="147"/>
      <c r="G301" s="147"/>
      <c r="H301" s="147"/>
      <c r="I301" s="147"/>
      <c r="J301" s="147"/>
      <c r="K301" s="3"/>
      <c r="L301" s="3"/>
      <c r="M301" s="3"/>
      <c r="N301" s="3"/>
      <c r="O301" s="3"/>
      <c r="P301" s="3"/>
      <c r="Q301" s="3"/>
      <c r="R301" s="3"/>
      <c r="S301" s="3"/>
      <c r="T301" s="3"/>
      <c r="U301" s="3"/>
      <c r="V301" s="3"/>
      <c r="W301" s="3"/>
      <c r="X301" s="3"/>
      <c r="Y301" s="3"/>
      <c r="Z301" s="3"/>
    </row>
    <row r="302" spans="1:26" ht="22.5" customHeight="1" x14ac:dyDescent="0.85">
      <c r="A302" s="166"/>
      <c r="B302" s="167"/>
      <c r="C302" s="167"/>
      <c r="D302" s="147"/>
      <c r="E302" s="147"/>
      <c r="F302" s="147"/>
      <c r="G302" s="147"/>
      <c r="H302" s="147"/>
      <c r="I302" s="147"/>
      <c r="J302" s="147"/>
      <c r="K302" s="3"/>
      <c r="L302" s="3"/>
      <c r="M302" s="3"/>
      <c r="N302" s="3"/>
      <c r="O302" s="3"/>
      <c r="P302" s="3"/>
      <c r="Q302" s="3"/>
      <c r="R302" s="3"/>
      <c r="S302" s="3"/>
      <c r="T302" s="3"/>
      <c r="U302" s="3"/>
      <c r="V302" s="3"/>
      <c r="W302" s="3"/>
      <c r="X302" s="3"/>
      <c r="Y302" s="3"/>
      <c r="Z302" s="3"/>
    </row>
    <row r="303" spans="1:26" ht="22.5" customHeight="1" x14ac:dyDescent="0.85">
      <c r="A303" s="166"/>
      <c r="B303" s="167"/>
      <c r="C303" s="167"/>
      <c r="D303" s="147"/>
      <c r="E303" s="147"/>
      <c r="F303" s="147"/>
      <c r="G303" s="147"/>
      <c r="H303" s="147"/>
      <c r="I303" s="147"/>
      <c r="J303" s="147"/>
      <c r="K303" s="3"/>
      <c r="L303" s="3"/>
      <c r="M303" s="3"/>
      <c r="N303" s="3"/>
      <c r="O303" s="3"/>
      <c r="P303" s="3"/>
      <c r="Q303" s="3"/>
      <c r="R303" s="3"/>
      <c r="S303" s="3"/>
      <c r="T303" s="3"/>
      <c r="U303" s="3"/>
      <c r="V303" s="3"/>
      <c r="W303" s="3"/>
      <c r="X303" s="3"/>
      <c r="Y303" s="3"/>
      <c r="Z303" s="3"/>
    </row>
    <row r="304" spans="1:26" ht="22.5" customHeight="1" x14ac:dyDescent="0.85">
      <c r="A304" s="166"/>
      <c r="B304" s="167"/>
      <c r="C304" s="167"/>
      <c r="D304" s="147"/>
      <c r="E304" s="147"/>
      <c r="F304" s="147"/>
      <c r="G304" s="147"/>
      <c r="H304" s="147"/>
      <c r="I304" s="147"/>
      <c r="J304" s="147"/>
      <c r="K304" s="3"/>
      <c r="L304" s="3"/>
      <c r="M304" s="3"/>
      <c r="N304" s="3"/>
      <c r="O304" s="3"/>
      <c r="P304" s="3"/>
      <c r="Q304" s="3"/>
      <c r="R304" s="3"/>
      <c r="S304" s="3"/>
      <c r="T304" s="3"/>
      <c r="U304" s="3"/>
      <c r="V304" s="3"/>
      <c r="W304" s="3"/>
      <c r="X304" s="3"/>
      <c r="Y304" s="3"/>
      <c r="Z304" s="3"/>
    </row>
    <row r="305" spans="1:26" ht="22.5" customHeight="1" x14ac:dyDescent="0.85">
      <c r="A305" s="166"/>
      <c r="B305" s="167"/>
      <c r="C305" s="167"/>
      <c r="D305" s="147"/>
      <c r="E305" s="147"/>
      <c r="F305" s="147"/>
      <c r="G305" s="147"/>
      <c r="H305" s="147"/>
      <c r="I305" s="147"/>
      <c r="J305" s="147"/>
      <c r="K305" s="3"/>
      <c r="L305" s="3"/>
      <c r="M305" s="3"/>
      <c r="N305" s="3"/>
      <c r="O305" s="3"/>
      <c r="P305" s="3"/>
      <c r="Q305" s="3"/>
      <c r="R305" s="3"/>
      <c r="S305" s="3"/>
      <c r="T305" s="3"/>
      <c r="U305" s="3"/>
      <c r="V305" s="3"/>
      <c r="W305" s="3"/>
      <c r="X305" s="3"/>
      <c r="Y305" s="3"/>
      <c r="Z305" s="3"/>
    </row>
    <row r="306" spans="1:26" ht="22.5" customHeight="1" x14ac:dyDescent="0.85">
      <c r="A306" s="166"/>
      <c r="B306" s="167"/>
      <c r="C306" s="167"/>
      <c r="D306" s="147"/>
      <c r="E306" s="147"/>
      <c r="F306" s="147"/>
      <c r="G306" s="147"/>
      <c r="H306" s="147"/>
      <c r="I306" s="147"/>
      <c r="J306" s="147"/>
      <c r="K306" s="3"/>
      <c r="L306" s="3"/>
      <c r="M306" s="3"/>
      <c r="N306" s="3"/>
      <c r="O306" s="3"/>
      <c r="P306" s="3"/>
      <c r="Q306" s="3"/>
      <c r="R306" s="3"/>
      <c r="S306" s="3"/>
      <c r="T306" s="3"/>
      <c r="U306" s="3"/>
      <c r="V306" s="3"/>
      <c r="W306" s="3"/>
      <c r="X306" s="3"/>
      <c r="Y306" s="3"/>
      <c r="Z306" s="3"/>
    </row>
    <row r="307" spans="1:26" ht="22.5" customHeight="1" x14ac:dyDescent="0.85">
      <c r="A307" s="166"/>
      <c r="B307" s="167"/>
      <c r="C307" s="167"/>
      <c r="D307" s="147"/>
      <c r="E307" s="147"/>
      <c r="F307" s="147"/>
      <c r="G307" s="147"/>
      <c r="H307" s="147"/>
      <c r="I307" s="147"/>
      <c r="J307" s="147"/>
      <c r="K307" s="3"/>
      <c r="L307" s="3"/>
      <c r="M307" s="3"/>
      <c r="N307" s="3"/>
      <c r="O307" s="3"/>
      <c r="P307" s="3"/>
      <c r="Q307" s="3"/>
      <c r="R307" s="3"/>
      <c r="S307" s="3"/>
      <c r="T307" s="3"/>
      <c r="U307" s="3"/>
      <c r="V307" s="3"/>
      <c r="W307" s="3"/>
      <c r="X307" s="3"/>
      <c r="Y307" s="3"/>
      <c r="Z307" s="3"/>
    </row>
    <row r="308" spans="1:26" ht="22.5" customHeight="1" x14ac:dyDescent="0.85">
      <c r="A308" s="166"/>
      <c r="B308" s="167"/>
      <c r="C308" s="167"/>
      <c r="D308" s="147"/>
      <c r="E308" s="147"/>
      <c r="F308" s="147"/>
      <c r="G308" s="147"/>
      <c r="H308" s="147"/>
      <c r="I308" s="147"/>
      <c r="J308" s="147"/>
      <c r="K308" s="3"/>
      <c r="L308" s="3"/>
      <c r="M308" s="3"/>
      <c r="N308" s="3"/>
      <c r="O308" s="3"/>
      <c r="P308" s="3"/>
      <c r="Q308" s="3"/>
      <c r="R308" s="3"/>
      <c r="S308" s="3"/>
      <c r="T308" s="3"/>
      <c r="U308" s="3"/>
      <c r="V308" s="3"/>
      <c r="W308" s="3"/>
      <c r="X308" s="3"/>
      <c r="Y308" s="3"/>
      <c r="Z308" s="3"/>
    </row>
    <row r="309" spans="1:26" ht="22.5" customHeight="1" x14ac:dyDescent="0.85">
      <c r="A309" s="166"/>
      <c r="B309" s="167"/>
      <c r="C309" s="167"/>
      <c r="D309" s="147"/>
      <c r="E309" s="147"/>
      <c r="F309" s="147"/>
      <c r="G309" s="147"/>
      <c r="H309" s="147"/>
      <c r="I309" s="147"/>
      <c r="J309" s="147"/>
      <c r="K309" s="3"/>
      <c r="L309" s="3"/>
      <c r="M309" s="3"/>
      <c r="N309" s="3"/>
      <c r="O309" s="3"/>
      <c r="P309" s="3"/>
      <c r="Q309" s="3"/>
      <c r="R309" s="3"/>
      <c r="S309" s="3"/>
      <c r="T309" s="3"/>
      <c r="U309" s="3"/>
      <c r="V309" s="3"/>
      <c r="W309" s="3"/>
      <c r="X309" s="3"/>
      <c r="Y309" s="3"/>
      <c r="Z309" s="3"/>
    </row>
    <row r="310" spans="1:26" ht="22.5" customHeight="1" x14ac:dyDescent="0.85">
      <c r="A310" s="166"/>
      <c r="B310" s="167"/>
      <c r="C310" s="167"/>
      <c r="D310" s="147"/>
      <c r="E310" s="147"/>
      <c r="F310" s="147"/>
      <c r="G310" s="147"/>
      <c r="H310" s="147"/>
      <c r="I310" s="147"/>
      <c r="J310" s="147"/>
      <c r="K310" s="3"/>
      <c r="L310" s="3"/>
      <c r="M310" s="3"/>
      <c r="N310" s="3"/>
      <c r="O310" s="3"/>
      <c r="P310" s="3"/>
      <c r="Q310" s="3"/>
      <c r="R310" s="3"/>
      <c r="S310" s="3"/>
      <c r="T310" s="3"/>
      <c r="U310" s="3"/>
      <c r="V310" s="3"/>
      <c r="W310" s="3"/>
      <c r="X310" s="3"/>
      <c r="Y310" s="3"/>
      <c r="Z310" s="3"/>
    </row>
    <row r="311" spans="1:26" ht="22.5" customHeight="1" x14ac:dyDescent="0.85">
      <c r="A311" s="166"/>
      <c r="B311" s="167"/>
      <c r="C311" s="167"/>
      <c r="D311" s="147"/>
      <c r="E311" s="147"/>
      <c r="F311" s="147"/>
      <c r="G311" s="147"/>
      <c r="H311" s="147"/>
      <c r="I311" s="147"/>
      <c r="J311" s="147"/>
      <c r="K311" s="3"/>
      <c r="L311" s="3"/>
      <c r="M311" s="3"/>
      <c r="N311" s="3"/>
      <c r="O311" s="3"/>
      <c r="P311" s="3"/>
      <c r="Q311" s="3"/>
      <c r="R311" s="3"/>
      <c r="S311" s="3"/>
      <c r="T311" s="3"/>
      <c r="U311" s="3"/>
      <c r="V311" s="3"/>
      <c r="W311" s="3"/>
      <c r="X311" s="3"/>
      <c r="Y311" s="3"/>
      <c r="Z311" s="3"/>
    </row>
    <row r="312" spans="1:26" ht="22.5" customHeight="1" x14ac:dyDescent="0.85">
      <c r="A312" s="166"/>
      <c r="B312" s="167"/>
      <c r="C312" s="167"/>
      <c r="D312" s="147"/>
      <c r="E312" s="147"/>
      <c r="F312" s="147"/>
      <c r="G312" s="147"/>
      <c r="H312" s="147"/>
      <c r="I312" s="147"/>
      <c r="J312" s="147"/>
      <c r="K312" s="3"/>
      <c r="L312" s="3"/>
      <c r="M312" s="3"/>
      <c r="N312" s="3"/>
      <c r="O312" s="3"/>
      <c r="P312" s="3"/>
      <c r="Q312" s="3"/>
      <c r="R312" s="3"/>
      <c r="S312" s="3"/>
      <c r="T312" s="3"/>
      <c r="U312" s="3"/>
      <c r="V312" s="3"/>
      <c r="W312" s="3"/>
      <c r="X312" s="3"/>
      <c r="Y312" s="3"/>
      <c r="Z312" s="3"/>
    </row>
    <row r="313" spans="1:26" ht="22.5" customHeight="1" x14ac:dyDescent="0.85">
      <c r="A313" s="166"/>
      <c r="B313" s="167"/>
      <c r="C313" s="167"/>
      <c r="D313" s="147"/>
      <c r="E313" s="147"/>
      <c r="F313" s="147"/>
      <c r="G313" s="147"/>
      <c r="H313" s="147"/>
      <c r="I313" s="147"/>
      <c r="J313" s="147"/>
      <c r="K313" s="3"/>
      <c r="L313" s="3"/>
      <c r="M313" s="3"/>
      <c r="N313" s="3"/>
      <c r="O313" s="3"/>
      <c r="P313" s="3"/>
      <c r="Q313" s="3"/>
      <c r="R313" s="3"/>
      <c r="S313" s="3"/>
      <c r="T313" s="3"/>
      <c r="U313" s="3"/>
      <c r="V313" s="3"/>
      <c r="W313" s="3"/>
      <c r="X313" s="3"/>
      <c r="Y313" s="3"/>
      <c r="Z313" s="3"/>
    </row>
    <row r="314" spans="1:26" ht="22.5" customHeight="1" x14ac:dyDescent="0.85">
      <c r="A314" s="166"/>
      <c r="B314" s="167"/>
      <c r="C314" s="167"/>
      <c r="D314" s="147"/>
      <c r="E314" s="147"/>
      <c r="F314" s="147"/>
      <c r="G314" s="147"/>
      <c r="H314" s="147"/>
      <c r="I314" s="147"/>
      <c r="J314" s="147"/>
      <c r="K314" s="3"/>
      <c r="L314" s="3"/>
      <c r="M314" s="3"/>
      <c r="N314" s="3"/>
      <c r="O314" s="3"/>
      <c r="P314" s="3"/>
      <c r="Q314" s="3"/>
      <c r="R314" s="3"/>
      <c r="S314" s="3"/>
      <c r="T314" s="3"/>
      <c r="U314" s="3"/>
      <c r="V314" s="3"/>
      <c r="W314" s="3"/>
      <c r="X314" s="3"/>
      <c r="Y314" s="3"/>
      <c r="Z314" s="3"/>
    </row>
    <row r="315" spans="1:26" ht="22.5" customHeight="1" x14ac:dyDescent="0.85">
      <c r="A315" s="166"/>
      <c r="B315" s="167"/>
      <c r="C315" s="167"/>
      <c r="D315" s="147"/>
      <c r="E315" s="147"/>
      <c r="F315" s="147"/>
      <c r="G315" s="147"/>
      <c r="H315" s="147"/>
      <c r="I315" s="147"/>
      <c r="J315" s="147"/>
      <c r="K315" s="3"/>
      <c r="L315" s="3"/>
      <c r="M315" s="3"/>
      <c r="N315" s="3"/>
      <c r="O315" s="3"/>
      <c r="P315" s="3"/>
      <c r="Q315" s="3"/>
      <c r="R315" s="3"/>
      <c r="S315" s="3"/>
      <c r="T315" s="3"/>
      <c r="U315" s="3"/>
      <c r="V315" s="3"/>
      <c r="W315" s="3"/>
      <c r="X315" s="3"/>
      <c r="Y315" s="3"/>
      <c r="Z315" s="3"/>
    </row>
    <row r="316" spans="1:26" ht="22.5" customHeight="1" x14ac:dyDescent="0.85">
      <c r="A316" s="166"/>
      <c r="B316" s="167"/>
      <c r="C316" s="167"/>
      <c r="D316" s="147"/>
      <c r="E316" s="147"/>
      <c r="F316" s="147"/>
      <c r="G316" s="147"/>
      <c r="H316" s="147"/>
      <c r="I316" s="147"/>
      <c r="J316" s="147"/>
      <c r="K316" s="3"/>
      <c r="L316" s="3"/>
      <c r="M316" s="3"/>
      <c r="N316" s="3"/>
      <c r="O316" s="3"/>
      <c r="P316" s="3"/>
      <c r="Q316" s="3"/>
      <c r="R316" s="3"/>
      <c r="S316" s="3"/>
      <c r="T316" s="3"/>
      <c r="U316" s="3"/>
      <c r="V316" s="3"/>
      <c r="W316" s="3"/>
      <c r="X316" s="3"/>
      <c r="Y316" s="3"/>
      <c r="Z316" s="3"/>
    </row>
    <row r="317" spans="1:26" ht="22.5" customHeight="1" x14ac:dyDescent="0.85">
      <c r="A317" s="166"/>
      <c r="B317" s="167"/>
      <c r="C317" s="167"/>
      <c r="D317" s="147"/>
      <c r="E317" s="147"/>
      <c r="F317" s="147"/>
      <c r="G317" s="147"/>
      <c r="H317" s="147"/>
      <c r="I317" s="147"/>
      <c r="J317" s="147"/>
      <c r="K317" s="3"/>
      <c r="L317" s="3"/>
      <c r="M317" s="3"/>
      <c r="N317" s="3"/>
      <c r="O317" s="3"/>
      <c r="P317" s="3"/>
      <c r="Q317" s="3"/>
      <c r="R317" s="3"/>
      <c r="S317" s="3"/>
      <c r="T317" s="3"/>
      <c r="U317" s="3"/>
      <c r="V317" s="3"/>
      <c r="W317" s="3"/>
      <c r="X317" s="3"/>
      <c r="Y317" s="3"/>
      <c r="Z317" s="3"/>
    </row>
    <row r="318" spans="1:26" ht="22.5" customHeight="1" x14ac:dyDescent="0.85">
      <c r="A318" s="166"/>
      <c r="B318" s="167"/>
      <c r="C318" s="167"/>
      <c r="D318" s="147"/>
      <c r="E318" s="147"/>
      <c r="F318" s="147"/>
      <c r="G318" s="147"/>
      <c r="H318" s="147"/>
      <c r="I318" s="147"/>
      <c r="J318" s="147"/>
      <c r="K318" s="3"/>
      <c r="L318" s="3"/>
      <c r="M318" s="3"/>
      <c r="N318" s="3"/>
      <c r="O318" s="3"/>
      <c r="P318" s="3"/>
      <c r="Q318" s="3"/>
      <c r="R318" s="3"/>
      <c r="S318" s="3"/>
      <c r="T318" s="3"/>
      <c r="U318" s="3"/>
      <c r="V318" s="3"/>
      <c r="W318" s="3"/>
      <c r="X318" s="3"/>
      <c r="Y318" s="3"/>
      <c r="Z318" s="3"/>
    </row>
    <row r="319" spans="1:26" ht="22.5" customHeight="1" x14ac:dyDescent="0.85">
      <c r="A319" s="166"/>
      <c r="B319" s="167"/>
      <c r="C319" s="167"/>
      <c r="D319" s="147"/>
      <c r="E319" s="147"/>
      <c r="F319" s="147"/>
      <c r="G319" s="147"/>
      <c r="H319" s="147"/>
      <c r="I319" s="147"/>
      <c r="J319" s="147"/>
      <c r="K319" s="3"/>
      <c r="L319" s="3"/>
      <c r="M319" s="3"/>
      <c r="N319" s="3"/>
      <c r="O319" s="3"/>
      <c r="P319" s="3"/>
      <c r="Q319" s="3"/>
      <c r="R319" s="3"/>
      <c r="S319" s="3"/>
      <c r="T319" s="3"/>
      <c r="U319" s="3"/>
      <c r="V319" s="3"/>
      <c r="W319" s="3"/>
      <c r="X319" s="3"/>
      <c r="Y319" s="3"/>
      <c r="Z319" s="3"/>
    </row>
    <row r="320" spans="1:26" ht="22.5" customHeight="1" x14ac:dyDescent="0.85">
      <c r="A320" s="166"/>
      <c r="B320" s="167"/>
      <c r="C320" s="167"/>
      <c r="D320" s="147"/>
      <c r="E320" s="147"/>
      <c r="F320" s="147"/>
      <c r="G320" s="147"/>
      <c r="H320" s="147"/>
      <c r="I320" s="147"/>
      <c r="J320" s="147"/>
      <c r="K320" s="3"/>
      <c r="L320" s="3"/>
      <c r="M320" s="3"/>
      <c r="N320" s="3"/>
      <c r="O320" s="3"/>
      <c r="P320" s="3"/>
      <c r="Q320" s="3"/>
      <c r="R320" s="3"/>
      <c r="S320" s="3"/>
      <c r="T320" s="3"/>
      <c r="U320" s="3"/>
      <c r="V320" s="3"/>
      <c r="W320" s="3"/>
      <c r="X320" s="3"/>
      <c r="Y320" s="3"/>
      <c r="Z320" s="3"/>
    </row>
    <row r="321" spans="1:26" ht="22.5" customHeight="1" x14ac:dyDescent="0.85">
      <c r="A321" s="166"/>
      <c r="B321" s="167"/>
      <c r="C321" s="167"/>
      <c r="D321" s="147"/>
      <c r="E321" s="147"/>
      <c r="F321" s="147"/>
      <c r="G321" s="147"/>
      <c r="H321" s="147"/>
      <c r="I321" s="147"/>
      <c r="J321" s="147"/>
      <c r="K321" s="3"/>
      <c r="L321" s="3"/>
      <c r="M321" s="3"/>
      <c r="N321" s="3"/>
      <c r="O321" s="3"/>
      <c r="P321" s="3"/>
      <c r="Q321" s="3"/>
      <c r="R321" s="3"/>
      <c r="S321" s="3"/>
      <c r="T321" s="3"/>
      <c r="U321" s="3"/>
      <c r="V321" s="3"/>
      <c r="W321" s="3"/>
      <c r="X321" s="3"/>
      <c r="Y321" s="3"/>
      <c r="Z321" s="3"/>
    </row>
    <row r="322" spans="1:26" ht="22.5" customHeight="1" x14ac:dyDescent="0.85">
      <c r="A322" s="166"/>
      <c r="B322" s="167"/>
      <c r="C322" s="167"/>
      <c r="D322" s="147"/>
      <c r="E322" s="147"/>
      <c r="F322" s="147"/>
      <c r="G322" s="147"/>
      <c r="H322" s="147"/>
      <c r="I322" s="147"/>
      <c r="J322" s="147"/>
      <c r="K322" s="3"/>
      <c r="L322" s="3"/>
      <c r="M322" s="3"/>
      <c r="N322" s="3"/>
      <c r="O322" s="3"/>
      <c r="P322" s="3"/>
      <c r="Q322" s="3"/>
      <c r="R322" s="3"/>
      <c r="S322" s="3"/>
      <c r="T322" s="3"/>
      <c r="U322" s="3"/>
      <c r="V322" s="3"/>
      <c r="W322" s="3"/>
      <c r="X322" s="3"/>
      <c r="Y322" s="3"/>
      <c r="Z322" s="3"/>
    </row>
    <row r="323" spans="1:26" ht="22.5" customHeight="1" x14ac:dyDescent="0.85">
      <c r="A323" s="166"/>
      <c r="B323" s="167"/>
      <c r="C323" s="167"/>
      <c r="D323" s="147"/>
      <c r="E323" s="147"/>
      <c r="F323" s="147"/>
      <c r="G323" s="147"/>
      <c r="H323" s="147"/>
      <c r="I323" s="147"/>
      <c r="J323" s="147"/>
      <c r="K323" s="3"/>
      <c r="L323" s="3"/>
      <c r="M323" s="3"/>
      <c r="N323" s="3"/>
      <c r="O323" s="3"/>
      <c r="P323" s="3"/>
      <c r="Q323" s="3"/>
      <c r="R323" s="3"/>
      <c r="S323" s="3"/>
      <c r="T323" s="3"/>
      <c r="U323" s="3"/>
      <c r="V323" s="3"/>
      <c r="W323" s="3"/>
      <c r="X323" s="3"/>
      <c r="Y323" s="3"/>
      <c r="Z323" s="3"/>
    </row>
    <row r="324" spans="1:26" ht="22.5" customHeight="1" x14ac:dyDescent="0.85">
      <c r="A324" s="166"/>
      <c r="B324" s="167"/>
      <c r="C324" s="167"/>
      <c r="D324" s="147"/>
      <c r="E324" s="147"/>
      <c r="F324" s="147"/>
      <c r="G324" s="147"/>
      <c r="H324" s="147"/>
      <c r="I324" s="147"/>
      <c r="J324" s="147"/>
      <c r="K324" s="3"/>
      <c r="L324" s="3"/>
      <c r="M324" s="3"/>
      <c r="N324" s="3"/>
      <c r="O324" s="3"/>
      <c r="P324" s="3"/>
      <c r="Q324" s="3"/>
      <c r="R324" s="3"/>
      <c r="S324" s="3"/>
      <c r="T324" s="3"/>
      <c r="U324" s="3"/>
      <c r="V324" s="3"/>
      <c r="W324" s="3"/>
      <c r="X324" s="3"/>
      <c r="Y324" s="3"/>
      <c r="Z324" s="3"/>
    </row>
    <row r="325" spans="1:26" ht="22.5" customHeight="1" x14ac:dyDescent="0.85">
      <c r="A325" s="166"/>
      <c r="B325" s="167"/>
      <c r="C325" s="167"/>
      <c r="D325" s="147"/>
      <c r="E325" s="147"/>
      <c r="F325" s="147"/>
      <c r="G325" s="147"/>
      <c r="H325" s="147"/>
      <c r="I325" s="147"/>
      <c r="J325" s="147"/>
      <c r="K325" s="3"/>
      <c r="L325" s="3"/>
      <c r="M325" s="3"/>
      <c r="N325" s="3"/>
      <c r="O325" s="3"/>
      <c r="P325" s="3"/>
      <c r="Q325" s="3"/>
      <c r="R325" s="3"/>
      <c r="S325" s="3"/>
      <c r="T325" s="3"/>
      <c r="U325" s="3"/>
      <c r="V325" s="3"/>
      <c r="W325" s="3"/>
      <c r="X325" s="3"/>
      <c r="Y325" s="3"/>
      <c r="Z325" s="3"/>
    </row>
    <row r="326" spans="1:26" ht="22.5" customHeight="1" x14ac:dyDescent="0.85">
      <c r="A326" s="166"/>
      <c r="B326" s="167"/>
      <c r="C326" s="167"/>
      <c r="D326" s="147"/>
      <c r="E326" s="147"/>
      <c r="F326" s="147"/>
      <c r="G326" s="147"/>
      <c r="H326" s="147"/>
      <c r="I326" s="147"/>
      <c r="J326" s="147"/>
      <c r="K326" s="3"/>
      <c r="L326" s="3"/>
      <c r="M326" s="3"/>
      <c r="N326" s="3"/>
      <c r="O326" s="3"/>
      <c r="P326" s="3"/>
      <c r="Q326" s="3"/>
      <c r="R326" s="3"/>
      <c r="S326" s="3"/>
      <c r="T326" s="3"/>
      <c r="U326" s="3"/>
      <c r="V326" s="3"/>
      <c r="W326" s="3"/>
      <c r="X326" s="3"/>
      <c r="Y326" s="3"/>
      <c r="Z326" s="3"/>
    </row>
    <row r="327" spans="1:26" ht="22.5" customHeight="1" x14ac:dyDescent="0.85">
      <c r="A327" s="166"/>
      <c r="B327" s="167"/>
      <c r="C327" s="167"/>
      <c r="D327" s="147"/>
      <c r="E327" s="147"/>
      <c r="F327" s="147"/>
      <c r="G327" s="147"/>
      <c r="H327" s="147"/>
      <c r="I327" s="147"/>
      <c r="J327" s="147"/>
      <c r="K327" s="3"/>
      <c r="L327" s="3"/>
      <c r="M327" s="3"/>
      <c r="N327" s="3"/>
      <c r="O327" s="3"/>
      <c r="P327" s="3"/>
      <c r="Q327" s="3"/>
      <c r="R327" s="3"/>
      <c r="S327" s="3"/>
      <c r="T327" s="3"/>
      <c r="U327" s="3"/>
      <c r="V327" s="3"/>
      <c r="W327" s="3"/>
      <c r="X327" s="3"/>
      <c r="Y327" s="3"/>
      <c r="Z327" s="3"/>
    </row>
    <row r="328" spans="1:26" ht="22.5" customHeight="1" x14ac:dyDescent="0.85">
      <c r="A328" s="166"/>
      <c r="B328" s="167"/>
      <c r="C328" s="167"/>
      <c r="D328" s="147"/>
      <c r="E328" s="147"/>
      <c r="F328" s="147"/>
      <c r="G328" s="147"/>
      <c r="H328" s="147"/>
      <c r="I328" s="147"/>
      <c r="J328" s="147"/>
      <c r="K328" s="3"/>
      <c r="L328" s="3"/>
      <c r="M328" s="3"/>
      <c r="N328" s="3"/>
      <c r="O328" s="3"/>
      <c r="P328" s="3"/>
      <c r="Q328" s="3"/>
      <c r="R328" s="3"/>
      <c r="S328" s="3"/>
      <c r="T328" s="3"/>
      <c r="U328" s="3"/>
      <c r="V328" s="3"/>
      <c r="W328" s="3"/>
      <c r="X328" s="3"/>
      <c r="Y328" s="3"/>
      <c r="Z328" s="3"/>
    </row>
    <row r="329" spans="1:26" ht="22.5" customHeight="1" x14ac:dyDescent="0.85">
      <c r="A329" s="166"/>
      <c r="B329" s="167"/>
      <c r="C329" s="167"/>
      <c r="D329" s="147"/>
      <c r="E329" s="147"/>
      <c r="F329" s="147"/>
      <c r="G329" s="147"/>
      <c r="H329" s="147"/>
      <c r="I329" s="147"/>
      <c r="J329" s="147"/>
      <c r="K329" s="3"/>
      <c r="L329" s="3"/>
      <c r="M329" s="3"/>
      <c r="N329" s="3"/>
      <c r="O329" s="3"/>
      <c r="P329" s="3"/>
      <c r="Q329" s="3"/>
      <c r="R329" s="3"/>
      <c r="S329" s="3"/>
      <c r="T329" s="3"/>
      <c r="U329" s="3"/>
      <c r="V329" s="3"/>
      <c r="W329" s="3"/>
      <c r="X329" s="3"/>
      <c r="Y329" s="3"/>
      <c r="Z329" s="3"/>
    </row>
    <row r="330" spans="1:26" ht="22.5" customHeight="1" x14ac:dyDescent="0.85">
      <c r="A330" s="166"/>
      <c r="B330" s="167"/>
      <c r="C330" s="167"/>
      <c r="D330" s="147"/>
      <c r="E330" s="147"/>
      <c r="F330" s="147"/>
      <c r="G330" s="147"/>
      <c r="H330" s="147"/>
      <c r="I330" s="147"/>
      <c r="J330" s="147"/>
      <c r="K330" s="3"/>
      <c r="L330" s="3"/>
      <c r="M330" s="3"/>
      <c r="N330" s="3"/>
      <c r="O330" s="3"/>
      <c r="P330" s="3"/>
      <c r="Q330" s="3"/>
      <c r="R330" s="3"/>
      <c r="S330" s="3"/>
      <c r="T330" s="3"/>
      <c r="U330" s="3"/>
      <c r="V330" s="3"/>
      <c r="W330" s="3"/>
      <c r="X330" s="3"/>
      <c r="Y330" s="3"/>
      <c r="Z330" s="3"/>
    </row>
    <row r="331" spans="1:26" ht="22.5" customHeight="1" x14ac:dyDescent="0.85">
      <c r="A331" s="166"/>
      <c r="B331" s="167"/>
      <c r="C331" s="167"/>
      <c r="D331" s="147"/>
      <c r="E331" s="147"/>
      <c r="F331" s="147"/>
      <c r="G331" s="147"/>
      <c r="H331" s="147"/>
      <c r="I331" s="147"/>
      <c r="J331" s="147"/>
      <c r="K331" s="3"/>
      <c r="L331" s="3"/>
      <c r="M331" s="3"/>
      <c r="N331" s="3"/>
      <c r="O331" s="3"/>
      <c r="P331" s="3"/>
      <c r="Q331" s="3"/>
      <c r="R331" s="3"/>
      <c r="S331" s="3"/>
      <c r="T331" s="3"/>
      <c r="U331" s="3"/>
      <c r="V331" s="3"/>
      <c r="W331" s="3"/>
      <c r="X331" s="3"/>
      <c r="Y331" s="3"/>
      <c r="Z331" s="3"/>
    </row>
    <row r="332" spans="1:26" ht="22.5" customHeight="1" x14ac:dyDescent="0.85">
      <c r="A332" s="166"/>
      <c r="B332" s="167"/>
      <c r="C332" s="167"/>
      <c r="D332" s="147"/>
      <c r="E332" s="147"/>
      <c r="F332" s="147"/>
      <c r="G332" s="147"/>
      <c r="H332" s="147"/>
      <c r="I332" s="147"/>
      <c r="J332" s="147"/>
      <c r="K332" s="3"/>
      <c r="L332" s="3"/>
      <c r="M332" s="3"/>
      <c r="N332" s="3"/>
      <c r="O332" s="3"/>
      <c r="P332" s="3"/>
      <c r="Q332" s="3"/>
      <c r="R332" s="3"/>
      <c r="S332" s="3"/>
      <c r="T332" s="3"/>
      <c r="U332" s="3"/>
      <c r="V332" s="3"/>
      <c r="W332" s="3"/>
      <c r="X332" s="3"/>
      <c r="Y332" s="3"/>
      <c r="Z332" s="3"/>
    </row>
    <row r="333" spans="1:26" ht="22.5" customHeight="1" x14ac:dyDescent="0.85">
      <c r="A333" s="166"/>
      <c r="B333" s="167"/>
      <c r="C333" s="167"/>
      <c r="D333" s="147"/>
      <c r="E333" s="147"/>
      <c r="F333" s="147"/>
      <c r="G333" s="147"/>
      <c r="H333" s="147"/>
      <c r="I333" s="147"/>
      <c r="J333" s="147"/>
      <c r="K333" s="3"/>
      <c r="L333" s="3"/>
      <c r="M333" s="3"/>
      <c r="N333" s="3"/>
      <c r="O333" s="3"/>
      <c r="P333" s="3"/>
      <c r="Q333" s="3"/>
      <c r="R333" s="3"/>
      <c r="S333" s="3"/>
      <c r="T333" s="3"/>
      <c r="U333" s="3"/>
      <c r="V333" s="3"/>
      <c r="W333" s="3"/>
      <c r="X333" s="3"/>
      <c r="Y333" s="3"/>
      <c r="Z333" s="3"/>
    </row>
    <row r="334" spans="1:26" ht="22.5" customHeight="1" x14ac:dyDescent="0.85">
      <c r="A334" s="166"/>
      <c r="B334" s="167"/>
      <c r="C334" s="167"/>
      <c r="D334" s="147"/>
      <c r="E334" s="147"/>
      <c r="F334" s="147"/>
      <c r="G334" s="147"/>
      <c r="H334" s="147"/>
      <c r="I334" s="147"/>
      <c r="J334" s="147"/>
      <c r="K334" s="3"/>
      <c r="L334" s="3"/>
      <c r="M334" s="3"/>
      <c r="N334" s="3"/>
      <c r="O334" s="3"/>
      <c r="P334" s="3"/>
      <c r="Q334" s="3"/>
      <c r="R334" s="3"/>
      <c r="S334" s="3"/>
      <c r="T334" s="3"/>
      <c r="U334" s="3"/>
      <c r="V334" s="3"/>
      <c r="W334" s="3"/>
      <c r="X334" s="3"/>
      <c r="Y334" s="3"/>
      <c r="Z334" s="3"/>
    </row>
    <row r="335" spans="1:26" ht="22.5" customHeight="1" x14ac:dyDescent="0.85">
      <c r="A335" s="166"/>
      <c r="B335" s="167"/>
      <c r="C335" s="167"/>
      <c r="D335" s="147"/>
      <c r="E335" s="147"/>
      <c r="F335" s="147"/>
      <c r="G335" s="147"/>
      <c r="H335" s="147"/>
      <c r="I335" s="147"/>
      <c r="J335" s="147"/>
      <c r="K335" s="3"/>
      <c r="L335" s="3"/>
      <c r="M335" s="3"/>
      <c r="N335" s="3"/>
      <c r="O335" s="3"/>
      <c r="P335" s="3"/>
      <c r="Q335" s="3"/>
      <c r="R335" s="3"/>
      <c r="S335" s="3"/>
      <c r="T335" s="3"/>
      <c r="U335" s="3"/>
      <c r="V335" s="3"/>
      <c r="W335" s="3"/>
      <c r="X335" s="3"/>
      <c r="Y335" s="3"/>
      <c r="Z335" s="3"/>
    </row>
    <row r="336" spans="1:26" ht="22.5" customHeight="1" x14ac:dyDescent="0.85">
      <c r="A336" s="166"/>
      <c r="B336" s="167"/>
      <c r="C336" s="167"/>
      <c r="D336" s="147"/>
      <c r="E336" s="147"/>
      <c r="F336" s="147"/>
      <c r="G336" s="147"/>
      <c r="H336" s="147"/>
      <c r="I336" s="147"/>
      <c r="J336" s="147"/>
      <c r="K336" s="3"/>
      <c r="L336" s="3"/>
      <c r="M336" s="3"/>
      <c r="N336" s="3"/>
      <c r="O336" s="3"/>
      <c r="P336" s="3"/>
      <c r="Q336" s="3"/>
      <c r="R336" s="3"/>
      <c r="S336" s="3"/>
      <c r="T336" s="3"/>
      <c r="U336" s="3"/>
      <c r="V336" s="3"/>
      <c r="W336" s="3"/>
      <c r="X336" s="3"/>
      <c r="Y336" s="3"/>
      <c r="Z336" s="3"/>
    </row>
    <row r="337" spans="1:26" ht="22.5" customHeight="1" x14ac:dyDescent="0.85">
      <c r="A337" s="166"/>
      <c r="B337" s="167"/>
      <c r="C337" s="167"/>
      <c r="D337" s="147"/>
      <c r="E337" s="147"/>
      <c r="F337" s="147"/>
      <c r="G337" s="147"/>
      <c r="H337" s="147"/>
      <c r="I337" s="147"/>
      <c r="J337" s="147"/>
      <c r="K337" s="3"/>
      <c r="L337" s="3"/>
      <c r="M337" s="3"/>
      <c r="N337" s="3"/>
      <c r="O337" s="3"/>
      <c r="P337" s="3"/>
      <c r="Q337" s="3"/>
      <c r="R337" s="3"/>
      <c r="S337" s="3"/>
      <c r="T337" s="3"/>
      <c r="U337" s="3"/>
      <c r="V337" s="3"/>
      <c r="W337" s="3"/>
      <c r="X337" s="3"/>
      <c r="Y337" s="3"/>
      <c r="Z337" s="3"/>
    </row>
    <row r="338" spans="1:26" ht="22.5" customHeight="1" x14ac:dyDescent="0.85">
      <c r="A338" s="166"/>
      <c r="B338" s="167"/>
      <c r="C338" s="167"/>
      <c r="D338" s="147"/>
      <c r="E338" s="147"/>
      <c r="F338" s="147"/>
      <c r="G338" s="147"/>
      <c r="H338" s="147"/>
      <c r="I338" s="147"/>
      <c r="J338" s="147"/>
      <c r="K338" s="3"/>
      <c r="L338" s="3"/>
      <c r="M338" s="3"/>
      <c r="N338" s="3"/>
      <c r="O338" s="3"/>
      <c r="P338" s="3"/>
      <c r="Q338" s="3"/>
      <c r="R338" s="3"/>
      <c r="S338" s="3"/>
      <c r="T338" s="3"/>
      <c r="U338" s="3"/>
      <c r="V338" s="3"/>
      <c r="W338" s="3"/>
      <c r="X338" s="3"/>
      <c r="Y338" s="3"/>
      <c r="Z338" s="3"/>
    </row>
    <row r="339" spans="1:26" ht="22.5" customHeight="1" x14ac:dyDescent="0.85">
      <c r="A339" s="166"/>
      <c r="B339" s="167"/>
      <c r="C339" s="167"/>
      <c r="D339" s="147"/>
      <c r="E339" s="147"/>
      <c r="F339" s="147"/>
      <c r="G339" s="147"/>
      <c r="H339" s="147"/>
      <c r="I339" s="147"/>
      <c r="J339" s="147"/>
      <c r="K339" s="3"/>
      <c r="L339" s="3"/>
      <c r="M339" s="3"/>
      <c r="N339" s="3"/>
      <c r="O339" s="3"/>
      <c r="P339" s="3"/>
      <c r="Q339" s="3"/>
      <c r="R339" s="3"/>
      <c r="S339" s="3"/>
      <c r="T339" s="3"/>
      <c r="U339" s="3"/>
      <c r="V339" s="3"/>
      <c r="W339" s="3"/>
      <c r="X339" s="3"/>
      <c r="Y339" s="3"/>
      <c r="Z339" s="3"/>
    </row>
    <row r="340" spans="1:26" ht="22.5" customHeight="1" x14ac:dyDescent="0.85">
      <c r="A340" s="166"/>
      <c r="B340" s="167"/>
      <c r="C340" s="167"/>
      <c r="D340" s="147"/>
      <c r="E340" s="147"/>
      <c r="F340" s="147"/>
      <c r="G340" s="147"/>
      <c r="H340" s="147"/>
      <c r="I340" s="147"/>
      <c r="J340" s="147"/>
      <c r="K340" s="3"/>
      <c r="L340" s="3"/>
      <c r="M340" s="3"/>
      <c r="N340" s="3"/>
      <c r="O340" s="3"/>
      <c r="P340" s="3"/>
      <c r="Q340" s="3"/>
      <c r="R340" s="3"/>
      <c r="S340" s="3"/>
      <c r="T340" s="3"/>
      <c r="U340" s="3"/>
      <c r="V340" s="3"/>
      <c r="W340" s="3"/>
      <c r="X340" s="3"/>
      <c r="Y340" s="3"/>
      <c r="Z340" s="3"/>
    </row>
    <row r="341" spans="1:26" ht="22.5" customHeight="1" x14ac:dyDescent="0.85">
      <c r="A341" s="166"/>
      <c r="B341" s="167"/>
      <c r="C341" s="167"/>
      <c r="D341" s="147"/>
      <c r="E341" s="147"/>
      <c r="F341" s="147"/>
      <c r="G341" s="147"/>
      <c r="H341" s="147"/>
      <c r="I341" s="147"/>
      <c r="J341" s="147"/>
      <c r="K341" s="3"/>
      <c r="L341" s="3"/>
      <c r="M341" s="3"/>
      <c r="N341" s="3"/>
      <c r="O341" s="3"/>
      <c r="P341" s="3"/>
      <c r="Q341" s="3"/>
      <c r="R341" s="3"/>
      <c r="S341" s="3"/>
      <c r="T341" s="3"/>
      <c r="U341" s="3"/>
      <c r="V341" s="3"/>
      <c r="W341" s="3"/>
      <c r="X341" s="3"/>
      <c r="Y341" s="3"/>
      <c r="Z341" s="3"/>
    </row>
    <row r="342" spans="1:26" ht="22.5" customHeight="1" x14ac:dyDescent="0.85">
      <c r="A342" s="166"/>
      <c r="B342" s="167"/>
      <c r="C342" s="167"/>
      <c r="D342" s="147"/>
      <c r="E342" s="147"/>
      <c r="F342" s="147"/>
      <c r="G342" s="147"/>
      <c r="H342" s="147"/>
      <c r="I342" s="147"/>
      <c r="J342" s="147"/>
      <c r="K342" s="3"/>
      <c r="L342" s="3"/>
      <c r="M342" s="3"/>
      <c r="N342" s="3"/>
      <c r="O342" s="3"/>
      <c r="P342" s="3"/>
      <c r="Q342" s="3"/>
      <c r="R342" s="3"/>
      <c r="S342" s="3"/>
      <c r="T342" s="3"/>
      <c r="U342" s="3"/>
      <c r="V342" s="3"/>
      <c r="W342" s="3"/>
      <c r="X342" s="3"/>
      <c r="Y342" s="3"/>
      <c r="Z342" s="3"/>
    </row>
    <row r="343" spans="1:26" ht="22.5" customHeight="1" x14ac:dyDescent="0.85">
      <c r="A343" s="166"/>
      <c r="B343" s="167"/>
      <c r="C343" s="167"/>
      <c r="D343" s="147"/>
      <c r="E343" s="147"/>
      <c r="F343" s="147"/>
      <c r="G343" s="147"/>
      <c r="H343" s="147"/>
      <c r="I343" s="147"/>
      <c r="J343" s="147"/>
      <c r="K343" s="3"/>
      <c r="L343" s="3"/>
      <c r="M343" s="3"/>
      <c r="N343" s="3"/>
      <c r="O343" s="3"/>
      <c r="P343" s="3"/>
      <c r="Q343" s="3"/>
      <c r="R343" s="3"/>
      <c r="S343" s="3"/>
      <c r="T343" s="3"/>
      <c r="U343" s="3"/>
      <c r="V343" s="3"/>
      <c r="W343" s="3"/>
      <c r="X343" s="3"/>
      <c r="Y343" s="3"/>
      <c r="Z343" s="3"/>
    </row>
    <row r="344" spans="1:26" ht="22.5" customHeight="1" x14ac:dyDescent="0.85">
      <c r="A344" s="166"/>
      <c r="B344" s="167"/>
      <c r="C344" s="167"/>
      <c r="D344" s="147"/>
      <c r="E344" s="147"/>
      <c r="F344" s="147"/>
      <c r="G344" s="147"/>
      <c r="H344" s="147"/>
      <c r="I344" s="147"/>
      <c r="J344" s="147"/>
      <c r="K344" s="3"/>
      <c r="L344" s="3"/>
      <c r="M344" s="3"/>
      <c r="N344" s="3"/>
      <c r="O344" s="3"/>
      <c r="P344" s="3"/>
      <c r="Q344" s="3"/>
      <c r="R344" s="3"/>
      <c r="S344" s="3"/>
      <c r="T344" s="3"/>
      <c r="U344" s="3"/>
      <c r="V344" s="3"/>
      <c r="W344" s="3"/>
      <c r="X344" s="3"/>
      <c r="Y344" s="3"/>
      <c r="Z344" s="3"/>
    </row>
    <row r="345" spans="1:26" ht="22.5" customHeight="1" x14ac:dyDescent="0.85">
      <c r="A345" s="166"/>
      <c r="B345" s="167"/>
      <c r="C345" s="167"/>
      <c r="D345" s="147"/>
      <c r="E345" s="147"/>
      <c r="F345" s="147"/>
      <c r="G345" s="147"/>
      <c r="H345" s="147"/>
      <c r="I345" s="147"/>
      <c r="J345" s="147"/>
      <c r="K345" s="3"/>
      <c r="L345" s="3"/>
      <c r="M345" s="3"/>
      <c r="N345" s="3"/>
      <c r="O345" s="3"/>
      <c r="P345" s="3"/>
      <c r="Q345" s="3"/>
      <c r="R345" s="3"/>
      <c r="S345" s="3"/>
      <c r="T345" s="3"/>
      <c r="U345" s="3"/>
      <c r="V345" s="3"/>
      <c r="W345" s="3"/>
      <c r="X345" s="3"/>
      <c r="Y345" s="3"/>
      <c r="Z345" s="3"/>
    </row>
    <row r="346" spans="1:26" ht="22.5" customHeight="1" x14ac:dyDescent="0.85">
      <c r="A346" s="166"/>
      <c r="B346" s="167"/>
      <c r="C346" s="167"/>
      <c r="D346" s="147"/>
      <c r="E346" s="147"/>
      <c r="F346" s="147"/>
      <c r="G346" s="147"/>
      <c r="H346" s="147"/>
      <c r="I346" s="147"/>
      <c r="J346" s="147"/>
      <c r="K346" s="3"/>
      <c r="L346" s="3"/>
      <c r="M346" s="3"/>
      <c r="N346" s="3"/>
      <c r="O346" s="3"/>
      <c r="P346" s="3"/>
      <c r="Q346" s="3"/>
      <c r="R346" s="3"/>
      <c r="S346" s="3"/>
      <c r="T346" s="3"/>
      <c r="U346" s="3"/>
      <c r="V346" s="3"/>
      <c r="W346" s="3"/>
      <c r="X346" s="3"/>
      <c r="Y346" s="3"/>
      <c r="Z346" s="3"/>
    </row>
    <row r="347" spans="1:26" ht="22.5" customHeight="1" x14ac:dyDescent="0.85">
      <c r="A347" s="166"/>
      <c r="B347" s="167"/>
      <c r="C347" s="167"/>
      <c r="D347" s="147"/>
      <c r="E347" s="147"/>
      <c r="F347" s="147"/>
      <c r="G347" s="147"/>
      <c r="H347" s="147"/>
      <c r="I347" s="147"/>
      <c r="J347" s="147"/>
      <c r="K347" s="3"/>
      <c r="L347" s="3"/>
      <c r="M347" s="3"/>
      <c r="N347" s="3"/>
      <c r="O347" s="3"/>
      <c r="P347" s="3"/>
      <c r="Q347" s="3"/>
      <c r="R347" s="3"/>
      <c r="S347" s="3"/>
      <c r="T347" s="3"/>
      <c r="U347" s="3"/>
      <c r="V347" s="3"/>
      <c r="W347" s="3"/>
      <c r="X347" s="3"/>
      <c r="Y347" s="3"/>
      <c r="Z347" s="3"/>
    </row>
    <row r="348" spans="1:26" ht="22.5" customHeight="1" x14ac:dyDescent="0.85">
      <c r="A348" s="166"/>
      <c r="B348" s="167"/>
      <c r="C348" s="167"/>
      <c r="D348" s="147"/>
      <c r="E348" s="147"/>
      <c r="F348" s="147"/>
      <c r="G348" s="147"/>
      <c r="H348" s="147"/>
      <c r="I348" s="147"/>
      <c r="J348" s="147"/>
      <c r="K348" s="3"/>
      <c r="L348" s="3"/>
      <c r="M348" s="3"/>
      <c r="N348" s="3"/>
      <c r="O348" s="3"/>
      <c r="P348" s="3"/>
      <c r="Q348" s="3"/>
      <c r="R348" s="3"/>
      <c r="S348" s="3"/>
      <c r="T348" s="3"/>
      <c r="U348" s="3"/>
      <c r="V348" s="3"/>
      <c r="W348" s="3"/>
      <c r="X348" s="3"/>
      <c r="Y348" s="3"/>
      <c r="Z348" s="3"/>
    </row>
    <row r="349" spans="1:26" ht="22.5" customHeight="1" x14ac:dyDescent="0.85">
      <c r="A349" s="166"/>
      <c r="B349" s="167"/>
      <c r="C349" s="167"/>
      <c r="D349" s="147"/>
      <c r="E349" s="147"/>
      <c r="F349" s="147"/>
      <c r="G349" s="147"/>
      <c r="H349" s="147"/>
      <c r="I349" s="147"/>
      <c r="J349" s="147"/>
      <c r="K349" s="3"/>
      <c r="L349" s="3"/>
      <c r="M349" s="3"/>
      <c r="N349" s="3"/>
      <c r="O349" s="3"/>
      <c r="P349" s="3"/>
      <c r="Q349" s="3"/>
      <c r="R349" s="3"/>
      <c r="S349" s="3"/>
      <c r="T349" s="3"/>
      <c r="U349" s="3"/>
      <c r="V349" s="3"/>
      <c r="W349" s="3"/>
      <c r="X349" s="3"/>
      <c r="Y349" s="3"/>
      <c r="Z349" s="3"/>
    </row>
    <row r="350" spans="1:26" ht="22.5" customHeight="1" x14ac:dyDescent="0.85">
      <c r="A350" s="166"/>
      <c r="B350" s="167"/>
      <c r="C350" s="167"/>
      <c r="D350" s="147"/>
      <c r="E350" s="147"/>
      <c r="F350" s="147"/>
      <c r="G350" s="147"/>
      <c r="H350" s="147"/>
      <c r="I350" s="147"/>
      <c r="J350" s="147"/>
      <c r="K350" s="3"/>
      <c r="L350" s="3"/>
      <c r="M350" s="3"/>
      <c r="N350" s="3"/>
      <c r="O350" s="3"/>
      <c r="P350" s="3"/>
      <c r="Q350" s="3"/>
      <c r="R350" s="3"/>
      <c r="S350" s="3"/>
      <c r="T350" s="3"/>
      <c r="U350" s="3"/>
      <c r="V350" s="3"/>
      <c r="W350" s="3"/>
      <c r="X350" s="3"/>
      <c r="Y350" s="3"/>
      <c r="Z350" s="3"/>
    </row>
    <row r="351" spans="1:26" ht="22.5" customHeight="1" x14ac:dyDescent="0.85">
      <c r="A351" s="166"/>
      <c r="B351" s="167"/>
      <c r="C351" s="167"/>
      <c r="D351" s="147"/>
      <c r="E351" s="147"/>
      <c r="F351" s="147"/>
      <c r="G351" s="147"/>
      <c r="H351" s="147"/>
      <c r="I351" s="147"/>
      <c r="J351" s="147"/>
      <c r="K351" s="3"/>
      <c r="L351" s="3"/>
      <c r="M351" s="3"/>
      <c r="N351" s="3"/>
      <c r="O351" s="3"/>
      <c r="P351" s="3"/>
      <c r="Q351" s="3"/>
      <c r="R351" s="3"/>
      <c r="S351" s="3"/>
      <c r="T351" s="3"/>
      <c r="U351" s="3"/>
      <c r="V351" s="3"/>
      <c r="W351" s="3"/>
      <c r="X351" s="3"/>
      <c r="Y351" s="3"/>
      <c r="Z351" s="3"/>
    </row>
    <row r="352" spans="1:26" ht="22.5" customHeight="1" x14ac:dyDescent="0.85">
      <c r="A352" s="166"/>
      <c r="B352" s="167"/>
      <c r="C352" s="167"/>
      <c r="D352" s="147"/>
      <c r="E352" s="147"/>
      <c r="F352" s="147"/>
      <c r="G352" s="147"/>
      <c r="H352" s="147"/>
      <c r="I352" s="147"/>
      <c r="J352" s="147"/>
      <c r="K352" s="3"/>
      <c r="L352" s="3"/>
      <c r="M352" s="3"/>
      <c r="N352" s="3"/>
      <c r="O352" s="3"/>
      <c r="P352" s="3"/>
      <c r="Q352" s="3"/>
      <c r="R352" s="3"/>
      <c r="S352" s="3"/>
      <c r="T352" s="3"/>
      <c r="U352" s="3"/>
      <c r="V352" s="3"/>
      <c r="W352" s="3"/>
      <c r="X352" s="3"/>
      <c r="Y352" s="3"/>
      <c r="Z352" s="3"/>
    </row>
    <row r="353" spans="1:26" ht="22.5" customHeight="1" x14ac:dyDescent="0.85">
      <c r="A353" s="166"/>
      <c r="B353" s="167"/>
      <c r="C353" s="167"/>
      <c r="D353" s="147"/>
      <c r="E353" s="147"/>
      <c r="F353" s="147"/>
      <c r="G353" s="147"/>
      <c r="H353" s="147"/>
      <c r="I353" s="147"/>
      <c r="J353" s="147"/>
      <c r="K353" s="3"/>
      <c r="L353" s="3"/>
      <c r="M353" s="3"/>
      <c r="N353" s="3"/>
      <c r="O353" s="3"/>
      <c r="P353" s="3"/>
      <c r="Q353" s="3"/>
      <c r="R353" s="3"/>
      <c r="S353" s="3"/>
      <c r="T353" s="3"/>
      <c r="U353" s="3"/>
      <c r="V353" s="3"/>
      <c r="W353" s="3"/>
      <c r="X353" s="3"/>
      <c r="Y353" s="3"/>
      <c r="Z353" s="3"/>
    </row>
    <row r="354" spans="1:26" ht="22.5" customHeight="1" x14ac:dyDescent="0.85">
      <c r="A354" s="166"/>
      <c r="B354" s="167"/>
      <c r="C354" s="167"/>
      <c r="D354" s="147"/>
      <c r="E354" s="147"/>
      <c r="F354" s="147"/>
      <c r="G354" s="147"/>
      <c r="H354" s="147"/>
      <c r="I354" s="147"/>
      <c r="J354" s="147"/>
      <c r="K354" s="3"/>
      <c r="L354" s="3"/>
      <c r="M354" s="3"/>
      <c r="N354" s="3"/>
      <c r="O354" s="3"/>
      <c r="P354" s="3"/>
      <c r="Q354" s="3"/>
      <c r="R354" s="3"/>
      <c r="S354" s="3"/>
      <c r="T354" s="3"/>
      <c r="U354" s="3"/>
      <c r="V354" s="3"/>
      <c r="W354" s="3"/>
      <c r="X354" s="3"/>
      <c r="Y354" s="3"/>
      <c r="Z354" s="3"/>
    </row>
    <row r="355" spans="1:26" ht="22.5" customHeight="1" x14ac:dyDescent="0.85">
      <c r="A355" s="166"/>
      <c r="B355" s="167"/>
      <c r="C355" s="167"/>
      <c r="D355" s="147"/>
      <c r="E355" s="147"/>
      <c r="F355" s="147"/>
      <c r="G355" s="147"/>
      <c r="H355" s="147"/>
      <c r="I355" s="147"/>
      <c r="J355" s="147"/>
      <c r="K355" s="3"/>
      <c r="L355" s="3"/>
      <c r="M355" s="3"/>
      <c r="N355" s="3"/>
      <c r="O355" s="3"/>
      <c r="P355" s="3"/>
      <c r="Q355" s="3"/>
      <c r="R355" s="3"/>
      <c r="S355" s="3"/>
      <c r="T355" s="3"/>
      <c r="U355" s="3"/>
      <c r="V355" s="3"/>
      <c r="W355" s="3"/>
      <c r="X355" s="3"/>
      <c r="Y355" s="3"/>
      <c r="Z355" s="3"/>
    </row>
    <row r="356" spans="1:26" ht="22.5" customHeight="1" x14ac:dyDescent="0.85">
      <c r="A356" s="166"/>
      <c r="B356" s="167"/>
      <c r="C356" s="167"/>
      <c r="D356" s="147"/>
      <c r="E356" s="147"/>
      <c r="F356" s="147"/>
      <c r="G356" s="147"/>
      <c r="H356" s="147"/>
      <c r="I356" s="147"/>
      <c r="J356" s="147"/>
      <c r="K356" s="3"/>
      <c r="L356" s="3"/>
      <c r="M356" s="3"/>
      <c r="N356" s="3"/>
      <c r="O356" s="3"/>
      <c r="P356" s="3"/>
      <c r="Q356" s="3"/>
      <c r="R356" s="3"/>
      <c r="S356" s="3"/>
      <c r="T356" s="3"/>
      <c r="U356" s="3"/>
      <c r="V356" s="3"/>
      <c r="W356" s="3"/>
      <c r="X356" s="3"/>
      <c r="Y356" s="3"/>
      <c r="Z356" s="3"/>
    </row>
    <row r="357" spans="1:26" ht="22.5" customHeight="1" x14ac:dyDescent="0.85">
      <c r="A357" s="166"/>
      <c r="B357" s="167"/>
      <c r="C357" s="167"/>
      <c r="D357" s="147"/>
      <c r="E357" s="147"/>
      <c r="F357" s="147"/>
      <c r="G357" s="147"/>
      <c r="H357" s="147"/>
      <c r="I357" s="147"/>
      <c r="J357" s="147"/>
      <c r="K357" s="3"/>
      <c r="L357" s="3"/>
      <c r="M357" s="3"/>
      <c r="N357" s="3"/>
      <c r="O357" s="3"/>
      <c r="P357" s="3"/>
      <c r="Q357" s="3"/>
      <c r="R357" s="3"/>
      <c r="S357" s="3"/>
      <c r="T357" s="3"/>
      <c r="U357" s="3"/>
      <c r="V357" s="3"/>
      <c r="W357" s="3"/>
      <c r="X357" s="3"/>
      <c r="Y357" s="3"/>
      <c r="Z357" s="3"/>
    </row>
    <row r="358" spans="1:26" ht="22.5" customHeight="1" x14ac:dyDescent="0.85">
      <c r="A358" s="166"/>
      <c r="B358" s="167"/>
      <c r="C358" s="167"/>
      <c r="D358" s="147"/>
      <c r="E358" s="147"/>
      <c r="F358" s="147"/>
      <c r="G358" s="147"/>
      <c r="H358" s="147"/>
      <c r="I358" s="147"/>
      <c r="J358" s="147"/>
      <c r="K358" s="3"/>
      <c r="L358" s="3"/>
      <c r="M358" s="3"/>
      <c r="N358" s="3"/>
      <c r="O358" s="3"/>
      <c r="P358" s="3"/>
      <c r="Q358" s="3"/>
      <c r="R358" s="3"/>
      <c r="S358" s="3"/>
      <c r="T358" s="3"/>
      <c r="U358" s="3"/>
      <c r="V358" s="3"/>
      <c r="W358" s="3"/>
      <c r="X358" s="3"/>
      <c r="Y358" s="3"/>
      <c r="Z358" s="3"/>
    </row>
    <row r="359" spans="1:26" ht="22.5" customHeight="1" x14ac:dyDescent="0.85">
      <c r="A359" s="166"/>
      <c r="B359" s="167"/>
      <c r="C359" s="167"/>
      <c r="D359" s="147"/>
      <c r="E359" s="147"/>
      <c r="F359" s="147"/>
      <c r="G359" s="147"/>
      <c r="H359" s="147"/>
      <c r="I359" s="147"/>
      <c r="J359" s="147"/>
      <c r="K359" s="3"/>
      <c r="L359" s="3"/>
      <c r="M359" s="3"/>
      <c r="N359" s="3"/>
      <c r="O359" s="3"/>
      <c r="P359" s="3"/>
      <c r="Q359" s="3"/>
      <c r="R359" s="3"/>
      <c r="S359" s="3"/>
      <c r="T359" s="3"/>
      <c r="U359" s="3"/>
      <c r="V359" s="3"/>
      <c r="W359" s="3"/>
      <c r="X359" s="3"/>
      <c r="Y359" s="3"/>
      <c r="Z359" s="3"/>
    </row>
    <row r="360" spans="1:26" ht="22.5" customHeight="1" x14ac:dyDescent="0.85">
      <c r="A360" s="166"/>
      <c r="B360" s="167"/>
      <c r="C360" s="167"/>
      <c r="D360" s="147"/>
      <c r="E360" s="147"/>
      <c r="F360" s="147"/>
      <c r="G360" s="147"/>
      <c r="H360" s="147"/>
      <c r="I360" s="147"/>
      <c r="J360" s="147"/>
      <c r="K360" s="3"/>
      <c r="L360" s="3"/>
      <c r="M360" s="3"/>
      <c r="N360" s="3"/>
      <c r="O360" s="3"/>
      <c r="P360" s="3"/>
      <c r="Q360" s="3"/>
      <c r="R360" s="3"/>
      <c r="S360" s="3"/>
      <c r="T360" s="3"/>
      <c r="U360" s="3"/>
      <c r="V360" s="3"/>
      <c r="W360" s="3"/>
      <c r="X360" s="3"/>
      <c r="Y360" s="3"/>
      <c r="Z360" s="3"/>
    </row>
    <row r="361" spans="1:26" ht="22.5" customHeight="1" x14ac:dyDescent="0.85">
      <c r="A361" s="166"/>
      <c r="B361" s="167"/>
      <c r="C361" s="167"/>
      <c r="D361" s="147"/>
      <c r="E361" s="147"/>
      <c r="F361" s="147"/>
      <c r="G361" s="147"/>
      <c r="H361" s="147"/>
      <c r="I361" s="147"/>
      <c r="J361" s="147"/>
      <c r="K361" s="3"/>
      <c r="L361" s="3"/>
      <c r="M361" s="3"/>
      <c r="N361" s="3"/>
      <c r="O361" s="3"/>
      <c r="P361" s="3"/>
      <c r="Q361" s="3"/>
      <c r="R361" s="3"/>
      <c r="S361" s="3"/>
      <c r="T361" s="3"/>
      <c r="U361" s="3"/>
      <c r="V361" s="3"/>
      <c r="W361" s="3"/>
      <c r="X361" s="3"/>
      <c r="Y361" s="3"/>
      <c r="Z361" s="3"/>
    </row>
    <row r="362" spans="1:26" ht="22.5" customHeight="1" x14ac:dyDescent="0.85">
      <c r="A362" s="166"/>
      <c r="B362" s="167"/>
      <c r="C362" s="167"/>
      <c r="D362" s="147"/>
      <c r="E362" s="147"/>
      <c r="F362" s="147"/>
      <c r="G362" s="147"/>
      <c r="H362" s="147"/>
      <c r="I362" s="147"/>
      <c r="J362" s="147"/>
      <c r="K362" s="3"/>
      <c r="L362" s="3"/>
      <c r="M362" s="3"/>
      <c r="N362" s="3"/>
      <c r="O362" s="3"/>
      <c r="P362" s="3"/>
      <c r="Q362" s="3"/>
      <c r="R362" s="3"/>
      <c r="S362" s="3"/>
      <c r="T362" s="3"/>
      <c r="U362" s="3"/>
      <c r="V362" s="3"/>
      <c r="W362" s="3"/>
      <c r="X362" s="3"/>
      <c r="Y362" s="3"/>
      <c r="Z362" s="3"/>
    </row>
    <row r="363" spans="1:26" ht="22.5" customHeight="1" x14ac:dyDescent="0.85">
      <c r="A363" s="166"/>
      <c r="B363" s="167"/>
      <c r="C363" s="167"/>
      <c r="D363" s="147"/>
      <c r="E363" s="147"/>
      <c r="F363" s="147"/>
      <c r="G363" s="147"/>
      <c r="H363" s="147"/>
      <c r="I363" s="147"/>
      <c r="J363" s="147"/>
      <c r="K363" s="3"/>
      <c r="L363" s="3"/>
      <c r="M363" s="3"/>
      <c r="N363" s="3"/>
      <c r="O363" s="3"/>
      <c r="P363" s="3"/>
      <c r="Q363" s="3"/>
      <c r="R363" s="3"/>
      <c r="S363" s="3"/>
      <c r="T363" s="3"/>
      <c r="U363" s="3"/>
      <c r="V363" s="3"/>
      <c r="W363" s="3"/>
      <c r="X363" s="3"/>
      <c r="Y363" s="3"/>
      <c r="Z363" s="3"/>
    </row>
    <row r="364" spans="1:26" ht="22.5" customHeight="1" x14ac:dyDescent="0.85">
      <c r="A364" s="166"/>
      <c r="B364" s="167"/>
      <c r="C364" s="167"/>
      <c r="D364" s="147"/>
      <c r="E364" s="147"/>
      <c r="F364" s="147"/>
      <c r="G364" s="147"/>
      <c r="H364" s="147"/>
      <c r="I364" s="147"/>
      <c r="J364" s="147"/>
      <c r="K364" s="3"/>
      <c r="L364" s="3"/>
      <c r="M364" s="3"/>
      <c r="N364" s="3"/>
      <c r="O364" s="3"/>
      <c r="P364" s="3"/>
      <c r="Q364" s="3"/>
      <c r="R364" s="3"/>
      <c r="S364" s="3"/>
      <c r="T364" s="3"/>
      <c r="U364" s="3"/>
      <c r="V364" s="3"/>
      <c r="W364" s="3"/>
      <c r="X364" s="3"/>
      <c r="Y364" s="3"/>
      <c r="Z364" s="3"/>
    </row>
    <row r="365" spans="1:26" ht="22.5" customHeight="1" x14ac:dyDescent="0.85">
      <c r="A365" s="166"/>
      <c r="B365" s="167"/>
      <c r="C365" s="167"/>
      <c r="D365" s="147"/>
      <c r="E365" s="147"/>
      <c r="F365" s="147"/>
      <c r="G365" s="147"/>
      <c r="H365" s="147"/>
      <c r="I365" s="147"/>
      <c r="J365" s="147"/>
      <c r="K365" s="3"/>
      <c r="L365" s="3"/>
      <c r="M365" s="3"/>
      <c r="N365" s="3"/>
      <c r="O365" s="3"/>
      <c r="P365" s="3"/>
      <c r="Q365" s="3"/>
      <c r="R365" s="3"/>
      <c r="S365" s="3"/>
      <c r="T365" s="3"/>
      <c r="U365" s="3"/>
      <c r="V365" s="3"/>
      <c r="W365" s="3"/>
      <c r="X365" s="3"/>
      <c r="Y365" s="3"/>
      <c r="Z365" s="3"/>
    </row>
    <row r="366" spans="1:26" ht="22.5" customHeight="1" x14ac:dyDescent="0.85">
      <c r="A366" s="166"/>
      <c r="B366" s="167"/>
      <c r="C366" s="167"/>
      <c r="D366" s="147"/>
      <c r="E366" s="147"/>
      <c r="F366" s="147"/>
      <c r="G366" s="147"/>
      <c r="H366" s="147"/>
      <c r="I366" s="147"/>
      <c r="J366" s="147"/>
      <c r="K366" s="3"/>
      <c r="L366" s="3"/>
      <c r="M366" s="3"/>
      <c r="N366" s="3"/>
      <c r="O366" s="3"/>
      <c r="P366" s="3"/>
      <c r="Q366" s="3"/>
      <c r="R366" s="3"/>
      <c r="S366" s="3"/>
      <c r="T366" s="3"/>
      <c r="U366" s="3"/>
      <c r="V366" s="3"/>
      <c r="W366" s="3"/>
      <c r="X366" s="3"/>
      <c r="Y366" s="3"/>
      <c r="Z366" s="3"/>
    </row>
    <row r="367" spans="1:26" ht="22.5" customHeight="1" x14ac:dyDescent="0.85">
      <c r="A367" s="166"/>
      <c r="B367" s="167"/>
      <c r="C367" s="167"/>
      <c r="D367" s="147"/>
      <c r="E367" s="147"/>
      <c r="F367" s="147"/>
      <c r="G367" s="147"/>
      <c r="H367" s="147"/>
      <c r="I367" s="147"/>
      <c r="J367" s="147"/>
      <c r="K367" s="3"/>
      <c r="L367" s="3"/>
      <c r="M367" s="3"/>
      <c r="N367" s="3"/>
      <c r="O367" s="3"/>
      <c r="P367" s="3"/>
      <c r="Q367" s="3"/>
      <c r="R367" s="3"/>
      <c r="S367" s="3"/>
      <c r="T367" s="3"/>
      <c r="U367" s="3"/>
      <c r="V367" s="3"/>
      <c r="W367" s="3"/>
      <c r="X367" s="3"/>
      <c r="Y367" s="3"/>
      <c r="Z367" s="3"/>
    </row>
    <row r="368" spans="1:26" ht="22.5" customHeight="1" x14ac:dyDescent="0.85">
      <c r="A368" s="166"/>
      <c r="B368" s="167"/>
      <c r="C368" s="167"/>
      <c r="D368" s="147"/>
      <c r="E368" s="147"/>
      <c r="F368" s="147"/>
      <c r="G368" s="147"/>
      <c r="H368" s="147"/>
      <c r="I368" s="147"/>
      <c r="J368" s="147"/>
      <c r="K368" s="3"/>
      <c r="L368" s="3"/>
      <c r="M368" s="3"/>
      <c r="N368" s="3"/>
      <c r="O368" s="3"/>
      <c r="P368" s="3"/>
      <c r="Q368" s="3"/>
      <c r="R368" s="3"/>
      <c r="S368" s="3"/>
      <c r="T368" s="3"/>
      <c r="U368" s="3"/>
      <c r="V368" s="3"/>
      <c r="W368" s="3"/>
      <c r="X368" s="3"/>
      <c r="Y368" s="3"/>
      <c r="Z368" s="3"/>
    </row>
    <row r="369" spans="1:26" ht="22.5" customHeight="1" x14ac:dyDescent="0.85">
      <c r="A369" s="166"/>
      <c r="B369" s="167"/>
      <c r="C369" s="167"/>
      <c r="D369" s="147"/>
      <c r="E369" s="147"/>
      <c r="F369" s="147"/>
      <c r="G369" s="147"/>
      <c r="H369" s="147"/>
      <c r="I369" s="147"/>
      <c r="J369" s="147"/>
      <c r="K369" s="3"/>
      <c r="L369" s="3"/>
      <c r="M369" s="3"/>
      <c r="N369" s="3"/>
      <c r="O369" s="3"/>
      <c r="P369" s="3"/>
      <c r="Q369" s="3"/>
      <c r="R369" s="3"/>
      <c r="S369" s="3"/>
      <c r="T369" s="3"/>
      <c r="U369" s="3"/>
      <c r="V369" s="3"/>
      <c r="W369" s="3"/>
      <c r="X369" s="3"/>
      <c r="Y369" s="3"/>
      <c r="Z369" s="3"/>
    </row>
    <row r="370" spans="1:26" ht="22.5" customHeight="1" x14ac:dyDescent="0.85">
      <c r="A370" s="166"/>
      <c r="B370" s="167"/>
      <c r="C370" s="167"/>
      <c r="D370" s="147"/>
      <c r="E370" s="147"/>
      <c r="F370" s="147"/>
      <c r="G370" s="147"/>
      <c r="H370" s="147"/>
      <c r="I370" s="147"/>
      <c r="J370" s="147"/>
      <c r="K370" s="3"/>
      <c r="L370" s="3"/>
      <c r="M370" s="3"/>
      <c r="N370" s="3"/>
      <c r="O370" s="3"/>
      <c r="P370" s="3"/>
      <c r="Q370" s="3"/>
      <c r="R370" s="3"/>
      <c r="S370" s="3"/>
      <c r="T370" s="3"/>
      <c r="U370" s="3"/>
      <c r="V370" s="3"/>
      <c r="W370" s="3"/>
      <c r="X370" s="3"/>
      <c r="Y370" s="3"/>
      <c r="Z370" s="3"/>
    </row>
    <row r="371" spans="1:26" ht="22.5" customHeight="1" x14ac:dyDescent="0.85">
      <c r="A371" s="166"/>
      <c r="B371" s="167"/>
      <c r="C371" s="167"/>
      <c r="D371" s="147"/>
      <c r="E371" s="147"/>
      <c r="F371" s="147"/>
      <c r="G371" s="147"/>
      <c r="H371" s="147"/>
      <c r="I371" s="147"/>
      <c r="J371" s="147"/>
      <c r="K371" s="3"/>
      <c r="L371" s="3"/>
      <c r="M371" s="3"/>
      <c r="N371" s="3"/>
      <c r="O371" s="3"/>
      <c r="P371" s="3"/>
      <c r="Q371" s="3"/>
      <c r="R371" s="3"/>
      <c r="S371" s="3"/>
      <c r="T371" s="3"/>
      <c r="U371" s="3"/>
      <c r="V371" s="3"/>
      <c r="W371" s="3"/>
      <c r="X371" s="3"/>
      <c r="Y371" s="3"/>
      <c r="Z371" s="3"/>
    </row>
    <row r="372" spans="1:26" ht="22.5" customHeight="1" x14ac:dyDescent="0.85">
      <c r="A372" s="166"/>
      <c r="B372" s="167"/>
      <c r="C372" s="167"/>
      <c r="D372" s="147"/>
      <c r="E372" s="147"/>
      <c r="F372" s="147"/>
      <c r="G372" s="147"/>
      <c r="H372" s="147"/>
      <c r="I372" s="147"/>
      <c r="J372" s="147"/>
      <c r="K372" s="3"/>
      <c r="L372" s="3"/>
      <c r="M372" s="3"/>
      <c r="N372" s="3"/>
      <c r="O372" s="3"/>
      <c r="P372" s="3"/>
      <c r="Q372" s="3"/>
      <c r="R372" s="3"/>
      <c r="S372" s="3"/>
      <c r="T372" s="3"/>
      <c r="U372" s="3"/>
      <c r="V372" s="3"/>
      <c r="W372" s="3"/>
      <c r="X372" s="3"/>
      <c r="Y372" s="3"/>
      <c r="Z372" s="3"/>
    </row>
    <row r="373" spans="1:26" ht="22.5" customHeight="1" x14ac:dyDescent="0.85">
      <c r="A373" s="166"/>
      <c r="B373" s="167"/>
      <c r="C373" s="167"/>
      <c r="D373" s="147"/>
      <c r="E373" s="147"/>
      <c r="F373" s="147"/>
      <c r="G373" s="147"/>
      <c r="H373" s="147"/>
      <c r="I373" s="147"/>
      <c r="J373" s="147"/>
      <c r="K373" s="3"/>
      <c r="L373" s="3"/>
      <c r="M373" s="3"/>
      <c r="N373" s="3"/>
      <c r="O373" s="3"/>
      <c r="P373" s="3"/>
      <c r="Q373" s="3"/>
      <c r="R373" s="3"/>
      <c r="S373" s="3"/>
      <c r="T373" s="3"/>
      <c r="U373" s="3"/>
      <c r="V373" s="3"/>
      <c r="W373" s="3"/>
      <c r="X373" s="3"/>
      <c r="Y373" s="3"/>
      <c r="Z373" s="3"/>
    </row>
    <row r="374" spans="1:26" ht="22.5" customHeight="1" x14ac:dyDescent="0.85">
      <c r="A374" s="166"/>
      <c r="B374" s="167"/>
      <c r="C374" s="167"/>
      <c r="D374" s="147"/>
      <c r="E374" s="147"/>
      <c r="F374" s="147"/>
      <c r="G374" s="147"/>
      <c r="H374" s="147"/>
      <c r="I374" s="147"/>
      <c r="J374" s="147"/>
      <c r="K374" s="3"/>
      <c r="L374" s="3"/>
      <c r="M374" s="3"/>
      <c r="N374" s="3"/>
      <c r="O374" s="3"/>
      <c r="P374" s="3"/>
      <c r="Q374" s="3"/>
      <c r="R374" s="3"/>
      <c r="S374" s="3"/>
      <c r="T374" s="3"/>
      <c r="U374" s="3"/>
      <c r="V374" s="3"/>
      <c r="W374" s="3"/>
      <c r="X374" s="3"/>
      <c r="Y374" s="3"/>
      <c r="Z374" s="3"/>
    </row>
    <row r="375" spans="1:26" ht="22.5" customHeight="1" x14ac:dyDescent="0.85">
      <c r="A375" s="166"/>
      <c r="B375" s="167"/>
      <c r="C375" s="167"/>
      <c r="D375" s="147"/>
      <c r="E375" s="147"/>
      <c r="F375" s="147"/>
      <c r="G375" s="147"/>
      <c r="H375" s="147"/>
      <c r="I375" s="147"/>
      <c r="J375" s="147"/>
      <c r="K375" s="3"/>
      <c r="L375" s="3"/>
      <c r="M375" s="3"/>
      <c r="N375" s="3"/>
      <c r="O375" s="3"/>
      <c r="P375" s="3"/>
      <c r="Q375" s="3"/>
      <c r="R375" s="3"/>
      <c r="S375" s="3"/>
      <c r="T375" s="3"/>
      <c r="U375" s="3"/>
      <c r="V375" s="3"/>
      <c r="W375" s="3"/>
      <c r="X375" s="3"/>
      <c r="Y375" s="3"/>
      <c r="Z375" s="3"/>
    </row>
    <row r="376" spans="1:26" ht="22.5" customHeight="1" x14ac:dyDescent="0.85">
      <c r="A376" s="166"/>
      <c r="B376" s="167"/>
      <c r="C376" s="167"/>
      <c r="D376" s="147"/>
      <c r="E376" s="147"/>
      <c r="F376" s="147"/>
      <c r="G376" s="147"/>
      <c r="H376" s="147"/>
      <c r="I376" s="147"/>
      <c r="J376" s="147"/>
      <c r="K376" s="3"/>
      <c r="L376" s="3"/>
      <c r="M376" s="3"/>
      <c r="N376" s="3"/>
      <c r="O376" s="3"/>
      <c r="P376" s="3"/>
      <c r="Q376" s="3"/>
      <c r="R376" s="3"/>
      <c r="S376" s="3"/>
      <c r="T376" s="3"/>
      <c r="U376" s="3"/>
      <c r="V376" s="3"/>
      <c r="W376" s="3"/>
      <c r="X376" s="3"/>
      <c r="Y376" s="3"/>
      <c r="Z376" s="3"/>
    </row>
    <row r="377" spans="1:26" ht="22.5" customHeight="1" x14ac:dyDescent="0.85">
      <c r="A377" s="166"/>
      <c r="B377" s="167"/>
      <c r="C377" s="167"/>
      <c r="D377" s="147"/>
      <c r="E377" s="147"/>
      <c r="F377" s="147"/>
      <c r="G377" s="147"/>
      <c r="H377" s="147"/>
      <c r="I377" s="147"/>
      <c r="J377" s="147"/>
      <c r="K377" s="3"/>
      <c r="L377" s="3"/>
      <c r="M377" s="3"/>
      <c r="N377" s="3"/>
      <c r="O377" s="3"/>
      <c r="P377" s="3"/>
      <c r="Q377" s="3"/>
      <c r="R377" s="3"/>
      <c r="S377" s="3"/>
      <c r="T377" s="3"/>
      <c r="U377" s="3"/>
      <c r="V377" s="3"/>
      <c r="W377" s="3"/>
      <c r="X377" s="3"/>
      <c r="Y377" s="3"/>
      <c r="Z377" s="3"/>
    </row>
    <row r="378" spans="1:26" ht="22.5" customHeight="1" x14ac:dyDescent="0.85">
      <c r="A378" s="166"/>
      <c r="B378" s="167"/>
      <c r="C378" s="167"/>
      <c r="D378" s="147"/>
      <c r="E378" s="147"/>
      <c r="F378" s="147"/>
      <c r="G378" s="147"/>
      <c r="H378" s="147"/>
      <c r="I378" s="147"/>
      <c r="J378" s="147"/>
      <c r="K378" s="3"/>
      <c r="L378" s="3"/>
      <c r="M378" s="3"/>
      <c r="N378" s="3"/>
      <c r="O378" s="3"/>
      <c r="P378" s="3"/>
      <c r="Q378" s="3"/>
      <c r="R378" s="3"/>
      <c r="S378" s="3"/>
      <c r="T378" s="3"/>
      <c r="U378" s="3"/>
      <c r="V378" s="3"/>
      <c r="W378" s="3"/>
      <c r="X378" s="3"/>
      <c r="Y378" s="3"/>
      <c r="Z378" s="3"/>
    </row>
    <row r="379" spans="1:26" ht="22.5" customHeight="1" x14ac:dyDescent="0.85">
      <c r="A379" s="166"/>
      <c r="B379" s="167"/>
      <c r="C379" s="167"/>
      <c r="D379" s="147"/>
      <c r="E379" s="147"/>
      <c r="F379" s="147"/>
      <c r="G379" s="147"/>
      <c r="H379" s="147"/>
      <c r="I379" s="147"/>
      <c r="J379" s="147"/>
      <c r="K379" s="3"/>
      <c r="L379" s="3"/>
      <c r="M379" s="3"/>
      <c r="N379" s="3"/>
      <c r="O379" s="3"/>
      <c r="P379" s="3"/>
      <c r="Q379" s="3"/>
      <c r="R379" s="3"/>
      <c r="S379" s="3"/>
      <c r="T379" s="3"/>
      <c r="U379" s="3"/>
      <c r="V379" s="3"/>
      <c r="W379" s="3"/>
      <c r="X379" s="3"/>
      <c r="Y379" s="3"/>
      <c r="Z379" s="3"/>
    </row>
    <row r="380" spans="1:26" ht="22.5" customHeight="1" x14ac:dyDescent="0.85">
      <c r="A380" s="166"/>
      <c r="B380" s="167"/>
      <c r="C380" s="167"/>
      <c r="D380" s="147"/>
      <c r="E380" s="147"/>
      <c r="F380" s="147"/>
      <c r="G380" s="147"/>
      <c r="H380" s="147"/>
      <c r="I380" s="147"/>
      <c r="J380" s="147"/>
      <c r="K380" s="3"/>
      <c r="L380" s="3"/>
      <c r="M380" s="3"/>
      <c r="N380" s="3"/>
      <c r="O380" s="3"/>
      <c r="P380" s="3"/>
      <c r="Q380" s="3"/>
      <c r="R380" s="3"/>
      <c r="S380" s="3"/>
      <c r="T380" s="3"/>
      <c r="U380" s="3"/>
      <c r="V380" s="3"/>
      <c r="W380" s="3"/>
      <c r="X380" s="3"/>
      <c r="Y380" s="3"/>
      <c r="Z380" s="3"/>
    </row>
    <row r="381" spans="1:26" ht="22.5" customHeight="1" x14ac:dyDescent="0.85">
      <c r="A381" s="166"/>
      <c r="B381" s="167"/>
      <c r="C381" s="167"/>
      <c r="D381" s="147"/>
      <c r="E381" s="147"/>
      <c r="F381" s="147"/>
      <c r="G381" s="147"/>
      <c r="H381" s="147"/>
      <c r="I381" s="147"/>
      <c r="J381" s="147"/>
      <c r="K381" s="3"/>
      <c r="L381" s="3"/>
      <c r="M381" s="3"/>
      <c r="N381" s="3"/>
      <c r="O381" s="3"/>
      <c r="P381" s="3"/>
      <c r="Q381" s="3"/>
      <c r="R381" s="3"/>
      <c r="S381" s="3"/>
      <c r="T381" s="3"/>
      <c r="U381" s="3"/>
      <c r="V381" s="3"/>
      <c r="W381" s="3"/>
      <c r="X381" s="3"/>
      <c r="Y381" s="3"/>
      <c r="Z381" s="3"/>
    </row>
    <row r="382" spans="1:26" ht="22.5" customHeight="1" x14ac:dyDescent="0.85">
      <c r="A382" s="166"/>
      <c r="B382" s="167"/>
      <c r="C382" s="167"/>
      <c r="D382" s="147"/>
      <c r="E382" s="147"/>
      <c r="F382" s="147"/>
      <c r="G382" s="147"/>
      <c r="H382" s="147"/>
      <c r="I382" s="147"/>
      <c r="J382" s="147"/>
      <c r="K382" s="3"/>
      <c r="L382" s="3"/>
      <c r="M382" s="3"/>
      <c r="N382" s="3"/>
      <c r="O382" s="3"/>
      <c r="P382" s="3"/>
      <c r="Q382" s="3"/>
      <c r="R382" s="3"/>
      <c r="S382" s="3"/>
      <c r="T382" s="3"/>
      <c r="U382" s="3"/>
      <c r="V382" s="3"/>
      <c r="W382" s="3"/>
      <c r="X382" s="3"/>
      <c r="Y382" s="3"/>
      <c r="Z382" s="3"/>
    </row>
    <row r="383" spans="1:26" ht="22.5" customHeight="1" x14ac:dyDescent="0.85">
      <c r="A383" s="166"/>
      <c r="B383" s="167"/>
      <c r="C383" s="167"/>
      <c r="D383" s="147"/>
      <c r="E383" s="147"/>
      <c r="F383" s="147"/>
      <c r="G383" s="147"/>
      <c r="H383" s="147"/>
      <c r="I383" s="147"/>
      <c r="J383" s="147"/>
      <c r="K383" s="3"/>
      <c r="L383" s="3"/>
      <c r="M383" s="3"/>
      <c r="N383" s="3"/>
      <c r="O383" s="3"/>
      <c r="P383" s="3"/>
      <c r="Q383" s="3"/>
      <c r="R383" s="3"/>
      <c r="S383" s="3"/>
      <c r="T383" s="3"/>
      <c r="U383" s="3"/>
      <c r="V383" s="3"/>
      <c r="W383" s="3"/>
      <c r="X383" s="3"/>
      <c r="Y383" s="3"/>
      <c r="Z383" s="3"/>
    </row>
    <row r="384" spans="1:26" ht="22.5" customHeight="1" x14ac:dyDescent="0.85">
      <c r="A384" s="166"/>
      <c r="B384" s="167"/>
      <c r="C384" s="167"/>
      <c r="D384" s="147"/>
      <c r="E384" s="147"/>
      <c r="F384" s="147"/>
      <c r="G384" s="147"/>
      <c r="H384" s="147"/>
      <c r="I384" s="147"/>
      <c r="J384" s="147"/>
      <c r="K384" s="3"/>
      <c r="L384" s="3"/>
      <c r="M384" s="3"/>
      <c r="N384" s="3"/>
      <c r="O384" s="3"/>
      <c r="P384" s="3"/>
      <c r="Q384" s="3"/>
      <c r="R384" s="3"/>
      <c r="S384" s="3"/>
      <c r="T384" s="3"/>
      <c r="U384" s="3"/>
      <c r="V384" s="3"/>
      <c r="W384" s="3"/>
      <c r="X384" s="3"/>
      <c r="Y384" s="3"/>
      <c r="Z384" s="3"/>
    </row>
    <row r="385" spans="1:26" ht="22.5" customHeight="1" x14ac:dyDescent="0.85">
      <c r="A385" s="166"/>
      <c r="B385" s="167"/>
      <c r="C385" s="167"/>
      <c r="D385" s="147"/>
      <c r="E385" s="147"/>
      <c r="F385" s="147"/>
      <c r="G385" s="147"/>
      <c r="H385" s="147"/>
      <c r="I385" s="147"/>
      <c r="J385" s="147"/>
      <c r="K385" s="3"/>
      <c r="L385" s="3"/>
      <c r="M385" s="3"/>
      <c r="N385" s="3"/>
      <c r="O385" s="3"/>
      <c r="P385" s="3"/>
      <c r="Q385" s="3"/>
      <c r="R385" s="3"/>
      <c r="S385" s="3"/>
      <c r="T385" s="3"/>
      <c r="U385" s="3"/>
      <c r="V385" s="3"/>
      <c r="W385" s="3"/>
      <c r="X385" s="3"/>
      <c r="Y385" s="3"/>
      <c r="Z385" s="3"/>
    </row>
    <row r="386" spans="1:26" ht="22.5" customHeight="1" x14ac:dyDescent="0.85">
      <c r="A386" s="166"/>
      <c r="B386" s="167"/>
      <c r="C386" s="167"/>
      <c r="D386" s="147"/>
      <c r="E386" s="147"/>
      <c r="F386" s="147"/>
      <c r="G386" s="147"/>
      <c r="H386" s="147"/>
      <c r="I386" s="147"/>
      <c r="J386" s="147"/>
      <c r="K386" s="3"/>
      <c r="L386" s="3"/>
      <c r="M386" s="3"/>
      <c r="N386" s="3"/>
      <c r="O386" s="3"/>
      <c r="P386" s="3"/>
      <c r="Q386" s="3"/>
      <c r="R386" s="3"/>
      <c r="S386" s="3"/>
      <c r="T386" s="3"/>
      <c r="U386" s="3"/>
      <c r="V386" s="3"/>
      <c r="W386" s="3"/>
      <c r="X386" s="3"/>
      <c r="Y386" s="3"/>
      <c r="Z386" s="3"/>
    </row>
    <row r="387" spans="1:26" ht="22.5" customHeight="1" x14ac:dyDescent="0.85">
      <c r="A387" s="166"/>
      <c r="B387" s="167"/>
      <c r="C387" s="167"/>
      <c r="D387" s="147"/>
      <c r="E387" s="147"/>
      <c r="F387" s="147"/>
      <c r="G387" s="147"/>
      <c r="H387" s="147"/>
      <c r="I387" s="147"/>
      <c r="J387" s="147"/>
      <c r="K387" s="3"/>
      <c r="L387" s="3"/>
      <c r="M387" s="3"/>
      <c r="N387" s="3"/>
      <c r="O387" s="3"/>
      <c r="P387" s="3"/>
      <c r="Q387" s="3"/>
      <c r="R387" s="3"/>
      <c r="S387" s="3"/>
      <c r="T387" s="3"/>
      <c r="U387" s="3"/>
      <c r="V387" s="3"/>
      <c r="W387" s="3"/>
      <c r="X387" s="3"/>
      <c r="Y387" s="3"/>
      <c r="Z387" s="3"/>
    </row>
    <row r="388" spans="1:26" ht="22.5" customHeight="1" x14ac:dyDescent="0.85">
      <c r="A388" s="166"/>
      <c r="B388" s="167"/>
      <c r="C388" s="167"/>
      <c r="D388" s="147"/>
      <c r="E388" s="147"/>
      <c r="F388" s="147"/>
      <c r="G388" s="147"/>
      <c r="H388" s="147"/>
      <c r="I388" s="147"/>
      <c r="J388" s="147"/>
      <c r="K388" s="3"/>
      <c r="L388" s="3"/>
      <c r="M388" s="3"/>
      <c r="N388" s="3"/>
      <c r="O388" s="3"/>
      <c r="P388" s="3"/>
      <c r="Q388" s="3"/>
      <c r="R388" s="3"/>
      <c r="S388" s="3"/>
      <c r="T388" s="3"/>
      <c r="U388" s="3"/>
      <c r="V388" s="3"/>
      <c r="W388" s="3"/>
      <c r="X388" s="3"/>
      <c r="Y388" s="3"/>
      <c r="Z388" s="3"/>
    </row>
    <row r="389" spans="1:26" ht="22.5" customHeight="1" x14ac:dyDescent="0.85">
      <c r="A389" s="166"/>
      <c r="B389" s="167"/>
      <c r="C389" s="167"/>
      <c r="D389" s="147"/>
      <c r="E389" s="147"/>
      <c r="F389" s="147"/>
      <c r="G389" s="147"/>
      <c r="H389" s="147"/>
      <c r="I389" s="147"/>
      <c r="J389" s="147"/>
      <c r="K389" s="3"/>
      <c r="L389" s="3"/>
      <c r="M389" s="3"/>
      <c r="N389" s="3"/>
      <c r="O389" s="3"/>
      <c r="P389" s="3"/>
      <c r="Q389" s="3"/>
      <c r="R389" s="3"/>
      <c r="S389" s="3"/>
      <c r="T389" s="3"/>
      <c r="U389" s="3"/>
      <c r="V389" s="3"/>
      <c r="W389" s="3"/>
      <c r="X389" s="3"/>
      <c r="Y389" s="3"/>
      <c r="Z389" s="3"/>
    </row>
    <row r="390" spans="1:26" ht="22.5" customHeight="1" x14ac:dyDescent="0.85">
      <c r="A390" s="166"/>
      <c r="B390" s="167"/>
      <c r="C390" s="167"/>
      <c r="D390" s="147"/>
      <c r="E390" s="147"/>
      <c r="F390" s="147"/>
      <c r="G390" s="147"/>
      <c r="H390" s="147"/>
      <c r="I390" s="147"/>
      <c r="J390" s="147"/>
      <c r="K390" s="3"/>
      <c r="L390" s="3"/>
      <c r="M390" s="3"/>
      <c r="N390" s="3"/>
      <c r="O390" s="3"/>
      <c r="P390" s="3"/>
      <c r="Q390" s="3"/>
      <c r="R390" s="3"/>
      <c r="S390" s="3"/>
      <c r="T390" s="3"/>
      <c r="U390" s="3"/>
      <c r="V390" s="3"/>
      <c r="W390" s="3"/>
      <c r="X390" s="3"/>
      <c r="Y390" s="3"/>
      <c r="Z390" s="3"/>
    </row>
    <row r="391" spans="1:26" ht="22.5" customHeight="1" x14ac:dyDescent="0.85">
      <c r="A391" s="166"/>
      <c r="B391" s="167"/>
      <c r="C391" s="167"/>
      <c r="D391" s="147"/>
      <c r="E391" s="147"/>
      <c r="F391" s="147"/>
      <c r="G391" s="147"/>
      <c r="H391" s="147"/>
      <c r="I391" s="147"/>
      <c r="J391" s="147"/>
      <c r="K391" s="3"/>
      <c r="L391" s="3"/>
      <c r="M391" s="3"/>
      <c r="N391" s="3"/>
      <c r="O391" s="3"/>
      <c r="P391" s="3"/>
      <c r="Q391" s="3"/>
      <c r="R391" s="3"/>
      <c r="S391" s="3"/>
      <c r="T391" s="3"/>
      <c r="U391" s="3"/>
      <c r="V391" s="3"/>
      <c r="W391" s="3"/>
      <c r="X391" s="3"/>
      <c r="Y391" s="3"/>
      <c r="Z391" s="3"/>
    </row>
    <row r="392" spans="1:26" ht="22.5" customHeight="1" x14ac:dyDescent="0.85">
      <c r="A392" s="166"/>
      <c r="B392" s="167"/>
      <c r="C392" s="167"/>
      <c r="D392" s="147"/>
      <c r="E392" s="147"/>
      <c r="F392" s="147"/>
      <c r="G392" s="147"/>
      <c r="H392" s="147"/>
      <c r="I392" s="147"/>
      <c r="J392" s="147"/>
      <c r="K392" s="3"/>
      <c r="L392" s="3"/>
      <c r="M392" s="3"/>
      <c r="N392" s="3"/>
      <c r="O392" s="3"/>
      <c r="P392" s="3"/>
      <c r="Q392" s="3"/>
      <c r="R392" s="3"/>
      <c r="S392" s="3"/>
      <c r="T392" s="3"/>
      <c r="U392" s="3"/>
      <c r="V392" s="3"/>
      <c r="W392" s="3"/>
      <c r="X392" s="3"/>
      <c r="Y392" s="3"/>
      <c r="Z392" s="3"/>
    </row>
    <row r="393" spans="1:26" ht="22.5" customHeight="1" x14ac:dyDescent="0.85">
      <c r="A393" s="166"/>
      <c r="B393" s="167"/>
      <c r="C393" s="167"/>
      <c r="D393" s="147"/>
      <c r="E393" s="147"/>
      <c r="F393" s="147"/>
      <c r="G393" s="147"/>
      <c r="H393" s="147"/>
      <c r="I393" s="147"/>
      <c r="J393" s="147"/>
      <c r="K393" s="3"/>
      <c r="L393" s="3"/>
      <c r="M393" s="3"/>
      <c r="N393" s="3"/>
      <c r="O393" s="3"/>
      <c r="P393" s="3"/>
      <c r="Q393" s="3"/>
      <c r="R393" s="3"/>
      <c r="S393" s="3"/>
      <c r="T393" s="3"/>
      <c r="U393" s="3"/>
      <c r="V393" s="3"/>
      <c r="W393" s="3"/>
      <c r="X393" s="3"/>
      <c r="Y393" s="3"/>
      <c r="Z393" s="3"/>
    </row>
    <row r="394" spans="1:26" ht="22.5" customHeight="1" x14ac:dyDescent="0.85">
      <c r="A394" s="166"/>
      <c r="B394" s="167"/>
      <c r="C394" s="167"/>
      <c r="D394" s="147"/>
      <c r="E394" s="147"/>
      <c r="F394" s="147"/>
      <c r="G394" s="147"/>
      <c r="H394" s="147"/>
      <c r="I394" s="147"/>
      <c r="J394" s="147"/>
      <c r="K394" s="3"/>
      <c r="L394" s="3"/>
      <c r="M394" s="3"/>
      <c r="N394" s="3"/>
      <c r="O394" s="3"/>
      <c r="P394" s="3"/>
      <c r="Q394" s="3"/>
      <c r="R394" s="3"/>
      <c r="S394" s="3"/>
      <c r="T394" s="3"/>
      <c r="U394" s="3"/>
      <c r="V394" s="3"/>
      <c r="W394" s="3"/>
      <c r="X394" s="3"/>
      <c r="Y394" s="3"/>
      <c r="Z394" s="3"/>
    </row>
    <row r="395" spans="1:26" ht="22.5" customHeight="1" x14ac:dyDescent="0.85">
      <c r="A395" s="166"/>
      <c r="B395" s="167"/>
      <c r="C395" s="167"/>
      <c r="D395" s="147"/>
      <c r="E395" s="147"/>
      <c r="F395" s="147"/>
      <c r="G395" s="147"/>
      <c r="H395" s="147"/>
      <c r="I395" s="147"/>
      <c r="J395" s="147"/>
      <c r="K395" s="3"/>
      <c r="L395" s="3"/>
      <c r="M395" s="3"/>
      <c r="N395" s="3"/>
      <c r="O395" s="3"/>
      <c r="P395" s="3"/>
      <c r="Q395" s="3"/>
      <c r="R395" s="3"/>
      <c r="S395" s="3"/>
      <c r="T395" s="3"/>
      <c r="U395" s="3"/>
      <c r="V395" s="3"/>
      <c r="W395" s="3"/>
      <c r="X395" s="3"/>
      <c r="Y395" s="3"/>
      <c r="Z395" s="3"/>
    </row>
    <row r="396" spans="1:26" ht="22.5" customHeight="1" x14ac:dyDescent="0.85">
      <c r="A396" s="166"/>
      <c r="B396" s="167"/>
      <c r="C396" s="167"/>
      <c r="D396" s="147"/>
      <c r="E396" s="147"/>
      <c r="F396" s="147"/>
      <c r="G396" s="147"/>
      <c r="H396" s="147"/>
      <c r="I396" s="147"/>
      <c r="J396" s="147"/>
      <c r="K396" s="3"/>
      <c r="L396" s="3"/>
      <c r="M396" s="3"/>
      <c r="N396" s="3"/>
      <c r="O396" s="3"/>
      <c r="P396" s="3"/>
      <c r="Q396" s="3"/>
      <c r="R396" s="3"/>
      <c r="S396" s="3"/>
      <c r="T396" s="3"/>
      <c r="U396" s="3"/>
      <c r="V396" s="3"/>
      <c r="W396" s="3"/>
      <c r="X396" s="3"/>
      <c r="Y396" s="3"/>
      <c r="Z396" s="3"/>
    </row>
    <row r="397" spans="1:26" ht="22.5" customHeight="1" x14ac:dyDescent="0.85">
      <c r="A397" s="166"/>
      <c r="B397" s="167"/>
      <c r="C397" s="167"/>
      <c r="D397" s="147"/>
      <c r="E397" s="147"/>
      <c r="F397" s="147"/>
      <c r="G397" s="147"/>
      <c r="H397" s="147"/>
      <c r="I397" s="147"/>
      <c r="J397" s="147"/>
      <c r="K397" s="3"/>
      <c r="L397" s="3"/>
      <c r="M397" s="3"/>
      <c r="N397" s="3"/>
      <c r="O397" s="3"/>
      <c r="P397" s="3"/>
      <c r="Q397" s="3"/>
      <c r="R397" s="3"/>
      <c r="S397" s="3"/>
      <c r="T397" s="3"/>
      <c r="U397" s="3"/>
      <c r="V397" s="3"/>
      <c r="W397" s="3"/>
      <c r="X397" s="3"/>
      <c r="Y397" s="3"/>
      <c r="Z397" s="3"/>
    </row>
    <row r="398" spans="1:26" ht="22.5" customHeight="1" x14ac:dyDescent="0.85">
      <c r="A398" s="166"/>
      <c r="B398" s="167"/>
      <c r="C398" s="167"/>
      <c r="D398" s="147"/>
      <c r="E398" s="147"/>
      <c r="F398" s="147"/>
      <c r="G398" s="147"/>
      <c r="H398" s="147"/>
      <c r="I398" s="147"/>
      <c r="J398" s="147"/>
      <c r="K398" s="3"/>
      <c r="L398" s="3"/>
      <c r="M398" s="3"/>
      <c r="N398" s="3"/>
      <c r="O398" s="3"/>
      <c r="P398" s="3"/>
      <c r="Q398" s="3"/>
      <c r="R398" s="3"/>
      <c r="S398" s="3"/>
      <c r="T398" s="3"/>
      <c r="U398" s="3"/>
      <c r="V398" s="3"/>
      <c r="W398" s="3"/>
      <c r="X398" s="3"/>
      <c r="Y398" s="3"/>
      <c r="Z398" s="3"/>
    </row>
    <row r="399" spans="1:26" ht="22.5" customHeight="1" x14ac:dyDescent="0.85">
      <c r="A399" s="166"/>
      <c r="B399" s="167"/>
      <c r="C399" s="167"/>
      <c r="D399" s="147"/>
      <c r="E399" s="147"/>
      <c r="F399" s="147"/>
      <c r="G399" s="147"/>
      <c r="H399" s="147"/>
      <c r="I399" s="147"/>
      <c r="J399" s="147"/>
      <c r="K399" s="3"/>
      <c r="L399" s="3"/>
      <c r="M399" s="3"/>
      <c r="N399" s="3"/>
      <c r="O399" s="3"/>
      <c r="P399" s="3"/>
      <c r="Q399" s="3"/>
      <c r="R399" s="3"/>
      <c r="S399" s="3"/>
      <c r="T399" s="3"/>
      <c r="U399" s="3"/>
      <c r="V399" s="3"/>
      <c r="W399" s="3"/>
      <c r="X399" s="3"/>
      <c r="Y399" s="3"/>
      <c r="Z399" s="3"/>
    </row>
    <row r="400" spans="1:26" ht="22.5" customHeight="1" x14ac:dyDescent="0.85">
      <c r="A400" s="166"/>
      <c r="B400" s="167"/>
      <c r="C400" s="167"/>
      <c r="D400" s="147"/>
      <c r="E400" s="147"/>
      <c r="F400" s="147"/>
      <c r="G400" s="147"/>
      <c r="H400" s="147"/>
      <c r="I400" s="147"/>
      <c r="J400" s="147"/>
      <c r="K400" s="3"/>
      <c r="L400" s="3"/>
      <c r="M400" s="3"/>
      <c r="N400" s="3"/>
      <c r="O400" s="3"/>
      <c r="P400" s="3"/>
      <c r="Q400" s="3"/>
      <c r="R400" s="3"/>
      <c r="S400" s="3"/>
      <c r="T400" s="3"/>
      <c r="U400" s="3"/>
      <c r="V400" s="3"/>
      <c r="W400" s="3"/>
      <c r="X400" s="3"/>
      <c r="Y400" s="3"/>
      <c r="Z400" s="3"/>
    </row>
    <row r="401" spans="1:26" ht="22.5" customHeight="1" x14ac:dyDescent="0.85">
      <c r="A401" s="166"/>
      <c r="B401" s="167"/>
      <c r="C401" s="167"/>
      <c r="D401" s="147"/>
      <c r="E401" s="147"/>
      <c r="F401" s="147"/>
      <c r="G401" s="147"/>
      <c r="H401" s="147"/>
      <c r="I401" s="147"/>
      <c r="J401" s="147"/>
      <c r="K401" s="3"/>
      <c r="L401" s="3"/>
      <c r="M401" s="3"/>
      <c r="N401" s="3"/>
      <c r="O401" s="3"/>
      <c r="P401" s="3"/>
      <c r="Q401" s="3"/>
      <c r="R401" s="3"/>
      <c r="S401" s="3"/>
      <c r="T401" s="3"/>
      <c r="U401" s="3"/>
      <c r="V401" s="3"/>
      <c r="W401" s="3"/>
      <c r="X401" s="3"/>
      <c r="Y401" s="3"/>
      <c r="Z401" s="3"/>
    </row>
    <row r="402" spans="1:26" ht="22.5" customHeight="1" x14ac:dyDescent="0.85">
      <c r="A402" s="166"/>
      <c r="B402" s="167"/>
      <c r="C402" s="167"/>
      <c r="D402" s="147"/>
      <c r="E402" s="147"/>
      <c r="F402" s="147"/>
      <c r="G402" s="147"/>
      <c r="H402" s="147"/>
      <c r="I402" s="147"/>
      <c r="J402" s="147"/>
      <c r="K402" s="3"/>
      <c r="L402" s="3"/>
      <c r="M402" s="3"/>
      <c r="N402" s="3"/>
      <c r="O402" s="3"/>
      <c r="P402" s="3"/>
      <c r="Q402" s="3"/>
      <c r="R402" s="3"/>
      <c r="S402" s="3"/>
      <c r="T402" s="3"/>
      <c r="U402" s="3"/>
      <c r="V402" s="3"/>
      <c r="W402" s="3"/>
      <c r="X402" s="3"/>
      <c r="Y402" s="3"/>
      <c r="Z402" s="3"/>
    </row>
    <row r="403" spans="1:26" ht="22.5" customHeight="1" x14ac:dyDescent="0.85">
      <c r="A403" s="166"/>
      <c r="B403" s="167"/>
      <c r="C403" s="167"/>
      <c r="D403" s="147"/>
      <c r="E403" s="147"/>
      <c r="F403" s="147"/>
      <c r="G403" s="147"/>
      <c r="H403" s="147"/>
      <c r="I403" s="147"/>
      <c r="J403" s="147"/>
      <c r="K403" s="3"/>
      <c r="L403" s="3"/>
      <c r="M403" s="3"/>
      <c r="N403" s="3"/>
      <c r="O403" s="3"/>
      <c r="P403" s="3"/>
      <c r="Q403" s="3"/>
      <c r="R403" s="3"/>
      <c r="S403" s="3"/>
      <c r="T403" s="3"/>
      <c r="U403" s="3"/>
      <c r="V403" s="3"/>
      <c r="W403" s="3"/>
      <c r="X403" s="3"/>
      <c r="Y403" s="3"/>
      <c r="Z403" s="3"/>
    </row>
    <row r="404" spans="1:26" ht="22.5" customHeight="1" x14ac:dyDescent="0.85">
      <c r="A404" s="166"/>
      <c r="B404" s="167"/>
      <c r="C404" s="167"/>
      <c r="D404" s="147"/>
      <c r="E404" s="147"/>
      <c r="F404" s="147"/>
      <c r="G404" s="147"/>
      <c r="H404" s="147"/>
      <c r="I404" s="147"/>
      <c r="J404" s="147"/>
      <c r="K404" s="3"/>
      <c r="L404" s="3"/>
      <c r="M404" s="3"/>
      <c r="N404" s="3"/>
      <c r="O404" s="3"/>
      <c r="P404" s="3"/>
      <c r="Q404" s="3"/>
      <c r="R404" s="3"/>
      <c r="S404" s="3"/>
      <c r="T404" s="3"/>
      <c r="U404" s="3"/>
      <c r="V404" s="3"/>
      <c r="W404" s="3"/>
      <c r="X404" s="3"/>
      <c r="Y404" s="3"/>
      <c r="Z404" s="3"/>
    </row>
    <row r="405" spans="1:26" ht="22.5" customHeight="1" x14ac:dyDescent="0.85">
      <c r="A405" s="166"/>
      <c r="B405" s="167"/>
      <c r="C405" s="167"/>
      <c r="D405" s="147"/>
      <c r="E405" s="147"/>
      <c r="F405" s="147"/>
      <c r="G405" s="147"/>
      <c r="H405" s="147"/>
      <c r="I405" s="147"/>
      <c r="J405" s="147"/>
      <c r="K405" s="3"/>
      <c r="L405" s="3"/>
      <c r="M405" s="3"/>
      <c r="N405" s="3"/>
      <c r="O405" s="3"/>
      <c r="P405" s="3"/>
      <c r="Q405" s="3"/>
      <c r="R405" s="3"/>
      <c r="S405" s="3"/>
      <c r="T405" s="3"/>
      <c r="U405" s="3"/>
      <c r="V405" s="3"/>
      <c r="W405" s="3"/>
      <c r="X405" s="3"/>
      <c r="Y405" s="3"/>
      <c r="Z405" s="3"/>
    </row>
    <row r="406" spans="1:26" ht="22.5" customHeight="1" x14ac:dyDescent="0.85">
      <c r="A406" s="166"/>
      <c r="B406" s="167"/>
      <c r="C406" s="167"/>
      <c r="D406" s="147"/>
      <c r="E406" s="147"/>
      <c r="F406" s="147"/>
      <c r="G406" s="147"/>
      <c r="H406" s="147"/>
      <c r="I406" s="147"/>
      <c r="J406" s="147"/>
      <c r="K406" s="3"/>
      <c r="L406" s="3"/>
      <c r="M406" s="3"/>
      <c r="N406" s="3"/>
      <c r="O406" s="3"/>
      <c r="P406" s="3"/>
      <c r="Q406" s="3"/>
      <c r="R406" s="3"/>
      <c r="S406" s="3"/>
      <c r="T406" s="3"/>
      <c r="U406" s="3"/>
      <c r="V406" s="3"/>
      <c r="W406" s="3"/>
      <c r="X406" s="3"/>
      <c r="Y406" s="3"/>
      <c r="Z406" s="3"/>
    </row>
    <row r="407" spans="1:26" ht="22.5" customHeight="1" x14ac:dyDescent="0.85">
      <c r="A407" s="166"/>
      <c r="B407" s="167"/>
      <c r="C407" s="167"/>
      <c r="D407" s="147"/>
      <c r="E407" s="147"/>
      <c r="F407" s="147"/>
      <c r="G407" s="147"/>
      <c r="H407" s="147"/>
      <c r="I407" s="147"/>
      <c r="J407" s="147"/>
      <c r="K407" s="3"/>
      <c r="L407" s="3"/>
      <c r="M407" s="3"/>
      <c r="N407" s="3"/>
      <c r="O407" s="3"/>
      <c r="P407" s="3"/>
      <c r="Q407" s="3"/>
      <c r="R407" s="3"/>
      <c r="S407" s="3"/>
      <c r="T407" s="3"/>
      <c r="U407" s="3"/>
      <c r="V407" s="3"/>
      <c r="W407" s="3"/>
      <c r="X407" s="3"/>
      <c r="Y407" s="3"/>
      <c r="Z407" s="3"/>
    </row>
    <row r="408" spans="1:26" ht="22.5" customHeight="1" x14ac:dyDescent="0.85">
      <c r="A408" s="166"/>
      <c r="B408" s="167"/>
      <c r="C408" s="167"/>
      <c r="D408" s="147"/>
      <c r="E408" s="147"/>
      <c r="F408" s="147"/>
      <c r="G408" s="147"/>
      <c r="H408" s="147"/>
      <c r="I408" s="147"/>
      <c r="J408" s="147"/>
      <c r="K408" s="3"/>
      <c r="L408" s="3"/>
      <c r="M408" s="3"/>
      <c r="N408" s="3"/>
      <c r="O408" s="3"/>
      <c r="P408" s="3"/>
      <c r="Q408" s="3"/>
      <c r="R408" s="3"/>
      <c r="S408" s="3"/>
      <c r="T408" s="3"/>
      <c r="U408" s="3"/>
      <c r="V408" s="3"/>
      <c r="W408" s="3"/>
      <c r="X408" s="3"/>
      <c r="Y408" s="3"/>
      <c r="Z408" s="3"/>
    </row>
    <row r="409" spans="1:26" ht="22.5" customHeight="1" x14ac:dyDescent="0.85">
      <c r="A409" s="166"/>
      <c r="B409" s="167"/>
      <c r="C409" s="167"/>
      <c r="D409" s="147"/>
      <c r="E409" s="147"/>
      <c r="F409" s="147"/>
      <c r="G409" s="147"/>
      <c r="H409" s="147"/>
      <c r="I409" s="147"/>
      <c r="J409" s="147"/>
      <c r="K409" s="3"/>
      <c r="L409" s="3"/>
      <c r="M409" s="3"/>
      <c r="N409" s="3"/>
      <c r="O409" s="3"/>
      <c r="P409" s="3"/>
      <c r="Q409" s="3"/>
      <c r="R409" s="3"/>
      <c r="S409" s="3"/>
      <c r="T409" s="3"/>
      <c r="U409" s="3"/>
      <c r="V409" s="3"/>
      <c r="W409" s="3"/>
      <c r="X409" s="3"/>
      <c r="Y409" s="3"/>
      <c r="Z409" s="3"/>
    </row>
    <row r="410" spans="1:26" ht="22.5" customHeight="1" x14ac:dyDescent="0.85">
      <c r="A410" s="166"/>
      <c r="B410" s="167"/>
      <c r="C410" s="167"/>
      <c r="D410" s="147"/>
      <c r="E410" s="147"/>
      <c r="F410" s="147"/>
      <c r="G410" s="147"/>
      <c r="H410" s="147"/>
      <c r="I410" s="147"/>
      <c r="J410" s="147"/>
      <c r="K410" s="3"/>
      <c r="L410" s="3"/>
      <c r="M410" s="3"/>
      <c r="N410" s="3"/>
      <c r="O410" s="3"/>
      <c r="P410" s="3"/>
      <c r="Q410" s="3"/>
      <c r="R410" s="3"/>
      <c r="S410" s="3"/>
      <c r="T410" s="3"/>
      <c r="U410" s="3"/>
      <c r="V410" s="3"/>
      <c r="W410" s="3"/>
      <c r="X410" s="3"/>
      <c r="Y410" s="3"/>
      <c r="Z410" s="3"/>
    </row>
    <row r="411" spans="1:26" ht="22.5" customHeight="1" x14ac:dyDescent="0.85">
      <c r="A411" s="166"/>
      <c r="B411" s="167"/>
      <c r="C411" s="167"/>
      <c r="D411" s="147"/>
      <c r="E411" s="147"/>
      <c r="F411" s="147"/>
      <c r="G411" s="147"/>
      <c r="H411" s="147"/>
      <c r="I411" s="147"/>
      <c r="J411" s="147"/>
      <c r="K411" s="3"/>
      <c r="L411" s="3"/>
      <c r="M411" s="3"/>
      <c r="N411" s="3"/>
      <c r="O411" s="3"/>
      <c r="P411" s="3"/>
      <c r="Q411" s="3"/>
      <c r="R411" s="3"/>
      <c r="S411" s="3"/>
      <c r="T411" s="3"/>
      <c r="U411" s="3"/>
      <c r="V411" s="3"/>
      <c r="W411" s="3"/>
      <c r="X411" s="3"/>
      <c r="Y411" s="3"/>
      <c r="Z411" s="3"/>
    </row>
    <row r="412" spans="1:26" ht="22.5" customHeight="1" x14ac:dyDescent="0.85">
      <c r="A412" s="166"/>
      <c r="B412" s="167"/>
      <c r="C412" s="167"/>
      <c r="D412" s="147"/>
      <c r="E412" s="147"/>
      <c r="F412" s="147"/>
      <c r="G412" s="147"/>
      <c r="H412" s="147"/>
      <c r="I412" s="147"/>
      <c r="J412" s="147"/>
      <c r="K412" s="3"/>
      <c r="L412" s="3"/>
      <c r="M412" s="3"/>
      <c r="N412" s="3"/>
      <c r="O412" s="3"/>
      <c r="P412" s="3"/>
      <c r="Q412" s="3"/>
      <c r="R412" s="3"/>
      <c r="S412" s="3"/>
      <c r="T412" s="3"/>
      <c r="U412" s="3"/>
      <c r="V412" s="3"/>
      <c r="W412" s="3"/>
      <c r="X412" s="3"/>
      <c r="Y412" s="3"/>
      <c r="Z412" s="3"/>
    </row>
    <row r="413" spans="1:26" ht="22.5" customHeight="1" x14ac:dyDescent="0.85">
      <c r="A413" s="166"/>
      <c r="B413" s="167"/>
      <c r="C413" s="167"/>
      <c r="D413" s="147"/>
      <c r="E413" s="147"/>
      <c r="F413" s="147"/>
      <c r="G413" s="147"/>
      <c r="H413" s="147"/>
      <c r="I413" s="147"/>
      <c r="J413" s="147"/>
      <c r="K413" s="3"/>
      <c r="L413" s="3"/>
      <c r="M413" s="3"/>
      <c r="N413" s="3"/>
      <c r="O413" s="3"/>
      <c r="P413" s="3"/>
      <c r="Q413" s="3"/>
      <c r="R413" s="3"/>
      <c r="S413" s="3"/>
      <c r="T413" s="3"/>
      <c r="U413" s="3"/>
      <c r="V413" s="3"/>
      <c r="W413" s="3"/>
      <c r="X413" s="3"/>
      <c r="Y413" s="3"/>
      <c r="Z413" s="3"/>
    </row>
    <row r="414" spans="1:26" ht="22.5" customHeight="1" x14ac:dyDescent="0.85">
      <c r="A414" s="166"/>
      <c r="B414" s="167"/>
      <c r="C414" s="167"/>
      <c r="D414" s="147"/>
      <c r="E414" s="147"/>
      <c r="F414" s="147"/>
      <c r="G414" s="147"/>
      <c r="H414" s="147"/>
      <c r="I414" s="147"/>
      <c r="J414" s="147"/>
      <c r="K414" s="3"/>
      <c r="L414" s="3"/>
      <c r="M414" s="3"/>
      <c r="N414" s="3"/>
      <c r="O414" s="3"/>
      <c r="P414" s="3"/>
      <c r="Q414" s="3"/>
      <c r="R414" s="3"/>
      <c r="S414" s="3"/>
      <c r="T414" s="3"/>
      <c r="U414" s="3"/>
      <c r="V414" s="3"/>
      <c r="W414" s="3"/>
      <c r="X414" s="3"/>
      <c r="Y414" s="3"/>
      <c r="Z414" s="3"/>
    </row>
    <row r="415" spans="1:26" ht="22.5" customHeight="1" x14ac:dyDescent="0.85">
      <c r="A415" s="166"/>
      <c r="B415" s="167"/>
      <c r="C415" s="167"/>
      <c r="D415" s="147"/>
      <c r="E415" s="147"/>
      <c r="F415" s="147"/>
      <c r="G415" s="147"/>
      <c r="H415" s="147"/>
      <c r="I415" s="147"/>
      <c r="J415" s="147"/>
      <c r="K415" s="3"/>
      <c r="L415" s="3"/>
      <c r="M415" s="3"/>
      <c r="N415" s="3"/>
      <c r="O415" s="3"/>
      <c r="P415" s="3"/>
      <c r="Q415" s="3"/>
      <c r="R415" s="3"/>
      <c r="S415" s="3"/>
      <c r="T415" s="3"/>
      <c r="U415" s="3"/>
      <c r="V415" s="3"/>
      <c r="W415" s="3"/>
      <c r="X415" s="3"/>
      <c r="Y415" s="3"/>
      <c r="Z415" s="3"/>
    </row>
    <row r="416" spans="1:26" ht="22.5" customHeight="1" x14ac:dyDescent="0.85">
      <c r="A416" s="166"/>
      <c r="B416" s="167"/>
      <c r="C416" s="167"/>
      <c r="D416" s="147"/>
      <c r="E416" s="147"/>
      <c r="F416" s="147"/>
      <c r="G416" s="147"/>
      <c r="H416" s="147"/>
      <c r="I416" s="147"/>
      <c r="J416" s="147"/>
      <c r="K416" s="3"/>
      <c r="L416" s="3"/>
      <c r="M416" s="3"/>
      <c r="N416" s="3"/>
      <c r="O416" s="3"/>
      <c r="P416" s="3"/>
      <c r="Q416" s="3"/>
      <c r="R416" s="3"/>
      <c r="S416" s="3"/>
      <c r="T416" s="3"/>
      <c r="U416" s="3"/>
      <c r="V416" s="3"/>
      <c r="W416" s="3"/>
      <c r="X416" s="3"/>
      <c r="Y416" s="3"/>
      <c r="Z416" s="3"/>
    </row>
    <row r="417" spans="1:26" ht="22.5" customHeight="1" x14ac:dyDescent="0.85">
      <c r="A417" s="166"/>
      <c r="B417" s="167"/>
      <c r="C417" s="167"/>
      <c r="D417" s="147"/>
      <c r="E417" s="147"/>
      <c r="F417" s="147"/>
      <c r="G417" s="147"/>
      <c r="H417" s="147"/>
      <c r="I417" s="147"/>
      <c r="J417" s="147"/>
      <c r="K417" s="3"/>
      <c r="L417" s="3"/>
      <c r="M417" s="3"/>
      <c r="N417" s="3"/>
      <c r="O417" s="3"/>
      <c r="P417" s="3"/>
      <c r="Q417" s="3"/>
      <c r="R417" s="3"/>
      <c r="S417" s="3"/>
      <c r="T417" s="3"/>
      <c r="U417" s="3"/>
      <c r="V417" s="3"/>
      <c r="W417" s="3"/>
      <c r="X417" s="3"/>
      <c r="Y417" s="3"/>
      <c r="Z417" s="3"/>
    </row>
    <row r="418" spans="1:26" ht="22.5" customHeight="1" x14ac:dyDescent="0.85">
      <c r="A418" s="166"/>
      <c r="B418" s="167"/>
      <c r="C418" s="167"/>
      <c r="D418" s="147"/>
      <c r="E418" s="147"/>
      <c r="F418" s="147"/>
      <c r="G418" s="147"/>
      <c r="H418" s="147"/>
      <c r="I418" s="147"/>
      <c r="J418" s="147"/>
      <c r="K418" s="3"/>
      <c r="L418" s="3"/>
      <c r="M418" s="3"/>
      <c r="N418" s="3"/>
      <c r="O418" s="3"/>
      <c r="P418" s="3"/>
      <c r="Q418" s="3"/>
      <c r="R418" s="3"/>
      <c r="S418" s="3"/>
      <c r="T418" s="3"/>
      <c r="U418" s="3"/>
      <c r="V418" s="3"/>
      <c r="W418" s="3"/>
      <c r="X418" s="3"/>
      <c r="Y418" s="3"/>
      <c r="Z418" s="3"/>
    </row>
    <row r="419" spans="1:26" ht="22.5" customHeight="1" x14ac:dyDescent="0.85">
      <c r="A419" s="166"/>
      <c r="B419" s="167"/>
      <c r="C419" s="167"/>
      <c r="D419" s="147"/>
      <c r="E419" s="147"/>
      <c r="F419" s="147"/>
      <c r="G419" s="147"/>
      <c r="H419" s="147"/>
      <c r="I419" s="147"/>
      <c r="J419" s="147"/>
      <c r="K419" s="3"/>
      <c r="L419" s="3"/>
      <c r="M419" s="3"/>
      <c r="N419" s="3"/>
      <c r="O419" s="3"/>
      <c r="P419" s="3"/>
      <c r="Q419" s="3"/>
      <c r="R419" s="3"/>
      <c r="S419" s="3"/>
      <c r="T419" s="3"/>
      <c r="U419" s="3"/>
      <c r="V419" s="3"/>
      <c r="W419" s="3"/>
      <c r="X419" s="3"/>
      <c r="Y419" s="3"/>
      <c r="Z419" s="3"/>
    </row>
    <row r="420" spans="1:26" ht="22.5" customHeight="1" x14ac:dyDescent="0.85">
      <c r="A420" s="166"/>
      <c r="B420" s="167"/>
      <c r="C420" s="167"/>
      <c r="D420" s="147"/>
      <c r="E420" s="147"/>
      <c r="F420" s="147"/>
      <c r="G420" s="147"/>
      <c r="H420" s="147"/>
      <c r="I420" s="147"/>
      <c r="J420" s="147"/>
      <c r="K420" s="3"/>
      <c r="L420" s="3"/>
      <c r="M420" s="3"/>
      <c r="N420" s="3"/>
      <c r="O420" s="3"/>
      <c r="P420" s="3"/>
      <c r="Q420" s="3"/>
      <c r="R420" s="3"/>
      <c r="S420" s="3"/>
      <c r="T420" s="3"/>
      <c r="U420" s="3"/>
      <c r="V420" s="3"/>
      <c r="W420" s="3"/>
      <c r="X420" s="3"/>
      <c r="Y420" s="3"/>
      <c r="Z420" s="3"/>
    </row>
    <row r="421" spans="1:26" ht="22.5" customHeight="1" x14ac:dyDescent="0.85">
      <c r="A421" s="166"/>
      <c r="B421" s="167"/>
      <c r="C421" s="167"/>
      <c r="D421" s="147"/>
      <c r="E421" s="147"/>
      <c r="F421" s="147"/>
      <c r="G421" s="147"/>
      <c r="H421" s="147"/>
      <c r="I421" s="147"/>
      <c r="J421" s="147"/>
      <c r="K421" s="3"/>
      <c r="L421" s="3"/>
      <c r="M421" s="3"/>
      <c r="N421" s="3"/>
      <c r="O421" s="3"/>
      <c r="P421" s="3"/>
      <c r="Q421" s="3"/>
      <c r="R421" s="3"/>
      <c r="S421" s="3"/>
      <c r="T421" s="3"/>
      <c r="U421" s="3"/>
      <c r="V421" s="3"/>
      <c r="W421" s="3"/>
      <c r="X421" s="3"/>
      <c r="Y421" s="3"/>
      <c r="Z421" s="3"/>
    </row>
    <row r="422" spans="1:26" ht="22.5" customHeight="1" x14ac:dyDescent="0.85">
      <c r="A422" s="166"/>
      <c r="B422" s="167"/>
      <c r="C422" s="167"/>
      <c r="D422" s="147"/>
      <c r="E422" s="147"/>
      <c r="F422" s="147"/>
      <c r="G422" s="147"/>
      <c r="H422" s="147"/>
      <c r="I422" s="147"/>
      <c r="J422" s="147"/>
      <c r="K422" s="3"/>
      <c r="L422" s="3"/>
      <c r="M422" s="3"/>
      <c r="N422" s="3"/>
      <c r="O422" s="3"/>
      <c r="P422" s="3"/>
      <c r="Q422" s="3"/>
      <c r="R422" s="3"/>
      <c r="S422" s="3"/>
      <c r="T422" s="3"/>
      <c r="U422" s="3"/>
      <c r="V422" s="3"/>
      <c r="W422" s="3"/>
      <c r="X422" s="3"/>
      <c r="Y422" s="3"/>
      <c r="Z422" s="3"/>
    </row>
    <row r="423" spans="1:26" ht="22.5" customHeight="1" x14ac:dyDescent="0.85">
      <c r="A423" s="166"/>
      <c r="B423" s="167"/>
      <c r="C423" s="167"/>
      <c r="D423" s="147"/>
      <c r="E423" s="147"/>
      <c r="F423" s="147"/>
      <c r="G423" s="147"/>
      <c r="H423" s="147"/>
      <c r="I423" s="147"/>
      <c r="J423" s="147"/>
      <c r="K423" s="3"/>
      <c r="L423" s="3"/>
      <c r="M423" s="3"/>
      <c r="N423" s="3"/>
      <c r="O423" s="3"/>
      <c r="P423" s="3"/>
      <c r="Q423" s="3"/>
      <c r="R423" s="3"/>
      <c r="S423" s="3"/>
      <c r="T423" s="3"/>
      <c r="U423" s="3"/>
      <c r="V423" s="3"/>
      <c r="W423" s="3"/>
      <c r="X423" s="3"/>
      <c r="Y423" s="3"/>
      <c r="Z423" s="3"/>
    </row>
    <row r="424" spans="1:26" ht="22.5" customHeight="1" x14ac:dyDescent="0.85">
      <c r="A424" s="166"/>
      <c r="B424" s="167"/>
      <c r="C424" s="167"/>
      <c r="D424" s="147"/>
      <c r="E424" s="147"/>
      <c r="F424" s="147"/>
      <c r="G424" s="147"/>
      <c r="H424" s="147"/>
      <c r="I424" s="147"/>
      <c r="J424" s="147"/>
      <c r="K424" s="3"/>
      <c r="L424" s="3"/>
      <c r="M424" s="3"/>
      <c r="N424" s="3"/>
      <c r="O424" s="3"/>
      <c r="P424" s="3"/>
      <c r="Q424" s="3"/>
      <c r="R424" s="3"/>
      <c r="S424" s="3"/>
      <c r="T424" s="3"/>
      <c r="U424" s="3"/>
      <c r="V424" s="3"/>
      <c r="W424" s="3"/>
      <c r="X424" s="3"/>
      <c r="Y424" s="3"/>
      <c r="Z424" s="3"/>
    </row>
    <row r="425" spans="1:26" ht="22.5" customHeight="1" x14ac:dyDescent="0.85">
      <c r="A425" s="166"/>
      <c r="B425" s="167"/>
      <c r="C425" s="167"/>
      <c r="D425" s="147"/>
      <c r="E425" s="147"/>
      <c r="F425" s="147"/>
      <c r="G425" s="147"/>
      <c r="H425" s="147"/>
      <c r="I425" s="147"/>
      <c r="J425" s="147"/>
      <c r="K425" s="3"/>
      <c r="L425" s="3"/>
      <c r="M425" s="3"/>
      <c r="N425" s="3"/>
      <c r="O425" s="3"/>
      <c r="P425" s="3"/>
      <c r="Q425" s="3"/>
      <c r="R425" s="3"/>
      <c r="S425" s="3"/>
      <c r="T425" s="3"/>
      <c r="U425" s="3"/>
      <c r="V425" s="3"/>
      <c r="W425" s="3"/>
      <c r="X425" s="3"/>
      <c r="Y425" s="3"/>
      <c r="Z425" s="3"/>
    </row>
    <row r="426" spans="1:26" ht="22.5" customHeight="1" x14ac:dyDescent="0.85">
      <c r="A426" s="166"/>
      <c r="B426" s="167"/>
      <c r="C426" s="167"/>
      <c r="D426" s="147"/>
      <c r="E426" s="147"/>
      <c r="F426" s="147"/>
      <c r="G426" s="147"/>
      <c r="H426" s="147"/>
      <c r="I426" s="147"/>
      <c r="J426" s="147"/>
      <c r="K426" s="3"/>
      <c r="L426" s="3"/>
      <c r="M426" s="3"/>
      <c r="N426" s="3"/>
      <c r="O426" s="3"/>
      <c r="P426" s="3"/>
      <c r="Q426" s="3"/>
      <c r="R426" s="3"/>
      <c r="S426" s="3"/>
      <c r="T426" s="3"/>
      <c r="U426" s="3"/>
      <c r="V426" s="3"/>
      <c r="W426" s="3"/>
      <c r="X426" s="3"/>
      <c r="Y426" s="3"/>
      <c r="Z426" s="3"/>
    </row>
    <row r="427" spans="1:26" ht="22.5" customHeight="1" x14ac:dyDescent="0.85">
      <c r="A427" s="166"/>
      <c r="B427" s="167"/>
      <c r="C427" s="167"/>
      <c r="D427" s="147"/>
      <c r="E427" s="147"/>
      <c r="F427" s="147"/>
      <c r="G427" s="147"/>
      <c r="H427" s="147"/>
      <c r="I427" s="147"/>
      <c r="J427" s="147"/>
      <c r="K427" s="3"/>
      <c r="L427" s="3"/>
      <c r="M427" s="3"/>
      <c r="N427" s="3"/>
      <c r="O427" s="3"/>
      <c r="P427" s="3"/>
      <c r="Q427" s="3"/>
      <c r="R427" s="3"/>
      <c r="S427" s="3"/>
      <c r="T427" s="3"/>
      <c r="U427" s="3"/>
      <c r="V427" s="3"/>
      <c r="W427" s="3"/>
      <c r="X427" s="3"/>
      <c r="Y427" s="3"/>
      <c r="Z427" s="3"/>
    </row>
    <row r="428" spans="1:26" ht="22.5" customHeight="1" x14ac:dyDescent="0.85">
      <c r="A428" s="166"/>
      <c r="B428" s="167"/>
      <c r="C428" s="167"/>
      <c r="D428" s="147"/>
      <c r="E428" s="147"/>
      <c r="F428" s="147"/>
      <c r="G428" s="147"/>
      <c r="H428" s="147"/>
      <c r="I428" s="147"/>
      <c r="J428" s="147"/>
      <c r="K428" s="3"/>
      <c r="L428" s="3"/>
      <c r="M428" s="3"/>
      <c r="N428" s="3"/>
      <c r="O428" s="3"/>
      <c r="P428" s="3"/>
      <c r="Q428" s="3"/>
      <c r="R428" s="3"/>
      <c r="S428" s="3"/>
      <c r="T428" s="3"/>
      <c r="U428" s="3"/>
      <c r="V428" s="3"/>
      <c r="W428" s="3"/>
      <c r="X428" s="3"/>
      <c r="Y428" s="3"/>
      <c r="Z428" s="3"/>
    </row>
    <row r="429" spans="1:26" ht="22.5" customHeight="1" x14ac:dyDescent="0.85">
      <c r="A429" s="166"/>
      <c r="B429" s="167"/>
      <c r="C429" s="167"/>
      <c r="D429" s="147"/>
      <c r="E429" s="147"/>
      <c r="F429" s="147"/>
      <c r="G429" s="147"/>
      <c r="H429" s="147"/>
      <c r="I429" s="147"/>
      <c r="J429" s="147"/>
      <c r="K429" s="3"/>
      <c r="L429" s="3"/>
      <c r="M429" s="3"/>
      <c r="N429" s="3"/>
      <c r="O429" s="3"/>
      <c r="P429" s="3"/>
      <c r="Q429" s="3"/>
      <c r="R429" s="3"/>
      <c r="S429" s="3"/>
      <c r="T429" s="3"/>
      <c r="U429" s="3"/>
      <c r="V429" s="3"/>
      <c r="W429" s="3"/>
      <c r="X429" s="3"/>
      <c r="Y429" s="3"/>
      <c r="Z429" s="3"/>
    </row>
    <row r="430" spans="1:26" ht="22.5" customHeight="1" x14ac:dyDescent="0.85">
      <c r="A430" s="166"/>
      <c r="B430" s="167"/>
      <c r="C430" s="167"/>
      <c r="D430" s="147"/>
      <c r="E430" s="147"/>
      <c r="F430" s="147"/>
      <c r="G430" s="147"/>
      <c r="H430" s="147"/>
      <c r="I430" s="147"/>
      <c r="J430" s="147"/>
      <c r="K430" s="3"/>
      <c r="L430" s="3"/>
      <c r="M430" s="3"/>
      <c r="N430" s="3"/>
      <c r="O430" s="3"/>
      <c r="P430" s="3"/>
      <c r="Q430" s="3"/>
      <c r="R430" s="3"/>
      <c r="S430" s="3"/>
      <c r="T430" s="3"/>
      <c r="U430" s="3"/>
      <c r="V430" s="3"/>
      <c r="W430" s="3"/>
      <c r="X430" s="3"/>
      <c r="Y430" s="3"/>
      <c r="Z430" s="3"/>
    </row>
    <row r="431" spans="1:26" ht="22.5" customHeight="1" x14ac:dyDescent="0.85">
      <c r="A431" s="166"/>
      <c r="B431" s="167"/>
      <c r="C431" s="167"/>
      <c r="D431" s="147"/>
      <c r="E431" s="147"/>
      <c r="F431" s="147"/>
      <c r="G431" s="147"/>
      <c r="H431" s="147"/>
      <c r="I431" s="147"/>
      <c r="J431" s="147"/>
      <c r="K431" s="3"/>
      <c r="L431" s="3"/>
      <c r="M431" s="3"/>
      <c r="N431" s="3"/>
      <c r="O431" s="3"/>
      <c r="P431" s="3"/>
      <c r="Q431" s="3"/>
      <c r="R431" s="3"/>
      <c r="S431" s="3"/>
      <c r="T431" s="3"/>
      <c r="U431" s="3"/>
      <c r="V431" s="3"/>
      <c r="W431" s="3"/>
      <c r="X431" s="3"/>
      <c r="Y431" s="3"/>
      <c r="Z431" s="3"/>
    </row>
    <row r="432" spans="1:26" ht="22.5" customHeight="1" x14ac:dyDescent="0.85">
      <c r="A432" s="166"/>
      <c r="B432" s="167"/>
      <c r="C432" s="167"/>
      <c r="D432" s="147"/>
      <c r="E432" s="147"/>
      <c r="F432" s="147"/>
      <c r="G432" s="147"/>
      <c r="H432" s="147"/>
      <c r="I432" s="147"/>
      <c r="J432" s="147"/>
      <c r="K432" s="3"/>
      <c r="L432" s="3"/>
      <c r="M432" s="3"/>
      <c r="N432" s="3"/>
      <c r="O432" s="3"/>
      <c r="P432" s="3"/>
      <c r="Q432" s="3"/>
      <c r="R432" s="3"/>
      <c r="S432" s="3"/>
      <c r="T432" s="3"/>
      <c r="U432" s="3"/>
      <c r="V432" s="3"/>
      <c r="W432" s="3"/>
      <c r="X432" s="3"/>
      <c r="Y432" s="3"/>
      <c r="Z432" s="3"/>
    </row>
    <row r="433" spans="1:26" ht="22.5" customHeight="1" x14ac:dyDescent="0.85">
      <c r="A433" s="166"/>
      <c r="B433" s="167"/>
      <c r="C433" s="167"/>
      <c r="D433" s="147"/>
      <c r="E433" s="147"/>
      <c r="F433" s="147"/>
      <c r="G433" s="147"/>
      <c r="H433" s="147"/>
      <c r="I433" s="147"/>
      <c r="J433" s="147"/>
      <c r="K433" s="3"/>
      <c r="L433" s="3"/>
      <c r="M433" s="3"/>
      <c r="N433" s="3"/>
      <c r="O433" s="3"/>
      <c r="P433" s="3"/>
      <c r="Q433" s="3"/>
      <c r="R433" s="3"/>
      <c r="S433" s="3"/>
      <c r="T433" s="3"/>
      <c r="U433" s="3"/>
      <c r="V433" s="3"/>
      <c r="W433" s="3"/>
      <c r="X433" s="3"/>
      <c r="Y433" s="3"/>
      <c r="Z433" s="3"/>
    </row>
    <row r="434" spans="1:26" ht="22.5" customHeight="1" x14ac:dyDescent="0.85">
      <c r="A434" s="166"/>
      <c r="B434" s="167"/>
      <c r="C434" s="167"/>
      <c r="D434" s="147"/>
      <c r="E434" s="147"/>
      <c r="F434" s="147"/>
      <c r="G434" s="147"/>
      <c r="H434" s="147"/>
      <c r="I434" s="147"/>
      <c r="J434" s="147"/>
      <c r="K434" s="3"/>
      <c r="L434" s="3"/>
      <c r="M434" s="3"/>
      <c r="N434" s="3"/>
      <c r="O434" s="3"/>
      <c r="P434" s="3"/>
      <c r="Q434" s="3"/>
      <c r="R434" s="3"/>
      <c r="S434" s="3"/>
      <c r="T434" s="3"/>
      <c r="U434" s="3"/>
      <c r="V434" s="3"/>
      <c r="W434" s="3"/>
      <c r="X434" s="3"/>
      <c r="Y434" s="3"/>
      <c r="Z434" s="3"/>
    </row>
    <row r="435" spans="1:26" ht="22.5" customHeight="1" x14ac:dyDescent="0.85">
      <c r="A435" s="166"/>
      <c r="B435" s="167"/>
      <c r="C435" s="167"/>
      <c r="D435" s="147"/>
      <c r="E435" s="147"/>
      <c r="F435" s="147"/>
      <c r="G435" s="147"/>
      <c r="H435" s="147"/>
      <c r="I435" s="147"/>
      <c r="J435" s="147"/>
      <c r="K435" s="3"/>
      <c r="L435" s="3"/>
      <c r="M435" s="3"/>
      <c r="N435" s="3"/>
      <c r="O435" s="3"/>
      <c r="P435" s="3"/>
      <c r="Q435" s="3"/>
      <c r="R435" s="3"/>
      <c r="S435" s="3"/>
      <c r="T435" s="3"/>
      <c r="U435" s="3"/>
      <c r="V435" s="3"/>
      <c r="W435" s="3"/>
      <c r="X435" s="3"/>
      <c r="Y435" s="3"/>
      <c r="Z435" s="3"/>
    </row>
    <row r="436" spans="1:26" ht="22.5" customHeight="1" x14ac:dyDescent="0.85">
      <c r="A436" s="166"/>
      <c r="B436" s="167"/>
      <c r="C436" s="167"/>
      <c r="D436" s="147"/>
      <c r="E436" s="147"/>
      <c r="F436" s="147"/>
      <c r="G436" s="147"/>
      <c r="H436" s="147"/>
      <c r="I436" s="147"/>
      <c r="J436" s="147"/>
      <c r="K436" s="3"/>
      <c r="L436" s="3"/>
      <c r="M436" s="3"/>
      <c r="N436" s="3"/>
      <c r="O436" s="3"/>
      <c r="P436" s="3"/>
      <c r="Q436" s="3"/>
      <c r="R436" s="3"/>
      <c r="S436" s="3"/>
      <c r="T436" s="3"/>
      <c r="U436" s="3"/>
      <c r="V436" s="3"/>
      <c r="W436" s="3"/>
      <c r="X436" s="3"/>
      <c r="Y436" s="3"/>
      <c r="Z436" s="3"/>
    </row>
    <row r="437" spans="1:26" ht="22.5" customHeight="1" x14ac:dyDescent="0.85">
      <c r="A437" s="166"/>
      <c r="B437" s="167"/>
      <c r="C437" s="167"/>
      <c r="D437" s="147"/>
      <c r="E437" s="147"/>
      <c r="F437" s="147"/>
      <c r="G437" s="147"/>
      <c r="H437" s="147"/>
      <c r="I437" s="147"/>
      <c r="J437" s="147"/>
      <c r="K437" s="3"/>
      <c r="L437" s="3"/>
      <c r="M437" s="3"/>
      <c r="N437" s="3"/>
      <c r="O437" s="3"/>
      <c r="P437" s="3"/>
      <c r="Q437" s="3"/>
      <c r="R437" s="3"/>
      <c r="S437" s="3"/>
      <c r="T437" s="3"/>
      <c r="U437" s="3"/>
      <c r="V437" s="3"/>
      <c r="W437" s="3"/>
      <c r="X437" s="3"/>
      <c r="Y437" s="3"/>
      <c r="Z437" s="3"/>
    </row>
    <row r="438" spans="1:26" ht="22.5" customHeight="1" x14ac:dyDescent="0.85">
      <c r="A438" s="166"/>
      <c r="B438" s="167"/>
      <c r="C438" s="167"/>
      <c r="D438" s="147"/>
      <c r="E438" s="147"/>
      <c r="F438" s="147"/>
      <c r="G438" s="147"/>
      <c r="H438" s="147"/>
      <c r="I438" s="147"/>
      <c r="J438" s="147"/>
      <c r="K438" s="3"/>
      <c r="L438" s="3"/>
      <c r="M438" s="3"/>
      <c r="N438" s="3"/>
      <c r="O438" s="3"/>
      <c r="P438" s="3"/>
      <c r="Q438" s="3"/>
      <c r="R438" s="3"/>
      <c r="S438" s="3"/>
      <c r="T438" s="3"/>
      <c r="U438" s="3"/>
      <c r="V438" s="3"/>
      <c r="W438" s="3"/>
      <c r="X438" s="3"/>
      <c r="Y438" s="3"/>
      <c r="Z438" s="3"/>
    </row>
    <row r="439" spans="1:26" ht="22.5" customHeight="1" x14ac:dyDescent="0.85">
      <c r="A439" s="166"/>
      <c r="B439" s="167"/>
      <c r="C439" s="167"/>
      <c r="D439" s="147"/>
      <c r="E439" s="147"/>
      <c r="F439" s="147"/>
      <c r="G439" s="147"/>
      <c r="H439" s="147"/>
      <c r="I439" s="147"/>
      <c r="J439" s="147"/>
      <c r="K439" s="3"/>
      <c r="L439" s="3"/>
      <c r="M439" s="3"/>
      <c r="N439" s="3"/>
      <c r="O439" s="3"/>
      <c r="P439" s="3"/>
      <c r="Q439" s="3"/>
      <c r="R439" s="3"/>
      <c r="S439" s="3"/>
      <c r="T439" s="3"/>
      <c r="U439" s="3"/>
      <c r="V439" s="3"/>
      <c r="W439" s="3"/>
      <c r="X439" s="3"/>
      <c r="Y439" s="3"/>
      <c r="Z439" s="3"/>
    </row>
    <row r="440" spans="1:26" ht="22.5" customHeight="1" x14ac:dyDescent="0.85">
      <c r="A440" s="166"/>
      <c r="B440" s="167"/>
      <c r="C440" s="167"/>
      <c r="D440" s="147"/>
      <c r="E440" s="147"/>
      <c r="F440" s="147"/>
      <c r="G440" s="147"/>
      <c r="H440" s="147"/>
      <c r="I440" s="147"/>
      <c r="J440" s="147"/>
      <c r="K440" s="3"/>
      <c r="L440" s="3"/>
      <c r="M440" s="3"/>
      <c r="N440" s="3"/>
      <c r="O440" s="3"/>
      <c r="P440" s="3"/>
      <c r="Q440" s="3"/>
      <c r="R440" s="3"/>
      <c r="S440" s="3"/>
      <c r="T440" s="3"/>
      <c r="U440" s="3"/>
      <c r="V440" s="3"/>
      <c r="W440" s="3"/>
      <c r="X440" s="3"/>
      <c r="Y440" s="3"/>
      <c r="Z440" s="3"/>
    </row>
    <row r="441" spans="1:26" ht="22.5" customHeight="1" x14ac:dyDescent="0.85">
      <c r="A441" s="166"/>
      <c r="B441" s="167"/>
      <c r="C441" s="167"/>
      <c r="D441" s="147"/>
      <c r="E441" s="147"/>
      <c r="F441" s="147"/>
      <c r="G441" s="147"/>
      <c r="H441" s="147"/>
      <c r="I441" s="147"/>
      <c r="J441" s="147"/>
      <c r="K441" s="3"/>
      <c r="L441" s="3"/>
      <c r="M441" s="3"/>
      <c r="N441" s="3"/>
      <c r="O441" s="3"/>
      <c r="P441" s="3"/>
      <c r="Q441" s="3"/>
      <c r="R441" s="3"/>
      <c r="S441" s="3"/>
      <c r="T441" s="3"/>
      <c r="U441" s="3"/>
      <c r="V441" s="3"/>
      <c r="W441" s="3"/>
      <c r="X441" s="3"/>
      <c r="Y441" s="3"/>
      <c r="Z441" s="3"/>
    </row>
    <row r="442" spans="1:26" ht="22.5" customHeight="1" x14ac:dyDescent="0.85">
      <c r="A442" s="166"/>
      <c r="B442" s="167"/>
      <c r="C442" s="167"/>
      <c r="D442" s="147"/>
      <c r="E442" s="147"/>
      <c r="F442" s="147"/>
      <c r="G442" s="147"/>
      <c r="H442" s="147"/>
      <c r="I442" s="147"/>
      <c r="J442" s="147"/>
      <c r="K442" s="3"/>
      <c r="L442" s="3"/>
      <c r="M442" s="3"/>
      <c r="N442" s="3"/>
      <c r="O442" s="3"/>
      <c r="P442" s="3"/>
      <c r="Q442" s="3"/>
      <c r="R442" s="3"/>
      <c r="S442" s="3"/>
      <c r="T442" s="3"/>
      <c r="U442" s="3"/>
      <c r="V442" s="3"/>
      <c r="W442" s="3"/>
      <c r="X442" s="3"/>
      <c r="Y442" s="3"/>
      <c r="Z442" s="3"/>
    </row>
    <row r="443" spans="1:26" ht="22.5" customHeight="1" x14ac:dyDescent="0.85">
      <c r="A443" s="166"/>
      <c r="B443" s="167"/>
      <c r="C443" s="167"/>
      <c r="D443" s="147"/>
      <c r="E443" s="147"/>
      <c r="F443" s="147"/>
      <c r="G443" s="147"/>
      <c r="H443" s="147"/>
      <c r="I443" s="147"/>
      <c r="J443" s="147"/>
      <c r="K443" s="3"/>
      <c r="L443" s="3"/>
      <c r="M443" s="3"/>
      <c r="N443" s="3"/>
      <c r="O443" s="3"/>
      <c r="P443" s="3"/>
      <c r="Q443" s="3"/>
      <c r="R443" s="3"/>
      <c r="S443" s="3"/>
      <c r="T443" s="3"/>
      <c r="U443" s="3"/>
      <c r="V443" s="3"/>
      <c r="W443" s="3"/>
      <c r="X443" s="3"/>
      <c r="Y443" s="3"/>
      <c r="Z443" s="3"/>
    </row>
    <row r="444" spans="1:26" ht="22.5" customHeight="1" x14ac:dyDescent="0.85">
      <c r="A444" s="166"/>
      <c r="B444" s="167"/>
      <c r="C444" s="167"/>
      <c r="D444" s="147"/>
      <c r="E444" s="147"/>
      <c r="F444" s="147"/>
      <c r="G444" s="147"/>
      <c r="H444" s="147"/>
      <c r="I444" s="147"/>
      <c r="J444" s="147"/>
      <c r="K444" s="3"/>
      <c r="L444" s="3"/>
      <c r="M444" s="3"/>
      <c r="N444" s="3"/>
      <c r="O444" s="3"/>
      <c r="P444" s="3"/>
      <c r="Q444" s="3"/>
      <c r="R444" s="3"/>
      <c r="S444" s="3"/>
      <c r="T444" s="3"/>
      <c r="U444" s="3"/>
      <c r="V444" s="3"/>
      <c r="W444" s="3"/>
      <c r="X444" s="3"/>
      <c r="Y444" s="3"/>
      <c r="Z444" s="3"/>
    </row>
    <row r="445" spans="1:26" ht="22.5" customHeight="1" x14ac:dyDescent="0.85">
      <c r="A445" s="166"/>
      <c r="B445" s="167"/>
      <c r="C445" s="167"/>
      <c r="D445" s="147"/>
      <c r="E445" s="147"/>
      <c r="F445" s="147"/>
      <c r="G445" s="147"/>
      <c r="H445" s="147"/>
      <c r="I445" s="147"/>
      <c r="J445" s="147"/>
      <c r="K445" s="3"/>
      <c r="L445" s="3"/>
      <c r="M445" s="3"/>
      <c r="N445" s="3"/>
      <c r="O445" s="3"/>
      <c r="P445" s="3"/>
      <c r="Q445" s="3"/>
      <c r="R445" s="3"/>
      <c r="S445" s="3"/>
      <c r="T445" s="3"/>
      <c r="U445" s="3"/>
      <c r="V445" s="3"/>
      <c r="W445" s="3"/>
      <c r="X445" s="3"/>
      <c r="Y445" s="3"/>
      <c r="Z445" s="3"/>
    </row>
    <row r="446" spans="1:26" ht="22.5" customHeight="1" x14ac:dyDescent="0.85">
      <c r="A446" s="166"/>
      <c r="B446" s="167"/>
      <c r="C446" s="167"/>
      <c r="D446" s="147"/>
      <c r="E446" s="147"/>
      <c r="F446" s="147"/>
      <c r="G446" s="147"/>
      <c r="H446" s="147"/>
      <c r="I446" s="147"/>
      <c r="J446" s="147"/>
      <c r="K446" s="3"/>
      <c r="L446" s="3"/>
      <c r="M446" s="3"/>
      <c r="N446" s="3"/>
      <c r="O446" s="3"/>
      <c r="P446" s="3"/>
      <c r="Q446" s="3"/>
      <c r="R446" s="3"/>
      <c r="S446" s="3"/>
      <c r="T446" s="3"/>
      <c r="U446" s="3"/>
      <c r="V446" s="3"/>
      <c r="W446" s="3"/>
      <c r="X446" s="3"/>
      <c r="Y446" s="3"/>
      <c r="Z446" s="3"/>
    </row>
    <row r="447" spans="1:26" ht="22.5" customHeight="1" x14ac:dyDescent="0.85">
      <c r="A447" s="166"/>
      <c r="B447" s="167"/>
      <c r="C447" s="167"/>
      <c r="D447" s="147"/>
      <c r="E447" s="147"/>
      <c r="F447" s="147"/>
      <c r="G447" s="147"/>
      <c r="H447" s="147"/>
      <c r="I447" s="147"/>
      <c r="J447" s="147"/>
      <c r="K447" s="3"/>
      <c r="L447" s="3"/>
      <c r="M447" s="3"/>
      <c r="N447" s="3"/>
      <c r="O447" s="3"/>
      <c r="P447" s="3"/>
      <c r="Q447" s="3"/>
      <c r="R447" s="3"/>
      <c r="S447" s="3"/>
      <c r="T447" s="3"/>
      <c r="U447" s="3"/>
      <c r="V447" s="3"/>
      <c r="W447" s="3"/>
      <c r="X447" s="3"/>
      <c r="Y447" s="3"/>
      <c r="Z447" s="3"/>
    </row>
    <row r="448" spans="1:26" ht="22.5" customHeight="1" x14ac:dyDescent="0.85">
      <c r="A448" s="166"/>
      <c r="B448" s="167"/>
      <c r="C448" s="167"/>
      <c r="D448" s="147"/>
      <c r="E448" s="147"/>
      <c r="F448" s="147"/>
      <c r="G448" s="147"/>
      <c r="H448" s="147"/>
      <c r="I448" s="147"/>
      <c r="J448" s="147"/>
      <c r="K448" s="3"/>
      <c r="L448" s="3"/>
      <c r="M448" s="3"/>
      <c r="N448" s="3"/>
      <c r="O448" s="3"/>
      <c r="P448" s="3"/>
      <c r="Q448" s="3"/>
      <c r="R448" s="3"/>
      <c r="S448" s="3"/>
      <c r="T448" s="3"/>
      <c r="U448" s="3"/>
      <c r="V448" s="3"/>
      <c r="W448" s="3"/>
      <c r="X448" s="3"/>
      <c r="Y448" s="3"/>
      <c r="Z448" s="3"/>
    </row>
    <row r="449" spans="1:26" ht="22.5" customHeight="1" x14ac:dyDescent="0.85">
      <c r="A449" s="166"/>
      <c r="B449" s="167"/>
      <c r="C449" s="167"/>
      <c r="D449" s="147"/>
      <c r="E449" s="147"/>
      <c r="F449" s="147"/>
      <c r="G449" s="147"/>
      <c r="H449" s="147"/>
      <c r="I449" s="147"/>
      <c r="J449" s="147"/>
      <c r="K449" s="3"/>
      <c r="L449" s="3"/>
      <c r="M449" s="3"/>
      <c r="N449" s="3"/>
      <c r="O449" s="3"/>
      <c r="P449" s="3"/>
      <c r="Q449" s="3"/>
      <c r="R449" s="3"/>
      <c r="S449" s="3"/>
      <c r="T449" s="3"/>
      <c r="U449" s="3"/>
      <c r="V449" s="3"/>
      <c r="W449" s="3"/>
      <c r="X449" s="3"/>
      <c r="Y449" s="3"/>
      <c r="Z449" s="3"/>
    </row>
    <row r="450" spans="1:26" ht="22.5" customHeight="1" x14ac:dyDescent="0.85">
      <c r="A450" s="166"/>
      <c r="B450" s="167"/>
      <c r="C450" s="167"/>
      <c r="D450" s="147"/>
      <c r="E450" s="147"/>
      <c r="F450" s="147"/>
      <c r="G450" s="147"/>
      <c r="H450" s="147"/>
      <c r="I450" s="147"/>
      <c r="J450" s="147"/>
      <c r="K450" s="3"/>
      <c r="L450" s="3"/>
      <c r="M450" s="3"/>
      <c r="N450" s="3"/>
      <c r="O450" s="3"/>
      <c r="P450" s="3"/>
      <c r="Q450" s="3"/>
      <c r="R450" s="3"/>
      <c r="S450" s="3"/>
      <c r="T450" s="3"/>
      <c r="U450" s="3"/>
      <c r="V450" s="3"/>
      <c r="W450" s="3"/>
      <c r="X450" s="3"/>
      <c r="Y450" s="3"/>
      <c r="Z450" s="3"/>
    </row>
    <row r="451" spans="1:26" ht="22.5" customHeight="1" x14ac:dyDescent="0.85">
      <c r="A451" s="166"/>
      <c r="B451" s="167"/>
      <c r="C451" s="167"/>
      <c r="D451" s="147"/>
      <c r="E451" s="147"/>
      <c r="F451" s="147"/>
      <c r="G451" s="147"/>
      <c r="H451" s="147"/>
      <c r="I451" s="147"/>
      <c r="J451" s="147"/>
      <c r="K451" s="3"/>
      <c r="L451" s="3"/>
      <c r="M451" s="3"/>
      <c r="N451" s="3"/>
      <c r="O451" s="3"/>
      <c r="P451" s="3"/>
      <c r="Q451" s="3"/>
      <c r="R451" s="3"/>
      <c r="S451" s="3"/>
      <c r="T451" s="3"/>
      <c r="U451" s="3"/>
      <c r="V451" s="3"/>
      <c r="W451" s="3"/>
      <c r="X451" s="3"/>
      <c r="Y451" s="3"/>
      <c r="Z451" s="3"/>
    </row>
    <row r="452" spans="1:26" ht="22.5" customHeight="1" x14ac:dyDescent="0.85">
      <c r="A452" s="166"/>
      <c r="B452" s="167"/>
      <c r="C452" s="167"/>
      <c r="D452" s="147"/>
      <c r="E452" s="147"/>
      <c r="F452" s="147"/>
      <c r="G452" s="147"/>
      <c r="H452" s="147"/>
      <c r="I452" s="147"/>
      <c r="J452" s="147"/>
      <c r="K452" s="3"/>
      <c r="L452" s="3"/>
      <c r="M452" s="3"/>
      <c r="N452" s="3"/>
      <c r="O452" s="3"/>
      <c r="P452" s="3"/>
      <c r="Q452" s="3"/>
      <c r="R452" s="3"/>
      <c r="S452" s="3"/>
      <c r="T452" s="3"/>
      <c r="U452" s="3"/>
      <c r="V452" s="3"/>
      <c r="W452" s="3"/>
      <c r="X452" s="3"/>
      <c r="Y452" s="3"/>
      <c r="Z452" s="3"/>
    </row>
    <row r="453" spans="1:26" ht="22.5" customHeight="1" x14ac:dyDescent="0.85">
      <c r="A453" s="166"/>
      <c r="B453" s="167"/>
      <c r="C453" s="167"/>
      <c r="D453" s="147"/>
      <c r="E453" s="147"/>
      <c r="F453" s="147"/>
      <c r="G453" s="147"/>
      <c r="H453" s="147"/>
      <c r="I453" s="147"/>
      <c r="J453" s="147"/>
      <c r="K453" s="3"/>
      <c r="L453" s="3"/>
      <c r="M453" s="3"/>
      <c r="N453" s="3"/>
      <c r="O453" s="3"/>
      <c r="P453" s="3"/>
      <c r="Q453" s="3"/>
      <c r="R453" s="3"/>
      <c r="S453" s="3"/>
      <c r="T453" s="3"/>
      <c r="U453" s="3"/>
      <c r="V453" s="3"/>
      <c r="W453" s="3"/>
      <c r="X453" s="3"/>
      <c r="Y453" s="3"/>
      <c r="Z453" s="3"/>
    </row>
    <row r="454" spans="1:26" ht="22.5" customHeight="1" x14ac:dyDescent="0.85">
      <c r="A454" s="166"/>
      <c r="B454" s="167"/>
      <c r="C454" s="167"/>
      <c r="D454" s="147"/>
      <c r="E454" s="147"/>
      <c r="F454" s="147"/>
      <c r="G454" s="147"/>
      <c r="H454" s="147"/>
      <c r="I454" s="147"/>
      <c r="J454" s="147"/>
      <c r="K454" s="3"/>
      <c r="L454" s="3"/>
      <c r="M454" s="3"/>
      <c r="N454" s="3"/>
      <c r="O454" s="3"/>
      <c r="P454" s="3"/>
      <c r="Q454" s="3"/>
      <c r="R454" s="3"/>
      <c r="S454" s="3"/>
      <c r="T454" s="3"/>
      <c r="U454" s="3"/>
      <c r="V454" s="3"/>
      <c r="W454" s="3"/>
      <c r="X454" s="3"/>
      <c r="Y454" s="3"/>
      <c r="Z454" s="3"/>
    </row>
    <row r="455" spans="1:26" ht="22.5" customHeight="1" x14ac:dyDescent="0.85">
      <c r="A455" s="166"/>
      <c r="B455" s="167"/>
      <c r="C455" s="167"/>
      <c r="D455" s="147"/>
      <c r="E455" s="147"/>
      <c r="F455" s="147"/>
      <c r="G455" s="147"/>
      <c r="H455" s="147"/>
      <c r="I455" s="147"/>
      <c r="J455" s="147"/>
      <c r="K455" s="3"/>
      <c r="L455" s="3"/>
      <c r="M455" s="3"/>
      <c r="N455" s="3"/>
      <c r="O455" s="3"/>
      <c r="P455" s="3"/>
      <c r="Q455" s="3"/>
      <c r="R455" s="3"/>
      <c r="S455" s="3"/>
      <c r="T455" s="3"/>
      <c r="U455" s="3"/>
      <c r="V455" s="3"/>
      <c r="W455" s="3"/>
      <c r="X455" s="3"/>
      <c r="Y455" s="3"/>
      <c r="Z455" s="3"/>
    </row>
    <row r="456" spans="1:26" ht="22.5" customHeight="1" x14ac:dyDescent="0.85">
      <c r="A456" s="166"/>
      <c r="B456" s="167"/>
      <c r="C456" s="167"/>
      <c r="D456" s="147"/>
      <c r="E456" s="147"/>
      <c r="F456" s="147"/>
      <c r="G456" s="147"/>
      <c r="H456" s="147"/>
      <c r="I456" s="147"/>
      <c r="J456" s="147"/>
      <c r="K456" s="3"/>
      <c r="L456" s="3"/>
      <c r="M456" s="3"/>
      <c r="N456" s="3"/>
      <c r="O456" s="3"/>
      <c r="P456" s="3"/>
      <c r="Q456" s="3"/>
      <c r="R456" s="3"/>
      <c r="S456" s="3"/>
      <c r="T456" s="3"/>
      <c r="U456" s="3"/>
      <c r="V456" s="3"/>
      <c r="W456" s="3"/>
      <c r="X456" s="3"/>
      <c r="Y456" s="3"/>
      <c r="Z456" s="3"/>
    </row>
    <row r="457" spans="1:26" ht="22.5" customHeight="1" x14ac:dyDescent="0.85">
      <c r="A457" s="166"/>
      <c r="B457" s="167"/>
      <c r="C457" s="167"/>
      <c r="D457" s="147"/>
      <c r="E457" s="147"/>
      <c r="F457" s="147"/>
      <c r="G457" s="147"/>
      <c r="H457" s="147"/>
      <c r="I457" s="147"/>
      <c r="J457" s="147"/>
      <c r="K457" s="3"/>
      <c r="L457" s="3"/>
      <c r="M457" s="3"/>
      <c r="N457" s="3"/>
      <c r="O457" s="3"/>
      <c r="P457" s="3"/>
      <c r="Q457" s="3"/>
      <c r="R457" s="3"/>
      <c r="S457" s="3"/>
      <c r="T457" s="3"/>
      <c r="U457" s="3"/>
      <c r="V457" s="3"/>
      <c r="W457" s="3"/>
      <c r="X457" s="3"/>
      <c r="Y457" s="3"/>
      <c r="Z457" s="3"/>
    </row>
    <row r="458" spans="1:26" ht="22.5" customHeight="1" x14ac:dyDescent="0.85">
      <c r="A458" s="166"/>
      <c r="B458" s="167"/>
      <c r="C458" s="167"/>
      <c r="D458" s="147"/>
      <c r="E458" s="147"/>
      <c r="F458" s="147"/>
      <c r="G458" s="147"/>
      <c r="H458" s="147"/>
      <c r="I458" s="147"/>
      <c r="J458" s="147"/>
      <c r="K458" s="3"/>
      <c r="L458" s="3"/>
      <c r="M458" s="3"/>
      <c r="N458" s="3"/>
      <c r="O458" s="3"/>
      <c r="P458" s="3"/>
      <c r="Q458" s="3"/>
      <c r="R458" s="3"/>
      <c r="S458" s="3"/>
      <c r="T458" s="3"/>
      <c r="U458" s="3"/>
      <c r="V458" s="3"/>
      <c r="W458" s="3"/>
      <c r="X458" s="3"/>
      <c r="Y458" s="3"/>
      <c r="Z458" s="3"/>
    </row>
    <row r="459" spans="1:26" ht="22.5" customHeight="1" x14ac:dyDescent="0.85">
      <c r="A459" s="166"/>
      <c r="B459" s="167"/>
      <c r="C459" s="167"/>
      <c r="D459" s="147"/>
      <c r="E459" s="147"/>
      <c r="F459" s="147"/>
      <c r="G459" s="147"/>
      <c r="H459" s="147"/>
      <c r="I459" s="147"/>
      <c r="J459" s="147"/>
      <c r="K459" s="3"/>
      <c r="L459" s="3"/>
      <c r="M459" s="3"/>
      <c r="N459" s="3"/>
      <c r="O459" s="3"/>
      <c r="P459" s="3"/>
      <c r="Q459" s="3"/>
      <c r="R459" s="3"/>
      <c r="S459" s="3"/>
      <c r="T459" s="3"/>
      <c r="U459" s="3"/>
      <c r="V459" s="3"/>
      <c r="W459" s="3"/>
      <c r="X459" s="3"/>
      <c r="Y459" s="3"/>
      <c r="Z459" s="3"/>
    </row>
    <row r="460" spans="1:26" ht="22.5" customHeight="1" x14ac:dyDescent="0.85">
      <c r="A460" s="166"/>
      <c r="B460" s="167"/>
      <c r="C460" s="167"/>
      <c r="D460" s="147"/>
      <c r="E460" s="147"/>
      <c r="F460" s="147"/>
      <c r="G460" s="147"/>
      <c r="H460" s="147"/>
      <c r="I460" s="147"/>
      <c r="J460" s="147"/>
      <c r="K460" s="3"/>
      <c r="L460" s="3"/>
      <c r="M460" s="3"/>
      <c r="N460" s="3"/>
      <c r="O460" s="3"/>
      <c r="P460" s="3"/>
      <c r="Q460" s="3"/>
      <c r="R460" s="3"/>
      <c r="S460" s="3"/>
      <c r="T460" s="3"/>
      <c r="U460" s="3"/>
      <c r="V460" s="3"/>
      <c r="W460" s="3"/>
      <c r="X460" s="3"/>
      <c r="Y460" s="3"/>
      <c r="Z460" s="3"/>
    </row>
    <row r="461" spans="1:26" ht="22.5" customHeight="1" x14ac:dyDescent="0.85">
      <c r="A461" s="166"/>
      <c r="B461" s="167"/>
      <c r="C461" s="167"/>
      <c r="D461" s="147"/>
      <c r="E461" s="147"/>
      <c r="F461" s="147"/>
      <c r="G461" s="147"/>
      <c r="H461" s="147"/>
      <c r="I461" s="147"/>
      <c r="J461" s="147"/>
      <c r="K461" s="3"/>
      <c r="L461" s="3"/>
      <c r="M461" s="3"/>
      <c r="N461" s="3"/>
      <c r="O461" s="3"/>
      <c r="P461" s="3"/>
      <c r="Q461" s="3"/>
      <c r="R461" s="3"/>
      <c r="S461" s="3"/>
      <c r="T461" s="3"/>
      <c r="U461" s="3"/>
      <c r="V461" s="3"/>
      <c r="W461" s="3"/>
      <c r="X461" s="3"/>
      <c r="Y461" s="3"/>
      <c r="Z461" s="3"/>
    </row>
    <row r="462" spans="1:26" ht="22.5" customHeight="1" x14ac:dyDescent="0.85">
      <c r="A462" s="166"/>
      <c r="B462" s="167"/>
      <c r="C462" s="167"/>
      <c r="D462" s="147"/>
      <c r="E462" s="147"/>
      <c r="F462" s="147"/>
      <c r="G462" s="147"/>
      <c r="H462" s="147"/>
      <c r="I462" s="147"/>
      <c r="J462" s="147"/>
      <c r="K462" s="3"/>
      <c r="L462" s="3"/>
      <c r="M462" s="3"/>
      <c r="N462" s="3"/>
      <c r="O462" s="3"/>
      <c r="P462" s="3"/>
      <c r="Q462" s="3"/>
      <c r="R462" s="3"/>
      <c r="S462" s="3"/>
      <c r="T462" s="3"/>
      <c r="U462" s="3"/>
      <c r="V462" s="3"/>
      <c r="W462" s="3"/>
      <c r="X462" s="3"/>
      <c r="Y462" s="3"/>
      <c r="Z462" s="3"/>
    </row>
    <row r="463" spans="1:26" ht="22.5" customHeight="1" x14ac:dyDescent="0.85">
      <c r="A463" s="166"/>
      <c r="B463" s="167"/>
      <c r="C463" s="167"/>
      <c r="D463" s="147"/>
      <c r="E463" s="147"/>
      <c r="F463" s="147"/>
      <c r="G463" s="147"/>
      <c r="H463" s="147"/>
      <c r="I463" s="147"/>
      <c r="J463" s="147"/>
      <c r="K463" s="3"/>
      <c r="L463" s="3"/>
      <c r="M463" s="3"/>
      <c r="N463" s="3"/>
      <c r="O463" s="3"/>
      <c r="P463" s="3"/>
      <c r="Q463" s="3"/>
      <c r="R463" s="3"/>
      <c r="S463" s="3"/>
      <c r="T463" s="3"/>
      <c r="U463" s="3"/>
      <c r="V463" s="3"/>
      <c r="W463" s="3"/>
      <c r="X463" s="3"/>
      <c r="Y463" s="3"/>
      <c r="Z463" s="3"/>
    </row>
    <row r="464" spans="1:26" ht="22.5" customHeight="1" x14ac:dyDescent="0.85">
      <c r="A464" s="166"/>
      <c r="B464" s="167"/>
      <c r="C464" s="167"/>
      <c r="D464" s="147"/>
      <c r="E464" s="147"/>
      <c r="F464" s="147"/>
      <c r="G464" s="147"/>
      <c r="H464" s="147"/>
      <c r="I464" s="147"/>
      <c r="J464" s="147"/>
      <c r="K464" s="3"/>
      <c r="L464" s="3"/>
      <c r="M464" s="3"/>
      <c r="N464" s="3"/>
      <c r="O464" s="3"/>
      <c r="P464" s="3"/>
      <c r="Q464" s="3"/>
      <c r="R464" s="3"/>
      <c r="S464" s="3"/>
      <c r="T464" s="3"/>
      <c r="U464" s="3"/>
      <c r="V464" s="3"/>
      <c r="W464" s="3"/>
      <c r="X464" s="3"/>
      <c r="Y464" s="3"/>
      <c r="Z464" s="3"/>
    </row>
    <row r="465" spans="1:26" ht="22.5" customHeight="1" x14ac:dyDescent="0.85">
      <c r="A465" s="166"/>
      <c r="B465" s="167"/>
      <c r="C465" s="167"/>
      <c r="D465" s="147"/>
      <c r="E465" s="147"/>
      <c r="F465" s="147"/>
      <c r="G465" s="147"/>
      <c r="H465" s="147"/>
      <c r="I465" s="147"/>
      <c r="J465" s="147"/>
      <c r="K465" s="3"/>
      <c r="L465" s="3"/>
      <c r="M465" s="3"/>
      <c r="N465" s="3"/>
      <c r="O465" s="3"/>
      <c r="P465" s="3"/>
      <c r="Q465" s="3"/>
      <c r="R465" s="3"/>
      <c r="S465" s="3"/>
      <c r="T465" s="3"/>
      <c r="U465" s="3"/>
      <c r="V465" s="3"/>
      <c r="W465" s="3"/>
      <c r="X465" s="3"/>
      <c r="Y465" s="3"/>
      <c r="Z465" s="3"/>
    </row>
    <row r="466" spans="1:26" ht="22.5" customHeight="1" x14ac:dyDescent="0.85">
      <c r="A466" s="166"/>
      <c r="B466" s="167"/>
      <c r="C466" s="167"/>
      <c r="D466" s="147"/>
      <c r="E466" s="147"/>
      <c r="F466" s="147"/>
      <c r="G466" s="147"/>
      <c r="H466" s="147"/>
      <c r="I466" s="147"/>
      <c r="J466" s="147"/>
      <c r="K466" s="3"/>
      <c r="L466" s="3"/>
      <c r="M466" s="3"/>
      <c r="N466" s="3"/>
      <c r="O466" s="3"/>
      <c r="P466" s="3"/>
      <c r="Q466" s="3"/>
      <c r="R466" s="3"/>
      <c r="S466" s="3"/>
      <c r="T466" s="3"/>
      <c r="U466" s="3"/>
      <c r="V466" s="3"/>
      <c r="W466" s="3"/>
      <c r="X466" s="3"/>
      <c r="Y466" s="3"/>
      <c r="Z466" s="3"/>
    </row>
    <row r="467" spans="1:26" ht="22.5" customHeight="1" x14ac:dyDescent="0.85">
      <c r="A467" s="166"/>
      <c r="B467" s="167"/>
      <c r="C467" s="167"/>
      <c r="D467" s="147"/>
      <c r="E467" s="147"/>
      <c r="F467" s="147"/>
      <c r="G467" s="147"/>
      <c r="H467" s="147"/>
      <c r="I467" s="147"/>
      <c r="J467" s="147"/>
      <c r="K467" s="3"/>
      <c r="L467" s="3"/>
      <c r="M467" s="3"/>
      <c r="N467" s="3"/>
      <c r="O467" s="3"/>
      <c r="P467" s="3"/>
      <c r="Q467" s="3"/>
      <c r="R467" s="3"/>
      <c r="S467" s="3"/>
      <c r="T467" s="3"/>
      <c r="U467" s="3"/>
      <c r="V467" s="3"/>
      <c r="W467" s="3"/>
      <c r="X467" s="3"/>
      <c r="Y467" s="3"/>
      <c r="Z467" s="3"/>
    </row>
    <row r="468" spans="1:26" ht="22.5" customHeight="1" x14ac:dyDescent="0.85">
      <c r="A468" s="166"/>
      <c r="B468" s="167"/>
      <c r="C468" s="167"/>
      <c r="D468" s="147"/>
      <c r="E468" s="147"/>
      <c r="F468" s="147"/>
      <c r="G468" s="147"/>
      <c r="H468" s="147"/>
      <c r="I468" s="147"/>
      <c r="J468" s="147"/>
      <c r="K468" s="3"/>
      <c r="L468" s="3"/>
      <c r="M468" s="3"/>
      <c r="N468" s="3"/>
      <c r="O468" s="3"/>
      <c r="P468" s="3"/>
      <c r="Q468" s="3"/>
      <c r="R468" s="3"/>
      <c r="S468" s="3"/>
      <c r="T468" s="3"/>
      <c r="U468" s="3"/>
      <c r="V468" s="3"/>
      <c r="W468" s="3"/>
      <c r="X468" s="3"/>
      <c r="Y468" s="3"/>
      <c r="Z468" s="3"/>
    </row>
    <row r="469" spans="1:26" ht="22.5" customHeight="1" x14ac:dyDescent="0.85">
      <c r="A469" s="166"/>
      <c r="B469" s="167"/>
      <c r="C469" s="167"/>
      <c r="D469" s="147"/>
      <c r="E469" s="147"/>
      <c r="F469" s="147"/>
      <c r="G469" s="147"/>
      <c r="H469" s="147"/>
      <c r="I469" s="147"/>
      <c r="J469" s="147"/>
      <c r="K469" s="3"/>
      <c r="L469" s="3"/>
      <c r="M469" s="3"/>
      <c r="N469" s="3"/>
      <c r="O469" s="3"/>
      <c r="P469" s="3"/>
      <c r="Q469" s="3"/>
      <c r="R469" s="3"/>
      <c r="S469" s="3"/>
      <c r="T469" s="3"/>
      <c r="U469" s="3"/>
      <c r="V469" s="3"/>
      <c r="W469" s="3"/>
      <c r="X469" s="3"/>
      <c r="Y469" s="3"/>
      <c r="Z469" s="3"/>
    </row>
    <row r="470" spans="1:26" ht="22.5" customHeight="1" x14ac:dyDescent="0.85">
      <c r="A470" s="166"/>
      <c r="B470" s="167"/>
      <c r="C470" s="167"/>
      <c r="D470" s="147"/>
      <c r="E470" s="147"/>
      <c r="F470" s="147"/>
      <c r="G470" s="147"/>
      <c r="H470" s="147"/>
      <c r="I470" s="147"/>
      <c r="J470" s="147"/>
      <c r="K470" s="3"/>
      <c r="L470" s="3"/>
      <c r="M470" s="3"/>
      <c r="N470" s="3"/>
      <c r="O470" s="3"/>
      <c r="P470" s="3"/>
      <c r="Q470" s="3"/>
      <c r="R470" s="3"/>
      <c r="S470" s="3"/>
      <c r="T470" s="3"/>
      <c r="U470" s="3"/>
      <c r="V470" s="3"/>
      <c r="W470" s="3"/>
      <c r="X470" s="3"/>
      <c r="Y470" s="3"/>
      <c r="Z470" s="3"/>
    </row>
    <row r="471" spans="1:26" ht="22.5" customHeight="1" x14ac:dyDescent="0.85">
      <c r="A471" s="166"/>
      <c r="B471" s="167"/>
      <c r="C471" s="167"/>
      <c r="D471" s="147"/>
      <c r="E471" s="147"/>
      <c r="F471" s="147"/>
      <c r="G471" s="147"/>
      <c r="H471" s="147"/>
      <c r="I471" s="147"/>
      <c r="J471" s="147"/>
      <c r="K471" s="3"/>
      <c r="L471" s="3"/>
      <c r="M471" s="3"/>
      <c r="N471" s="3"/>
      <c r="O471" s="3"/>
      <c r="P471" s="3"/>
      <c r="Q471" s="3"/>
      <c r="R471" s="3"/>
      <c r="S471" s="3"/>
      <c r="T471" s="3"/>
      <c r="U471" s="3"/>
      <c r="V471" s="3"/>
      <c r="W471" s="3"/>
      <c r="X471" s="3"/>
      <c r="Y471" s="3"/>
      <c r="Z471" s="3"/>
    </row>
    <row r="472" spans="1:26" ht="22.5" customHeight="1" x14ac:dyDescent="0.85">
      <c r="A472" s="166"/>
      <c r="B472" s="167"/>
      <c r="C472" s="167"/>
      <c r="D472" s="147"/>
      <c r="E472" s="147"/>
      <c r="F472" s="147"/>
      <c r="G472" s="147"/>
      <c r="H472" s="147"/>
      <c r="I472" s="147"/>
      <c r="J472" s="147"/>
      <c r="K472" s="3"/>
      <c r="L472" s="3"/>
      <c r="M472" s="3"/>
      <c r="N472" s="3"/>
      <c r="O472" s="3"/>
      <c r="P472" s="3"/>
      <c r="Q472" s="3"/>
      <c r="R472" s="3"/>
      <c r="S472" s="3"/>
      <c r="T472" s="3"/>
      <c r="U472" s="3"/>
      <c r="V472" s="3"/>
      <c r="W472" s="3"/>
      <c r="X472" s="3"/>
      <c r="Y472" s="3"/>
      <c r="Z472" s="3"/>
    </row>
    <row r="473" spans="1:26" ht="22.5" customHeight="1" x14ac:dyDescent="0.85">
      <c r="A473" s="166"/>
      <c r="B473" s="167"/>
      <c r="C473" s="167"/>
      <c r="D473" s="147"/>
      <c r="E473" s="147"/>
      <c r="F473" s="147"/>
      <c r="G473" s="147"/>
      <c r="H473" s="147"/>
      <c r="I473" s="147"/>
      <c r="J473" s="147"/>
      <c r="K473" s="3"/>
      <c r="L473" s="3"/>
      <c r="M473" s="3"/>
      <c r="N473" s="3"/>
      <c r="O473" s="3"/>
      <c r="P473" s="3"/>
      <c r="Q473" s="3"/>
      <c r="R473" s="3"/>
      <c r="S473" s="3"/>
      <c r="T473" s="3"/>
      <c r="U473" s="3"/>
      <c r="V473" s="3"/>
      <c r="W473" s="3"/>
      <c r="X473" s="3"/>
      <c r="Y473" s="3"/>
      <c r="Z473" s="3"/>
    </row>
    <row r="474" spans="1:26" ht="22.5" customHeight="1" x14ac:dyDescent="0.85">
      <c r="A474" s="166"/>
      <c r="B474" s="167"/>
      <c r="C474" s="167"/>
      <c r="D474" s="147"/>
      <c r="E474" s="147"/>
      <c r="F474" s="147"/>
      <c r="G474" s="147"/>
      <c r="H474" s="147"/>
      <c r="I474" s="147"/>
      <c r="J474" s="147"/>
      <c r="K474" s="3"/>
      <c r="L474" s="3"/>
      <c r="M474" s="3"/>
      <c r="N474" s="3"/>
      <c r="O474" s="3"/>
      <c r="P474" s="3"/>
      <c r="Q474" s="3"/>
      <c r="R474" s="3"/>
      <c r="S474" s="3"/>
      <c r="T474" s="3"/>
      <c r="U474" s="3"/>
      <c r="V474" s="3"/>
      <c r="W474" s="3"/>
      <c r="X474" s="3"/>
      <c r="Y474" s="3"/>
      <c r="Z474" s="3"/>
    </row>
    <row r="475" spans="1:26" ht="22.5" customHeight="1" x14ac:dyDescent="0.85">
      <c r="A475" s="166"/>
      <c r="B475" s="167"/>
      <c r="C475" s="167"/>
      <c r="D475" s="147"/>
      <c r="E475" s="147"/>
      <c r="F475" s="147"/>
      <c r="G475" s="147"/>
      <c r="H475" s="147"/>
      <c r="I475" s="147"/>
      <c r="J475" s="147"/>
      <c r="K475" s="3"/>
      <c r="L475" s="3"/>
      <c r="M475" s="3"/>
      <c r="N475" s="3"/>
      <c r="O475" s="3"/>
      <c r="P475" s="3"/>
      <c r="Q475" s="3"/>
      <c r="R475" s="3"/>
      <c r="S475" s="3"/>
      <c r="T475" s="3"/>
      <c r="U475" s="3"/>
      <c r="V475" s="3"/>
      <c r="W475" s="3"/>
      <c r="X475" s="3"/>
      <c r="Y475" s="3"/>
      <c r="Z475" s="3"/>
    </row>
    <row r="476" spans="1:26" ht="22.5" customHeight="1" x14ac:dyDescent="0.85">
      <c r="A476" s="166"/>
      <c r="B476" s="167"/>
      <c r="C476" s="167"/>
      <c r="D476" s="147"/>
      <c r="E476" s="147"/>
      <c r="F476" s="147"/>
      <c r="G476" s="147"/>
      <c r="H476" s="147"/>
      <c r="I476" s="147"/>
      <c r="J476" s="147"/>
      <c r="K476" s="3"/>
      <c r="L476" s="3"/>
      <c r="M476" s="3"/>
      <c r="N476" s="3"/>
      <c r="O476" s="3"/>
      <c r="P476" s="3"/>
      <c r="Q476" s="3"/>
      <c r="R476" s="3"/>
      <c r="S476" s="3"/>
      <c r="T476" s="3"/>
      <c r="U476" s="3"/>
      <c r="V476" s="3"/>
      <c r="W476" s="3"/>
      <c r="X476" s="3"/>
      <c r="Y476" s="3"/>
      <c r="Z476" s="3"/>
    </row>
    <row r="477" spans="1:26" ht="22.5" customHeight="1" x14ac:dyDescent="0.85">
      <c r="A477" s="166"/>
      <c r="B477" s="167"/>
      <c r="C477" s="167"/>
      <c r="D477" s="147"/>
      <c r="E477" s="147"/>
      <c r="F477" s="147"/>
      <c r="G477" s="147"/>
      <c r="H477" s="147"/>
      <c r="I477" s="147"/>
      <c r="J477" s="147"/>
      <c r="K477" s="3"/>
      <c r="L477" s="3"/>
      <c r="M477" s="3"/>
      <c r="N477" s="3"/>
      <c r="O477" s="3"/>
      <c r="P477" s="3"/>
      <c r="Q477" s="3"/>
      <c r="R477" s="3"/>
      <c r="S477" s="3"/>
      <c r="T477" s="3"/>
      <c r="U477" s="3"/>
      <c r="V477" s="3"/>
      <c r="W477" s="3"/>
      <c r="X477" s="3"/>
      <c r="Y477" s="3"/>
      <c r="Z477" s="3"/>
    </row>
    <row r="478" spans="1:26" ht="22.5" customHeight="1" x14ac:dyDescent="0.85">
      <c r="A478" s="166"/>
      <c r="B478" s="167"/>
      <c r="C478" s="167"/>
      <c r="D478" s="147"/>
      <c r="E478" s="147"/>
      <c r="F478" s="147"/>
      <c r="G478" s="147"/>
      <c r="H478" s="147"/>
      <c r="I478" s="147"/>
      <c r="J478" s="147"/>
      <c r="K478" s="3"/>
      <c r="L478" s="3"/>
      <c r="M478" s="3"/>
      <c r="N478" s="3"/>
      <c r="O478" s="3"/>
      <c r="P478" s="3"/>
      <c r="Q478" s="3"/>
      <c r="R478" s="3"/>
      <c r="S478" s="3"/>
      <c r="T478" s="3"/>
      <c r="U478" s="3"/>
      <c r="V478" s="3"/>
      <c r="W478" s="3"/>
      <c r="X478" s="3"/>
      <c r="Y478" s="3"/>
      <c r="Z478" s="3"/>
    </row>
    <row r="479" spans="1:26" ht="22.5" customHeight="1" x14ac:dyDescent="0.85">
      <c r="A479" s="166"/>
      <c r="B479" s="167"/>
      <c r="C479" s="167"/>
      <c r="D479" s="147"/>
      <c r="E479" s="147"/>
      <c r="F479" s="147"/>
      <c r="G479" s="147"/>
      <c r="H479" s="147"/>
      <c r="I479" s="147"/>
      <c r="J479" s="147"/>
      <c r="K479" s="3"/>
      <c r="L479" s="3"/>
      <c r="M479" s="3"/>
      <c r="N479" s="3"/>
      <c r="O479" s="3"/>
      <c r="P479" s="3"/>
      <c r="Q479" s="3"/>
      <c r="R479" s="3"/>
      <c r="S479" s="3"/>
      <c r="T479" s="3"/>
      <c r="U479" s="3"/>
      <c r="V479" s="3"/>
      <c r="W479" s="3"/>
      <c r="X479" s="3"/>
      <c r="Y479" s="3"/>
      <c r="Z479" s="3"/>
    </row>
    <row r="480" spans="1:26" ht="22.5" customHeight="1" x14ac:dyDescent="0.85">
      <c r="A480" s="166"/>
      <c r="B480" s="167"/>
      <c r="C480" s="167"/>
      <c r="D480" s="147"/>
      <c r="E480" s="147"/>
      <c r="F480" s="147"/>
      <c r="G480" s="147"/>
      <c r="H480" s="147"/>
      <c r="I480" s="147"/>
      <c r="J480" s="147"/>
      <c r="K480" s="3"/>
      <c r="L480" s="3"/>
      <c r="M480" s="3"/>
      <c r="N480" s="3"/>
      <c r="O480" s="3"/>
      <c r="P480" s="3"/>
      <c r="Q480" s="3"/>
      <c r="R480" s="3"/>
      <c r="S480" s="3"/>
      <c r="T480" s="3"/>
      <c r="U480" s="3"/>
      <c r="V480" s="3"/>
      <c r="W480" s="3"/>
      <c r="X480" s="3"/>
      <c r="Y480" s="3"/>
      <c r="Z480" s="3"/>
    </row>
    <row r="481" spans="1:26" ht="22.5" customHeight="1" x14ac:dyDescent="0.85">
      <c r="A481" s="166"/>
      <c r="B481" s="167"/>
      <c r="C481" s="167"/>
      <c r="D481" s="147"/>
      <c r="E481" s="147"/>
      <c r="F481" s="147"/>
      <c r="G481" s="147"/>
      <c r="H481" s="147"/>
      <c r="I481" s="147"/>
      <c r="J481" s="147"/>
      <c r="K481" s="3"/>
      <c r="L481" s="3"/>
      <c r="M481" s="3"/>
      <c r="N481" s="3"/>
      <c r="O481" s="3"/>
      <c r="P481" s="3"/>
      <c r="Q481" s="3"/>
      <c r="R481" s="3"/>
      <c r="S481" s="3"/>
      <c r="T481" s="3"/>
      <c r="U481" s="3"/>
      <c r="V481" s="3"/>
      <c r="W481" s="3"/>
      <c r="X481" s="3"/>
      <c r="Y481" s="3"/>
      <c r="Z481" s="3"/>
    </row>
    <row r="482" spans="1:26" ht="22.5" customHeight="1" x14ac:dyDescent="0.85">
      <c r="A482" s="166"/>
      <c r="B482" s="167"/>
      <c r="C482" s="167"/>
      <c r="D482" s="147"/>
      <c r="E482" s="147"/>
      <c r="F482" s="147"/>
      <c r="G482" s="147"/>
      <c r="H482" s="147"/>
      <c r="I482" s="147"/>
      <c r="J482" s="147"/>
      <c r="K482" s="3"/>
      <c r="L482" s="3"/>
      <c r="M482" s="3"/>
      <c r="N482" s="3"/>
      <c r="O482" s="3"/>
      <c r="P482" s="3"/>
      <c r="Q482" s="3"/>
      <c r="R482" s="3"/>
      <c r="S482" s="3"/>
      <c r="T482" s="3"/>
      <c r="U482" s="3"/>
      <c r="V482" s="3"/>
      <c r="W482" s="3"/>
      <c r="X482" s="3"/>
      <c r="Y482" s="3"/>
      <c r="Z482" s="3"/>
    </row>
    <row r="483" spans="1:26" ht="22.5" customHeight="1" x14ac:dyDescent="0.85">
      <c r="A483" s="166"/>
      <c r="B483" s="167"/>
      <c r="C483" s="167"/>
      <c r="D483" s="147"/>
      <c r="E483" s="147"/>
      <c r="F483" s="147"/>
      <c r="G483" s="147"/>
      <c r="H483" s="147"/>
      <c r="I483" s="147"/>
      <c r="J483" s="147"/>
      <c r="K483" s="3"/>
      <c r="L483" s="3"/>
      <c r="M483" s="3"/>
      <c r="N483" s="3"/>
      <c r="O483" s="3"/>
      <c r="P483" s="3"/>
      <c r="Q483" s="3"/>
      <c r="R483" s="3"/>
      <c r="S483" s="3"/>
      <c r="T483" s="3"/>
      <c r="U483" s="3"/>
      <c r="V483" s="3"/>
      <c r="W483" s="3"/>
      <c r="X483" s="3"/>
      <c r="Y483" s="3"/>
      <c r="Z483" s="3"/>
    </row>
    <row r="484" spans="1:26" ht="22.5" customHeight="1" x14ac:dyDescent="0.85">
      <c r="A484" s="166"/>
      <c r="B484" s="167"/>
      <c r="C484" s="167"/>
      <c r="D484" s="147"/>
      <c r="E484" s="147"/>
      <c r="F484" s="147"/>
      <c r="G484" s="147"/>
      <c r="H484" s="147"/>
      <c r="I484" s="147"/>
      <c r="J484" s="147"/>
      <c r="K484" s="3"/>
      <c r="L484" s="3"/>
      <c r="M484" s="3"/>
      <c r="N484" s="3"/>
      <c r="O484" s="3"/>
      <c r="P484" s="3"/>
      <c r="Q484" s="3"/>
      <c r="R484" s="3"/>
      <c r="S484" s="3"/>
      <c r="T484" s="3"/>
      <c r="U484" s="3"/>
      <c r="V484" s="3"/>
      <c r="W484" s="3"/>
      <c r="X484" s="3"/>
      <c r="Y484" s="3"/>
      <c r="Z484" s="3"/>
    </row>
    <row r="485" spans="1:26" ht="22.5" customHeight="1" x14ac:dyDescent="0.85">
      <c r="A485" s="166"/>
      <c r="B485" s="167"/>
      <c r="C485" s="167"/>
      <c r="D485" s="147"/>
      <c r="E485" s="147"/>
      <c r="F485" s="147"/>
      <c r="G485" s="147"/>
      <c r="H485" s="147"/>
      <c r="I485" s="147"/>
      <c r="J485" s="147"/>
      <c r="K485" s="3"/>
      <c r="L485" s="3"/>
      <c r="M485" s="3"/>
      <c r="N485" s="3"/>
      <c r="O485" s="3"/>
      <c r="P485" s="3"/>
      <c r="Q485" s="3"/>
      <c r="R485" s="3"/>
      <c r="S485" s="3"/>
      <c r="T485" s="3"/>
      <c r="U485" s="3"/>
      <c r="V485" s="3"/>
      <c r="W485" s="3"/>
      <c r="X485" s="3"/>
      <c r="Y485" s="3"/>
      <c r="Z485" s="3"/>
    </row>
    <row r="486" spans="1:26" ht="22.5" customHeight="1" x14ac:dyDescent="0.85">
      <c r="A486" s="166"/>
      <c r="B486" s="167"/>
      <c r="C486" s="167"/>
      <c r="D486" s="147"/>
      <c r="E486" s="147"/>
      <c r="F486" s="147"/>
      <c r="G486" s="147"/>
      <c r="H486" s="147"/>
      <c r="I486" s="147"/>
      <c r="J486" s="147"/>
      <c r="K486" s="3"/>
      <c r="L486" s="3"/>
      <c r="M486" s="3"/>
      <c r="N486" s="3"/>
      <c r="O486" s="3"/>
      <c r="P486" s="3"/>
      <c r="Q486" s="3"/>
      <c r="R486" s="3"/>
      <c r="S486" s="3"/>
      <c r="T486" s="3"/>
      <c r="U486" s="3"/>
      <c r="V486" s="3"/>
      <c r="W486" s="3"/>
      <c r="X486" s="3"/>
      <c r="Y486" s="3"/>
      <c r="Z486" s="3"/>
    </row>
    <row r="487" spans="1:26" ht="22.5" customHeight="1" x14ac:dyDescent="0.85">
      <c r="A487" s="166"/>
      <c r="B487" s="167"/>
      <c r="C487" s="167"/>
      <c r="D487" s="147"/>
      <c r="E487" s="147"/>
      <c r="F487" s="147"/>
      <c r="G487" s="147"/>
      <c r="H487" s="147"/>
      <c r="I487" s="147"/>
      <c r="J487" s="147"/>
      <c r="K487" s="3"/>
      <c r="L487" s="3"/>
      <c r="M487" s="3"/>
      <c r="N487" s="3"/>
      <c r="O487" s="3"/>
      <c r="P487" s="3"/>
      <c r="Q487" s="3"/>
      <c r="R487" s="3"/>
      <c r="S487" s="3"/>
      <c r="T487" s="3"/>
      <c r="U487" s="3"/>
      <c r="V487" s="3"/>
      <c r="W487" s="3"/>
      <c r="X487" s="3"/>
      <c r="Y487" s="3"/>
      <c r="Z487" s="3"/>
    </row>
    <row r="488" spans="1:26" ht="22.5" customHeight="1" x14ac:dyDescent="0.85">
      <c r="A488" s="166"/>
      <c r="B488" s="167"/>
      <c r="C488" s="167"/>
      <c r="D488" s="147"/>
      <c r="E488" s="147"/>
      <c r="F488" s="147"/>
      <c r="G488" s="147"/>
      <c r="H488" s="147"/>
      <c r="I488" s="147"/>
      <c r="J488" s="147"/>
      <c r="K488" s="3"/>
      <c r="L488" s="3"/>
      <c r="M488" s="3"/>
      <c r="N488" s="3"/>
      <c r="O488" s="3"/>
      <c r="P488" s="3"/>
      <c r="Q488" s="3"/>
      <c r="R488" s="3"/>
      <c r="S488" s="3"/>
      <c r="T488" s="3"/>
      <c r="U488" s="3"/>
      <c r="V488" s="3"/>
      <c r="W488" s="3"/>
      <c r="X488" s="3"/>
      <c r="Y488" s="3"/>
      <c r="Z488" s="3"/>
    </row>
    <row r="489" spans="1:26" ht="22.5" customHeight="1" x14ac:dyDescent="0.85">
      <c r="A489" s="166"/>
      <c r="B489" s="167"/>
      <c r="C489" s="167"/>
      <c r="D489" s="147"/>
      <c r="E489" s="147"/>
      <c r="F489" s="147"/>
      <c r="G489" s="147"/>
      <c r="H489" s="147"/>
      <c r="I489" s="147"/>
      <c r="J489" s="147"/>
      <c r="K489" s="3"/>
      <c r="L489" s="3"/>
      <c r="M489" s="3"/>
      <c r="N489" s="3"/>
      <c r="O489" s="3"/>
      <c r="P489" s="3"/>
      <c r="Q489" s="3"/>
      <c r="R489" s="3"/>
      <c r="S489" s="3"/>
      <c r="T489" s="3"/>
      <c r="U489" s="3"/>
      <c r="V489" s="3"/>
      <c r="W489" s="3"/>
      <c r="X489" s="3"/>
      <c r="Y489" s="3"/>
      <c r="Z489" s="3"/>
    </row>
    <row r="490" spans="1:26" ht="22.5" customHeight="1" x14ac:dyDescent="0.85">
      <c r="A490" s="166"/>
      <c r="B490" s="167"/>
      <c r="C490" s="167"/>
      <c r="D490" s="147"/>
      <c r="E490" s="147"/>
      <c r="F490" s="147"/>
      <c r="G490" s="147"/>
      <c r="H490" s="147"/>
      <c r="I490" s="147"/>
      <c r="J490" s="147"/>
      <c r="K490" s="3"/>
      <c r="L490" s="3"/>
      <c r="M490" s="3"/>
      <c r="N490" s="3"/>
      <c r="O490" s="3"/>
      <c r="P490" s="3"/>
      <c r="Q490" s="3"/>
      <c r="R490" s="3"/>
      <c r="S490" s="3"/>
      <c r="T490" s="3"/>
      <c r="U490" s="3"/>
      <c r="V490" s="3"/>
      <c r="W490" s="3"/>
      <c r="X490" s="3"/>
      <c r="Y490" s="3"/>
      <c r="Z490" s="3"/>
    </row>
    <row r="491" spans="1:26" ht="22.5" customHeight="1" x14ac:dyDescent="0.85">
      <c r="A491" s="166"/>
      <c r="B491" s="167"/>
      <c r="C491" s="167"/>
      <c r="D491" s="147"/>
      <c r="E491" s="147"/>
      <c r="F491" s="147"/>
      <c r="G491" s="147"/>
      <c r="H491" s="147"/>
      <c r="I491" s="147"/>
      <c r="J491" s="147"/>
      <c r="K491" s="3"/>
      <c r="L491" s="3"/>
      <c r="M491" s="3"/>
      <c r="N491" s="3"/>
      <c r="O491" s="3"/>
      <c r="P491" s="3"/>
      <c r="Q491" s="3"/>
      <c r="R491" s="3"/>
      <c r="S491" s="3"/>
      <c r="T491" s="3"/>
      <c r="U491" s="3"/>
      <c r="V491" s="3"/>
      <c r="W491" s="3"/>
      <c r="X491" s="3"/>
      <c r="Y491" s="3"/>
      <c r="Z491" s="3"/>
    </row>
    <row r="492" spans="1:26" ht="22.5" customHeight="1" x14ac:dyDescent="0.85">
      <c r="A492" s="166"/>
      <c r="B492" s="167"/>
      <c r="C492" s="167"/>
      <c r="D492" s="147"/>
      <c r="E492" s="147"/>
      <c r="F492" s="147"/>
      <c r="G492" s="147"/>
      <c r="H492" s="147"/>
      <c r="I492" s="147"/>
      <c r="J492" s="147"/>
      <c r="K492" s="3"/>
      <c r="L492" s="3"/>
      <c r="M492" s="3"/>
      <c r="N492" s="3"/>
      <c r="O492" s="3"/>
      <c r="P492" s="3"/>
      <c r="Q492" s="3"/>
      <c r="R492" s="3"/>
      <c r="S492" s="3"/>
      <c r="T492" s="3"/>
      <c r="U492" s="3"/>
      <c r="V492" s="3"/>
      <c r="W492" s="3"/>
      <c r="X492" s="3"/>
      <c r="Y492" s="3"/>
      <c r="Z492" s="3"/>
    </row>
    <row r="493" spans="1:26" ht="22.5" customHeight="1" x14ac:dyDescent="0.85">
      <c r="A493" s="166"/>
      <c r="B493" s="167"/>
      <c r="C493" s="167"/>
      <c r="D493" s="147"/>
      <c r="E493" s="147"/>
      <c r="F493" s="147"/>
      <c r="G493" s="147"/>
      <c r="H493" s="147"/>
      <c r="I493" s="147"/>
      <c r="J493" s="147"/>
      <c r="K493" s="3"/>
      <c r="L493" s="3"/>
      <c r="M493" s="3"/>
      <c r="N493" s="3"/>
      <c r="O493" s="3"/>
      <c r="P493" s="3"/>
      <c r="Q493" s="3"/>
      <c r="R493" s="3"/>
      <c r="S493" s="3"/>
      <c r="T493" s="3"/>
      <c r="U493" s="3"/>
      <c r="V493" s="3"/>
      <c r="W493" s="3"/>
      <c r="X493" s="3"/>
      <c r="Y493" s="3"/>
      <c r="Z493" s="3"/>
    </row>
    <row r="494" spans="1:26" ht="22.5" customHeight="1" x14ac:dyDescent="0.85">
      <c r="A494" s="166"/>
      <c r="B494" s="167"/>
      <c r="C494" s="167"/>
      <c r="D494" s="147"/>
      <c r="E494" s="147"/>
      <c r="F494" s="147"/>
      <c r="G494" s="147"/>
      <c r="H494" s="147"/>
      <c r="I494" s="147"/>
      <c r="J494" s="147"/>
      <c r="K494" s="3"/>
      <c r="L494" s="3"/>
      <c r="M494" s="3"/>
      <c r="N494" s="3"/>
      <c r="O494" s="3"/>
      <c r="P494" s="3"/>
      <c r="Q494" s="3"/>
      <c r="R494" s="3"/>
      <c r="S494" s="3"/>
      <c r="T494" s="3"/>
      <c r="U494" s="3"/>
      <c r="V494" s="3"/>
      <c r="W494" s="3"/>
      <c r="X494" s="3"/>
      <c r="Y494" s="3"/>
      <c r="Z494" s="3"/>
    </row>
    <row r="495" spans="1:26" ht="22.5" customHeight="1" x14ac:dyDescent="0.85">
      <c r="A495" s="166"/>
      <c r="B495" s="167"/>
      <c r="C495" s="167"/>
      <c r="D495" s="147"/>
      <c r="E495" s="147"/>
      <c r="F495" s="147"/>
      <c r="G495" s="147"/>
      <c r="H495" s="147"/>
      <c r="I495" s="147"/>
      <c r="J495" s="147"/>
      <c r="K495" s="3"/>
      <c r="L495" s="3"/>
      <c r="M495" s="3"/>
      <c r="N495" s="3"/>
      <c r="O495" s="3"/>
      <c r="P495" s="3"/>
      <c r="Q495" s="3"/>
      <c r="R495" s="3"/>
      <c r="S495" s="3"/>
      <c r="T495" s="3"/>
      <c r="U495" s="3"/>
      <c r="V495" s="3"/>
      <c r="W495" s="3"/>
      <c r="X495" s="3"/>
      <c r="Y495" s="3"/>
      <c r="Z495" s="3"/>
    </row>
    <row r="496" spans="1:26" ht="22.5" customHeight="1" x14ac:dyDescent="0.85">
      <c r="A496" s="166"/>
      <c r="B496" s="167"/>
      <c r="C496" s="167"/>
      <c r="D496" s="147"/>
      <c r="E496" s="147"/>
      <c r="F496" s="147"/>
      <c r="G496" s="147"/>
      <c r="H496" s="147"/>
      <c r="I496" s="147"/>
      <c r="J496" s="147"/>
      <c r="K496" s="3"/>
      <c r="L496" s="3"/>
      <c r="M496" s="3"/>
      <c r="N496" s="3"/>
      <c r="O496" s="3"/>
      <c r="P496" s="3"/>
      <c r="Q496" s="3"/>
      <c r="R496" s="3"/>
      <c r="S496" s="3"/>
      <c r="T496" s="3"/>
      <c r="U496" s="3"/>
      <c r="V496" s="3"/>
      <c r="W496" s="3"/>
      <c r="X496" s="3"/>
      <c r="Y496" s="3"/>
      <c r="Z496" s="3"/>
    </row>
    <row r="497" spans="1:26" ht="22.5" customHeight="1" x14ac:dyDescent="0.85">
      <c r="A497" s="166"/>
      <c r="B497" s="167"/>
      <c r="C497" s="167"/>
      <c r="D497" s="147"/>
      <c r="E497" s="147"/>
      <c r="F497" s="147"/>
      <c r="G497" s="147"/>
      <c r="H497" s="147"/>
      <c r="I497" s="147"/>
      <c r="J497" s="147"/>
      <c r="K497" s="3"/>
      <c r="L497" s="3"/>
      <c r="M497" s="3"/>
      <c r="N497" s="3"/>
      <c r="O497" s="3"/>
      <c r="P497" s="3"/>
      <c r="Q497" s="3"/>
      <c r="R497" s="3"/>
      <c r="S497" s="3"/>
      <c r="T497" s="3"/>
      <c r="U497" s="3"/>
      <c r="V497" s="3"/>
      <c r="W497" s="3"/>
      <c r="X497" s="3"/>
      <c r="Y497" s="3"/>
      <c r="Z497" s="3"/>
    </row>
    <row r="498" spans="1:26" ht="22.5" customHeight="1" x14ac:dyDescent="0.85">
      <c r="A498" s="166"/>
      <c r="B498" s="167"/>
      <c r="C498" s="167"/>
      <c r="D498" s="147"/>
      <c r="E498" s="147"/>
      <c r="F498" s="147"/>
      <c r="G498" s="147"/>
      <c r="H498" s="147"/>
      <c r="I498" s="147"/>
      <c r="J498" s="147"/>
      <c r="K498" s="3"/>
      <c r="L498" s="3"/>
      <c r="M498" s="3"/>
      <c r="N498" s="3"/>
      <c r="O498" s="3"/>
      <c r="P498" s="3"/>
      <c r="Q498" s="3"/>
      <c r="R498" s="3"/>
      <c r="S498" s="3"/>
      <c r="T498" s="3"/>
      <c r="U498" s="3"/>
      <c r="V498" s="3"/>
      <c r="W498" s="3"/>
      <c r="X498" s="3"/>
      <c r="Y498" s="3"/>
      <c r="Z498" s="3"/>
    </row>
    <row r="499" spans="1:26" ht="22.5" customHeight="1" x14ac:dyDescent="0.85">
      <c r="A499" s="166"/>
      <c r="B499" s="167"/>
      <c r="C499" s="167"/>
      <c r="D499" s="147"/>
      <c r="E499" s="147"/>
      <c r="F499" s="147"/>
      <c r="G499" s="147"/>
      <c r="H499" s="147"/>
      <c r="I499" s="147"/>
      <c r="J499" s="147"/>
      <c r="K499" s="3"/>
      <c r="L499" s="3"/>
      <c r="M499" s="3"/>
      <c r="N499" s="3"/>
      <c r="O499" s="3"/>
      <c r="P499" s="3"/>
      <c r="Q499" s="3"/>
      <c r="R499" s="3"/>
      <c r="S499" s="3"/>
      <c r="T499" s="3"/>
      <c r="U499" s="3"/>
      <c r="V499" s="3"/>
      <c r="W499" s="3"/>
      <c r="X499" s="3"/>
      <c r="Y499" s="3"/>
      <c r="Z499" s="3"/>
    </row>
    <row r="500" spans="1:26" ht="22.5" customHeight="1" x14ac:dyDescent="0.85">
      <c r="A500" s="166"/>
      <c r="B500" s="167"/>
      <c r="C500" s="167"/>
      <c r="D500" s="147"/>
      <c r="E500" s="147"/>
      <c r="F500" s="147"/>
      <c r="G500" s="147"/>
      <c r="H500" s="147"/>
      <c r="I500" s="147"/>
      <c r="J500" s="147"/>
      <c r="K500" s="3"/>
      <c r="L500" s="3"/>
      <c r="M500" s="3"/>
      <c r="N500" s="3"/>
      <c r="O500" s="3"/>
      <c r="P500" s="3"/>
      <c r="Q500" s="3"/>
      <c r="R500" s="3"/>
      <c r="S500" s="3"/>
      <c r="T500" s="3"/>
      <c r="U500" s="3"/>
      <c r="V500" s="3"/>
      <c r="W500" s="3"/>
      <c r="X500" s="3"/>
      <c r="Y500" s="3"/>
      <c r="Z500" s="3"/>
    </row>
    <row r="501" spans="1:26" ht="22.5" customHeight="1" x14ac:dyDescent="0.85">
      <c r="A501" s="166"/>
      <c r="B501" s="167"/>
      <c r="C501" s="167"/>
      <c r="D501" s="147"/>
      <c r="E501" s="147"/>
      <c r="F501" s="147"/>
      <c r="G501" s="147"/>
      <c r="H501" s="147"/>
      <c r="I501" s="147"/>
      <c r="J501" s="147"/>
      <c r="K501" s="3"/>
      <c r="L501" s="3"/>
      <c r="M501" s="3"/>
      <c r="N501" s="3"/>
      <c r="O501" s="3"/>
      <c r="P501" s="3"/>
      <c r="Q501" s="3"/>
      <c r="R501" s="3"/>
      <c r="S501" s="3"/>
      <c r="T501" s="3"/>
      <c r="U501" s="3"/>
      <c r="V501" s="3"/>
      <c r="W501" s="3"/>
      <c r="X501" s="3"/>
      <c r="Y501" s="3"/>
      <c r="Z501" s="3"/>
    </row>
    <row r="502" spans="1:26" ht="22.5" customHeight="1" x14ac:dyDescent="0.85">
      <c r="A502" s="166"/>
      <c r="B502" s="167"/>
      <c r="C502" s="167"/>
      <c r="D502" s="147"/>
      <c r="E502" s="147"/>
      <c r="F502" s="147"/>
      <c r="G502" s="147"/>
      <c r="H502" s="147"/>
      <c r="I502" s="147"/>
      <c r="J502" s="147"/>
      <c r="K502" s="3"/>
      <c r="L502" s="3"/>
      <c r="M502" s="3"/>
      <c r="N502" s="3"/>
      <c r="O502" s="3"/>
      <c r="P502" s="3"/>
      <c r="Q502" s="3"/>
      <c r="R502" s="3"/>
      <c r="S502" s="3"/>
      <c r="T502" s="3"/>
      <c r="U502" s="3"/>
      <c r="V502" s="3"/>
      <c r="W502" s="3"/>
      <c r="X502" s="3"/>
      <c r="Y502" s="3"/>
      <c r="Z502" s="3"/>
    </row>
    <row r="503" spans="1:26" ht="22.5" customHeight="1" x14ac:dyDescent="0.85">
      <c r="A503" s="166"/>
      <c r="B503" s="167"/>
      <c r="C503" s="167"/>
      <c r="D503" s="147"/>
      <c r="E503" s="147"/>
      <c r="F503" s="147"/>
      <c r="G503" s="147"/>
      <c r="H503" s="147"/>
      <c r="I503" s="147"/>
      <c r="J503" s="147"/>
      <c r="K503" s="3"/>
      <c r="L503" s="3"/>
      <c r="M503" s="3"/>
      <c r="N503" s="3"/>
      <c r="O503" s="3"/>
      <c r="P503" s="3"/>
      <c r="Q503" s="3"/>
      <c r="R503" s="3"/>
      <c r="S503" s="3"/>
      <c r="T503" s="3"/>
      <c r="U503" s="3"/>
      <c r="V503" s="3"/>
      <c r="W503" s="3"/>
      <c r="X503" s="3"/>
      <c r="Y503" s="3"/>
      <c r="Z503" s="3"/>
    </row>
    <row r="504" spans="1:26" ht="22.5" customHeight="1" x14ac:dyDescent="0.85">
      <c r="A504" s="166"/>
      <c r="B504" s="167"/>
      <c r="C504" s="167"/>
      <c r="D504" s="147"/>
      <c r="E504" s="147"/>
      <c r="F504" s="147"/>
      <c r="G504" s="147"/>
      <c r="H504" s="147"/>
      <c r="I504" s="147"/>
      <c r="J504" s="147"/>
      <c r="K504" s="3"/>
      <c r="L504" s="3"/>
      <c r="M504" s="3"/>
      <c r="N504" s="3"/>
      <c r="O504" s="3"/>
      <c r="P504" s="3"/>
      <c r="Q504" s="3"/>
      <c r="R504" s="3"/>
      <c r="S504" s="3"/>
      <c r="T504" s="3"/>
      <c r="U504" s="3"/>
      <c r="V504" s="3"/>
      <c r="W504" s="3"/>
      <c r="X504" s="3"/>
      <c r="Y504" s="3"/>
      <c r="Z504" s="3"/>
    </row>
    <row r="505" spans="1:26" ht="22.5" customHeight="1" x14ac:dyDescent="0.85">
      <c r="A505" s="166"/>
      <c r="B505" s="167"/>
      <c r="C505" s="167"/>
      <c r="D505" s="147"/>
      <c r="E505" s="147"/>
      <c r="F505" s="147"/>
      <c r="G505" s="147"/>
      <c r="H505" s="147"/>
      <c r="I505" s="147"/>
      <c r="J505" s="147"/>
      <c r="K505" s="3"/>
      <c r="L505" s="3"/>
      <c r="M505" s="3"/>
      <c r="N505" s="3"/>
      <c r="O505" s="3"/>
      <c r="P505" s="3"/>
      <c r="Q505" s="3"/>
      <c r="R505" s="3"/>
      <c r="S505" s="3"/>
      <c r="T505" s="3"/>
      <c r="U505" s="3"/>
      <c r="V505" s="3"/>
      <c r="W505" s="3"/>
      <c r="X505" s="3"/>
      <c r="Y505" s="3"/>
      <c r="Z505" s="3"/>
    </row>
    <row r="506" spans="1:26" ht="22.5" customHeight="1" x14ac:dyDescent="0.85">
      <c r="A506" s="166"/>
      <c r="B506" s="167"/>
      <c r="C506" s="167"/>
      <c r="D506" s="147"/>
      <c r="E506" s="147"/>
      <c r="F506" s="147"/>
      <c r="G506" s="147"/>
      <c r="H506" s="147"/>
      <c r="I506" s="147"/>
      <c r="J506" s="147"/>
      <c r="K506" s="3"/>
      <c r="L506" s="3"/>
      <c r="M506" s="3"/>
      <c r="N506" s="3"/>
      <c r="O506" s="3"/>
      <c r="P506" s="3"/>
      <c r="Q506" s="3"/>
      <c r="R506" s="3"/>
      <c r="S506" s="3"/>
      <c r="T506" s="3"/>
      <c r="U506" s="3"/>
      <c r="V506" s="3"/>
      <c r="W506" s="3"/>
      <c r="X506" s="3"/>
      <c r="Y506" s="3"/>
      <c r="Z506" s="3"/>
    </row>
    <row r="507" spans="1:26" ht="22.5" customHeight="1" x14ac:dyDescent="0.85">
      <c r="A507" s="166"/>
      <c r="B507" s="167"/>
      <c r="C507" s="167"/>
      <c r="D507" s="147"/>
      <c r="E507" s="147"/>
      <c r="F507" s="147"/>
      <c r="G507" s="147"/>
      <c r="H507" s="147"/>
      <c r="I507" s="147"/>
      <c r="J507" s="147"/>
      <c r="K507" s="3"/>
      <c r="L507" s="3"/>
      <c r="M507" s="3"/>
      <c r="N507" s="3"/>
      <c r="O507" s="3"/>
      <c r="P507" s="3"/>
      <c r="Q507" s="3"/>
      <c r="R507" s="3"/>
      <c r="S507" s="3"/>
      <c r="T507" s="3"/>
      <c r="U507" s="3"/>
      <c r="V507" s="3"/>
      <c r="W507" s="3"/>
      <c r="X507" s="3"/>
      <c r="Y507" s="3"/>
      <c r="Z507" s="3"/>
    </row>
    <row r="508" spans="1:26" ht="22.5" customHeight="1" x14ac:dyDescent="0.85">
      <c r="A508" s="166"/>
      <c r="B508" s="167"/>
      <c r="C508" s="167"/>
      <c r="D508" s="147"/>
      <c r="E508" s="147"/>
      <c r="F508" s="147"/>
      <c r="G508" s="147"/>
      <c r="H508" s="147"/>
      <c r="I508" s="147"/>
      <c r="J508" s="147"/>
      <c r="K508" s="3"/>
      <c r="L508" s="3"/>
      <c r="M508" s="3"/>
      <c r="N508" s="3"/>
      <c r="O508" s="3"/>
      <c r="P508" s="3"/>
      <c r="Q508" s="3"/>
      <c r="R508" s="3"/>
      <c r="S508" s="3"/>
      <c r="T508" s="3"/>
      <c r="U508" s="3"/>
      <c r="V508" s="3"/>
      <c r="W508" s="3"/>
      <c r="X508" s="3"/>
      <c r="Y508" s="3"/>
      <c r="Z508" s="3"/>
    </row>
    <row r="509" spans="1:26" ht="22.5" customHeight="1" x14ac:dyDescent="0.85">
      <c r="A509" s="166"/>
      <c r="B509" s="167"/>
      <c r="C509" s="167"/>
      <c r="D509" s="147"/>
      <c r="E509" s="147"/>
      <c r="F509" s="147"/>
      <c r="G509" s="147"/>
      <c r="H509" s="147"/>
      <c r="I509" s="147"/>
      <c r="J509" s="147"/>
      <c r="K509" s="3"/>
      <c r="L509" s="3"/>
      <c r="M509" s="3"/>
      <c r="N509" s="3"/>
      <c r="O509" s="3"/>
      <c r="P509" s="3"/>
      <c r="Q509" s="3"/>
      <c r="R509" s="3"/>
      <c r="S509" s="3"/>
      <c r="T509" s="3"/>
      <c r="U509" s="3"/>
      <c r="V509" s="3"/>
      <c r="W509" s="3"/>
      <c r="X509" s="3"/>
      <c r="Y509" s="3"/>
      <c r="Z509" s="3"/>
    </row>
    <row r="510" spans="1:26" ht="22.5" customHeight="1" x14ac:dyDescent="0.85">
      <c r="A510" s="166"/>
      <c r="B510" s="167"/>
      <c r="C510" s="167"/>
      <c r="D510" s="147"/>
      <c r="E510" s="147"/>
      <c r="F510" s="147"/>
      <c r="G510" s="147"/>
      <c r="H510" s="147"/>
      <c r="I510" s="147"/>
      <c r="J510" s="147"/>
      <c r="K510" s="3"/>
      <c r="L510" s="3"/>
      <c r="M510" s="3"/>
      <c r="N510" s="3"/>
      <c r="O510" s="3"/>
      <c r="P510" s="3"/>
      <c r="Q510" s="3"/>
      <c r="R510" s="3"/>
      <c r="S510" s="3"/>
      <c r="T510" s="3"/>
      <c r="U510" s="3"/>
      <c r="V510" s="3"/>
      <c r="W510" s="3"/>
      <c r="X510" s="3"/>
      <c r="Y510" s="3"/>
      <c r="Z510" s="3"/>
    </row>
    <row r="511" spans="1:26" ht="22.5" customHeight="1" x14ac:dyDescent="0.85">
      <c r="A511" s="166"/>
      <c r="B511" s="167"/>
      <c r="C511" s="167"/>
      <c r="D511" s="147"/>
      <c r="E511" s="147"/>
      <c r="F511" s="147"/>
      <c r="G511" s="147"/>
      <c r="H511" s="147"/>
      <c r="I511" s="147"/>
      <c r="J511" s="147"/>
      <c r="K511" s="3"/>
      <c r="L511" s="3"/>
      <c r="M511" s="3"/>
      <c r="N511" s="3"/>
      <c r="O511" s="3"/>
      <c r="P511" s="3"/>
      <c r="Q511" s="3"/>
      <c r="R511" s="3"/>
      <c r="S511" s="3"/>
      <c r="T511" s="3"/>
      <c r="U511" s="3"/>
      <c r="V511" s="3"/>
      <c r="W511" s="3"/>
      <c r="X511" s="3"/>
      <c r="Y511" s="3"/>
      <c r="Z511" s="3"/>
    </row>
    <row r="512" spans="1:26" ht="22.5" customHeight="1" x14ac:dyDescent="0.85">
      <c r="A512" s="166"/>
      <c r="B512" s="167"/>
      <c r="C512" s="167"/>
      <c r="D512" s="147"/>
      <c r="E512" s="147"/>
      <c r="F512" s="147"/>
      <c r="G512" s="147"/>
      <c r="H512" s="147"/>
      <c r="I512" s="147"/>
      <c r="J512" s="147"/>
      <c r="K512" s="3"/>
      <c r="L512" s="3"/>
      <c r="M512" s="3"/>
      <c r="N512" s="3"/>
      <c r="O512" s="3"/>
      <c r="P512" s="3"/>
      <c r="Q512" s="3"/>
      <c r="R512" s="3"/>
      <c r="S512" s="3"/>
      <c r="T512" s="3"/>
      <c r="U512" s="3"/>
      <c r="V512" s="3"/>
      <c r="W512" s="3"/>
      <c r="X512" s="3"/>
      <c r="Y512" s="3"/>
      <c r="Z512" s="3"/>
    </row>
    <row r="513" spans="1:26" ht="22.5" customHeight="1" x14ac:dyDescent="0.85">
      <c r="A513" s="166"/>
      <c r="B513" s="167"/>
      <c r="C513" s="167"/>
      <c r="D513" s="147"/>
      <c r="E513" s="147"/>
      <c r="F513" s="147"/>
      <c r="G513" s="147"/>
      <c r="H513" s="147"/>
      <c r="I513" s="147"/>
      <c r="J513" s="147"/>
      <c r="K513" s="3"/>
      <c r="L513" s="3"/>
      <c r="M513" s="3"/>
      <c r="N513" s="3"/>
      <c r="O513" s="3"/>
      <c r="P513" s="3"/>
      <c r="Q513" s="3"/>
      <c r="R513" s="3"/>
      <c r="S513" s="3"/>
      <c r="T513" s="3"/>
      <c r="U513" s="3"/>
      <c r="V513" s="3"/>
      <c r="W513" s="3"/>
      <c r="X513" s="3"/>
      <c r="Y513" s="3"/>
      <c r="Z513" s="3"/>
    </row>
    <row r="514" spans="1:26" ht="22.5" customHeight="1" x14ac:dyDescent="0.85">
      <c r="A514" s="166"/>
      <c r="B514" s="167"/>
      <c r="C514" s="167"/>
      <c r="D514" s="147"/>
      <c r="E514" s="147"/>
      <c r="F514" s="147"/>
      <c r="G514" s="147"/>
      <c r="H514" s="147"/>
      <c r="I514" s="147"/>
      <c r="J514" s="147"/>
      <c r="K514" s="3"/>
      <c r="L514" s="3"/>
      <c r="M514" s="3"/>
      <c r="N514" s="3"/>
      <c r="O514" s="3"/>
      <c r="P514" s="3"/>
      <c r="Q514" s="3"/>
      <c r="R514" s="3"/>
      <c r="S514" s="3"/>
      <c r="T514" s="3"/>
      <c r="U514" s="3"/>
      <c r="V514" s="3"/>
      <c r="W514" s="3"/>
      <c r="X514" s="3"/>
      <c r="Y514" s="3"/>
      <c r="Z514" s="3"/>
    </row>
    <row r="515" spans="1:26" ht="22.5" customHeight="1" x14ac:dyDescent="0.85">
      <c r="A515" s="166"/>
      <c r="B515" s="167"/>
      <c r="C515" s="167"/>
      <c r="D515" s="147"/>
      <c r="E515" s="147"/>
      <c r="F515" s="147"/>
      <c r="G515" s="147"/>
      <c r="H515" s="147"/>
      <c r="I515" s="147"/>
      <c r="J515" s="147"/>
      <c r="K515" s="3"/>
      <c r="L515" s="3"/>
      <c r="M515" s="3"/>
      <c r="N515" s="3"/>
      <c r="O515" s="3"/>
      <c r="P515" s="3"/>
      <c r="Q515" s="3"/>
      <c r="R515" s="3"/>
      <c r="S515" s="3"/>
      <c r="T515" s="3"/>
      <c r="U515" s="3"/>
      <c r="V515" s="3"/>
      <c r="W515" s="3"/>
      <c r="X515" s="3"/>
      <c r="Y515" s="3"/>
      <c r="Z515" s="3"/>
    </row>
    <row r="516" spans="1:26" ht="22.5" customHeight="1" x14ac:dyDescent="0.85">
      <c r="A516" s="166"/>
      <c r="B516" s="167"/>
      <c r="C516" s="167"/>
      <c r="D516" s="147"/>
      <c r="E516" s="147"/>
      <c r="F516" s="147"/>
      <c r="G516" s="147"/>
      <c r="H516" s="147"/>
      <c r="I516" s="147"/>
      <c r="J516" s="147"/>
      <c r="K516" s="3"/>
      <c r="L516" s="3"/>
      <c r="M516" s="3"/>
      <c r="N516" s="3"/>
      <c r="O516" s="3"/>
      <c r="P516" s="3"/>
      <c r="Q516" s="3"/>
      <c r="R516" s="3"/>
      <c r="S516" s="3"/>
      <c r="T516" s="3"/>
      <c r="U516" s="3"/>
      <c r="V516" s="3"/>
      <c r="W516" s="3"/>
      <c r="X516" s="3"/>
      <c r="Y516" s="3"/>
      <c r="Z516" s="3"/>
    </row>
    <row r="517" spans="1:26" ht="22.5" customHeight="1" x14ac:dyDescent="0.85">
      <c r="A517" s="166"/>
      <c r="B517" s="167"/>
      <c r="C517" s="167"/>
      <c r="D517" s="147"/>
      <c r="E517" s="147"/>
      <c r="F517" s="147"/>
      <c r="G517" s="147"/>
      <c r="H517" s="147"/>
      <c r="I517" s="147"/>
      <c r="J517" s="147"/>
      <c r="K517" s="3"/>
      <c r="L517" s="3"/>
      <c r="M517" s="3"/>
      <c r="N517" s="3"/>
      <c r="O517" s="3"/>
      <c r="P517" s="3"/>
      <c r="Q517" s="3"/>
      <c r="R517" s="3"/>
      <c r="S517" s="3"/>
      <c r="T517" s="3"/>
      <c r="U517" s="3"/>
      <c r="V517" s="3"/>
      <c r="W517" s="3"/>
      <c r="X517" s="3"/>
      <c r="Y517" s="3"/>
      <c r="Z517" s="3"/>
    </row>
    <row r="518" spans="1:26" ht="22.5" customHeight="1" x14ac:dyDescent="0.85">
      <c r="A518" s="166"/>
      <c r="B518" s="167"/>
      <c r="C518" s="167"/>
      <c r="D518" s="147"/>
      <c r="E518" s="147"/>
      <c r="F518" s="147"/>
      <c r="G518" s="147"/>
      <c r="H518" s="147"/>
      <c r="I518" s="147"/>
      <c r="J518" s="147"/>
      <c r="K518" s="3"/>
      <c r="L518" s="3"/>
      <c r="M518" s="3"/>
      <c r="N518" s="3"/>
      <c r="O518" s="3"/>
      <c r="P518" s="3"/>
      <c r="Q518" s="3"/>
      <c r="R518" s="3"/>
      <c r="S518" s="3"/>
      <c r="T518" s="3"/>
      <c r="U518" s="3"/>
      <c r="V518" s="3"/>
      <c r="W518" s="3"/>
      <c r="X518" s="3"/>
      <c r="Y518" s="3"/>
      <c r="Z518" s="3"/>
    </row>
    <row r="519" spans="1:26" ht="22.5" customHeight="1" x14ac:dyDescent="0.85">
      <c r="A519" s="166"/>
      <c r="B519" s="167"/>
      <c r="C519" s="167"/>
      <c r="D519" s="147"/>
      <c r="E519" s="147"/>
      <c r="F519" s="147"/>
      <c r="G519" s="147"/>
      <c r="H519" s="147"/>
      <c r="I519" s="147"/>
      <c r="J519" s="147"/>
      <c r="K519" s="3"/>
      <c r="L519" s="3"/>
      <c r="M519" s="3"/>
      <c r="N519" s="3"/>
      <c r="O519" s="3"/>
      <c r="P519" s="3"/>
      <c r="Q519" s="3"/>
      <c r="R519" s="3"/>
      <c r="S519" s="3"/>
      <c r="T519" s="3"/>
      <c r="U519" s="3"/>
      <c r="V519" s="3"/>
      <c r="W519" s="3"/>
      <c r="X519" s="3"/>
      <c r="Y519" s="3"/>
      <c r="Z519" s="3"/>
    </row>
    <row r="520" spans="1:26" ht="22.5" customHeight="1" x14ac:dyDescent="0.85">
      <c r="A520" s="166"/>
      <c r="B520" s="167"/>
      <c r="C520" s="167"/>
      <c r="D520" s="147"/>
      <c r="E520" s="147"/>
      <c r="F520" s="147"/>
      <c r="G520" s="147"/>
      <c r="H520" s="147"/>
      <c r="I520" s="147"/>
      <c r="J520" s="147"/>
      <c r="K520" s="3"/>
      <c r="L520" s="3"/>
      <c r="M520" s="3"/>
      <c r="N520" s="3"/>
      <c r="O520" s="3"/>
      <c r="P520" s="3"/>
      <c r="Q520" s="3"/>
      <c r="R520" s="3"/>
      <c r="S520" s="3"/>
      <c r="T520" s="3"/>
      <c r="U520" s="3"/>
      <c r="V520" s="3"/>
      <c r="W520" s="3"/>
      <c r="X520" s="3"/>
      <c r="Y520" s="3"/>
      <c r="Z520" s="3"/>
    </row>
    <row r="521" spans="1:26" ht="22.5" customHeight="1" x14ac:dyDescent="0.85">
      <c r="A521" s="166"/>
      <c r="B521" s="167"/>
      <c r="C521" s="167"/>
      <c r="D521" s="147"/>
      <c r="E521" s="147"/>
      <c r="F521" s="147"/>
      <c r="G521" s="147"/>
      <c r="H521" s="147"/>
      <c r="I521" s="147"/>
      <c r="J521" s="147"/>
      <c r="K521" s="3"/>
      <c r="L521" s="3"/>
      <c r="M521" s="3"/>
      <c r="N521" s="3"/>
      <c r="O521" s="3"/>
      <c r="P521" s="3"/>
      <c r="Q521" s="3"/>
      <c r="R521" s="3"/>
      <c r="S521" s="3"/>
      <c r="T521" s="3"/>
      <c r="U521" s="3"/>
      <c r="V521" s="3"/>
      <c r="W521" s="3"/>
      <c r="X521" s="3"/>
      <c r="Y521" s="3"/>
      <c r="Z521" s="3"/>
    </row>
    <row r="522" spans="1:26" ht="22.5" customHeight="1" x14ac:dyDescent="0.85">
      <c r="A522" s="166"/>
      <c r="B522" s="167"/>
      <c r="C522" s="167"/>
      <c r="D522" s="147"/>
      <c r="E522" s="147"/>
      <c r="F522" s="147"/>
      <c r="G522" s="147"/>
      <c r="H522" s="147"/>
      <c r="I522" s="147"/>
      <c r="J522" s="147"/>
      <c r="K522" s="3"/>
      <c r="L522" s="3"/>
      <c r="M522" s="3"/>
      <c r="N522" s="3"/>
      <c r="O522" s="3"/>
      <c r="P522" s="3"/>
      <c r="Q522" s="3"/>
      <c r="R522" s="3"/>
      <c r="S522" s="3"/>
      <c r="T522" s="3"/>
      <c r="U522" s="3"/>
      <c r="V522" s="3"/>
      <c r="W522" s="3"/>
      <c r="X522" s="3"/>
      <c r="Y522" s="3"/>
      <c r="Z522" s="3"/>
    </row>
    <row r="523" spans="1:26" ht="22.5" customHeight="1" x14ac:dyDescent="0.85">
      <c r="A523" s="166"/>
      <c r="B523" s="167"/>
      <c r="C523" s="167"/>
      <c r="D523" s="147"/>
      <c r="E523" s="147"/>
      <c r="F523" s="147"/>
      <c r="G523" s="147"/>
      <c r="H523" s="147"/>
      <c r="I523" s="147"/>
      <c r="J523" s="147"/>
      <c r="K523" s="3"/>
      <c r="L523" s="3"/>
      <c r="M523" s="3"/>
      <c r="N523" s="3"/>
      <c r="O523" s="3"/>
      <c r="P523" s="3"/>
      <c r="Q523" s="3"/>
      <c r="R523" s="3"/>
      <c r="S523" s="3"/>
      <c r="T523" s="3"/>
      <c r="U523" s="3"/>
      <c r="V523" s="3"/>
      <c r="W523" s="3"/>
      <c r="X523" s="3"/>
      <c r="Y523" s="3"/>
      <c r="Z523" s="3"/>
    </row>
    <row r="524" spans="1:26" ht="22.5" customHeight="1" x14ac:dyDescent="0.85">
      <c r="A524" s="166"/>
      <c r="B524" s="167"/>
      <c r="C524" s="167"/>
      <c r="D524" s="147"/>
      <c r="E524" s="147"/>
      <c r="F524" s="147"/>
      <c r="G524" s="147"/>
      <c r="H524" s="147"/>
      <c r="I524" s="147"/>
      <c r="J524" s="147"/>
      <c r="K524" s="3"/>
      <c r="L524" s="3"/>
      <c r="M524" s="3"/>
      <c r="N524" s="3"/>
      <c r="O524" s="3"/>
      <c r="P524" s="3"/>
      <c r="Q524" s="3"/>
      <c r="R524" s="3"/>
      <c r="S524" s="3"/>
      <c r="T524" s="3"/>
      <c r="U524" s="3"/>
      <c r="V524" s="3"/>
      <c r="W524" s="3"/>
      <c r="X524" s="3"/>
      <c r="Y524" s="3"/>
      <c r="Z524" s="3"/>
    </row>
    <row r="525" spans="1:26" ht="22.5" customHeight="1" x14ac:dyDescent="0.85">
      <c r="A525" s="166"/>
      <c r="B525" s="167"/>
      <c r="C525" s="167"/>
      <c r="D525" s="147"/>
      <c r="E525" s="147"/>
      <c r="F525" s="147"/>
      <c r="G525" s="147"/>
      <c r="H525" s="147"/>
      <c r="I525" s="147"/>
      <c r="J525" s="147"/>
      <c r="K525" s="3"/>
      <c r="L525" s="3"/>
      <c r="M525" s="3"/>
      <c r="N525" s="3"/>
      <c r="O525" s="3"/>
      <c r="P525" s="3"/>
      <c r="Q525" s="3"/>
      <c r="R525" s="3"/>
      <c r="S525" s="3"/>
      <c r="T525" s="3"/>
      <c r="U525" s="3"/>
      <c r="V525" s="3"/>
      <c r="W525" s="3"/>
      <c r="X525" s="3"/>
      <c r="Y525" s="3"/>
      <c r="Z525" s="3"/>
    </row>
    <row r="526" spans="1:26" ht="22.5" customHeight="1" x14ac:dyDescent="0.85">
      <c r="A526" s="166"/>
      <c r="B526" s="167"/>
      <c r="C526" s="167"/>
      <c r="D526" s="147"/>
      <c r="E526" s="147"/>
      <c r="F526" s="147"/>
      <c r="G526" s="147"/>
      <c r="H526" s="147"/>
      <c r="I526" s="147"/>
      <c r="J526" s="147"/>
      <c r="K526" s="3"/>
      <c r="L526" s="3"/>
      <c r="M526" s="3"/>
      <c r="N526" s="3"/>
      <c r="O526" s="3"/>
      <c r="P526" s="3"/>
      <c r="Q526" s="3"/>
      <c r="R526" s="3"/>
      <c r="S526" s="3"/>
      <c r="T526" s="3"/>
      <c r="U526" s="3"/>
      <c r="V526" s="3"/>
      <c r="W526" s="3"/>
      <c r="X526" s="3"/>
      <c r="Y526" s="3"/>
      <c r="Z526" s="3"/>
    </row>
    <row r="527" spans="1:26" ht="22.5" customHeight="1" x14ac:dyDescent="0.85">
      <c r="A527" s="166"/>
      <c r="B527" s="167"/>
      <c r="C527" s="167"/>
      <c r="D527" s="147"/>
      <c r="E527" s="147"/>
      <c r="F527" s="147"/>
      <c r="G527" s="147"/>
      <c r="H527" s="147"/>
      <c r="I527" s="147"/>
      <c r="J527" s="147"/>
      <c r="K527" s="3"/>
      <c r="L527" s="3"/>
      <c r="M527" s="3"/>
      <c r="N527" s="3"/>
      <c r="O527" s="3"/>
      <c r="P527" s="3"/>
      <c r="Q527" s="3"/>
      <c r="R527" s="3"/>
      <c r="S527" s="3"/>
      <c r="T527" s="3"/>
      <c r="U527" s="3"/>
      <c r="V527" s="3"/>
      <c r="W527" s="3"/>
      <c r="X527" s="3"/>
      <c r="Y527" s="3"/>
      <c r="Z527" s="3"/>
    </row>
    <row r="528" spans="1:26" ht="22.5" customHeight="1" x14ac:dyDescent="0.85">
      <c r="A528" s="166"/>
      <c r="B528" s="167"/>
      <c r="C528" s="167"/>
      <c r="D528" s="147"/>
      <c r="E528" s="147"/>
      <c r="F528" s="147"/>
      <c r="G528" s="147"/>
      <c r="H528" s="147"/>
      <c r="I528" s="147"/>
      <c r="J528" s="147"/>
      <c r="K528" s="3"/>
      <c r="L528" s="3"/>
      <c r="M528" s="3"/>
      <c r="N528" s="3"/>
      <c r="O528" s="3"/>
      <c r="P528" s="3"/>
      <c r="Q528" s="3"/>
      <c r="R528" s="3"/>
      <c r="S528" s="3"/>
      <c r="T528" s="3"/>
      <c r="U528" s="3"/>
      <c r="V528" s="3"/>
      <c r="W528" s="3"/>
      <c r="X528" s="3"/>
      <c r="Y528" s="3"/>
      <c r="Z528" s="3"/>
    </row>
    <row r="529" spans="1:26" ht="22.5" customHeight="1" x14ac:dyDescent="0.85">
      <c r="A529" s="166"/>
      <c r="B529" s="167"/>
      <c r="C529" s="167"/>
      <c r="D529" s="147"/>
      <c r="E529" s="147"/>
      <c r="F529" s="147"/>
      <c r="G529" s="147"/>
      <c r="H529" s="147"/>
      <c r="I529" s="147"/>
      <c r="J529" s="147"/>
      <c r="K529" s="3"/>
      <c r="L529" s="3"/>
      <c r="M529" s="3"/>
      <c r="N529" s="3"/>
      <c r="O529" s="3"/>
      <c r="P529" s="3"/>
      <c r="Q529" s="3"/>
      <c r="R529" s="3"/>
      <c r="S529" s="3"/>
      <c r="T529" s="3"/>
      <c r="U529" s="3"/>
      <c r="V529" s="3"/>
      <c r="W529" s="3"/>
      <c r="X529" s="3"/>
      <c r="Y529" s="3"/>
      <c r="Z529" s="3"/>
    </row>
    <row r="530" spans="1:26" ht="22.5" customHeight="1" x14ac:dyDescent="0.85">
      <c r="A530" s="166"/>
      <c r="B530" s="167"/>
      <c r="C530" s="167"/>
      <c r="D530" s="147"/>
      <c r="E530" s="147"/>
      <c r="F530" s="147"/>
      <c r="G530" s="147"/>
      <c r="H530" s="147"/>
      <c r="I530" s="147"/>
      <c r="J530" s="147"/>
      <c r="K530" s="3"/>
      <c r="L530" s="3"/>
      <c r="M530" s="3"/>
      <c r="N530" s="3"/>
      <c r="O530" s="3"/>
      <c r="P530" s="3"/>
      <c r="Q530" s="3"/>
      <c r="R530" s="3"/>
      <c r="S530" s="3"/>
      <c r="T530" s="3"/>
      <c r="U530" s="3"/>
      <c r="V530" s="3"/>
      <c r="W530" s="3"/>
      <c r="X530" s="3"/>
      <c r="Y530" s="3"/>
      <c r="Z530" s="3"/>
    </row>
    <row r="531" spans="1:26" ht="22.5" customHeight="1" x14ac:dyDescent="0.85">
      <c r="A531" s="166"/>
      <c r="B531" s="167"/>
      <c r="C531" s="167"/>
      <c r="D531" s="147"/>
      <c r="E531" s="147"/>
      <c r="F531" s="147"/>
      <c r="G531" s="147"/>
      <c r="H531" s="147"/>
      <c r="I531" s="147"/>
      <c r="J531" s="147"/>
      <c r="K531" s="3"/>
      <c r="L531" s="3"/>
      <c r="M531" s="3"/>
      <c r="N531" s="3"/>
      <c r="O531" s="3"/>
      <c r="P531" s="3"/>
      <c r="Q531" s="3"/>
      <c r="R531" s="3"/>
      <c r="S531" s="3"/>
      <c r="T531" s="3"/>
      <c r="U531" s="3"/>
      <c r="V531" s="3"/>
      <c r="W531" s="3"/>
      <c r="X531" s="3"/>
      <c r="Y531" s="3"/>
      <c r="Z531" s="3"/>
    </row>
    <row r="532" spans="1:26" ht="22.5" customHeight="1" x14ac:dyDescent="0.85">
      <c r="A532" s="166"/>
      <c r="B532" s="167"/>
      <c r="C532" s="167"/>
      <c r="D532" s="147"/>
      <c r="E532" s="147"/>
      <c r="F532" s="147"/>
      <c r="G532" s="147"/>
      <c r="H532" s="147"/>
      <c r="I532" s="147"/>
      <c r="J532" s="147"/>
      <c r="K532" s="3"/>
      <c r="L532" s="3"/>
      <c r="M532" s="3"/>
      <c r="N532" s="3"/>
      <c r="O532" s="3"/>
      <c r="P532" s="3"/>
      <c r="Q532" s="3"/>
      <c r="R532" s="3"/>
      <c r="S532" s="3"/>
      <c r="T532" s="3"/>
      <c r="U532" s="3"/>
      <c r="V532" s="3"/>
      <c r="W532" s="3"/>
      <c r="X532" s="3"/>
      <c r="Y532" s="3"/>
      <c r="Z532" s="3"/>
    </row>
    <row r="533" spans="1:26" ht="22.5" customHeight="1" x14ac:dyDescent="0.85">
      <c r="A533" s="166"/>
      <c r="B533" s="167"/>
      <c r="C533" s="167"/>
      <c r="D533" s="147"/>
      <c r="E533" s="147"/>
      <c r="F533" s="147"/>
      <c r="G533" s="147"/>
      <c r="H533" s="147"/>
      <c r="I533" s="147"/>
      <c r="J533" s="147"/>
      <c r="K533" s="3"/>
      <c r="L533" s="3"/>
      <c r="M533" s="3"/>
      <c r="N533" s="3"/>
      <c r="O533" s="3"/>
      <c r="P533" s="3"/>
      <c r="Q533" s="3"/>
      <c r="R533" s="3"/>
      <c r="S533" s="3"/>
      <c r="T533" s="3"/>
      <c r="U533" s="3"/>
      <c r="V533" s="3"/>
      <c r="W533" s="3"/>
      <c r="X533" s="3"/>
      <c r="Y533" s="3"/>
      <c r="Z533" s="3"/>
    </row>
    <row r="534" spans="1:26" ht="22.5" customHeight="1" x14ac:dyDescent="0.85">
      <c r="A534" s="166"/>
      <c r="B534" s="167"/>
      <c r="C534" s="167"/>
      <c r="D534" s="147"/>
      <c r="E534" s="147"/>
      <c r="F534" s="147"/>
      <c r="G534" s="147"/>
      <c r="H534" s="147"/>
      <c r="I534" s="147"/>
      <c r="J534" s="147"/>
      <c r="K534" s="3"/>
      <c r="L534" s="3"/>
      <c r="M534" s="3"/>
      <c r="N534" s="3"/>
      <c r="O534" s="3"/>
      <c r="P534" s="3"/>
      <c r="Q534" s="3"/>
      <c r="R534" s="3"/>
      <c r="S534" s="3"/>
      <c r="T534" s="3"/>
      <c r="U534" s="3"/>
      <c r="V534" s="3"/>
      <c r="W534" s="3"/>
      <c r="X534" s="3"/>
      <c r="Y534" s="3"/>
      <c r="Z534" s="3"/>
    </row>
    <row r="535" spans="1:26" ht="22.5" customHeight="1" x14ac:dyDescent="0.85">
      <c r="A535" s="166"/>
      <c r="B535" s="167"/>
      <c r="C535" s="167"/>
      <c r="D535" s="147"/>
      <c r="E535" s="147"/>
      <c r="F535" s="147"/>
      <c r="G535" s="147"/>
      <c r="H535" s="147"/>
      <c r="I535" s="147"/>
      <c r="J535" s="147"/>
      <c r="K535" s="3"/>
      <c r="L535" s="3"/>
      <c r="M535" s="3"/>
      <c r="N535" s="3"/>
      <c r="O535" s="3"/>
      <c r="P535" s="3"/>
      <c r="Q535" s="3"/>
      <c r="R535" s="3"/>
      <c r="S535" s="3"/>
      <c r="T535" s="3"/>
      <c r="U535" s="3"/>
      <c r="V535" s="3"/>
      <c r="W535" s="3"/>
      <c r="X535" s="3"/>
      <c r="Y535" s="3"/>
      <c r="Z535" s="3"/>
    </row>
    <row r="536" spans="1:26" ht="22.5" customHeight="1" x14ac:dyDescent="0.85">
      <c r="A536" s="166"/>
      <c r="B536" s="167"/>
      <c r="C536" s="167"/>
      <c r="D536" s="147"/>
      <c r="E536" s="147"/>
      <c r="F536" s="147"/>
      <c r="G536" s="147"/>
      <c r="H536" s="147"/>
      <c r="I536" s="147"/>
      <c r="J536" s="147"/>
      <c r="K536" s="3"/>
      <c r="L536" s="3"/>
      <c r="M536" s="3"/>
      <c r="N536" s="3"/>
      <c r="O536" s="3"/>
      <c r="P536" s="3"/>
      <c r="Q536" s="3"/>
      <c r="R536" s="3"/>
      <c r="S536" s="3"/>
      <c r="T536" s="3"/>
      <c r="U536" s="3"/>
      <c r="V536" s="3"/>
      <c r="W536" s="3"/>
      <c r="X536" s="3"/>
      <c r="Y536" s="3"/>
      <c r="Z536" s="3"/>
    </row>
    <row r="537" spans="1:26" ht="22.5" customHeight="1" x14ac:dyDescent="0.85">
      <c r="A537" s="166"/>
      <c r="B537" s="167"/>
      <c r="C537" s="167"/>
      <c r="D537" s="147"/>
      <c r="E537" s="147"/>
      <c r="F537" s="147"/>
      <c r="G537" s="147"/>
      <c r="H537" s="147"/>
      <c r="I537" s="147"/>
      <c r="J537" s="147"/>
      <c r="K537" s="3"/>
      <c r="L537" s="3"/>
      <c r="M537" s="3"/>
      <c r="N537" s="3"/>
      <c r="O537" s="3"/>
      <c r="P537" s="3"/>
      <c r="Q537" s="3"/>
      <c r="R537" s="3"/>
      <c r="S537" s="3"/>
      <c r="T537" s="3"/>
      <c r="U537" s="3"/>
      <c r="V537" s="3"/>
      <c r="W537" s="3"/>
      <c r="X537" s="3"/>
      <c r="Y537" s="3"/>
      <c r="Z537" s="3"/>
    </row>
    <row r="538" spans="1:26" ht="22.5" customHeight="1" x14ac:dyDescent="0.85">
      <c r="A538" s="166"/>
      <c r="B538" s="167"/>
      <c r="C538" s="167"/>
      <c r="D538" s="147"/>
      <c r="E538" s="147"/>
      <c r="F538" s="147"/>
      <c r="G538" s="147"/>
      <c r="H538" s="147"/>
      <c r="I538" s="147"/>
      <c r="J538" s="147"/>
      <c r="K538" s="3"/>
      <c r="L538" s="3"/>
      <c r="M538" s="3"/>
      <c r="N538" s="3"/>
      <c r="O538" s="3"/>
      <c r="P538" s="3"/>
      <c r="Q538" s="3"/>
      <c r="R538" s="3"/>
      <c r="S538" s="3"/>
      <c r="T538" s="3"/>
      <c r="U538" s="3"/>
      <c r="V538" s="3"/>
      <c r="W538" s="3"/>
      <c r="X538" s="3"/>
      <c r="Y538" s="3"/>
      <c r="Z538" s="3"/>
    </row>
    <row r="539" spans="1:26" ht="22.5" customHeight="1" x14ac:dyDescent="0.85">
      <c r="A539" s="166"/>
      <c r="B539" s="167"/>
      <c r="C539" s="167"/>
      <c r="D539" s="147"/>
      <c r="E539" s="147"/>
      <c r="F539" s="147"/>
      <c r="G539" s="147"/>
      <c r="H539" s="147"/>
      <c r="I539" s="147"/>
      <c r="J539" s="147"/>
      <c r="K539" s="3"/>
      <c r="L539" s="3"/>
      <c r="M539" s="3"/>
      <c r="N539" s="3"/>
      <c r="O539" s="3"/>
      <c r="P539" s="3"/>
      <c r="Q539" s="3"/>
      <c r="R539" s="3"/>
      <c r="S539" s="3"/>
      <c r="T539" s="3"/>
      <c r="U539" s="3"/>
      <c r="V539" s="3"/>
      <c r="W539" s="3"/>
      <c r="X539" s="3"/>
      <c r="Y539" s="3"/>
      <c r="Z539" s="3"/>
    </row>
    <row r="540" spans="1:26" ht="22.5" customHeight="1" x14ac:dyDescent="0.85">
      <c r="A540" s="166"/>
      <c r="B540" s="167"/>
      <c r="C540" s="167"/>
      <c r="D540" s="147"/>
      <c r="E540" s="147"/>
      <c r="F540" s="147"/>
      <c r="G540" s="147"/>
      <c r="H540" s="147"/>
      <c r="I540" s="147"/>
      <c r="J540" s="147"/>
      <c r="K540" s="3"/>
      <c r="L540" s="3"/>
      <c r="M540" s="3"/>
      <c r="N540" s="3"/>
      <c r="O540" s="3"/>
      <c r="P540" s="3"/>
      <c r="Q540" s="3"/>
      <c r="R540" s="3"/>
      <c r="S540" s="3"/>
      <c r="T540" s="3"/>
      <c r="U540" s="3"/>
      <c r="V540" s="3"/>
      <c r="W540" s="3"/>
      <c r="X540" s="3"/>
      <c r="Y540" s="3"/>
      <c r="Z540" s="3"/>
    </row>
    <row r="541" spans="1:26" ht="22.5" customHeight="1" x14ac:dyDescent="0.85">
      <c r="A541" s="166"/>
      <c r="B541" s="167"/>
      <c r="C541" s="167"/>
      <c r="D541" s="147"/>
      <c r="E541" s="147"/>
      <c r="F541" s="147"/>
      <c r="G541" s="147"/>
      <c r="H541" s="147"/>
      <c r="I541" s="147"/>
      <c r="J541" s="147"/>
      <c r="K541" s="3"/>
      <c r="L541" s="3"/>
      <c r="M541" s="3"/>
      <c r="N541" s="3"/>
      <c r="O541" s="3"/>
      <c r="P541" s="3"/>
      <c r="Q541" s="3"/>
      <c r="R541" s="3"/>
      <c r="S541" s="3"/>
      <c r="T541" s="3"/>
      <c r="U541" s="3"/>
      <c r="V541" s="3"/>
      <c r="W541" s="3"/>
      <c r="X541" s="3"/>
      <c r="Y541" s="3"/>
      <c r="Z541" s="3"/>
    </row>
    <row r="542" spans="1:26" ht="22.5" customHeight="1" x14ac:dyDescent="0.85">
      <c r="A542" s="166"/>
      <c r="B542" s="167"/>
      <c r="C542" s="167"/>
      <c r="D542" s="147"/>
      <c r="E542" s="147"/>
      <c r="F542" s="147"/>
      <c r="G542" s="147"/>
      <c r="H542" s="147"/>
      <c r="I542" s="147"/>
      <c r="J542" s="147"/>
      <c r="K542" s="3"/>
      <c r="L542" s="3"/>
      <c r="M542" s="3"/>
      <c r="N542" s="3"/>
      <c r="O542" s="3"/>
      <c r="P542" s="3"/>
      <c r="Q542" s="3"/>
      <c r="R542" s="3"/>
      <c r="S542" s="3"/>
      <c r="T542" s="3"/>
      <c r="U542" s="3"/>
      <c r="V542" s="3"/>
      <c r="W542" s="3"/>
      <c r="X542" s="3"/>
      <c r="Y542" s="3"/>
      <c r="Z542" s="3"/>
    </row>
    <row r="543" spans="1:26" ht="22.5" customHeight="1" x14ac:dyDescent="0.85">
      <c r="A543" s="166"/>
      <c r="B543" s="167"/>
      <c r="C543" s="167"/>
      <c r="D543" s="147"/>
      <c r="E543" s="147"/>
      <c r="F543" s="147"/>
      <c r="G543" s="147"/>
      <c r="H543" s="147"/>
      <c r="I543" s="147"/>
      <c r="J543" s="147"/>
      <c r="K543" s="3"/>
      <c r="L543" s="3"/>
      <c r="M543" s="3"/>
      <c r="N543" s="3"/>
      <c r="O543" s="3"/>
      <c r="P543" s="3"/>
      <c r="Q543" s="3"/>
      <c r="R543" s="3"/>
      <c r="S543" s="3"/>
      <c r="T543" s="3"/>
      <c r="U543" s="3"/>
      <c r="V543" s="3"/>
      <c r="W543" s="3"/>
      <c r="X543" s="3"/>
      <c r="Y543" s="3"/>
      <c r="Z543" s="3"/>
    </row>
    <row r="544" spans="1:26" ht="22.5" customHeight="1" x14ac:dyDescent="0.85">
      <c r="A544" s="166"/>
      <c r="B544" s="167"/>
      <c r="C544" s="167"/>
      <c r="D544" s="147"/>
      <c r="E544" s="147"/>
      <c r="F544" s="147"/>
      <c r="G544" s="147"/>
      <c r="H544" s="147"/>
      <c r="I544" s="147"/>
      <c r="J544" s="147"/>
      <c r="K544" s="3"/>
      <c r="L544" s="3"/>
      <c r="M544" s="3"/>
      <c r="N544" s="3"/>
      <c r="O544" s="3"/>
      <c r="P544" s="3"/>
      <c r="Q544" s="3"/>
      <c r="R544" s="3"/>
      <c r="S544" s="3"/>
      <c r="T544" s="3"/>
      <c r="U544" s="3"/>
      <c r="V544" s="3"/>
      <c r="W544" s="3"/>
      <c r="X544" s="3"/>
      <c r="Y544" s="3"/>
      <c r="Z544" s="3"/>
    </row>
    <row r="545" spans="1:26" ht="22.5" customHeight="1" x14ac:dyDescent="0.85">
      <c r="A545" s="166"/>
      <c r="B545" s="167"/>
      <c r="C545" s="167"/>
      <c r="D545" s="147"/>
      <c r="E545" s="147"/>
      <c r="F545" s="147"/>
      <c r="G545" s="147"/>
      <c r="H545" s="147"/>
      <c r="I545" s="147"/>
      <c r="J545" s="147"/>
      <c r="K545" s="3"/>
      <c r="L545" s="3"/>
      <c r="M545" s="3"/>
      <c r="N545" s="3"/>
      <c r="O545" s="3"/>
      <c r="P545" s="3"/>
      <c r="Q545" s="3"/>
      <c r="R545" s="3"/>
      <c r="S545" s="3"/>
      <c r="T545" s="3"/>
      <c r="U545" s="3"/>
      <c r="V545" s="3"/>
      <c r="W545" s="3"/>
      <c r="X545" s="3"/>
      <c r="Y545" s="3"/>
      <c r="Z545" s="3"/>
    </row>
    <row r="546" spans="1:26" ht="22.5" customHeight="1" x14ac:dyDescent="0.85">
      <c r="A546" s="166"/>
      <c r="B546" s="167"/>
      <c r="C546" s="167"/>
      <c r="D546" s="147"/>
      <c r="E546" s="147"/>
      <c r="F546" s="147"/>
      <c r="G546" s="147"/>
      <c r="H546" s="147"/>
      <c r="I546" s="147"/>
      <c r="J546" s="147"/>
      <c r="K546" s="3"/>
      <c r="L546" s="3"/>
      <c r="M546" s="3"/>
      <c r="N546" s="3"/>
      <c r="O546" s="3"/>
      <c r="P546" s="3"/>
      <c r="Q546" s="3"/>
      <c r="R546" s="3"/>
      <c r="S546" s="3"/>
      <c r="T546" s="3"/>
      <c r="U546" s="3"/>
      <c r="V546" s="3"/>
      <c r="W546" s="3"/>
      <c r="X546" s="3"/>
      <c r="Y546" s="3"/>
      <c r="Z546" s="3"/>
    </row>
    <row r="547" spans="1:26" ht="22.5" customHeight="1" x14ac:dyDescent="0.85">
      <c r="A547" s="166"/>
      <c r="B547" s="167"/>
      <c r="C547" s="167"/>
      <c r="D547" s="147"/>
      <c r="E547" s="147"/>
      <c r="F547" s="147"/>
      <c r="G547" s="147"/>
      <c r="H547" s="147"/>
      <c r="I547" s="147"/>
      <c r="J547" s="147"/>
      <c r="K547" s="3"/>
      <c r="L547" s="3"/>
      <c r="M547" s="3"/>
      <c r="N547" s="3"/>
      <c r="O547" s="3"/>
      <c r="P547" s="3"/>
      <c r="Q547" s="3"/>
      <c r="R547" s="3"/>
      <c r="S547" s="3"/>
      <c r="T547" s="3"/>
      <c r="U547" s="3"/>
      <c r="V547" s="3"/>
      <c r="W547" s="3"/>
      <c r="X547" s="3"/>
      <c r="Y547" s="3"/>
      <c r="Z547" s="3"/>
    </row>
    <row r="548" spans="1:26" ht="22.5" customHeight="1" x14ac:dyDescent="0.85">
      <c r="A548" s="166"/>
      <c r="B548" s="167"/>
      <c r="C548" s="167"/>
      <c r="D548" s="147"/>
      <c r="E548" s="147"/>
      <c r="F548" s="147"/>
      <c r="G548" s="147"/>
      <c r="H548" s="147"/>
      <c r="I548" s="147"/>
      <c r="J548" s="147"/>
      <c r="K548" s="3"/>
      <c r="L548" s="3"/>
      <c r="M548" s="3"/>
      <c r="N548" s="3"/>
      <c r="O548" s="3"/>
      <c r="P548" s="3"/>
      <c r="Q548" s="3"/>
      <c r="R548" s="3"/>
      <c r="S548" s="3"/>
      <c r="T548" s="3"/>
      <c r="U548" s="3"/>
      <c r="V548" s="3"/>
      <c r="W548" s="3"/>
      <c r="X548" s="3"/>
      <c r="Y548" s="3"/>
      <c r="Z548" s="3"/>
    </row>
    <row r="549" spans="1:26" ht="22.5" customHeight="1" x14ac:dyDescent="0.85">
      <c r="A549" s="166"/>
      <c r="B549" s="167"/>
      <c r="C549" s="167"/>
      <c r="D549" s="147"/>
      <c r="E549" s="147"/>
      <c r="F549" s="147"/>
      <c r="G549" s="147"/>
      <c r="H549" s="147"/>
      <c r="I549" s="147"/>
      <c r="J549" s="147"/>
      <c r="K549" s="3"/>
      <c r="L549" s="3"/>
      <c r="M549" s="3"/>
      <c r="N549" s="3"/>
      <c r="O549" s="3"/>
      <c r="P549" s="3"/>
      <c r="Q549" s="3"/>
      <c r="R549" s="3"/>
      <c r="S549" s="3"/>
      <c r="T549" s="3"/>
      <c r="U549" s="3"/>
      <c r="V549" s="3"/>
      <c r="W549" s="3"/>
      <c r="X549" s="3"/>
      <c r="Y549" s="3"/>
      <c r="Z549" s="3"/>
    </row>
    <row r="550" spans="1:26" ht="22.5" customHeight="1" x14ac:dyDescent="0.85">
      <c r="A550" s="166"/>
      <c r="B550" s="167"/>
      <c r="C550" s="167"/>
      <c r="D550" s="147"/>
      <c r="E550" s="147"/>
      <c r="F550" s="147"/>
      <c r="G550" s="147"/>
      <c r="H550" s="147"/>
      <c r="I550" s="147"/>
      <c r="J550" s="147"/>
      <c r="K550" s="3"/>
      <c r="L550" s="3"/>
      <c r="M550" s="3"/>
      <c r="N550" s="3"/>
      <c r="O550" s="3"/>
      <c r="P550" s="3"/>
      <c r="Q550" s="3"/>
      <c r="R550" s="3"/>
      <c r="S550" s="3"/>
      <c r="T550" s="3"/>
      <c r="U550" s="3"/>
      <c r="V550" s="3"/>
      <c r="W550" s="3"/>
      <c r="X550" s="3"/>
      <c r="Y550" s="3"/>
      <c r="Z550" s="3"/>
    </row>
    <row r="551" spans="1:26" ht="22.5" customHeight="1" x14ac:dyDescent="0.85">
      <c r="A551" s="166"/>
      <c r="B551" s="167"/>
      <c r="C551" s="167"/>
      <c r="D551" s="147"/>
      <c r="E551" s="147"/>
      <c r="F551" s="147"/>
      <c r="G551" s="147"/>
      <c r="H551" s="147"/>
      <c r="I551" s="147"/>
      <c r="J551" s="147"/>
      <c r="K551" s="3"/>
      <c r="L551" s="3"/>
      <c r="M551" s="3"/>
      <c r="N551" s="3"/>
      <c r="O551" s="3"/>
      <c r="P551" s="3"/>
      <c r="Q551" s="3"/>
      <c r="R551" s="3"/>
      <c r="S551" s="3"/>
      <c r="T551" s="3"/>
      <c r="U551" s="3"/>
      <c r="V551" s="3"/>
      <c r="W551" s="3"/>
      <c r="X551" s="3"/>
      <c r="Y551" s="3"/>
      <c r="Z551" s="3"/>
    </row>
    <row r="552" spans="1:26" ht="22.5" customHeight="1" x14ac:dyDescent="0.85">
      <c r="A552" s="166"/>
      <c r="B552" s="167"/>
      <c r="C552" s="167"/>
      <c r="D552" s="147"/>
      <c r="E552" s="147"/>
      <c r="F552" s="147"/>
      <c r="G552" s="147"/>
      <c r="H552" s="147"/>
      <c r="I552" s="147"/>
      <c r="J552" s="147"/>
      <c r="K552" s="3"/>
      <c r="L552" s="3"/>
      <c r="M552" s="3"/>
      <c r="N552" s="3"/>
      <c r="O552" s="3"/>
      <c r="P552" s="3"/>
      <c r="Q552" s="3"/>
      <c r="R552" s="3"/>
      <c r="S552" s="3"/>
      <c r="T552" s="3"/>
      <c r="U552" s="3"/>
      <c r="V552" s="3"/>
      <c r="W552" s="3"/>
      <c r="X552" s="3"/>
      <c r="Y552" s="3"/>
      <c r="Z552" s="3"/>
    </row>
    <row r="553" spans="1:26" ht="22.5" customHeight="1" x14ac:dyDescent="0.85">
      <c r="A553" s="166"/>
      <c r="B553" s="167"/>
      <c r="C553" s="167"/>
      <c r="D553" s="147"/>
      <c r="E553" s="147"/>
      <c r="F553" s="147"/>
      <c r="G553" s="147"/>
      <c r="H553" s="147"/>
      <c r="I553" s="147"/>
      <c r="J553" s="147"/>
      <c r="K553" s="3"/>
      <c r="L553" s="3"/>
      <c r="M553" s="3"/>
      <c r="N553" s="3"/>
      <c r="O553" s="3"/>
      <c r="P553" s="3"/>
      <c r="Q553" s="3"/>
      <c r="R553" s="3"/>
      <c r="S553" s="3"/>
      <c r="T553" s="3"/>
      <c r="U553" s="3"/>
      <c r="V553" s="3"/>
      <c r="W553" s="3"/>
      <c r="X553" s="3"/>
      <c r="Y553" s="3"/>
      <c r="Z553" s="3"/>
    </row>
    <row r="554" spans="1:26" ht="22.5" customHeight="1" x14ac:dyDescent="0.85">
      <c r="A554" s="166"/>
      <c r="B554" s="167"/>
      <c r="C554" s="167"/>
      <c r="D554" s="147"/>
      <c r="E554" s="147"/>
      <c r="F554" s="147"/>
      <c r="G554" s="147"/>
      <c r="H554" s="147"/>
      <c r="I554" s="147"/>
      <c r="J554" s="147"/>
      <c r="K554" s="3"/>
      <c r="L554" s="3"/>
      <c r="M554" s="3"/>
      <c r="N554" s="3"/>
      <c r="O554" s="3"/>
      <c r="P554" s="3"/>
      <c r="Q554" s="3"/>
      <c r="R554" s="3"/>
      <c r="S554" s="3"/>
      <c r="T554" s="3"/>
      <c r="U554" s="3"/>
      <c r="V554" s="3"/>
      <c r="W554" s="3"/>
      <c r="X554" s="3"/>
      <c r="Y554" s="3"/>
      <c r="Z554" s="3"/>
    </row>
    <row r="555" spans="1:26" ht="22.5" customHeight="1" x14ac:dyDescent="0.85">
      <c r="A555" s="166"/>
      <c r="B555" s="167"/>
      <c r="C555" s="167"/>
      <c r="D555" s="147"/>
      <c r="E555" s="147"/>
      <c r="F555" s="147"/>
      <c r="G555" s="147"/>
      <c r="H555" s="147"/>
      <c r="I555" s="147"/>
      <c r="J555" s="147"/>
      <c r="K555" s="3"/>
      <c r="L555" s="3"/>
      <c r="M555" s="3"/>
      <c r="N555" s="3"/>
      <c r="O555" s="3"/>
      <c r="P555" s="3"/>
      <c r="Q555" s="3"/>
      <c r="R555" s="3"/>
      <c r="S555" s="3"/>
      <c r="T555" s="3"/>
      <c r="U555" s="3"/>
      <c r="V555" s="3"/>
      <c r="W555" s="3"/>
      <c r="X555" s="3"/>
      <c r="Y555" s="3"/>
      <c r="Z555" s="3"/>
    </row>
    <row r="556" spans="1:26" ht="22.5" customHeight="1" x14ac:dyDescent="0.85">
      <c r="A556" s="166"/>
      <c r="B556" s="167"/>
      <c r="C556" s="167"/>
      <c r="D556" s="147"/>
      <c r="E556" s="147"/>
      <c r="F556" s="147"/>
      <c r="G556" s="147"/>
      <c r="H556" s="147"/>
      <c r="I556" s="147"/>
      <c r="J556" s="147"/>
      <c r="K556" s="3"/>
      <c r="L556" s="3"/>
      <c r="M556" s="3"/>
      <c r="N556" s="3"/>
      <c r="O556" s="3"/>
      <c r="P556" s="3"/>
      <c r="Q556" s="3"/>
      <c r="R556" s="3"/>
      <c r="S556" s="3"/>
      <c r="T556" s="3"/>
      <c r="U556" s="3"/>
      <c r="V556" s="3"/>
      <c r="W556" s="3"/>
      <c r="X556" s="3"/>
      <c r="Y556" s="3"/>
      <c r="Z556" s="3"/>
    </row>
    <row r="557" spans="1:26" ht="22.5" customHeight="1" x14ac:dyDescent="0.85">
      <c r="A557" s="166"/>
      <c r="B557" s="167"/>
      <c r="C557" s="167"/>
      <c r="D557" s="147"/>
      <c r="E557" s="147"/>
      <c r="F557" s="147"/>
      <c r="G557" s="147"/>
      <c r="H557" s="147"/>
      <c r="I557" s="147"/>
      <c r="J557" s="147"/>
      <c r="K557" s="3"/>
      <c r="L557" s="3"/>
      <c r="M557" s="3"/>
      <c r="N557" s="3"/>
      <c r="O557" s="3"/>
      <c r="P557" s="3"/>
      <c r="Q557" s="3"/>
      <c r="R557" s="3"/>
      <c r="S557" s="3"/>
      <c r="T557" s="3"/>
      <c r="U557" s="3"/>
      <c r="V557" s="3"/>
      <c r="W557" s="3"/>
      <c r="X557" s="3"/>
      <c r="Y557" s="3"/>
      <c r="Z557" s="3"/>
    </row>
    <row r="558" spans="1:26" ht="22.5" customHeight="1" x14ac:dyDescent="0.85">
      <c r="A558" s="166"/>
      <c r="B558" s="167"/>
      <c r="C558" s="167"/>
      <c r="D558" s="147"/>
      <c r="E558" s="147"/>
      <c r="F558" s="147"/>
      <c r="G558" s="147"/>
      <c r="H558" s="147"/>
      <c r="I558" s="147"/>
      <c r="J558" s="147"/>
      <c r="K558" s="3"/>
      <c r="L558" s="3"/>
      <c r="M558" s="3"/>
      <c r="N558" s="3"/>
      <c r="O558" s="3"/>
      <c r="P558" s="3"/>
      <c r="Q558" s="3"/>
      <c r="R558" s="3"/>
      <c r="S558" s="3"/>
      <c r="T558" s="3"/>
      <c r="U558" s="3"/>
      <c r="V558" s="3"/>
      <c r="W558" s="3"/>
      <c r="X558" s="3"/>
      <c r="Y558" s="3"/>
      <c r="Z558" s="3"/>
    </row>
    <row r="559" spans="1:26" ht="22.5" customHeight="1" x14ac:dyDescent="0.85">
      <c r="A559" s="166"/>
      <c r="B559" s="167"/>
      <c r="C559" s="167"/>
      <c r="D559" s="147"/>
      <c r="E559" s="147"/>
      <c r="F559" s="147"/>
      <c r="G559" s="147"/>
      <c r="H559" s="147"/>
      <c r="I559" s="147"/>
      <c r="J559" s="147"/>
      <c r="K559" s="3"/>
      <c r="L559" s="3"/>
      <c r="M559" s="3"/>
      <c r="N559" s="3"/>
      <c r="O559" s="3"/>
      <c r="P559" s="3"/>
      <c r="Q559" s="3"/>
      <c r="R559" s="3"/>
      <c r="S559" s="3"/>
      <c r="T559" s="3"/>
      <c r="U559" s="3"/>
      <c r="V559" s="3"/>
      <c r="W559" s="3"/>
      <c r="X559" s="3"/>
      <c r="Y559" s="3"/>
      <c r="Z559" s="3"/>
    </row>
    <row r="560" spans="1:26" ht="22.5" customHeight="1" x14ac:dyDescent="0.85">
      <c r="A560" s="166"/>
      <c r="B560" s="167"/>
      <c r="C560" s="167"/>
      <c r="D560" s="147"/>
      <c r="E560" s="147"/>
      <c r="F560" s="147"/>
      <c r="G560" s="147"/>
      <c r="H560" s="147"/>
      <c r="I560" s="147"/>
      <c r="J560" s="147"/>
      <c r="K560" s="3"/>
      <c r="L560" s="3"/>
      <c r="M560" s="3"/>
      <c r="N560" s="3"/>
      <c r="O560" s="3"/>
      <c r="P560" s="3"/>
      <c r="Q560" s="3"/>
      <c r="R560" s="3"/>
      <c r="S560" s="3"/>
      <c r="T560" s="3"/>
      <c r="U560" s="3"/>
      <c r="V560" s="3"/>
      <c r="W560" s="3"/>
      <c r="X560" s="3"/>
      <c r="Y560" s="3"/>
      <c r="Z560" s="3"/>
    </row>
    <row r="561" spans="1:26" ht="22.5" customHeight="1" x14ac:dyDescent="0.85">
      <c r="A561" s="166"/>
      <c r="B561" s="167"/>
      <c r="C561" s="167"/>
      <c r="D561" s="147"/>
      <c r="E561" s="147"/>
      <c r="F561" s="147"/>
      <c r="G561" s="147"/>
      <c r="H561" s="147"/>
      <c r="I561" s="147"/>
      <c r="J561" s="147"/>
      <c r="K561" s="3"/>
      <c r="L561" s="3"/>
      <c r="M561" s="3"/>
      <c r="N561" s="3"/>
      <c r="O561" s="3"/>
      <c r="P561" s="3"/>
      <c r="Q561" s="3"/>
      <c r="R561" s="3"/>
      <c r="S561" s="3"/>
      <c r="T561" s="3"/>
      <c r="U561" s="3"/>
      <c r="V561" s="3"/>
      <c r="W561" s="3"/>
      <c r="X561" s="3"/>
      <c r="Y561" s="3"/>
      <c r="Z561" s="3"/>
    </row>
    <row r="562" spans="1:26" ht="22.5" customHeight="1" x14ac:dyDescent="0.85">
      <c r="A562" s="166"/>
      <c r="B562" s="167"/>
      <c r="C562" s="167"/>
      <c r="D562" s="147"/>
      <c r="E562" s="147"/>
      <c r="F562" s="147"/>
      <c r="G562" s="147"/>
      <c r="H562" s="147"/>
      <c r="I562" s="147"/>
      <c r="J562" s="147"/>
      <c r="K562" s="3"/>
      <c r="L562" s="3"/>
      <c r="M562" s="3"/>
      <c r="N562" s="3"/>
      <c r="O562" s="3"/>
      <c r="P562" s="3"/>
      <c r="Q562" s="3"/>
      <c r="R562" s="3"/>
      <c r="S562" s="3"/>
      <c r="T562" s="3"/>
      <c r="U562" s="3"/>
      <c r="V562" s="3"/>
      <c r="W562" s="3"/>
      <c r="X562" s="3"/>
      <c r="Y562" s="3"/>
      <c r="Z562" s="3"/>
    </row>
    <row r="563" spans="1:26" ht="22.5" customHeight="1" x14ac:dyDescent="0.85">
      <c r="A563" s="166"/>
      <c r="B563" s="167"/>
      <c r="C563" s="167"/>
      <c r="D563" s="147"/>
      <c r="E563" s="147"/>
      <c r="F563" s="147"/>
      <c r="G563" s="147"/>
      <c r="H563" s="147"/>
      <c r="I563" s="147"/>
      <c r="J563" s="147"/>
      <c r="K563" s="3"/>
      <c r="L563" s="3"/>
      <c r="M563" s="3"/>
      <c r="N563" s="3"/>
      <c r="O563" s="3"/>
      <c r="P563" s="3"/>
      <c r="Q563" s="3"/>
      <c r="R563" s="3"/>
      <c r="S563" s="3"/>
      <c r="T563" s="3"/>
      <c r="U563" s="3"/>
      <c r="V563" s="3"/>
      <c r="W563" s="3"/>
      <c r="X563" s="3"/>
      <c r="Y563" s="3"/>
      <c r="Z563" s="3"/>
    </row>
    <row r="564" spans="1:26" ht="22.5" customHeight="1" x14ac:dyDescent="0.85">
      <c r="A564" s="166"/>
      <c r="B564" s="167"/>
      <c r="C564" s="167"/>
      <c r="D564" s="147"/>
      <c r="E564" s="147"/>
      <c r="F564" s="147"/>
      <c r="G564" s="147"/>
      <c r="H564" s="147"/>
      <c r="I564" s="147"/>
      <c r="J564" s="147"/>
      <c r="K564" s="3"/>
      <c r="L564" s="3"/>
      <c r="M564" s="3"/>
      <c r="N564" s="3"/>
      <c r="O564" s="3"/>
      <c r="P564" s="3"/>
      <c r="Q564" s="3"/>
      <c r="R564" s="3"/>
      <c r="S564" s="3"/>
      <c r="T564" s="3"/>
      <c r="U564" s="3"/>
      <c r="V564" s="3"/>
      <c r="W564" s="3"/>
      <c r="X564" s="3"/>
      <c r="Y564" s="3"/>
      <c r="Z564" s="3"/>
    </row>
    <row r="565" spans="1:26" ht="22.5" customHeight="1" x14ac:dyDescent="0.85">
      <c r="A565" s="166"/>
      <c r="B565" s="167"/>
      <c r="C565" s="167"/>
      <c r="D565" s="147"/>
      <c r="E565" s="147"/>
      <c r="F565" s="147"/>
      <c r="G565" s="147"/>
      <c r="H565" s="147"/>
      <c r="I565" s="147"/>
      <c r="J565" s="147"/>
      <c r="K565" s="3"/>
      <c r="L565" s="3"/>
      <c r="M565" s="3"/>
      <c r="N565" s="3"/>
      <c r="O565" s="3"/>
      <c r="P565" s="3"/>
      <c r="Q565" s="3"/>
      <c r="R565" s="3"/>
      <c r="S565" s="3"/>
      <c r="T565" s="3"/>
      <c r="U565" s="3"/>
      <c r="V565" s="3"/>
      <c r="W565" s="3"/>
      <c r="X565" s="3"/>
      <c r="Y565" s="3"/>
      <c r="Z565" s="3"/>
    </row>
    <row r="566" spans="1:26" ht="22.5" customHeight="1" x14ac:dyDescent="0.85">
      <c r="A566" s="166"/>
      <c r="B566" s="167"/>
      <c r="C566" s="167"/>
      <c r="D566" s="147"/>
      <c r="E566" s="147"/>
      <c r="F566" s="147"/>
      <c r="G566" s="147"/>
      <c r="H566" s="147"/>
      <c r="I566" s="147"/>
      <c r="J566" s="147"/>
      <c r="K566" s="3"/>
      <c r="L566" s="3"/>
      <c r="M566" s="3"/>
      <c r="N566" s="3"/>
      <c r="O566" s="3"/>
      <c r="P566" s="3"/>
      <c r="Q566" s="3"/>
      <c r="R566" s="3"/>
      <c r="S566" s="3"/>
      <c r="T566" s="3"/>
      <c r="U566" s="3"/>
      <c r="V566" s="3"/>
      <c r="W566" s="3"/>
      <c r="X566" s="3"/>
      <c r="Y566" s="3"/>
      <c r="Z566" s="3"/>
    </row>
    <row r="567" spans="1:26" ht="22.5" customHeight="1" x14ac:dyDescent="0.85">
      <c r="A567" s="166"/>
      <c r="B567" s="167"/>
      <c r="C567" s="167"/>
      <c r="D567" s="147"/>
      <c r="E567" s="147"/>
      <c r="F567" s="147"/>
      <c r="G567" s="147"/>
      <c r="H567" s="147"/>
      <c r="I567" s="147"/>
      <c r="J567" s="147"/>
      <c r="K567" s="3"/>
      <c r="L567" s="3"/>
      <c r="M567" s="3"/>
      <c r="N567" s="3"/>
      <c r="O567" s="3"/>
      <c r="P567" s="3"/>
      <c r="Q567" s="3"/>
      <c r="R567" s="3"/>
      <c r="S567" s="3"/>
      <c r="T567" s="3"/>
      <c r="U567" s="3"/>
      <c r="V567" s="3"/>
      <c r="W567" s="3"/>
      <c r="X567" s="3"/>
      <c r="Y567" s="3"/>
      <c r="Z567" s="3"/>
    </row>
    <row r="568" spans="1:26" ht="22.5" customHeight="1" x14ac:dyDescent="0.85">
      <c r="A568" s="166"/>
      <c r="B568" s="167"/>
      <c r="C568" s="167"/>
      <c r="D568" s="147"/>
      <c r="E568" s="147"/>
      <c r="F568" s="147"/>
      <c r="G568" s="147"/>
      <c r="H568" s="147"/>
      <c r="I568" s="147"/>
      <c r="J568" s="147"/>
      <c r="K568" s="3"/>
      <c r="L568" s="3"/>
      <c r="M568" s="3"/>
      <c r="N568" s="3"/>
      <c r="O568" s="3"/>
      <c r="P568" s="3"/>
      <c r="Q568" s="3"/>
      <c r="R568" s="3"/>
      <c r="S568" s="3"/>
      <c r="T568" s="3"/>
      <c r="U568" s="3"/>
      <c r="V568" s="3"/>
      <c r="W568" s="3"/>
      <c r="X568" s="3"/>
      <c r="Y568" s="3"/>
      <c r="Z568" s="3"/>
    </row>
    <row r="569" spans="1:26" ht="22.5" customHeight="1" x14ac:dyDescent="0.85">
      <c r="A569" s="166"/>
      <c r="B569" s="167"/>
      <c r="C569" s="167"/>
      <c r="D569" s="147"/>
      <c r="E569" s="147"/>
      <c r="F569" s="147"/>
      <c r="G569" s="147"/>
      <c r="H569" s="147"/>
      <c r="I569" s="147"/>
      <c r="J569" s="147"/>
      <c r="K569" s="3"/>
      <c r="L569" s="3"/>
      <c r="M569" s="3"/>
      <c r="N569" s="3"/>
      <c r="O569" s="3"/>
      <c r="P569" s="3"/>
      <c r="Q569" s="3"/>
      <c r="R569" s="3"/>
      <c r="S569" s="3"/>
      <c r="T569" s="3"/>
      <c r="U569" s="3"/>
      <c r="V569" s="3"/>
      <c r="W569" s="3"/>
      <c r="X569" s="3"/>
      <c r="Y569" s="3"/>
      <c r="Z569" s="3"/>
    </row>
    <row r="570" spans="1:26" ht="22.5" customHeight="1" x14ac:dyDescent="0.85">
      <c r="A570" s="166"/>
      <c r="B570" s="167"/>
      <c r="C570" s="167"/>
      <c r="D570" s="147"/>
      <c r="E570" s="147"/>
      <c r="F570" s="147"/>
      <c r="G570" s="147"/>
      <c r="H570" s="147"/>
      <c r="I570" s="147"/>
      <c r="J570" s="147"/>
      <c r="K570" s="3"/>
      <c r="L570" s="3"/>
      <c r="M570" s="3"/>
      <c r="N570" s="3"/>
      <c r="O570" s="3"/>
      <c r="P570" s="3"/>
      <c r="Q570" s="3"/>
      <c r="R570" s="3"/>
      <c r="S570" s="3"/>
      <c r="T570" s="3"/>
      <c r="U570" s="3"/>
      <c r="V570" s="3"/>
      <c r="W570" s="3"/>
      <c r="X570" s="3"/>
      <c r="Y570" s="3"/>
      <c r="Z570" s="3"/>
    </row>
    <row r="571" spans="1:26" ht="22.5" customHeight="1" x14ac:dyDescent="0.85">
      <c r="A571" s="166"/>
      <c r="B571" s="167"/>
      <c r="C571" s="167"/>
      <c r="D571" s="147"/>
      <c r="E571" s="147"/>
      <c r="F571" s="147"/>
      <c r="G571" s="147"/>
      <c r="H571" s="147"/>
      <c r="I571" s="147"/>
      <c r="J571" s="147"/>
      <c r="K571" s="3"/>
      <c r="L571" s="3"/>
      <c r="M571" s="3"/>
      <c r="N571" s="3"/>
      <c r="O571" s="3"/>
      <c r="P571" s="3"/>
      <c r="Q571" s="3"/>
      <c r="R571" s="3"/>
      <c r="S571" s="3"/>
      <c r="T571" s="3"/>
      <c r="U571" s="3"/>
      <c r="V571" s="3"/>
      <c r="W571" s="3"/>
      <c r="X571" s="3"/>
      <c r="Y571" s="3"/>
      <c r="Z571" s="3"/>
    </row>
    <row r="572" spans="1:26" ht="22.5" customHeight="1" x14ac:dyDescent="0.85">
      <c r="A572" s="166"/>
      <c r="B572" s="167"/>
      <c r="C572" s="167"/>
      <c r="D572" s="147"/>
      <c r="E572" s="147"/>
      <c r="F572" s="147"/>
      <c r="G572" s="147"/>
      <c r="H572" s="147"/>
      <c r="I572" s="147"/>
      <c r="J572" s="147"/>
      <c r="K572" s="3"/>
      <c r="L572" s="3"/>
      <c r="M572" s="3"/>
      <c r="N572" s="3"/>
      <c r="O572" s="3"/>
      <c r="P572" s="3"/>
      <c r="Q572" s="3"/>
      <c r="R572" s="3"/>
      <c r="S572" s="3"/>
      <c r="T572" s="3"/>
      <c r="U572" s="3"/>
      <c r="V572" s="3"/>
      <c r="W572" s="3"/>
      <c r="X572" s="3"/>
      <c r="Y572" s="3"/>
      <c r="Z572" s="3"/>
    </row>
    <row r="573" spans="1:26" ht="22.5" customHeight="1" x14ac:dyDescent="0.85">
      <c r="A573" s="166"/>
      <c r="B573" s="167"/>
      <c r="C573" s="167"/>
      <c r="D573" s="147"/>
      <c r="E573" s="147"/>
      <c r="F573" s="147"/>
      <c r="G573" s="147"/>
      <c r="H573" s="147"/>
      <c r="I573" s="147"/>
      <c r="J573" s="147"/>
      <c r="K573" s="3"/>
      <c r="L573" s="3"/>
      <c r="M573" s="3"/>
      <c r="N573" s="3"/>
      <c r="O573" s="3"/>
      <c r="P573" s="3"/>
      <c r="Q573" s="3"/>
      <c r="R573" s="3"/>
      <c r="S573" s="3"/>
      <c r="T573" s="3"/>
      <c r="U573" s="3"/>
      <c r="V573" s="3"/>
      <c r="W573" s="3"/>
      <c r="X573" s="3"/>
      <c r="Y573" s="3"/>
      <c r="Z573" s="3"/>
    </row>
    <row r="574" spans="1:26" ht="22.5" customHeight="1" x14ac:dyDescent="0.85">
      <c r="A574" s="166"/>
      <c r="B574" s="167"/>
      <c r="C574" s="167"/>
      <c r="D574" s="147"/>
      <c r="E574" s="147"/>
      <c r="F574" s="147"/>
      <c r="G574" s="147"/>
      <c r="H574" s="147"/>
      <c r="I574" s="147"/>
      <c r="J574" s="147"/>
      <c r="K574" s="3"/>
      <c r="L574" s="3"/>
      <c r="M574" s="3"/>
      <c r="N574" s="3"/>
      <c r="O574" s="3"/>
      <c r="P574" s="3"/>
      <c r="Q574" s="3"/>
      <c r="R574" s="3"/>
      <c r="S574" s="3"/>
      <c r="T574" s="3"/>
      <c r="U574" s="3"/>
      <c r="V574" s="3"/>
      <c r="W574" s="3"/>
      <c r="X574" s="3"/>
      <c r="Y574" s="3"/>
      <c r="Z574" s="3"/>
    </row>
    <row r="575" spans="1:26" ht="22.5" customHeight="1" x14ac:dyDescent="0.85">
      <c r="A575" s="166"/>
      <c r="B575" s="167"/>
      <c r="C575" s="167"/>
      <c r="D575" s="147"/>
      <c r="E575" s="147"/>
      <c r="F575" s="147"/>
      <c r="G575" s="147"/>
      <c r="H575" s="147"/>
      <c r="I575" s="147"/>
      <c r="J575" s="147"/>
      <c r="K575" s="3"/>
      <c r="L575" s="3"/>
      <c r="M575" s="3"/>
      <c r="N575" s="3"/>
      <c r="O575" s="3"/>
      <c r="P575" s="3"/>
      <c r="Q575" s="3"/>
      <c r="R575" s="3"/>
      <c r="S575" s="3"/>
      <c r="T575" s="3"/>
      <c r="U575" s="3"/>
      <c r="V575" s="3"/>
      <c r="W575" s="3"/>
      <c r="X575" s="3"/>
      <c r="Y575" s="3"/>
      <c r="Z575" s="3"/>
    </row>
    <row r="576" spans="1:26" ht="22.5" customHeight="1" x14ac:dyDescent="0.85">
      <c r="A576" s="166"/>
      <c r="B576" s="167"/>
      <c r="C576" s="167"/>
      <c r="D576" s="147"/>
      <c r="E576" s="147"/>
      <c r="F576" s="147"/>
      <c r="G576" s="147"/>
      <c r="H576" s="147"/>
      <c r="I576" s="147"/>
      <c r="J576" s="147"/>
      <c r="K576" s="3"/>
      <c r="L576" s="3"/>
      <c r="M576" s="3"/>
      <c r="N576" s="3"/>
      <c r="O576" s="3"/>
      <c r="P576" s="3"/>
      <c r="Q576" s="3"/>
      <c r="R576" s="3"/>
      <c r="S576" s="3"/>
      <c r="T576" s="3"/>
      <c r="U576" s="3"/>
      <c r="V576" s="3"/>
      <c r="W576" s="3"/>
      <c r="X576" s="3"/>
      <c r="Y576" s="3"/>
      <c r="Z576" s="3"/>
    </row>
    <row r="577" spans="1:26" ht="22.5" customHeight="1" x14ac:dyDescent="0.85">
      <c r="A577" s="166"/>
      <c r="B577" s="167"/>
      <c r="C577" s="167"/>
      <c r="D577" s="147"/>
      <c r="E577" s="147"/>
      <c r="F577" s="147"/>
      <c r="G577" s="147"/>
      <c r="H577" s="147"/>
      <c r="I577" s="147"/>
      <c r="J577" s="147"/>
      <c r="K577" s="3"/>
      <c r="L577" s="3"/>
      <c r="M577" s="3"/>
      <c r="N577" s="3"/>
      <c r="O577" s="3"/>
      <c r="P577" s="3"/>
      <c r="Q577" s="3"/>
      <c r="R577" s="3"/>
      <c r="S577" s="3"/>
      <c r="T577" s="3"/>
      <c r="U577" s="3"/>
      <c r="V577" s="3"/>
      <c r="W577" s="3"/>
      <c r="X577" s="3"/>
      <c r="Y577" s="3"/>
      <c r="Z577" s="3"/>
    </row>
    <row r="578" spans="1:26" ht="22.5" customHeight="1" x14ac:dyDescent="0.85">
      <c r="A578" s="166"/>
      <c r="B578" s="167"/>
      <c r="C578" s="167"/>
      <c r="D578" s="147"/>
      <c r="E578" s="147"/>
      <c r="F578" s="147"/>
      <c r="G578" s="147"/>
      <c r="H578" s="147"/>
      <c r="I578" s="147"/>
      <c r="J578" s="147"/>
      <c r="K578" s="3"/>
      <c r="L578" s="3"/>
      <c r="M578" s="3"/>
      <c r="N578" s="3"/>
      <c r="O578" s="3"/>
      <c r="P578" s="3"/>
      <c r="Q578" s="3"/>
      <c r="R578" s="3"/>
      <c r="S578" s="3"/>
      <c r="T578" s="3"/>
      <c r="U578" s="3"/>
      <c r="V578" s="3"/>
      <c r="W578" s="3"/>
      <c r="X578" s="3"/>
      <c r="Y578" s="3"/>
      <c r="Z578" s="3"/>
    </row>
    <row r="579" spans="1:26" ht="22.5" customHeight="1" x14ac:dyDescent="0.85">
      <c r="A579" s="166"/>
      <c r="B579" s="167"/>
      <c r="C579" s="167"/>
      <c r="D579" s="147"/>
      <c r="E579" s="147"/>
      <c r="F579" s="147"/>
      <c r="G579" s="147"/>
      <c r="H579" s="147"/>
      <c r="I579" s="147"/>
      <c r="J579" s="147"/>
      <c r="K579" s="3"/>
      <c r="L579" s="3"/>
      <c r="M579" s="3"/>
      <c r="N579" s="3"/>
      <c r="O579" s="3"/>
      <c r="P579" s="3"/>
      <c r="Q579" s="3"/>
      <c r="R579" s="3"/>
      <c r="S579" s="3"/>
      <c r="T579" s="3"/>
      <c r="U579" s="3"/>
      <c r="V579" s="3"/>
      <c r="W579" s="3"/>
      <c r="X579" s="3"/>
      <c r="Y579" s="3"/>
      <c r="Z579" s="3"/>
    </row>
    <row r="580" spans="1:26" ht="22.5" customHeight="1" x14ac:dyDescent="0.85">
      <c r="A580" s="166"/>
      <c r="B580" s="167"/>
      <c r="C580" s="167"/>
      <c r="D580" s="147"/>
      <c r="E580" s="147"/>
      <c r="F580" s="147"/>
      <c r="G580" s="147"/>
      <c r="H580" s="147"/>
      <c r="I580" s="147"/>
      <c r="J580" s="147"/>
      <c r="K580" s="3"/>
      <c r="L580" s="3"/>
      <c r="M580" s="3"/>
      <c r="N580" s="3"/>
      <c r="O580" s="3"/>
      <c r="P580" s="3"/>
      <c r="Q580" s="3"/>
      <c r="R580" s="3"/>
      <c r="S580" s="3"/>
      <c r="T580" s="3"/>
      <c r="U580" s="3"/>
      <c r="V580" s="3"/>
      <c r="W580" s="3"/>
      <c r="X580" s="3"/>
      <c r="Y580" s="3"/>
      <c r="Z580" s="3"/>
    </row>
    <row r="581" spans="1:26" ht="22.5" customHeight="1" x14ac:dyDescent="0.85">
      <c r="A581" s="166"/>
      <c r="B581" s="167"/>
      <c r="C581" s="167"/>
      <c r="D581" s="147"/>
      <c r="E581" s="147"/>
      <c r="F581" s="147"/>
      <c r="G581" s="147"/>
      <c r="H581" s="147"/>
      <c r="I581" s="147"/>
      <c r="J581" s="147"/>
      <c r="K581" s="3"/>
      <c r="L581" s="3"/>
      <c r="M581" s="3"/>
      <c r="N581" s="3"/>
      <c r="O581" s="3"/>
      <c r="P581" s="3"/>
      <c r="Q581" s="3"/>
      <c r="R581" s="3"/>
      <c r="S581" s="3"/>
      <c r="T581" s="3"/>
      <c r="U581" s="3"/>
      <c r="V581" s="3"/>
      <c r="W581" s="3"/>
      <c r="X581" s="3"/>
      <c r="Y581" s="3"/>
      <c r="Z581" s="3"/>
    </row>
    <row r="582" spans="1:26" ht="22.5" customHeight="1" x14ac:dyDescent="0.85">
      <c r="A582" s="166"/>
      <c r="B582" s="167"/>
      <c r="C582" s="167"/>
      <c r="D582" s="147"/>
      <c r="E582" s="147"/>
      <c r="F582" s="147"/>
      <c r="G582" s="147"/>
      <c r="H582" s="147"/>
      <c r="I582" s="147"/>
      <c r="J582" s="147"/>
      <c r="K582" s="3"/>
      <c r="L582" s="3"/>
      <c r="M582" s="3"/>
      <c r="N582" s="3"/>
      <c r="O582" s="3"/>
      <c r="P582" s="3"/>
      <c r="Q582" s="3"/>
      <c r="R582" s="3"/>
      <c r="S582" s="3"/>
      <c r="T582" s="3"/>
      <c r="U582" s="3"/>
      <c r="V582" s="3"/>
      <c r="W582" s="3"/>
      <c r="X582" s="3"/>
      <c r="Y582" s="3"/>
      <c r="Z582" s="3"/>
    </row>
    <row r="583" spans="1:26" ht="22.5" customHeight="1" x14ac:dyDescent="0.85">
      <c r="A583" s="166"/>
      <c r="B583" s="167"/>
      <c r="C583" s="167"/>
      <c r="D583" s="147"/>
      <c r="E583" s="147"/>
      <c r="F583" s="147"/>
      <c r="G583" s="147"/>
      <c r="H583" s="147"/>
      <c r="I583" s="147"/>
      <c r="J583" s="147"/>
      <c r="K583" s="3"/>
      <c r="L583" s="3"/>
      <c r="M583" s="3"/>
      <c r="N583" s="3"/>
      <c r="O583" s="3"/>
      <c r="P583" s="3"/>
      <c r="Q583" s="3"/>
      <c r="R583" s="3"/>
      <c r="S583" s="3"/>
      <c r="T583" s="3"/>
      <c r="U583" s="3"/>
      <c r="V583" s="3"/>
      <c r="W583" s="3"/>
      <c r="X583" s="3"/>
      <c r="Y583" s="3"/>
      <c r="Z583" s="3"/>
    </row>
    <row r="584" spans="1:26" ht="22.5" customHeight="1" x14ac:dyDescent="0.85">
      <c r="A584" s="166"/>
      <c r="B584" s="167"/>
      <c r="C584" s="167"/>
      <c r="D584" s="147"/>
      <c r="E584" s="147"/>
      <c r="F584" s="147"/>
      <c r="G584" s="147"/>
      <c r="H584" s="147"/>
      <c r="I584" s="147"/>
      <c r="J584" s="147"/>
      <c r="K584" s="3"/>
      <c r="L584" s="3"/>
      <c r="M584" s="3"/>
      <c r="N584" s="3"/>
      <c r="O584" s="3"/>
      <c r="P584" s="3"/>
      <c r="Q584" s="3"/>
      <c r="R584" s="3"/>
      <c r="S584" s="3"/>
      <c r="T584" s="3"/>
      <c r="U584" s="3"/>
      <c r="V584" s="3"/>
      <c r="W584" s="3"/>
      <c r="X584" s="3"/>
      <c r="Y584" s="3"/>
      <c r="Z584" s="3"/>
    </row>
    <row r="585" spans="1:26" ht="22.5" customHeight="1" x14ac:dyDescent="0.85">
      <c r="A585" s="166"/>
      <c r="B585" s="167"/>
      <c r="C585" s="167"/>
      <c r="D585" s="147"/>
      <c r="E585" s="147"/>
      <c r="F585" s="147"/>
      <c r="G585" s="147"/>
      <c r="H585" s="147"/>
      <c r="I585" s="147"/>
      <c r="J585" s="147"/>
      <c r="K585" s="3"/>
      <c r="L585" s="3"/>
      <c r="M585" s="3"/>
      <c r="N585" s="3"/>
      <c r="O585" s="3"/>
      <c r="P585" s="3"/>
      <c r="Q585" s="3"/>
      <c r="R585" s="3"/>
      <c r="S585" s="3"/>
      <c r="T585" s="3"/>
      <c r="U585" s="3"/>
      <c r="V585" s="3"/>
      <c r="W585" s="3"/>
      <c r="X585" s="3"/>
      <c r="Y585" s="3"/>
      <c r="Z585" s="3"/>
    </row>
    <row r="586" spans="1:26" ht="22.5" customHeight="1" x14ac:dyDescent="0.85">
      <c r="A586" s="166"/>
      <c r="B586" s="167"/>
      <c r="C586" s="167"/>
      <c r="D586" s="147"/>
      <c r="E586" s="147"/>
      <c r="F586" s="147"/>
      <c r="G586" s="147"/>
      <c r="H586" s="147"/>
      <c r="I586" s="147"/>
      <c r="J586" s="147"/>
      <c r="K586" s="3"/>
      <c r="L586" s="3"/>
      <c r="M586" s="3"/>
      <c r="N586" s="3"/>
      <c r="O586" s="3"/>
      <c r="P586" s="3"/>
      <c r="Q586" s="3"/>
      <c r="R586" s="3"/>
      <c r="S586" s="3"/>
      <c r="T586" s="3"/>
      <c r="U586" s="3"/>
      <c r="V586" s="3"/>
      <c r="W586" s="3"/>
      <c r="X586" s="3"/>
      <c r="Y586" s="3"/>
      <c r="Z586" s="3"/>
    </row>
    <row r="587" spans="1:26" ht="22.5" customHeight="1" x14ac:dyDescent="0.85">
      <c r="A587" s="166"/>
      <c r="B587" s="167"/>
      <c r="C587" s="167"/>
      <c r="D587" s="147"/>
      <c r="E587" s="147"/>
      <c r="F587" s="147"/>
      <c r="G587" s="147"/>
      <c r="H587" s="147"/>
      <c r="I587" s="147"/>
      <c r="J587" s="147"/>
      <c r="K587" s="3"/>
      <c r="L587" s="3"/>
      <c r="M587" s="3"/>
      <c r="N587" s="3"/>
      <c r="O587" s="3"/>
      <c r="P587" s="3"/>
      <c r="Q587" s="3"/>
      <c r="R587" s="3"/>
      <c r="S587" s="3"/>
      <c r="T587" s="3"/>
      <c r="U587" s="3"/>
      <c r="V587" s="3"/>
      <c r="W587" s="3"/>
      <c r="X587" s="3"/>
      <c r="Y587" s="3"/>
      <c r="Z587" s="3"/>
    </row>
    <row r="588" spans="1:26" ht="22.5" customHeight="1" x14ac:dyDescent="0.85">
      <c r="A588" s="166"/>
      <c r="B588" s="167"/>
      <c r="C588" s="167"/>
      <c r="D588" s="147"/>
      <c r="E588" s="147"/>
      <c r="F588" s="147"/>
      <c r="G588" s="147"/>
      <c r="H588" s="147"/>
      <c r="I588" s="147"/>
      <c r="J588" s="147"/>
      <c r="K588" s="3"/>
      <c r="L588" s="3"/>
      <c r="M588" s="3"/>
      <c r="N588" s="3"/>
      <c r="O588" s="3"/>
      <c r="P588" s="3"/>
      <c r="Q588" s="3"/>
      <c r="R588" s="3"/>
      <c r="S588" s="3"/>
      <c r="T588" s="3"/>
      <c r="U588" s="3"/>
      <c r="V588" s="3"/>
      <c r="W588" s="3"/>
      <c r="X588" s="3"/>
      <c r="Y588" s="3"/>
      <c r="Z588" s="3"/>
    </row>
    <row r="589" spans="1:26" ht="22.5" customHeight="1" x14ac:dyDescent="0.85">
      <c r="A589" s="166"/>
      <c r="B589" s="167"/>
      <c r="C589" s="167"/>
      <c r="D589" s="147"/>
      <c r="E589" s="147"/>
      <c r="F589" s="147"/>
      <c r="G589" s="147"/>
      <c r="H589" s="147"/>
      <c r="I589" s="147"/>
      <c r="J589" s="147"/>
      <c r="K589" s="3"/>
      <c r="L589" s="3"/>
      <c r="M589" s="3"/>
      <c r="N589" s="3"/>
      <c r="O589" s="3"/>
      <c r="P589" s="3"/>
      <c r="Q589" s="3"/>
      <c r="R589" s="3"/>
      <c r="S589" s="3"/>
      <c r="T589" s="3"/>
      <c r="U589" s="3"/>
      <c r="V589" s="3"/>
      <c r="W589" s="3"/>
      <c r="X589" s="3"/>
      <c r="Y589" s="3"/>
      <c r="Z589" s="3"/>
    </row>
    <row r="590" spans="1:26" ht="22.5" customHeight="1" x14ac:dyDescent="0.85">
      <c r="A590" s="166"/>
      <c r="B590" s="167"/>
      <c r="C590" s="167"/>
      <c r="D590" s="147"/>
      <c r="E590" s="147"/>
      <c r="F590" s="147"/>
      <c r="G590" s="147"/>
      <c r="H590" s="147"/>
      <c r="I590" s="147"/>
      <c r="J590" s="147"/>
      <c r="K590" s="3"/>
      <c r="L590" s="3"/>
      <c r="M590" s="3"/>
      <c r="N590" s="3"/>
      <c r="O590" s="3"/>
      <c r="P590" s="3"/>
      <c r="Q590" s="3"/>
      <c r="R590" s="3"/>
      <c r="S590" s="3"/>
      <c r="T590" s="3"/>
      <c r="U590" s="3"/>
      <c r="V590" s="3"/>
      <c r="W590" s="3"/>
      <c r="X590" s="3"/>
      <c r="Y590" s="3"/>
      <c r="Z590" s="3"/>
    </row>
    <row r="591" spans="1:26" ht="22.5" customHeight="1" x14ac:dyDescent="0.85">
      <c r="A591" s="166"/>
      <c r="B591" s="167"/>
      <c r="C591" s="167"/>
      <c r="D591" s="147"/>
      <c r="E591" s="147"/>
      <c r="F591" s="147"/>
      <c r="G591" s="147"/>
      <c r="H591" s="147"/>
      <c r="I591" s="147"/>
      <c r="J591" s="147"/>
      <c r="K591" s="3"/>
      <c r="L591" s="3"/>
      <c r="M591" s="3"/>
      <c r="N591" s="3"/>
      <c r="O591" s="3"/>
      <c r="P591" s="3"/>
      <c r="Q591" s="3"/>
      <c r="R591" s="3"/>
      <c r="S591" s="3"/>
      <c r="T591" s="3"/>
      <c r="U591" s="3"/>
      <c r="V591" s="3"/>
      <c r="W591" s="3"/>
      <c r="X591" s="3"/>
      <c r="Y591" s="3"/>
      <c r="Z591" s="3"/>
    </row>
    <row r="592" spans="1:26" ht="22.5" customHeight="1" x14ac:dyDescent="0.85">
      <c r="A592" s="166"/>
      <c r="B592" s="167"/>
      <c r="C592" s="167"/>
      <c r="D592" s="147"/>
      <c r="E592" s="147"/>
      <c r="F592" s="147"/>
      <c r="G592" s="147"/>
      <c r="H592" s="147"/>
      <c r="I592" s="147"/>
      <c r="J592" s="147"/>
      <c r="K592" s="3"/>
      <c r="L592" s="3"/>
      <c r="M592" s="3"/>
      <c r="N592" s="3"/>
      <c r="O592" s="3"/>
      <c r="P592" s="3"/>
      <c r="Q592" s="3"/>
      <c r="R592" s="3"/>
      <c r="S592" s="3"/>
      <c r="T592" s="3"/>
      <c r="U592" s="3"/>
      <c r="V592" s="3"/>
      <c r="W592" s="3"/>
      <c r="X592" s="3"/>
      <c r="Y592" s="3"/>
      <c r="Z592" s="3"/>
    </row>
    <row r="593" spans="1:26" ht="22.5" customHeight="1" x14ac:dyDescent="0.85">
      <c r="A593" s="166"/>
      <c r="B593" s="167"/>
      <c r="C593" s="167"/>
      <c r="D593" s="147"/>
      <c r="E593" s="147"/>
      <c r="F593" s="147"/>
      <c r="G593" s="147"/>
      <c r="H593" s="147"/>
      <c r="I593" s="147"/>
      <c r="J593" s="147"/>
      <c r="K593" s="3"/>
      <c r="L593" s="3"/>
      <c r="M593" s="3"/>
      <c r="N593" s="3"/>
      <c r="O593" s="3"/>
      <c r="P593" s="3"/>
      <c r="Q593" s="3"/>
      <c r="R593" s="3"/>
      <c r="S593" s="3"/>
      <c r="T593" s="3"/>
      <c r="U593" s="3"/>
      <c r="V593" s="3"/>
      <c r="W593" s="3"/>
      <c r="X593" s="3"/>
      <c r="Y593" s="3"/>
      <c r="Z593" s="3"/>
    </row>
    <row r="594" spans="1:26" ht="22.5" customHeight="1" x14ac:dyDescent="0.85">
      <c r="A594" s="166"/>
      <c r="B594" s="167"/>
      <c r="C594" s="167"/>
      <c r="D594" s="147"/>
      <c r="E594" s="147"/>
      <c r="F594" s="147"/>
      <c r="G594" s="147"/>
      <c r="H594" s="147"/>
      <c r="I594" s="147"/>
      <c r="J594" s="147"/>
      <c r="K594" s="3"/>
      <c r="L594" s="3"/>
      <c r="M594" s="3"/>
      <c r="N594" s="3"/>
      <c r="O594" s="3"/>
      <c r="P594" s="3"/>
      <c r="Q594" s="3"/>
      <c r="R594" s="3"/>
      <c r="S594" s="3"/>
      <c r="T594" s="3"/>
      <c r="U594" s="3"/>
      <c r="V594" s="3"/>
      <c r="W594" s="3"/>
      <c r="X594" s="3"/>
      <c r="Y594" s="3"/>
      <c r="Z594" s="3"/>
    </row>
    <row r="595" spans="1:26" ht="22.5" customHeight="1" x14ac:dyDescent="0.85">
      <c r="A595" s="166"/>
      <c r="B595" s="167"/>
      <c r="C595" s="167"/>
      <c r="D595" s="147"/>
      <c r="E595" s="147"/>
      <c r="F595" s="147"/>
      <c r="G595" s="147"/>
      <c r="H595" s="147"/>
      <c r="I595" s="147"/>
      <c r="J595" s="147"/>
      <c r="K595" s="3"/>
      <c r="L595" s="3"/>
      <c r="M595" s="3"/>
      <c r="N595" s="3"/>
      <c r="O595" s="3"/>
      <c r="P595" s="3"/>
      <c r="Q595" s="3"/>
      <c r="R595" s="3"/>
      <c r="S595" s="3"/>
      <c r="T595" s="3"/>
      <c r="U595" s="3"/>
      <c r="V595" s="3"/>
      <c r="W595" s="3"/>
      <c r="X595" s="3"/>
      <c r="Y595" s="3"/>
      <c r="Z595" s="3"/>
    </row>
    <row r="596" spans="1:26" ht="22.5" customHeight="1" x14ac:dyDescent="0.85">
      <c r="A596" s="166"/>
      <c r="B596" s="167"/>
      <c r="C596" s="167"/>
      <c r="D596" s="147"/>
      <c r="E596" s="147"/>
      <c r="F596" s="147"/>
      <c r="G596" s="147"/>
      <c r="H596" s="147"/>
      <c r="I596" s="147"/>
      <c r="J596" s="147"/>
      <c r="K596" s="3"/>
      <c r="L596" s="3"/>
      <c r="M596" s="3"/>
      <c r="N596" s="3"/>
      <c r="O596" s="3"/>
      <c r="P596" s="3"/>
      <c r="Q596" s="3"/>
      <c r="R596" s="3"/>
      <c r="S596" s="3"/>
      <c r="T596" s="3"/>
      <c r="U596" s="3"/>
      <c r="V596" s="3"/>
      <c r="W596" s="3"/>
      <c r="X596" s="3"/>
      <c r="Y596" s="3"/>
      <c r="Z596" s="3"/>
    </row>
    <row r="597" spans="1:26" ht="22.5" customHeight="1" x14ac:dyDescent="0.85">
      <c r="A597" s="166"/>
      <c r="B597" s="167"/>
      <c r="C597" s="167"/>
      <c r="D597" s="147"/>
      <c r="E597" s="147"/>
      <c r="F597" s="147"/>
      <c r="G597" s="147"/>
      <c r="H597" s="147"/>
      <c r="I597" s="147"/>
      <c r="J597" s="147"/>
      <c r="K597" s="3"/>
      <c r="L597" s="3"/>
      <c r="M597" s="3"/>
      <c r="N597" s="3"/>
      <c r="O597" s="3"/>
      <c r="P597" s="3"/>
      <c r="Q597" s="3"/>
      <c r="R597" s="3"/>
      <c r="S597" s="3"/>
      <c r="T597" s="3"/>
      <c r="U597" s="3"/>
      <c r="V597" s="3"/>
      <c r="W597" s="3"/>
      <c r="X597" s="3"/>
      <c r="Y597" s="3"/>
      <c r="Z597" s="3"/>
    </row>
    <row r="598" spans="1:26" ht="22.5" customHeight="1" x14ac:dyDescent="0.85">
      <c r="A598" s="166"/>
      <c r="B598" s="167"/>
      <c r="C598" s="167"/>
      <c r="D598" s="147"/>
      <c r="E598" s="147"/>
      <c r="F598" s="147"/>
      <c r="G598" s="147"/>
      <c r="H598" s="147"/>
      <c r="I598" s="147"/>
      <c r="J598" s="147"/>
      <c r="K598" s="3"/>
      <c r="L598" s="3"/>
      <c r="M598" s="3"/>
      <c r="N598" s="3"/>
      <c r="O598" s="3"/>
      <c r="P598" s="3"/>
      <c r="Q598" s="3"/>
      <c r="R598" s="3"/>
      <c r="S598" s="3"/>
      <c r="T598" s="3"/>
      <c r="U598" s="3"/>
      <c r="V598" s="3"/>
      <c r="W598" s="3"/>
      <c r="X598" s="3"/>
      <c r="Y598" s="3"/>
      <c r="Z598" s="3"/>
    </row>
    <row r="599" spans="1:26" ht="22.5" customHeight="1" x14ac:dyDescent="0.85">
      <c r="A599" s="166"/>
      <c r="B599" s="167"/>
      <c r="C599" s="167"/>
      <c r="D599" s="147"/>
      <c r="E599" s="147"/>
      <c r="F599" s="147"/>
      <c r="G599" s="147"/>
      <c r="H599" s="147"/>
      <c r="I599" s="147"/>
      <c r="J599" s="147"/>
      <c r="K599" s="3"/>
      <c r="L599" s="3"/>
      <c r="M599" s="3"/>
      <c r="N599" s="3"/>
      <c r="O599" s="3"/>
      <c r="P599" s="3"/>
      <c r="Q599" s="3"/>
      <c r="R599" s="3"/>
      <c r="S599" s="3"/>
      <c r="T599" s="3"/>
      <c r="U599" s="3"/>
      <c r="V599" s="3"/>
      <c r="W599" s="3"/>
      <c r="X599" s="3"/>
      <c r="Y599" s="3"/>
      <c r="Z599" s="3"/>
    </row>
    <row r="600" spans="1:26" ht="22.5" customHeight="1" x14ac:dyDescent="0.85">
      <c r="A600" s="166"/>
      <c r="B600" s="167"/>
      <c r="C600" s="167"/>
      <c r="D600" s="147"/>
      <c r="E600" s="147"/>
      <c r="F600" s="147"/>
      <c r="G600" s="147"/>
      <c r="H600" s="147"/>
      <c r="I600" s="147"/>
      <c r="J600" s="147"/>
      <c r="K600" s="3"/>
      <c r="L600" s="3"/>
      <c r="M600" s="3"/>
      <c r="N600" s="3"/>
      <c r="O600" s="3"/>
      <c r="P600" s="3"/>
      <c r="Q600" s="3"/>
      <c r="R600" s="3"/>
      <c r="S600" s="3"/>
      <c r="T600" s="3"/>
      <c r="U600" s="3"/>
      <c r="V600" s="3"/>
      <c r="W600" s="3"/>
      <c r="X600" s="3"/>
      <c r="Y600" s="3"/>
      <c r="Z600" s="3"/>
    </row>
    <row r="601" spans="1:26" ht="22.5" customHeight="1" x14ac:dyDescent="0.85">
      <c r="A601" s="166"/>
      <c r="B601" s="167"/>
      <c r="C601" s="167"/>
      <c r="D601" s="147"/>
      <c r="E601" s="147"/>
      <c r="F601" s="147"/>
      <c r="G601" s="147"/>
      <c r="H601" s="147"/>
      <c r="I601" s="147"/>
      <c r="J601" s="147"/>
      <c r="K601" s="3"/>
      <c r="L601" s="3"/>
      <c r="M601" s="3"/>
      <c r="N601" s="3"/>
      <c r="O601" s="3"/>
      <c r="P601" s="3"/>
      <c r="Q601" s="3"/>
      <c r="R601" s="3"/>
      <c r="S601" s="3"/>
      <c r="T601" s="3"/>
      <c r="U601" s="3"/>
      <c r="V601" s="3"/>
      <c r="W601" s="3"/>
      <c r="X601" s="3"/>
      <c r="Y601" s="3"/>
      <c r="Z601" s="3"/>
    </row>
    <row r="602" spans="1:26" ht="22.5" customHeight="1" x14ac:dyDescent="0.85">
      <c r="A602" s="166"/>
      <c r="B602" s="167"/>
      <c r="C602" s="167"/>
      <c r="D602" s="147"/>
      <c r="E602" s="147"/>
      <c r="F602" s="147"/>
      <c r="G602" s="147"/>
      <c r="H602" s="147"/>
      <c r="I602" s="147"/>
      <c r="J602" s="147"/>
      <c r="K602" s="3"/>
      <c r="L602" s="3"/>
      <c r="M602" s="3"/>
      <c r="N602" s="3"/>
      <c r="O602" s="3"/>
      <c r="P602" s="3"/>
      <c r="Q602" s="3"/>
      <c r="R602" s="3"/>
      <c r="S602" s="3"/>
      <c r="T602" s="3"/>
      <c r="U602" s="3"/>
      <c r="V602" s="3"/>
      <c r="W602" s="3"/>
      <c r="X602" s="3"/>
      <c r="Y602" s="3"/>
      <c r="Z602" s="3"/>
    </row>
    <row r="603" spans="1:26" ht="22.5" customHeight="1" x14ac:dyDescent="0.85">
      <c r="A603" s="166"/>
      <c r="B603" s="167"/>
      <c r="C603" s="167"/>
      <c r="D603" s="147"/>
      <c r="E603" s="147"/>
      <c r="F603" s="147"/>
      <c r="G603" s="147"/>
      <c r="H603" s="147"/>
      <c r="I603" s="147"/>
      <c r="J603" s="147"/>
      <c r="K603" s="3"/>
      <c r="L603" s="3"/>
      <c r="M603" s="3"/>
      <c r="N603" s="3"/>
      <c r="O603" s="3"/>
      <c r="P603" s="3"/>
      <c r="Q603" s="3"/>
      <c r="R603" s="3"/>
      <c r="S603" s="3"/>
      <c r="T603" s="3"/>
      <c r="U603" s="3"/>
      <c r="V603" s="3"/>
      <c r="W603" s="3"/>
      <c r="X603" s="3"/>
      <c r="Y603" s="3"/>
      <c r="Z603" s="3"/>
    </row>
    <row r="604" spans="1:26" ht="22.5" customHeight="1" x14ac:dyDescent="0.85">
      <c r="A604" s="166"/>
      <c r="B604" s="167"/>
      <c r="C604" s="167"/>
      <c r="D604" s="147"/>
      <c r="E604" s="147"/>
      <c r="F604" s="147"/>
      <c r="G604" s="147"/>
      <c r="H604" s="147"/>
      <c r="I604" s="147"/>
      <c r="J604" s="147"/>
      <c r="K604" s="3"/>
      <c r="L604" s="3"/>
      <c r="M604" s="3"/>
      <c r="N604" s="3"/>
      <c r="O604" s="3"/>
      <c r="P604" s="3"/>
      <c r="Q604" s="3"/>
      <c r="R604" s="3"/>
      <c r="S604" s="3"/>
      <c r="T604" s="3"/>
      <c r="U604" s="3"/>
      <c r="V604" s="3"/>
      <c r="W604" s="3"/>
      <c r="X604" s="3"/>
      <c r="Y604" s="3"/>
      <c r="Z604" s="3"/>
    </row>
    <row r="605" spans="1:26" ht="22.5" customHeight="1" x14ac:dyDescent="0.85">
      <c r="A605" s="166"/>
      <c r="B605" s="167"/>
      <c r="C605" s="167"/>
      <c r="D605" s="147"/>
      <c r="E605" s="147"/>
      <c r="F605" s="147"/>
      <c r="G605" s="147"/>
      <c r="H605" s="147"/>
      <c r="I605" s="147"/>
      <c r="J605" s="147"/>
      <c r="K605" s="3"/>
      <c r="L605" s="3"/>
      <c r="M605" s="3"/>
      <c r="N605" s="3"/>
      <c r="O605" s="3"/>
      <c r="P605" s="3"/>
      <c r="Q605" s="3"/>
      <c r="R605" s="3"/>
      <c r="S605" s="3"/>
      <c r="T605" s="3"/>
      <c r="U605" s="3"/>
      <c r="V605" s="3"/>
      <c r="W605" s="3"/>
      <c r="X605" s="3"/>
      <c r="Y605" s="3"/>
      <c r="Z605" s="3"/>
    </row>
    <row r="606" spans="1:26" ht="22.5" customHeight="1" x14ac:dyDescent="0.85">
      <c r="A606" s="166"/>
      <c r="B606" s="167"/>
      <c r="C606" s="167"/>
      <c r="D606" s="147"/>
      <c r="E606" s="147"/>
      <c r="F606" s="147"/>
      <c r="G606" s="147"/>
      <c r="H606" s="147"/>
      <c r="I606" s="147"/>
      <c r="J606" s="147"/>
      <c r="K606" s="3"/>
      <c r="L606" s="3"/>
      <c r="M606" s="3"/>
      <c r="N606" s="3"/>
      <c r="O606" s="3"/>
      <c r="P606" s="3"/>
      <c r="Q606" s="3"/>
      <c r="R606" s="3"/>
      <c r="S606" s="3"/>
      <c r="T606" s="3"/>
      <c r="U606" s="3"/>
      <c r="V606" s="3"/>
      <c r="W606" s="3"/>
      <c r="X606" s="3"/>
      <c r="Y606" s="3"/>
      <c r="Z606" s="3"/>
    </row>
    <row r="607" spans="1:26" ht="22.5" customHeight="1" x14ac:dyDescent="0.85">
      <c r="A607" s="166"/>
      <c r="B607" s="167"/>
      <c r="C607" s="167"/>
      <c r="D607" s="147"/>
      <c r="E607" s="147"/>
      <c r="F607" s="147"/>
      <c r="G607" s="147"/>
      <c r="H607" s="147"/>
      <c r="I607" s="147"/>
      <c r="J607" s="147"/>
      <c r="K607" s="3"/>
      <c r="L607" s="3"/>
      <c r="M607" s="3"/>
      <c r="N607" s="3"/>
      <c r="O607" s="3"/>
      <c r="P607" s="3"/>
      <c r="Q607" s="3"/>
      <c r="R607" s="3"/>
      <c r="S607" s="3"/>
      <c r="T607" s="3"/>
      <c r="U607" s="3"/>
      <c r="V607" s="3"/>
      <c r="W607" s="3"/>
      <c r="X607" s="3"/>
      <c r="Y607" s="3"/>
      <c r="Z607" s="3"/>
    </row>
    <row r="608" spans="1:26" ht="22.5" customHeight="1" x14ac:dyDescent="0.85">
      <c r="A608" s="166"/>
      <c r="B608" s="167"/>
      <c r="C608" s="167"/>
      <c r="D608" s="147"/>
      <c r="E608" s="147"/>
      <c r="F608" s="147"/>
      <c r="G608" s="147"/>
      <c r="H608" s="147"/>
      <c r="I608" s="147"/>
      <c r="J608" s="147"/>
      <c r="K608" s="3"/>
      <c r="L608" s="3"/>
      <c r="M608" s="3"/>
      <c r="N608" s="3"/>
      <c r="O608" s="3"/>
      <c r="P608" s="3"/>
      <c r="Q608" s="3"/>
      <c r="R608" s="3"/>
      <c r="S608" s="3"/>
      <c r="T608" s="3"/>
      <c r="U608" s="3"/>
      <c r="V608" s="3"/>
      <c r="W608" s="3"/>
      <c r="X608" s="3"/>
      <c r="Y608" s="3"/>
      <c r="Z608" s="3"/>
    </row>
    <row r="609" spans="1:26" ht="22.5" customHeight="1" x14ac:dyDescent="0.85">
      <c r="A609" s="166"/>
      <c r="B609" s="167"/>
      <c r="C609" s="167"/>
      <c r="D609" s="147"/>
      <c r="E609" s="147"/>
      <c r="F609" s="147"/>
      <c r="G609" s="147"/>
      <c r="H609" s="147"/>
      <c r="I609" s="147"/>
      <c r="J609" s="147"/>
      <c r="K609" s="3"/>
      <c r="L609" s="3"/>
      <c r="M609" s="3"/>
      <c r="N609" s="3"/>
      <c r="O609" s="3"/>
      <c r="P609" s="3"/>
      <c r="Q609" s="3"/>
      <c r="R609" s="3"/>
      <c r="S609" s="3"/>
      <c r="T609" s="3"/>
      <c r="U609" s="3"/>
      <c r="V609" s="3"/>
      <c r="W609" s="3"/>
      <c r="X609" s="3"/>
      <c r="Y609" s="3"/>
      <c r="Z609" s="3"/>
    </row>
    <row r="610" spans="1:26" ht="22.5" customHeight="1" x14ac:dyDescent="0.85">
      <c r="A610" s="166"/>
      <c r="B610" s="167"/>
      <c r="C610" s="167"/>
      <c r="D610" s="147"/>
      <c r="E610" s="147"/>
      <c r="F610" s="147"/>
      <c r="G610" s="147"/>
      <c r="H610" s="147"/>
      <c r="I610" s="147"/>
      <c r="J610" s="147"/>
      <c r="K610" s="3"/>
      <c r="L610" s="3"/>
      <c r="M610" s="3"/>
      <c r="N610" s="3"/>
      <c r="O610" s="3"/>
      <c r="P610" s="3"/>
      <c r="Q610" s="3"/>
      <c r="R610" s="3"/>
      <c r="S610" s="3"/>
      <c r="T610" s="3"/>
      <c r="U610" s="3"/>
      <c r="V610" s="3"/>
      <c r="W610" s="3"/>
      <c r="X610" s="3"/>
      <c r="Y610" s="3"/>
      <c r="Z610" s="3"/>
    </row>
    <row r="611" spans="1:26" ht="22.5" customHeight="1" x14ac:dyDescent="0.85">
      <c r="A611" s="166"/>
      <c r="B611" s="167"/>
      <c r="C611" s="167"/>
      <c r="D611" s="147"/>
      <c r="E611" s="147"/>
      <c r="F611" s="147"/>
      <c r="G611" s="147"/>
      <c r="H611" s="147"/>
      <c r="I611" s="147"/>
      <c r="J611" s="147"/>
      <c r="K611" s="3"/>
      <c r="L611" s="3"/>
      <c r="M611" s="3"/>
      <c r="N611" s="3"/>
      <c r="O611" s="3"/>
      <c r="P611" s="3"/>
      <c r="Q611" s="3"/>
      <c r="R611" s="3"/>
      <c r="S611" s="3"/>
      <c r="T611" s="3"/>
      <c r="U611" s="3"/>
      <c r="V611" s="3"/>
      <c r="W611" s="3"/>
      <c r="X611" s="3"/>
      <c r="Y611" s="3"/>
      <c r="Z611" s="3"/>
    </row>
    <row r="612" spans="1:26" ht="22.5" customHeight="1" x14ac:dyDescent="0.85">
      <c r="A612" s="166"/>
      <c r="B612" s="167"/>
      <c r="C612" s="167"/>
      <c r="D612" s="147"/>
      <c r="E612" s="147"/>
      <c r="F612" s="147"/>
      <c r="G612" s="147"/>
      <c r="H612" s="147"/>
      <c r="I612" s="147"/>
      <c r="J612" s="147"/>
      <c r="K612" s="3"/>
      <c r="L612" s="3"/>
      <c r="M612" s="3"/>
      <c r="N612" s="3"/>
      <c r="O612" s="3"/>
      <c r="P612" s="3"/>
      <c r="Q612" s="3"/>
      <c r="R612" s="3"/>
      <c r="S612" s="3"/>
      <c r="T612" s="3"/>
      <c r="U612" s="3"/>
      <c r="V612" s="3"/>
      <c r="W612" s="3"/>
      <c r="X612" s="3"/>
      <c r="Y612" s="3"/>
      <c r="Z612" s="3"/>
    </row>
    <row r="613" spans="1:26" ht="22.5" customHeight="1" x14ac:dyDescent="0.85">
      <c r="A613" s="166"/>
      <c r="B613" s="167"/>
      <c r="C613" s="167"/>
      <c r="D613" s="147"/>
      <c r="E613" s="147"/>
      <c r="F613" s="147"/>
      <c r="G613" s="147"/>
      <c r="H613" s="147"/>
      <c r="I613" s="147"/>
      <c r="J613" s="147"/>
      <c r="K613" s="3"/>
      <c r="L613" s="3"/>
      <c r="M613" s="3"/>
      <c r="N613" s="3"/>
      <c r="O613" s="3"/>
      <c r="P613" s="3"/>
      <c r="Q613" s="3"/>
      <c r="R613" s="3"/>
      <c r="S613" s="3"/>
      <c r="T613" s="3"/>
      <c r="U613" s="3"/>
      <c r="V613" s="3"/>
      <c r="W613" s="3"/>
      <c r="X613" s="3"/>
      <c r="Y613" s="3"/>
      <c r="Z613" s="3"/>
    </row>
    <row r="614" spans="1:26" ht="22.5" customHeight="1" x14ac:dyDescent="0.85">
      <c r="A614" s="166"/>
      <c r="B614" s="167"/>
      <c r="C614" s="167"/>
      <c r="D614" s="147"/>
      <c r="E614" s="147"/>
      <c r="F614" s="147"/>
      <c r="G614" s="147"/>
      <c r="H614" s="147"/>
      <c r="I614" s="147"/>
      <c r="J614" s="147"/>
      <c r="K614" s="3"/>
      <c r="L614" s="3"/>
      <c r="M614" s="3"/>
      <c r="N614" s="3"/>
      <c r="O614" s="3"/>
      <c r="P614" s="3"/>
      <c r="Q614" s="3"/>
      <c r="R614" s="3"/>
      <c r="S614" s="3"/>
      <c r="T614" s="3"/>
      <c r="U614" s="3"/>
      <c r="V614" s="3"/>
      <c r="W614" s="3"/>
      <c r="X614" s="3"/>
      <c r="Y614" s="3"/>
      <c r="Z614" s="3"/>
    </row>
    <row r="615" spans="1:26" ht="22.5" customHeight="1" x14ac:dyDescent="0.85">
      <c r="A615" s="166"/>
      <c r="B615" s="167"/>
      <c r="C615" s="167"/>
      <c r="D615" s="147"/>
      <c r="E615" s="147"/>
      <c r="F615" s="147"/>
      <c r="G615" s="147"/>
      <c r="H615" s="147"/>
      <c r="I615" s="147"/>
      <c r="J615" s="147"/>
      <c r="K615" s="3"/>
      <c r="L615" s="3"/>
      <c r="M615" s="3"/>
      <c r="N615" s="3"/>
      <c r="O615" s="3"/>
      <c r="P615" s="3"/>
      <c r="Q615" s="3"/>
      <c r="R615" s="3"/>
      <c r="S615" s="3"/>
      <c r="T615" s="3"/>
      <c r="U615" s="3"/>
      <c r="V615" s="3"/>
      <c r="W615" s="3"/>
      <c r="X615" s="3"/>
      <c r="Y615" s="3"/>
      <c r="Z615" s="3"/>
    </row>
    <row r="616" spans="1:26" ht="22.5" customHeight="1" x14ac:dyDescent="0.85">
      <c r="A616" s="166"/>
      <c r="B616" s="167"/>
      <c r="C616" s="167"/>
      <c r="D616" s="147"/>
      <c r="E616" s="147"/>
      <c r="F616" s="147"/>
      <c r="G616" s="147"/>
      <c r="H616" s="147"/>
      <c r="I616" s="147"/>
      <c r="J616" s="147"/>
      <c r="K616" s="3"/>
      <c r="L616" s="3"/>
      <c r="M616" s="3"/>
      <c r="N616" s="3"/>
      <c r="O616" s="3"/>
      <c r="P616" s="3"/>
      <c r="Q616" s="3"/>
      <c r="R616" s="3"/>
      <c r="S616" s="3"/>
      <c r="T616" s="3"/>
      <c r="U616" s="3"/>
      <c r="V616" s="3"/>
      <c r="W616" s="3"/>
      <c r="X616" s="3"/>
      <c r="Y616" s="3"/>
      <c r="Z616" s="3"/>
    </row>
    <row r="617" spans="1:26" ht="22.5" customHeight="1" x14ac:dyDescent="0.85">
      <c r="A617" s="166"/>
      <c r="B617" s="167"/>
      <c r="C617" s="167"/>
      <c r="D617" s="147"/>
      <c r="E617" s="147"/>
      <c r="F617" s="147"/>
      <c r="G617" s="147"/>
      <c r="H617" s="147"/>
      <c r="I617" s="147"/>
      <c r="J617" s="147"/>
      <c r="K617" s="3"/>
      <c r="L617" s="3"/>
      <c r="M617" s="3"/>
      <c r="N617" s="3"/>
      <c r="O617" s="3"/>
      <c r="P617" s="3"/>
      <c r="Q617" s="3"/>
      <c r="R617" s="3"/>
      <c r="S617" s="3"/>
      <c r="T617" s="3"/>
      <c r="U617" s="3"/>
      <c r="V617" s="3"/>
      <c r="W617" s="3"/>
      <c r="X617" s="3"/>
      <c r="Y617" s="3"/>
      <c r="Z617" s="3"/>
    </row>
    <row r="618" spans="1:26" ht="22.5" customHeight="1" x14ac:dyDescent="0.85">
      <c r="A618" s="166"/>
      <c r="B618" s="167"/>
      <c r="C618" s="167"/>
      <c r="D618" s="147"/>
      <c r="E618" s="147"/>
      <c r="F618" s="147"/>
      <c r="G618" s="147"/>
      <c r="H618" s="147"/>
      <c r="I618" s="147"/>
      <c r="J618" s="147"/>
      <c r="K618" s="3"/>
      <c r="L618" s="3"/>
      <c r="M618" s="3"/>
      <c r="N618" s="3"/>
      <c r="O618" s="3"/>
      <c r="P618" s="3"/>
      <c r="Q618" s="3"/>
      <c r="R618" s="3"/>
      <c r="S618" s="3"/>
      <c r="T618" s="3"/>
      <c r="U618" s="3"/>
      <c r="V618" s="3"/>
      <c r="W618" s="3"/>
      <c r="X618" s="3"/>
      <c r="Y618" s="3"/>
      <c r="Z618" s="3"/>
    </row>
    <row r="619" spans="1:26" ht="22.5" customHeight="1" x14ac:dyDescent="0.85">
      <c r="A619" s="166"/>
      <c r="B619" s="167"/>
      <c r="C619" s="167"/>
      <c r="D619" s="147"/>
      <c r="E619" s="147"/>
      <c r="F619" s="147"/>
      <c r="G619" s="147"/>
      <c r="H619" s="147"/>
      <c r="I619" s="147"/>
      <c r="J619" s="147"/>
      <c r="K619" s="3"/>
      <c r="L619" s="3"/>
      <c r="M619" s="3"/>
      <c r="N619" s="3"/>
      <c r="O619" s="3"/>
      <c r="P619" s="3"/>
      <c r="Q619" s="3"/>
      <c r="R619" s="3"/>
      <c r="S619" s="3"/>
      <c r="T619" s="3"/>
      <c r="U619" s="3"/>
      <c r="V619" s="3"/>
      <c r="W619" s="3"/>
      <c r="X619" s="3"/>
      <c r="Y619" s="3"/>
      <c r="Z619" s="3"/>
    </row>
    <row r="620" spans="1:26" ht="22.5" customHeight="1" x14ac:dyDescent="0.85">
      <c r="A620" s="166"/>
      <c r="B620" s="167"/>
      <c r="C620" s="167"/>
      <c r="D620" s="147"/>
      <c r="E620" s="147"/>
      <c r="F620" s="147"/>
      <c r="G620" s="147"/>
      <c r="H620" s="147"/>
      <c r="I620" s="147"/>
      <c r="J620" s="147"/>
      <c r="K620" s="3"/>
      <c r="L620" s="3"/>
      <c r="M620" s="3"/>
      <c r="N620" s="3"/>
      <c r="O620" s="3"/>
      <c r="P620" s="3"/>
      <c r="Q620" s="3"/>
      <c r="R620" s="3"/>
      <c r="S620" s="3"/>
      <c r="T620" s="3"/>
      <c r="U620" s="3"/>
      <c r="V620" s="3"/>
      <c r="W620" s="3"/>
      <c r="X620" s="3"/>
      <c r="Y620" s="3"/>
      <c r="Z620" s="3"/>
    </row>
    <row r="621" spans="1:26" ht="22.5" customHeight="1" x14ac:dyDescent="0.85">
      <c r="A621" s="166"/>
      <c r="B621" s="167"/>
      <c r="C621" s="167"/>
      <c r="D621" s="147"/>
      <c r="E621" s="147"/>
      <c r="F621" s="147"/>
      <c r="G621" s="147"/>
      <c r="H621" s="147"/>
      <c r="I621" s="147"/>
      <c r="J621" s="147"/>
      <c r="K621" s="3"/>
      <c r="L621" s="3"/>
      <c r="M621" s="3"/>
      <c r="N621" s="3"/>
      <c r="O621" s="3"/>
      <c r="P621" s="3"/>
      <c r="Q621" s="3"/>
      <c r="R621" s="3"/>
      <c r="S621" s="3"/>
      <c r="T621" s="3"/>
      <c r="U621" s="3"/>
      <c r="V621" s="3"/>
      <c r="W621" s="3"/>
      <c r="X621" s="3"/>
      <c r="Y621" s="3"/>
      <c r="Z621" s="3"/>
    </row>
    <row r="622" spans="1:26" ht="22.5" customHeight="1" x14ac:dyDescent="0.85">
      <c r="A622" s="166"/>
      <c r="B622" s="167"/>
      <c r="C622" s="167"/>
      <c r="D622" s="147"/>
      <c r="E622" s="147"/>
      <c r="F622" s="147"/>
      <c r="G622" s="147"/>
      <c r="H622" s="147"/>
      <c r="I622" s="147"/>
      <c r="J622" s="147"/>
      <c r="K622" s="3"/>
      <c r="L622" s="3"/>
      <c r="M622" s="3"/>
      <c r="N622" s="3"/>
      <c r="O622" s="3"/>
      <c r="P622" s="3"/>
      <c r="Q622" s="3"/>
      <c r="R622" s="3"/>
      <c r="S622" s="3"/>
      <c r="T622" s="3"/>
      <c r="U622" s="3"/>
      <c r="V622" s="3"/>
      <c r="W622" s="3"/>
      <c r="X622" s="3"/>
      <c r="Y622" s="3"/>
      <c r="Z622" s="3"/>
    </row>
    <row r="623" spans="1:26" ht="22.5" customHeight="1" x14ac:dyDescent="0.85">
      <c r="A623" s="166"/>
      <c r="B623" s="167"/>
      <c r="C623" s="167"/>
      <c r="D623" s="147"/>
      <c r="E623" s="147"/>
      <c r="F623" s="147"/>
      <c r="G623" s="147"/>
      <c r="H623" s="147"/>
      <c r="I623" s="147"/>
      <c r="J623" s="147"/>
      <c r="K623" s="3"/>
      <c r="L623" s="3"/>
      <c r="M623" s="3"/>
      <c r="N623" s="3"/>
      <c r="O623" s="3"/>
      <c r="P623" s="3"/>
      <c r="Q623" s="3"/>
      <c r="R623" s="3"/>
      <c r="S623" s="3"/>
      <c r="T623" s="3"/>
      <c r="U623" s="3"/>
      <c r="V623" s="3"/>
      <c r="W623" s="3"/>
      <c r="X623" s="3"/>
      <c r="Y623" s="3"/>
      <c r="Z623" s="3"/>
    </row>
    <row r="624" spans="1:26" ht="22.5" customHeight="1" x14ac:dyDescent="0.85">
      <c r="A624" s="166"/>
      <c r="B624" s="167"/>
      <c r="C624" s="167"/>
      <c r="D624" s="147"/>
      <c r="E624" s="147"/>
      <c r="F624" s="147"/>
      <c r="G624" s="147"/>
      <c r="H624" s="147"/>
      <c r="I624" s="147"/>
      <c r="J624" s="147"/>
      <c r="K624" s="3"/>
      <c r="L624" s="3"/>
      <c r="M624" s="3"/>
      <c r="N624" s="3"/>
      <c r="O624" s="3"/>
      <c r="P624" s="3"/>
      <c r="Q624" s="3"/>
      <c r="R624" s="3"/>
      <c r="S624" s="3"/>
      <c r="T624" s="3"/>
      <c r="U624" s="3"/>
      <c r="V624" s="3"/>
      <c r="W624" s="3"/>
      <c r="X624" s="3"/>
      <c r="Y624" s="3"/>
      <c r="Z624" s="3"/>
    </row>
    <row r="625" spans="1:26" ht="22.5" customHeight="1" x14ac:dyDescent="0.85">
      <c r="A625" s="166"/>
      <c r="B625" s="167"/>
      <c r="C625" s="167"/>
      <c r="D625" s="147"/>
      <c r="E625" s="147"/>
      <c r="F625" s="147"/>
      <c r="G625" s="147"/>
      <c r="H625" s="147"/>
      <c r="I625" s="147"/>
      <c r="J625" s="147"/>
      <c r="K625" s="3"/>
      <c r="L625" s="3"/>
      <c r="M625" s="3"/>
      <c r="N625" s="3"/>
      <c r="O625" s="3"/>
      <c r="P625" s="3"/>
      <c r="Q625" s="3"/>
      <c r="R625" s="3"/>
      <c r="S625" s="3"/>
      <c r="T625" s="3"/>
      <c r="U625" s="3"/>
      <c r="V625" s="3"/>
      <c r="W625" s="3"/>
      <c r="X625" s="3"/>
      <c r="Y625" s="3"/>
      <c r="Z625" s="3"/>
    </row>
    <row r="626" spans="1:26" ht="22.5" customHeight="1" x14ac:dyDescent="0.85">
      <c r="A626" s="166"/>
      <c r="B626" s="167"/>
      <c r="C626" s="167"/>
      <c r="D626" s="147"/>
      <c r="E626" s="147"/>
      <c r="F626" s="147"/>
      <c r="G626" s="147"/>
      <c r="H626" s="147"/>
      <c r="I626" s="147"/>
      <c r="J626" s="147"/>
      <c r="K626" s="3"/>
      <c r="L626" s="3"/>
      <c r="M626" s="3"/>
      <c r="N626" s="3"/>
      <c r="O626" s="3"/>
      <c r="P626" s="3"/>
      <c r="Q626" s="3"/>
      <c r="R626" s="3"/>
      <c r="S626" s="3"/>
      <c r="T626" s="3"/>
      <c r="U626" s="3"/>
      <c r="V626" s="3"/>
      <c r="W626" s="3"/>
      <c r="X626" s="3"/>
      <c r="Y626" s="3"/>
      <c r="Z626" s="3"/>
    </row>
    <row r="627" spans="1:26" ht="22.5" customHeight="1" x14ac:dyDescent="0.85">
      <c r="A627" s="166"/>
      <c r="B627" s="167"/>
      <c r="C627" s="167"/>
      <c r="D627" s="147"/>
      <c r="E627" s="147"/>
      <c r="F627" s="147"/>
      <c r="G627" s="147"/>
      <c r="H627" s="147"/>
      <c r="I627" s="147"/>
      <c r="J627" s="147"/>
      <c r="K627" s="3"/>
      <c r="L627" s="3"/>
      <c r="M627" s="3"/>
      <c r="N627" s="3"/>
      <c r="O627" s="3"/>
      <c r="P627" s="3"/>
      <c r="Q627" s="3"/>
      <c r="R627" s="3"/>
      <c r="S627" s="3"/>
      <c r="T627" s="3"/>
      <c r="U627" s="3"/>
      <c r="V627" s="3"/>
      <c r="W627" s="3"/>
      <c r="X627" s="3"/>
      <c r="Y627" s="3"/>
      <c r="Z627" s="3"/>
    </row>
    <row r="628" spans="1:26" ht="22.5" customHeight="1" x14ac:dyDescent="0.85">
      <c r="A628" s="166"/>
      <c r="B628" s="167"/>
      <c r="C628" s="167"/>
      <c r="D628" s="147"/>
      <c r="E628" s="147"/>
      <c r="F628" s="147"/>
      <c r="G628" s="147"/>
      <c r="H628" s="147"/>
      <c r="I628" s="147"/>
      <c r="J628" s="147"/>
      <c r="K628" s="3"/>
      <c r="L628" s="3"/>
      <c r="M628" s="3"/>
      <c r="N628" s="3"/>
      <c r="O628" s="3"/>
      <c r="P628" s="3"/>
      <c r="Q628" s="3"/>
      <c r="R628" s="3"/>
      <c r="S628" s="3"/>
      <c r="T628" s="3"/>
      <c r="U628" s="3"/>
      <c r="V628" s="3"/>
      <c r="W628" s="3"/>
      <c r="X628" s="3"/>
      <c r="Y628" s="3"/>
      <c r="Z628" s="3"/>
    </row>
    <row r="629" spans="1:26" ht="22.5" customHeight="1" x14ac:dyDescent="0.85">
      <c r="A629" s="166"/>
      <c r="B629" s="167"/>
      <c r="C629" s="167"/>
      <c r="D629" s="147"/>
      <c r="E629" s="147"/>
      <c r="F629" s="147"/>
      <c r="G629" s="147"/>
      <c r="H629" s="147"/>
      <c r="I629" s="147"/>
      <c r="J629" s="147"/>
      <c r="K629" s="3"/>
      <c r="L629" s="3"/>
      <c r="M629" s="3"/>
      <c r="N629" s="3"/>
      <c r="O629" s="3"/>
      <c r="P629" s="3"/>
      <c r="Q629" s="3"/>
      <c r="R629" s="3"/>
      <c r="S629" s="3"/>
      <c r="T629" s="3"/>
      <c r="U629" s="3"/>
      <c r="V629" s="3"/>
      <c r="W629" s="3"/>
      <c r="X629" s="3"/>
      <c r="Y629" s="3"/>
      <c r="Z629" s="3"/>
    </row>
    <row r="630" spans="1:26" ht="22.5" customHeight="1" x14ac:dyDescent="0.85">
      <c r="A630" s="166"/>
      <c r="B630" s="167"/>
      <c r="C630" s="167"/>
      <c r="D630" s="147"/>
      <c r="E630" s="147"/>
      <c r="F630" s="147"/>
      <c r="G630" s="147"/>
      <c r="H630" s="147"/>
      <c r="I630" s="147"/>
      <c r="J630" s="147"/>
      <c r="K630" s="3"/>
      <c r="L630" s="3"/>
      <c r="M630" s="3"/>
      <c r="N630" s="3"/>
      <c r="O630" s="3"/>
      <c r="P630" s="3"/>
      <c r="Q630" s="3"/>
      <c r="R630" s="3"/>
      <c r="S630" s="3"/>
      <c r="T630" s="3"/>
      <c r="U630" s="3"/>
      <c r="V630" s="3"/>
      <c r="W630" s="3"/>
      <c r="X630" s="3"/>
      <c r="Y630" s="3"/>
      <c r="Z630" s="3"/>
    </row>
    <row r="631" spans="1:26" ht="22.5" customHeight="1" x14ac:dyDescent="0.85">
      <c r="A631" s="166"/>
      <c r="B631" s="167"/>
      <c r="C631" s="167"/>
      <c r="D631" s="147"/>
      <c r="E631" s="147"/>
      <c r="F631" s="147"/>
      <c r="G631" s="147"/>
      <c r="H631" s="147"/>
      <c r="I631" s="147"/>
      <c r="J631" s="147"/>
      <c r="K631" s="3"/>
      <c r="L631" s="3"/>
      <c r="M631" s="3"/>
      <c r="N631" s="3"/>
      <c r="O631" s="3"/>
      <c r="P631" s="3"/>
      <c r="Q631" s="3"/>
      <c r="R631" s="3"/>
      <c r="S631" s="3"/>
      <c r="T631" s="3"/>
      <c r="U631" s="3"/>
      <c r="V631" s="3"/>
      <c r="W631" s="3"/>
      <c r="X631" s="3"/>
      <c r="Y631" s="3"/>
      <c r="Z631" s="3"/>
    </row>
    <row r="632" spans="1:26" ht="22.5" customHeight="1" x14ac:dyDescent="0.85">
      <c r="A632" s="166"/>
      <c r="B632" s="167"/>
      <c r="C632" s="167"/>
      <c r="D632" s="147"/>
      <c r="E632" s="147"/>
      <c r="F632" s="147"/>
      <c r="G632" s="147"/>
      <c r="H632" s="147"/>
      <c r="I632" s="147"/>
      <c r="J632" s="147"/>
      <c r="K632" s="3"/>
      <c r="L632" s="3"/>
      <c r="M632" s="3"/>
      <c r="N632" s="3"/>
      <c r="O632" s="3"/>
      <c r="P632" s="3"/>
      <c r="Q632" s="3"/>
      <c r="R632" s="3"/>
      <c r="S632" s="3"/>
      <c r="T632" s="3"/>
      <c r="U632" s="3"/>
      <c r="V632" s="3"/>
      <c r="W632" s="3"/>
      <c r="X632" s="3"/>
      <c r="Y632" s="3"/>
      <c r="Z632" s="3"/>
    </row>
    <row r="633" spans="1:26" ht="22.5" customHeight="1" x14ac:dyDescent="0.85">
      <c r="A633" s="166"/>
      <c r="B633" s="167"/>
      <c r="C633" s="167"/>
      <c r="D633" s="147"/>
      <c r="E633" s="147"/>
      <c r="F633" s="147"/>
      <c r="G633" s="147"/>
      <c r="H633" s="147"/>
      <c r="I633" s="147"/>
      <c r="J633" s="147"/>
      <c r="K633" s="3"/>
      <c r="L633" s="3"/>
      <c r="M633" s="3"/>
      <c r="N633" s="3"/>
      <c r="O633" s="3"/>
      <c r="P633" s="3"/>
      <c r="Q633" s="3"/>
      <c r="R633" s="3"/>
      <c r="S633" s="3"/>
      <c r="T633" s="3"/>
      <c r="U633" s="3"/>
      <c r="V633" s="3"/>
      <c r="W633" s="3"/>
      <c r="X633" s="3"/>
      <c r="Y633" s="3"/>
      <c r="Z633" s="3"/>
    </row>
    <row r="634" spans="1:26" ht="22.5" customHeight="1" x14ac:dyDescent="0.85">
      <c r="A634" s="166"/>
      <c r="B634" s="167"/>
      <c r="C634" s="167"/>
      <c r="D634" s="147"/>
      <c r="E634" s="147"/>
      <c r="F634" s="147"/>
      <c r="G634" s="147"/>
      <c r="H634" s="147"/>
      <c r="I634" s="147"/>
      <c r="J634" s="147"/>
      <c r="K634" s="3"/>
      <c r="L634" s="3"/>
      <c r="M634" s="3"/>
      <c r="N634" s="3"/>
      <c r="O634" s="3"/>
      <c r="P634" s="3"/>
      <c r="Q634" s="3"/>
      <c r="R634" s="3"/>
      <c r="S634" s="3"/>
      <c r="T634" s="3"/>
      <c r="U634" s="3"/>
      <c r="V634" s="3"/>
      <c r="W634" s="3"/>
      <c r="X634" s="3"/>
      <c r="Y634" s="3"/>
      <c r="Z634" s="3"/>
    </row>
    <row r="635" spans="1:26" ht="22.5" customHeight="1" x14ac:dyDescent="0.85">
      <c r="A635" s="166"/>
      <c r="B635" s="167"/>
      <c r="C635" s="167"/>
      <c r="D635" s="147"/>
      <c r="E635" s="147"/>
      <c r="F635" s="147"/>
      <c r="G635" s="147"/>
      <c r="H635" s="147"/>
      <c r="I635" s="147"/>
      <c r="J635" s="147"/>
      <c r="K635" s="3"/>
      <c r="L635" s="3"/>
      <c r="M635" s="3"/>
      <c r="N635" s="3"/>
      <c r="O635" s="3"/>
      <c r="P635" s="3"/>
      <c r="Q635" s="3"/>
      <c r="R635" s="3"/>
      <c r="S635" s="3"/>
      <c r="T635" s="3"/>
      <c r="U635" s="3"/>
      <c r="V635" s="3"/>
      <c r="W635" s="3"/>
      <c r="X635" s="3"/>
      <c r="Y635" s="3"/>
      <c r="Z635" s="3"/>
    </row>
    <row r="636" spans="1:26" ht="22.5" customHeight="1" x14ac:dyDescent="0.85">
      <c r="A636" s="166"/>
      <c r="B636" s="167"/>
      <c r="C636" s="167"/>
      <c r="D636" s="147"/>
      <c r="E636" s="147"/>
      <c r="F636" s="147"/>
      <c r="G636" s="147"/>
      <c r="H636" s="147"/>
      <c r="I636" s="147"/>
      <c r="J636" s="147"/>
      <c r="K636" s="3"/>
      <c r="L636" s="3"/>
      <c r="M636" s="3"/>
      <c r="N636" s="3"/>
      <c r="O636" s="3"/>
      <c r="P636" s="3"/>
      <c r="Q636" s="3"/>
      <c r="R636" s="3"/>
      <c r="S636" s="3"/>
      <c r="T636" s="3"/>
      <c r="U636" s="3"/>
      <c r="V636" s="3"/>
      <c r="W636" s="3"/>
      <c r="X636" s="3"/>
      <c r="Y636" s="3"/>
      <c r="Z636" s="3"/>
    </row>
    <row r="637" spans="1:26" ht="22.5" customHeight="1" x14ac:dyDescent="0.85">
      <c r="A637" s="166"/>
      <c r="B637" s="167"/>
      <c r="C637" s="167"/>
      <c r="D637" s="147"/>
      <c r="E637" s="147"/>
      <c r="F637" s="147"/>
      <c r="G637" s="147"/>
      <c r="H637" s="147"/>
      <c r="I637" s="147"/>
      <c r="J637" s="147"/>
      <c r="K637" s="3"/>
      <c r="L637" s="3"/>
      <c r="M637" s="3"/>
      <c r="N637" s="3"/>
      <c r="O637" s="3"/>
      <c r="P637" s="3"/>
      <c r="Q637" s="3"/>
      <c r="R637" s="3"/>
      <c r="S637" s="3"/>
      <c r="T637" s="3"/>
      <c r="U637" s="3"/>
      <c r="V637" s="3"/>
      <c r="W637" s="3"/>
      <c r="X637" s="3"/>
      <c r="Y637" s="3"/>
      <c r="Z637" s="3"/>
    </row>
    <row r="638" spans="1:26" ht="22.5" customHeight="1" x14ac:dyDescent="0.85">
      <c r="A638" s="166"/>
      <c r="B638" s="167"/>
      <c r="C638" s="167"/>
      <c r="D638" s="147"/>
      <c r="E638" s="147"/>
      <c r="F638" s="147"/>
      <c r="G638" s="147"/>
      <c r="H638" s="147"/>
      <c r="I638" s="147"/>
      <c r="J638" s="147"/>
      <c r="K638" s="3"/>
      <c r="L638" s="3"/>
      <c r="M638" s="3"/>
      <c r="N638" s="3"/>
      <c r="O638" s="3"/>
      <c r="P638" s="3"/>
      <c r="Q638" s="3"/>
      <c r="R638" s="3"/>
      <c r="S638" s="3"/>
      <c r="T638" s="3"/>
      <c r="U638" s="3"/>
      <c r="V638" s="3"/>
      <c r="W638" s="3"/>
      <c r="X638" s="3"/>
      <c r="Y638" s="3"/>
      <c r="Z638" s="3"/>
    </row>
    <row r="639" spans="1:26" ht="22.5" customHeight="1" x14ac:dyDescent="0.85">
      <c r="A639" s="166"/>
      <c r="B639" s="167"/>
      <c r="C639" s="167"/>
      <c r="D639" s="147"/>
      <c r="E639" s="147"/>
      <c r="F639" s="147"/>
      <c r="G639" s="147"/>
      <c r="H639" s="147"/>
      <c r="I639" s="147"/>
      <c r="J639" s="147"/>
      <c r="K639" s="3"/>
      <c r="L639" s="3"/>
      <c r="M639" s="3"/>
      <c r="N639" s="3"/>
      <c r="O639" s="3"/>
      <c r="P639" s="3"/>
      <c r="Q639" s="3"/>
      <c r="R639" s="3"/>
      <c r="S639" s="3"/>
      <c r="T639" s="3"/>
      <c r="U639" s="3"/>
      <c r="V639" s="3"/>
      <c r="W639" s="3"/>
      <c r="X639" s="3"/>
      <c r="Y639" s="3"/>
      <c r="Z639" s="3"/>
    </row>
    <row r="640" spans="1:26" ht="22.5" customHeight="1" x14ac:dyDescent="0.85">
      <c r="A640" s="166"/>
      <c r="B640" s="167"/>
      <c r="C640" s="167"/>
      <c r="D640" s="147"/>
      <c r="E640" s="147"/>
      <c r="F640" s="147"/>
      <c r="G640" s="147"/>
      <c r="H640" s="147"/>
      <c r="I640" s="147"/>
      <c r="J640" s="147"/>
      <c r="K640" s="3"/>
      <c r="L640" s="3"/>
      <c r="M640" s="3"/>
      <c r="N640" s="3"/>
      <c r="O640" s="3"/>
      <c r="P640" s="3"/>
      <c r="Q640" s="3"/>
      <c r="R640" s="3"/>
      <c r="S640" s="3"/>
      <c r="T640" s="3"/>
      <c r="U640" s="3"/>
      <c r="V640" s="3"/>
      <c r="W640" s="3"/>
      <c r="X640" s="3"/>
      <c r="Y640" s="3"/>
      <c r="Z640" s="3"/>
    </row>
    <row r="641" spans="1:26" ht="22.5" customHeight="1" x14ac:dyDescent="0.85">
      <c r="A641" s="166"/>
      <c r="B641" s="167"/>
      <c r="C641" s="167"/>
      <c r="D641" s="147"/>
      <c r="E641" s="147"/>
      <c r="F641" s="147"/>
      <c r="G641" s="147"/>
      <c r="H641" s="147"/>
      <c r="I641" s="147"/>
      <c r="J641" s="147"/>
      <c r="K641" s="3"/>
      <c r="L641" s="3"/>
      <c r="M641" s="3"/>
      <c r="N641" s="3"/>
      <c r="O641" s="3"/>
      <c r="P641" s="3"/>
      <c r="Q641" s="3"/>
      <c r="R641" s="3"/>
      <c r="S641" s="3"/>
      <c r="T641" s="3"/>
      <c r="U641" s="3"/>
      <c r="V641" s="3"/>
      <c r="W641" s="3"/>
      <c r="X641" s="3"/>
      <c r="Y641" s="3"/>
      <c r="Z641" s="3"/>
    </row>
    <row r="642" spans="1:26" ht="22.5" customHeight="1" x14ac:dyDescent="0.85">
      <c r="A642" s="166"/>
      <c r="B642" s="167"/>
      <c r="C642" s="167"/>
      <c r="D642" s="147"/>
      <c r="E642" s="147"/>
      <c r="F642" s="147"/>
      <c r="G642" s="147"/>
      <c r="H642" s="147"/>
      <c r="I642" s="147"/>
      <c r="J642" s="147"/>
      <c r="K642" s="3"/>
      <c r="L642" s="3"/>
      <c r="M642" s="3"/>
      <c r="N642" s="3"/>
      <c r="O642" s="3"/>
      <c r="P642" s="3"/>
      <c r="Q642" s="3"/>
      <c r="R642" s="3"/>
      <c r="S642" s="3"/>
      <c r="T642" s="3"/>
      <c r="U642" s="3"/>
      <c r="V642" s="3"/>
      <c r="W642" s="3"/>
      <c r="X642" s="3"/>
      <c r="Y642" s="3"/>
      <c r="Z642" s="3"/>
    </row>
    <row r="643" spans="1:26" ht="22.5" customHeight="1" x14ac:dyDescent="0.85">
      <c r="A643" s="166"/>
      <c r="B643" s="167"/>
      <c r="C643" s="167"/>
      <c r="D643" s="147"/>
      <c r="E643" s="147"/>
      <c r="F643" s="147"/>
      <c r="G643" s="147"/>
      <c r="H643" s="147"/>
      <c r="I643" s="147"/>
      <c r="J643" s="147"/>
      <c r="K643" s="3"/>
      <c r="L643" s="3"/>
      <c r="M643" s="3"/>
      <c r="N643" s="3"/>
      <c r="O643" s="3"/>
      <c r="P643" s="3"/>
      <c r="Q643" s="3"/>
      <c r="R643" s="3"/>
      <c r="S643" s="3"/>
      <c r="T643" s="3"/>
      <c r="U643" s="3"/>
      <c r="V643" s="3"/>
      <c r="W643" s="3"/>
      <c r="X643" s="3"/>
      <c r="Y643" s="3"/>
      <c r="Z643" s="3"/>
    </row>
    <row r="644" spans="1:26" ht="22.5" customHeight="1" x14ac:dyDescent="0.85">
      <c r="A644" s="166"/>
      <c r="B644" s="167"/>
      <c r="C644" s="167"/>
      <c r="D644" s="147"/>
      <c r="E644" s="147"/>
      <c r="F644" s="147"/>
      <c r="G644" s="147"/>
      <c r="H644" s="147"/>
      <c r="I644" s="147"/>
      <c r="J644" s="147"/>
      <c r="K644" s="3"/>
      <c r="L644" s="3"/>
      <c r="M644" s="3"/>
      <c r="N644" s="3"/>
      <c r="O644" s="3"/>
      <c r="P644" s="3"/>
      <c r="Q644" s="3"/>
      <c r="R644" s="3"/>
      <c r="S644" s="3"/>
      <c r="T644" s="3"/>
      <c r="U644" s="3"/>
      <c r="V644" s="3"/>
      <c r="W644" s="3"/>
      <c r="X644" s="3"/>
      <c r="Y644" s="3"/>
      <c r="Z644" s="3"/>
    </row>
    <row r="645" spans="1:26" ht="22.5" customHeight="1" x14ac:dyDescent="0.85">
      <c r="A645" s="166"/>
      <c r="B645" s="167"/>
      <c r="C645" s="167"/>
      <c r="D645" s="147"/>
      <c r="E645" s="147"/>
      <c r="F645" s="147"/>
      <c r="G645" s="147"/>
      <c r="H645" s="147"/>
      <c r="I645" s="147"/>
      <c r="J645" s="147"/>
      <c r="K645" s="3"/>
      <c r="L645" s="3"/>
      <c r="M645" s="3"/>
      <c r="N645" s="3"/>
      <c r="O645" s="3"/>
      <c r="P645" s="3"/>
      <c r="Q645" s="3"/>
      <c r="R645" s="3"/>
      <c r="S645" s="3"/>
      <c r="T645" s="3"/>
      <c r="U645" s="3"/>
      <c r="V645" s="3"/>
      <c r="W645" s="3"/>
      <c r="X645" s="3"/>
      <c r="Y645" s="3"/>
      <c r="Z645" s="3"/>
    </row>
    <row r="646" spans="1:26" ht="22.5" customHeight="1" x14ac:dyDescent="0.85">
      <c r="A646" s="166"/>
      <c r="B646" s="167"/>
      <c r="C646" s="167"/>
      <c r="D646" s="147"/>
      <c r="E646" s="147"/>
      <c r="F646" s="147"/>
      <c r="G646" s="147"/>
      <c r="H646" s="147"/>
      <c r="I646" s="147"/>
      <c r="J646" s="147"/>
      <c r="K646" s="3"/>
      <c r="L646" s="3"/>
      <c r="M646" s="3"/>
      <c r="N646" s="3"/>
      <c r="O646" s="3"/>
      <c r="P646" s="3"/>
      <c r="Q646" s="3"/>
      <c r="R646" s="3"/>
      <c r="S646" s="3"/>
      <c r="T646" s="3"/>
      <c r="U646" s="3"/>
      <c r="V646" s="3"/>
      <c r="W646" s="3"/>
      <c r="X646" s="3"/>
      <c r="Y646" s="3"/>
      <c r="Z646" s="3"/>
    </row>
    <row r="647" spans="1:26" ht="22.5" customHeight="1" x14ac:dyDescent="0.85">
      <c r="A647" s="166"/>
      <c r="B647" s="167"/>
      <c r="C647" s="167"/>
      <c r="D647" s="147"/>
      <c r="E647" s="147"/>
      <c r="F647" s="147"/>
      <c r="G647" s="147"/>
      <c r="H647" s="147"/>
      <c r="I647" s="147"/>
      <c r="J647" s="147"/>
      <c r="K647" s="3"/>
      <c r="L647" s="3"/>
      <c r="M647" s="3"/>
      <c r="N647" s="3"/>
      <c r="O647" s="3"/>
      <c r="P647" s="3"/>
      <c r="Q647" s="3"/>
      <c r="R647" s="3"/>
      <c r="S647" s="3"/>
      <c r="T647" s="3"/>
      <c r="U647" s="3"/>
      <c r="V647" s="3"/>
      <c r="W647" s="3"/>
      <c r="X647" s="3"/>
      <c r="Y647" s="3"/>
      <c r="Z647" s="3"/>
    </row>
    <row r="648" spans="1:26" ht="22.5" customHeight="1" x14ac:dyDescent="0.85">
      <c r="A648" s="166"/>
      <c r="B648" s="167"/>
      <c r="C648" s="167"/>
      <c r="D648" s="147"/>
      <c r="E648" s="147"/>
      <c r="F648" s="147"/>
      <c r="G648" s="147"/>
      <c r="H648" s="147"/>
      <c r="I648" s="147"/>
      <c r="J648" s="147"/>
      <c r="K648" s="3"/>
      <c r="L648" s="3"/>
      <c r="M648" s="3"/>
      <c r="N648" s="3"/>
      <c r="O648" s="3"/>
      <c r="P648" s="3"/>
      <c r="Q648" s="3"/>
      <c r="R648" s="3"/>
      <c r="S648" s="3"/>
      <c r="T648" s="3"/>
      <c r="U648" s="3"/>
      <c r="V648" s="3"/>
      <c r="W648" s="3"/>
      <c r="X648" s="3"/>
      <c r="Y648" s="3"/>
      <c r="Z648" s="3"/>
    </row>
    <row r="649" spans="1:26" ht="22.5" customHeight="1" x14ac:dyDescent="0.85">
      <c r="A649" s="166"/>
      <c r="B649" s="167"/>
      <c r="C649" s="167"/>
      <c r="D649" s="147"/>
      <c r="E649" s="147"/>
      <c r="F649" s="147"/>
      <c r="G649" s="147"/>
      <c r="H649" s="147"/>
      <c r="I649" s="147"/>
      <c r="J649" s="147"/>
      <c r="K649" s="3"/>
      <c r="L649" s="3"/>
      <c r="M649" s="3"/>
      <c r="N649" s="3"/>
      <c r="O649" s="3"/>
      <c r="P649" s="3"/>
      <c r="Q649" s="3"/>
      <c r="R649" s="3"/>
      <c r="S649" s="3"/>
      <c r="T649" s="3"/>
      <c r="U649" s="3"/>
      <c r="V649" s="3"/>
      <c r="W649" s="3"/>
      <c r="X649" s="3"/>
      <c r="Y649" s="3"/>
      <c r="Z649" s="3"/>
    </row>
    <row r="650" spans="1:26" ht="22.5" customHeight="1" x14ac:dyDescent="0.85">
      <c r="A650" s="166"/>
      <c r="B650" s="167"/>
      <c r="C650" s="167"/>
      <c r="D650" s="147"/>
      <c r="E650" s="147"/>
      <c r="F650" s="147"/>
      <c r="G650" s="147"/>
      <c r="H650" s="147"/>
      <c r="I650" s="147"/>
      <c r="J650" s="147"/>
      <c r="K650" s="3"/>
      <c r="L650" s="3"/>
      <c r="M650" s="3"/>
      <c r="N650" s="3"/>
      <c r="O650" s="3"/>
      <c r="P650" s="3"/>
      <c r="Q650" s="3"/>
      <c r="R650" s="3"/>
      <c r="S650" s="3"/>
      <c r="T650" s="3"/>
      <c r="U650" s="3"/>
      <c r="V650" s="3"/>
      <c r="W650" s="3"/>
      <c r="X650" s="3"/>
      <c r="Y650" s="3"/>
      <c r="Z650" s="3"/>
    </row>
    <row r="651" spans="1:26" ht="22.5" customHeight="1" x14ac:dyDescent="0.85">
      <c r="A651" s="166"/>
      <c r="B651" s="167"/>
      <c r="C651" s="167"/>
      <c r="D651" s="147"/>
      <c r="E651" s="147"/>
      <c r="F651" s="147"/>
      <c r="G651" s="147"/>
      <c r="H651" s="147"/>
      <c r="I651" s="147"/>
      <c r="J651" s="147"/>
      <c r="K651" s="3"/>
      <c r="L651" s="3"/>
      <c r="M651" s="3"/>
      <c r="N651" s="3"/>
      <c r="O651" s="3"/>
      <c r="P651" s="3"/>
      <c r="Q651" s="3"/>
      <c r="R651" s="3"/>
      <c r="S651" s="3"/>
      <c r="T651" s="3"/>
      <c r="U651" s="3"/>
      <c r="V651" s="3"/>
      <c r="W651" s="3"/>
      <c r="X651" s="3"/>
      <c r="Y651" s="3"/>
      <c r="Z651" s="3"/>
    </row>
    <row r="652" spans="1:26" ht="22.5" customHeight="1" x14ac:dyDescent="0.85">
      <c r="A652" s="166"/>
      <c r="B652" s="167"/>
      <c r="C652" s="167"/>
      <c r="D652" s="147"/>
      <c r="E652" s="147"/>
      <c r="F652" s="147"/>
      <c r="G652" s="147"/>
      <c r="H652" s="147"/>
      <c r="I652" s="147"/>
      <c r="J652" s="147"/>
      <c r="K652" s="3"/>
      <c r="L652" s="3"/>
      <c r="M652" s="3"/>
      <c r="N652" s="3"/>
      <c r="O652" s="3"/>
      <c r="P652" s="3"/>
      <c r="Q652" s="3"/>
      <c r="R652" s="3"/>
      <c r="S652" s="3"/>
      <c r="T652" s="3"/>
      <c r="U652" s="3"/>
      <c r="V652" s="3"/>
      <c r="W652" s="3"/>
      <c r="X652" s="3"/>
      <c r="Y652" s="3"/>
      <c r="Z652" s="3"/>
    </row>
    <row r="653" spans="1:26" ht="22.5" customHeight="1" x14ac:dyDescent="0.85">
      <c r="A653" s="166"/>
      <c r="B653" s="167"/>
      <c r="C653" s="167"/>
      <c r="D653" s="147"/>
      <c r="E653" s="147"/>
      <c r="F653" s="147"/>
      <c r="G653" s="147"/>
      <c r="H653" s="147"/>
      <c r="I653" s="147"/>
      <c r="J653" s="147"/>
      <c r="K653" s="3"/>
      <c r="L653" s="3"/>
      <c r="M653" s="3"/>
      <c r="N653" s="3"/>
      <c r="O653" s="3"/>
      <c r="P653" s="3"/>
      <c r="Q653" s="3"/>
      <c r="R653" s="3"/>
      <c r="S653" s="3"/>
      <c r="T653" s="3"/>
      <c r="U653" s="3"/>
      <c r="V653" s="3"/>
      <c r="W653" s="3"/>
      <c r="X653" s="3"/>
      <c r="Y653" s="3"/>
      <c r="Z653" s="3"/>
    </row>
    <row r="654" spans="1:26" ht="22.5" customHeight="1" x14ac:dyDescent="0.85">
      <c r="A654" s="166"/>
      <c r="B654" s="167"/>
      <c r="C654" s="167"/>
      <c r="D654" s="147"/>
      <c r="E654" s="147"/>
      <c r="F654" s="147"/>
      <c r="G654" s="147"/>
      <c r="H654" s="147"/>
      <c r="I654" s="147"/>
      <c r="J654" s="147"/>
      <c r="K654" s="3"/>
      <c r="L654" s="3"/>
      <c r="M654" s="3"/>
      <c r="N654" s="3"/>
      <c r="O654" s="3"/>
      <c r="P654" s="3"/>
      <c r="Q654" s="3"/>
      <c r="R654" s="3"/>
      <c r="S654" s="3"/>
      <c r="T654" s="3"/>
      <c r="U654" s="3"/>
      <c r="V654" s="3"/>
      <c r="W654" s="3"/>
      <c r="X654" s="3"/>
      <c r="Y654" s="3"/>
      <c r="Z654" s="3"/>
    </row>
    <row r="655" spans="1:26" ht="22.5" customHeight="1" x14ac:dyDescent="0.85">
      <c r="A655" s="166"/>
      <c r="B655" s="167"/>
      <c r="C655" s="167"/>
      <c r="D655" s="147"/>
      <c r="E655" s="147"/>
      <c r="F655" s="147"/>
      <c r="G655" s="147"/>
      <c r="H655" s="147"/>
      <c r="I655" s="147"/>
      <c r="J655" s="147"/>
      <c r="K655" s="3"/>
      <c r="L655" s="3"/>
      <c r="M655" s="3"/>
      <c r="N655" s="3"/>
      <c r="O655" s="3"/>
      <c r="P655" s="3"/>
      <c r="Q655" s="3"/>
      <c r="R655" s="3"/>
      <c r="S655" s="3"/>
      <c r="T655" s="3"/>
      <c r="U655" s="3"/>
      <c r="V655" s="3"/>
      <c r="W655" s="3"/>
      <c r="X655" s="3"/>
      <c r="Y655" s="3"/>
      <c r="Z655" s="3"/>
    </row>
    <row r="656" spans="1:26" ht="22.5" customHeight="1" x14ac:dyDescent="0.85">
      <c r="A656" s="166"/>
      <c r="B656" s="167"/>
      <c r="C656" s="167"/>
      <c r="D656" s="147"/>
      <c r="E656" s="147"/>
      <c r="F656" s="147"/>
      <c r="G656" s="147"/>
      <c r="H656" s="147"/>
      <c r="I656" s="147"/>
      <c r="J656" s="147"/>
      <c r="K656" s="3"/>
      <c r="L656" s="3"/>
      <c r="M656" s="3"/>
      <c r="N656" s="3"/>
      <c r="O656" s="3"/>
      <c r="P656" s="3"/>
      <c r="Q656" s="3"/>
      <c r="R656" s="3"/>
      <c r="S656" s="3"/>
      <c r="T656" s="3"/>
      <c r="U656" s="3"/>
      <c r="V656" s="3"/>
      <c r="W656" s="3"/>
      <c r="X656" s="3"/>
      <c r="Y656" s="3"/>
      <c r="Z656" s="3"/>
    </row>
    <row r="657" spans="1:26" ht="22.5" customHeight="1" x14ac:dyDescent="0.85">
      <c r="A657" s="166"/>
      <c r="B657" s="167"/>
      <c r="C657" s="167"/>
      <c r="D657" s="147"/>
      <c r="E657" s="147"/>
      <c r="F657" s="147"/>
      <c r="G657" s="147"/>
      <c r="H657" s="147"/>
      <c r="I657" s="147"/>
      <c r="J657" s="147"/>
      <c r="K657" s="3"/>
      <c r="L657" s="3"/>
      <c r="M657" s="3"/>
      <c r="N657" s="3"/>
      <c r="O657" s="3"/>
      <c r="P657" s="3"/>
      <c r="Q657" s="3"/>
      <c r="R657" s="3"/>
      <c r="S657" s="3"/>
      <c r="T657" s="3"/>
      <c r="U657" s="3"/>
      <c r="V657" s="3"/>
      <c r="W657" s="3"/>
      <c r="X657" s="3"/>
      <c r="Y657" s="3"/>
      <c r="Z657" s="3"/>
    </row>
    <row r="658" spans="1:26" ht="22.5" customHeight="1" x14ac:dyDescent="0.85">
      <c r="A658" s="166"/>
      <c r="B658" s="167"/>
      <c r="C658" s="167"/>
      <c r="D658" s="147"/>
      <c r="E658" s="147"/>
      <c r="F658" s="147"/>
      <c r="G658" s="147"/>
      <c r="H658" s="147"/>
      <c r="I658" s="147"/>
      <c r="J658" s="147"/>
      <c r="K658" s="3"/>
      <c r="L658" s="3"/>
      <c r="M658" s="3"/>
      <c r="N658" s="3"/>
      <c r="O658" s="3"/>
      <c r="P658" s="3"/>
      <c r="Q658" s="3"/>
      <c r="R658" s="3"/>
      <c r="S658" s="3"/>
      <c r="T658" s="3"/>
      <c r="U658" s="3"/>
      <c r="V658" s="3"/>
      <c r="W658" s="3"/>
      <c r="X658" s="3"/>
      <c r="Y658" s="3"/>
      <c r="Z658" s="3"/>
    </row>
    <row r="659" spans="1:26" ht="22.5" customHeight="1" x14ac:dyDescent="0.85">
      <c r="A659" s="166"/>
      <c r="B659" s="167"/>
      <c r="C659" s="167"/>
      <c r="D659" s="147"/>
      <c r="E659" s="147"/>
      <c r="F659" s="147"/>
      <c r="G659" s="147"/>
      <c r="H659" s="147"/>
      <c r="I659" s="147"/>
      <c r="J659" s="147"/>
      <c r="K659" s="3"/>
      <c r="L659" s="3"/>
      <c r="M659" s="3"/>
      <c r="N659" s="3"/>
      <c r="O659" s="3"/>
      <c r="P659" s="3"/>
      <c r="Q659" s="3"/>
      <c r="R659" s="3"/>
      <c r="S659" s="3"/>
      <c r="T659" s="3"/>
      <c r="U659" s="3"/>
      <c r="V659" s="3"/>
      <c r="W659" s="3"/>
      <c r="X659" s="3"/>
      <c r="Y659" s="3"/>
      <c r="Z659" s="3"/>
    </row>
    <row r="660" spans="1:26" ht="22.5" customHeight="1" x14ac:dyDescent="0.85">
      <c r="A660" s="166"/>
      <c r="B660" s="167"/>
      <c r="C660" s="167"/>
      <c r="D660" s="147"/>
      <c r="E660" s="147"/>
      <c r="F660" s="147"/>
      <c r="G660" s="147"/>
      <c r="H660" s="147"/>
      <c r="I660" s="147"/>
      <c r="J660" s="147"/>
      <c r="K660" s="3"/>
      <c r="L660" s="3"/>
      <c r="M660" s="3"/>
      <c r="N660" s="3"/>
      <c r="O660" s="3"/>
      <c r="P660" s="3"/>
      <c r="Q660" s="3"/>
      <c r="R660" s="3"/>
      <c r="S660" s="3"/>
      <c r="T660" s="3"/>
      <c r="U660" s="3"/>
      <c r="V660" s="3"/>
      <c r="W660" s="3"/>
      <c r="X660" s="3"/>
      <c r="Y660" s="3"/>
      <c r="Z660" s="3"/>
    </row>
    <row r="661" spans="1:26" ht="22.5" customHeight="1" x14ac:dyDescent="0.85">
      <c r="A661" s="166"/>
      <c r="B661" s="167"/>
      <c r="C661" s="167"/>
      <c r="D661" s="147"/>
      <c r="E661" s="147"/>
      <c r="F661" s="147"/>
      <c r="G661" s="147"/>
      <c r="H661" s="147"/>
      <c r="I661" s="147"/>
      <c r="J661" s="147"/>
      <c r="K661" s="3"/>
      <c r="L661" s="3"/>
      <c r="M661" s="3"/>
      <c r="N661" s="3"/>
      <c r="O661" s="3"/>
      <c r="P661" s="3"/>
      <c r="Q661" s="3"/>
      <c r="R661" s="3"/>
      <c r="S661" s="3"/>
      <c r="T661" s="3"/>
      <c r="U661" s="3"/>
      <c r="V661" s="3"/>
      <c r="W661" s="3"/>
      <c r="X661" s="3"/>
      <c r="Y661" s="3"/>
      <c r="Z661" s="3"/>
    </row>
    <row r="662" spans="1:26" ht="22.5" customHeight="1" x14ac:dyDescent="0.85">
      <c r="A662" s="166"/>
      <c r="B662" s="167"/>
      <c r="C662" s="167"/>
      <c r="D662" s="147"/>
      <c r="E662" s="147"/>
      <c r="F662" s="147"/>
      <c r="G662" s="147"/>
      <c r="H662" s="147"/>
      <c r="I662" s="147"/>
      <c r="J662" s="147"/>
      <c r="K662" s="3"/>
      <c r="L662" s="3"/>
      <c r="M662" s="3"/>
      <c r="N662" s="3"/>
      <c r="O662" s="3"/>
      <c r="P662" s="3"/>
      <c r="Q662" s="3"/>
      <c r="R662" s="3"/>
      <c r="S662" s="3"/>
      <c r="T662" s="3"/>
      <c r="U662" s="3"/>
      <c r="V662" s="3"/>
      <c r="W662" s="3"/>
      <c r="X662" s="3"/>
      <c r="Y662" s="3"/>
      <c r="Z662" s="3"/>
    </row>
    <row r="663" spans="1:26" ht="22.5" customHeight="1" x14ac:dyDescent="0.85">
      <c r="A663" s="166"/>
      <c r="B663" s="167"/>
      <c r="C663" s="167"/>
      <c r="D663" s="147"/>
      <c r="E663" s="147"/>
      <c r="F663" s="147"/>
      <c r="G663" s="147"/>
      <c r="H663" s="147"/>
      <c r="I663" s="147"/>
      <c r="J663" s="147"/>
      <c r="K663" s="3"/>
      <c r="L663" s="3"/>
      <c r="M663" s="3"/>
      <c r="N663" s="3"/>
      <c r="O663" s="3"/>
      <c r="P663" s="3"/>
      <c r="Q663" s="3"/>
      <c r="R663" s="3"/>
      <c r="S663" s="3"/>
      <c r="T663" s="3"/>
      <c r="U663" s="3"/>
      <c r="V663" s="3"/>
      <c r="W663" s="3"/>
      <c r="X663" s="3"/>
      <c r="Y663" s="3"/>
      <c r="Z663" s="3"/>
    </row>
    <row r="664" spans="1:26" ht="22.5" customHeight="1" x14ac:dyDescent="0.85">
      <c r="A664" s="166"/>
      <c r="B664" s="167"/>
      <c r="C664" s="167"/>
      <c r="D664" s="147"/>
      <c r="E664" s="147"/>
      <c r="F664" s="147"/>
      <c r="G664" s="147"/>
      <c r="H664" s="147"/>
      <c r="I664" s="147"/>
      <c r="J664" s="147"/>
      <c r="K664" s="3"/>
      <c r="L664" s="3"/>
      <c r="M664" s="3"/>
      <c r="N664" s="3"/>
      <c r="O664" s="3"/>
      <c r="P664" s="3"/>
      <c r="Q664" s="3"/>
      <c r="R664" s="3"/>
      <c r="S664" s="3"/>
      <c r="T664" s="3"/>
      <c r="U664" s="3"/>
      <c r="V664" s="3"/>
      <c r="W664" s="3"/>
      <c r="X664" s="3"/>
      <c r="Y664" s="3"/>
      <c r="Z664" s="3"/>
    </row>
    <row r="665" spans="1:26" ht="22.5" customHeight="1" x14ac:dyDescent="0.85">
      <c r="A665" s="166"/>
      <c r="B665" s="167"/>
      <c r="C665" s="167"/>
      <c r="D665" s="147"/>
      <c r="E665" s="147"/>
      <c r="F665" s="147"/>
      <c r="G665" s="147"/>
      <c r="H665" s="147"/>
      <c r="I665" s="147"/>
      <c r="J665" s="147"/>
      <c r="K665" s="3"/>
      <c r="L665" s="3"/>
      <c r="M665" s="3"/>
      <c r="N665" s="3"/>
      <c r="O665" s="3"/>
      <c r="P665" s="3"/>
      <c r="Q665" s="3"/>
      <c r="R665" s="3"/>
      <c r="S665" s="3"/>
      <c r="T665" s="3"/>
      <c r="U665" s="3"/>
      <c r="V665" s="3"/>
      <c r="W665" s="3"/>
      <c r="X665" s="3"/>
      <c r="Y665" s="3"/>
      <c r="Z665" s="3"/>
    </row>
    <row r="666" spans="1:26" ht="22.5" customHeight="1" x14ac:dyDescent="0.85">
      <c r="A666" s="166"/>
      <c r="B666" s="167"/>
      <c r="C666" s="167"/>
      <c r="D666" s="147"/>
      <c r="E666" s="147"/>
      <c r="F666" s="147"/>
      <c r="G666" s="147"/>
      <c r="H666" s="147"/>
      <c r="I666" s="147"/>
      <c r="J666" s="147"/>
      <c r="K666" s="3"/>
      <c r="L666" s="3"/>
      <c r="M666" s="3"/>
      <c r="N666" s="3"/>
      <c r="O666" s="3"/>
      <c r="P666" s="3"/>
      <c r="Q666" s="3"/>
      <c r="R666" s="3"/>
      <c r="S666" s="3"/>
      <c r="T666" s="3"/>
      <c r="U666" s="3"/>
      <c r="V666" s="3"/>
      <c r="W666" s="3"/>
      <c r="X666" s="3"/>
      <c r="Y666" s="3"/>
      <c r="Z666" s="3"/>
    </row>
    <row r="667" spans="1:26" ht="22.5" customHeight="1" x14ac:dyDescent="0.85">
      <c r="A667" s="166"/>
      <c r="B667" s="167"/>
      <c r="C667" s="167"/>
      <c r="D667" s="147"/>
      <c r="E667" s="147"/>
      <c r="F667" s="147"/>
      <c r="G667" s="147"/>
      <c r="H667" s="147"/>
      <c r="I667" s="147"/>
      <c r="J667" s="147"/>
      <c r="K667" s="3"/>
      <c r="L667" s="3"/>
      <c r="M667" s="3"/>
      <c r="N667" s="3"/>
      <c r="O667" s="3"/>
      <c r="P667" s="3"/>
      <c r="Q667" s="3"/>
      <c r="R667" s="3"/>
      <c r="S667" s="3"/>
      <c r="T667" s="3"/>
      <c r="U667" s="3"/>
      <c r="V667" s="3"/>
      <c r="W667" s="3"/>
      <c r="X667" s="3"/>
      <c r="Y667" s="3"/>
      <c r="Z667" s="3"/>
    </row>
    <row r="668" spans="1:26" ht="22.5" customHeight="1" x14ac:dyDescent="0.85">
      <c r="A668" s="166"/>
      <c r="B668" s="167"/>
      <c r="C668" s="167"/>
      <c r="D668" s="147"/>
      <c r="E668" s="147"/>
      <c r="F668" s="147"/>
      <c r="G668" s="147"/>
      <c r="H668" s="147"/>
      <c r="I668" s="147"/>
      <c r="J668" s="147"/>
      <c r="K668" s="3"/>
      <c r="L668" s="3"/>
      <c r="M668" s="3"/>
      <c r="N668" s="3"/>
      <c r="O668" s="3"/>
      <c r="P668" s="3"/>
      <c r="Q668" s="3"/>
      <c r="R668" s="3"/>
      <c r="S668" s="3"/>
      <c r="T668" s="3"/>
      <c r="U668" s="3"/>
      <c r="V668" s="3"/>
      <c r="W668" s="3"/>
      <c r="X668" s="3"/>
      <c r="Y668" s="3"/>
      <c r="Z668" s="3"/>
    </row>
    <row r="669" spans="1:26" ht="22.5" customHeight="1" x14ac:dyDescent="0.85">
      <c r="A669" s="166"/>
      <c r="B669" s="167"/>
      <c r="C669" s="167"/>
      <c r="D669" s="147"/>
      <c r="E669" s="147"/>
      <c r="F669" s="147"/>
      <c r="G669" s="147"/>
      <c r="H669" s="147"/>
      <c r="I669" s="147"/>
      <c r="J669" s="147"/>
      <c r="K669" s="3"/>
      <c r="L669" s="3"/>
      <c r="M669" s="3"/>
      <c r="N669" s="3"/>
      <c r="O669" s="3"/>
      <c r="P669" s="3"/>
      <c r="Q669" s="3"/>
      <c r="R669" s="3"/>
      <c r="S669" s="3"/>
      <c r="T669" s="3"/>
      <c r="U669" s="3"/>
      <c r="V669" s="3"/>
      <c r="W669" s="3"/>
      <c r="X669" s="3"/>
      <c r="Y669" s="3"/>
      <c r="Z669" s="3"/>
    </row>
    <row r="670" spans="1:26" ht="22.5" customHeight="1" x14ac:dyDescent="0.85">
      <c r="A670" s="166"/>
      <c r="B670" s="167"/>
      <c r="C670" s="167"/>
      <c r="D670" s="147"/>
      <c r="E670" s="147"/>
      <c r="F670" s="147"/>
      <c r="G670" s="147"/>
      <c r="H670" s="147"/>
      <c r="I670" s="147"/>
      <c r="J670" s="147"/>
      <c r="K670" s="3"/>
      <c r="L670" s="3"/>
      <c r="M670" s="3"/>
      <c r="N670" s="3"/>
      <c r="O670" s="3"/>
      <c r="P670" s="3"/>
      <c r="Q670" s="3"/>
      <c r="R670" s="3"/>
      <c r="S670" s="3"/>
      <c r="T670" s="3"/>
      <c r="U670" s="3"/>
      <c r="V670" s="3"/>
      <c r="W670" s="3"/>
      <c r="X670" s="3"/>
      <c r="Y670" s="3"/>
      <c r="Z670" s="3"/>
    </row>
    <row r="671" spans="1:26" ht="22.5" customHeight="1" x14ac:dyDescent="0.85">
      <c r="A671" s="166"/>
      <c r="B671" s="167"/>
      <c r="C671" s="167"/>
      <c r="D671" s="147"/>
      <c r="E671" s="147"/>
      <c r="F671" s="147"/>
      <c r="G671" s="147"/>
      <c r="H671" s="147"/>
      <c r="I671" s="147"/>
      <c r="J671" s="147"/>
      <c r="K671" s="3"/>
      <c r="L671" s="3"/>
      <c r="M671" s="3"/>
      <c r="N671" s="3"/>
      <c r="O671" s="3"/>
      <c r="P671" s="3"/>
      <c r="Q671" s="3"/>
      <c r="R671" s="3"/>
      <c r="S671" s="3"/>
      <c r="T671" s="3"/>
      <c r="U671" s="3"/>
      <c r="V671" s="3"/>
      <c r="W671" s="3"/>
      <c r="X671" s="3"/>
      <c r="Y671" s="3"/>
      <c r="Z671" s="3"/>
    </row>
    <row r="672" spans="1:26" ht="22.5" customHeight="1" x14ac:dyDescent="0.85">
      <c r="A672" s="166"/>
      <c r="B672" s="167"/>
      <c r="C672" s="167"/>
      <c r="D672" s="147"/>
      <c r="E672" s="147"/>
      <c r="F672" s="147"/>
      <c r="G672" s="147"/>
      <c r="H672" s="147"/>
      <c r="I672" s="147"/>
      <c r="J672" s="147"/>
      <c r="K672" s="3"/>
      <c r="L672" s="3"/>
      <c r="M672" s="3"/>
      <c r="N672" s="3"/>
      <c r="O672" s="3"/>
      <c r="P672" s="3"/>
      <c r="Q672" s="3"/>
      <c r="R672" s="3"/>
      <c r="S672" s="3"/>
      <c r="T672" s="3"/>
      <c r="U672" s="3"/>
      <c r="V672" s="3"/>
      <c r="W672" s="3"/>
      <c r="X672" s="3"/>
      <c r="Y672" s="3"/>
      <c r="Z672" s="3"/>
    </row>
    <row r="673" spans="1:26" ht="22.5" customHeight="1" x14ac:dyDescent="0.85">
      <c r="A673" s="166"/>
      <c r="B673" s="167"/>
      <c r="C673" s="167"/>
      <c r="D673" s="147"/>
      <c r="E673" s="147"/>
      <c r="F673" s="147"/>
      <c r="G673" s="147"/>
      <c r="H673" s="147"/>
      <c r="I673" s="147"/>
      <c r="J673" s="147"/>
      <c r="K673" s="3"/>
      <c r="L673" s="3"/>
      <c r="M673" s="3"/>
      <c r="N673" s="3"/>
      <c r="O673" s="3"/>
      <c r="P673" s="3"/>
      <c r="Q673" s="3"/>
      <c r="R673" s="3"/>
      <c r="S673" s="3"/>
      <c r="T673" s="3"/>
      <c r="U673" s="3"/>
      <c r="V673" s="3"/>
      <c r="W673" s="3"/>
      <c r="X673" s="3"/>
      <c r="Y673" s="3"/>
      <c r="Z673" s="3"/>
    </row>
    <row r="674" spans="1:26" ht="22.5" customHeight="1" x14ac:dyDescent="0.85">
      <c r="A674" s="166"/>
      <c r="B674" s="167"/>
      <c r="C674" s="167"/>
      <c r="D674" s="147"/>
      <c r="E674" s="147"/>
      <c r="F674" s="147"/>
      <c r="G674" s="147"/>
      <c r="H674" s="147"/>
      <c r="I674" s="147"/>
      <c r="J674" s="147"/>
      <c r="K674" s="3"/>
      <c r="L674" s="3"/>
      <c r="M674" s="3"/>
      <c r="N674" s="3"/>
      <c r="O674" s="3"/>
      <c r="P674" s="3"/>
      <c r="Q674" s="3"/>
      <c r="R674" s="3"/>
      <c r="S674" s="3"/>
      <c r="T674" s="3"/>
      <c r="U674" s="3"/>
      <c r="V674" s="3"/>
      <c r="W674" s="3"/>
      <c r="X674" s="3"/>
      <c r="Y674" s="3"/>
      <c r="Z674" s="3"/>
    </row>
    <row r="675" spans="1:26" ht="22.5" customHeight="1" x14ac:dyDescent="0.85">
      <c r="A675" s="166"/>
      <c r="B675" s="167"/>
      <c r="C675" s="167"/>
      <c r="D675" s="147"/>
      <c r="E675" s="147"/>
      <c r="F675" s="147"/>
      <c r="G675" s="147"/>
      <c r="H675" s="147"/>
      <c r="I675" s="147"/>
      <c r="J675" s="147"/>
      <c r="K675" s="3"/>
      <c r="L675" s="3"/>
      <c r="M675" s="3"/>
      <c r="N675" s="3"/>
      <c r="O675" s="3"/>
      <c r="P675" s="3"/>
      <c r="Q675" s="3"/>
      <c r="R675" s="3"/>
      <c r="S675" s="3"/>
      <c r="T675" s="3"/>
      <c r="U675" s="3"/>
      <c r="V675" s="3"/>
      <c r="W675" s="3"/>
      <c r="X675" s="3"/>
      <c r="Y675" s="3"/>
      <c r="Z675" s="3"/>
    </row>
    <row r="676" spans="1:26" ht="22.5" customHeight="1" x14ac:dyDescent="0.85">
      <c r="A676" s="166"/>
      <c r="B676" s="167"/>
      <c r="C676" s="167"/>
      <c r="D676" s="147"/>
      <c r="E676" s="147"/>
      <c r="F676" s="147"/>
      <c r="G676" s="147"/>
      <c r="H676" s="147"/>
      <c r="I676" s="147"/>
      <c r="J676" s="147"/>
      <c r="K676" s="3"/>
      <c r="L676" s="3"/>
      <c r="M676" s="3"/>
      <c r="N676" s="3"/>
      <c r="O676" s="3"/>
      <c r="P676" s="3"/>
      <c r="Q676" s="3"/>
      <c r="R676" s="3"/>
      <c r="S676" s="3"/>
      <c r="T676" s="3"/>
      <c r="U676" s="3"/>
      <c r="V676" s="3"/>
      <c r="W676" s="3"/>
      <c r="X676" s="3"/>
      <c r="Y676" s="3"/>
      <c r="Z676" s="3"/>
    </row>
    <row r="677" spans="1:26" ht="22.5" customHeight="1" x14ac:dyDescent="0.85">
      <c r="A677" s="166"/>
      <c r="B677" s="167"/>
      <c r="C677" s="167"/>
      <c r="D677" s="147"/>
      <c r="E677" s="147"/>
      <c r="F677" s="147"/>
      <c r="G677" s="147"/>
      <c r="H677" s="147"/>
      <c r="I677" s="147"/>
      <c r="J677" s="147"/>
      <c r="K677" s="3"/>
      <c r="L677" s="3"/>
      <c r="M677" s="3"/>
      <c r="N677" s="3"/>
      <c r="O677" s="3"/>
      <c r="P677" s="3"/>
      <c r="Q677" s="3"/>
      <c r="R677" s="3"/>
      <c r="S677" s="3"/>
      <c r="T677" s="3"/>
      <c r="U677" s="3"/>
      <c r="V677" s="3"/>
      <c r="W677" s="3"/>
      <c r="X677" s="3"/>
      <c r="Y677" s="3"/>
      <c r="Z677" s="3"/>
    </row>
    <row r="678" spans="1:26" ht="22.5" customHeight="1" x14ac:dyDescent="0.85">
      <c r="A678" s="166"/>
      <c r="B678" s="167"/>
      <c r="C678" s="167"/>
      <c r="D678" s="147"/>
      <c r="E678" s="147"/>
      <c r="F678" s="147"/>
      <c r="G678" s="147"/>
      <c r="H678" s="147"/>
      <c r="I678" s="147"/>
      <c r="J678" s="147"/>
      <c r="K678" s="3"/>
      <c r="L678" s="3"/>
      <c r="M678" s="3"/>
      <c r="N678" s="3"/>
      <c r="O678" s="3"/>
      <c r="P678" s="3"/>
      <c r="Q678" s="3"/>
      <c r="R678" s="3"/>
      <c r="S678" s="3"/>
      <c r="T678" s="3"/>
      <c r="U678" s="3"/>
      <c r="V678" s="3"/>
      <c r="W678" s="3"/>
      <c r="X678" s="3"/>
      <c r="Y678" s="3"/>
      <c r="Z678" s="3"/>
    </row>
    <row r="679" spans="1:26" ht="22.5" customHeight="1" x14ac:dyDescent="0.85">
      <c r="A679" s="166"/>
      <c r="B679" s="167"/>
      <c r="C679" s="167"/>
      <c r="D679" s="147"/>
      <c r="E679" s="147"/>
      <c r="F679" s="147"/>
      <c r="G679" s="147"/>
      <c r="H679" s="147"/>
      <c r="I679" s="147"/>
      <c r="J679" s="147"/>
      <c r="K679" s="3"/>
      <c r="L679" s="3"/>
      <c r="M679" s="3"/>
      <c r="N679" s="3"/>
      <c r="O679" s="3"/>
      <c r="P679" s="3"/>
      <c r="Q679" s="3"/>
      <c r="R679" s="3"/>
      <c r="S679" s="3"/>
      <c r="T679" s="3"/>
      <c r="U679" s="3"/>
      <c r="V679" s="3"/>
      <c r="W679" s="3"/>
      <c r="X679" s="3"/>
      <c r="Y679" s="3"/>
      <c r="Z679" s="3"/>
    </row>
    <row r="680" spans="1:26" ht="22.5" customHeight="1" x14ac:dyDescent="0.85">
      <c r="A680" s="166"/>
      <c r="B680" s="167"/>
      <c r="C680" s="167"/>
      <c r="D680" s="147"/>
      <c r="E680" s="147"/>
      <c r="F680" s="147"/>
      <c r="G680" s="147"/>
      <c r="H680" s="147"/>
      <c r="I680" s="147"/>
      <c r="J680" s="147"/>
      <c r="K680" s="3"/>
      <c r="L680" s="3"/>
      <c r="M680" s="3"/>
      <c r="N680" s="3"/>
      <c r="O680" s="3"/>
      <c r="P680" s="3"/>
      <c r="Q680" s="3"/>
      <c r="R680" s="3"/>
      <c r="S680" s="3"/>
      <c r="T680" s="3"/>
      <c r="U680" s="3"/>
      <c r="V680" s="3"/>
      <c r="W680" s="3"/>
      <c r="X680" s="3"/>
      <c r="Y680" s="3"/>
      <c r="Z680" s="3"/>
    </row>
    <row r="681" spans="1:26" ht="22.5" customHeight="1" x14ac:dyDescent="0.85">
      <c r="A681" s="166"/>
      <c r="B681" s="167"/>
      <c r="C681" s="167"/>
      <c r="D681" s="147"/>
      <c r="E681" s="147"/>
      <c r="F681" s="147"/>
      <c r="G681" s="147"/>
      <c r="H681" s="147"/>
      <c r="I681" s="147"/>
      <c r="J681" s="147"/>
      <c r="K681" s="3"/>
      <c r="L681" s="3"/>
      <c r="M681" s="3"/>
      <c r="N681" s="3"/>
      <c r="O681" s="3"/>
      <c r="P681" s="3"/>
      <c r="Q681" s="3"/>
      <c r="R681" s="3"/>
      <c r="S681" s="3"/>
      <c r="T681" s="3"/>
      <c r="U681" s="3"/>
      <c r="V681" s="3"/>
      <c r="W681" s="3"/>
      <c r="X681" s="3"/>
      <c r="Y681" s="3"/>
      <c r="Z681" s="3"/>
    </row>
    <row r="682" spans="1:26" ht="22.5" customHeight="1" x14ac:dyDescent="0.85">
      <c r="A682" s="166"/>
      <c r="B682" s="167"/>
      <c r="C682" s="167"/>
      <c r="D682" s="147"/>
      <c r="E682" s="147"/>
      <c r="F682" s="147"/>
      <c r="G682" s="147"/>
      <c r="H682" s="147"/>
      <c r="I682" s="147"/>
      <c r="J682" s="147"/>
      <c r="K682" s="3"/>
      <c r="L682" s="3"/>
      <c r="M682" s="3"/>
      <c r="N682" s="3"/>
      <c r="O682" s="3"/>
      <c r="P682" s="3"/>
      <c r="Q682" s="3"/>
      <c r="R682" s="3"/>
      <c r="S682" s="3"/>
      <c r="T682" s="3"/>
      <c r="U682" s="3"/>
      <c r="V682" s="3"/>
      <c r="W682" s="3"/>
      <c r="X682" s="3"/>
      <c r="Y682" s="3"/>
      <c r="Z682" s="3"/>
    </row>
    <row r="683" spans="1:26" ht="22.5" customHeight="1" x14ac:dyDescent="0.85">
      <c r="A683" s="166"/>
      <c r="B683" s="167"/>
      <c r="C683" s="167"/>
      <c r="D683" s="147"/>
      <c r="E683" s="147"/>
      <c r="F683" s="147"/>
      <c r="G683" s="147"/>
      <c r="H683" s="147"/>
      <c r="I683" s="147"/>
      <c r="J683" s="147"/>
      <c r="K683" s="3"/>
      <c r="L683" s="3"/>
      <c r="M683" s="3"/>
      <c r="N683" s="3"/>
      <c r="O683" s="3"/>
      <c r="P683" s="3"/>
      <c r="Q683" s="3"/>
      <c r="R683" s="3"/>
      <c r="S683" s="3"/>
      <c r="T683" s="3"/>
      <c r="U683" s="3"/>
      <c r="V683" s="3"/>
      <c r="W683" s="3"/>
      <c r="X683" s="3"/>
      <c r="Y683" s="3"/>
      <c r="Z683" s="3"/>
    </row>
    <row r="684" spans="1:26" ht="22.5" customHeight="1" x14ac:dyDescent="0.85">
      <c r="A684" s="166"/>
      <c r="B684" s="167"/>
      <c r="C684" s="167"/>
      <c r="D684" s="147"/>
      <c r="E684" s="147"/>
      <c r="F684" s="147"/>
      <c r="G684" s="147"/>
      <c r="H684" s="147"/>
      <c r="I684" s="147"/>
      <c r="J684" s="147"/>
      <c r="K684" s="3"/>
      <c r="L684" s="3"/>
      <c r="M684" s="3"/>
      <c r="N684" s="3"/>
      <c r="O684" s="3"/>
      <c r="P684" s="3"/>
      <c r="Q684" s="3"/>
      <c r="R684" s="3"/>
      <c r="S684" s="3"/>
      <c r="T684" s="3"/>
      <c r="U684" s="3"/>
      <c r="V684" s="3"/>
      <c r="W684" s="3"/>
      <c r="X684" s="3"/>
      <c r="Y684" s="3"/>
      <c r="Z684" s="3"/>
    </row>
    <row r="685" spans="1:26" ht="22.5" customHeight="1" x14ac:dyDescent="0.85">
      <c r="A685" s="166"/>
      <c r="B685" s="167"/>
      <c r="C685" s="167"/>
      <c r="D685" s="147"/>
      <c r="E685" s="147"/>
      <c r="F685" s="147"/>
      <c r="G685" s="147"/>
      <c r="H685" s="147"/>
      <c r="I685" s="147"/>
      <c r="J685" s="147"/>
      <c r="K685" s="3"/>
      <c r="L685" s="3"/>
      <c r="M685" s="3"/>
      <c r="N685" s="3"/>
      <c r="O685" s="3"/>
      <c r="P685" s="3"/>
      <c r="Q685" s="3"/>
      <c r="R685" s="3"/>
      <c r="S685" s="3"/>
      <c r="T685" s="3"/>
      <c r="U685" s="3"/>
      <c r="V685" s="3"/>
      <c r="W685" s="3"/>
      <c r="X685" s="3"/>
      <c r="Y685" s="3"/>
      <c r="Z685" s="3"/>
    </row>
    <row r="686" spans="1:26" ht="22.5" customHeight="1" x14ac:dyDescent="0.85">
      <c r="A686" s="166"/>
      <c r="B686" s="167"/>
      <c r="C686" s="167"/>
      <c r="D686" s="147"/>
      <c r="E686" s="147"/>
      <c r="F686" s="147"/>
      <c r="G686" s="147"/>
      <c r="H686" s="147"/>
      <c r="I686" s="147"/>
      <c r="J686" s="147"/>
      <c r="K686" s="3"/>
      <c r="L686" s="3"/>
      <c r="M686" s="3"/>
      <c r="N686" s="3"/>
      <c r="O686" s="3"/>
      <c r="P686" s="3"/>
      <c r="Q686" s="3"/>
      <c r="R686" s="3"/>
      <c r="S686" s="3"/>
      <c r="T686" s="3"/>
      <c r="U686" s="3"/>
      <c r="V686" s="3"/>
      <c r="W686" s="3"/>
      <c r="X686" s="3"/>
      <c r="Y686" s="3"/>
      <c r="Z686" s="3"/>
    </row>
    <row r="687" spans="1:26" ht="22.5" customHeight="1" x14ac:dyDescent="0.85">
      <c r="A687" s="166"/>
      <c r="B687" s="167"/>
      <c r="C687" s="167"/>
      <c r="D687" s="147"/>
      <c r="E687" s="147"/>
      <c r="F687" s="147"/>
      <c r="G687" s="147"/>
      <c r="H687" s="147"/>
      <c r="I687" s="147"/>
      <c r="J687" s="147"/>
      <c r="K687" s="3"/>
      <c r="L687" s="3"/>
      <c r="M687" s="3"/>
      <c r="N687" s="3"/>
      <c r="O687" s="3"/>
      <c r="P687" s="3"/>
      <c r="Q687" s="3"/>
      <c r="R687" s="3"/>
      <c r="S687" s="3"/>
      <c r="T687" s="3"/>
      <c r="U687" s="3"/>
      <c r="V687" s="3"/>
      <c r="W687" s="3"/>
      <c r="X687" s="3"/>
      <c r="Y687" s="3"/>
      <c r="Z687" s="3"/>
    </row>
    <row r="688" spans="1:26" ht="22.5" customHeight="1" x14ac:dyDescent="0.85">
      <c r="A688" s="166"/>
      <c r="B688" s="167"/>
      <c r="C688" s="167"/>
      <c r="D688" s="147"/>
      <c r="E688" s="147"/>
      <c r="F688" s="147"/>
      <c r="G688" s="147"/>
      <c r="H688" s="147"/>
      <c r="I688" s="147"/>
      <c r="J688" s="147"/>
      <c r="K688" s="3"/>
      <c r="L688" s="3"/>
      <c r="M688" s="3"/>
      <c r="N688" s="3"/>
      <c r="O688" s="3"/>
      <c r="P688" s="3"/>
      <c r="Q688" s="3"/>
      <c r="R688" s="3"/>
      <c r="S688" s="3"/>
      <c r="T688" s="3"/>
      <c r="U688" s="3"/>
      <c r="V688" s="3"/>
      <c r="W688" s="3"/>
      <c r="X688" s="3"/>
      <c r="Y688" s="3"/>
      <c r="Z688" s="3"/>
    </row>
    <row r="689" spans="1:26" ht="22.5" customHeight="1" x14ac:dyDescent="0.85">
      <c r="A689" s="166"/>
      <c r="B689" s="167"/>
      <c r="C689" s="167"/>
      <c r="D689" s="147"/>
      <c r="E689" s="147"/>
      <c r="F689" s="147"/>
      <c r="G689" s="147"/>
      <c r="H689" s="147"/>
      <c r="I689" s="147"/>
      <c r="J689" s="147"/>
      <c r="K689" s="3"/>
      <c r="L689" s="3"/>
      <c r="M689" s="3"/>
      <c r="N689" s="3"/>
      <c r="O689" s="3"/>
      <c r="P689" s="3"/>
      <c r="Q689" s="3"/>
      <c r="R689" s="3"/>
      <c r="S689" s="3"/>
      <c r="T689" s="3"/>
      <c r="U689" s="3"/>
      <c r="V689" s="3"/>
      <c r="W689" s="3"/>
      <c r="X689" s="3"/>
      <c r="Y689" s="3"/>
      <c r="Z689" s="3"/>
    </row>
    <row r="690" spans="1:26" ht="22.5" customHeight="1" x14ac:dyDescent="0.85">
      <c r="A690" s="166"/>
      <c r="B690" s="167"/>
      <c r="C690" s="167"/>
      <c r="D690" s="147"/>
      <c r="E690" s="147"/>
      <c r="F690" s="147"/>
      <c r="G690" s="147"/>
      <c r="H690" s="147"/>
      <c r="I690" s="147"/>
      <c r="J690" s="147"/>
      <c r="K690" s="3"/>
      <c r="L690" s="3"/>
      <c r="M690" s="3"/>
      <c r="N690" s="3"/>
      <c r="O690" s="3"/>
      <c r="P690" s="3"/>
      <c r="Q690" s="3"/>
      <c r="R690" s="3"/>
      <c r="S690" s="3"/>
      <c r="T690" s="3"/>
      <c r="U690" s="3"/>
      <c r="V690" s="3"/>
      <c r="W690" s="3"/>
      <c r="X690" s="3"/>
      <c r="Y690" s="3"/>
      <c r="Z690" s="3"/>
    </row>
    <row r="691" spans="1:26" ht="22.5" customHeight="1" x14ac:dyDescent="0.85">
      <c r="A691" s="166"/>
      <c r="B691" s="167"/>
      <c r="C691" s="167"/>
      <c r="D691" s="147"/>
      <c r="E691" s="147"/>
      <c r="F691" s="147"/>
      <c r="G691" s="147"/>
      <c r="H691" s="147"/>
      <c r="I691" s="147"/>
      <c r="J691" s="147"/>
      <c r="K691" s="3"/>
      <c r="L691" s="3"/>
      <c r="M691" s="3"/>
      <c r="N691" s="3"/>
      <c r="O691" s="3"/>
      <c r="P691" s="3"/>
      <c r="Q691" s="3"/>
      <c r="R691" s="3"/>
      <c r="S691" s="3"/>
      <c r="T691" s="3"/>
      <c r="U691" s="3"/>
      <c r="V691" s="3"/>
      <c r="W691" s="3"/>
      <c r="X691" s="3"/>
      <c r="Y691" s="3"/>
      <c r="Z691" s="3"/>
    </row>
    <row r="692" spans="1:26" ht="22.5" customHeight="1" x14ac:dyDescent="0.85">
      <c r="A692" s="166"/>
      <c r="B692" s="167"/>
      <c r="C692" s="167"/>
      <c r="D692" s="147"/>
      <c r="E692" s="147"/>
      <c r="F692" s="147"/>
      <c r="G692" s="147"/>
      <c r="H692" s="147"/>
      <c r="I692" s="147"/>
      <c r="J692" s="147"/>
      <c r="K692" s="3"/>
      <c r="L692" s="3"/>
      <c r="M692" s="3"/>
      <c r="N692" s="3"/>
      <c r="O692" s="3"/>
      <c r="P692" s="3"/>
      <c r="Q692" s="3"/>
      <c r="R692" s="3"/>
      <c r="S692" s="3"/>
      <c r="T692" s="3"/>
      <c r="U692" s="3"/>
      <c r="V692" s="3"/>
      <c r="W692" s="3"/>
      <c r="X692" s="3"/>
      <c r="Y692" s="3"/>
      <c r="Z692" s="3"/>
    </row>
    <row r="693" spans="1:26" ht="22.5" customHeight="1" x14ac:dyDescent="0.85">
      <c r="A693" s="166"/>
      <c r="B693" s="167"/>
      <c r="C693" s="167"/>
      <c r="D693" s="147"/>
      <c r="E693" s="147"/>
      <c r="F693" s="147"/>
      <c r="G693" s="147"/>
      <c r="H693" s="147"/>
      <c r="I693" s="147"/>
      <c r="J693" s="147"/>
      <c r="K693" s="3"/>
      <c r="L693" s="3"/>
      <c r="M693" s="3"/>
      <c r="N693" s="3"/>
      <c r="O693" s="3"/>
      <c r="P693" s="3"/>
      <c r="Q693" s="3"/>
      <c r="R693" s="3"/>
      <c r="S693" s="3"/>
      <c r="T693" s="3"/>
      <c r="U693" s="3"/>
      <c r="V693" s="3"/>
      <c r="W693" s="3"/>
      <c r="X693" s="3"/>
      <c r="Y693" s="3"/>
      <c r="Z693" s="3"/>
    </row>
    <row r="694" spans="1:26" ht="22.5" customHeight="1" x14ac:dyDescent="0.85">
      <c r="A694" s="166"/>
      <c r="B694" s="167"/>
      <c r="C694" s="167"/>
      <c r="D694" s="147"/>
      <c r="E694" s="147"/>
      <c r="F694" s="147"/>
      <c r="G694" s="147"/>
      <c r="H694" s="147"/>
      <c r="I694" s="147"/>
      <c r="J694" s="147"/>
      <c r="K694" s="3"/>
      <c r="L694" s="3"/>
      <c r="M694" s="3"/>
      <c r="N694" s="3"/>
      <c r="O694" s="3"/>
      <c r="P694" s="3"/>
      <c r="Q694" s="3"/>
      <c r="R694" s="3"/>
      <c r="S694" s="3"/>
      <c r="T694" s="3"/>
      <c r="U694" s="3"/>
      <c r="V694" s="3"/>
      <c r="W694" s="3"/>
      <c r="X694" s="3"/>
      <c r="Y694" s="3"/>
      <c r="Z694" s="3"/>
    </row>
    <row r="695" spans="1:26" ht="22.5" customHeight="1" x14ac:dyDescent="0.85">
      <c r="A695" s="166"/>
      <c r="B695" s="167"/>
      <c r="C695" s="167"/>
      <c r="D695" s="147"/>
      <c r="E695" s="147"/>
      <c r="F695" s="147"/>
      <c r="G695" s="147"/>
      <c r="H695" s="147"/>
      <c r="I695" s="147"/>
      <c r="J695" s="147"/>
      <c r="K695" s="3"/>
      <c r="L695" s="3"/>
      <c r="M695" s="3"/>
      <c r="N695" s="3"/>
      <c r="O695" s="3"/>
      <c r="P695" s="3"/>
      <c r="Q695" s="3"/>
      <c r="R695" s="3"/>
      <c r="S695" s="3"/>
      <c r="T695" s="3"/>
      <c r="U695" s="3"/>
      <c r="V695" s="3"/>
      <c r="W695" s="3"/>
      <c r="X695" s="3"/>
      <c r="Y695" s="3"/>
      <c r="Z695" s="3"/>
    </row>
    <row r="696" spans="1:26" ht="22.5" customHeight="1" x14ac:dyDescent="0.85">
      <c r="A696" s="166"/>
      <c r="B696" s="167"/>
      <c r="C696" s="167"/>
      <c r="D696" s="147"/>
      <c r="E696" s="147"/>
      <c r="F696" s="147"/>
      <c r="G696" s="147"/>
      <c r="H696" s="147"/>
      <c r="I696" s="147"/>
      <c r="J696" s="147"/>
      <c r="K696" s="3"/>
      <c r="L696" s="3"/>
      <c r="M696" s="3"/>
      <c r="N696" s="3"/>
      <c r="O696" s="3"/>
      <c r="P696" s="3"/>
      <c r="Q696" s="3"/>
      <c r="R696" s="3"/>
      <c r="S696" s="3"/>
      <c r="T696" s="3"/>
      <c r="U696" s="3"/>
      <c r="V696" s="3"/>
      <c r="W696" s="3"/>
      <c r="X696" s="3"/>
      <c r="Y696" s="3"/>
      <c r="Z696" s="3"/>
    </row>
    <row r="697" spans="1:26" ht="22.5" customHeight="1" x14ac:dyDescent="0.85">
      <c r="A697" s="166"/>
      <c r="B697" s="167"/>
      <c r="C697" s="167"/>
      <c r="D697" s="147"/>
      <c r="E697" s="147"/>
      <c r="F697" s="147"/>
      <c r="G697" s="147"/>
      <c r="H697" s="147"/>
      <c r="I697" s="147"/>
      <c r="J697" s="147"/>
      <c r="K697" s="3"/>
      <c r="L697" s="3"/>
      <c r="M697" s="3"/>
      <c r="N697" s="3"/>
      <c r="O697" s="3"/>
      <c r="P697" s="3"/>
      <c r="Q697" s="3"/>
      <c r="R697" s="3"/>
      <c r="S697" s="3"/>
      <c r="T697" s="3"/>
      <c r="U697" s="3"/>
      <c r="V697" s="3"/>
      <c r="W697" s="3"/>
      <c r="X697" s="3"/>
      <c r="Y697" s="3"/>
      <c r="Z697" s="3"/>
    </row>
    <row r="698" spans="1:26" ht="22.5" customHeight="1" x14ac:dyDescent="0.85">
      <c r="A698" s="166"/>
      <c r="B698" s="167"/>
      <c r="C698" s="167"/>
      <c r="D698" s="147"/>
      <c r="E698" s="147"/>
      <c r="F698" s="147"/>
      <c r="G698" s="147"/>
      <c r="H698" s="147"/>
      <c r="I698" s="147"/>
      <c r="J698" s="147"/>
      <c r="K698" s="3"/>
      <c r="L698" s="3"/>
      <c r="M698" s="3"/>
      <c r="N698" s="3"/>
      <c r="O698" s="3"/>
      <c r="P698" s="3"/>
      <c r="Q698" s="3"/>
      <c r="R698" s="3"/>
      <c r="S698" s="3"/>
      <c r="T698" s="3"/>
      <c r="U698" s="3"/>
      <c r="V698" s="3"/>
      <c r="W698" s="3"/>
      <c r="X698" s="3"/>
      <c r="Y698" s="3"/>
      <c r="Z698" s="3"/>
    </row>
    <row r="699" spans="1:26" ht="22.5" customHeight="1" x14ac:dyDescent="0.85">
      <c r="A699" s="166"/>
      <c r="B699" s="167"/>
      <c r="C699" s="167"/>
      <c r="D699" s="147"/>
      <c r="E699" s="147"/>
      <c r="F699" s="147"/>
      <c r="G699" s="147"/>
      <c r="H699" s="147"/>
      <c r="I699" s="147"/>
      <c r="J699" s="147"/>
      <c r="K699" s="3"/>
      <c r="L699" s="3"/>
      <c r="M699" s="3"/>
      <c r="N699" s="3"/>
      <c r="O699" s="3"/>
      <c r="P699" s="3"/>
      <c r="Q699" s="3"/>
      <c r="R699" s="3"/>
      <c r="S699" s="3"/>
      <c r="T699" s="3"/>
      <c r="U699" s="3"/>
      <c r="V699" s="3"/>
      <c r="W699" s="3"/>
      <c r="X699" s="3"/>
      <c r="Y699" s="3"/>
      <c r="Z699" s="3"/>
    </row>
    <row r="700" spans="1:26" ht="22.5" customHeight="1" x14ac:dyDescent="0.85">
      <c r="A700" s="166"/>
      <c r="B700" s="167"/>
      <c r="C700" s="167"/>
      <c r="D700" s="147"/>
      <c r="E700" s="147"/>
      <c r="F700" s="147"/>
      <c r="G700" s="147"/>
      <c r="H700" s="147"/>
      <c r="I700" s="147"/>
      <c r="J700" s="147"/>
      <c r="K700" s="3"/>
      <c r="L700" s="3"/>
      <c r="M700" s="3"/>
      <c r="N700" s="3"/>
      <c r="O700" s="3"/>
      <c r="P700" s="3"/>
      <c r="Q700" s="3"/>
      <c r="R700" s="3"/>
      <c r="S700" s="3"/>
      <c r="T700" s="3"/>
      <c r="U700" s="3"/>
      <c r="V700" s="3"/>
      <c r="W700" s="3"/>
      <c r="X700" s="3"/>
      <c r="Y700" s="3"/>
      <c r="Z700" s="3"/>
    </row>
    <row r="701" spans="1:26" ht="22.5" customHeight="1" x14ac:dyDescent="0.85">
      <c r="A701" s="166"/>
      <c r="B701" s="167"/>
      <c r="C701" s="167"/>
      <c r="D701" s="147"/>
      <c r="E701" s="147"/>
      <c r="F701" s="147"/>
      <c r="G701" s="147"/>
      <c r="H701" s="147"/>
      <c r="I701" s="147"/>
      <c r="J701" s="147"/>
      <c r="K701" s="3"/>
      <c r="L701" s="3"/>
      <c r="M701" s="3"/>
      <c r="N701" s="3"/>
      <c r="O701" s="3"/>
      <c r="P701" s="3"/>
      <c r="Q701" s="3"/>
      <c r="R701" s="3"/>
      <c r="S701" s="3"/>
      <c r="T701" s="3"/>
      <c r="U701" s="3"/>
      <c r="V701" s="3"/>
      <c r="W701" s="3"/>
      <c r="X701" s="3"/>
      <c r="Y701" s="3"/>
      <c r="Z701" s="3"/>
    </row>
    <row r="702" spans="1:26" ht="22.5" customHeight="1" x14ac:dyDescent="0.85">
      <c r="A702" s="166"/>
      <c r="B702" s="167"/>
      <c r="C702" s="167"/>
      <c r="D702" s="147"/>
      <c r="E702" s="147"/>
      <c r="F702" s="147"/>
      <c r="G702" s="147"/>
      <c r="H702" s="147"/>
      <c r="I702" s="147"/>
      <c r="J702" s="147"/>
      <c r="K702" s="3"/>
      <c r="L702" s="3"/>
      <c r="M702" s="3"/>
      <c r="N702" s="3"/>
      <c r="O702" s="3"/>
      <c r="P702" s="3"/>
      <c r="Q702" s="3"/>
      <c r="R702" s="3"/>
      <c r="S702" s="3"/>
      <c r="T702" s="3"/>
      <c r="U702" s="3"/>
      <c r="V702" s="3"/>
      <c r="W702" s="3"/>
      <c r="X702" s="3"/>
      <c r="Y702" s="3"/>
      <c r="Z702" s="3"/>
    </row>
    <row r="703" spans="1:26" ht="22.5" customHeight="1" x14ac:dyDescent="0.85">
      <c r="A703" s="166"/>
      <c r="B703" s="167"/>
      <c r="C703" s="167"/>
      <c r="D703" s="147"/>
      <c r="E703" s="147"/>
      <c r="F703" s="147"/>
      <c r="G703" s="147"/>
      <c r="H703" s="147"/>
      <c r="I703" s="147"/>
      <c r="J703" s="147"/>
      <c r="K703" s="3"/>
      <c r="L703" s="3"/>
      <c r="M703" s="3"/>
      <c r="N703" s="3"/>
      <c r="O703" s="3"/>
      <c r="P703" s="3"/>
      <c r="Q703" s="3"/>
      <c r="R703" s="3"/>
      <c r="S703" s="3"/>
      <c r="T703" s="3"/>
      <c r="U703" s="3"/>
      <c r="V703" s="3"/>
      <c r="W703" s="3"/>
      <c r="X703" s="3"/>
      <c r="Y703" s="3"/>
      <c r="Z703" s="3"/>
    </row>
    <row r="704" spans="1:26" ht="22.5" customHeight="1" x14ac:dyDescent="0.85">
      <c r="A704" s="166"/>
      <c r="B704" s="167"/>
      <c r="C704" s="167"/>
      <c r="D704" s="147"/>
      <c r="E704" s="147"/>
      <c r="F704" s="147"/>
      <c r="G704" s="147"/>
      <c r="H704" s="147"/>
      <c r="I704" s="147"/>
      <c r="J704" s="147"/>
      <c r="K704" s="3"/>
      <c r="L704" s="3"/>
      <c r="M704" s="3"/>
      <c r="N704" s="3"/>
      <c r="O704" s="3"/>
      <c r="P704" s="3"/>
      <c r="Q704" s="3"/>
      <c r="R704" s="3"/>
      <c r="S704" s="3"/>
      <c r="T704" s="3"/>
      <c r="U704" s="3"/>
      <c r="V704" s="3"/>
      <c r="W704" s="3"/>
      <c r="X704" s="3"/>
      <c r="Y704" s="3"/>
      <c r="Z704" s="3"/>
    </row>
    <row r="705" spans="1:26" ht="22.5" customHeight="1" x14ac:dyDescent="0.85">
      <c r="A705" s="166"/>
      <c r="B705" s="167"/>
      <c r="C705" s="167"/>
      <c r="D705" s="147"/>
      <c r="E705" s="147"/>
      <c r="F705" s="147"/>
      <c r="G705" s="147"/>
      <c r="H705" s="147"/>
      <c r="I705" s="147"/>
      <c r="J705" s="147"/>
      <c r="K705" s="3"/>
      <c r="L705" s="3"/>
      <c r="M705" s="3"/>
      <c r="N705" s="3"/>
      <c r="O705" s="3"/>
      <c r="P705" s="3"/>
      <c r="Q705" s="3"/>
      <c r="R705" s="3"/>
      <c r="S705" s="3"/>
      <c r="T705" s="3"/>
      <c r="U705" s="3"/>
      <c r="V705" s="3"/>
      <c r="W705" s="3"/>
      <c r="X705" s="3"/>
      <c r="Y705" s="3"/>
      <c r="Z705" s="3"/>
    </row>
    <row r="706" spans="1:26" ht="22.5" customHeight="1" x14ac:dyDescent="0.85">
      <c r="A706" s="166"/>
      <c r="B706" s="167"/>
      <c r="C706" s="167"/>
      <c r="D706" s="147"/>
      <c r="E706" s="147"/>
      <c r="F706" s="147"/>
      <c r="G706" s="147"/>
      <c r="H706" s="147"/>
      <c r="I706" s="147"/>
      <c r="J706" s="147"/>
      <c r="K706" s="3"/>
      <c r="L706" s="3"/>
      <c r="M706" s="3"/>
      <c r="N706" s="3"/>
      <c r="O706" s="3"/>
      <c r="P706" s="3"/>
      <c r="Q706" s="3"/>
      <c r="R706" s="3"/>
      <c r="S706" s="3"/>
      <c r="T706" s="3"/>
      <c r="U706" s="3"/>
      <c r="V706" s="3"/>
      <c r="W706" s="3"/>
      <c r="X706" s="3"/>
      <c r="Y706" s="3"/>
      <c r="Z706" s="3"/>
    </row>
    <row r="707" spans="1:26" ht="22.5" customHeight="1" x14ac:dyDescent="0.85">
      <c r="A707" s="166"/>
      <c r="B707" s="167"/>
      <c r="C707" s="167"/>
      <c r="D707" s="147"/>
      <c r="E707" s="147"/>
      <c r="F707" s="147"/>
      <c r="G707" s="147"/>
      <c r="H707" s="147"/>
      <c r="I707" s="147"/>
      <c r="J707" s="147"/>
      <c r="K707" s="3"/>
      <c r="L707" s="3"/>
      <c r="M707" s="3"/>
      <c r="N707" s="3"/>
      <c r="O707" s="3"/>
      <c r="P707" s="3"/>
      <c r="Q707" s="3"/>
      <c r="R707" s="3"/>
      <c r="S707" s="3"/>
      <c r="T707" s="3"/>
      <c r="U707" s="3"/>
      <c r="V707" s="3"/>
      <c r="W707" s="3"/>
      <c r="X707" s="3"/>
      <c r="Y707" s="3"/>
      <c r="Z707" s="3"/>
    </row>
    <row r="708" spans="1:26" ht="22.5" customHeight="1" x14ac:dyDescent="0.85">
      <c r="A708" s="166"/>
      <c r="B708" s="167"/>
      <c r="C708" s="167"/>
      <c r="D708" s="147"/>
      <c r="E708" s="147"/>
      <c r="F708" s="147"/>
      <c r="G708" s="147"/>
      <c r="H708" s="147"/>
      <c r="I708" s="147"/>
      <c r="J708" s="147"/>
      <c r="K708" s="3"/>
      <c r="L708" s="3"/>
      <c r="M708" s="3"/>
      <c r="N708" s="3"/>
      <c r="O708" s="3"/>
      <c r="P708" s="3"/>
      <c r="Q708" s="3"/>
      <c r="R708" s="3"/>
      <c r="S708" s="3"/>
      <c r="T708" s="3"/>
      <c r="U708" s="3"/>
      <c r="V708" s="3"/>
      <c r="W708" s="3"/>
      <c r="X708" s="3"/>
      <c r="Y708" s="3"/>
      <c r="Z708" s="3"/>
    </row>
    <row r="709" spans="1:26" ht="22.5" customHeight="1" x14ac:dyDescent="0.85">
      <c r="A709" s="166"/>
      <c r="B709" s="167"/>
      <c r="C709" s="167"/>
      <c r="D709" s="147"/>
      <c r="E709" s="147"/>
      <c r="F709" s="147"/>
      <c r="G709" s="147"/>
      <c r="H709" s="147"/>
      <c r="I709" s="147"/>
      <c r="J709" s="147"/>
      <c r="K709" s="3"/>
      <c r="L709" s="3"/>
      <c r="M709" s="3"/>
      <c r="N709" s="3"/>
      <c r="O709" s="3"/>
      <c r="P709" s="3"/>
      <c r="Q709" s="3"/>
      <c r="R709" s="3"/>
      <c r="S709" s="3"/>
      <c r="T709" s="3"/>
      <c r="U709" s="3"/>
      <c r="V709" s="3"/>
      <c r="W709" s="3"/>
      <c r="X709" s="3"/>
      <c r="Y709" s="3"/>
      <c r="Z709" s="3"/>
    </row>
    <row r="710" spans="1:26" ht="22.5" customHeight="1" x14ac:dyDescent="0.85">
      <c r="A710" s="166"/>
      <c r="B710" s="167"/>
      <c r="C710" s="167"/>
      <c r="D710" s="147"/>
      <c r="E710" s="147"/>
      <c r="F710" s="147"/>
      <c r="G710" s="147"/>
      <c r="H710" s="147"/>
      <c r="I710" s="147"/>
      <c r="J710" s="147"/>
      <c r="K710" s="3"/>
      <c r="L710" s="3"/>
      <c r="M710" s="3"/>
      <c r="N710" s="3"/>
      <c r="O710" s="3"/>
      <c r="P710" s="3"/>
      <c r="Q710" s="3"/>
      <c r="R710" s="3"/>
      <c r="S710" s="3"/>
      <c r="T710" s="3"/>
      <c r="U710" s="3"/>
      <c r="V710" s="3"/>
      <c r="W710" s="3"/>
      <c r="X710" s="3"/>
      <c r="Y710" s="3"/>
      <c r="Z710" s="3"/>
    </row>
    <row r="711" spans="1:26" ht="22.5" customHeight="1" x14ac:dyDescent="0.85">
      <c r="A711" s="166"/>
      <c r="B711" s="167"/>
      <c r="C711" s="167"/>
      <c r="D711" s="147"/>
      <c r="E711" s="147"/>
      <c r="F711" s="147"/>
      <c r="G711" s="147"/>
      <c r="H711" s="147"/>
      <c r="I711" s="147"/>
      <c r="J711" s="147"/>
      <c r="K711" s="3"/>
      <c r="L711" s="3"/>
      <c r="M711" s="3"/>
      <c r="N711" s="3"/>
      <c r="O711" s="3"/>
      <c r="P711" s="3"/>
      <c r="Q711" s="3"/>
      <c r="R711" s="3"/>
      <c r="S711" s="3"/>
      <c r="T711" s="3"/>
      <c r="U711" s="3"/>
      <c r="V711" s="3"/>
      <c r="W711" s="3"/>
      <c r="X711" s="3"/>
      <c r="Y711" s="3"/>
      <c r="Z711" s="3"/>
    </row>
    <row r="712" spans="1:26" ht="22.5" customHeight="1" x14ac:dyDescent="0.85">
      <c r="A712" s="166"/>
      <c r="B712" s="167"/>
      <c r="C712" s="167"/>
      <c r="D712" s="147"/>
      <c r="E712" s="147"/>
      <c r="F712" s="147"/>
      <c r="G712" s="147"/>
      <c r="H712" s="147"/>
      <c r="I712" s="147"/>
      <c r="J712" s="147"/>
      <c r="K712" s="3"/>
      <c r="L712" s="3"/>
      <c r="M712" s="3"/>
      <c r="N712" s="3"/>
      <c r="O712" s="3"/>
      <c r="P712" s="3"/>
      <c r="Q712" s="3"/>
      <c r="R712" s="3"/>
      <c r="S712" s="3"/>
      <c r="T712" s="3"/>
      <c r="U712" s="3"/>
      <c r="V712" s="3"/>
      <c r="W712" s="3"/>
      <c r="X712" s="3"/>
      <c r="Y712" s="3"/>
      <c r="Z712" s="3"/>
    </row>
    <row r="713" spans="1:26" ht="22.5" customHeight="1" x14ac:dyDescent="0.85">
      <c r="A713" s="166"/>
      <c r="B713" s="167"/>
      <c r="C713" s="167"/>
      <c r="D713" s="147"/>
      <c r="E713" s="147"/>
      <c r="F713" s="147"/>
      <c r="G713" s="147"/>
      <c r="H713" s="147"/>
      <c r="I713" s="147"/>
      <c r="J713" s="147"/>
      <c r="K713" s="3"/>
      <c r="L713" s="3"/>
      <c r="M713" s="3"/>
      <c r="N713" s="3"/>
      <c r="O713" s="3"/>
      <c r="P713" s="3"/>
      <c r="Q713" s="3"/>
      <c r="R713" s="3"/>
      <c r="S713" s="3"/>
      <c r="T713" s="3"/>
      <c r="U713" s="3"/>
      <c r="V713" s="3"/>
      <c r="W713" s="3"/>
      <c r="X713" s="3"/>
      <c r="Y713" s="3"/>
      <c r="Z713" s="3"/>
    </row>
    <row r="714" spans="1:26" ht="22.5" customHeight="1" x14ac:dyDescent="0.85">
      <c r="A714" s="166"/>
      <c r="B714" s="167"/>
      <c r="C714" s="167"/>
      <c r="D714" s="147"/>
      <c r="E714" s="147"/>
      <c r="F714" s="147"/>
      <c r="G714" s="147"/>
      <c r="H714" s="147"/>
      <c r="I714" s="147"/>
      <c r="J714" s="147"/>
      <c r="K714" s="3"/>
      <c r="L714" s="3"/>
      <c r="M714" s="3"/>
      <c r="N714" s="3"/>
      <c r="O714" s="3"/>
      <c r="P714" s="3"/>
      <c r="Q714" s="3"/>
      <c r="R714" s="3"/>
      <c r="S714" s="3"/>
      <c r="T714" s="3"/>
      <c r="U714" s="3"/>
      <c r="V714" s="3"/>
      <c r="W714" s="3"/>
      <c r="X714" s="3"/>
      <c r="Y714" s="3"/>
      <c r="Z714" s="3"/>
    </row>
    <row r="715" spans="1:26" ht="22.5" customHeight="1" x14ac:dyDescent="0.85">
      <c r="A715" s="166"/>
      <c r="B715" s="167"/>
      <c r="C715" s="167"/>
      <c r="D715" s="147"/>
      <c r="E715" s="147"/>
      <c r="F715" s="147"/>
      <c r="G715" s="147"/>
      <c r="H715" s="147"/>
      <c r="I715" s="147"/>
      <c r="J715" s="147"/>
      <c r="K715" s="3"/>
      <c r="L715" s="3"/>
      <c r="M715" s="3"/>
      <c r="N715" s="3"/>
      <c r="O715" s="3"/>
      <c r="P715" s="3"/>
      <c r="Q715" s="3"/>
      <c r="R715" s="3"/>
      <c r="S715" s="3"/>
      <c r="T715" s="3"/>
      <c r="U715" s="3"/>
      <c r="V715" s="3"/>
      <c r="W715" s="3"/>
      <c r="X715" s="3"/>
      <c r="Y715" s="3"/>
      <c r="Z715" s="3"/>
    </row>
    <row r="716" spans="1:26" ht="22.5" customHeight="1" x14ac:dyDescent="0.85">
      <c r="A716" s="166"/>
      <c r="B716" s="167"/>
      <c r="C716" s="167"/>
      <c r="D716" s="147"/>
      <c r="E716" s="147"/>
      <c r="F716" s="147"/>
      <c r="G716" s="147"/>
      <c r="H716" s="147"/>
      <c r="I716" s="147"/>
      <c r="J716" s="147"/>
      <c r="K716" s="3"/>
      <c r="L716" s="3"/>
      <c r="M716" s="3"/>
      <c r="N716" s="3"/>
      <c r="O716" s="3"/>
      <c r="P716" s="3"/>
      <c r="Q716" s="3"/>
      <c r="R716" s="3"/>
      <c r="S716" s="3"/>
      <c r="T716" s="3"/>
      <c r="U716" s="3"/>
      <c r="V716" s="3"/>
      <c r="W716" s="3"/>
      <c r="X716" s="3"/>
      <c r="Y716" s="3"/>
      <c r="Z716" s="3"/>
    </row>
    <row r="717" spans="1:26" ht="22.5" customHeight="1" x14ac:dyDescent="0.85">
      <c r="A717" s="166"/>
      <c r="B717" s="167"/>
      <c r="C717" s="167"/>
      <c r="D717" s="147"/>
      <c r="E717" s="147"/>
      <c r="F717" s="147"/>
      <c r="G717" s="147"/>
      <c r="H717" s="147"/>
      <c r="I717" s="147"/>
      <c r="J717" s="147"/>
      <c r="K717" s="3"/>
      <c r="L717" s="3"/>
      <c r="M717" s="3"/>
      <c r="N717" s="3"/>
      <c r="O717" s="3"/>
      <c r="P717" s="3"/>
      <c r="Q717" s="3"/>
      <c r="R717" s="3"/>
      <c r="S717" s="3"/>
      <c r="T717" s="3"/>
      <c r="U717" s="3"/>
      <c r="V717" s="3"/>
      <c r="W717" s="3"/>
      <c r="X717" s="3"/>
      <c r="Y717" s="3"/>
      <c r="Z717" s="3"/>
    </row>
    <row r="718" spans="1:26" ht="22.5" customHeight="1" x14ac:dyDescent="0.85">
      <c r="A718" s="166"/>
      <c r="B718" s="167"/>
      <c r="C718" s="167"/>
      <c r="D718" s="147"/>
      <c r="E718" s="147"/>
      <c r="F718" s="147"/>
      <c r="G718" s="147"/>
      <c r="H718" s="147"/>
      <c r="I718" s="147"/>
      <c r="J718" s="147"/>
      <c r="K718" s="3"/>
      <c r="L718" s="3"/>
      <c r="M718" s="3"/>
      <c r="N718" s="3"/>
      <c r="O718" s="3"/>
      <c r="P718" s="3"/>
      <c r="Q718" s="3"/>
      <c r="R718" s="3"/>
      <c r="S718" s="3"/>
      <c r="T718" s="3"/>
      <c r="U718" s="3"/>
      <c r="V718" s="3"/>
      <c r="W718" s="3"/>
      <c r="X718" s="3"/>
      <c r="Y718" s="3"/>
      <c r="Z718" s="3"/>
    </row>
    <row r="719" spans="1:26" ht="22.5" customHeight="1" x14ac:dyDescent="0.85">
      <c r="A719" s="166"/>
      <c r="B719" s="167"/>
      <c r="C719" s="167"/>
      <c r="D719" s="147"/>
      <c r="E719" s="147"/>
      <c r="F719" s="147"/>
      <c r="G719" s="147"/>
      <c r="H719" s="147"/>
      <c r="I719" s="147"/>
      <c r="J719" s="147"/>
      <c r="K719" s="3"/>
      <c r="L719" s="3"/>
      <c r="M719" s="3"/>
      <c r="N719" s="3"/>
      <c r="O719" s="3"/>
      <c r="P719" s="3"/>
      <c r="Q719" s="3"/>
      <c r="R719" s="3"/>
      <c r="S719" s="3"/>
      <c r="T719" s="3"/>
      <c r="U719" s="3"/>
      <c r="V719" s="3"/>
      <c r="W719" s="3"/>
      <c r="X719" s="3"/>
      <c r="Y719" s="3"/>
      <c r="Z719" s="3"/>
    </row>
    <row r="720" spans="1:26" ht="22.5" customHeight="1" x14ac:dyDescent="0.85">
      <c r="A720" s="166"/>
      <c r="B720" s="167"/>
      <c r="C720" s="167"/>
      <c r="D720" s="147"/>
      <c r="E720" s="147"/>
      <c r="F720" s="147"/>
      <c r="G720" s="147"/>
      <c r="H720" s="147"/>
      <c r="I720" s="147"/>
      <c r="J720" s="147"/>
      <c r="K720" s="3"/>
      <c r="L720" s="3"/>
      <c r="M720" s="3"/>
      <c r="N720" s="3"/>
      <c r="O720" s="3"/>
      <c r="P720" s="3"/>
      <c r="Q720" s="3"/>
      <c r="R720" s="3"/>
      <c r="S720" s="3"/>
      <c r="T720" s="3"/>
      <c r="U720" s="3"/>
      <c r="V720" s="3"/>
      <c r="W720" s="3"/>
      <c r="X720" s="3"/>
      <c r="Y720" s="3"/>
      <c r="Z720" s="3"/>
    </row>
    <row r="721" spans="1:26" ht="22.5" customHeight="1" x14ac:dyDescent="0.85">
      <c r="A721" s="166"/>
      <c r="B721" s="167"/>
      <c r="C721" s="167"/>
      <c r="D721" s="147"/>
      <c r="E721" s="147"/>
      <c r="F721" s="147"/>
      <c r="G721" s="147"/>
      <c r="H721" s="147"/>
      <c r="I721" s="147"/>
      <c r="J721" s="147"/>
      <c r="K721" s="3"/>
      <c r="L721" s="3"/>
      <c r="M721" s="3"/>
      <c r="N721" s="3"/>
      <c r="O721" s="3"/>
      <c r="P721" s="3"/>
      <c r="Q721" s="3"/>
      <c r="R721" s="3"/>
      <c r="S721" s="3"/>
      <c r="T721" s="3"/>
      <c r="U721" s="3"/>
      <c r="V721" s="3"/>
      <c r="W721" s="3"/>
      <c r="X721" s="3"/>
      <c r="Y721" s="3"/>
      <c r="Z721" s="3"/>
    </row>
    <row r="722" spans="1:26" ht="22.5" customHeight="1" x14ac:dyDescent="0.85">
      <c r="A722" s="166"/>
      <c r="B722" s="167"/>
      <c r="C722" s="167"/>
      <c r="D722" s="147"/>
      <c r="E722" s="147"/>
      <c r="F722" s="147"/>
      <c r="G722" s="147"/>
      <c r="H722" s="147"/>
      <c r="I722" s="147"/>
      <c r="J722" s="147"/>
      <c r="K722" s="3"/>
      <c r="L722" s="3"/>
      <c r="M722" s="3"/>
      <c r="N722" s="3"/>
      <c r="O722" s="3"/>
      <c r="P722" s="3"/>
      <c r="Q722" s="3"/>
      <c r="R722" s="3"/>
      <c r="S722" s="3"/>
      <c r="T722" s="3"/>
      <c r="U722" s="3"/>
      <c r="V722" s="3"/>
      <c r="W722" s="3"/>
      <c r="X722" s="3"/>
      <c r="Y722" s="3"/>
      <c r="Z722" s="3"/>
    </row>
    <row r="723" spans="1:26" ht="22.5" customHeight="1" x14ac:dyDescent="0.85">
      <c r="A723" s="166"/>
      <c r="B723" s="167"/>
      <c r="C723" s="167"/>
      <c r="D723" s="147"/>
      <c r="E723" s="147"/>
      <c r="F723" s="147"/>
      <c r="G723" s="147"/>
      <c r="H723" s="147"/>
      <c r="I723" s="147"/>
      <c r="J723" s="147"/>
      <c r="K723" s="3"/>
      <c r="L723" s="3"/>
      <c r="M723" s="3"/>
      <c r="N723" s="3"/>
      <c r="O723" s="3"/>
      <c r="P723" s="3"/>
      <c r="Q723" s="3"/>
      <c r="R723" s="3"/>
      <c r="S723" s="3"/>
      <c r="T723" s="3"/>
      <c r="U723" s="3"/>
      <c r="V723" s="3"/>
      <c r="W723" s="3"/>
      <c r="X723" s="3"/>
      <c r="Y723" s="3"/>
      <c r="Z723" s="3"/>
    </row>
    <row r="724" spans="1:26" ht="22.5" customHeight="1" x14ac:dyDescent="0.85">
      <c r="A724" s="166"/>
      <c r="B724" s="167"/>
      <c r="C724" s="167"/>
      <c r="D724" s="147"/>
      <c r="E724" s="147"/>
      <c r="F724" s="147"/>
      <c r="G724" s="147"/>
      <c r="H724" s="147"/>
      <c r="I724" s="147"/>
      <c r="J724" s="147"/>
      <c r="K724" s="3"/>
      <c r="L724" s="3"/>
      <c r="M724" s="3"/>
      <c r="N724" s="3"/>
      <c r="O724" s="3"/>
      <c r="P724" s="3"/>
      <c r="Q724" s="3"/>
      <c r="R724" s="3"/>
      <c r="S724" s="3"/>
      <c r="T724" s="3"/>
      <c r="U724" s="3"/>
      <c r="V724" s="3"/>
      <c r="W724" s="3"/>
      <c r="X724" s="3"/>
      <c r="Y724" s="3"/>
      <c r="Z724" s="3"/>
    </row>
    <row r="725" spans="1:26" ht="22.5" customHeight="1" x14ac:dyDescent="0.85">
      <c r="A725" s="166"/>
      <c r="B725" s="167"/>
      <c r="C725" s="167"/>
      <c r="D725" s="147"/>
      <c r="E725" s="147"/>
      <c r="F725" s="147"/>
      <c r="G725" s="147"/>
      <c r="H725" s="147"/>
      <c r="I725" s="147"/>
      <c r="J725" s="147"/>
      <c r="K725" s="3"/>
      <c r="L725" s="3"/>
      <c r="M725" s="3"/>
      <c r="N725" s="3"/>
      <c r="O725" s="3"/>
      <c r="P725" s="3"/>
      <c r="Q725" s="3"/>
      <c r="R725" s="3"/>
      <c r="S725" s="3"/>
      <c r="T725" s="3"/>
      <c r="U725" s="3"/>
      <c r="V725" s="3"/>
      <c r="W725" s="3"/>
      <c r="X725" s="3"/>
      <c r="Y725" s="3"/>
      <c r="Z725" s="3"/>
    </row>
    <row r="726" spans="1:26" ht="22.5" customHeight="1" x14ac:dyDescent="0.85">
      <c r="A726" s="166"/>
      <c r="B726" s="167"/>
      <c r="C726" s="167"/>
      <c r="D726" s="147"/>
      <c r="E726" s="147"/>
      <c r="F726" s="147"/>
      <c r="G726" s="147"/>
      <c r="H726" s="147"/>
      <c r="I726" s="147"/>
      <c r="J726" s="147"/>
      <c r="K726" s="3"/>
      <c r="L726" s="3"/>
      <c r="M726" s="3"/>
      <c r="N726" s="3"/>
      <c r="O726" s="3"/>
      <c r="P726" s="3"/>
      <c r="Q726" s="3"/>
      <c r="R726" s="3"/>
      <c r="S726" s="3"/>
      <c r="T726" s="3"/>
      <c r="U726" s="3"/>
      <c r="V726" s="3"/>
      <c r="W726" s="3"/>
      <c r="X726" s="3"/>
      <c r="Y726" s="3"/>
      <c r="Z726" s="3"/>
    </row>
    <row r="727" spans="1:26" ht="22.5" customHeight="1" x14ac:dyDescent="0.85">
      <c r="A727" s="166"/>
      <c r="B727" s="167"/>
      <c r="C727" s="167"/>
      <c r="D727" s="147"/>
      <c r="E727" s="147"/>
      <c r="F727" s="147"/>
      <c r="G727" s="147"/>
      <c r="H727" s="147"/>
      <c r="I727" s="147"/>
      <c r="J727" s="147"/>
      <c r="K727" s="3"/>
      <c r="L727" s="3"/>
      <c r="M727" s="3"/>
      <c r="N727" s="3"/>
      <c r="O727" s="3"/>
      <c r="P727" s="3"/>
      <c r="Q727" s="3"/>
      <c r="R727" s="3"/>
      <c r="S727" s="3"/>
      <c r="T727" s="3"/>
      <c r="U727" s="3"/>
      <c r="V727" s="3"/>
      <c r="W727" s="3"/>
      <c r="X727" s="3"/>
      <c r="Y727" s="3"/>
      <c r="Z727" s="3"/>
    </row>
    <row r="728" spans="1:26" ht="22.5" customHeight="1" x14ac:dyDescent="0.85">
      <c r="A728" s="166"/>
      <c r="B728" s="167"/>
      <c r="C728" s="167"/>
      <c r="D728" s="147"/>
      <c r="E728" s="147"/>
      <c r="F728" s="147"/>
      <c r="G728" s="147"/>
      <c r="H728" s="147"/>
      <c r="I728" s="147"/>
      <c r="J728" s="147"/>
      <c r="K728" s="3"/>
      <c r="L728" s="3"/>
      <c r="M728" s="3"/>
      <c r="N728" s="3"/>
      <c r="O728" s="3"/>
      <c r="P728" s="3"/>
      <c r="Q728" s="3"/>
      <c r="R728" s="3"/>
      <c r="S728" s="3"/>
      <c r="T728" s="3"/>
      <c r="U728" s="3"/>
      <c r="V728" s="3"/>
      <c r="W728" s="3"/>
      <c r="X728" s="3"/>
      <c r="Y728" s="3"/>
      <c r="Z728" s="3"/>
    </row>
    <row r="729" spans="1:26" ht="22.5" customHeight="1" x14ac:dyDescent="0.85">
      <c r="A729" s="166"/>
      <c r="B729" s="167"/>
      <c r="C729" s="167"/>
      <c r="D729" s="147"/>
      <c r="E729" s="147"/>
      <c r="F729" s="147"/>
      <c r="G729" s="147"/>
      <c r="H729" s="147"/>
      <c r="I729" s="147"/>
      <c r="J729" s="147"/>
      <c r="K729" s="3"/>
      <c r="L729" s="3"/>
      <c r="M729" s="3"/>
      <c r="N729" s="3"/>
      <c r="O729" s="3"/>
      <c r="P729" s="3"/>
      <c r="Q729" s="3"/>
      <c r="R729" s="3"/>
      <c r="S729" s="3"/>
      <c r="T729" s="3"/>
      <c r="U729" s="3"/>
      <c r="V729" s="3"/>
      <c r="W729" s="3"/>
      <c r="X729" s="3"/>
      <c r="Y729" s="3"/>
      <c r="Z729" s="3"/>
    </row>
    <row r="730" spans="1:26" ht="22.5" customHeight="1" x14ac:dyDescent="0.85">
      <c r="A730" s="166"/>
      <c r="B730" s="167"/>
      <c r="C730" s="167"/>
      <c r="D730" s="147"/>
      <c r="E730" s="147"/>
      <c r="F730" s="147"/>
      <c r="G730" s="147"/>
      <c r="H730" s="147"/>
      <c r="I730" s="147"/>
      <c r="J730" s="147"/>
      <c r="K730" s="3"/>
      <c r="L730" s="3"/>
      <c r="M730" s="3"/>
      <c r="N730" s="3"/>
      <c r="O730" s="3"/>
      <c r="P730" s="3"/>
      <c r="Q730" s="3"/>
      <c r="R730" s="3"/>
      <c r="S730" s="3"/>
      <c r="T730" s="3"/>
      <c r="U730" s="3"/>
      <c r="V730" s="3"/>
      <c r="W730" s="3"/>
      <c r="X730" s="3"/>
      <c r="Y730" s="3"/>
      <c r="Z730" s="3"/>
    </row>
    <row r="731" spans="1:26" ht="22.5" customHeight="1" x14ac:dyDescent="0.85">
      <c r="A731" s="166"/>
      <c r="B731" s="167"/>
      <c r="C731" s="167"/>
      <c r="D731" s="147"/>
      <c r="E731" s="147"/>
      <c r="F731" s="147"/>
      <c r="G731" s="147"/>
      <c r="H731" s="147"/>
      <c r="I731" s="147"/>
      <c r="J731" s="147"/>
      <c r="K731" s="3"/>
      <c r="L731" s="3"/>
      <c r="M731" s="3"/>
      <c r="N731" s="3"/>
      <c r="O731" s="3"/>
      <c r="P731" s="3"/>
      <c r="Q731" s="3"/>
      <c r="R731" s="3"/>
      <c r="S731" s="3"/>
      <c r="T731" s="3"/>
      <c r="U731" s="3"/>
      <c r="V731" s="3"/>
      <c r="W731" s="3"/>
      <c r="X731" s="3"/>
      <c r="Y731" s="3"/>
      <c r="Z731" s="3"/>
    </row>
    <row r="732" spans="1:26" ht="22.5" customHeight="1" x14ac:dyDescent="0.85">
      <c r="A732" s="166"/>
      <c r="B732" s="167"/>
      <c r="C732" s="167"/>
      <c r="D732" s="147"/>
      <c r="E732" s="147"/>
      <c r="F732" s="147"/>
      <c r="G732" s="147"/>
      <c r="H732" s="147"/>
      <c r="I732" s="147"/>
      <c r="J732" s="147"/>
      <c r="K732" s="3"/>
      <c r="L732" s="3"/>
      <c r="M732" s="3"/>
      <c r="N732" s="3"/>
      <c r="O732" s="3"/>
      <c r="P732" s="3"/>
      <c r="Q732" s="3"/>
      <c r="R732" s="3"/>
      <c r="S732" s="3"/>
      <c r="T732" s="3"/>
      <c r="U732" s="3"/>
      <c r="V732" s="3"/>
      <c r="W732" s="3"/>
      <c r="X732" s="3"/>
      <c r="Y732" s="3"/>
      <c r="Z732" s="3"/>
    </row>
    <row r="733" spans="1:26" ht="22.5" customHeight="1" x14ac:dyDescent="0.85">
      <c r="A733" s="166"/>
      <c r="B733" s="167"/>
      <c r="C733" s="167"/>
      <c r="D733" s="147"/>
      <c r="E733" s="147"/>
      <c r="F733" s="147"/>
      <c r="G733" s="147"/>
      <c r="H733" s="147"/>
      <c r="I733" s="147"/>
      <c r="J733" s="147"/>
      <c r="K733" s="3"/>
      <c r="L733" s="3"/>
      <c r="M733" s="3"/>
      <c r="N733" s="3"/>
      <c r="O733" s="3"/>
      <c r="P733" s="3"/>
      <c r="Q733" s="3"/>
      <c r="R733" s="3"/>
      <c r="S733" s="3"/>
      <c r="T733" s="3"/>
      <c r="U733" s="3"/>
      <c r="V733" s="3"/>
      <c r="W733" s="3"/>
      <c r="X733" s="3"/>
      <c r="Y733" s="3"/>
      <c r="Z733" s="3"/>
    </row>
    <row r="734" spans="1:26" ht="22.5" customHeight="1" x14ac:dyDescent="0.85">
      <c r="A734" s="166"/>
      <c r="B734" s="167"/>
      <c r="C734" s="167"/>
      <c r="D734" s="147"/>
      <c r="E734" s="147"/>
      <c r="F734" s="147"/>
      <c r="G734" s="147"/>
      <c r="H734" s="147"/>
      <c r="I734" s="147"/>
      <c r="J734" s="147"/>
      <c r="K734" s="3"/>
      <c r="L734" s="3"/>
      <c r="M734" s="3"/>
      <c r="N734" s="3"/>
      <c r="O734" s="3"/>
      <c r="P734" s="3"/>
      <c r="Q734" s="3"/>
      <c r="R734" s="3"/>
      <c r="S734" s="3"/>
      <c r="T734" s="3"/>
      <c r="U734" s="3"/>
      <c r="V734" s="3"/>
      <c r="W734" s="3"/>
      <c r="X734" s="3"/>
      <c r="Y734" s="3"/>
      <c r="Z734" s="3"/>
    </row>
    <row r="735" spans="1:26" ht="22.5" customHeight="1" x14ac:dyDescent="0.85">
      <c r="A735" s="166"/>
      <c r="B735" s="167"/>
      <c r="C735" s="167"/>
      <c r="D735" s="147"/>
      <c r="E735" s="147"/>
      <c r="F735" s="147"/>
      <c r="G735" s="147"/>
      <c r="H735" s="147"/>
      <c r="I735" s="147"/>
      <c r="J735" s="147"/>
      <c r="K735" s="3"/>
      <c r="L735" s="3"/>
      <c r="M735" s="3"/>
      <c r="N735" s="3"/>
      <c r="O735" s="3"/>
      <c r="P735" s="3"/>
      <c r="Q735" s="3"/>
      <c r="R735" s="3"/>
      <c r="S735" s="3"/>
      <c r="T735" s="3"/>
      <c r="U735" s="3"/>
      <c r="V735" s="3"/>
      <c r="W735" s="3"/>
      <c r="X735" s="3"/>
      <c r="Y735" s="3"/>
      <c r="Z735" s="3"/>
    </row>
    <row r="736" spans="1:26" ht="22.5" customHeight="1" x14ac:dyDescent="0.85">
      <c r="A736" s="166"/>
      <c r="B736" s="167"/>
      <c r="C736" s="167"/>
      <c r="D736" s="147"/>
      <c r="E736" s="147"/>
      <c r="F736" s="147"/>
      <c r="G736" s="147"/>
      <c r="H736" s="147"/>
      <c r="I736" s="147"/>
      <c r="J736" s="147"/>
      <c r="K736" s="3"/>
      <c r="L736" s="3"/>
      <c r="M736" s="3"/>
      <c r="N736" s="3"/>
      <c r="O736" s="3"/>
      <c r="P736" s="3"/>
      <c r="Q736" s="3"/>
      <c r="R736" s="3"/>
      <c r="S736" s="3"/>
      <c r="T736" s="3"/>
      <c r="U736" s="3"/>
      <c r="V736" s="3"/>
      <c r="W736" s="3"/>
      <c r="X736" s="3"/>
      <c r="Y736" s="3"/>
      <c r="Z736" s="3"/>
    </row>
    <row r="737" spans="1:26" ht="22.5" customHeight="1" x14ac:dyDescent="0.85">
      <c r="A737" s="166"/>
      <c r="B737" s="167"/>
      <c r="C737" s="167"/>
      <c r="D737" s="147"/>
      <c r="E737" s="147"/>
      <c r="F737" s="147"/>
      <c r="G737" s="147"/>
      <c r="H737" s="147"/>
      <c r="I737" s="147"/>
      <c r="J737" s="147"/>
      <c r="K737" s="3"/>
      <c r="L737" s="3"/>
      <c r="M737" s="3"/>
      <c r="N737" s="3"/>
      <c r="O737" s="3"/>
      <c r="P737" s="3"/>
      <c r="Q737" s="3"/>
      <c r="R737" s="3"/>
      <c r="S737" s="3"/>
      <c r="T737" s="3"/>
      <c r="U737" s="3"/>
      <c r="V737" s="3"/>
      <c r="W737" s="3"/>
      <c r="X737" s="3"/>
      <c r="Y737" s="3"/>
      <c r="Z737" s="3"/>
    </row>
    <row r="738" spans="1:26" ht="22.5" customHeight="1" x14ac:dyDescent="0.85">
      <c r="A738" s="166"/>
      <c r="B738" s="167"/>
      <c r="C738" s="167"/>
      <c r="D738" s="147"/>
      <c r="E738" s="147"/>
      <c r="F738" s="147"/>
      <c r="G738" s="147"/>
      <c r="H738" s="147"/>
      <c r="I738" s="147"/>
      <c r="J738" s="147"/>
      <c r="K738" s="3"/>
      <c r="L738" s="3"/>
      <c r="M738" s="3"/>
      <c r="N738" s="3"/>
      <c r="O738" s="3"/>
      <c r="P738" s="3"/>
      <c r="Q738" s="3"/>
      <c r="R738" s="3"/>
      <c r="S738" s="3"/>
      <c r="T738" s="3"/>
      <c r="U738" s="3"/>
      <c r="V738" s="3"/>
      <c r="W738" s="3"/>
      <c r="X738" s="3"/>
      <c r="Y738" s="3"/>
      <c r="Z738" s="3"/>
    </row>
    <row r="739" spans="1:26" ht="22.5" customHeight="1" x14ac:dyDescent="0.85">
      <c r="A739" s="166"/>
      <c r="B739" s="167"/>
      <c r="C739" s="167"/>
      <c r="D739" s="147"/>
      <c r="E739" s="147"/>
      <c r="F739" s="147"/>
      <c r="G739" s="147"/>
      <c r="H739" s="147"/>
      <c r="I739" s="147"/>
      <c r="J739" s="147"/>
      <c r="K739" s="3"/>
      <c r="L739" s="3"/>
      <c r="M739" s="3"/>
      <c r="N739" s="3"/>
      <c r="O739" s="3"/>
      <c r="P739" s="3"/>
      <c r="Q739" s="3"/>
      <c r="R739" s="3"/>
      <c r="S739" s="3"/>
      <c r="T739" s="3"/>
      <c r="U739" s="3"/>
      <c r="V739" s="3"/>
      <c r="W739" s="3"/>
      <c r="X739" s="3"/>
      <c r="Y739" s="3"/>
      <c r="Z739" s="3"/>
    </row>
    <row r="740" spans="1:26" ht="22.5" customHeight="1" x14ac:dyDescent="0.85">
      <c r="A740" s="166"/>
      <c r="B740" s="167"/>
      <c r="C740" s="167"/>
      <c r="D740" s="147"/>
      <c r="E740" s="147"/>
      <c r="F740" s="147"/>
      <c r="G740" s="147"/>
      <c r="H740" s="147"/>
      <c r="I740" s="147"/>
      <c r="J740" s="147"/>
      <c r="K740" s="3"/>
      <c r="L740" s="3"/>
      <c r="M740" s="3"/>
      <c r="N740" s="3"/>
      <c r="O740" s="3"/>
      <c r="P740" s="3"/>
      <c r="Q740" s="3"/>
      <c r="R740" s="3"/>
      <c r="S740" s="3"/>
      <c r="T740" s="3"/>
      <c r="U740" s="3"/>
      <c r="V740" s="3"/>
      <c r="W740" s="3"/>
      <c r="X740" s="3"/>
      <c r="Y740" s="3"/>
      <c r="Z740" s="3"/>
    </row>
    <row r="741" spans="1:26" ht="22.5" customHeight="1" x14ac:dyDescent="0.85">
      <c r="A741" s="166"/>
      <c r="B741" s="167"/>
      <c r="C741" s="167"/>
      <c r="D741" s="147"/>
      <c r="E741" s="147"/>
      <c r="F741" s="147"/>
      <c r="G741" s="147"/>
      <c r="H741" s="147"/>
      <c r="I741" s="147"/>
      <c r="J741" s="147"/>
      <c r="K741" s="3"/>
      <c r="L741" s="3"/>
      <c r="M741" s="3"/>
      <c r="N741" s="3"/>
      <c r="O741" s="3"/>
      <c r="P741" s="3"/>
      <c r="Q741" s="3"/>
      <c r="R741" s="3"/>
      <c r="S741" s="3"/>
      <c r="T741" s="3"/>
      <c r="U741" s="3"/>
      <c r="V741" s="3"/>
      <c r="W741" s="3"/>
      <c r="X741" s="3"/>
      <c r="Y741" s="3"/>
      <c r="Z741" s="3"/>
    </row>
    <row r="742" spans="1:26" ht="22.5" customHeight="1" x14ac:dyDescent="0.85">
      <c r="A742" s="166"/>
      <c r="B742" s="167"/>
      <c r="C742" s="167"/>
      <c r="D742" s="147"/>
      <c r="E742" s="147"/>
      <c r="F742" s="147"/>
      <c r="G742" s="147"/>
      <c r="H742" s="147"/>
      <c r="I742" s="147"/>
      <c r="J742" s="147"/>
      <c r="K742" s="3"/>
      <c r="L742" s="3"/>
      <c r="M742" s="3"/>
      <c r="N742" s="3"/>
      <c r="O742" s="3"/>
      <c r="P742" s="3"/>
      <c r="Q742" s="3"/>
      <c r="R742" s="3"/>
      <c r="S742" s="3"/>
      <c r="T742" s="3"/>
      <c r="U742" s="3"/>
      <c r="V742" s="3"/>
      <c r="W742" s="3"/>
      <c r="X742" s="3"/>
      <c r="Y742" s="3"/>
      <c r="Z742" s="3"/>
    </row>
    <row r="743" spans="1:26" ht="22.5" customHeight="1" x14ac:dyDescent="0.85">
      <c r="A743" s="166"/>
      <c r="B743" s="167"/>
      <c r="C743" s="167"/>
      <c r="D743" s="147"/>
      <c r="E743" s="147"/>
      <c r="F743" s="147"/>
      <c r="G743" s="147"/>
      <c r="H743" s="147"/>
      <c r="I743" s="147"/>
      <c r="J743" s="147"/>
      <c r="K743" s="3"/>
      <c r="L743" s="3"/>
      <c r="M743" s="3"/>
      <c r="N743" s="3"/>
      <c r="O743" s="3"/>
      <c r="P743" s="3"/>
      <c r="Q743" s="3"/>
      <c r="R743" s="3"/>
      <c r="S743" s="3"/>
      <c r="T743" s="3"/>
      <c r="U743" s="3"/>
      <c r="V743" s="3"/>
      <c r="W743" s="3"/>
      <c r="X743" s="3"/>
      <c r="Y743" s="3"/>
      <c r="Z743" s="3"/>
    </row>
    <row r="744" spans="1:26" ht="22.5" customHeight="1" x14ac:dyDescent="0.85">
      <c r="A744" s="166"/>
      <c r="B744" s="167"/>
      <c r="C744" s="167"/>
      <c r="D744" s="147"/>
      <c r="E744" s="147"/>
      <c r="F744" s="147"/>
      <c r="G744" s="147"/>
      <c r="H744" s="147"/>
      <c r="I744" s="147"/>
      <c r="J744" s="147"/>
      <c r="K744" s="3"/>
      <c r="L744" s="3"/>
      <c r="M744" s="3"/>
      <c r="N744" s="3"/>
      <c r="O744" s="3"/>
      <c r="P744" s="3"/>
      <c r="Q744" s="3"/>
      <c r="R744" s="3"/>
      <c r="S744" s="3"/>
      <c r="T744" s="3"/>
      <c r="U744" s="3"/>
      <c r="V744" s="3"/>
      <c r="W744" s="3"/>
      <c r="X744" s="3"/>
      <c r="Y744" s="3"/>
      <c r="Z744" s="3"/>
    </row>
    <row r="745" spans="1:26" ht="22.5" customHeight="1" x14ac:dyDescent="0.85">
      <c r="A745" s="166"/>
      <c r="B745" s="167"/>
      <c r="C745" s="167"/>
      <c r="D745" s="147"/>
      <c r="E745" s="147"/>
      <c r="F745" s="147"/>
      <c r="G745" s="147"/>
      <c r="H745" s="147"/>
      <c r="I745" s="147"/>
      <c r="J745" s="147"/>
      <c r="K745" s="3"/>
      <c r="L745" s="3"/>
      <c r="M745" s="3"/>
      <c r="N745" s="3"/>
      <c r="O745" s="3"/>
      <c r="P745" s="3"/>
      <c r="Q745" s="3"/>
      <c r="R745" s="3"/>
      <c r="S745" s="3"/>
      <c r="T745" s="3"/>
      <c r="U745" s="3"/>
      <c r="V745" s="3"/>
      <c r="W745" s="3"/>
      <c r="X745" s="3"/>
      <c r="Y745" s="3"/>
      <c r="Z745" s="3"/>
    </row>
    <row r="746" spans="1:26" ht="22.5" customHeight="1" x14ac:dyDescent="0.85">
      <c r="A746" s="166"/>
      <c r="B746" s="167"/>
      <c r="C746" s="167"/>
      <c r="D746" s="147"/>
      <c r="E746" s="147"/>
      <c r="F746" s="147"/>
      <c r="G746" s="147"/>
      <c r="H746" s="147"/>
      <c r="I746" s="147"/>
      <c r="J746" s="147"/>
      <c r="K746" s="3"/>
      <c r="L746" s="3"/>
      <c r="M746" s="3"/>
      <c r="N746" s="3"/>
      <c r="O746" s="3"/>
      <c r="P746" s="3"/>
      <c r="Q746" s="3"/>
      <c r="R746" s="3"/>
      <c r="S746" s="3"/>
      <c r="T746" s="3"/>
      <c r="U746" s="3"/>
      <c r="V746" s="3"/>
      <c r="W746" s="3"/>
      <c r="X746" s="3"/>
      <c r="Y746" s="3"/>
      <c r="Z746" s="3"/>
    </row>
    <row r="747" spans="1:26" ht="22.5" customHeight="1" x14ac:dyDescent="0.85">
      <c r="A747" s="166"/>
      <c r="B747" s="167"/>
      <c r="C747" s="167"/>
      <c r="D747" s="147"/>
      <c r="E747" s="147"/>
      <c r="F747" s="147"/>
      <c r="G747" s="147"/>
      <c r="H747" s="147"/>
      <c r="I747" s="147"/>
      <c r="J747" s="147"/>
      <c r="K747" s="3"/>
      <c r="L747" s="3"/>
      <c r="M747" s="3"/>
      <c r="N747" s="3"/>
      <c r="O747" s="3"/>
      <c r="P747" s="3"/>
      <c r="Q747" s="3"/>
      <c r="R747" s="3"/>
      <c r="S747" s="3"/>
      <c r="T747" s="3"/>
      <c r="U747" s="3"/>
      <c r="V747" s="3"/>
      <c r="W747" s="3"/>
      <c r="X747" s="3"/>
      <c r="Y747" s="3"/>
      <c r="Z747" s="3"/>
    </row>
    <row r="748" spans="1:26" ht="22.5" customHeight="1" x14ac:dyDescent="0.85">
      <c r="A748" s="166"/>
      <c r="B748" s="167"/>
      <c r="C748" s="167"/>
      <c r="D748" s="147"/>
      <c r="E748" s="147"/>
      <c r="F748" s="147"/>
      <c r="G748" s="147"/>
      <c r="H748" s="147"/>
      <c r="I748" s="147"/>
      <c r="J748" s="147"/>
      <c r="K748" s="3"/>
      <c r="L748" s="3"/>
      <c r="M748" s="3"/>
      <c r="N748" s="3"/>
      <c r="O748" s="3"/>
      <c r="P748" s="3"/>
      <c r="Q748" s="3"/>
      <c r="R748" s="3"/>
      <c r="S748" s="3"/>
      <c r="T748" s="3"/>
      <c r="U748" s="3"/>
      <c r="V748" s="3"/>
      <c r="W748" s="3"/>
      <c r="X748" s="3"/>
      <c r="Y748" s="3"/>
      <c r="Z748" s="3"/>
    </row>
    <row r="749" spans="1:26" ht="22.5" customHeight="1" x14ac:dyDescent="0.85">
      <c r="A749" s="166"/>
      <c r="B749" s="167"/>
      <c r="C749" s="167"/>
      <c r="D749" s="147"/>
      <c r="E749" s="147"/>
      <c r="F749" s="147"/>
      <c r="G749" s="147"/>
      <c r="H749" s="147"/>
      <c r="I749" s="147"/>
      <c r="J749" s="147"/>
      <c r="K749" s="3"/>
      <c r="L749" s="3"/>
      <c r="M749" s="3"/>
      <c r="N749" s="3"/>
      <c r="O749" s="3"/>
      <c r="P749" s="3"/>
      <c r="Q749" s="3"/>
      <c r="R749" s="3"/>
      <c r="S749" s="3"/>
      <c r="T749" s="3"/>
      <c r="U749" s="3"/>
      <c r="V749" s="3"/>
      <c r="W749" s="3"/>
      <c r="X749" s="3"/>
      <c r="Y749" s="3"/>
      <c r="Z749" s="3"/>
    </row>
    <row r="750" spans="1:26" ht="22.5" customHeight="1" x14ac:dyDescent="0.85">
      <c r="A750" s="166"/>
      <c r="B750" s="167"/>
      <c r="C750" s="167"/>
      <c r="D750" s="147"/>
      <c r="E750" s="147"/>
      <c r="F750" s="147"/>
      <c r="G750" s="147"/>
      <c r="H750" s="147"/>
      <c r="I750" s="147"/>
      <c r="J750" s="147"/>
      <c r="K750" s="3"/>
      <c r="L750" s="3"/>
      <c r="M750" s="3"/>
      <c r="N750" s="3"/>
      <c r="O750" s="3"/>
      <c r="P750" s="3"/>
      <c r="Q750" s="3"/>
      <c r="R750" s="3"/>
      <c r="S750" s="3"/>
      <c r="T750" s="3"/>
      <c r="U750" s="3"/>
      <c r="V750" s="3"/>
      <c r="W750" s="3"/>
      <c r="X750" s="3"/>
      <c r="Y750" s="3"/>
      <c r="Z750" s="3"/>
    </row>
    <row r="751" spans="1:26" ht="22.5" customHeight="1" x14ac:dyDescent="0.85">
      <c r="A751" s="166"/>
      <c r="B751" s="167"/>
      <c r="C751" s="167"/>
      <c r="D751" s="147"/>
      <c r="E751" s="147"/>
      <c r="F751" s="147"/>
      <c r="G751" s="147"/>
      <c r="H751" s="147"/>
      <c r="I751" s="147"/>
      <c r="J751" s="147"/>
      <c r="K751" s="3"/>
      <c r="L751" s="3"/>
      <c r="M751" s="3"/>
      <c r="N751" s="3"/>
      <c r="O751" s="3"/>
      <c r="P751" s="3"/>
      <c r="Q751" s="3"/>
      <c r="R751" s="3"/>
      <c r="S751" s="3"/>
      <c r="T751" s="3"/>
      <c r="U751" s="3"/>
      <c r="V751" s="3"/>
      <c r="W751" s="3"/>
      <c r="X751" s="3"/>
      <c r="Y751" s="3"/>
      <c r="Z751" s="3"/>
    </row>
    <row r="752" spans="1:26" ht="22.5" customHeight="1" x14ac:dyDescent="0.85">
      <c r="A752" s="166"/>
      <c r="B752" s="167"/>
      <c r="C752" s="167"/>
      <c r="D752" s="147"/>
      <c r="E752" s="147"/>
      <c r="F752" s="147"/>
      <c r="G752" s="147"/>
      <c r="H752" s="147"/>
      <c r="I752" s="147"/>
      <c r="J752" s="147"/>
      <c r="K752" s="3"/>
      <c r="L752" s="3"/>
      <c r="M752" s="3"/>
      <c r="N752" s="3"/>
      <c r="O752" s="3"/>
      <c r="P752" s="3"/>
      <c r="Q752" s="3"/>
      <c r="R752" s="3"/>
      <c r="S752" s="3"/>
      <c r="T752" s="3"/>
      <c r="U752" s="3"/>
      <c r="V752" s="3"/>
      <c r="W752" s="3"/>
      <c r="X752" s="3"/>
      <c r="Y752" s="3"/>
      <c r="Z752" s="3"/>
    </row>
    <row r="753" spans="1:26" ht="22.5" customHeight="1" x14ac:dyDescent="0.85">
      <c r="A753" s="166"/>
      <c r="B753" s="167"/>
      <c r="C753" s="167"/>
      <c r="D753" s="147"/>
      <c r="E753" s="147"/>
      <c r="F753" s="147"/>
      <c r="G753" s="147"/>
      <c r="H753" s="147"/>
      <c r="I753" s="147"/>
      <c r="J753" s="147"/>
      <c r="K753" s="3"/>
      <c r="L753" s="3"/>
      <c r="M753" s="3"/>
      <c r="N753" s="3"/>
      <c r="O753" s="3"/>
      <c r="P753" s="3"/>
      <c r="Q753" s="3"/>
      <c r="R753" s="3"/>
      <c r="S753" s="3"/>
      <c r="T753" s="3"/>
      <c r="U753" s="3"/>
      <c r="V753" s="3"/>
      <c r="W753" s="3"/>
      <c r="X753" s="3"/>
      <c r="Y753" s="3"/>
      <c r="Z753" s="3"/>
    </row>
    <row r="754" spans="1:26" ht="22.5" customHeight="1" x14ac:dyDescent="0.85">
      <c r="A754" s="166"/>
      <c r="B754" s="167"/>
      <c r="C754" s="167"/>
      <c r="D754" s="147"/>
      <c r="E754" s="147"/>
      <c r="F754" s="147"/>
      <c r="G754" s="147"/>
      <c r="H754" s="147"/>
      <c r="I754" s="147"/>
      <c r="J754" s="147"/>
      <c r="K754" s="3"/>
      <c r="L754" s="3"/>
      <c r="M754" s="3"/>
      <c r="N754" s="3"/>
      <c r="O754" s="3"/>
      <c r="P754" s="3"/>
      <c r="Q754" s="3"/>
      <c r="R754" s="3"/>
      <c r="S754" s="3"/>
      <c r="T754" s="3"/>
      <c r="U754" s="3"/>
      <c r="V754" s="3"/>
      <c r="W754" s="3"/>
      <c r="X754" s="3"/>
      <c r="Y754" s="3"/>
      <c r="Z754" s="3"/>
    </row>
    <row r="755" spans="1:26" ht="22.5" customHeight="1" x14ac:dyDescent="0.85">
      <c r="A755" s="166"/>
      <c r="B755" s="167"/>
      <c r="C755" s="167"/>
      <c r="D755" s="147"/>
      <c r="E755" s="147"/>
      <c r="F755" s="147"/>
      <c r="G755" s="147"/>
      <c r="H755" s="147"/>
      <c r="I755" s="147"/>
      <c r="J755" s="147"/>
      <c r="K755" s="3"/>
      <c r="L755" s="3"/>
      <c r="M755" s="3"/>
      <c r="N755" s="3"/>
      <c r="O755" s="3"/>
      <c r="P755" s="3"/>
      <c r="Q755" s="3"/>
      <c r="R755" s="3"/>
      <c r="S755" s="3"/>
      <c r="T755" s="3"/>
      <c r="U755" s="3"/>
      <c r="V755" s="3"/>
      <c r="W755" s="3"/>
      <c r="X755" s="3"/>
      <c r="Y755" s="3"/>
      <c r="Z755" s="3"/>
    </row>
    <row r="756" spans="1:26" ht="22.5" customHeight="1" x14ac:dyDescent="0.85">
      <c r="A756" s="166"/>
      <c r="B756" s="167"/>
      <c r="C756" s="167"/>
      <c r="D756" s="147"/>
      <c r="E756" s="147"/>
      <c r="F756" s="147"/>
      <c r="G756" s="147"/>
      <c r="H756" s="147"/>
      <c r="I756" s="147"/>
      <c r="J756" s="147"/>
      <c r="K756" s="3"/>
      <c r="L756" s="3"/>
      <c r="M756" s="3"/>
      <c r="N756" s="3"/>
      <c r="O756" s="3"/>
      <c r="P756" s="3"/>
      <c r="Q756" s="3"/>
      <c r="R756" s="3"/>
      <c r="S756" s="3"/>
      <c r="T756" s="3"/>
      <c r="U756" s="3"/>
      <c r="V756" s="3"/>
      <c r="W756" s="3"/>
      <c r="X756" s="3"/>
      <c r="Y756" s="3"/>
      <c r="Z756" s="3"/>
    </row>
    <row r="757" spans="1:26" ht="22.5" customHeight="1" x14ac:dyDescent="0.85">
      <c r="A757" s="166"/>
      <c r="B757" s="167"/>
      <c r="C757" s="167"/>
      <c r="D757" s="147"/>
      <c r="E757" s="147"/>
      <c r="F757" s="147"/>
      <c r="G757" s="147"/>
      <c r="H757" s="147"/>
      <c r="I757" s="147"/>
      <c r="J757" s="147"/>
      <c r="K757" s="3"/>
      <c r="L757" s="3"/>
      <c r="M757" s="3"/>
      <c r="N757" s="3"/>
      <c r="O757" s="3"/>
      <c r="P757" s="3"/>
      <c r="Q757" s="3"/>
      <c r="R757" s="3"/>
      <c r="S757" s="3"/>
      <c r="T757" s="3"/>
      <c r="U757" s="3"/>
      <c r="V757" s="3"/>
      <c r="W757" s="3"/>
      <c r="X757" s="3"/>
      <c r="Y757" s="3"/>
      <c r="Z757" s="3"/>
    </row>
    <row r="758" spans="1:26" ht="22.5" customHeight="1" x14ac:dyDescent="0.85">
      <c r="A758" s="166"/>
      <c r="B758" s="167"/>
      <c r="C758" s="167"/>
      <c r="D758" s="147"/>
      <c r="E758" s="147"/>
      <c r="F758" s="147"/>
      <c r="G758" s="147"/>
      <c r="H758" s="147"/>
      <c r="I758" s="147"/>
      <c r="J758" s="147"/>
      <c r="K758" s="3"/>
      <c r="L758" s="3"/>
      <c r="M758" s="3"/>
      <c r="N758" s="3"/>
      <c r="O758" s="3"/>
      <c r="P758" s="3"/>
      <c r="Q758" s="3"/>
      <c r="R758" s="3"/>
      <c r="S758" s="3"/>
      <c r="T758" s="3"/>
      <c r="U758" s="3"/>
      <c r="V758" s="3"/>
      <c r="W758" s="3"/>
      <c r="X758" s="3"/>
      <c r="Y758" s="3"/>
      <c r="Z758" s="3"/>
    </row>
    <row r="759" spans="1:26" ht="22.5" customHeight="1" x14ac:dyDescent="0.85">
      <c r="A759" s="166"/>
      <c r="B759" s="167"/>
      <c r="C759" s="167"/>
      <c r="D759" s="147"/>
      <c r="E759" s="147"/>
      <c r="F759" s="147"/>
      <c r="G759" s="147"/>
      <c r="H759" s="147"/>
      <c r="I759" s="147"/>
      <c r="J759" s="147"/>
      <c r="K759" s="3"/>
      <c r="L759" s="3"/>
      <c r="M759" s="3"/>
      <c r="N759" s="3"/>
      <c r="O759" s="3"/>
      <c r="P759" s="3"/>
      <c r="Q759" s="3"/>
      <c r="R759" s="3"/>
      <c r="S759" s="3"/>
      <c r="T759" s="3"/>
      <c r="U759" s="3"/>
      <c r="V759" s="3"/>
      <c r="W759" s="3"/>
      <c r="X759" s="3"/>
      <c r="Y759" s="3"/>
      <c r="Z759" s="3"/>
    </row>
    <row r="760" spans="1:26" ht="22.5" customHeight="1" x14ac:dyDescent="0.85">
      <c r="A760" s="166"/>
      <c r="B760" s="167"/>
      <c r="C760" s="167"/>
      <c r="D760" s="147"/>
      <c r="E760" s="147"/>
      <c r="F760" s="147"/>
      <c r="G760" s="147"/>
      <c r="H760" s="147"/>
      <c r="I760" s="147"/>
      <c r="J760" s="147"/>
      <c r="K760" s="3"/>
      <c r="L760" s="3"/>
      <c r="M760" s="3"/>
      <c r="N760" s="3"/>
      <c r="O760" s="3"/>
      <c r="P760" s="3"/>
      <c r="Q760" s="3"/>
      <c r="R760" s="3"/>
      <c r="S760" s="3"/>
      <c r="T760" s="3"/>
      <c r="U760" s="3"/>
      <c r="V760" s="3"/>
      <c r="W760" s="3"/>
      <c r="X760" s="3"/>
      <c r="Y760" s="3"/>
      <c r="Z760" s="3"/>
    </row>
    <row r="761" spans="1:26" ht="22.5" customHeight="1" x14ac:dyDescent="0.85">
      <c r="A761" s="166"/>
      <c r="B761" s="167"/>
      <c r="C761" s="167"/>
      <c r="D761" s="147"/>
      <c r="E761" s="147"/>
      <c r="F761" s="147"/>
      <c r="G761" s="147"/>
      <c r="H761" s="147"/>
      <c r="I761" s="147"/>
      <c r="J761" s="147"/>
      <c r="K761" s="3"/>
      <c r="L761" s="3"/>
      <c r="M761" s="3"/>
      <c r="N761" s="3"/>
      <c r="O761" s="3"/>
      <c r="P761" s="3"/>
      <c r="Q761" s="3"/>
      <c r="R761" s="3"/>
      <c r="S761" s="3"/>
      <c r="T761" s="3"/>
      <c r="U761" s="3"/>
      <c r="V761" s="3"/>
      <c r="W761" s="3"/>
      <c r="X761" s="3"/>
      <c r="Y761" s="3"/>
      <c r="Z761" s="3"/>
    </row>
    <row r="762" spans="1:26" ht="22.5" customHeight="1" x14ac:dyDescent="0.85">
      <c r="A762" s="166"/>
      <c r="B762" s="167"/>
      <c r="C762" s="167"/>
      <c r="D762" s="147"/>
      <c r="E762" s="147"/>
      <c r="F762" s="147"/>
      <c r="G762" s="147"/>
      <c r="H762" s="147"/>
      <c r="I762" s="147"/>
      <c r="J762" s="147"/>
      <c r="K762" s="3"/>
      <c r="L762" s="3"/>
      <c r="M762" s="3"/>
      <c r="N762" s="3"/>
      <c r="O762" s="3"/>
      <c r="P762" s="3"/>
      <c r="Q762" s="3"/>
      <c r="R762" s="3"/>
      <c r="S762" s="3"/>
      <c r="T762" s="3"/>
      <c r="U762" s="3"/>
      <c r="V762" s="3"/>
      <c r="W762" s="3"/>
      <c r="X762" s="3"/>
      <c r="Y762" s="3"/>
      <c r="Z762" s="3"/>
    </row>
    <row r="763" spans="1:26" ht="22.5" customHeight="1" x14ac:dyDescent="0.85">
      <c r="A763" s="166"/>
      <c r="B763" s="167"/>
      <c r="C763" s="167"/>
      <c r="D763" s="147"/>
      <c r="E763" s="147"/>
      <c r="F763" s="147"/>
      <c r="G763" s="147"/>
      <c r="H763" s="147"/>
      <c r="I763" s="147"/>
      <c r="J763" s="147"/>
      <c r="K763" s="3"/>
      <c r="L763" s="3"/>
      <c r="M763" s="3"/>
      <c r="N763" s="3"/>
      <c r="O763" s="3"/>
      <c r="P763" s="3"/>
      <c r="Q763" s="3"/>
      <c r="R763" s="3"/>
      <c r="S763" s="3"/>
      <c r="T763" s="3"/>
      <c r="U763" s="3"/>
      <c r="V763" s="3"/>
      <c r="W763" s="3"/>
      <c r="X763" s="3"/>
      <c r="Y763" s="3"/>
      <c r="Z763" s="3"/>
    </row>
    <row r="764" spans="1:26" ht="22.5" customHeight="1" x14ac:dyDescent="0.85">
      <c r="A764" s="166"/>
      <c r="B764" s="167"/>
      <c r="C764" s="167"/>
      <c r="D764" s="147"/>
      <c r="E764" s="147"/>
      <c r="F764" s="147"/>
      <c r="G764" s="147"/>
      <c r="H764" s="147"/>
      <c r="I764" s="147"/>
      <c r="J764" s="147"/>
      <c r="K764" s="3"/>
      <c r="L764" s="3"/>
      <c r="M764" s="3"/>
      <c r="N764" s="3"/>
      <c r="O764" s="3"/>
      <c r="P764" s="3"/>
      <c r="Q764" s="3"/>
      <c r="R764" s="3"/>
      <c r="S764" s="3"/>
      <c r="T764" s="3"/>
      <c r="U764" s="3"/>
      <c r="V764" s="3"/>
      <c r="W764" s="3"/>
      <c r="X764" s="3"/>
      <c r="Y764" s="3"/>
      <c r="Z764" s="3"/>
    </row>
    <row r="765" spans="1:26" ht="22.5" customHeight="1" x14ac:dyDescent="0.85">
      <c r="A765" s="166"/>
      <c r="B765" s="167"/>
      <c r="C765" s="167"/>
      <c r="D765" s="147"/>
      <c r="E765" s="147"/>
      <c r="F765" s="147"/>
      <c r="G765" s="147"/>
      <c r="H765" s="147"/>
      <c r="I765" s="147"/>
      <c r="J765" s="147"/>
      <c r="K765" s="3"/>
      <c r="L765" s="3"/>
      <c r="M765" s="3"/>
      <c r="N765" s="3"/>
      <c r="O765" s="3"/>
      <c r="P765" s="3"/>
      <c r="Q765" s="3"/>
      <c r="R765" s="3"/>
      <c r="S765" s="3"/>
      <c r="T765" s="3"/>
      <c r="U765" s="3"/>
      <c r="V765" s="3"/>
      <c r="W765" s="3"/>
      <c r="X765" s="3"/>
      <c r="Y765" s="3"/>
      <c r="Z765" s="3"/>
    </row>
    <row r="766" spans="1:26" ht="22.5" customHeight="1" x14ac:dyDescent="0.85">
      <c r="A766" s="166"/>
      <c r="B766" s="167"/>
      <c r="C766" s="167"/>
      <c r="D766" s="147"/>
      <c r="E766" s="147"/>
      <c r="F766" s="147"/>
      <c r="G766" s="147"/>
      <c r="H766" s="147"/>
      <c r="I766" s="147"/>
      <c r="J766" s="147"/>
      <c r="K766" s="3"/>
      <c r="L766" s="3"/>
      <c r="M766" s="3"/>
      <c r="N766" s="3"/>
      <c r="O766" s="3"/>
      <c r="P766" s="3"/>
      <c r="Q766" s="3"/>
      <c r="R766" s="3"/>
      <c r="S766" s="3"/>
      <c r="T766" s="3"/>
      <c r="U766" s="3"/>
      <c r="V766" s="3"/>
      <c r="W766" s="3"/>
      <c r="X766" s="3"/>
      <c r="Y766" s="3"/>
      <c r="Z766" s="3"/>
    </row>
    <row r="767" spans="1:26" ht="22.5" customHeight="1" x14ac:dyDescent="0.85">
      <c r="A767" s="166"/>
      <c r="B767" s="167"/>
      <c r="C767" s="167"/>
      <c r="D767" s="147"/>
      <c r="E767" s="147"/>
      <c r="F767" s="147"/>
      <c r="G767" s="147"/>
      <c r="H767" s="147"/>
      <c r="I767" s="147"/>
      <c r="J767" s="147"/>
      <c r="K767" s="3"/>
      <c r="L767" s="3"/>
      <c r="M767" s="3"/>
      <c r="N767" s="3"/>
      <c r="O767" s="3"/>
      <c r="P767" s="3"/>
      <c r="Q767" s="3"/>
      <c r="R767" s="3"/>
      <c r="S767" s="3"/>
      <c r="T767" s="3"/>
      <c r="U767" s="3"/>
      <c r="V767" s="3"/>
      <c r="W767" s="3"/>
      <c r="X767" s="3"/>
      <c r="Y767" s="3"/>
      <c r="Z767" s="3"/>
    </row>
    <row r="768" spans="1:26" ht="22.5" customHeight="1" x14ac:dyDescent="0.85">
      <c r="A768" s="166"/>
      <c r="B768" s="167"/>
      <c r="C768" s="167"/>
      <c r="D768" s="147"/>
      <c r="E768" s="147"/>
      <c r="F768" s="147"/>
      <c r="G768" s="147"/>
      <c r="H768" s="147"/>
      <c r="I768" s="147"/>
      <c r="J768" s="147"/>
      <c r="K768" s="3"/>
      <c r="L768" s="3"/>
      <c r="M768" s="3"/>
      <c r="N768" s="3"/>
      <c r="O768" s="3"/>
      <c r="P768" s="3"/>
      <c r="Q768" s="3"/>
      <c r="R768" s="3"/>
      <c r="S768" s="3"/>
      <c r="T768" s="3"/>
      <c r="U768" s="3"/>
      <c r="V768" s="3"/>
      <c r="W768" s="3"/>
      <c r="X768" s="3"/>
      <c r="Y768" s="3"/>
      <c r="Z768" s="3"/>
    </row>
    <row r="769" spans="1:26" ht="22.5" customHeight="1" x14ac:dyDescent="0.85">
      <c r="A769" s="166"/>
      <c r="B769" s="167"/>
      <c r="C769" s="167"/>
      <c r="D769" s="147"/>
      <c r="E769" s="147"/>
      <c r="F769" s="147"/>
      <c r="G769" s="147"/>
      <c r="H769" s="147"/>
      <c r="I769" s="147"/>
      <c r="J769" s="147"/>
      <c r="K769" s="3"/>
      <c r="L769" s="3"/>
      <c r="M769" s="3"/>
      <c r="N769" s="3"/>
      <c r="O769" s="3"/>
      <c r="P769" s="3"/>
      <c r="Q769" s="3"/>
      <c r="R769" s="3"/>
      <c r="S769" s="3"/>
      <c r="T769" s="3"/>
      <c r="U769" s="3"/>
      <c r="V769" s="3"/>
      <c r="W769" s="3"/>
      <c r="X769" s="3"/>
      <c r="Y769" s="3"/>
      <c r="Z769" s="3"/>
    </row>
    <row r="770" spans="1:26" ht="22.5" customHeight="1" x14ac:dyDescent="0.85">
      <c r="A770" s="166"/>
      <c r="B770" s="167"/>
      <c r="C770" s="167"/>
      <c r="D770" s="147"/>
      <c r="E770" s="147"/>
      <c r="F770" s="147"/>
      <c r="G770" s="147"/>
      <c r="H770" s="147"/>
      <c r="I770" s="147"/>
      <c r="J770" s="147"/>
      <c r="K770" s="3"/>
      <c r="L770" s="3"/>
      <c r="M770" s="3"/>
      <c r="N770" s="3"/>
      <c r="O770" s="3"/>
      <c r="P770" s="3"/>
      <c r="Q770" s="3"/>
      <c r="R770" s="3"/>
      <c r="S770" s="3"/>
      <c r="T770" s="3"/>
      <c r="U770" s="3"/>
      <c r="V770" s="3"/>
      <c r="W770" s="3"/>
      <c r="X770" s="3"/>
      <c r="Y770" s="3"/>
      <c r="Z770" s="3"/>
    </row>
    <row r="771" spans="1:26" ht="22.5" customHeight="1" x14ac:dyDescent="0.85">
      <c r="A771" s="166"/>
      <c r="B771" s="167"/>
      <c r="C771" s="167"/>
      <c r="D771" s="147"/>
      <c r="E771" s="147"/>
      <c r="F771" s="147"/>
      <c r="G771" s="147"/>
      <c r="H771" s="147"/>
      <c r="I771" s="147"/>
      <c r="J771" s="147"/>
      <c r="K771" s="3"/>
      <c r="L771" s="3"/>
      <c r="M771" s="3"/>
      <c r="N771" s="3"/>
      <c r="O771" s="3"/>
      <c r="P771" s="3"/>
      <c r="Q771" s="3"/>
      <c r="R771" s="3"/>
      <c r="S771" s="3"/>
      <c r="T771" s="3"/>
      <c r="U771" s="3"/>
      <c r="V771" s="3"/>
      <c r="W771" s="3"/>
      <c r="X771" s="3"/>
      <c r="Y771" s="3"/>
      <c r="Z771" s="3"/>
    </row>
    <row r="772" spans="1:26" ht="22.5" customHeight="1" x14ac:dyDescent="0.85">
      <c r="A772" s="166"/>
      <c r="B772" s="167"/>
      <c r="C772" s="167"/>
      <c r="D772" s="147"/>
      <c r="E772" s="147"/>
      <c r="F772" s="147"/>
      <c r="G772" s="147"/>
      <c r="H772" s="147"/>
      <c r="I772" s="147"/>
      <c r="J772" s="147"/>
      <c r="K772" s="3"/>
      <c r="L772" s="3"/>
      <c r="M772" s="3"/>
      <c r="N772" s="3"/>
      <c r="O772" s="3"/>
      <c r="P772" s="3"/>
      <c r="Q772" s="3"/>
      <c r="R772" s="3"/>
      <c r="S772" s="3"/>
      <c r="T772" s="3"/>
      <c r="U772" s="3"/>
      <c r="V772" s="3"/>
      <c r="W772" s="3"/>
      <c r="X772" s="3"/>
      <c r="Y772" s="3"/>
      <c r="Z772" s="3"/>
    </row>
    <row r="773" spans="1:26" ht="22.5" customHeight="1" x14ac:dyDescent="0.85">
      <c r="A773" s="166"/>
      <c r="B773" s="167"/>
      <c r="C773" s="167"/>
      <c r="D773" s="147"/>
      <c r="E773" s="147"/>
      <c r="F773" s="147"/>
      <c r="G773" s="147"/>
      <c r="H773" s="147"/>
      <c r="I773" s="147"/>
      <c r="J773" s="147"/>
      <c r="K773" s="3"/>
      <c r="L773" s="3"/>
      <c r="M773" s="3"/>
      <c r="N773" s="3"/>
      <c r="O773" s="3"/>
      <c r="P773" s="3"/>
      <c r="Q773" s="3"/>
      <c r="R773" s="3"/>
      <c r="S773" s="3"/>
      <c r="T773" s="3"/>
      <c r="U773" s="3"/>
      <c r="V773" s="3"/>
      <c r="W773" s="3"/>
      <c r="X773" s="3"/>
      <c r="Y773" s="3"/>
      <c r="Z773" s="3"/>
    </row>
    <row r="774" spans="1:26" ht="22.5" customHeight="1" x14ac:dyDescent="0.85">
      <c r="A774" s="166"/>
      <c r="B774" s="167"/>
      <c r="C774" s="167"/>
      <c r="D774" s="147"/>
      <c r="E774" s="147"/>
      <c r="F774" s="147"/>
      <c r="G774" s="147"/>
      <c r="H774" s="147"/>
      <c r="I774" s="147"/>
      <c r="J774" s="147"/>
      <c r="K774" s="3"/>
      <c r="L774" s="3"/>
      <c r="M774" s="3"/>
      <c r="N774" s="3"/>
      <c r="O774" s="3"/>
      <c r="P774" s="3"/>
      <c r="Q774" s="3"/>
      <c r="R774" s="3"/>
      <c r="S774" s="3"/>
      <c r="T774" s="3"/>
      <c r="U774" s="3"/>
      <c r="V774" s="3"/>
      <c r="W774" s="3"/>
      <c r="X774" s="3"/>
      <c r="Y774" s="3"/>
      <c r="Z774" s="3"/>
    </row>
    <row r="775" spans="1:26" ht="22.5" customHeight="1" x14ac:dyDescent="0.85">
      <c r="A775" s="166"/>
      <c r="B775" s="167"/>
      <c r="C775" s="167"/>
      <c r="D775" s="147"/>
      <c r="E775" s="147"/>
      <c r="F775" s="147"/>
      <c r="G775" s="147"/>
      <c r="H775" s="147"/>
      <c r="I775" s="147"/>
      <c r="J775" s="147"/>
      <c r="K775" s="3"/>
      <c r="L775" s="3"/>
      <c r="M775" s="3"/>
      <c r="N775" s="3"/>
      <c r="O775" s="3"/>
      <c r="P775" s="3"/>
      <c r="Q775" s="3"/>
      <c r="R775" s="3"/>
      <c r="S775" s="3"/>
      <c r="T775" s="3"/>
      <c r="U775" s="3"/>
      <c r="V775" s="3"/>
      <c r="W775" s="3"/>
      <c r="X775" s="3"/>
      <c r="Y775" s="3"/>
      <c r="Z775" s="3"/>
    </row>
    <row r="776" spans="1:26" ht="22.5" customHeight="1" x14ac:dyDescent="0.85">
      <c r="A776" s="166"/>
      <c r="B776" s="167"/>
      <c r="C776" s="167"/>
      <c r="D776" s="147"/>
      <c r="E776" s="147"/>
      <c r="F776" s="147"/>
      <c r="G776" s="147"/>
      <c r="H776" s="147"/>
      <c r="I776" s="147"/>
      <c r="J776" s="147"/>
      <c r="K776" s="3"/>
      <c r="L776" s="3"/>
      <c r="M776" s="3"/>
      <c r="N776" s="3"/>
      <c r="O776" s="3"/>
      <c r="P776" s="3"/>
      <c r="Q776" s="3"/>
      <c r="R776" s="3"/>
      <c r="S776" s="3"/>
      <c r="T776" s="3"/>
      <c r="U776" s="3"/>
      <c r="V776" s="3"/>
      <c r="W776" s="3"/>
      <c r="X776" s="3"/>
      <c r="Y776" s="3"/>
      <c r="Z776" s="3"/>
    </row>
    <row r="777" spans="1:26" ht="22.5" customHeight="1" x14ac:dyDescent="0.85">
      <c r="A777" s="166"/>
      <c r="B777" s="167"/>
      <c r="C777" s="167"/>
      <c r="D777" s="147"/>
      <c r="E777" s="147"/>
      <c r="F777" s="147"/>
      <c r="G777" s="147"/>
      <c r="H777" s="147"/>
      <c r="I777" s="147"/>
      <c r="J777" s="147"/>
      <c r="K777" s="3"/>
      <c r="L777" s="3"/>
      <c r="M777" s="3"/>
      <c r="N777" s="3"/>
      <c r="O777" s="3"/>
      <c r="P777" s="3"/>
      <c r="Q777" s="3"/>
      <c r="R777" s="3"/>
      <c r="S777" s="3"/>
      <c r="T777" s="3"/>
      <c r="U777" s="3"/>
      <c r="V777" s="3"/>
      <c r="W777" s="3"/>
      <c r="X777" s="3"/>
      <c r="Y777" s="3"/>
      <c r="Z777" s="3"/>
    </row>
    <row r="778" spans="1:26" ht="22.5" customHeight="1" x14ac:dyDescent="0.85">
      <c r="A778" s="166"/>
      <c r="B778" s="167"/>
      <c r="C778" s="167"/>
      <c r="D778" s="147"/>
      <c r="E778" s="147"/>
      <c r="F778" s="147"/>
      <c r="G778" s="147"/>
      <c r="H778" s="147"/>
      <c r="I778" s="147"/>
      <c r="J778" s="147"/>
      <c r="K778" s="3"/>
      <c r="L778" s="3"/>
      <c r="M778" s="3"/>
      <c r="N778" s="3"/>
      <c r="O778" s="3"/>
      <c r="P778" s="3"/>
      <c r="Q778" s="3"/>
      <c r="R778" s="3"/>
      <c r="S778" s="3"/>
      <c r="T778" s="3"/>
      <c r="U778" s="3"/>
      <c r="V778" s="3"/>
      <c r="W778" s="3"/>
      <c r="X778" s="3"/>
      <c r="Y778" s="3"/>
      <c r="Z778" s="3"/>
    </row>
    <row r="779" spans="1:26" ht="22.5" customHeight="1" x14ac:dyDescent="0.85">
      <c r="A779" s="166"/>
      <c r="B779" s="167"/>
      <c r="C779" s="167"/>
      <c r="D779" s="147"/>
      <c r="E779" s="147"/>
      <c r="F779" s="147"/>
      <c r="G779" s="147"/>
      <c r="H779" s="147"/>
      <c r="I779" s="147"/>
      <c r="J779" s="147"/>
      <c r="K779" s="3"/>
      <c r="L779" s="3"/>
      <c r="M779" s="3"/>
      <c r="N779" s="3"/>
      <c r="O779" s="3"/>
      <c r="P779" s="3"/>
      <c r="Q779" s="3"/>
      <c r="R779" s="3"/>
      <c r="S779" s="3"/>
      <c r="T779" s="3"/>
      <c r="U779" s="3"/>
      <c r="V779" s="3"/>
      <c r="W779" s="3"/>
      <c r="X779" s="3"/>
      <c r="Y779" s="3"/>
      <c r="Z779" s="3"/>
    </row>
    <row r="780" spans="1:26" ht="22.5" customHeight="1" x14ac:dyDescent="0.85">
      <c r="A780" s="166"/>
      <c r="B780" s="167"/>
      <c r="C780" s="167"/>
      <c r="D780" s="147"/>
      <c r="E780" s="147"/>
      <c r="F780" s="147"/>
      <c r="G780" s="147"/>
      <c r="H780" s="147"/>
      <c r="I780" s="147"/>
      <c r="J780" s="147"/>
      <c r="K780" s="3"/>
      <c r="L780" s="3"/>
      <c r="M780" s="3"/>
      <c r="N780" s="3"/>
      <c r="O780" s="3"/>
      <c r="P780" s="3"/>
      <c r="Q780" s="3"/>
      <c r="R780" s="3"/>
      <c r="S780" s="3"/>
      <c r="T780" s="3"/>
      <c r="U780" s="3"/>
      <c r="V780" s="3"/>
      <c r="W780" s="3"/>
      <c r="X780" s="3"/>
      <c r="Y780" s="3"/>
      <c r="Z780" s="3"/>
    </row>
    <row r="781" spans="1:26" ht="22.5" customHeight="1" x14ac:dyDescent="0.85">
      <c r="A781" s="166"/>
      <c r="B781" s="167"/>
      <c r="C781" s="167"/>
      <c r="D781" s="147"/>
      <c r="E781" s="147"/>
      <c r="F781" s="147"/>
      <c r="G781" s="147"/>
      <c r="H781" s="147"/>
      <c r="I781" s="147"/>
      <c r="J781" s="147"/>
      <c r="K781" s="3"/>
      <c r="L781" s="3"/>
      <c r="M781" s="3"/>
      <c r="N781" s="3"/>
      <c r="O781" s="3"/>
      <c r="P781" s="3"/>
      <c r="Q781" s="3"/>
      <c r="R781" s="3"/>
      <c r="S781" s="3"/>
      <c r="T781" s="3"/>
      <c r="U781" s="3"/>
      <c r="V781" s="3"/>
      <c r="W781" s="3"/>
      <c r="X781" s="3"/>
      <c r="Y781" s="3"/>
      <c r="Z781" s="3"/>
    </row>
    <row r="782" spans="1:26" ht="22.5" customHeight="1" x14ac:dyDescent="0.85">
      <c r="A782" s="166"/>
      <c r="B782" s="167"/>
      <c r="C782" s="167"/>
      <c r="D782" s="147"/>
      <c r="E782" s="147"/>
      <c r="F782" s="147"/>
      <c r="G782" s="147"/>
      <c r="H782" s="147"/>
      <c r="I782" s="147"/>
      <c r="J782" s="147"/>
      <c r="K782" s="3"/>
      <c r="L782" s="3"/>
      <c r="M782" s="3"/>
      <c r="N782" s="3"/>
      <c r="O782" s="3"/>
      <c r="P782" s="3"/>
      <c r="Q782" s="3"/>
      <c r="R782" s="3"/>
      <c r="S782" s="3"/>
      <c r="T782" s="3"/>
      <c r="U782" s="3"/>
      <c r="V782" s="3"/>
      <c r="W782" s="3"/>
      <c r="X782" s="3"/>
      <c r="Y782" s="3"/>
      <c r="Z782" s="3"/>
    </row>
    <row r="783" spans="1:26" ht="22.5" customHeight="1" x14ac:dyDescent="0.85">
      <c r="A783" s="166"/>
      <c r="B783" s="167"/>
      <c r="C783" s="167"/>
      <c r="D783" s="147"/>
      <c r="E783" s="147"/>
      <c r="F783" s="147"/>
      <c r="G783" s="147"/>
      <c r="H783" s="147"/>
      <c r="I783" s="147"/>
      <c r="J783" s="147"/>
      <c r="K783" s="3"/>
      <c r="L783" s="3"/>
      <c r="M783" s="3"/>
      <c r="N783" s="3"/>
      <c r="O783" s="3"/>
      <c r="P783" s="3"/>
      <c r="Q783" s="3"/>
      <c r="R783" s="3"/>
      <c r="S783" s="3"/>
      <c r="T783" s="3"/>
      <c r="U783" s="3"/>
      <c r="V783" s="3"/>
      <c r="W783" s="3"/>
      <c r="X783" s="3"/>
      <c r="Y783" s="3"/>
      <c r="Z783" s="3"/>
    </row>
    <row r="784" spans="1:26" ht="22.5" customHeight="1" x14ac:dyDescent="0.85">
      <c r="A784" s="166"/>
      <c r="B784" s="167"/>
      <c r="C784" s="167"/>
      <c r="D784" s="147"/>
      <c r="E784" s="147"/>
      <c r="F784" s="147"/>
      <c r="G784" s="147"/>
      <c r="H784" s="147"/>
      <c r="I784" s="147"/>
      <c r="J784" s="147"/>
      <c r="K784" s="3"/>
      <c r="L784" s="3"/>
      <c r="M784" s="3"/>
      <c r="N784" s="3"/>
      <c r="O784" s="3"/>
      <c r="P784" s="3"/>
      <c r="Q784" s="3"/>
      <c r="R784" s="3"/>
      <c r="S784" s="3"/>
      <c r="T784" s="3"/>
      <c r="U784" s="3"/>
      <c r="V784" s="3"/>
      <c r="W784" s="3"/>
      <c r="X784" s="3"/>
      <c r="Y784" s="3"/>
      <c r="Z784" s="3"/>
    </row>
    <row r="785" spans="1:26" ht="22.5" customHeight="1" x14ac:dyDescent="0.85">
      <c r="A785" s="166"/>
      <c r="B785" s="167"/>
      <c r="C785" s="167"/>
      <c r="D785" s="147"/>
      <c r="E785" s="147"/>
      <c r="F785" s="147"/>
      <c r="G785" s="147"/>
      <c r="H785" s="147"/>
      <c r="I785" s="147"/>
      <c r="J785" s="147"/>
      <c r="K785" s="3"/>
      <c r="L785" s="3"/>
      <c r="M785" s="3"/>
      <c r="N785" s="3"/>
      <c r="O785" s="3"/>
      <c r="P785" s="3"/>
      <c r="Q785" s="3"/>
      <c r="R785" s="3"/>
      <c r="S785" s="3"/>
      <c r="T785" s="3"/>
      <c r="U785" s="3"/>
      <c r="V785" s="3"/>
      <c r="W785" s="3"/>
      <c r="X785" s="3"/>
      <c r="Y785" s="3"/>
      <c r="Z785" s="3"/>
    </row>
    <row r="786" spans="1:26" ht="22.5" customHeight="1" x14ac:dyDescent="0.85">
      <c r="A786" s="166"/>
      <c r="B786" s="167"/>
      <c r="C786" s="167"/>
      <c r="D786" s="147"/>
      <c r="E786" s="147"/>
      <c r="F786" s="147"/>
      <c r="G786" s="147"/>
      <c r="H786" s="147"/>
      <c r="I786" s="147"/>
      <c r="J786" s="147"/>
      <c r="K786" s="3"/>
      <c r="L786" s="3"/>
      <c r="M786" s="3"/>
      <c r="N786" s="3"/>
      <c r="O786" s="3"/>
      <c r="P786" s="3"/>
      <c r="Q786" s="3"/>
      <c r="R786" s="3"/>
      <c r="S786" s="3"/>
      <c r="T786" s="3"/>
      <c r="U786" s="3"/>
      <c r="V786" s="3"/>
      <c r="W786" s="3"/>
      <c r="X786" s="3"/>
      <c r="Y786" s="3"/>
      <c r="Z786" s="3"/>
    </row>
    <row r="787" spans="1:26" ht="22.5" customHeight="1" x14ac:dyDescent="0.85">
      <c r="A787" s="166"/>
      <c r="B787" s="167"/>
      <c r="C787" s="167"/>
      <c r="D787" s="147"/>
      <c r="E787" s="147"/>
      <c r="F787" s="147"/>
      <c r="G787" s="147"/>
      <c r="H787" s="147"/>
      <c r="I787" s="147"/>
      <c r="J787" s="147"/>
      <c r="K787" s="3"/>
      <c r="L787" s="3"/>
      <c r="M787" s="3"/>
      <c r="N787" s="3"/>
      <c r="O787" s="3"/>
      <c r="P787" s="3"/>
      <c r="Q787" s="3"/>
      <c r="R787" s="3"/>
      <c r="S787" s="3"/>
      <c r="T787" s="3"/>
      <c r="U787" s="3"/>
      <c r="V787" s="3"/>
      <c r="W787" s="3"/>
      <c r="X787" s="3"/>
      <c r="Y787" s="3"/>
      <c r="Z787" s="3"/>
    </row>
    <row r="788" spans="1:26" ht="22.5" customHeight="1" x14ac:dyDescent="0.85">
      <c r="A788" s="166"/>
      <c r="B788" s="167"/>
      <c r="C788" s="167"/>
      <c r="D788" s="147"/>
      <c r="E788" s="147"/>
      <c r="F788" s="147"/>
      <c r="G788" s="147"/>
      <c r="H788" s="147"/>
      <c r="I788" s="147"/>
      <c r="J788" s="147"/>
      <c r="K788" s="3"/>
      <c r="L788" s="3"/>
      <c r="M788" s="3"/>
      <c r="N788" s="3"/>
      <c r="O788" s="3"/>
      <c r="P788" s="3"/>
      <c r="Q788" s="3"/>
      <c r="R788" s="3"/>
      <c r="S788" s="3"/>
      <c r="T788" s="3"/>
      <c r="U788" s="3"/>
      <c r="V788" s="3"/>
      <c r="W788" s="3"/>
      <c r="X788" s="3"/>
      <c r="Y788" s="3"/>
      <c r="Z788" s="3"/>
    </row>
    <row r="789" spans="1:26" ht="22.5" customHeight="1" x14ac:dyDescent="0.85">
      <c r="A789" s="166"/>
      <c r="B789" s="167"/>
      <c r="C789" s="167"/>
      <c r="D789" s="147"/>
      <c r="E789" s="147"/>
      <c r="F789" s="147"/>
      <c r="G789" s="147"/>
      <c r="H789" s="147"/>
      <c r="I789" s="147"/>
      <c r="J789" s="147"/>
      <c r="K789" s="3"/>
      <c r="L789" s="3"/>
      <c r="M789" s="3"/>
      <c r="N789" s="3"/>
      <c r="O789" s="3"/>
      <c r="P789" s="3"/>
      <c r="Q789" s="3"/>
      <c r="R789" s="3"/>
      <c r="S789" s="3"/>
      <c r="T789" s="3"/>
      <c r="U789" s="3"/>
      <c r="V789" s="3"/>
      <c r="W789" s="3"/>
      <c r="X789" s="3"/>
      <c r="Y789" s="3"/>
      <c r="Z789" s="3"/>
    </row>
    <row r="790" spans="1:26" ht="22.5" customHeight="1" x14ac:dyDescent="0.85">
      <c r="A790" s="166"/>
      <c r="B790" s="167"/>
      <c r="C790" s="167"/>
      <c r="D790" s="147"/>
      <c r="E790" s="147"/>
      <c r="F790" s="147"/>
      <c r="G790" s="147"/>
      <c r="H790" s="147"/>
      <c r="I790" s="147"/>
      <c r="J790" s="147"/>
      <c r="K790" s="3"/>
      <c r="L790" s="3"/>
      <c r="M790" s="3"/>
      <c r="N790" s="3"/>
      <c r="O790" s="3"/>
      <c r="P790" s="3"/>
      <c r="Q790" s="3"/>
      <c r="R790" s="3"/>
      <c r="S790" s="3"/>
      <c r="T790" s="3"/>
      <c r="U790" s="3"/>
      <c r="V790" s="3"/>
      <c r="W790" s="3"/>
      <c r="X790" s="3"/>
      <c r="Y790" s="3"/>
      <c r="Z790" s="3"/>
    </row>
    <row r="791" spans="1:26" ht="22.5" customHeight="1" x14ac:dyDescent="0.85">
      <c r="A791" s="166"/>
      <c r="B791" s="167"/>
      <c r="C791" s="167"/>
      <c r="D791" s="147"/>
      <c r="E791" s="147"/>
      <c r="F791" s="147"/>
      <c r="G791" s="147"/>
      <c r="H791" s="147"/>
      <c r="I791" s="147"/>
      <c r="J791" s="147"/>
      <c r="K791" s="3"/>
      <c r="L791" s="3"/>
      <c r="M791" s="3"/>
      <c r="N791" s="3"/>
      <c r="O791" s="3"/>
      <c r="P791" s="3"/>
      <c r="Q791" s="3"/>
      <c r="R791" s="3"/>
      <c r="S791" s="3"/>
      <c r="T791" s="3"/>
      <c r="U791" s="3"/>
      <c r="V791" s="3"/>
      <c r="W791" s="3"/>
      <c r="X791" s="3"/>
      <c r="Y791" s="3"/>
      <c r="Z791" s="3"/>
    </row>
    <row r="792" spans="1:26" ht="22.5" customHeight="1" x14ac:dyDescent="0.85">
      <c r="A792" s="166"/>
      <c r="B792" s="167"/>
      <c r="C792" s="167"/>
      <c r="D792" s="147"/>
      <c r="E792" s="147"/>
      <c r="F792" s="147"/>
      <c r="G792" s="147"/>
      <c r="H792" s="147"/>
      <c r="I792" s="147"/>
      <c r="J792" s="147"/>
      <c r="K792" s="3"/>
      <c r="L792" s="3"/>
      <c r="M792" s="3"/>
      <c r="N792" s="3"/>
      <c r="O792" s="3"/>
      <c r="P792" s="3"/>
      <c r="Q792" s="3"/>
      <c r="R792" s="3"/>
      <c r="S792" s="3"/>
      <c r="T792" s="3"/>
      <c r="U792" s="3"/>
      <c r="V792" s="3"/>
      <c r="W792" s="3"/>
      <c r="X792" s="3"/>
      <c r="Y792" s="3"/>
      <c r="Z792" s="3"/>
    </row>
    <row r="793" spans="1:26" ht="22.5" customHeight="1" x14ac:dyDescent="0.85">
      <c r="A793" s="166"/>
      <c r="B793" s="167"/>
      <c r="C793" s="167"/>
      <c r="D793" s="147"/>
      <c r="E793" s="147"/>
      <c r="F793" s="147"/>
      <c r="G793" s="147"/>
      <c r="H793" s="147"/>
      <c r="I793" s="147"/>
      <c r="J793" s="147"/>
      <c r="K793" s="3"/>
      <c r="L793" s="3"/>
      <c r="M793" s="3"/>
      <c r="N793" s="3"/>
      <c r="O793" s="3"/>
      <c r="P793" s="3"/>
      <c r="Q793" s="3"/>
      <c r="R793" s="3"/>
      <c r="S793" s="3"/>
      <c r="T793" s="3"/>
      <c r="U793" s="3"/>
      <c r="V793" s="3"/>
      <c r="W793" s="3"/>
      <c r="X793" s="3"/>
      <c r="Y793" s="3"/>
      <c r="Z793" s="3"/>
    </row>
    <row r="794" spans="1:26" ht="22.5" customHeight="1" x14ac:dyDescent="0.85">
      <c r="A794" s="166"/>
      <c r="B794" s="167"/>
      <c r="C794" s="167"/>
      <c r="D794" s="147"/>
      <c r="E794" s="147"/>
      <c r="F794" s="147"/>
      <c r="G794" s="147"/>
      <c r="H794" s="147"/>
      <c r="I794" s="147"/>
      <c r="J794" s="147"/>
      <c r="K794" s="3"/>
      <c r="L794" s="3"/>
      <c r="M794" s="3"/>
      <c r="N794" s="3"/>
      <c r="O794" s="3"/>
      <c r="P794" s="3"/>
      <c r="Q794" s="3"/>
      <c r="R794" s="3"/>
      <c r="S794" s="3"/>
      <c r="T794" s="3"/>
      <c r="U794" s="3"/>
      <c r="V794" s="3"/>
      <c r="W794" s="3"/>
      <c r="X794" s="3"/>
      <c r="Y794" s="3"/>
      <c r="Z794" s="3"/>
    </row>
    <row r="795" spans="1:26" ht="22.5" customHeight="1" x14ac:dyDescent="0.85">
      <c r="A795" s="166"/>
      <c r="B795" s="167"/>
      <c r="C795" s="167"/>
      <c r="D795" s="147"/>
      <c r="E795" s="147"/>
      <c r="F795" s="147"/>
      <c r="G795" s="147"/>
      <c r="H795" s="147"/>
      <c r="I795" s="147"/>
      <c r="J795" s="147"/>
      <c r="K795" s="3"/>
      <c r="L795" s="3"/>
      <c r="M795" s="3"/>
      <c r="N795" s="3"/>
      <c r="O795" s="3"/>
      <c r="P795" s="3"/>
      <c r="Q795" s="3"/>
      <c r="R795" s="3"/>
      <c r="S795" s="3"/>
      <c r="T795" s="3"/>
      <c r="U795" s="3"/>
      <c r="V795" s="3"/>
      <c r="W795" s="3"/>
      <c r="X795" s="3"/>
      <c r="Y795" s="3"/>
      <c r="Z795" s="3"/>
    </row>
    <row r="796" spans="1:26" ht="22.5" customHeight="1" x14ac:dyDescent="0.85">
      <c r="A796" s="166"/>
      <c r="B796" s="167"/>
      <c r="C796" s="167"/>
      <c r="D796" s="147"/>
      <c r="E796" s="147"/>
      <c r="F796" s="147"/>
      <c r="G796" s="147"/>
      <c r="H796" s="147"/>
      <c r="I796" s="147"/>
      <c r="J796" s="147"/>
      <c r="K796" s="3"/>
      <c r="L796" s="3"/>
      <c r="M796" s="3"/>
      <c r="N796" s="3"/>
      <c r="O796" s="3"/>
      <c r="P796" s="3"/>
      <c r="Q796" s="3"/>
      <c r="R796" s="3"/>
      <c r="S796" s="3"/>
      <c r="T796" s="3"/>
      <c r="U796" s="3"/>
      <c r="V796" s="3"/>
      <c r="W796" s="3"/>
      <c r="X796" s="3"/>
      <c r="Y796" s="3"/>
      <c r="Z796" s="3"/>
    </row>
    <row r="797" spans="1:26" ht="22.5" customHeight="1" x14ac:dyDescent="0.85">
      <c r="A797" s="166"/>
      <c r="B797" s="167"/>
      <c r="C797" s="167"/>
      <c r="D797" s="147"/>
      <c r="E797" s="147"/>
      <c r="F797" s="147"/>
      <c r="G797" s="147"/>
      <c r="H797" s="147"/>
      <c r="I797" s="147"/>
      <c r="J797" s="147"/>
      <c r="K797" s="3"/>
      <c r="L797" s="3"/>
      <c r="M797" s="3"/>
      <c r="N797" s="3"/>
      <c r="O797" s="3"/>
      <c r="P797" s="3"/>
      <c r="Q797" s="3"/>
      <c r="R797" s="3"/>
      <c r="S797" s="3"/>
      <c r="T797" s="3"/>
      <c r="U797" s="3"/>
      <c r="V797" s="3"/>
      <c r="W797" s="3"/>
      <c r="X797" s="3"/>
      <c r="Y797" s="3"/>
      <c r="Z797" s="3"/>
    </row>
    <row r="798" spans="1:26" ht="22.5" customHeight="1" x14ac:dyDescent="0.85">
      <c r="A798" s="166"/>
      <c r="B798" s="167"/>
      <c r="C798" s="167"/>
      <c r="D798" s="147"/>
      <c r="E798" s="147"/>
      <c r="F798" s="147"/>
      <c r="G798" s="147"/>
      <c r="H798" s="147"/>
      <c r="I798" s="147"/>
      <c r="J798" s="147"/>
      <c r="K798" s="3"/>
      <c r="L798" s="3"/>
      <c r="M798" s="3"/>
      <c r="N798" s="3"/>
      <c r="O798" s="3"/>
      <c r="P798" s="3"/>
      <c r="Q798" s="3"/>
      <c r="R798" s="3"/>
      <c r="S798" s="3"/>
      <c r="T798" s="3"/>
      <c r="U798" s="3"/>
      <c r="V798" s="3"/>
      <c r="W798" s="3"/>
      <c r="X798" s="3"/>
      <c r="Y798" s="3"/>
      <c r="Z798" s="3"/>
    </row>
    <row r="799" spans="1:26" ht="22.5" customHeight="1" x14ac:dyDescent="0.85">
      <c r="A799" s="166"/>
      <c r="B799" s="167"/>
      <c r="C799" s="167"/>
      <c r="D799" s="147"/>
      <c r="E799" s="147"/>
      <c r="F799" s="147"/>
      <c r="G799" s="147"/>
      <c r="H799" s="147"/>
      <c r="I799" s="147"/>
      <c r="J799" s="147"/>
      <c r="K799" s="3"/>
      <c r="L799" s="3"/>
      <c r="M799" s="3"/>
      <c r="N799" s="3"/>
      <c r="O799" s="3"/>
      <c r="P799" s="3"/>
      <c r="Q799" s="3"/>
      <c r="R799" s="3"/>
      <c r="S799" s="3"/>
      <c r="T799" s="3"/>
      <c r="U799" s="3"/>
      <c r="V799" s="3"/>
      <c r="W799" s="3"/>
      <c r="X799" s="3"/>
      <c r="Y799" s="3"/>
      <c r="Z799" s="3"/>
    </row>
    <row r="800" spans="1:26" ht="22.5" customHeight="1" x14ac:dyDescent="0.85">
      <c r="A800" s="166"/>
      <c r="B800" s="167"/>
      <c r="C800" s="167"/>
      <c r="D800" s="147"/>
      <c r="E800" s="147"/>
      <c r="F800" s="147"/>
      <c r="G800" s="147"/>
      <c r="H800" s="147"/>
      <c r="I800" s="147"/>
      <c r="J800" s="147"/>
      <c r="K800" s="3"/>
      <c r="L800" s="3"/>
      <c r="M800" s="3"/>
      <c r="N800" s="3"/>
      <c r="O800" s="3"/>
      <c r="P800" s="3"/>
      <c r="Q800" s="3"/>
      <c r="R800" s="3"/>
      <c r="S800" s="3"/>
      <c r="T800" s="3"/>
      <c r="U800" s="3"/>
      <c r="V800" s="3"/>
      <c r="W800" s="3"/>
      <c r="X800" s="3"/>
      <c r="Y800" s="3"/>
      <c r="Z800" s="3"/>
    </row>
    <row r="801" spans="1:26" ht="22.5" customHeight="1" x14ac:dyDescent="0.85">
      <c r="A801" s="166"/>
      <c r="B801" s="167"/>
      <c r="C801" s="167"/>
      <c r="D801" s="147"/>
      <c r="E801" s="147"/>
      <c r="F801" s="147"/>
      <c r="G801" s="147"/>
      <c r="H801" s="147"/>
      <c r="I801" s="147"/>
      <c r="J801" s="147"/>
      <c r="K801" s="3"/>
      <c r="L801" s="3"/>
      <c r="M801" s="3"/>
      <c r="N801" s="3"/>
      <c r="O801" s="3"/>
      <c r="P801" s="3"/>
      <c r="Q801" s="3"/>
      <c r="R801" s="3"/>
      <c r="S801" s="3"/>
      <c r="T801" s="3"/>
      <c r="U801" s="3"/>
      <c r="V801" s="3"/>
      <c r="W801" s="3"/>
      <c r="X801" s="3"/>
      <c r="Y801" s="3"/>
      <c r="Z801" s="3"/>
    </row>
    <row r="802" spans="1:26" ht="22.5" customHeight="1" x14ac:dyDescent="0.85">
      <c r="A802" s="166"/>
      <c r="B802" s="167"/>
      <c r="C802" s="167"/>
      <c r="D802" s="147"/>
      <c r="E802" s="147"/>
      <c r="F802" s="147"/>
      <c r="G802" s="147"/>
      <c r="H802" s="147"/>
      <c r="I802" s="147"/>
      <c r="J802" s="147"/>
      <c r="K802" s="3"/>
      <c r="L802" s="3"/>
      <c r="M802" s="3"/>
      <c r="N802" s="3"/>
      <c r="O802" s="3"/>
      <c r="P802" s="3"/>
      <c r="Q802" s="3"/>
      <c r="R802" s="3"/>
      <c r="S802" s="3"/>
      <c r="T802" s="3"/>
      <c r="U802" s="3"/>
      <c r="V802" s="3"/>
      <c r="W802" s="3"/>
      <c r="X802" s="3"/>
      <c r="Y802" s="3"/>
      <c r="Z802" s="3"/>
    </row>
    <row r="803" spans="1:26" ht="22.5" customHeight="1" x14ac:dyDescent="0.85">
      <c r="A803" s="166"/>
      <c r="B803" s="167"/>
      <c r="C803" s="167"/>
      <c r="D803" s="147"/>
      <c r="E803" s="147"/>
      <c r="F803" s="147"/>
      <c r="G803" s="147"/>
      <c r="H803" s="147"/>
      <c r="I803" s="147"/>
      <c r="J803" s="147"/>
      <c r="K803" s="3"/>
      <c r="L803" s="3"/>
      <c r="M803" s="3"/>
      <c r="N803" s="3"/>
      <c r="O803" s="3"/>
      <c r="P803" s="3"/>
      <c r="Q803" s="3"/>
      <c r="R803" s="3"/>
      <c r="S803" s="3"/>
      <c r="T803" s="3"/>
      <c r="U803" s="3"/>
      <c r="V803" s="3"/>
      <c r="W803" s="3"/>
      <c r="X803" s="3"/>
      <c r="Y803" s="3"/>
      <c r="Z803" s="3"/>
    </row>
    <row r="804" spans="1:26" ht="22.5" customHeight="1" x14ac:dyDescent="0.85">
      <c r="A804" s="166"/>
      <c r="B804" s="167"/>
      <c r="C804" s="167"/>
      <c r="D804" s="147"/>
      <c r="E804" s="147"/>
      <c r="F804" s="147"/>
      <c r="G804" s="147"/>
      <c r="H804" s="147"/>
      <c r="I804" s="147"/>
      <c r="J804" s="147"/>
      <c r="K804" s="3"/>
      <c r="L804" s="3"/>
      <c r="M804" s="3"/>
      <c r="N804" s="3"/>
      <c r="O804" s="3"/>
      <c r="P804" s="3"/>
      <c r="Q804" s="3"/>
      <c r="R804" s="3"/>
      <c r="S804" s="3"/>
      <c r="T804" s="3"/>
      <c r="U804" s="3"/>
      <c r="V804" s="3"/>
      <c r="W804" s="3"/>
      <c r="X804" s="3"/>
      <c r="Y804" s="3"/>
      <c r="Z804" s="3"/>
    </row>
    <row r="805" spans="1:26" ht="22.5" customHeight="1" x14ac:dyDescent="0.85">
      <c r="A805" s="166"/>
      <c r="B805" s="167"/>
      <c r="C805" s="167"/>
      <c r="D805" s="147"/>
      <c r="E805" s="147"/>
      <c r="F805" s="147"/>
      <c r="G805" s="147"/>
      <c r="H805" s="147"/>
      <c r="I805" s="147"/>
      <c r="J805" s="147"/>
      <c r="K805" s="3"/>
      <c r="L805" s="3"/>
      <c r="M805" s="3"/>
      <c r="N805" s="3"/>
      <c r="O805" s="3"/>
      <c r="P805" s="3"/>
      <c r="Q805" s="3"/>
      <c r="R805" s="3"/>
      <c r="S805" s="3"/>
      <c r="T805" s="3"/>
      <c r="U805" s="3"/>
      <c r="V805" s="3"/>
      <c r="W805" s="3"/>
      <c r="X805" s="3"/>
      <c r="Y805" s="3"/>
      <c r="Z805" s="3"/>
    </row>
    <row r="806" spans="1:26" ht="22.5" customHeight="1" x14ac:dyDescent="0.85">
      <c r="A806" s="166"/>
      <c r="B806" s="167"/>
      <c r="C806" s="167"/>
      <c r="D806" s="147"/>
      <c r="E806" s="147"/>
      <c r="F806" s="147"/>
      <c r="G806" s="147"/>
      <c r="H806" s="147"/>
      <c r="I806" s="147"/>
      <c r="J806" s="147"/>
      <c r="K806" s="3"/>
      <c r="L806" s="3"/>
      <c r="M806" s="3"/>
      <c r="N806" s="3"/>
      <c r="O806" s="3"/>
      <c r="P806" s="3"/>
      <c r="Q806" s="3"/>
      <c r="R806" s="3"/>
      <c r="S806" s="3"/>
      <c r="T806" s="3"/>
      <c r="U806" s="3"/>
      <c r="V806" s="3"/>
      <c r="W806" s="3"/>
      <c r="X806" s="3"/>
      <c r="Y806" s="3"/>
      <c r="Z806" s="3"/>
    </row>
    <row r="807" spans="1:26" ht="22.5" customHeight="1" x14ac:dyDescent="0.85">
      <c r="A807" s="166"/>
      <c r="B807" s="167"/>
      <c r="C807" s="167"/>
      <c r="D807" s="147"/>
      <c r="E807" s="147"/>
      <c r="F807" s="147"/>
      <c r="G807" s="147"/>
      <c r="H807" s="147"/>
      <c r="I807" s="147"/>
      <c r="J807" s="147"/>
      <c r="K807" s="3"/>
      <c r="L807" s="3"/>
      <c r="M807" s="3"/>
      <c r="N807" s="3"/>
      <c r="O807" s="3"/>
      <c r="P807" s="3"/>
      <c r="Q807" s="3"/>
      <c r="R807" s="3"/>
      <c r="S807" s="3"/>
      <c r="T807" s="3"/>
      <c r="U807" s="3"/>
      <c r="V807" s="3"/>
      <c r="W807" s="3"/>
      <c r="X807" s="3"/>
      <c r="Y807" s="3"/>
      <c r="Z807" s="3"/>
    </row>
    <row r="808" spans="1:26" ht="22.5" customHeight="1" x14ac:dyDescent="0.85">
      <c r="A808" s="166"/>
      <c r="B808" s="167"/>
      <c r="C808" s="167"/>
      <c r="D808" s="147"/>
      <c r="E808" s="147"/>
      <c r="F808" s="147"/>
      <c r="G808" s="147"/>
      <c r="H808" s="147"/>
      <c r="I808" s="147"/>
      <c r="J808" s="147"/>
      <c r="K808" s="3"/>
      <c r="L808" s="3"/>
      <c r="M808" s="3"/>
      <c r="N808" s="3"/>
      <c r="O808" s="3"/>
      <c r="P808" s="3"/>
      <c r="Q808" s="3"/>
      <c r="R808" s="3"/>
      <c r="S808" s="3"/>
      <c r="T808" s="3"/>
      <c r="U808" s="3"/>
      <c r="V808" s="3"/>
      <c r="W808" s="3"/>
      <c r="X808" s="3"/>
      <c r="Y808" s="3"/>
      <c r="Z808" s="3"/>
    </row>
    <row r="809" spans="1:26" ht="22.5" customHeight="1" x14ac:dyDescent="0.85">
      <c r="A809" s="166"/>
      <c r="B809" s="167"/>
      <c r="C809" s="167"/>
      <c r="D809" s="147"/>
      <c r="E809" s="147"/>
      <c r="F809" s="147"/>
      <c r="G809" s="147"/>
      <c r="H809" s="147"/>
      <c r="I809" s="147"/>
      <c r="J809" s="147"/>
      <c r="K809" s="3"/>
      <c r="L809" s="3"/>
      <c r="M809" s="3"/>
      <c r="N809" s="3"/>
      <c r="O809" s="3"/>
      <c r="P809" s="3"/>
      <c r="Q809" s="3"/>
      <c r="R809" s="3"/>
      <c r="S809" s="3"/>
      <c r="T809" s="3"/>
      <c r="U809" s="3"/>
      <c r="V809" s="3"/>
      <c r="W809" s="3"/>
      <c r="X809" s="3"/>
      <c r="Y809" s="3"/>
      <c r="Z809" s="3"/>
    </row>
    <row r="810" spans="1:26" ht="22.5" customHeight="1" x14ac:dyDescent="0.85">
      <c r="A810" s="166"/>
      <c r="B810" s="167"/>
      <c r="C810" s="167"/>
      <c r="D810" s="147"/>
      <c r="E810" s="147"/>
      <c r="F810" s="147"/>
      <c r="G810" s="147"/>
      <c r="H810" s="147"/>
      <c r="I810" s="147"/>
      <c r="J810" s="147"/>
      <c r="K810" s="3"/>
      <c r="L810" s="3"/>
      <c r="M810" s="3"/>
      <c r="N810" s="3"/>
      <c r="O810" s="3"/>
      <c r="P810" s="3"/>
      <c r="Q810" s="3"/>
      <c r="R810" s="3"/>
      <c r="S810" s="3"/>
      <c r="T810" s="3"/>
      <c r="U810" s="3"/>
      <c r="V810" s="3"/>
      <c r="W810" s="3"/>
      <c r="X810" s="3"/>
      <c r="Y810" s="3"/>
      <c r="Z810" s="3"/>
    </row>
    <row r="811" spans="1:26" ht="22.5" customHeight="1" x14ac:dyDescent="0.85">
      <c r="A811" s="166"/>
      <c r="B811" s="167"/>
      <c r="C811" s="167"/>
      <c r="D811" s="147"/>
      <c r="E811" s="147"/>
      <c r="F811" s="147"/>
      <c r="G811" s="147"/>
      <c r="H811" s="147"/>
      <c r="I811" s="147"/>
      <c r="J811" s="147"/>
      <c r="K811" s="3"/>
      <c r="L811" s="3"/>
      <c r="M811" s="3"/>
      <c r="N811" s="3"/>
      <c r="O811" s="3"/>
      <c r="P811" s="3"/>
      <c r="Q811" s="3"/>
      <c r="R811" s="3"/>
      <c r="S811" s="3"/>
      <c r="T811" s="3"/>
      <c r="U811" s="3"/>
      <c r="V811" s="3"/>
      <c r="W811" s="3"/>
      <c r="X811" s="3"/>
      <c r="Y811" s="3"/>
      <c r="Z811" s="3"/>
    </row>
    <row r="812" spans="1:26" ht="22.5" customHeight="1" x14ac:dyDescent="0.85">
      <c r="A812" s="166"/>
      <c r="B812" s="167"/>
      <c r="C812" s="167"/>
      <c r="D812" s="147"/>
      <c r="E812" s="147"/>
      <c r="F812" s="147"/>
      <c r="G812" s="147"/>
      <c r="H812" s="147"/>
      <c r="I812" s="147"/>
      <c r="J812" s="147"/>
      <c r="K812" s="3"/>
      <c r="L812" s="3"/>
      <c r="M812" s="3"/>
      <c r="N812" s="3"/>
      <c r="O812" s="3"/>
      <c r="P812" s="3"/>
      <c r="Q812" s="3"/>
      <c r="R812" s="3"/>
      <c r="S812" s="3"/>
      <c r="T812" s="3"/>
      <c r="U812" s="3"/>
      <c r="V812" s="3"/>
      <c r="W812" s="3"/>
      <c r="X812" s="3"/>
      <c r="Y812" s="3"/>
      <c r="Z812" s="3"/>
    </row>
    <row r="813" spans="1:26" ht="22.5" customHeight="1" x14ac:dyDescent="0.85">
      <c r="A813" s="166"/>
      <c r="B813" s="167"/>
      <c r="C813" s="167"/>
      <c r="D813" s="147"/>
      <c r="E813" s="147"/>
      <c r="F813" s="147"/>
      <c r="G813" s="147"/>
      <c r="H813" s="147"/>
      <c r="I813" s="147"/>
      <c r="J813" s="147"/>
      <c r="K813" s="3"/>
      <c r="L813" s="3"/>
      <c r="M813" s="3"/>
      <c r="N813" s="3"/>
      <c r="O813" s="3"/>
      <c r="P813" s="3"/>
      <c r="Q813" s="3"/>
      <c r="R813" s="3"/>
      <c r="S813" s="3"/>
      <c r="T813" s="3"/>
      <c r="U813" s="3"/>
      <c r="V813" s="3"/>
      <c r="W813" s="3"/>
      <c r="X813" s="3"/>
      <c r="Y813" s="3"/>
      <c r="Z813" s="3"/>
    </row>
    <row r="814" spans="1:26" ht="22.5" customHeight="1" x14ac:dyDescent="0.85">
      <c r="A814" s="166"/>
      <c r="B814" s="167"/>
      <c r="C814" s="167"/>
      <c r="D814" s="147"/>
      <c r="E814" s="147"/>
      <c r="F814" s="147"/>
      <c r="G814" s="147"/>
      <c r="H814" s="147"/>
      <c r="I814" s="147"/>
      <c r="J814" s="147"/>
      <c r="K814" s="3"/>
      <c r="L814" s="3"/>
      <c r="M814" s="3"/>
      <c r="N814" s="3"/>
      <c r="O814" s="3"/>
      <c r="P814" s="3"/>
      <c r="Q814" s="3"/>
      <c r="R814" s="3"/>
      <c r="S814" s="3"/>
      <c r="T814" s="3"/>
      <c r="U814" s="3"/>
      <c r="V814" s="3"/>
      <c r="W814" s="3"/>
      <c r="X814" s="3"/>
      <c r="Y814" s="3"/>
      <c r="Z814" s="3"/>
    </row>
    <row r="815" spans="1:26" ht="22.5" customHeight="1" x14ac:dyDescent="0.85">
      <c r="A815" s="166"/>
      <c r="B815" s="167"/>
      <c r="C815" s="167"/>
      <c r="D815" s="147"/>
      <c r="E815" s="147"/>
      <c r="F815" s="147"/>
      <c r="G815" s="147"/>
      <c r="H815" s="147"/>
      <c r="I815" s="147"/>
      <c r="J815" s="147"/>
      <c r="K815" s="3"/>
      <c r="L815" s="3"/>
      <c r="M815" s="3"/>
      <c r="N815" s="3"/>
      <c r="O815" s="3"/>
      <c r="P815" s="3"/>
      <c r="Q815" s="3"/>
      <c r="R815" s="3"/>
      <c r="S815" s="3"/>
      <c r="T815" s="3"/>
      <c r="U815" s="3"/>
      <c r="V815" s="3"/>
      <c r="W815" s="3"/>
      <c r="X815" s="3"/>
      <c r="Y815" s="3"/>
      <c r="Z815" s="3"/>
    </row>
    <row r="816" spans="1:26" ht="22.5" customHeight="1" x14ac:dyDescent="0.85">
      <c r="A816" s="166"/>
      <c r="B816" s="167"/>
      <c r="C816" s="167"/>
      <c r="D816" s="147"/>
      <c r="E816" s="147"/>
      <c r="F816" s="147"/>
      <c r="G816" s="147"/>
      <c r="H816" s="147"/>
      <c r="I816" s="147"/>
      <c r="J816" s="147"/>
      <c r="K816" s="3"/>
      <c r="L816" s="3"/>
      <c r="M816" s="3"/>
      <c r="N816" s="3"/>
      <c r="O816" s="3"/>
      <c r="P816" s="3"/>
      <c r="Q816" s="3"/>
      <c r="R816" s="3"/>
      <c r="S816" s="3"/>
      <c r="T816" s="3"/>
      <c r="U816" s="3"/>
      <c r="V816" s="3"/>
      <c r="W816" s="3"/>
      <c r="X816" s="3"/>
      <c r="Y816" s="3"/>
      <c r="Z816" s="3"/>
    </row>
    <row r="817" spans="1:26" ht="22.5" customHeight="1" x14ac:dyDescent="0.85">
      <c r="A817" s="166"/>
      <c r="B817" s="167"/>
      <c r="C817" s="167"/>
      <c r="D817" s="147"/>
      <c r="E817" s="147"/>
      <c r="F817" s="147"/>
      <c r="G817" s="147"/>
      <c r="H817" s="147"/>
      <c r="I817" s="147"/>
      <c r="J817" s="147"/>
      <c r="K817" s="3"/>
      <c r="L817" s="3"/>
      <c r="M817" s="3"/>
      <c r="N817" s="3"/>
      <c r="O817" s="3"/>
      <c r="P817" s="3"/>
      <c r="Q817" s="3"/>
      <c r="R817" s="3"/>
      <c r="S817" s="3"/>
      <c r="T817" s="3"/>
      <c r="U817" s="3"/>
      <c r="V817" s="3"/>
      <c r="W817" s="3"/>
      <c r="X817" s="3"/>
      <c r="Y817" s="3"/>
      <c r="Z817" s="3"/>
    </row>
    <row r="818" spans="1:26" ht="22.5" customHeight="1" x14ac:dyDescent="0.85">
      <c r="A818" s="166"/>
      <c r="B818" s="167"/>
      <c r="C818" s="167"/>
      <c r="D818" s="147"/>
      <c r="E818" s="147"/>
      <c r="F818" s="147"/>
      <c r="G818" s="147"/>
      <c r="H818" s="147"/>
      <c r="I818" s="147"/>
      <c r="J818" s="147"/>
      <c r="K818" s="3"/>
      <c r="L818" s="3"/>
      <c r="M818" s="3"/>
      <c r="N818" s="3"/>
      <c r="O818" s="3"/>
      <c r="P818" s="3"/>
      <c r="Q818" s="3"/>
      <c r="R818" s="3"/>
      <c r="S818" s="3"/>
      <c r="T818" s="3"/>
      <c r="U818" s="3"/>
      <c r="V818" s="3"/>
      <c r="W818" s="3"/>
      <c r="X818" s="3"/>
      <c r="Y818" s="3"/>
      <c r="Z818" s="3"/>
    </row>
    <row r="819" spans="1:26" ht="22.5" customHeight="1" x14ac:dyDescent="0.85">
      <c r="A819" s="166"/>
      <c r="B819" s="167"/>
      <c r="C819" s="167"/>
      <c r="D819" s="147"/>
      <c r="E819" s="147"/>
      <c r="F819" s="147"/>
      <c r="G819" s="147"/>
      <c r="H819" s="147"/>
      <c r="I819" s="147"/>
      <c r="J819" s="147"/>
      <c r="K819" s="3"/>
      <c r="L819" s="3"/>
      <c r="M819" s="3"/>
      <c r="N819" s="3"/>
      <c r="O819" s="3"/>
      <c r="P819" s="3"/>
      <c r="Q819" s="3"/>
      <c r="R819" s="3"/>
      <c r="S819" s="3"/>
      <c r="T819" s="3"/>
      <c r="U819" s="3"/>
      <c r="V819" s="3"/>
      <c r="W819" s="3"/>
      <c r="X819" s="3"/>
      <c r="Y819" s="3"/>
      <c r="Z819" s="3"/>
    </row>
    <row r="820" spans="1:26" ht="22.5" customHeight="1" x14ac:dyDescent="0.85">
      <c r="A820" s="166"/>
      <c r="B820" s="167"/>
      <c r="C820" s="167"/>
      <c r="D820" s="147"/>
      <c r="E820" s="147"/>
      <c r="F820" s="147"/>
      <c r="G820" s="147"/>
      <c r="H820" s="147"/>
      <c r="I820" s="147"/>
      <c r="J820" s="147"/>
      <c r="K820" s="3"/>
      <c r="L820" s="3"/>
      <c r="M820" s="3"/>
      <c r="N820" s="3"/>
      <c r="O820" s="3"/>
      <c r="P820" s="3"/>
      <c r="Q820" s="3"/>
      <c r="R820" s="3"/>
      <c r="S820" s="3"/>
      <c r="T820" s="3"/>
      <c r="U820" s="3"/>
      <c r="V820" s="3"/>
      <c r="W820" s="3"/>
      <c r="X820" s="3"/>
      <c r="Y820" s="3"/>
      <c r="Z820" s="3"/>
    </row>
    <row r="821" spans="1:26" ht="22.5" customHeight="1" x14ac:dyDescent="0.85">
      <c r="A821" s="166"/>
      <c r="B821" s="167"/>
      <c r="C821" s="167"/>
      <c r="D821" s="147"/>
      <c r="E821" s="147"/>
      <c r="F821" s="147"/>
      <c r="G821" s="147"/>
      <c r="H821" s="147"/>
      <c r="I821" s="147"/>
      <c r="J821" s="147"/>
      <c r="K821" s="3"/>
      <c r="L821" s="3"/>
      <c r="M821" s="3"/>
      <c r="N821" s="3"/>
      <c r="O821" s="3"/>
      <c r="P821" s="3"/>
      <c r="Q821" s="3"/>
      <c r="R821" s="3"/>
      <c r="S821" s="3"/>
      <c r="T821" s="3"/>
      <c r="U821" s="3"/>
      <c r="V821" s="3"/>
      <c r="W821" s="3"/>
      <c r="X821" s="3"/>
      <c r="Y821" s="3"/>
      <c r="Z821" s="3"/>
    </row>
    <row r="822" spans="1:26" ht="22.5" customHeight="1" x14ac:dyDescent="0.85">
      <c r="A822" s="166"/>
      <c r="B822" s="167"/>
      <c r="C822" s="167"/>
      <c r="D822" s="147"/>
      <c r="E822" s="147"/>
      <c r="F822" s="147"/>
      <c r="G822" s="147"/>
      <c r="H822" s="147"/>
      <c r="I822" s="147"/>
      <c r="J822" s="147"/>
      <c r="K822" s="3"/>
      <c r="L822" s="3"/>
      <c r="M822" s="3"/>
      <c r="N822" s="3"/>
      <c r="O822" s="3"/>
      <c r="P822" s="3"/>
      <c r="Q822" s="3"/>
      <c r="R822" s="3"/>
      <c r="S822" s="3"/>
      <c r="T822" s="3"/>
      <c r="U822" s="3"/>
      <c r="V822" s="3"/>
      <c r="W822" s="3"/>
      <c r="X822" s="3"/>
      <c r="Y822" s="3"/>
      <c r="Z822" s="3"/>
    </row>
    <row r="823" spans="1:26" ht="22.5" customHeight="1" x14ac:dyDescent="0.85">
      <c r="A823" s="166"/>
      <c r="B823" s="167"/>
      <c r="C823" s="167"/>
      <c r="D823" s="147"/>
      <c r="E823" s="147"/>
      <c r="F823" s="147"/>
      <c r="G823" s="147"/>
      <c r="H823" s="147"/>
      <c r="I823" s="147"/>
      <c r="J823" s="147"/>
      <c r="K823" s="3"/>
      <c r="L823" s="3"/>
      <c r="M823" s="3"/>
      <c r="N823" s="3"/>
      <c r="O823" s="3"/>
      <c r="P823" s="3"/>
      <c r="Q823" s="3"/>
      <c r="R823" s="3"/>
      <c r="S823" s="3"/>
      <c r="T823" s="3"/>
      <c r="U823" s="3"/>
      <c r="V823" s="3"/>
      <c r="W823" s="3"/>
      <c r="X823" s="3"/>
      <c r="Y823" s="3"/>
      <c r="Z823" s="3"/>
    </row>
    <row r="824" spans="1:26" ht="22.5" customHeight="1" x14ac:dyDescent="0.85">
      <c r="A824" s="166"/>
      <c r="B824" s="167"/>
      <c r="C824" s="167"/>
      <c r="D824" s="147"/>
      <c r="E824" s="147"/>
      <c r="F824" s="147"/>
      <c r="G824" s="147"/>
      <c r="H824" s="147"/>
      <c r="I824" s="147"/>
      <c r="J824" s="147"/>
      <c r="K824" s="3"/>
      <c r="L824" s="3"/>
      <c r="M824" s="3"/>
      <c r="N824" s="3"/>
      <c r="O824" s="3"/>
      <c r="P824" s="3"/>
      <c r="Q824" s="3"/>
      <c r="R824" s="3"/>
      <c r="S824" s="3"/>
      <c r="T824" s="3"/>
      <c r="U824" s="3"/>
      <c r="V824" s="3"/>
      <c r="W824" s="3"/>
      <c r="X824" s="3"/>
      <c r="Y824" s="3"/>
      <c r="Z824" s="3"/>
    </row>
    <row r="825" spans="1:26" ht="22.5" customHeight="1" x14ac:dyDescent="0.85">
      <c r="A825" s="166"/>
      <c r="B825" s="167"/>
      <c r="C825" s="167"/>
      <c r="D825" s="147"/>
      <c r="E825" s="147"/>
      <c r="F825" s="147"/>
      <c r="G825" s="147"/>
      <c r="H825" s="147"/>
      <c r="I825" s="147"/>
      <c r="J825" s="147"/>
      <c r="K825" s="3"/>
      <c r="L825" s="3"/>
      <c r="M825" s="3"/>
      <c r="N825" s="3"/>
      <c r="O825" s="3"/>
      <c r="P825" s="3"/>
      <c r="Q825" s="3"/>
      <c r="R825" s="3"/>
      <c r="S825" s="3"/>
      <c r="T825" s="3"/>
      <c r="U825" s="3"/>
      <c r="V825" s="3"/>
      <c r="W825" s="3"/>
      <c r="X825" s="3"/>
      <c r="Y825" s="3"/>
      <c r="Z825" s="3"/>
    </row>
    <row r="826" spans="1:26" ht="22.5" customHeight="1" x14ac:dyDescent="0.85">
      <c r="A826" s="166"/>
      <c r="B826" s="167"/>
      <c r="C826" s="167"/>
      <c r="D826" s="147"/>
      <c r="E826" s="147"/>
      <c r="F826" s="147"/>
      <c r="G826" s="147"/>
      <c r="H826" s="147"/>
      <c r="I826" s="147"/>
      <c r="J826" s="147"/>
      <c r="K826" s="3"/>
      <c r="L826" s="3"/>
      <c r="M826" s="3"/>
      <c r="N826" s="3"/>
      <c r="O826" s="3"/>
      <c r="P826" s="3"/>
      <c r="Q826" s="3"/>
      <c r="R826" s="3"/>
      <c r="S826" s="3"/>
      <c r="T826" s="3"/>
      <c r="U826" s="3"/>
      <c r="V826" s="3"/>
      <c r="W826" s="3"/>
      <c r="X826" s="3"/>
      <c r="Y826" s="3"/>
      <c r="Z826" s="3"/>
    </row>
    <row r="827" spans="1:26" ht="22.5" customHeight="1" x14ac:dyDescent="0.85">
      <c r="A827" s="166"/>
      <c r="B827" s="167"/>
      <c r="C827" s="167"/>
      <c r="D827" s="147"/>
      <c r="E827" s="147"/>
      <c r="F827" s="147"/>
      <c r="G827" s="147"/>
      <c r="H827" s="147"/>
      <c r="I827" s="147"/>
      <c r="J827" s="147"/>
      <c r="K827" s="3"/>
      <c r="L827" s="3"/>
      <c r="M827" s="3"/>
      <c r="N827" s="3"/>
      <c r="O827" s="3"/>
      <c r="P827" s="3"/>
      <c r="Q827" s="3"/>
      <c r="R827" s="3"/>
      <c r="S827" s="3"/>
      <c r="T827" s="3"/>
      <c r="U827" s="3"/>
      <c r="V827" s="3"/>
      <c r="W827" s="3"/>
      <c r="X827" s="3"/>
      <c r="Y827" s="3"/>
      <c r="Z827" s="3"/>
    </row>
    <row r="828" spans="1:26" ht="22.5" customHeight="1" x14ac:dyDescent="0.85">
      <c r="A828" s="166"/>
      <c r="B828" s="167"/>
      <c r="C828" s="167"/>
      <c r="D828" s="147"/>
      <c r="E828" s="147"/>
      <c r="F828" s="147"/>
      <c r="G828" s="147"/>
      <c r="H828" s="147"/>
      <c r="I828" s="147"/>
      <c r="J828" s="147"/>
      <c r="K828" s="3"/>
      <c r="L828" s="3"/>
      <c r="M828" s="3"/>
      <c r="N828" s="3"/>
      <c r="O828" s="3"/>
      <c r="P828" s="3"/>
      <c r="Q828" s="3"/>
      <c r="R828" s="3"/>
      <c r="S828" s="3"/>
      <c r="T828" s="3"/>
      <c r="U828" s="3"/>
      <c r="V828" s="3"/>
      <c r="W828" s="3"/>
      <c r="X828" s="3"/>
      <c r="Y828" s="3"/>
      <c r="Z828" s="3"/>
    </row>
    <row r="829" spans="1:26" ht="22.5" customHeight="1" x14ac:dyDescent="0.85">
      <c r="A829" s="166"/>
      <c r="B829" s="167"/>
      <c r="C829" s="167"/>
      <c r="D829" s="147"/>
      <c r="E829" s="147"/>
      <c r="F829" s="147"/>
      <c r="G829" s="147"/>
      <c r="H829" s="147"/>
      <c r="I829" s="147"/>
      <c r="J829" s="147"/>
      <c r="K829" s="3"/>
      <c r="L829" s="3"/>
      <c r="M829" s="3"/>
      <c r="N829" s="3"/>
      <c r="O829" s="3"/>
      <c r="P829" s="3"/>
      <c r="Q829" s="3"/>
      <c r="R829" s="3"/>
      <c r="S829" s="3"/>
      <c r="T829" s="3"/>
      <c r="U829" s="3"/>
      <c r="V829" s="3"/>
      <c r="W829" s="3"/>
      <c r="X829" s="3"/>
      <c r="Y829" s="3"/>
      <c r="Z829" s="3"/>
    </row>
    <row r="830" spans="1:26" ht="22.5" customHeight="1" x14ac:dyDescent="0.85">
      <c r="A830" s="166"/>
      <c r="B830" s="167"/>
      <c r="C830" s="167"/>
      <c r="D830" s="147"/>
      <c r="E830" s="147"/>
      <c r="F830" s="147"/>
      <c r="G830" s="147"/>
      <c r="H830" s="147"/>
      <c r="I830" s="147"/>
      <c r="J830" s="147"/>
      <c r="K830" s="3"/>
      <c r="L830" s="3"/>
      <c r="M830" s="3"/>
      <c r="N830" s="3"/>
      <c r="O830" s="3"/>
      <c r="P830" s="3"/>
      <c r="Q830" s="3"/>
      <c r="R830" s="3"/>
      <c r="S830" s="3"/>
      <c r="T830" s="3"/>
      <c r="U830" s="3"/>
      <c r="V830" s="3"/>
      <c r="W830" s="3"/>
      <c r="X830" s="3"/>
      <c r="Y830" s="3"/>
      <c r="Z830" s="3"/>
    </row>
    <row r="831" spans="1:26" ht="22.5" customHeight="1" x14ac:dyDescent="0.85">
      <c r="A831" s="166"/>
      <c r="B831" s="167"/>
      <c r="C831" s="167"/>
      <c r="D831" s="147"/>
      <c r="E831" s="147"/>
      <c r="F831" s="147"/>
      <c r="G831" s="147"/>
      <c r="H831" s="147"/>
      <c r="I831" s="147"/>
      <c r="J831" s="147"/>
      <c r="K831" s="3"/>
      <c r="L831" s="3"/>
      <c r="M831" s="3"/>
      <c r="N831" s="3"/>
      <c r="O831" s="3"/>
      <c r="P831" s="3"/>
      <c r="Q831" s="3"/>
      <c r="R831" s="3"/>
      <c r="S831" s="3"/>
      <c r="T831" s="3"/>
      <c r="U831" s="3"/>
      <c r="V831" s="3"/>
      <c r="W831" s="3"/>
      <c r="X831" s="3"/>
      <c r="Y831" s="3"/>
      <c r="Z831" s="3"/>
    </row>
    <row r="832" spans="1:26" ht="22.5" customHeight="1" x14ac:dyDescent="0.85">
      <c r="A832" s="166"/>
      <c r="B832" s="167"/>
      <c r="C832" s="167"/>
      <c r="D832" s="147"/>
      <c r="E832" s="147"/>
      <c r="F832" s="147"/>
      <c r="G832" s="147"/>
      <c r="H832" s="147"/>
      <c r="I832" s="147"/>
      <c r="J832" s="147"/>
      <c r="K832" s="3"/>
      <c r="L832" s="3"/>
      <c r="M832" s="3"/>
      <c r="N832" s="3"/>
      <c r="O832" s="3"/>
      <c r="P832" s="3"/>
      <c r="Q832" s="3"/>
      <c r="R832" s="3"/>
      <c r="S832" s="3"/>
      <c r="T832" s="3"/>
      <c r="U832" s="3"/>
      <c r="V832" s="3"/>
      <c r="W832" s="3"/>
      <c r="X832" s="3"/>
      <c r="Y832" s="3"/>
      <c r="Z832" s="3"/>
    </row>
    <row r="833" spans="1:26" ht="22.5" customHeight="1" x14ac:dyDescent="0.85">
      <c r="A833" s="166"/>
      <c r="B833" s="167"/>
      <c r="C833" s="167"/>
      <c r="D833" s="147"/>
      <c r="E833" s="147"/>
      <c r="F833" s="147"/>
      <c r="G833" s="147"/>
      <c r="H833" s="147"/>
      <c r="I833" s="147"/>
      <c r="J833" s="147"/>
      <c r="K833" s="3"/>
      <c r="L833" s="3"/>
      <c r="M833" s="3"/>
      <c r="N833" s="3"/>
      <c r="O833" s="3"/>
      <c r="P833" s="3"/>
      <c r="Q833" s="3"/>
      <c r="R833" s="3"/>
      <c r="S833" s="3"/>
      <c r="T833" s="3"/>
      <c r="U833" s="3"/>
      <c r="V833" s="3"/>
      <c r="W833" s="3"/>
      <c r="X833" s="3"/>
      <c r="Y833" s="3"/>
      <c r="Z833" s="3"/>
    </row>
    <row r="834" spans="1:26" ht="22.5" customHeight="1" x14ac:dyDescent="0.85">
      <c r="A834" s="166"/>
      <c r="B834" s="167"/>
      <c r="C834" s="167"/>
      <c r="D834" s="147"/>
      <c r="E834" s="147"/>
      <c r="F834" s="147"/>
      <c r="G834" s="147"/>
      <c r="H834" s="147"/>
      <c r="I834" s="147"/>
      <c r="J834" s="147"/>
      <c r="K834" s="3"/>
      <c r="L834" s="3"/>
      <c r="M834" s="3"/>
      <c r="N834" s="3"/>
      <c r="O834" s="3"/>
      <c r="P834" s="3"/>
      <c r="Q834" s="3"/>
      <c r="R834" s="3"/>
      <c r="S834" s="3"/>
      <c r="T834" s="3"/>
      <c r="U834" s="3"/>
      <c r="V834" s="3"/>
      <c r="W834" s="3"/>
      <c r="X834" s="3"/>
      <c r="Y834" s="3"/>
      <c r="Z834" s="3"/>
    </row>
    <row r="835" spans="1:26" ht="22.5" customHeight="1" x14ac:dyDescent="0.85">
      <c r="A835" s="166"/>
      <c r="B835" s="167"/>
      <c r="C835" s="167"/>
      <c r="D835" s="147"/>
      <c r="E835" s="147"/>
      <c r="F835" s="147"/>
      <c r="G835" s="147"/>
      <c r="H835" s="147"/>
      <c r="I835" s="147"/>
      <c r="J835" s="147"/>
      <c r="K835" s="3"/>
      <c r="L835" s="3"/>
      <c r="M835" s="3"/>
      <c r="N835" s="3"/>
      <c r="O835" s="3"/>
      <c r="P835" s="3"/>
      <c r="Q835" s="3"/>
      <c r="R835" s="3"/>
      <c r="S835" s="3"/>
      <c r="T835" s="3"/>
      <c r="U835" s="3"/>
      <c r="V835" s="3"/>
      <c r="W835" s="3"/>
      <c r="X835" s="3"/>
      <c r="Y835" s="3"/>
      <c r="Z835" s="3"/>
    </row>
    <row r="836" spans="1:26" ht="22.5" customHeight="1" x14ac:dyDescent="0.85">
      <c r="A836" s="166"/>
      <c r="B836" s="167"/>
      <c r="C836" s="167"/>
      <c r="D836" s="147"/>
      <c r="E836" s="147"/>
      <c r="F836" s="147"/>
      <c r="G836" s="147"/>
      <c r="H836" s="147"/>
      <c r="I836" s="147"/>
      <c r="J836" s="147"/>
      <c r="K836" s="3"/>
      <c r="L836" s="3"/>
      <c r="M836" s="3"/>
      <c r="N836" s="3"/>
      <c r="O836" s="3"/>
      <c r="P836" s="3"/>
      <c r="Q836" s="3"/>
      <c r="R836" s="3"/>
      <c r="S836" s="3"/>
      <c r="T836" s="3"/>
      <c r="U836" s="3"/>
      <c r="V836" s="3"/>
      <c r="W836" s="3"/>
      <c r="X836" s="3"/>
      <c r="Y836" s="3"/>
      <c r="Z836" s="3"/>
    </row>
    <row r="837" spans="1:26" ht="22.5" customHeight="1" x14ac:dyDescent="0.85">
      <c r="A837" s="166"/>
      <c r="B837" s="167"/>
      <c r="C837" s="167"/>
      <c r="D837" s="147"/>
      <c r="E837" s="147"/>
      <c r="F837" s="147"/>
      <c r="G837" s="147"/>
      <c r="H837" s="147"/>
      <c r="I837" s="147"/>
      <c r="J837" s="147"/>
      <c r="K837" s="3"/>
      <c r="L837" s="3"/>
      <c r="M837" s="3"/>
      <c r="N837" s="3"/>
      <c r="O837" s="3"/>
      <c r="P837" s="3"/>
      <c r="Q837" s="3"/>
      <c r="R837" s="3"/>
      <c r="S837" s="3"/>
      <c r="T837" s="3"/>
      <c r="U837" s="3"/>
      <c r="V837" s="3"/>
      <c r="W837" s="3"/>
      <c r="X837" s="3"/>
      <c r="Y837" s="3"/>
      <c r="Z837" s="3"/>
    </row>
    <row r="838" spans="1:26" ht="22.5" customHeight="1" x14ac:dyDescent="0.85">
      <c r="A838" s="166"/>
      <c r="B838" s="167"/>
      <c r="C838" s="167"/>
      <c r="D838" s="147"/>
      <c r="E838" s="147"/>
      <c r="F838" s="147"/>
      <c r="G838" s="147"/>
      <c r="H838" s="147"/>
      <c r="I838" s="147"/>
      <c r="J838" s="147"/>
      <c r="K838" s="3"/>
      <c r="L838" s="3"/>
      <c r="M838" s="3"/>
      <c r="N838" s="3"/>
      <c r="O838" s="3"/>
      <c r="P838" s="3"/>
      <c r="Q838" s="3"/>
      <c r="R838" s="3"/>
      <c r="S838" s="3"/>
      <c r="T838" s="3"/>
      <c r="U838" s="3"/>
      <c r="V838" s="3"/>
      <c r="W838" s="3"/>
      <c r="X838" s="3"/>
      <c r="Y838" s="3"/>
      <c r="Z838" s="3"/>
    </row>
    <row r="839" spans="1:26" ht="22.5" customHeight="1" x14ac:dyDescent="0.85">
      <c r="A839" s="166"/>
      <c r="B839" s="167"/>
      <c r="C839" s="167"/>
      <c r="D839" s="147"/>
      <c r="E839" s="147"/>
      <c r="F839" s="147"/>
      <c r="G839" s="147"/>
      <c r="H839" s="147"/>
      <c r="I839" s="147"/>
      <c r="J839" s="147"/>
      <c r="K839" s="3"/>
      <c r="L839" s="3"/>
      <c r="M839" s="3"/>
      <c r="N839" s="3"/>
      <c r="O839" s="3"/>
      <c r="P839" s="3"/>
      <c r="Q839" s="3"/>
      <c r="R839" s="3"/>
      <c r="S839" s="3"/>
      <c r="T839" s="3"/>
      <c r="U839" s="3"/>
      <c r="V839" s="3"/>
      <c r="W839" s="3"/>
      <c r="X839" s="3"/>
      <c r="Y839" s="3"/>
      <c r="Z839" s="3"/>
    </row>
    <row r="840" spans="1:26" ht="22.5" customHeight="1" x14ac:dyDescent="0.85">
      <c r="A840" s="166"/>
      <c r="B840" s="167"/>
      <c r="C840" s="167"/>
      <c r="D840" s="147"/>
      <c r="E840" s="147"/>
      <c r="F840" s="147"/>
      <c r="G840" s="147"/>
      <c r="H840" s="147"/>
      <c r="I840" s="147"/>
      <c r="J840" s="147"/>
      <c r="K840" s="3"/>
      <c r="L840" s="3"/>
      <c r="M840" s="3"/>
      <c r="N840" s="3"/>
      <c r="O840" s="3"/>
      <c r="P840" s="3"/>
      <c r="Q840" s="3"/>
      <c r="R840" s="3"/>
      <c r="S840" s="3"/>
      <c r="T840" s="3"/>
      <c r="U840" s="3"/>
      <c r="V840" s="3"/>
      <c r="W840" s="3"/>
      <c r="X840" s="3"/>
      <c r="Y840" s="3"/>
      <c r="Z840" s="3"/>
    </row>
    <row r="841" spans="1:26" ht="22.5" customHeight="1" x14ac:dyDescent="0.85">
      <c r="A841" s="166"/>
      <c r="B841" s="167"/>
      <c r="C841" s="167"/>
      <c r="D841" s="147"/>
      <c r="E841" s="147"/>
      <c r="F841" s="147"/>
      <c r="G841" s="147"/>
      <c r="H841" s="147"/>
      <c r="I841" s="147"/>
      <c r="J841" s="147"/>
      <c r="K841" s="3"/>
      <c r="L841" s="3"/>
      <c r="M841" s="3"/>
      <c r="N841" s="3"/>
      <c r="O841" s="3"/>
      <c r="P841" s="3"/>
      <c r="Q841" s="3"/>
      <c r="R841" s="3"/>
      <c r="S841" s="3"/>
      <c r="T841" s="3"/>
      <c r="U841" s="3"/>
      <c r="V841" s="3"/>
      <c r="W841" s="3"/>
      <c r="X841" s="3"/>
      <c r="Y841" s="3"/>
      <c r="Z841" s="3"/>
    </row>
    <row r="842" spans="1:26" ht="22.5" customHeight="1" x14ac:dyDescent="0.85">
      <c r="A842" s="166"/>
      <c r="B842" s="167"/>
      <c r="C842" s="167"/>
      <c r="D842" s="147"/>
      <c r="E842" s="147"/>
      <c r="F842" s="147"/>
      <c r="G842" s="147"/>
      <c r="H842" s="147"/>
      <c r="I842" s="147"/>
      <c r="J842" s="147"/>
      <c r="K842" s="3"/>
      <c r="L842" s="3"/>
      <c r="M842" s="3"/>
      <c r="N842" s="3"/>
      <c r="O842" s="3"/>
      <c r="P842" s="3"/>
      <c r="Q842" s="3"/>
      <c r="R842" s="3"/>
      <c r="S842" s="3"/>
      <c r="T842" s="3"/>
      <c r="U842" s="3"/>
      <c r="V842" s="3"/>
      <c r="W842" s="3"/>
      <c r="X842" s="3"/>
      <c r="Y842" s="3"/>
      <c r="Z842" s="3"/>
    </row>
    <row r="843" spans="1:26" ht="22.5" customHeight="1" x14ac:dyDescent="0.85">
      <c r="A843" s="166"/>
      <c r="B843" s="167"/>
      <c r="C843" s="167"/>
      <c r="D843" s="147"/>
      <c r="E843" s="147"/>
      <c r="F843" s="147"/>
      <c r="G843" s="147"/>
      <c r="H843" s="147"/>
      <c r="I843" s="147"/>
      <c r="J843" s="147"/>
      <c r="K843" s="3"/>
      <c r="L843" s="3"/>
      <c r="M843" s="3"/>
      <c r="N843" s="3"/>
      <c r="O843" s="3"/>
      <c r="P843" s="3"/>
      <c r="Q843" s="3"/>
      <c r="R843" s="3"/>
      <c r="S843" s="3"/>
      <c r="T843" s="3"/>
      <c r="U843" s="3"/>
      <c r="V843" s="3"/>
      <c r="W843" s="3"/>
      <c r="X843" s="3"/>
      <c r="Y843" s="3"/>
      <c r="Z843" s="3"/>
    </row>
    <row r="844" spans="1:26" ht="22.5" customHeight="1" x14ac:dyDescent="0.85">
      <c r="A844" s="166"/>
      <c r="B844" s="167"/>
      <c r="C844" s="167"/>
      <c r="D844" s="147"/>
      <c r="E844" s="147"/>
      <c r="F844" s="147"/>
      <c r="G844" s="147"/>
      <c r="H844" s="147"/>
      <c r="I844" s="147"/>
      <c r="J844" s="147"/>
      <c r="K844" s="3"/>
      <c r="L844" s="3"/>
      <c r="M844" s="3"/>
      <c r="N844" s="3"/>
      <c r="O844" s="3"/>
      <c r="P844" s="3"/>
      <c r="Q844" s="3"/>
      <c r="R844" s="3"/>
      <c r="S844" s="3"/>
      <c r="T844" s="3"/>
      <c r="U844" s="3"/>
      <c r="V844" s="3"/>
      <c r="W844" s="3"/>
      <c r="X844" s="3"/>
      <c r="Y844" s="3"/>
      <c r="Z844" s="3"/>
    </row>
    <row r="845" spans="1:26" ht="22.5" customHeight="1" x14ac:dyDescent="0.85">
      <c r="A845" s="166"/>
      <c r="B845" s="167"/>
      <c r="C845" s="167"/>
      <c r="D845" s="147"/>
      <c r="E845" s="147"/>
      <c r="F845" s="147"/>
      <c r="G845" s="147"/>
      <c r="H845" s="147"/>
      <c r="I845" s="147"/>
      <c r="J845" s="147"/>
      <c r="K845" s="3"/>
      <c r="L845" s="3"/>
      <c r="M845" s="3"/>
      <c r="N845" s="3"/>
      <c r="O845" s="3"/>
      <c r="P845" s="3"/>
      <c r="Q845" s="3"/>
      <c r="R845" s="3"/>
      <c r="S845" s="3"/>
      <c r="T845" s="3"/>
      <c r="U845" s="3"/>
      <c r="V845" s="3"/>
      <c r="W845" s="3"/>
      <c r="X845" s="3"/>
      <c r="Y845" s="3"/>
      <c r="Z845" s="3"/>
    </row>
    <row r="846" spans="1:26" ht="22.5" customHeight="1" x14ac:dyDescent="0.85">
      <c r="A846" s="166"/>
      <c r="B846" s="167"/>
      <c r="C846" s="167"/>
      <c r="D846" s="147"/>
      <c r="E846" s="147"/>
      <c r="F846" s="147"/>
      <c r="G846" s="147"/>
      <c r="H846" s="147"/>
      <c r="I846" s="147"/>
      <c r="J846" s="147"/>
      <c r="K846" s="3"/>
      <c r="L846" s="3"/>
      <c r="M846" s="3"/>
      <c r="N846" s="3"/>
      <c r="O846" s="3"/>
      <c r="P846" s="3"/>
      <c r="Q846" s="3"/>
      <c r="R846" s="3"/>
      <c r="S846" s="3"/>
      <c r="T846" s="3"/>
      <c r="U846" s="3"/>
      <c r="V846" s="3"/>
      <c r="W846" s="3"/>
      <c r="X846" s="3"/>
      <c r="Y846" s="3"/>
      <c r="Z846" s="3"/>
    </row>
    <row r="847" spans="1:26" ht="22.5" customHeight="1" x14ac:dyDescent="0.85">
      <c r="A847" s="166"/>
      <c r="B847" s="167"/>
      <c r="C847" s="167"/>
      <c r="D847" s="147"/>
      <c r="E847" s="147"/>
      <c r="F847" s="147"/>
      <c r="G847" s="147"/>
      <c r="H847" s="147"/>
      <c r="I847" s="147"/>
      <c r="J847" s="147"/>
      <c r="K847" s="3"/>
      <c r="L847" s="3"/>
      <c r="M847" s="3"/>
      <c r="N847" s="3"/>
      <c r="O847" s="3"/>
      <c r="P847" s="3"/>
      <c r="Q847" s="3"/>
      <c r="R847" s="3"/>
      <c r="S847" s="3"/>
      <c r="T847" s="3"/>
      <c r="U847" s="3"/>
      <c r="V847" s="3"/>
      <c r="W847" s="3"/>
      <c r="X847" s="3"/>
      <c r="Y847" s="3"/>
      <c r="Z847" s="3"/>
    </row>
    <row r="848" spans="1:26" ht="22.5" customHeight="1" x14ac:dyDescent="0.85">
      <c r="A848" s="166"/>
      <c r="B848" s="167"/>
      <c r="C848" s="167"/>
      <c r="D848" s="147"/>
      <c r="E848" s="147"/>
      <c r="F848" s="147"/>
      <c r="G848" s="147"/>
      <c r="H848" s="147"/>
      <c r="I848" s="147"/>
      <c r="J848" s="147"/>
      <c r="K848" s="3"/>
      <c r="L848" s="3"/>
      <c r="M848" s="3"/>
      <c r="N848" s="3"/>
      <c r="O848" s="3"/>
      <c r="P848" s="3"/>
      <c r="Q848" s="3"/>
      <c r="R848" s="3"/>
      <c r="S848" s="3"/>
      <c r="T848" s="3"/>
      <c r="U848" s="3"/>
      <c r="V848" s="3"/>
      <c r="W848" s="3"/>
      <c r="X848" s="3"/>
      <c r="Y848" s="3"/>
      <c r="Z848" s="3"/>
    </row>
    <row r="849" spans="1:26" ht="22.5" customHeight="1" x14ac:dyDescent="0.85">
      <c r="A849" s="166"/>
      <c r="B849" s="167"/>
      <c r="C849" s="167"/>
      <c r="D849" s="147"/>
      <c r="E849" s="147"/>
      <c r="F849" s="147"/>
      <c r="G849" s="147"/>
      <c r="H849" s="147"/>
      <c r="I849" s="147"/>
      <c r="J849" s="147"/>
      <c r="K849" s="3"/>
      <c r="L849" s="3"/>
      <c r="M849" s="3"/>
      <c r="N849" s="3"/>
      <c r="O849" s="3"/>
      <c r="P849" s="3"/>
      <c r="Q849" s="3"/>
      <c r="R849" s="3"/>
      <c r="S849" s="3"/>
      <c r="T849" s="3"/>
      <c r="U849" s="3"/>
      <c r="V849" s="3"/>
      <c r="W849" s="3"/>
      <c r="X849" s="3"/>
      <c r="Y849" s="3"/>
      <c r="Z849" s="3"/>
    </row>
    <row r="850" spans="1:26" ht="22.5" customHeight="1" x14ac:dyDescent="0.85">
      <c r="A850" s="166"/>
      <c r="B850" s="167"/>
      <c r="C850" s="167"/>
      <c r="D850" s="147"/>
      <c r="E850" s="147"/>
      <c r="F850" s="147"/>
      <c r="G850" s="147"/>
      <c r="H850" s="147"/>
      <c r="I850" s="147"/>
      <c r="J850" s="147"/>
      <c r="K850" s="3"/>
      <c r="L850" s="3"/>
      <c r="M850" s="3"/>
      <c r="N850" s="3"/>
      <c r="O850" s="3"/>
      <c r="P850" s="3"/>
      <c r="Q850" s="3"/>
      <c r="R850" s="3"/>
      <c r="S850" s="3"/>
      <c r="T850" s="3"/>
      <c r="U850" s="3"/>
      <c r="V850" s="3"/>
      <c r="W850" s="3"/>
      <c r="X850" s="3"/>
      <c r="Y850" s="3"/>
      <c r="Z850" s="3"/>
    </row>
    <row r="851" spans="1:26" ht="22.5" customHeight="1" x14ac:dyDescent="0.85">
      <c r="A851" s="166"/>
      <c r="B851" s="167"/>
      <c r="C851" s="167"/>
      <c r="D851" s="147"/>
      <c r="E851" s="147"/>
      <c r="F851" s="147"/>
      <c r="G851" s="147"/>
      <c r="H851" s="147"/>
      <c r="I851" s="147"/>
      <c r="J851" s="147"/>
      <c r="K851" s="3"/>
      <c r="L851" s="3"/>
      <c r="M851" s="3"/>
      <c r="N851" s="3"/>
      <c r="O851" s="3"/>
      <c r="P851" s="3"/>
      <c r="Q851" s="3"/>
      <c r="R851" s="3"/>
      <c r="S851" s="3"/>
      <c r="T851" s="3"/>
      <c r="U851" s="3"/>
      <c r="V851" s="3"/>
      <c r="W851" s="3"/>
      <c r="X851" s="3"/>
      <c r="Y851" s="3"/>
      <c r="Z851" s="3"/>
    </row>
    <row r="852" spans="1:26" ht="22.5" customHeight="1" x14ac:dyDescent="0.85">
      <c r="A852" s="166"/>
      <c r="B852" s="167"/>
      <c r="C852" s="167"/>
      <c r="D852" s="147"/>
      <c r="E852" s="147"/>
      <c r="F852" s="147"/>
      <c r="G852" s="147"/>
      <c r="H852" s="147"/>
      <c r="I852" s="147"/>
      <c r="J852" s="147"/>
      <c r="K852" s="3"/>
      <c r="L852" s="3"/>
      <c r="M852" s="3"/>
      <c r="N852" s="3"/>
      <c r="O852" s="3"/>
      <c r="P852" s="3"/>
      <c r="Q852" s="3"/>
      <c r="R852" s="3"/>
      <c r="S852" s="3"/>
      <c r="T852" s="3"/>
      <c r="U852" s="3"/>
      <c r="V852" s="3"/>
      <c r="W852" s="3"/>
      <c r="X852" s="3"/>
      <c r="Y852" s="3"/>
      <c r="Z852" s="3"/>
    </row>
    <row r="853" spans="1:26" ht="22.5" customHeight="1" x14ac:dyDescent="0.85">
      <c r="A853" s="166"/>
      <c r="B853" s="167"/>
      <c r="C853" s="167"/>
      <c r="D853" s="147"/>
      <c r="E853" s="147"/>
      <c r="F853" s="147"/>
      <c r="G853" s="147"/>
      <c r="H853" s="147"/>
      <c r="I853" s="147"/>
      <c r="J853" s="147"/>
      <c r="K853" s="3"/>
      <c r="L853" s="3"/>
      <c r="M853" s="3"/>
      <c r="N853" s="3"/>
      <c r="O853" s="3"/>
      <c r="P853" s="3"/>
      <c r="Q853" s="3"/>
      <c r="R853" s="3"/>
      <c r="S853" s="3"/>
      <c r="T853" s="3"/>
      <c r="U853" s="3"/>
      <c r="V853" s="3"/>
      <c r="W853" s="3"/>
      <c r="X853" s="3"/>
      <c r="Y853" s="3"/>
      <c r="Z853" s="3"/>
    </row>
    <row r="854" spans="1:26" ht="22.5" customHeight="1" x14ac:dyDescent="0.85">
      <c r="A854" s="166"/>
      <c r="B854" s="167"/>
      <c r="C854" s="167"/>
      <c r="D854" s="147"/>
      <c r="E854" s="147"/>
      <c r="F854" s="147"/>
      <c r="G854" s="147"/>
      <c r="H854" s="147"/>
      <c r="I854" s="147"/>
      <c r="J854" s="147"/>
      <c r="K854" s="3"/>
      <c r="L854" s="3"/>
      <c r="M854" s="3"/>
      <c r="N854" s="3"/>
      <c r="O854" s="3"/>
      <c r="P854" s="3"/>
      <c r="Q854" s="3"/>
      <c r="R854" s="3"/>
      <c r="S854" s="3"/>
      <c r="T854" s="3"/>
      <c r="U854" s="3"/>
      <c r="V854" s="3"/>
      <c r="W854" s="3"/>
      <c r="X854" s="3"/>
      <c r="Y854" s="3"/>
      <c r="Z854" s="3"/>
    </row>
    <row r="855" spans="1:26" ht="22.5" customHeight="1" x14ac:dyDescent="0.85">
      <c r="A855" s="166"/>
      <c r="B855" s="167"/>
      <c r="C855" s="167"/>
      <c r="D855" s="147"/>
      <c r="E855" s="147"/>
      <c r="F855" s="147"/>
      <c r="G855" s="147"/>
      <c r="H855" s="147"/>
      <c r="I855" s="147"/>
      <c r="J855" s="147"/>
      <c r="K855" s="3"/>
      <c r="L855" s="3"/>
      <c r="M855" s="3"/>
      <c r="N855" s="3"/>
      <c r="O855" s="3"/>
      <c r="P855" s="3"/>
      <c r="Q855" s="3"/>
      <c r="R855" s="3"/>
      <c r="S855" s="3"/>
      <c r="T855" s="3"/>
      <c r="U855" s="3"/>
      <c r="V855" s="3"/>
      <c r="W855" s="3"/>
      <c r="X855" s="3"/>
      <c r="Y855" s="3"/>
      <c r="Z855" s="3"/>
    </row>
    <row r="856" spans="1:26" ht="22.5" customHeight="1" x14ac:dyDescent="0.85">
      <c r="A856" s="166"/>
      <c r="B856" s="167"/>
      <c r="C856" s="167"/>
      <c r="D856" s="147"/>
      <c r="E856" s="147"/>
      <c r="F856" s="147"/>
      <c r="G856" s="147"/>
      <c r="H856" s="147"/>
      <c r="I856" s="147"/>
      <c r="J856" s="147"/>
      <c r="K856" s="3"/>
      <c r="L856" s="3"/>
      <c r="M856" s="3"/>
      <c r="N856" s="3"/>
      <c r="O856" s="3"/>
      <c r="P856" s="3"/>
      <c r="Q856" s="3"/>
      <c r="R856" s="3"/>
      <c r="S856" s="3"/>
      <c r="T856" s="3"/>
      <c r="U856" s="3"/>
      <c r="V856" s="3"/>
      <c r="W856" s="3"/>
      <c r="X856" s="3"/>
      <c r="Y856" s="3"/>
      <c r="Z856" s="3"/>
    </row>
    <row r="857" spans="1:26" ht="22.5" customHeight="1" x14ac:dyDescent="0.85">
      <c r="A857" s="166"/>
      <c r="B857" s="167"/>
      <c r="C857" s="167"/>
      <c r="D857" s="147"/>
      <c r="E857" s="147"/>
      <c r="F857" s="147"/>
      <c r="G857" s="147"/>
      <c r="H857" s="147"/>
      <c r="I857" s="147"/>
      <c r="J857" s="147"/>
      <c r="K857" s="3"/>
      <c r="L857" s="3"/>
      <c r="M857" s="3"/>
      <c r="N857" s="3"/>
      <c r="O857" s="3"/>
      <c r="P857" s="3"/>
      <c r="Q857" s="3"/>
      <c r="R857" s="3"/>
      <c r="S857" s="3"/>
      <c r="T857" s="3"/>
      <c r="U857" s="3"/>
      <c r="V857" s="3"/>
      <c r="W857" s="3"/>
      <c r="X857" s="3"/>
      <c r="Y857" s="3"/>
      <c r="Z857" s="3"/>
    </row>
    <row r="858" spans="1:26" ht="22.5" customHeight="1" x14ac:dyDescent="0.85">
      <c r="A858" s="166"/>
      <c r="B858" s="167"/>
      <c r="C858" s="167"/>
      <c r="D858" s="147"/>
      <c r="E858" s="147"/>
      <c r="F858" s="147"/>
      <c r="G858" s="147"/>
      <c r="H858" s="147"/>
      <c r="I858" s="147"/>
      <c r="J858" s="147"/>
      <c r="K858" s="3"/>
      <c r="L858" s="3"/>
      <c r="M858" s="3"/>
      <c r="N858" s="3"/>
      <c r="O858" s="3"/>
      <c r="P858" s="3"/>
      <c r="Q858" s="3"/>
      <c r="R858" s="3"/>
      <c r="S858" s="3"/>
      <c r="T858" s="3"/>
      <c r="U858" s="3"/>
      <c r="V858" s="3"/>
      <c r="W858" s="3"/>
      <c r="X858" s="3"/>
      <c r="Y858" s="3"/>
      <c r="Z858" s="3"/>
    </row>
    <row r="859" spans="1:26" ht="22.5" customHeight="1" x14ac:dyDescent="0.85">
      <c r="A859" s="166"/>
      <c r="B859" s="167"/>
      <c r="C859" s="167"/>
      <c r="D859" s="147"/>
      <c r="E859" s="147"/>
      <c r="F859" s="147"/>
      <c r="G859" s="147"/>
      <c r="H859" s="147"/>
      <c r="I859" s="147"/>
      <c r="J859" s="147"/>
      <c r="K859" s="3"/>
      <c r="L859" s="3"/>
      <c r="M859" s="3"/>
      <c r="N859" s="3"/>
      <c r="O859" s="3"/>
      <c r="P859" s="3"/>
      <c r="Q859" s="3"/>
      <c r="R859" s="3"/>
      <c r="S859" s="3"/>
      <c r="T859" s="3"/>
      <c r="U859" s="3"/>
      <c r="V859" s="3"/>
      <c r="W859" s="3"/>
      <c r="X859" s="3"/>
      <c r="Y859" s="3"/>
      <c r="Z859" s="3"/>
    </row>
    <row r="860" spans="1:26" ht="22.5" customHeight="1" x14ac:dyDescent="0.85">
      <c r="A860" s="166"/>
      <c r="B860" s="167"/>
      <c r="C860" s="167"/>
      <c r="D860" s="147"/>
      <c r="E860" s="147"/>
      <c r="F860" s="147"/>
      <c r="G860" s="147"/>
      <c r="H860" s="147"/>
      <c r="I860" s="147"/>
      <c r="J860" s="147"/>
      <c r="K860" s="3"/>
      <c r="L860" s="3"/>
      <c r="M860" s="3"/>
      <c r="N860" s="3"/>
      <c r="O860" s="3"/>
      <c r="P860" s="3"/>
      <c r="Q860" s="3"/>
      <c r="R860" s="3"/>
      <c r="S860" s="3"/>
      <c r="T860" s="3"/>
      <c r="U860" s="3"/>
      <c r="V860" s="3"/>
      <c r="W860" s="3"/>
      <c r="X860" s="3"/>
      <c r="Y860" s="3"/>
      <c r="Z860" s="3"/>
    </row>
    <row r="861" spans="1:26" ht="22.5" customHeight="1" x14ac:dyDescent="0.85">
      <c r="A861" s="166"/>
      <c r="B861" s="167"/>
      <c r="C861" s="167"/>
      <c r="D861" s="147"/>
      <c r="E861" s="147"/>
      <c r="F861" s="147"/>
      <c r="G861" s="147"/>
      <c r="H861" s="147"/>
      <c r="I861" s="147"/>
      <c r="J861" s="147"/>
      <c r="K861" s="3"/>
      <c r="L861" s="3"/>
      <c r="M861" s="3"/>
      <c r="N861" s="3"/>
      <c r="O861" s="3"/>
      <c r="P861" s="3"/>
      <c r="Q861" s="3"/>
      <c r="R861" s="3"/>
      <c r="S861" s="3"/>
      <c r="T861" s="3"/>
      <c r="U861" s="3"/>
      <c r="V861" s="3"/>
      <c r="W861" s="3"/>
      <c r="X861" s="3"/>
      <c r="Y861" s="3"/>
      <c r="Z861" s="3"/>
    </row>
    <row r="862" spans="1:26" ht="22.5" customHeight="1" x14ac:dyDescent="0.85">
      <c r="A862" s="166"/>
      <c r="B862" s="167"/>
      <c r="C862" s="167"/>
      <c r="D862" s="147"/>
      <c r="E862" s="147"/>
      <c r="F862" s="147"/>
      <c r="G862" s="147"/>
      <c r="H862" s="147"/>
      <c r="I862" s="147"/>
      <c r="J862" s="147"/>
      <c r="K862" s="3"/>
      <c r="L862" s="3"/>
      <c r="M862" s="3"/>
      <c r="N862" s="3"/>
      <c r="O862" s="3"/>
      <c r="P862" s="3"/>
      <c r="Q862" s="3"/>
      <c r="R862" s="3"/>
      <c r="S862" s="3"/>
      <c r="T862" s="3"/>
      <c r="U862" s="3"/>
      <c r="V862" s="3"/>
      <c r="W862" s="3"/>
      <c r="X862" s="3"/>
      <c r="Y862" s="3"/>
      <c r="Z862" s="3"/>
    </row>
    <row r="863" spans="1:26" ht="22.5" customHeight="1" x14ac:dyDescent="0.85">
      <c r="A863" s="166"/>
      <c r="B863" s="167"/>
      <c r="C863" s="167"/>
      <c r="D863" s="147"/>
      <c r="E863" s="147"/>
      <c r="F863" s="147"/>
      <c r="G863" s="147"/>
      <c r="H863" s="147"/>
      <c r="I863" s="147"/>
      <c r="J863" s="147"/>
      <c r="K863" s="3"/>
      <c r="L863" s="3"/>
      <c r="M863" s="3"/>
      <c r="N863" s="3"/>
      <c r="O863" s="3"/>
      <c r="P863" s="3"/>
      <c r="Q863" s="3"/>
      <c r="R863" s="3"/>
      <c r="S863" s="3"/>
      <c r="T863" s="3"/>
      <c r="U863" s="3"/>
      <c r="V863" s="3"/>
      <c r="W863" s="3"/>
      <c r="X863" s="3"/>
      <c r="Y863" s="3"/>
      <c r="Z863" s="3"/>
    </row>
    <row r="864" spans="1:26" ht="22.5" customHeight="1" x14ac:dyDescent="0.85">
      <c r="A864" s="166"/>
      <c r="B864" s="167"/>
      <c r="C864" s="167"/>
      <c r="D864" s="147"/>
      <c r="E864" s="147"/>
      <c r="F864" s="147"/>
      <c r="G864" s="147"/>
      <c r="H864" s="147"/>
      <c r="I864" s="147"/>
      <c r="J864" s="147"/>
      <c r="K864" s="3"/>
      <c r="L864" s="3"/>
      <c r="M864" s="3"/>
      <c r="N864" s="3"/>
      <c r="O864" s="3"/>
      <c r="P864" s="3"/>
      <c r="Q864" s="3"/>
      <c r="R864" s="3"/>
      <c r="S864" s="3"/>
      <c r="T864" s="3"/>
      <c r="U864" s="3"/>
      <c r="V864" s="3"/>
      <c r="W864" s="3"/>
      <c r="X864" s="3"/>
      <c r="Y864" s="3"/>
      <c r="Z864" s="3"/>
    </row>
    <row r="865" spans="1:26" ht="22.5" customHeight="1" x14ac:dyDescent="0.85">
      <c r="A865" s="166"/>
      <c r="B865" s="167"/>
      <c r="C865" s="167"/>
      <c r="D865" s="147"/>
      <c r="E865" s="147"/>
      <c r="F865" s="147"/>
      <c r="G865" s="147"/>
      <c r="H865" s="147"/>
      <c r="I865" s="147"/>
      <c r="J865" s="147"/>
      <c r="K865" s="3"/>
      <c r="L865" s="3"/>
      <c r="M865" s="3"/>
      <c r="N865" s="3"/>
      <c r="O865" s="3"/>
      <c r="P865" s="3"/>
      <c r="Q865" s="3"/>
      <c r="R865" s="3"/>
      <c r="S865" s="3"/>
      <c r="T865" s="3"/>
      <c r="U865" s="3"/>
      <c r="V865" s="3"/>
      <c r="W865" s="3"/>
      <c r="X865" s="3"/>
      <c r="Y865" s="3"/>
      <c r="Z865" s="3"/>
    </row>
    <row r="866" spans="1:26" ht="22.5" customHeight="1" x14ac:dyDescent="0.85">
      <c r="A866" s="166"/>
      <c r="B866" s="167"/>
      <c r="C866" s="167"/>
      <c r="D866" s="147"/>
      <c r="E866" s="147"/>
      <c r="F866" s="147"/>
      <c r="G866" s="147"/>
      <c r="H866" s="147"/>
      <c r="I866" s="147"/>
      <c r="J866" s="147"/>
      <c r="K866" s="3"/>
      <c r="L866" s="3"/>
      <c r="M866" s="3"/>
      <c r="N866" s="3"/>
      <c r="O866" s="3"/>
      <c r="P866" s="3"/>
      <c r="Q866" s="3"/>
      <c r="R866" s="3"/>
      <c r="S866" s="3"/>
      <c r="T866" s="3"/>
      <c r="U866" s="3"/>
      <c r="V866" s="3"/>
      <c r="W866" s="3"/>
      <c r="X866" s="3"/>
      <c r="Y866" s="3"/>
      <c r="Z866" s="3"/>
    </row>
    <row r="867" spans="1:26" ht="22.5" customHeight="1" x14ac:dyDescent="0.85">
      <c r="A867" s="166"/>
      <c r="B867" s="167"/>
      <c r="C867" s="167"/>
      <c r="D867" s="147"/>
      <c r="E867" s="147"/>
      <c r="F867" s="147"/>
      <c r="G867" s="147"/>
      <c r="H867" s="147"/>
      <c r="I867" s="147"/>
      <c r="J867" s="147"/>
      <c r="K867" s="3"/>
      <c r="L867" s="3"/>
      <c r="M867" s="3"/>
      <c r="N867" s="3"/>
      <c r="O867" s="3"/>
      <c r="P867" s="3"/>
      <c r="Q867" s="3"/>
      <c r="R867" s="3"/>
      <c r="S867" s="3"/>
      <c r="T867" s="3"/>
      <c r="U867" s="3"/>
      <c r="V867" s="3"/>
      <c r="W867" s="3"/>
      <c r="X867" s="3"/>
      <c r="Y867" s="3"/>
      <c r="Z867" s="3"/>
    </row>
    <row r="868" spans="1:26" ht="22.5" customHeight="1" x14ac:dyDescent="0.85">
      <c r="A868" s="166"/>
      <c r="B868" s="167"/>
      <c r="C868" s="167"/>
      <c r="D868" s="147"/>
      <c r="E868" s="147"/>
      <c r="F868" s="147"/>
      <c r="G868" s="147"/>
      <c r="H868" s="147"/>
      <c r="I868" s="147"/>
      <c r="J868" s="147"/>
      <c r="K868" s="3"/>
      <c r="L868" s="3"/>
      <c r="M868" s="3"/>
      <c r="N868" s="3"/>
      <c r="O868" s="3"/>
      <c r="P868" s="3"/>
      <c r="Q868" s="3"/>
      <c r="R868" s="3"/>
      <c r="S868" s="3"/>
      <c r="T868" s="3"/>
      <c r="U868" s="3"/>
      <c r="V868" s="3"/>
      <c r="W868" s="3"/>
      <c r="X868" s="3"/>
      <c r="Y868" s="3"/>
      <c r="Z868" s="3"/>
    </row>
    <row r="869" spans="1:26" ht="22.5" customHeight="1" x14ac:dyDescent="0.85">
      <c r="A869" s="166"/>
      <c r="B869" s="167"/>
      <c r="C869" s="167"/>
      <c r="D869" s="147"/>
      <c r="E869" s="147"/>
      <c r="F869" s="147"/>
      <c r="G869" s="147"/>
      <c r="H869" s="147"/>
      <c r="I869" s="147"/>
      <c r="J869" s="147"/>
      <c r="K869" s="3"/>
      <c r="L869" s="3"/>
      <c r="M869" s="3"/>
      <c r="N869" s="3"/>
      <c r="O869" s="3"/>
      <c r="P869" s="3"/>
      <c r="Q869" s="3"/>
      <c r="R869" s="3"/>
      <c r="S869" s="3"/>
      <c r="T869" s="3"/>
      <c r="U869" s="3"/>
      <c r="V869" s="3"/>
      <c r="W869" s="3"/>
      <c r="X869" s="3"/>
      <c r="Y869" s="3"/>
      <c r="Z869" s="3"/>
    </row>
    <row r="870" spans="1:26" ht="22.5" customHeight="1" x14ac:dyDescent="0.85">
      <c r="A870" s="166"/>
      <c r="B870" s="167"/>
      <c r="C870" s="167"/>
      <c r="D870" s="147"/>
      <c r="E870" s="147"/>
      <c r="F870" s="147"/>
      <c r="G870" s="147"/>
      <c r="H870" s="147"/>
      <c r="I870" s="147"/>
      <c r="J870" s="147"/>
      <c r="K870" s="3"/>
      <c r="L870" s="3"/>
      <c r="M870" s="3"/>
      <c r="N870" s="3"/>
      <c r="O870" s="3"/>
      <c r="P870" s="3"/>
      <c r="Q870" s="3"/>
      <c r="R870" s="3"/>
      <c r="S870" s="3"/>
      <c r="T870" s="3"/>
      <c r="U870" s="3"/>
      <c r="V870" s="3"/>
      <c r="W870" s="3"/>
      <c r="X870" s="3"/>
      <c r="Y870" s="3"/>
      <c r="Z870" s="3"/>
    </row>
    <row r="871" spans="1:26" ht="22.5" customHeight="1" x14ac:dyDescent="0.85">
      <c r="A871" s="166"/>
      <c r="B871" s="167"/>
      <c r="C871" s="167"/>
      <c r="D871" s="147"/>
      <c r="E871" s="147"/>
      <c r="F871" s="147"/>
      <c r="G871" s="147"/>
      <c r="H871" s="147"/>
      <c r="I871" s="147"/>
      <c r="J871" s="147"/>
      <c r="K871" s="3"/>
      <c r="L871" s="3"/>
      <c r="M871" s="3"/>
      <c r="N871" s="3"/>
      <c r="O871" s="3"/>
      <c r="P871" s="3"/>
      <c r="Q871" s="3"/>
      <c r="R871" s="3"/>
      <c r="S871" s="3"/>
      <c r="T871" s="3"/>
      <c r="U871" s="3"/>
      <c r="V871" s="3"/>
      <c r="W871" s="3"/>
      <c r="X871" s="3"/>
      <c r="Y871" s="3"/>
      <c r="Z871" s="3"/>
    </row>
    <row r="872" spans="1:26" ht="22.5" customHeight="1" x14ac:dyDescent="0.85">
      <c r="A872" s="166"/>
      <c r="B872" s="167"/>
      <c r="C872" s="167"/>
      <c r="D872" s="147"/>
      <c r="E872" s="147"/>
      <c r="F872" s="147"/>
      <c r="G872" s="147"/>
      <c r="H872" s="147"/>
      <c r="I872" s="147"/>
      <c r="J872" s="147"/>
      <c r="K872" s="3"/>
      <c r="L872" s="3"/>
      <c r="M872" s="3"/>
      <c r="N872" s="3"/>
      <c r="O872" s="3"/>
      <c r="P872" s="3"/>
      <c r="Q872" s="3"/>
      <c r="R872" s="3"/>
      <c r="S872" s="3"/>
      <c r="T872" s="3"/>
      <c r="U872" s="3"/>
      <c r="V872" s="3"/>
      <c r="W872" s="3"/>
      <c r="X872" s="3"/>
      <c r="Y872" s="3"/>
      <c r="Z872" s="3"/>
    </row>
    <row r="873" spans="1:26" ht="22.5" customHeight="1" x14ac:dyDescent="0.85">
      <c r="A873" s="166"/>
      <c r="B873" s="167"/>
      <c r="C873" s="167"/>
      <c r="D873" s="147"/>
      <c r="E873" s="147"/>
      <c r="F873" s="147"/>
      <c r="G873" s="147"/>
      <c r="H873" s="147"/>
      <c r="I873" s="147"/>
      <c r="J873" s="147"/>
      <c r="K873" s="3"/>
      <c r="L873" s="3"/>
      <c r="M873" s="3"/>
      <c r="N873" s="3"/>
      <c r="O873" s="3"/>
      <c r="P873" s="3"/>
      <c r="Q873" s="3"/>
      <c r="R873" s="3"/>
      <c r="S873" s="3"/>
      <c r="T873" s="3"/>
      <c r="U873" s="3"/>
      <c r="V873" s="3"/>
      <c r="W873" s="3"/>
      <c r="X873" s="3"/>
      <c r="Y873" s="3"/>
      <c r="Z873" s="3"/>
    </row>
    <row r="874" spans="1:26" ht="22.5" customHeight="1" x14ac:dyDescent="0.85">
      <c r="A874" s="166"/>
      <c r="B874" s="167"/>
      <c r="C874" s="167"/>
      <c r="D874" s="147"/>
      <c r="E874" s="147"/>
      <c r="F874" s="147"/>
      <c r="G874" s="147"/>
      <c r="H874" s="147"/>
      <c r="I874" s="147"/>
      <c r="J874" s="147"/>
      <c r="K874" s="3"/>
      <c r="L874" s="3"/>
      <c r="M874" s="3"/>
      <c r="N874" s="3"/>
      <c r="O874" s="3"/>
      <c r="P874" s="3"/>
      <c r="Q874" s="3"/>
      <c r="R874" s="3"/>
      <c r="S874" s="3"/>
      <c r="T874" s="3"/>
      <c r="U874" s="3"/>
      <c r="V874" s="3"/>
      <c r="W874" s="3"/>
      <c r="X874" s="3"/>
      <c r="Y874" s="3"/>
      <c r="Z874" s="3"/>
    </row>
    <row r="875" spans="1:26" ht="22.5" customHeight="1" x14ac:dyDescent="0.85">
      <c r="A875" s="166"/>
      <c r="B875" s="167"/>
      <c r="C875" s="167"/>
      <c r="D875" s="147"/>
      <c r="E875" s="147"/>
      <c r="F875" s="147"/>
      <c r="G875" s="147"/>
      <c r="H875" s="147"/>
      <c r="I875" s="147"/>
      <c r="J875" s="147"/>
      <c r="K875" s="3"/>
      <c r="L875" s="3"/>
      <c r="M875" s="3"/>
      <c r="N875" s="3"/>
      <c r="O875" s="3"/>
      <c r="P875" s="3"/>
      <c r="Q875" s="3"/>
      <c r="R875" s="3"/>
      <c r="S875" s="3"/>
      <c r="T875" s="3"/>
      <c r="U875" s="3"/>
      <c r="V875" s="3"/>
      <c r="W875" s="3"/>
      <c r="X875" s="3"/>
      <c r="Y875" s="3"/>
      <c r="Z875" s="3"/>
    </row>
    <row r="876" spans="1:26" ht="22.5" customHeight="1" x14ac:dyDescent="0.85">
      <c r="A876" s="166"/>
      <c r="B876" s="167"/>
      <c r="C876" s="167"/>
      <c r="D876" s="147"/>
      <c r="E876" s="147"/>
      <c r="F876" s="147"/>
      <c r="G876" s="147"/>
      <c r="H876" s="147"/>
      <c r="I876" s="147"/>
      <c r="J876" s="147"/>
      <c r="K876" s="3"/>
      <c r="L876" s="3"/>
      <c r="M876" s="3"/>
      <c r="N876" s="3"/>
      <c r="O876" s="3"/>
      <c r="P876" s="3"/>
      <c r="Q876" s="3"/>
      <c r="R876" s="3"/>
      <c r="S876" s="3"/>
      <c r="T876" s="3"/>
      <c r="U876" s="3"/>
      <c r="V876" s="3"/>
      <c r="W876" s="3"/>
      <c r="X876" s="3"/>
      <c r="Y876" s="3"/>
      <c r="Z876" s="3"/>
    </row>
    <row r="877" spans="1:26" ht="22.5" customHeight="1" x14ac:dyDescent="0.85">
      <c r="A877" s="166"/>
      <c r="B877" s="167"/>
      <c r="C877" s="167"/>
      <c r="D877" s="147"/>
      <c r="E877" s="147"/>
      <c r="F877" s="147"/>
      <c r="G877" s="147"/>
      <c r="H877" s="147"/>
      <c r="I877" s="147"/>
      <c r="J877" s="147"/>
      <c r="K877" s="3"/>
      <c r="L877" s="3"/>
      <c r="M877" s="3"/>
      <c r="N877" s="3"/>
      <c r="O877" s="3"/>
      <c r="P877" s="3"/>
      <c r="Q877" s="3"/>
      <c r="R877" s="3"/>
      <c r="S877" s="3"/>
      <c r="T877" s="3"/>
      <c r="U877" s="3"/>
      <c r="V877" s="3"/>
      <c r="W877" s="3"/>
      <c r="X877" s="3"/>
      <c r="Y877" s="3"/>
      <c r="Z877" s="3"/>
    </row>
    <row r="878" spans="1:26" ht="22.5" customHeight="1" x14ac:dyDescent="0.85">
      <c r="A878" s="166"/>
      <c r="B878" s="167"/>
      <c r="C878" s="167"/>
      <c r="D878" s="147"/>
      <c r="E878" s="147"/>
      <c r="F878" s="147"/>
      <c r="G878" s="147"/>
      <c r="H878" s="147"/>
      <c r="I878" s="147"/>
      <c r="J878" s="147"/>
      <c r="K878" s="3"/>
      <c r="L878" s="3"/>
      <c r="M878" s="3"/>
      <c r="N878" s="3"/>
      <c r="O878" s="3"/>
      <c r="P878" s="3"/>
      <c r="Q878" s="3"/>
      <c r="R878" s="3"/>
      <c r="S878" s="3"/>
      <c r="T878" s="3"/>
      <c r="U878" s="3"/>
      <c r="V878" s="3"/>
      <c r="W878" s="3"/>
      <c r="X878" s="3"/>
      <c r="Y878" s="3"/>
      <c r="Z878" s="3"/>
    </row>
    <row r="879" spans="1:26" ht="22.5" customHeight="1" x14ac:dyDescent="0.85">
      <c r="A879" s="166"/>
      <c r="B879" s="167"/>
      <c r="C879" s="167"/>
      <c r="D879" s="147"/>
      <c r="E879" s="147"/>
      <c r="F879" s="147"/>
      <c r="G879" s="147"/>
      <c r="H879" s="147"/>
      <c r="I879" s="147"/>
      <c r="J879" s="147"/>
      <c r="K879" s="3"/>
      <c r="L879" s="3"/>
      <c r="M879" s="3"/>
      <c r="N879" s="3"/>
      <c r="O879" s="3"/>
      <c r="P879" s="3"/>
      <c r="Q879" s="3"/>
      <c r="R879" s="3"/>
      <c r="S879" s="3"/>
      <c r="T879" s="3"/>
      <c r="U879" s="3"/>
      <c r="V879" s="3"/>
      <c r="W879" s="3"/>
      <c r="X879" s="3"/>
      <c r="Y879" s="3"/>
      <c r="Z879" s="3"/>
    </row>
    <row r="880" spans="1:26" ht="22.5" customHeight="1" x14ac:dyDescent="0.85">
      <c r="A880" s="166"/>
      <c r="B880" s="167"/>
      <c r="C880" s="167"/>
      <c r="D880" s="147"/>
      <c r="E880" s="147"/>
      <c r="F880" s="147"/>
      <c r="G880" s="147"/>
      <c r="H880" s="147"/>
      <c r="I880" s="147"/>
      <c r="J880" s="147"/>
      <c r="K880" s="3"/>
      <c r="L880" s="3"/>
      <c r="M880" s="3"/>
      <c r="N880" s="3"/>
      <c r="O880" s="3"/>
      <c r="P880" s="3"/>
      <c r="Q880" s="3"/>
      <c r="R880" s="3"/>
      <c r="S880" s="3"/>
      <c r="T880" s="3"/>
      <c r="U880" s="3"/>
      <c r="V880" s="3"/>
      <c r="W880" s="3"/>
      <c r="X880" s="3"/>
      <c r="Y880" s="3"/>
      <c r="Z880" s="3"/>
    </row>
    <row r="881" spans="1:26" ht="22.5" customHeight="1" x14ac:dyDescent="0.85">
      <c r="A881" s="166"/>
      <c r="B881" s="167"/>
      <c r="C881" s="167"/>
      <c r="D881" s="147"/>
      <c r="E881" s="147"/>
      <c r="F881" s="147"/>
      <c r="G881" s="147"/>
      <c r="H881" s="147"/>
      <c r="I881" s="147"/>
      <c r="J881" s="147"/>
      <c r="K881" s="3"/>
      <c r="L881" s="3"/>
      <c r="M881" s="3"/>
      <c r="N881" s="3"/>
      <c r="O881" s="3"/>
      <c r="P881" s="3"/>
      <c r="Q881" s="3"/>
      <c r="R881" s="3"/>
      <c r="S881" s="3"/>
      <c r="T881" s="3"/>
      <c r="U881" s="3"/>
      <c r="V881" s="3"/>
      <c r="W881" s="3"/>
      <c r="X881" s="3"/>
      <c r="Y881" s="3"/>
      <c r="Z881" s="3"/>
    </row>
    <row r="882" spans="1:26" ht="22.5" customHeight="1" x14ac:dyDescent="0.85">
      <c r="A882" s="166"/>
      <c r="B882" s="167"/>
      <c r="C882" s="167"/>
      <c r="D882" s="147"/>
      <c r="E882" s="147"/>
      <c r="F882" s="147"/>
      <c r="G882" s="147"/>
      <c r="H882" s="147"/>
      <c r="I882" s="147"/>
      <c r="J882" s="147"/>
      <c r="K882" s="3"/>
      <c r="L882" s="3"/>
      <c r="M882" s="3"/>
      <c r="N882" s="3"/>
      <c r="O882" s="3"/>
      <c r="P882" s="3"/>
      <c r="Q882" s="3"/>
      <c r="R882" s="3"/>
      <c r="S882" s="3"/>
      <c r="T882" s="3"/>
      <c r="U882" s="3"/>
      <c r="V882" s="3"/>
      <c r="W882" s="3"/>
      <c r="X882" s="3"/>
      <c r="Y882" s="3"/>
      <c r="Z882" s="3"/>
    </row>
    <row r="883" spans="1:26" ht="22.5" customHeight="1" x14ac:dyDescent="0.85">
      <c r="A883" s="166"/>
      <c r="B883" s="167"/>
      <c r="C883" s="167"/>
      <c r="D883" s="147"/>
      <c r="E883" s="147"/>
      <c r="F883" s="147"/>
      <c r="G883" s="147"/>
      <c r="H883" s="147"/>
      <c r="I883" s="147"/>
      <c r="J883" s="147"/>
      <c r="K883" s="3"/>
      <c r="L883" s="3"/>
      <c r="M883" s="3"/>
      <c r="N883" s="3"/>
      <c r="O883" s="3"/>
      <c r="P883" s="3"/>
      <c r="Q883" s="3"/>
      <c r="R883" s="3"/>
      <c r="S883" s="3"/>
      <c r="T883" s="3"/>
      <c r="U883" s="3"/>
      <c r="V883" s="3"/>
      <c r="W883" s="3"/>
      <c r="X883" s="3"/>
      <c r="Y883" s="3"/>
      <c r="Z883" s="3"/>
    </row>
    <row r="884" spans="1:26" ht="22.5" customHeight="1" x14ac:dyDescent="0.85">
      <c r="A884" s="166"/>
      <c r="B884" s="167"/>
      <c r="C884" s="167"/>
      <c r="D884" s="147"/>
      <c r="E884" s="147"/>
      <c r="F884" s="147"/>
      <c r="G884" s="147"/>
      <c r="H884" s="147"/>
      <c r="I884" s="147"/>
      <c r="J884" s="147"/>
      <c r="K884" s="3"/>
      <c r="L884" s="3"/>
      <c r="M884" s="3"/>
      <c r="N884" s="3"/>
      <c r="O884" s="3"/>
      <c r="P884" s="3"/>
      <c r="Q884" s="3"/>
      <c r="R884" s="3"/>
      <c r="S884" s="3"/>
      <c r="T884" s="3"/>
      <c r="U884" s="3"/>
      <c r="V884" s="3"/>
      <c r="W884" s="3"/>
      <c r="X884" s="3"/>
      <c r="Y884" s="3"/>
      <c r="Z884" s="3"/>
    </row>
    <row r="885" spans="1:26" ht="22.5" customHeight="1" x14ac:dyDescent="0.85">
      <c r="A885" s="166"/>
      <c r="B885" s="167"/>
      <c r="C885" s="167"/>
      <c r="D885" s="147"/>
      <c r="E885" s="147"/>
      <c r="F885" s="147"/>
      <c r="G885" s="147"/>
      <c r="H885" s="147"/>
      <c r="I885" s="147"/>
      <c r="J885" s="147"/>
      <c r="K885" s="3"/>
      <c r="L885" s="3"/>
      <c r="M885" s="3"/>
      <c r="N885" s="3"/>
      <c r="O885" s="3"/>
      <c r="P885" s="3"/>
      <c r="Q885" s="3"/>
      <c r="R885" s="3"/>
      <c r="S885" s="3"/>
      <c r="T885" s="3"/>
      <c r="U885" s="3"/>
      <c r="V885" s="3"/>
      <c r="W885" s="3"/>
      <c r="X885" s="3"/>
      <c r="Y885" s="3"/>
      <c r="Z885" s="3"/>
    </row>
    <row r="886" spans="1:26" ht="22.5" customHeight="1" x14ac:dyDescent="0.85">
      <c r="A886" s="166"/>
      <c r="B886" s="167"/>
      <c r="C886" s="167"/>
      <c r="D886" s="147"/>
      <c r="E886" s="147"/>
      <c r="F886" s="147"/>
      <c r="G886" s="147"/>
      <c r="H886" s="147"/>
      <c r="I886" s="147"/>
      <c r="J886" s="147"/>
      <c r="K886" s="3"/>
      <c r="L886" s="3"/>
      <c r="M886" s="3"/>
      <c r="N886" s="3"/>
      <c r="O886" s="3"/>
      <c r="P886" s="3"/>
      <c r="Q886" s="3"/>
      <c r="R886" s="3"/>
      <c r="S886" s="3"/>
      <c r="T886" s="3"/>
      <c r="U886" s="3"/>
      <c r="V886" s="3"/>
      <c r="W886" s="3"/>
      <c r="X886" s="3"/>
      <c r="Y886" s="3"/>
      <c r="Z886" s="3"/>
    </row>
    <row r="887" spans="1:26" ht="22.5" customHeight="1" x14ac:dyDescent="0.85">
      <c r="A887" s="166"/>
      <c r="B887" s="167"/>
      <c r="C887" s="167"/>
      <c r="D887" s="147"/>
      <c r="E887" s="147"/>
      <c r="F887" s="147"/>
      <c r="G887" s="147"/>
      <c r="H887" s="147"/>
      <c r="I887" s="147"/>
      <c r="J887" s="147"/>
      <c r="K887" s="3"/>
      <c r="L887" s="3"/>
      <c r="M887" s="3"/>
      <c r="N887" s="3"/>
      <c r="O887" s="3"/>
      <c r="P887" s="3"/>
      <c r="Q887" s="3"/>
      <c r="R887" s="3"/>
      <c r="S887" s="3"/>
      <c r="T887" s="3"/>
      <c r="U887" s="3"/>
      <c r="V887" s="3"/>
      <c r="W887" s="3"/>
      <c r="X887" s="3"/>
      <c r="Y887" s="3"/>
      <c r="Z887" s="3"/>
    </row>
    <row r="888" spans="1:26" ht="22.5" customHeight="1" x14ac:dyDescent="0.85">
      <c r="A888" s="166"/>
      <c r="B888" s="167"/>
      <c r="C888" s="167"/>
      <c r="D888" s="147"/>
      <c r="E888" s="147"/>
      <c r="F888" s="147"/>
      <c r="G888" s="147"/>
      <c r="H888" s="147"/>
      <c r="I888" s="147"/>
      <c r="J888" s="147"/>
      <c r="K888" s="3"/>
      <c r="L888" s="3"/>
      <c r="M888" s="3"/>
      <c r="N888" s="3"/>
      <c r="O888" s="3"/>
      <c r="P888" s="3"/>
      <c r="Q888" s="3"/>
      <c r="R888" s="3"/>
      <c r="S888" s="3"/>
      <c r="T888" s="3"/>
      <c r="U888" s="3"/>
      <c r="V888" s="3"/>
      <c r="W888" s="3"/>
      <c r="X888" s="3"/>
      <c r="Y888" s="3"/>
      <c r="Z888" s="3"/>
    </row>
    <row r="889" spans="1:26" ht="22.5" customHeight="1" x14ac:dyDescent="0.85">
      <c r="A889" s="166"/>
      <c r="B889" s="167"/>
      <c r="C889" s="167"/>
      <c r="D889" s="147"/>
      <c r="E889" s="147"/>
      <c r="F889" s="147"/>
      <c r="G889" s="147"/>
      <c r="H889" s="147"/>
      <c r="I889" s="147"/>
      <c r="J889" s="147"/>
      <c r="K889" s="3"/>
      <c r="L889" s="3"/>
      <c r="M889" s="3"/>
      <c r="N889" s="3"/>
      <c r="O889" s="3"/>
      <c r="P889" s="3"/>
      <c r="Q889" s="3"/>
      <c r="R889" s="3"/>
      <c r="S889" s="3"/>
      <c r="T889" s="3"/>
      <c r="U889" s="3"/>
      <c r="V889" s="3"/>
      <c r="W889" s="3"/>
      <c r="X889" s="3"/>
      <c r="Y889" s="3"/>
      <c r="Z889" s="3"/>
    </row>
    <row r="890" spans="1:26" ht="22.5" customHeight="1" x14ac:dyDescent="0.85">
      <c r="A890" s="166"/>
      <c r="B890" s="167"/>
      <c r="C890" s="167"/>
      <c r="D890" s="147"/>
      <c r="E890" s="147"/>
      <c r="F890" s="147"/>
      <c r="G890" s="147"/>
      <c r="H890" s="147"/>
      <c r="I890" s="147"/>
      <c r="J890" s="147"/>
      <c r="K890" s="3"/>
      <c r="L890" s="3"/>
      <c r="M890" s="3"/>
      <c r="N890" s="3"/>
      <c r="O890" s="3"/>
      <c r="P890" s="3"/>
      <c r="Q890" s="3"/>
      <c r="R890" s="3"/>
      <c r="S890" s="3"/>
      <c r="T890" s="3"/>
      <c r="U890" s="3"/>
      <c r="V890" s="3"/>
      <c r="W890" s="3"/>
      <c r="X890" s="3"/>
      <c r="Y890" s="3"/>
      <c r="Z890" s="3"/>
    </row>
    <row r="891" spans="1:26" ht="22.5" customHeight="1" x14ac:dyDescent="0.85">
      <c r="A891" s="166"/>
      <c r="B891" s="167"/>
      <c r="C891" s="167"/>
      <c r="D891" s="147"/>
      <c r="E891" s="147"/>
      <c r="F891" s="147"/>
      <c r="G891" s="147"/>
      <c r="H891" s="147"/>
      <c r="I891" s="147"/>
      <c r="J891" s="147"/>
      <c r="K891" s="3"/>
      <c r="L891" s="3"/>
      <c r="M891" s="3"/>
      <c r="N891" s="3"/>
      <c r="O891" s="3"/>
      <c r="P891" s="3"/>
      <c r="Q891" s="3"/>
      <c r="R891" s="3"/>
      <c r="S891" s="3"/>
      <c r="T891" s="3"/>
      <c r="U891" s="3"/>
      <c r="V891" s="3"/>
      <c r="W891" s="3"/>
      <c r="X891" s="3"/>
      <c r="Y891" s="3"/>
      <c r="Z891" s="3"/>
    </row>
    <row r="892" spans="1:26" ht="22.5" customHeight="1" x14ac:dyDescent="0.85">
      <c r="A892" s="166"/>
      <c r="B892" s="167"/>
      <c r="C892" s="167"/>
      <c r="D892" s="147"/>
      <c r="E892" s="147"/>
      <c r="F892" s="147"/>
      <c r="G892" s="147"/>
      <c r="H892" s="147"/>
      <c r="I892" s="147"/>
      <c r="J892" s="147"/>
      <c r="K892" s="3"/>
      <c r="L892" s="3"/>
      <c r="M892" s="3"/>
      <c r="N892" s="3"/>
      <c r="O892" s="3"/>
      <c r="P892" s="3"/>
      <c r="Q892" s="3"/>
      <c r="R892" s="3"/>
      <c r="S892" s="3"/>
      <c r="T892" s="3"/>
      <c r="U892" s="3"/>
      <c r="V892" s="3"/>
      <c r="W892" s="3"/>
      <c r="X892" s="3"/>
      <c r="Y892" s="3"/>
      <c r="Z892" s="3"/>
    </row>
    <row r="893" spans="1:26" ht="22.5" customHeight="1" x14ac:dyDescent="0.85">
      <c r="A893" s="166"/>
      <c r="B893" s="167"/>
      <c r="C893" s="167"/>
      <c r="D893" s="147"/>
      <c r="E893" s="147"/>
      <c r="F893" s="147"/>
      <c r="G893" s="147"/>
      <c r="H893" s="147"/>
      <c r="I893" s="147"/>
      <c r="J893" s="147"/>
      <c r="K893" s="3"/>
      <c r="L893" s="3"/>
      <c r="M893" s="3"/>
      <c r="N893" s="3"/>
      <c r="O893" s="3"/>
      <c r="P893" s="3"/>
      <c r="Q893" s="3"/>
      <c r="R893" s="3"/>
      <c r="S893" s="3"/>
      <c r="T893" s="3"/>
      <c r="U893" s="3"/>
      <c r="V893" s="3"/>
      <c r="W893" s="3"/>
      <c r="X893" s="3"/>
      <c r="Y893" s="3"/>
      <c r="Z893" s="3"/>
    </row>
    <row r="894" spans="1:26" ht="22.5" customHeight="1" x14ac:dyDescent="0.85">
      <c r="A894" s="166"/>
      <c r="B894" s="167"/>
      <c r="C894" s="167"/>
      <c r="D894" s="147"/>
      <c r="E894" s="147"/>
      <c r="F894" s="147"/>
      <c r="G894" s="147"/>
      <c r="H894" s="147"/>
      <c r="I894" s="147"/>
      <c r="J894" s="147"/>
      <c r="K894" s="3"/>
      <c r="L894" s="3"/>
      <c r="M894" s="3"/>
      <c r="N894" s="3"/>
      <c r="O894" s="3"/>
      <c r="P894" s="3"/>
      <c r="Q894" s="3"/>
      <c r="R894" s="3"/>
      <c r="S894" s="3"/>
      <c r="T894" s="3"/>
      <c r="U894" s="3"/>
      <c r="V894" s="3"/>
      <c r="W894" s="3"/>
      <c r="X894" s="3"/>
      <c r="Y894" s="3"/>
      <c r="Z894" s="3"/>
    </row>
    <row r="895" spans="1:26" ht="22.5" customHeight="1" x14ac:dyDescent="0.85">
      <c r="A895" s="166"/>
      <c r="B895" s="167"/>
      <c r="C895" s="167"/>
      <c r="D895" s="147"/>
      <c r="E895" s="147"/>
      <c r="F895" s="147"/>
      <c r="G895" s="147"/>
      <c r="H895" s="147"/>
      <c r="I895" s="147"/>
      <c r="J895" s="147"/>
      <c r="K895" s="3"/>
      <c r="L895" s="3"/>
      <c r="M895" s="3"/>
      <c r="N895" s="3"/>
      <c r="O895" s="3"/>
      <c r="P895" s="3"/>
      <c r="Q895" s="3"/>
      <c r="R895" s="3"/>
      <c r="S895" s="3"/>
      <c r="T895" s="3"/>
      <c r="U895" s="3"/>
      <c r="V895" s="3"/>
      <c r="W895" s="3"/>
      <c r="X895" s="3"/>
      <c r="Y895" s="3"/>
      <c r="Z895" s="3"/>
    </row>
    <row r="896" spans="1:26" ht="22.5" customHeight="1" x14ac:dyDescent="0.85">
      <c r="A896" s="166"/>
      <c r="B896" s="167"/>
      <c r="C896" s="167"/>
      <c r="D896" s="147"/>
      <c r="E896" s="147"/>
      <c r="F896" s="147"/>
      <c r="G896" s="147"/>
      <c r="H896" s="147"/>
      <c r="I896" s="147"/>
      <c r="J896" s="147"/>
      <c r="K896" s="3"/>
      <c r="L896" s="3"/>
      <c r="M896" s="3"/>
      <c r="N896" s="3"/>
      <c r="O896" s="3"/>
      <c r="P896" s="3"/>
      <c r="Q896" s="3"/>
      <c r="R896" s="3"/>
      <c r="S896" s="3"/>
      <c r="T896" s="3"/>
      <c r="U896" s="3"/>
      <c r="V896" s="3"/>
      <c r="W896" s="3"/>
      <c r="X896" s="3"/>
      <c r="Y896" s="3"/>
      <c r="Z896" s="3"/>
    </row>
    <row r="897" spans="1:26" ht="22.5" customHeight="1" x14ac:dyDescent="0.85">
      <c r="A897" s="166"/>
      <c r="B897" s="167"/>
      <c r="C897" s="167"/>
      <c r="D897" s="147"/>
      <c r="E897" s="147"/>
      <c r="F897" s="147"/>
      <c r="G897" s="147"/>
      <c r="H897" s="147"/>
      <c r="I897" s="147"/>
      <c r="J897" s="147"/>
      <c r="K897" s="3"/>
      <c r="L897" s="3"/>
      <c r="M897" s="3"/>
      <c r="N897" s="3"/>
      <c r="O897" s="3"/>
      <c r="P897" s="3"/>
      <c r="Q897" s="3"/>
      <c r="R897" s="3"/>
      <c r="S897" s="3"/>
      <c r="T897" s="3"/>
      <c r="U897" s="3"/>
      <c r="V897" s="3"/>
      <c r="W897" s="3"/>
      <c r="X897" s="3"/>
      <c r="Y897" s="3"/>
      <c r="Z897" s="3"/>
    </row>
    <row r="898" spans="1:26" ht="22.5" customHeight="1" x14ac:dyDescent="0.85">
      <c r="A898" s="166"/>
      <c r="B898" s="167"/>
      <c r="C898" s="167"/>
      <c r="D898" s="147"/>
      <c r="E898" s="147"/>
      <c r="F898" s="147"/>
      <c r="G898" s="147"/>
      <c r="H898" s="147"/>
      <c r="I898" s="147"/>
      <c r="J898" s="147"/>
      <c r="K898" s="3"/>
      <c r="L898" s="3"/>
      <c r="M898" s="3"/>
      <c r="N898" s="3"/>
      <c r="O898" s="3"/>
      <c r="P898" s="3"/>
      <c r="Q898" s="3"/>
      <c r="R898" s="3"/>
      <c r="S898" s="3"/>
      <c r="T898" s="3"/>
      <c r="U898" s="3"/>
      <c r="V898" s="3"/>
      <c r="W898" s="3"/>
      <c r="X898" s="3"/>
      <c r="Y898" s="3"/>
      <c r="Z898" s="3"/>
    </row>
    <row r="899" spans="1:26" ht="22.5" customHeight="1" x14ac:dyDescent="0.85">
      <c r="A899" s="166"/>
      <c r="B899" s="167"/>
      <c r="C899" s="167"/>
      <c r="D899" s="147"/>
      <c r="E899" s="147"/>
      <c r="F899" s="147"/>
      <c r="G899" s="147"/>
      <c r="H899" s="147"/>
      <c r="I899" s="147"/>
      <c r="J899" s="147"/>
      <c r="K899" s="3"/>
      <c r="L899" s="3"/>
      <c r="M899" s="3"/>
      <c r="N899" s="3"/>
      <c r="O899" s="3"/>
      <c r="P899" s="3"/>
      <c r="Q899" s="3"/>
      <c r="R899" s="3"/>
      <c r="S899" s="3"/>
      <c r="T899" s="3"/>
      <c r="U899" s="3"/>
      <c r="V899" s="3"/>
      <c r="W899" s="3"/>
      <c r="X899" s="3"/>
      <c r="Y899" s="3"/>
      <c r="Z899" s="3"/>
    </row>
    <row r="900" spans="1:26" ht="22.5" customHeight="1" x14ac:dyDescent="0.85">
      <c r="A900" s="166"/>
      <c r="B900" s="167"/>
      <c r="C900" s="167"/>
      <c r="D900" s="147"/>
      <c r="E900" s="147"/>
      <c r="F900" s="147"/>
      <c r="G900" s="147"/>
      <c r="H900" s="147"/>
      <c r="I900" s="147"/>
      <c r="J900" s="147"/>
      <c r="K900" s="3"/>
      <c r="L900" s="3"/>
      <c r="M900" s="3"/>
      <c r="N900" s="3"/>
      <c r="O900" s="3"/>
      <c r="P900" s="3"/>
      <c r="Q900" s="3"/>
      <c r="R900" s="3"/>
      <c r="S900" s="3"/>
      <c r="T900" s="3"/>
      <c r="U900" s="3"/>
      <c r="V900" s="3"/>
      <c r="W900" s="3"/>
      <c r="X900" s="3"/>
      <c r="Y900" s="3"/>
      <c r="Z900" s="3"/>
    </row>
    <row r="901" spans="1:26" ht="22.5" customHeight="1" x14ac:dyDescent="0.85">
      <c r="A901" s="166"/>
      <c r="B901" s="167"/>
      <c r="C901" s="167"/>
      <c r="D901" s="147"/>
      <c r="E901" s="147"/>
      <c r="F901" s="147"/>
      <c r="G901" s="147"/>
      <c r="H901" s="147"/>
      <c r="I901" s="147"/>
      <c r="J901" s="147"/>
      <c r="K901" s="3"/>
      <c r="L901" s="3"/>
      <c r="M901" s="3"/>
      <c r="N901" s="3"/>
      <c r="O901" s="3"/>
      <c r="P901" s="3"/>
      <c r="Q901" s="3"/>
      <c r="R901" s="3"/>
      <c r="S901" s="3"/>
      <c r="T901" s="3"/>
      <c r="U901" s="3"/>
      <c r="V901" s="3"/>
      <c r="W901" s="3"/>
      <c r="X901" s="3"/>
      <c r="Y901" s="3"/>
      <c r="Z901" s="3"/>
    </row>
    <row r="902" spans="1:26" ht="22.5" customHeight="1" x14ac:dyDescent="0.85">
      <c r="A902" s="166"/>
      <c r="B902" s="167"/>
      <c r="C902" s="167"/>
      <c r="D902" s="147"/>
      <c r="E902" s="147"/>
      <c r="F902" s="147"/>
      <c r="G902" s="147"/>
      <c r="H902" s="147"/>
      <c r="I902" s="147"/>
      <c r="J902" s="147"/>
      <c r="K902" s="3"/>
      <c r="L902" s="3"/>
      <c r="M902" s="3"/>
      <c r="N902" s="3"/>
      <c r="O902" s="3"/>
      <c r="P902" s="3"/>
      <c r="Q902" s="3"/>
      <c r="R902" s="3"/>
      <c r="S902" s="3"/>
      <c r="T902" s="3"/>
      <c r="U902" s="3"/>
      <c r="V902" s="3"/>
      <c r="W902" s="3"/>
      <c r="X902" s="3"/>
      <c r="Y902" s="3"/>
      <c r="Z902" s="3"/>
    </row>
    <row r="903" spans="1:26" ht="22.5" customHeight="1" x14ac:dyDescent="0.85">
      <c r="A903" s="166"/>
      <c r="B903" s="167"/>
      <c r="C903" s="167"/>
      <c r="D903" s="147"/>
      <c r="E903" s="147"/>
      <c r="F903" s="147"/>
      <c r="G903" s="147"/>
      <c r="H903" s="147"/>
      <c r="I903" s="147"/>
      <c r="J903" s="147"/>
      <c r="K903" s="3"/>
      <c r="L903" s="3"/>
      <c r="M903" s="3"/>
      <c r="N903" s="3"/>
      <c r="O903" s="3"/>
      <c r="P903" s="3"/>
      <c r="Q903" s="3"/>
      <c r="R903" s="3"/>
      <c r="S903" s="3"/>
      <c r="T903" s="3"/>
      <c r="U903" s="3"/>
      <c r="V903" s="3"/>
      <c r="W903" s="3"/>
      <c r="X903" s="3"/>
      <c r="Y903" s="3"/>
      <c r="Z903" s="3"/>
    </row>
    <row r="904" spans="1:26" ht="22.5" customHeight="1" x14ac:dyDescent="0.85">
      <c r="A904" s="166"/>
      <c r="B904" s="167"/>
      <c r="C904" s="167"/>
      <c r="D904" s="147"/>
      <c r="E904" s="147"/>
      <c r="F904" s="147"/>
      <c r="G904" s="147"/>
      <c r="H904" s="147"/>
      <c r="I904" s="147"/>
      <c r="J904" s="147"/>
      <c r="K904" s="3"/>
      <c r="L904" s="3"/>
      <c r="M904" s="3"/>
      <c r="N904" s="3"/>
      <c r="O904" s="3"/>
      <c r="P904" s="3"/>
      <c r="Q904" s="3"/>
      <c r="R904" s="3"/>
      <c r="S904" s="3"/>
      <c r="T904" s="3"/>
      <c r="U904" s="3"/>
      <c r="V904" s="3"/>
      <c r="W904" s="3"/>
      <c r="X904" s="3"/>
      <c r="Y904" s="3"/>
      <c r="Z904" s="3"/>
    </row>
    <row r="905" spans="1:26" ht="22.5" customHeight="1" x14ac:dyDescent="0.85">
      <c r="A905" s="166"/>
      <c r="B905" s="167"/>
      <c r="C905" s="167"/>
      <c r="D905" s="147"/>
      <c r="E905" s="147"/>
      <c r="F905" s="147"/>
      <c r="G905" s="147"/>
      <c r="H905" s="147"/>
      <c r="I905" s="147"/>
      <c r="J905" s="147"/>
      <c r="K905" s="3"/>
      <c r="L905" s="3"/>
      <c r="M905" s="3"/>
      <c r="N905" s="3"/>
      <c r="O905" s="3"/>
      <c r="P905" s="3"/>
      <c r="Q905" s="3"/>
      <c r="R905" s="3"/>
      <c r="S905" s="3"/>
      <c r="T905" s="3"/>
      <c r="U905" s="3"/>
      <c r="V905" s="3"/>
      <c r="W905" s="3"/>
      <c r="X905" s="3"/>
      <c r="Y905" s="3"/>
      <c r="Z905" s="3"/>
    </row>
    <row r="906" spans="1:26" ht="22.5" customHeight="1" x14ac:dyDescent="0.85">
      <c r="A906" s="166"/>
      <c r="B906" s="167"/>
      <c r="C906" s="167"/>
      <c r="D906" s="147"/>
      <c r="E906" s="147"/>
      <c r="F906" s="147"/>
      <c r="G906" s="147"/>
      <c r="H906" s="147"/>
      <c r="I906" s="147"/>
      <c r="J906" s="147"/>
      <c r="K906" s="3"/>
      <c r="L906" s="3"/>
      <c r="M906" s="3"/>
      <c r="N906" s="3"/>
      <c r="O906" s="3"/>
      <c r="P906" s="3"/>
      <c r="Q906" s="3"/>
      <c r="R906" s="3"/>
      <c r="S906" s="3"/>
      <c r="T906" s="3"/>
      <c r="U906" s="3"/>
      <c r="V906" s="3"/>
      <c r="W906" s="3"/>
      <c r="X906" s="3"/>
      <c r="Y906" s="3"/>
      <c r="Z906" s="3"/>
    </row>
    <row r="907" spans="1:26" ht="22.5" customHeight="1" x14ac:dyDescent="0.85">
      <c r="A907" s="166"/>
      <c r="B907" s="167"/>
      <c r="C907" s="167"/>
      <c r="D907" s="147"/>
      <c r="E907" s="147"/>
      <c r="F907" s="147"/>
      <c r="G907" s="147"/>
      <c r="H907" s="147"/>
      <c r="I907" s="147"/>
      <c r="J907" s="147"/>
      <c r="K907" s="3"/>
      <c r="L907" s="3"/>
      <c r="M907" s="3"/>
      <c r="N907" s="3"/>
      <c r="O907" s="3"/>
      <c r="P907" s="3"/>
      <c r="Q907" s="3"/>
      <c r="R907" s="3"/>
      <c r="S907" s="3"/>
      <c r="T907" s="3"/>
      <c r="U907" s="3"/>
      <c r="V907" s="3"/>
      <c r="W907" s="3"/>
      <c r="X907" s="3"/>
      <c r="Y907" s="3"/>
      <c r="Z907" s="3"/>
    </row>
    <row r="908" spans="1:26" ht="22.5" customHeight="1" x14ac:dyDescent="0.85">
      <c r="A908" s="166"/>
      <c r="B908" s="167"/>
      <c r="C908" s="167"/>
      <c r="D908" s="147"/>
      <c r="E908" s="147"/>
      <c r="F908" s="147"/>
      <c r="G908" s="147"/>
      <c r="H908" s="147"/>
      <c r="I908" s="147"/>
      <c r="J908" s="147"/>
      <c r="K908" s="3"/>
      <c r="L908" s="3"/>
      <c r="M908" s="3"/>
      <c r="N908" s="3"/>
      <c r="O908" s="3"/>
      <c r="P908" s="3"/>
      <c r="Q908" s="3"/>
      <c r="R908" s="3"/>
      <c r="S908" s="3"/>
      <c r="T908" s="3"/>
      <c r="U908" s="3"/>
      <c r="V908" s="3"/>
      <c r="W908" s="3"/>
      <c r="X908" s="3"/>
      <c r="Y908" s="3"/>
      <c r="Z908" s="3"/>
    </row>
    <row r="909" spans="1:26" ht="22.5" customHeight="1" x14ac:dyDescent="0.85">
      <c r="A909" s="166"/>
      <c r="B909" s="167"/>
      <c r="C909" s="167"/>
      <c r="D909" s="147"/>
      <c r="E909" s="147"/>
      <c r="F909" s="147"/>
      <c r="G909" s="147"/>
      <c r="H909" s="147"/>
      <c r="I909" s="147"/>
      <c r="J909" s="147"/>
      <c r="K909" s="3"/>
      <c r="L909" s="3"/>
      <c r="M909" s="3"/>
      <c r="N909" s="3"/>
      <c r="O909" s="3"/>
      <c r="P909" s="3"/>
      <c r="Q909" s="3"/>
      <c r="R909" s="3"/>
      <c r="S909" s="3"/>
      <c r="T909" s="3"/>
      <c r="U909" s="3"/>
      <c r="V909" s="3"/>
      <c r="W909" s="3"/>
      <c r="X909" s="3"/>
      <c r="Y909" s="3"/>
      <c r="Z909" s="3"/>
    </row>
    <row r="910" spans="1:26" ht="22.5" customHeight="1" x14ac:dyDescent="0.85">
      <c r="A910" s="166"/>
      <c r="B910" s="167"/>
      <c r="C910" s="167"/>
      <c r="D910" s="147"/>
      <c r="E910" s="147"/>
      <c r="F910" s="147"/>
      <c r="G910" s="147"/>
      <c r="H910" s="147"/>
      <c r="I910" s="147"/>
      <c r="J910" s="147"/>
      <c r="K910" s="3"/>
      <c r="L910" s="3"/>
      <c r="M910" s="3"/>
      <c r="N910" s="3"/>
      <c r="O910" s="3"/>
      <c r="P910" s="3"/>
      <c r="Q910" s="3"/>
      <c r="R910" s="3"/>
      <c r="S910" s="3"/>
      <c r="T910" s="3"/>
      <c r="U910" s="3"/>
      <c r="V910" s="3"/>
      <c r="W910" s="3"/>
      <c r="X910" s="3"/>
      <c r="Y910" s="3"/>
      <c r="Z910" s="3"/>
    </row>
    <row r="911" spans="1:26" ht="22.5" customHeight="1" x14ac:dyDescent="0.85">
      <c r="A911" s="166"/>
      <c r="B911" s="167"/>
      <c r="C911" s="167"/>
      <c r="D911" s="147"/>
      <c r="E911" s="147"/>
      <c r="F911" s="147"/>
      <c r="G911" s="147"/>
      <c r="H911" s="147"/>
      <c r="I911" s="147"/>
      <c r="J911" s="147"/>
      <c r="K911" s="3"/>
      <c r="L911" s="3"/>
      <c r="M911" s="3"/>
      <c r="N911" s="3"/>
      <c r="O911" s="3"/>
      <c r="P911" s="3"/>
      <c r="Q911" s="3"/>
      <c r="R911" s="3"/>
      <c r="S911" s="3"/>
      <c r="T911" s="3"/>
      <c r="U911" s="3"/>
      <c r="V911" s="3"/>
      <c r="W911" s="3"/>
      <c r="X911" s="3"/>
      <c r="Y911" s="3"/>
      <c r="Z911" s="3"/>
    </row>
    <row r="912" spans="1:26" ht="22.5" customHeight="1" x14ac:dyDescent="0.85">
      <c r="A912" s="166"/>
      <c r="B912" s="167"/>
      <c r="C912" s="167"/>
      <c r="D912" s="147"/>
      <c r="E912" s="147"/>
      <c r="F912" s="147"/>
      <c r="G912" s="147"/>
      <c r="H912" s="147"/>
      <c r="I912" s="147"/>
      <c r="J912" s="147"/>
      <c r="K912" s="3"/>
      <c r="L912" s="3"/>
      <c r="M912" s="3"/>
      <c r="N912" s="3"/>
      <c r="O912" s="3"/>
      <c r="P912" s="3"/>
      <c r="Q912" s="3"/>
      <c r="R912" s="3"/>
      <c r="S912" s="3"/>
      <c r="T912" s="3"/>
      <c r="U912" s="3"/>
      <c r="V912" s="3"/>
      <c r="W912" s="3"/>
      <c r="X912" s="3"/>
      <c r="Y912" s="3"/>
      <c r="Z912" s="3"/>
    </row>
    <row r="913" spans="1:26" ht="22.5" customHeight="1" x14ac:dyDescent="0.85">
      <c r="A913" s="166"/>
      <c r="B913" s="167"/>
      <c r="C913" s="167"/>
      <c r="D913" s="147"/>
      <c r="E913" s="147"/>
      <c r="F913" s="147"/>
      <c r="G913" s="147"/>
      <c r="H913" s="147"/>
      <c r="I913" s="147"/>
      <c r="J913" s="147"/>
      <c r="K913" s="3"/>
      <c r="L913" s="3"/>
      <c r="M913" s="3"/>
      <c r="N913" s="3"/>
      <c r="O913" s="3"/>
      <c r="P913" s="3"/>
      <c r="Q913" s="3"/>
      <c r="R913" s="3"/>
      <c r="S913" s="3"/>
      <c r="T913" s="3"/>
      <c r="U913" s="3"/>
      <c r="V913" s="3"/>
      <c r="W913" s="3"/>
      <c r="X913" s="3"/>
      <c r="Y913" s="3"/>
      <c r="Z913" s="3"/>
    </row>
    <row r="914" spans="1:26" ht="22.5" customHeight="1" x14ac:dyDescent="0.85">
      <c r="A914" s="166"/>
      <c r="B914" s="167"/>
      <c r="C914" s="167"/>
      <c r="D914" s="147"/>
      <c r="E914" s="147"/>
      <c r="F914" s="147"/>
      <c r="G914" s="147"/>
      <c r="H914" s="147"/>
      <c r="I914" s="147"/>
      <c r="J914" s="147"/>
      <c r="K914" s="3"/>
      <c r="L914" s="3"/>
      <c r="M914" s="3"/>
      <c r="N914" s="3"/>
      <c r="O914" s="3"/>
      <c r="P914" s="3"/>
      <c r="Q914" s="3"/>
      <c r="R914" s="3"/>
      <c r="S914" s="3"/>
      <c r="T914" s="3"/>
      <c r="U914" s="3"/>
      <c r="V914" s="3"/>
      <c r="W914" s="3"/>
      <c r="X914" s="3"/>
      <c r="Y914" s="3"/>
      <c r="Z914" s="3"/>
    </row>
    <row r="915" spans="1:26" ht="22.5" customHeight="1" x14ac:dyDescent="0.85">
      <c r="A915" s="166"/>
      <c r="B915" s="167"/>
      <c r="C915" s="167"/>
      <c r="D915" s="147"/>
      <c r="E915" s="147"/>
      <c r="F915" s="147"/>
      <c r="G915" s="147"/>
      <c r="H915" s="147"/>
      <c r="I915" s="147"/>
      <c r="J915" s="147"/>
      <c r="K915" s="3"/>
      <c r="L915" s="3"/>
      <c r="M915" s="3"/>
      <c r="N915" s="3"/>
      <c r="O915" s="3"/>
      <c r="P915" s="3"/>
      <c r="Q915" s="3"/>
      <c r="R915" s="3"/>
      <c r="S915" s="3"/>
      <c r="T915" s="3"/>
      <c r="U915" s="3"/>
      <c r="V915" s="3"/>
      <c r="W915" s="3"/>
      <c r="X915" s="3"/>
      <c r="Y915" s="3"/>
      <c r="Z915" s="3"/>
    </row>
    <row r="916" spans="1:26" ht="22.5" customHeight="1" x14ac:dyDescent="0.85">
      <c r="A916" s="166"/>
      <c r="B916" s="167"/>
      <c r="C916" s="167"/>
      <c r="D916" s="147"/>
      <c r="E916" s="147"/>
      <c r="F916" s="147"/>
      <c r="G916" s="147"/>
      <c r="H916" s="147"/>
      <c r="I916" s="147"/>
      <c r="J916" s="147"/>
      <c r="K916" s="3"/>
      <c r="L916" s="3"/>
      <c r="M916" s="3"/>
      <c r="N916" s="3"/>
      <c r="O916" s="3"/>
      <c r="P916" s="3"/>
      <c r="Q916" s="3"/>
      <c r="R916" s="3"/>
      <c r="S916" s="3"/>
      <c r="T916" s="3"/>
      <c r="U916" s="3"/>
      <c r="V916" s="3"/>
      <c r="W916" s="3"/>
      <c r="X916" s="3"/>
      <c r="Y916" s="3"/>
      <c r="Z916" s="3"/>
    </row>
    <row r="917" spans="1:26" ht="22.5" customHeight="1" x14ac:dyDescent="0.85">
      <c r="A917" s="166"/>
      <c r="B917" s="167"/>
      <c r="C917" s="167"/>
      <c r="D917" s="147"/>
      <c r="E917" s="147"/>
      <c r="F917" s="147"/>
      <c r="G917" s="147"/>
      <c r="H917" s="147"/>
      <c r="I917" s="147"/>
      <c r="J917" s="147"/>
      <c r="K917" s="3"/>
      <c r="L917" s="3"/>
      <c r="M917" s="3"/>
      <c r="N917" s="3"/>
      <c r="O917" s="3"/>
      <c r="P917" s="3"/>
      <c r="Q917" s="3"/>
      <c r="R917" s="3"/>
      <c r="S917" s="3"/>
      <c r="T917" s="3"/>
      <c r="U917" s="3"/>
      <c r="V917" s="3"/>
      <c r="W917" s="3"/>
      <c r="X917" s="3"/>
      <c r="Y917" s="3"/>
      <c r="Z917" s="3"/>
    </row>
    <row r="918" spans="1:26" ht="22.5" customHeight="1" x14ac:dyDescent="0.85">
      <c r="A918" s="166"/>
      <c r="B918" s="167"/>
      <c r="C918" s="167"/>
      <c r="D918" s="147"/>
      <c r="E918" s="147"/>
      <c r="F918" s="147"/>
      <c r="G918" s="147"/>
      <c r="H918" s="147"/>
      <c r="I918" s="147"/>
      <c r="J918" s="147"/>
      <c r="K918" s="3"/>
      <c r="L918" s="3"/>
      <c r="M918" s="3"/>
      <c r="N918" s="3"/>
      <c r="O918" s="3"/>
      <c r="P918" s="3"/>
      <c r="Q918" s="3"/>
      <c r="R918" s="3"/>
      <c r="S918" s="3"/>
      <c r="T918" s="3"/>
      <c r="U918" s="3"/>
      <c r="V918" s="3"/>
      <c r="W918" s="3"/>
      <c r="X918" s="3"/>
      <c r="Y918" s="3"/>
      <c r="Z918" s="3"/>
    </row>
    <row r="919" spans="1:26" ht="22.5" customHeight="1" x14ac:dyDescent="0.85">
      <c r="A919" s="166"/>
      <c r="B919" s="167"/>
      <c r="C919" s="167"/>
      <c r="D919" s="147"/>
      <c r="E919" s="147"/>
      <c r="F919" s="147"/>
      <c r="G919" s="147"/>
      <c r="H919" s="147"/>
      <c r="I919" s="147"/>
      <c r="J919" s="147"/>
      <c r="K919" s="3"/>
      <c r="L919" s="3"/>
      <c r="M919" s="3"/>
      <c r="N919" s="3"/>
      <c r="O919" s="3"/>
      <c r="P919" s="3"/>
      <c r="Q919" s="3"/>
      <c r="R919" s="3"/>
      <c r="S919" s="3"/>
      <c r="T919" s="3"/>
      <c r="U919" s="3"/>
      <c r="V919" s="3"/>
      <c r="W919" s="3"/>
      <c r="X919" s="3"/>
      <c r="Y919" s="3"/>
      <c r="Z919" s="3"/>
    </row>
    <row r="920" spans="1:26" ht="22.5" customHeight="1" x14ac:dyDescent="0.85">
      <c r="A920" s="166"/>
      <c r="B920" s="167"/>
      <c r="C920" s="167"/>
      <c r="D920" s="147"/>
      <c r="E920" s="147"/>
      <c r="F920" s="147"/>
      <c r="G920" s="147"/>
      <c r="H920" s="147"/>
      <c r="I920" s="147"/>
      <c r="J920" s="147"/>
      <c r="K920" s="3"/>
      <c r="L920" s="3"/>
      <c r="M920" s="3"/>
      <c r="N920" s="3"/>
      <c r="O920" s="3"/>
      <c r="P920" s="3"/>
      <c r="Q920" s="3"/>
      <c r="R920" s="3"/>
      <c r="S920" s="3"/>
      <c r="T920" s="3"/>
      <c r="U920" s="3"/>
      <c r="V920" s="3"/>
      <c r="W920" s="3"/>
      <c r="X920" s="3"/>
      <c r="Y920" s="3"/>
      <c r="Z920" s="3"/>
    </row>
    <row r="921" spans="1:26" ht="22.5" customHeight="1" x14ac:dyDescent="0.85">
      <c r="A921" s="166"/>
      <c r="B921" s="167"/>
      <c r="C921" s="167"/>
      <c r="D921" s="147"/>
      <c r="E921" s="147"/>
      <c r="F921" s="147"/>
      <c r="G921" s="147"/>
      <c r="H921" s="147"/>
      <c r="I921" s="147"/>
      <c r="J921" s="147"/>
      <c r="K921" s="3"/>
      <c r="L921" s="3"/>
      <c r="M921" s="3"/>
      <c r="N921" s="3"/>
      <c r="O921" s="3"/>
      <c r="P921" s="3"/>
      <c r="Q921" s="3"/>
      <c r="R921" s="3"/>
      <c r="S921" s="3"/>
      <c r="T921" s="3"/>
      <c r="U921" s="3"/>
      <c r="V921" s="3"/>
      <c r="W921" s="3"/>
      <c r="X921" s="3"/>
      <c r="Y921" s="3"/>
      <c r="Z921" s="3"/>
    </row>
    <row r="922" spans="1:26" ht="22.5" customHeight="1" x14ac:dyDescent="0.85">
      <c r="A922" s="166"/>
      <c r="B922" s="167"/>
      <c r="C922" s="167"/>
      <c r="D922" s="147"/>
      <c r="E922" s="147"/>
      <c r="F922" s="147"/>
      <c r="G922" s="147"/>
      <c r="H922" s="147"/>
      <c r="I922" s="147"/>
      <c r="J922" s="147"/>
      <c r="K922" s="3"/>
      <c r="L922" s="3"/>
      <c r="M922" s="3"/>
      <c r="N922" s="3"/>
      <c r="O922" s="3"/>
      <c r="P922" s="3"/>
      <c r="Q922" s="3"/>
      <c r="R922" s="3"/>
      <c r="S922" s="3"/>
      <c r="T922" s="3"/>
      <c r="U922" s="3"/>
      <c r="V922" s="3"/>
      <c r="W922" s="3"/>
      <c r="X922" s="3"/>
      <c r="Y922" s="3"/>
      <c r="Z922" s="3"/>
    </row>
    <row r="923" spans="1:26" ht="22.5" customHeight="1" x14ac:dyDescent="0.85">
      <c r="A923" s="166"/>
      <c r="B923" s="167"/>
      <c r="C923" s="167"/>
      <c r="D923" s="147"/>
      <c r="E923" s="147"/>
      <c r="F923" s="147"/>
      <c r="G923" s="147"/>
      <c r="H923" s="147"/>
      <c r="I923" s="147"/>
      <c r="J923" s="147"/>
      <c r="K923" s="3"/>
      <c r="L923" s="3"/>
      <c r="M923" s="3"/>
      <c r="N923" s="3"/>
      <c r="O923" s="3"/>
      <c r="P923" s="3"/>
      <c r="Q923" s="3"/>
      <c r="R923" s="3"/>
      <c r="S923" s="3"/>
      <c r="T923" s="3"/>
      <c r="U923" s="3"/>
      <c r="V923" s="3"/>
      <c r="W923" s="3"/>
      <c r="X923" s="3"/>
      <c r="Y923" s="3"/>
      <c r="Z923" s="3"/>
    </row>
    <row r="924" spans="1:26" ht="22.5" customHeight="1" x14ac:dyDescent="0.85">
      <c r="A924" s="166"/>
      <c r="B924" s="167"/>
      <c r="C924" s="167"/>
      <c r="D924" s="147"/>
      <c r="E924" s="147"/>
      <c r="F924" s="147"/>
      <c r="G924" s="147"/>
      <c r="H924" s="147"/>
      <c r="I924" s="147"/>
      <c r="J924" s="147"/>
      <c r="K924" s="3"/>
      <c r="L924" s="3"/>
      <c r="M924" s="3"/>
      <c r="N924" s="3"/>
      <c r="O924" s="3"/>
      <c r="P924" s="3"/>
      <c r="Q924" s="3"/>
      <c r="R924" s="3"/>
      <c r="S924" s="3"/>
      <c r="T924" s="3"/>
      <c r="U924" s="3"/>
      <c r="V924" s="3"/>
      <c r="W924" s="3"/>
      <c r="X924" s="3"/>
      <c r="Y924" s="3"/>
      <c r="Z924" s="3"/>
    </row>
    <row r="925" spans="1:26" ht="22.5" customHeight="1" x14ac:dyDescent="0.85">
      <c r="A925" s="166"/>
      <c r="B925" s="167"/>
      <c r="C925" s="167"/>
      <c r="D925" s="147"/>
      <c r="E925" s="147"/>
      <c r="F925" s="147"/>
      <c r="G925" s="147"/>
      <c r="H925" s="147"/>
      <c r="I925" s="147"/>
      <c r="J925" s="147"/>
      <c r="K925" s="3"/>
      <c r="L925" s="3"/>
      <c r="M925" s="3"/>
      <c r="N925" s="3"/>
      <c r="O925" s="3"/>
      <c r="P925" s="3"/>
      <c r="Q925" s="3"/>
      <c r="R925" s="3"/>
      <c r="S925" s="3"/>
      <c r="T925" s="3"/>
      <c r="U925" s="3"/>
      <c r="V925" s="3"/>
      <c r="W925" s="3"/>
      <c r="X925" s="3"/>
      <c r="Y925" s="3"/>
      <c r="Z925" s="3"/>
    </row>
    <row r="926" spans="1:26" ht="22.5" customHeight="1" x14ac:dyDescent="0.85">
      <c r="A926" s="166"/>
      <c r="B926" s="167"/>
      <c r="C926" s="167"/>
      <c r="D926" s="147"/>
      <c r="E926" s="147"/>
      <c r="F926" s="147"/>
      <c r="G926" s="147"/>
      <c r="H926" s="147"/>
      <c r="I926" s="147"/>
      <c r="J926" s="147"/>
      <c r="K926" s="3"/>
      <c r="L926" s="3"/>
      <c r="M926" s="3"/>
      <c r="N926" s="3"/>
      <c r="O926" s="3"/>
      <c r="P926" s="3"/>
      <c r="Q926" s="3"/>
      <c r="R926" s="3"/>
      <c r="S926" s="3"/>
      <c r="T926" s="3"/>
      <c r="U926" s="3"/>
      <c r="V926" s="3"/>
      <c r="W926" s="3"/>
      <c r="X926" s="3"/>
      <c r="Y926" s="3"/>
      <c r="Z926" s="3"/>
    </row>
    <row r="927" spans="1:26" ht="22.5" customHeight="1" x14ac:dyDescent="0.85">
      <c r="A927" s="166"/>
      <c r="B927" s="167"/>
      <c r="C927" s="167"/>
      <c r="D927" s="147"/>
      <c r="E927" s="147"/>
      <c r="F927" s="147"/>
      <c r="G927" s="147"/>
      <c r="H927" s="147"/>
      <c r="I927" s="147"/>
      <c r="J927" s="147"/>
      <c r="K927" s="3"/>
      <c r="L927" s="3"/>
      <c r="M927" s="3"/>
      <c r="N927" s="3"/>
      <c r="O927" s="3"/>
      <c r="P927" s="3"/>
      <c r="Q927" s="3"/>
      <c r="R927" s="3"/>
      <c r="S927" s="3"/>
      <c r="T927" s="3"/>
      <c r="U927" s="3"/>
      <c r="V927" s="3"/>
      <c r="W927" s="3"/>
      <c r="X927" s="3"/>
      <c r="Y927" s="3"/>
      <c r="Z927" s="3"/>
    </row>
    <row r="928" spans="1:26" ht="22.5" customHeight="1" x14ac:dyDescent="0.85">
      <c r="A928" s="166"/>
      <c r="B928" s="167"/>
      <c r="C928" s="167"/>
      <c r="D928" s="147"/>
      <c r="E928" s="147"/>
      <c r="F928" s="147"/>
      <c r="G928" s="147"/>
      <c r="H928" s="147"/>
      <c r="I928" s="147"/>
      <c r="J928" s="147"/>
      <c r="K928" s="3"/>
      <c r="L928" s="3"/>
      <c r="M928" s="3"/>
      <c r="N928" s="3"/>
      <c r="O928" s="3"/>
      <c r="P928" s="3"/>
      <c r="Q928" s="3"/>
      <c r="R928" s="3"/>
      <c r="S928" s="3"/>
      <c r="T928" s="3"/>
      <c r="U928" s="3"/>
      <c r="V928" s="3"/>
      <c r="W928" s="3"/>
      <c r="X928" s="3"/>
      <c r="Y928" s="3"/>
      <c r="Z928" s="3"/>
    </row>
    <row r="929" spans="1:26" ht="22.5" customHeight="1" x14ac:dyDescent="0.85">
      <c r="A929" s="166"/>
      <c r="B929" s="167"/>
      <c r="C929" s="167"/>
      <c r="D929" s="147"/>
      <c r="E929" s="147"/>
      <c r="F929" s="147"/>
      <c r="G929" s="147"/>
      <c r="H929" s="147"/>
      <c r="I929" s="147"/>
      <c r="J929" s="147"/>
      <c r="K929" s="3"/>
      <c r="L929" s="3"/>
      <c r="M929" s="3"/>
      <c r="N929" s="3"/>
      <c r="O929" s="3"/>
      <c r="P929" s="3"/>
      <c r="Q929" s="3"/>
      <c r="R929" s="3"/>
      <c r="S929" s="3"/>
      <c r="T929" s="3"/>
      <c r="U929" s="3"/>
      <c r="V929" s="3"/>
      <c r="W929" s="3"/>
      <c r="X929" s="3"/>
      <c r="Y929" s="3"/>
      <c r="Z929" s="3"/>
    </row>
    <row r="930" spans="1:26" ht="22.5" customHeight="1" x14ac:dyDescent="0.85">
      <c r="A930" s="166"/>
      <c r="B930" s="167"/>
      <c r="C930" s="167"/>
      <c r="D930" s="147"/>
      <c r="E930" s="147"/>
      <c r="F930" s="147"/>
      <c r="G930" s="147"/>
      <c r="H930" s="147"/>
      <c r="I930" s="147"/>
      <c r="J930" s="147"/>
      <c r="K930" s="3"/>
      <c r="L930" s="3"/>
      <c r="M930" s="3"/>
      <c r="N930" s="3"/>
      <c r="O930" s="3"/>
      <c r="P930" s="3"/>
      <c r="Q930" s="3"/>
      <c r="R930" s="3"/>
      <c r="S930" s="3"/>
      <c r="T930" s="3"/>
      <c r="U930" s="3"/>
      <c r="V930" s="3"/>
      <c r="W930" s="3"/>
      <c r="X930" s="3"/>
      <c r="Y930" s="3"/>
      <c r="Z930" s="3"/>
    </row>
    <row r="931" spans="1:26" ht="22.5" customHeight="1" x14ac:dyDescent="0.85">
      <c r="A931" s="166"/>
      <c r="B931" s="167"/>
      <c r="C931" s="167"/>
      <c r="D931" s="147"/>
      <c r="E931" s="147"/>
      <c r="F931" s="147"/>
      <c r="G931" s="147"/>
      <c r="H931" s="147"/>
      <c r="I931" s="147"/>
      <c r="J931" s="147"/>
      <c r="K931" s="3"/>
      <c r="L931" s="3"/>
      <c r="M931" s="3"/>
      <c r="N931" s="3"/>
      <c r="O931" s="3"/>
      <c r="P931" s="3"/>
      <c r="Q931" s="3"/>
      <c r="R931" s="3"/>
      <c r="S931" s="3"/>
      <c r="T931" s="3"/>
      <c r="U931" s="3"/>
      <c r="V931" s="3"/>
      <c r="W931" s="3"/>
      <c r="X931" s="3"/>
      <c r="Y931" s="3"/>
      <c r="Z931" s="3"/>
    </row>
    <row r="932" spans="1:26" ht="22.5" customHeight="1" x14ac:dyDescent="0.85">
      <c r="A932" s="166"/>
      <c r="B932" s="167"/>
      <c r="C932" s="167"/>
      <c r="D932" s="147"/>
      <c r="E932" s="147"/>
      <c r="F932" s="147"/>
      <c r="G932" s="147"/>
      <c r="H932" s="147"/>
      <c r="I932" s="147"/>
      <c r="J932" s="147"/>
      <c r="K932" s="3"/>
      <c r="L932" s="3"/>
      <c r="M932" s="3"/>
      <c r="N932" s="3"/>
      <c r="O932" s="3"/>
      <c r="P932" s="3"/>
      <c r="Q932" s="3"/>
      <c r="R932" s="3"/>
      <c r="S932" s="3"/>
      <c r="T932" s="3"/>
      <c r="U932" s="3"/>
      <c r="V932" s="3"/>
      <c r="W932" s="3"/>
      <c r="X932" s="3"/>
      <c r="Y932" s="3"/>
      <c r="Z932" s="3"/>
    </row>
    <row r="933" spans="1:26" ht="22.5" customHeight="1" x14ac:dyDescent="0.85">
      <c r="A933" s="166"/>
      <c r="B933" s="167"/>
      <c r="C933" s="167"/>
      <c r="D933" s="147"/>
      <c r="E933" s="147"/>
      <c r="F933" s="147"/>
      <c r="G933" s="147"/>
      <c r="H933" s="147"/>
      <c r="I933" s="147"/>
      <c r="J933" s="147"/>
      <c r="K933" s="3"/>
      <c r="L933" s="3"/>
      <c r="M933" s="3"/>
      <c r="N933" s="3"/>
      <c r="O933" s="3"/>
      <c r="P933" s="3"/>
      <c r="Q933" s="3"/>
      <c r="R933" s="3"/>
      <c r="S933" s="3"/>
      <c r="T933" s="3"/>
      <c r="U933" s="3"/>
      <c r="V933" s="3"/>
      <c r="W933" s="3"/>
      <c r="X933" s="3"/>
      <c r="Y933" s="3"/>
      <c r="Z933" s="3"/>
    </row>
    <row r="934" spans="1:26" ht="22.5" customHeight="1" x14ac:dyDescent="0.85">
      <c r="A934" s="166"/>
      <c r="B934" s="167"/>
      <c r="C934" s="167"/>
      <c r="D934" s="147"/>
      <c r="E934" s="147"/>
      <c r="F934" s="147"/>
      <c r="G934" s="147"/>
      <c r="H934" s="147"/>
      <c r="I934" s="147"/>
      <c r="J934" s="147"/>
      <c r="K934" s="3"/>
      <c r="L934" s="3"/>
      <c r="M934" s="3"/>
      <c r="N934" s="3"/>
      <c r="O934" s="3"/>
      <c r="P934" s="3"/>
      <c r="Q934" s="3"/>
      <c r="R934" s="3"/>
      <c r="S934" s="3"/>
      <c r="T934" s="3"/>
      <c r="U934" s="3"/>
      <c r="V934" s="3"/>
      <c r="W934" s="3"/>
      <c r="X934" s="3"/>
      <c r="Y934" s="3"/>
      <c r="Z934" s="3"/>
    </row>
    <row r="935" spans="1:26" ht="22.5" customHeight="1" x14ac:dyDescent="0.85">
      <c r="A935" s="166"/>
      <c r="B935" s="167"/>
      <c r="C935" s="167"/>
      <c r="D935" s="147"/>
      <c r="E935" s="147"/>
      <c r="F935" s="147"/>
      <c r="G935" s="147"/>
      <c r="H935" s="147"/>
      <c r="I935" s="147"/>
      <c r="J935" s="147"/>
      <c r="K935" s="3"/>
      <c r="L935" s="3"/>
      <c r="M935" s="3"/>
      <c r="N935" s="3"/>
      <c r="O935" s="3"/>
      <c r="P935" s="3"/>
      <c r="Q935" s="3"/>
      <c r="R935" s="3"/>
      <c r="S935" s="3"/>
      <c r="T935" s="3"/>
      <c r="U935" s="3"/>
      <c r="V935" s="3"/>
      <c r="W935" s="3"/>
      <c r="X935" s="3"/>
      <c r="Y935" s="3"/>
      <c r="Z935" s="3"/>
    </row>
    <row r="936" spans="1:26" ht="22.5" customHeight="1" x14ac:dyDescent="0.85">
      <c r="A936" s="166"/>
      <c r="B936" s="167"/>
      <c r="C936" s="167"/>
      <c r="D936" s="147"/>
      <c r="E936" s="147"/>
      <c r="F936" s="147"/>
      <c r="G936" s="147"/>
      <c r="H936" s="147"/>
      <c r="I936" s="147"/>
      <c r="J936" s="147"/>
      <c r="K936" s="3"/>
      <c r="L936" s="3"/>
      <c r="M936" s="3"/>
      <c r="N936" s="3"/>
      <c r="O936" s="3"/>
      <c r="P936" s="3"/>
      <c r="Q936" s="3"/>
      <c r="R936" s="3"/>
      <c r="S936" s="3"/>
      <c r="T936" s="3"/>
      <c r="U936" s="3"/>
      <c r="V936" s="3"/>
      <c r="W936" s="3"/>
      <c r="X936" s="3"/>
      <c r="Y936" s="3"/>
      <c r="Z936" s="3"/>
    </row>
    <row r="937" spans="1:26" ht="22.5" customHeight="1" x14ac:dyDescent="0.85">
      <c r="A937" s="166"/>
      <c r="B937" s="167"/>
      <c r="C937" s="167"/>
      <c r="D937" s="147"/>
      <c r="E937" s="147"/>
      <c r="F937" s="147"/>
      <c r="G937" s="147"/>
      <c r="H937" s="147"/>
      <c r="I937" s="147"/>
      <c r="J937" s="147"/>
      <c r="K937" s="3"/>
      <c r="L937" s="3"/>
      <c r="M937" s="3"/>
      <c r="N937" s="3"/>
      <c r="O937" s="3"/>
      <c r="P937" s="3"/>
      <c r="Q937" s="3"/>
      <c r="R937" s="3"/>
      <c r="S937" s="3"/>
      <c r="T937" s="3"/>
      <c r="U937" s="3"/>
      <c r="V937" s="3"/>
      <c r="W937" s="3"/>
      <c r="X937" s="3"/>
      <c r="Y937" s="3"/>
      <c r="Z937" s="3"/>
    </row>
    <row r="938" spans="1:26" ht="22.5" customHeight="1" x14ac:dyDescent="0.85">
      <c r="A938" s="166"/>
      <c r="B938" s="167"/>
      <c r="C938" s="167"/>
      <c r="D938" s="147"/>
      <c r="E938" s="147"/>
      <c r="F938" s="147"/>
      <c r="G938" s="147"/>
      <c r="H938" s="147"/>
      <c r="I938" s="147"/>
      <c r="J938" s="147"/>
      <c r="K938" s="3"/>
      <c r="L938" s="3"/>
      <c r="M938" s="3"/>
      <c r="N938" s="3"/>
      <c r="O938" s="3"/>
      <c r="P938" s="3"/>
      <c r="Q938" s="3"/>
      <c r="R938" s="3"/>
      <c r="S938" s="3"/>
      <c r="T938" s="3"/>
      <c r="U938" s="3"/>
      <c r="V938" s="3"/>
      <c r="W938" s="3"/>
      <c r="X938" s="3"/>
      <c r="Y938" s="3"/>
      <c r="Z938" s="3"/>
    </row>
    <row r="939" spans="1:26" ht="22.5" customHeight="1" x14ac:dyDescent="0.85">
      <c r="A939" s="166"/>
      <c r="B939" s="167"/>
      <c r="C939" s="167"/>
      <c r="D939" s="147"/>
      <c r="E939" s="147"/>
      <c r="F939" s="147"/>
      <c r="G939" s="147"/>
      <c r="H939" s="147"/>
      <c r="I939" s="147"/>
      <c r="J939" s="147"/>
      <c r="K939" s="3"/>
      <c r="L939" s="3"/>
      <c r="M939" s="3"/>
      <c r="N939" s="3"/>
      <c r="O939" s="3"/>
      <c r="P939" s="3"/>
      <c r="Q939" s="3"/>
      <c r="R939" s="3"/>
      <c r="S939" s="3"/>
      <c r="T939" s="3"/>
      <c r="U939" s="3"/>
      <c r="V939" s="3"/>
      <c r="W939" s="3"/>
      <c r="X939" s="3"/>
      <c r="Y939" s="3"/>
      <c r="Z939" s="3"/>
    </row>
    <row r="940" spans="1:26" ht="22.5" customHeight="1" x14ac:dyDescent="0.85">
      <c r="A940" s="166"/>
      <c r="B940" s="167"/>
      <c r="C940" s="167"/>
      <c r="D940" s="147"/>
      <c r="E940" s="147"/>
      <c r="F940" s="147"/>
      <c r="G940" s="147"/>
      <c r="H940" s="147"/>
      <c r="I940" s="147"/>
      <c r="J940" s="147"/>
      <c r="K940" s="3"/>
      <c r="L940" s="3"/>
      <c r="M940" s="3"/>
      <c r="N940" s="3"/>
      <c r="O940" s="3"/>
      <c r="P940" s="3"/>
      <c r="Q940" s="3"/>
      <c r="R940" s="3"/>
      <c r="S940" s="3"/>
      <c r="T940" s="3"/>
      <c r="U940" s="3"/>
      <c r="V940" s="3"/>
      <c r="W940" s="3"/>
      <c r="X940" s="3"/>
      <c r="Y940" s="3"/>
      <c r="Z940" s="3"/>
    </row>
    <row r="941" spans="1:26" ht="22.5" customHeight="1" x14ac:dyDescent="0.85">
      <c r="A941" s="166"/>
      <c r="B941" s="167"/>
      <c r="C941" s="167"/>
      <c r="D941" s="147"/>
      <c r="E941" s="147"/>
      <c r="F941" s="147"/>
      <c r="G941" s="147"/>
      <c r="H941" s="147"/>
      <c r="I941" s="147"/>
      <c r="J941" s="147"/>
      <c r="K941" s="3"/>
      <c r="L941" s="3"/>
      <c r="M941" s="3"/>
      <c r="N941" s="3"/>
      <c r="O941" s="3"/>
      <c r="P941" s="3"/>
      <c r="Q941" s="3"/>
      <c r="R941" s="3"/>
      <c r="S941" s="3"/>
      <c r="T941" s="3"/>
      <c r="U941" s="3"/>
      <c r="V941" s="3"/>
      <c r="W941" s="3"/>
      <c r="X941" s="3"/>
      <c r="Y941" s="3"/>
      <c r="Z941" s="3"/>
    </row>
    <row r="942" spans="1:26" ht="22.5" customHeight="1" x14ac:dyDescent="0.85">
      <c r="A942" s="166"/>
      <c r="B942" s="167"/>
      <c r="C942" s="167"/>
      <c r="D942" s="147"/>
      <c r="E942" s="147"/>
      <c r="F942" s="147"/>
      <c r="G942" s="147"/>
      <c r="H942" s="147"/>
      <c r="I942" s="147"/>
      <c r="J942" s="147"/>
      <c r="K942" s="3"/>
      <c r="L942" s="3"/>
      <c r="M942" s="3"/>
      <c r="N942" s="3"/>
      <c r="O942" s="3"/>
      <c r="P942" s="3"/>
      <c r="Q942" s="3"/>
      <c r="R942" s="3"/>
      <c r="S942" s="3"/>
      <c r="T942" s="3"/>
      <c r="U942" s="3"/>
      <c r="V942" s="3"/>
      <c r="W942" s="3"/>
      <c r="X942" s="3"/>
      <c r="Y942" s="3"/>
      <c r="Z942" s="3"/>
    </row>
    <row r="943" spans="1:26" ht="22.5" customHeight="1" x14ac:dyDescent="0.85">
      <c r="A943" s="166"/>
      <c r="B943" s="167"/>
      <c r="C943" s="167"/>
      <c r="D943" s="147"/>
      <c r="E943" s="147"/>
      <c r="F943" s="147"/>
      <c r="G943" s="147"/>
      <c r="H943" s="147"/>
      <c r="I943" s="147"/>
      <c r="J943" s="147"/>
      <c r="K943" s="3"/>
      <c r="L943" s="3"/>
      <c r="M943" s="3"/>
      <c r="N943" s="3"/>
      <c r="O943" s="3"/>
      <c r="P943" s="3"/>
      <c r="Q943" s="3"/>
      <c r="R943" s="3"/>
      <c r="S943" s="3"/>
      <c r="T943" s="3"/>
      <c r="U943" s="3"/>
      <c r="V943" s="3"/>
      <c r="W943" s="3"/>
      <c r="X943" s="3"/>
      <c r="Y943" s="3"/>
      <c r="Z943" s="3"/>
    </row>
    <row r="944" spans="1:26" ht="22.5" customHeight="1" x14ac:dyDescent="0.85">
      <c r="A944" s="166"/>
      <c r="B944" s="167"/>
      <c r="C944" s="167"/>
      <c r="D944" s="147"/>
      <c r="E944" s="147"/>
      <c r="F944" s="147"/>
      <c r="G944" s="147"/>
      <c r="H944" s="147"/>
      <c r="I944" s="147"/>
      <c r="J944" s="147"/>
      <c r="K944" s="3"/>
      <c r="L944" s="3"/>
      <c r="M944" s="3"/>
      <c r="N944" s="3"/>
      <c r="O944" s="3"/>
      <c r="P944" s="3"/>
      <c r="Q944" s="3"/>
      <c r="R944" s="3"/>
      <c r="S944" s="3"/>
      <c r="T944" s="3"/>
      <c r="U944" s="3"/>
      <c r="V944" s="3"/>
      <c r="W944" s="3"/>
      <c r="X944" s="3"/>
      <c r="Y944" s="3"/>
      <c r="Z944" s="3"/>
    </row>
    <row r="945" spans="1:26" ht="22.5" customHeight="1" x14ac:dyDescent="0.85">
      <c r="A945" s="166"/>
      <c r="B945" s="167"/>
      <c r="C945" s="167"/>
      <c r="D945" s="147"/>
      <c r="E945" s="147"/>
      <c r="F945" s="147"/>
      <c r="G945" s="147"/>
      <c r="H945" s="147"/>
      <c r="I945" s="147"/>
      <c r="J945" s="147"/>
      <c r="K945" s="3"/>
      <c r="L945" s="3"/>
      <c r="M945" s="3"/>
      <c r="N945" s="3"/>
      <c r="O945" s="3"/>
      <c r="P945" s="3"/>
      <c r="Q945" s="3"/>
      <c r="R945" s="3"/>
      <c r="S945" s="3"/>
      <c r="T945" s="3"/>
      <c r="U945" s="3"/>
      <c r="V945" s="3"/>
      <c r="W945" s="3"/>
      <c r="X945" s="3"/>
      <c r="Y945" s="3"/>
      <c r="Z945" s="3"/>
    </row>
    <row r="946" spans="1:26" ht="22.5" customHeight="1" x14ac:dyDescent="0.85">
      <c r="A946" s="166"/>
      <c r="B946" s="167"/>
      <c r="C946" s="167"/>
      <c r="D946" s="147"/>
      <c r="E946" s="147"/>
      <c r="F946" s="147"/>
      <c r="G946" s="147"/>
      <c r="H946" s="147"/>
      <c r="I946" s="147"/>
      <c r="J946" s="147"/>
      <c r="K946" s="3"/>
      <c r="L946" s="3"/>
      <c r="M946" s="3"/>
      <c r="N946" s="3"/>
      <c r="O946" s="3"/>
      <c r="P946" s="3"/>
      <c r="Q946" s="3"/>
      <c r="R946" s="3"/>
      <c r="S946" s="3"/>
      <c r="T946" s="3"/>
      <c r="U946" s="3"/>
      <c r="V946" s="3"/>
      <c r="W946" s="3"/>
      <c r="X946" s="3"/>
      <c r="Y946" s="3"/>
      <c r="Z946" s="3"/>
    </row>
    <row r="947" spans="1:26" ht="22.5" customHeight="1" x14ac:dyDescent="0.85">
      <c r="A947" s="166"/>
      <c r="B947" s="167"/>
      <c r="C947" s="167"/>
      <c r="D947" s="147"/>
      <c r="E947" s="147"/>
      <c r="F947" s="147"/>
      <c r="G947" s="147"/>
      <c r="H947" s="147"/>
      <c r="I947" s="147"/>
      <c r="J947" s="147"/>
      <c r="K947" s="3"/>
      <c r="L947" s="3"/>
      <c r="M947" s="3"/>
      <c r="N947" s="3"/>
      <c r="O947" s="3"/>
      <c r="P947" s="3"/>
      <c r="Q947" s="3"/>
      <c r="R947" s="3"/>
      <c r="S947" s="3"/>
      <c r="T947" s="3"/>
      <c r="U947" s="3"/>
      <c r="V947" s="3"/>
      <c r="W947" s="3"/>
      <c r="X947" s="3"/>
      <c r="Y947" s="3"/>
      <c r="Z947" s="3"/>
    </row>
    <row r="948" spans="1:26" ht="22.5" customHeight="1" x14ac:dyDescent="0.85">
      <c r="A948" s="166"/>
      <c r="B948" s="167"/>
      <c r="C948" s="167"/>
      <c r="D948" s="147"/>
      <c r="E948" s="147"/>
      <c r="F948" s="147"/>
      <c r="G948" s="147"/>
      <c r="H948" s="147"/>
      <c r="I948" s="147"/>
      <c r="J948" s="147"/>
      <c r="K948" s="3"/>
      <c r="L948" s="3"/>
      <c r="M948" s="3"/>
      <c r="N948" s="3"/>
      <c r="O948" s="3"/>
      <c r="P948" s="3"/>
      <c r="Q948" s="3"/>
      <c r="R948" s="3"/>
      <c r="S948" s="3"/>
      <c r="T948" s="3"/>
      <c r="U948" s="3"/>
      <c r="V948" s="3"/>
      <c r="W948" s="3"/>
      <c r="X948" s="3"/>
      <c r="Y948" s="3"/>
      <c r="Z948" s="3"/>
    </row>
    <row r="949" spans="1:26" ht="22.5" customHeight="1" x14ac:dyDescent="0.85">
      <c r="A949" s="166"/>
      <c r="B949" s="167"/>
      <c r="C949" s="167"/>
      <c r="D949" s="147"/>
      <c r="E949" s="147"/>
      <c r="F949" s="147"/>
      <c r="G949" s="147"/>
      <c r="H949" s="147"/>
      <c r="I949" s="147"/>
      <c r="J949" s="147"/>
      <c r="K949" s="3"/>
      <c r="L949" s="3"/>
      <c r="M949" s="3"/>
      <c r="N949" s="3"/>
      <c r="O949" s="3"/>
      <c r="P949" s="3"/>
      <c r="Q949" s="3"/>
      <c r="R949" s="3"/>
      <c r="S949" s="3"/>
      <c r="T949" s="3"/>
      <c r="U949" s="3"/>
      <c r="V949" s="3"/>
      <c r="W949" s="3"/>
      <c r="X949" s="3"/>
      <c r="Y949" s="3"/>
      <c r="Z949" s="3"/>
    </row>
    <row r="950" spans="1:26" ht="22.5" customHeight="1" x14ac:dyDescent="0.85">
      <c r="A950" s="166"/>
      <c r="B950" s="167"/>
      <c r="C950" s="167"/>
      <c r="D950" s="147"/>
      <c r="E950" s="147"/>
      <c r="F950" s="147"/>
      <c r="G950" s="147"/>
      <c r="H950" s="147"/>
      <c r="I950" s="147"/>
      <c r="J950" s="147"/>
      <c r="K950" s="3"/>
      <c r="L950" s="3"/>
      <c r="M950" s="3"/>
      <c r="N950" s="3"/>
      <c r="O950" s="3"/>
      <c r="P950" s="3"/>
      <c r="Q950" s="3"/>
      <c r="R950" s="3"/>
      <c r="S950" s="3"/>
      <c r="T950" s="3"/>
      <c r="U950" s="3"/>
      <c r="V950" s="3"/>
      <c r="W950" s="3"/>
      <c r="X950" s="3"/>
      <c r="Y950" s="3"/>
      <c r="Z950" s="3"/>
    </row>
    <row r="951" spans="1:26" ht="22.5" customHeight="1" x14ac:dyDescent="0.85">
      <c r="A951" s="166"/>
      <c r="B951" s="167"/>
      <c r="C951" s="167"/>
      <c r="D951" s="147"/>
      <c r="E951" s="147"/>
      <c r="F951" s="147"/>
      <c r="G951" s="147"/>
      <c r="H951" s="147"/>
      <c r="I951" s="147"/>
      <c r="J951" s="147"/>
      <c r="K951" s="3"/>
      <c r="L951" s="3"/>
      <c r="M951" s="3"/>
      <c r="N951" s="3"/>
      <c r="O951" s="3"/>
      <c r="P951" s="3"/>
      <c r="Q951" s="3"/>
      <c r="R951" s="3"/>
      <c r="S951" s="3"/>
      <c r="T951" s="3"/>
      <c r="U951" s="3"/>
      <c r="V951" s="3"/>
      <c r="W951" s="3"/>
      <c r="X951" s="3"/>
      <c r="Y951" s="3"/>
      <c r="Z951" s="3"/>
    </row>
    <row r="952" spans="1:26" ht="22.5" customHeight="1" x14ac:dyDescent="0.85">
      <c r="A952" s="166"/>
      <c r="B952" s="167"/>
      <c r="C952" s="167"/>
      <c r="D952" s="147"/>
      <c r="E952" s="147"/>
      <c r="F952" s="147"/>
      <c r="G952" s="147"/>
      <c r="H952" s="147"/>
      <c r="I952" s="147"/>
      <c r="J952" s="147"/>
      <c r="K952" s="3"/>
      <c r="L952" s="3"/>
      <c r="M952" s="3"/>
      <c r="N952" s="3"/>
      <c r="O952" s="3"/>
      <c r="P952" s="3"/>
      <c r="Q952" s="3"/>
      <c r="R952" s="3"/>
      <c r="S952" s="3"/>
      <c r="T952" s="3"/>
      <c r="U952" s="3"/>
      <c r="V952" s="3"/>
      <c r="W952" s="3"/>
      <c r="X952" s="3"/>
      <c r="Y952" s="3"/>
      <c r="Z952" s="3"/>
    </row>
    <row r="953" spans="1:26" ht="22.5" customHeight="1" x14ac:dyDescent="0.85">
      <c r="A953" s="166"/>
      <c r="B953" s="167"/>
      <c r="C953" s="167"/>
      <c r="D953" s="147"/>
      <c r="E953" s="147"/>
      <c r="F953" s="147"/>
      <c r="G953" s="147"/>
      <c r="H953" s="147"/>
      <c r="I953" s="147"/>
      <c r="J953" s="147"/>
      <c r="K953" s="3"/>
      <c r="L953" s="3"/>
      <c r="M953" s="3"/>
      <c r="N953" s="3"/>
      <c r="O953" s="3"/>
      <c r="P953" s="3"/>
      <c r="Q953" s="3"/>
      <c r="R953" s="3"/>
      <c r="S953" s="3"/>
      <c r="T953" s="3"/>
      <c r="U953" s="3"/>
      <c r="V953" s="3"/>
      <c r="W953" s="3"/>
      <c r="X953" s="3"/>
      <c r="Y953" s="3"/>
      <c r="Z953" s="3"/>
    </row>
    <row r="954" spans="1:26" ht="22.5" customHeight="1" x14ac:dyDescent="0.85">
      <c r="A954" s="166"/>
      <c r="B954" s="167"/>
      <c r="C954" s="167"/>
      <c r="D954" s="147"/>
      <c r="E954" s="147"/>
      <c r="F954" s="147"/>
      <c r="G954" s="147"/>
      <c r="H954" s="147"/>
      <c r="I954" s="147"/>
      <c r="J954" s="147"/>
      <c r="K954" s="3"/>
      <c r="L954" s="3"/>
      <c r="M954" s="3"/>
      <c r="N954" s="3"/>
      <c r="O954" s="3"/>
      <c r="P954" s="3"/>
      <c r="Q954" s="3"/>
      <c r="R954" s="3"/>
      <c r="S954" s="3"/>
      <c r="T954" s="3"/>
      <c r="U954" s="3"/>
      <c r="V954" s="3"/>
      <c r="W954" s="3"/>
      <c r="X954" s="3"/>
      <c r="Y954" s="3"/>
      <c r="Z954" s="3"/>
    </row>
    <row r="955" spans="1:26" ht="22.5" customHeight="1" x14ac:dyDescent="0.85">
      <c r="A955" s="166"/>
      <c r="B955" s="167"/>
      <c r="C955" s="167"/>
      <c r="D955" s="147"/>
      <c r="E955" s="147"/>
      <c r="F955" s="147"/>
      <c r="G955" s="147"/>
      <c r="H955" s="147"/>
      <c r="I955" s="147"/>
      <c r="J955" s="147"/>
      <c r="K955" s="3"/>
      <c r="L955" s="3"/>
      <c r="M955" s="3"/>
      <c r="N955" s="3"/>
      <c r="O955" s="3"/>
      <c r="P955" s="3"/>
      <c r="Q955" s="3"/>
      <c r="R955" s="3"/>
      <c r="S955" s="3"/>
      <c r="T955" s="3"/>
      <c r="U955" s="3"/>
      <c r="V955" s="3"/>
      <c r="W955" s="3"/>
      <c r="X955" s="3"/>
      <c r="Y955" s="3"/>
      <c r="Z955" s="3"/>
    </row>
    <row r="956" spans="1:26" ht="22.5" customHeight="1" x14ac:dyDescent="0.85">
      <c r="A956" s="166"/>
      <c r="B956" s="167"/>
      <c r="C956" s="167"/>
      <c r="D956" s="147"/>
      <c r="E956" s="147"/>
      <c r="F956" s="147"/>
      <c r="G956" s="147"/>
      <c r="H956" s="147"/>
      <c r="I956" s="147"/>
      <c r="J956" s="147"/>
      <c r="K956" s="3"/>
      <c r="L956" s="3"/>
      <c r="M956" s="3"/>
      <c r="N956" s="3"/>
      <c r="O956" s="3"/>
      <c r="P956" s="3"/>
      <c r="Q956" s="3"/>
      <c r="R956" s="3"/>
      <c r="S956" s="3"/>
      <c r="T956" s="3"/>
      <c r="U956" s="3"/>
      <c r="V956" s="3"/>
      <c r="W956" s="3"/>
      <c r="X956" s="3"/>
      <c r="Y956" s="3"/>
      <c r="Z956" s="3"/>
    </row>
    <row r="957" spans="1:26" ht="22.5" customHeight="1" x14ac:dyDescent="0.85">
      <c r="A957" s="166"/>
      <c r="B957" s="167"/>
      <c r="C957" s="167"/>
      <c r="D957" s="147"/>
      <c r="E957" s="147"/>
      <c r="F957" s="147"/>
      <c r="G957" s="147"/>
      <c r="H957" s="147"/>
      <c r="I957" s="147"/>
      <c r="J957" s="147"/>
      <c r="K957" s="3"/>
      <c r="L957" s="3"/>
      <c r="M957" s="3"/>
      <c r="N957" s="3"/>
      <c r="O957" s="3"/>
      <c r="P957" s="3"/>
      <c r="Q957" s="3"/>
      <c r="R957" s="3"/>
      <c r="S957" s="3"/>
      <c r="T957" s="3"/>
      <c r="U957" s="3"/>
      <c r="V957" s="3"/>
      <c r="W957" s="3"/>
      <c r="X957" s="3"/>
      <c r="Y957" s="3"/>
      <c r="Z957" s="3"/>
    </row>
    <row r="958" spans="1:26" ht="22.5" customHeight="1" x14ac:dyDescent="0.85">
      <c r="A958" s="166"/>
      <c r="B958" s="167"/>
      <c r="C958" s="167"/>
      <c r="D958" s="147"/>
      <c r="E958" s="147"/>
      <c r="F958" s="147"/>
      <c r="G958" s="147"/>
      <c r="H958" s="147"/>
      <c r="I958" s="147"/>
      <c r="J958" s="147"/>
      <c r="K958" s="3"/>
      <c r="L958" s="3"/>
      <c r="M958" s="3"/>
      <c r="N958" s="3"/>
      <c r="O958" s="3"/>
      <c r="P958" s="3"/>
      <c r="Q958" s="3"/>
      <c r="R958" s="3"/>
      <c r="S958" s="3"/>
      <c r="T958" s="3"/>
      <c r="U958" s="3"/>
      <c r="V958" s="3"/>
      <c r="W958" s="3"/>
      <c r="X958" s="3"/>
      <c r="Y958" s="3"/>
      <c r="Z958" s="3"/>
    </row>
    <row r="959" spans="1:26" ht="22.5" customHeight="1" x14ac:dyDescent="0.85">
      <c r="A959" s="166"/>
      <c r="B959" s="167"/>
      <c r="C959" s="167"/>
      <c r="D959" s="147"/>
      <c r="E959" s="147"/>
      <c r="F959" s="147"/>
      <c r="G959" s="147"/>
      <c r="H959" s="147"/>
      <c r="I959" s="147"/>
      <c r="J959" s="147"/>
      <c r="K959" s="3"/>
      <c r="L959" s="3"/>
      <c r="M959" s="3"/>
      <c r="N959" s="3"/>
      <c r="O959" s="3"/>
      <c r="P959" s="3"/>
      <c r="Q959" s="3"/>
      <c r="R959" s="3"/>
      <c r="S959" s="3"/>
      <c r="T959" s="3"/>
      <c r="U959" s="3"/>
      <c r="V959" s="3"/>
      <c r="W959" s="3"/>
      <c r="X959" s="3"/>
      <c r="Y959" s="3"/>
      <c r="Z959" s="3"/>
    </row>
    <row r="960" spans="1:26" ht="22.5" customHeight="1" x14ac:dyDescent="0.85">
      <c r="A960" s="166"/>
      <c r="B960" s="167"/>
      <c r="C960" s="167"/>
      <c r="D960" s="147"/>
      <c r="E960" s="147"/>
      <c r="F960" s="147"/>
      <c r="G960" s="147"/>
      <c r="H960" s="147"/>
      <c r="I960" s="147"/>
      <c r="J960" s="147"/>
      <c r="K960" s="3"/>
      <c r="L960" s="3"/>
      <c r="M960" s="3"/>
      <c r="N960" s="3"/>
      <c r="O960" s="3"/>
      <c r="P960" s="3"/>
      <c r="Q960" s="3"/>
      <c r="R960" s="3"/>
      <c r="S960" s="3"/>
      <c r="T960" s="3"/>
      <c r="U960" s="3"/>
      <c r="V960" s="3"/>
      <c r="W960" s="3"/>
      <c r="X960" s="3"/>
      <c r="Y960" s="3"/>
      <c r="Z960" s="3"/>
    </row>
    <row r="961" spans="1:26" ht="22.5" customHeight="1" x14ac:dyDescent="0.85">
      <c r="A961" s="166"/>
      <c r="B961" s="167"/>
      <c r="C961" s="167"/>
      <c r="D961" s="147"/>
      <c r="E961" s="147"/>
      <c r="F961" s="147"/>
      <c r="G961" s="147"/>
      <c r="H961" s="147"/>
      <c r="I961" s="147"/>
      <c r="J961" s="147"/>
      <c r="K961" s="3"/>
      <c r="L961" s="3"/>
      <c r="M961" s="3"/>
      <c r="N961" s="3"/>
      <c r="O961" s="3"/>
      <c r="P961" s="3"/>
      <c r="Q961" s="3"/>
      <c r="R961" s="3"/>
      <c r="S961" s="3"/>
      <c r="T961" s="3"/>
      <c r="U961" s="3"/>
      <c r="V961" s="3"/>
      <c r="W961" s="3"/>
      <c r="X961" s="3"/>
      <c r="Y961" s="3"/>
      <c r="Z961" s="3"/>
    </row>
    <row r="962" spans="1:26" ht="22.5" customHeight="1" x14ac:dyDescent="0.85">
      <c r="A962" s="166"/>
      <c r="B962" s="167"/>
      <c r="C962" s="167"/>
      <c r="D962" s="147"/>
      <c r="E962" s="147"/>
      <c r="F962" s="147"/>
      <c r="G962" s="147"/>
      <c r="H962" s="147"/>
      <c r="I962" s="147"/>
      <c r="J962" s="147"/>
      <c r="K962" s="3"/>
      <c r="L962" s="3"/>
      <c r="M962" s="3"/>
      <c r="N962" s="3"/>
      <c r="O962" s="3"/>
      <c r="P962" s="3"/>
      <c r="Q962" s="3"/>
      <c r="R962" s="3"/>
      <c r="S962" s="3"/>
      <c r="T962" s="3"/>
      <c r="U962" s="3"/>
      <c r="V962" s="3"/>
      <c r="W962" s="3"/>
      <c r="X962" s="3"/>
      <c r="Y962" s="3"/>
      <c r="Z962" s="3"/>
    </row>
    <row r="963" spans="1:26" ht="22.5" customHeight="1" x14ac:dyDescent="0.85">
      <c r="A963" s="166"/>
      <c r="B963" s="167"/>
      <c r="C963" s="167"/>
      <c r="D963" s="147"/>
      <c r="E963" s="147"/>
      <c r="F963" s="147"/>
      <c r="G963" s="147"/>
      <c r="H963" s="147"/>
      <c r="I963" s="147"/>
      <c r="J963" s="147"/>
      <c r="K963" s="3"/>
      <c r="L963" s="3"/>
      <c r="M963" s="3"/>
      <c r="N963" s="3"/>
      <c r="O963" s="3"/>
      <c r="P963" s="3"/>
      <c r="Q963" s="3"/>
      <c r="R963" s="3"/>
      <c r="S963" s="3"/>
      <c r="T963" s="3"/>
      <c r="U963" s="3"/>
      <c r="V963" s="3"/>
      <c r="W963" s="3"/>
      <c r="X963" s="3"/>
      <c r="Y963" s="3"/>
      <c r="Z963" s="3"/>
    </row>
    <row r="964" spans="1:26" ht="22.5" customHeight="1" x14ac:dyDescent="0.85">
      <c r="A964" s="166"/>
      <c r="B964" s="167"/>
      <c r="C964" s="167"/>
      <c r="D964" s="147"/>
      <c r="E964" s="147"/>
      <c r="F964" s="147"/>
      <c r="G964" s="147"/>
      <c r="H964" s="147"/>
      <c r="I964" s="147"/>
      <c r="J964" s="147"/>
      <c r="K964" s="3"/>
      <c r="L964" s="3"/>
      <c r="M964" s="3"/>
      <c r="N964" s="3"/>
      <c r="O964" s="3"/>
      <c r="P964" s="3"/>
      <c r="Q964" s="3"/>
      <c r="R964" s="3"/>
      <c r="S964" s="3"/>
      <c r="T964" s="3"/>
      <c r="U964" s="3"/>
      <c r="V964" s="3"/>
      <c r="W964" s="3"/>
      <c r="X964" s="3"/>
      <c r="Y964" s="3"/>
      <c r="Z964" s="3"/>
    </row>
    <row r="965" spans="1:26" ht="22.5" customHeight="1" x14ac:dyDescent="0.85">
      <c r="A965" s="166"/>
      <c r="B965" s="167"/>
      <c r="C965" s="167"/>
      <c r="D965" s="147"/>
      <c r="E965" s="147"/>
      <c r="F965" s="147"/>
      <c r="G965" s="147"/>
      <c r="H965" s="147"/>
      <c r="I965" s="147"/>
      <c r="J965" s="147"/>
      <c r="K965" s="3"/>
      <c r="L965" s="3"/>
      <c r="M965" s="3"/>
      <c r="N965" s="3"/>
      <c r="O965" s="3"/>
      <c r="P965" s="3"/>
      <c r="Q965" s="3"/>
      <c r="R965" s="3"/>
      <c r="S965" s="3"/>
      <c r="T965" s="3"/>
      <c r="U965" s="3"/>
      <c r="V965" s="3"/>
      <c r="W965" s="3"/>
      <c r="X965" s="3"/>
      <c r="Y965" s="3"/>
      <c r="Z965" s="3"/>
    </row>
    <row r="966" spans="1:26" ht="22.5" customHeight="1" x14ac:dyDescent="0.85">
      <c r="A966" s="166"/>
      <c r="B966" s="167"/>
      <c r="C966" s="167"/>
      <c r="D966" s="147"/>
      <c r="E966" s="147"/>
      <c r="F966" s="147"/>
      <c r="G966" s="147"/>
      <c r="H966" s="147"/>
      <c r="I966" s="147"/>
      <c r="J966" s="147"/>
      <c r="K966" s="3"/>
      <c r="L966" s="3"/>
      <c r="M966" s="3"/>
      <c r="N966" s="3"/>
      <c r="O966" s="3"/>
      <c r="P966" s="3"/>
      <c r="Q966" s="3"/>
      <c r="R966" s="3"/>
      <c r="S966" s="3"/>
      <c r="T966" s="3"/>
      <c r="U966" s="3"/>
      <c r="V966" s="3"/>
      <c r="W966" s="3"/>
      <c r="X966" s="3"/>
      <c r="Y966" s="3"/>
      <c r="Z966" s="3"/>
    </row>
    <row r="967" spans="1:26" ht="22.5" customHeight="1" x14ac:dyDescent="0.85">
      <c r="A967" s="166"/>
      <c r="B967" s="167"/>
      <c r="C967" s="167"/>
      <c r="D967" s="147"/>
      <c r="E967" s="147"/>
      <c r="F967" s="147"/>
      <c r="G967" s="147"/>
      <c r="H967" s="147"/>
      <c r="I967" s="147"/>
      <c r="J967" s="147"/>
      <c r="K967" s="3"/>
      <c r="L967" s="3"/>
      <c r="M967" s="3"/>
      <c r="N967" s="3"/>
      <c r="O967" s="3"/>
      <c r="P967" s="3"/>
      <c r="Q967" s="3"/>
      <c r="R967" s="3"/>
      <c r="S967" s="3"/>
      <c r="T967" s="3"/>
      <c r="U967" s="3"/>
      <c r="V967" s="3"/>
      <c r="W967" s="3"/>
      <c r="X967" s="3"/>
      <c r="Y967" s="3"/>
      <c r="Z967" s="3"/>
    </row>
    <row r="968" spans="1:26" ht="22.5" customHeight="1" x14ac:dyDescent="0.85">
      <c r="A968" s="166"/>
      <c r="B968" s="167"/>
      <c r="C968" s="167"/>
      <c r="D968" s="147"/>
      <c r="E968" s="147"/>
      <c r="F968" s="147"/>
      <c r="G968" s="147"/>
      <c r="H968" s="147"/>
      <c r="I968" s="147"/>
      <c r="J968" s="147"/>
      <c r="K968" s="3"/>
      <c r="L968" s="3"/>
      <c r="M968" s="3"/>
      <c r="N968" s="3"/>
      <c r="O968" s="3"/>
      <c r="P968" s="3"/>
      <c r="Q968" s="3"/>
      <c r="R968" s="3"/>
      <c r="S968" s="3"/>
      <c r="T968" s="3"/>
      <c r="U968" s="3"/>
      <c r="V968" s="3"/>
      <c r="W968" s="3"/>
      <c r="X968" s="3"/>
      <c r="Y968" s="3"/>
      <c r="Z968" s="3"/>
    </row>
    <row r="969" spans="1:26" ht="22.5" customHeight="1" x14ac:dyDescent="0.85">
      <c r="A969" s="166"/>
      <c r="B969" s="167"/>
      <c r="C969" s="167"/>
      <c r="D969" s="147"/>
      <c r="E969" s="147"/>
      <c r="F969" s="147"/>
      <c r="G969" s="147"/>
      <c r="H969" s="147"/>
      <c r="I969" s="147"/>
      <c r="J969" s="147"/>
      <c r="K969" s="3"/>
      <c r="L969" s="3"/>
      <c r="M969" s="3"/>
      <c r="N969" s="3"/>
      <c r="O969" s="3"/>
      <c r="P969" s="3"/>
      <c r="Q969" s="3"/>
      <c r="R969" s="3"/>
      <c r="S969" s="3"/>
      <c r="T969" s="3"/>
      <c r="U969" s="3"/>
      <c r="V969" s="3"/>
      <c r="W969" s="3"/>
      <c r="X969" s="3"/>
      <c r="Y969" s="3"/>
      <c r="Z969" s="3"/>
    </row>
    <row r="970" spans="1:26" ht="22.5" customHeight="1" x14ac:dyDescent="0.85">
      <c r="A970" s="166"/>
      <c r="B970" s="167"/>
      <c r="C970" s="167"/>
      <c r="D970" s="147"/>
      <c r="E970" s="147"/>
      <c r="F970" s="147"/>
      <c r="G970" s="147"/>
      <c r="H970" s="147"/>
      <c r="I970" s="147"/>
      <c r="J970" s="147"/>
      <c r="K970" s="3"/>
      <c r="L970" s="3"/>
      <c r="M970" s="3"/>
      <c r="N970" s="3"/>
      <c r="O970" s="3"/>
      <c r="P970" s="3"/>
      <c r="Q970" s="3"/>
      <c r="R970" s="3"/>
      <c r="S970" s="3"/>
      <c r="T970" s="3"/>
      <c r="U970" s="3"/>
      <c r="V970" s="3"/>
      <c r="W970" s="3"/>
      <c r="X970" s="3"/>
      <c r="Y970" s="3"/>
      <c r="Z970" s="3"/>
    </row>
    <row r="971" spans="1:26" ht="22.5" customHeight="1" x14ac:dyDescent="0.85">
      <c r="A971" s="166"/>
      <c r="B971" s="167"/>
      <c r="C971" s="167"/>
      <c r="D971" s="147"/>
      <c r="E971" s="147"/>
      <c r="F971" s="147"/>
      <c r="G971" s="147"/>
      <c r="H971" s="147"/>
      <c r="I971" s="147"/>
      <c r="J971" s="147"/>
      <c r="K971" s="3"/>
      <c r="L971" s="3"/>
      <c r="M971" s="3"/>
      <c r="N971" s="3"/>
      <c r="O971" s="3"/>
      <c r="P971" s="3"/>
      <c r="Q971" s="3"/>
      <c r="R971" s="3"/>
      <c r="S971" s="3"/>
      <c r="T971" s="3"/>
      <c r="U971" s="3"/>
      <c r="V971" s="3"/>
      <c r="W971" s="3"/>
      <c r="X971" s="3"/>
      <c r="Y971" s="3"/>
      <c r="Z971" s="3"/>
    </row>
    <row r="972" spans="1:26" ht="22.5" customHeight="1" x14ac:dyDescent="0.85">
      <c r="A972" s="166"/>
      <c r="B972" s="167"/>
      <c r="C972" s="167"/>
      <c r="D972" s="147"/>
      <c r="E972" s="147"/>
      <c r="F972" s="147"/>
      <c r="G972" s="147"/>
      <c r="H972" s="147"/>
      <c r="I972" s="147"/>
      <c r="J972" s="147"/>
      <c r="K972" s="3"/>
      <c r="L972" s="3"/>
      <c r="M972" s="3"/>
      <c r="N972" s="3"/>
      <c r="O972" s="3"/>
      <c r="P972" s="3"/>
      <c r="Q972" s="3"/>
      <c r="R972" s="3"/>
      <c r="S972" s="3"/>
      <c r="T972" s="3"/>
      <c r="U972" s="3"/>
      <c r="V972" s="3"/>
      <c r="W972" s="3"/>
      <c r="X972" s="3"/>
      <c r="Y972" s="3"/>
      <c r="Z972" s="3"/>
    </row>
    <row r="973" spans="1:26" ht="22.5" customHeight="1" x14ac:dyDescent="0.85">
      <c r="A973" s="166"/>
      <c r="B973" s="167"/>
      <c r="C973" s="167"/>
      <c r="D973" s="147"/>
      <c r="E973" s="147"/>
      <c r="F973" s="147"/>
      <c r="G973" s="147"/>
      <c r="H973" s="147"/>
      <c r="I973" s="147"/>
      <c r="J973" s="147"/>
      <c r="K973" s="3"/>
      <c r="L973" s="3"/>
      <c r="M973" s="3"/>
      <c r="N973" s="3"/>
      <c r="O973" s="3"/>
      <c r="P973" s="3"/>
      <c r="Q973" s="3"/>
      <c r="R973" s="3"/>
      <c r="S973" s="3"/>
      <c r="T973" s="3"/>
      <c r="U973" s="3"/>
      <c r="V973" s="3"/>
      <c r="W973" s="3"/>
      <c r="X973" s="3"/>
      <c r="Y973" s="3"/>
      <c r="Z973" s="3"/>
    </row>
    <row r="974" spans="1:26" ht="22.5" customHeight="1" x14ac:dyDescent="0.85">
      <c r="A974" s="166"/>
      <c r="B974" s="167"/>
      <c r="C974" s="167"/>
      <c r="D974" s="147"/>
      <c r="E974" s="147"/>
      <c r="F974" s="147"/>
      <c r="G974" s="147"/>
      <c r="H974" s="147"/>
      <c r="I974" s="147"/>
      <c r="J974" s="147"/>
      <c r="K974" s="3"/>
      <c r="L974" s="3"/>
      <c r="M974" s="3"/>
      <c r="N974" s="3"/>
      <c r="O974" s="3"/>
      <c r="P974" s="3"/>
      <c r="Q974" s="3"/>
      <c r="R974" s="3"/>
      <c r="S974" s="3"/>
      <c r="T974" s="3"/>
      <c r="U974" s="3"/>
      <c r="V974" s="3"/>
      <c r="W974" s="3"/>
      <c r="X974" s="3"/>
      <c r="Y974" s="3"/>
      <c r="Z974" s="3"/>
    </row>
    <row r="975" spans="1:26" ht="22.5" customHeight="1" x14ac:dyDescent="0.85">
      <c r="A975" s="166"/>
      <c r="B975" s="167"/>
      <c r="C975" s="167"/>
      <c r="D975" s="147"/>
      <c r="E975" s="147"/>
      <c r="F975" s="147"/>
      <c r="G975" s="147"/>
      <c r="H975" s="147"/>
      <c r="I975" s="147"/>
      <c r="J975" s="147"/>
      <c r="K975" s="3"/>
      <c r="L975" s="3"/>
      <c r="M975" s="3"/>
      <c r="N975" s="3"/>
      <c r="O975" s="3"/>
      <c r="P975" s="3"/>
      <c r="Q975" s="3"/>
      <c r="R975" s="3"/>
      <c r="S975" s="3"/>
      <c r="T975" s="3"/>
      <c r="U975" s="3"/>
      <c r="V975" s="3"/>
      <c r="W975" s="3"/>
      <c r="X975" s="3"/>
      <c r="Y975" s="3"/>
      <c r="Z975" s="3"/>
    </row>
    <row r="976" spans="1:26" ht="22.5" customHeight="1" x14ac:dyDescent="0.85">
      <c r="A976" s="166"/>
      <c r="B976" s="167"/>
      <c r="C976" s="167"/>
      <c r="D976" s="147"/>
      <c r="E976" s="147"/>
      <c r="F976" s="147"/>
      <c r="G976" s="147"/>
      <c r="H976" s="147"/>
      <c r="I976" s="147"/>
      <c r="J976" s="147"/>
      <c r="K976" s="3"/>
      <c r="L976" s="3"/>
      <c r="M976" s="3"/>
      <c r="N976" s="3"/>
      <c r="O976" s="3"/>
      <c r="P976" s="3"/>
      <c r="Q976" s="3"/>
      <c r="R976" s="3"/>
      <c r="S976" s="3"/>
      <c r="T976" s="3"/>
      <c r="U976" s="3"/>
      <c r="V976" s="3"/>
      <c r="W976" s="3"/>
      <c r="X976" s="3"/>
      <c r="Y976" s="3"/>
      <c r="Z976" s="3"/>
    </row>
    <row r="977" spans="1:26" ht="22.5" customHeight="1" x14ac:dyDescent="0.85">
      <c r="A977" s="166"/>
      <c r="B977" s="167"/>
      <c r="C977" s="167"/>
      <c r="D977" s="147"/>
      <c r="E977" s="147"/>
      <c r="F977" s="147"/>
      <c r="G977" s="147"/>
      <c r="H977" s="147"/>
      <c r="I977" s="147"/>
      <c r="J977" s="147"/>
      <c r="K977" s="3"/>
      <c r="L977" s="3"/>
      <c r="M977" s="3"/>
      <c r="N977" s="3"/>
      <c r="O977" s="3"/>
      <c r="P977" s="3"/>
      <c r="Q977" s="3"/>
      <c r="R977" s="3"/>
      <c r="S977" s="3"/>
      <c r="T977" s="3"/>
      <c r="U977" s="3"/>
      <c r="V977" s="3"/>
      <c r="W977" s="3"/>
      <c r="X977" s="3"/>
      <c r="Y977" s="3"/>
      <c r="Z977" s="3"/>
    </row>
    <row r="978" spans="1:26" ht="22.5" customHeight="1" x14ac:dyDescent="0.85">
      <c r="A978" s="166"/>
      <c r="B978" s="167"/>
      <c r="C978" s="167"/>
      <c r="D978" s="147"/>
      <c r="E978" s="147"/>
      <c r="F978" s="147"/>
      <c r="G978" s="147"/>
      <c r="H978" s="147"/>
      <c r="I978" s="147"/>
      <c r="J978" s="147"/>
      <c r="K978" s="3"/>
      <c r="L978" s="3"/>
      <c r="M978" s="3"/>
      <c r="N978" s="3"/>
      <c r="O978" s="3"/>
      <c r="P978" s="3"/>
      <c r="Q978" s="3"/>
      <c r="R978" s="3"/>
      <c r="S978" s="3"/>
      <c r="T978" s="3"/>
      <c r="U978" s="3"/>
      <c r="V978" s="3"/>
      <c r="W978" s="3"/>
      <c r="X978" s="3"/>
      <c r="Y978" s="3"/>
      <c r="Z978" s="3"/>
    </row>
    <row r="979" spans="1:26" ht="22.5" customHeight="1" x14ac:dyDescent="0.85">
      <c r="A979" s="166"/>
      <c r="B979" s="167"/>
      <c r="C979" s="167"/>
      <c r="D979" s="147"/>
      <c r="E979" s="147"/>
      <c r="F979" s="147"/>
      <c r="G979" s="147"/>
      <c r="H979" s="147"/>
      <c r="I979" s="147"/>
      <c r="J979" s="147"/>
      <c r="K979" s="3"/>
      <c r="L979" s="3"/>
      <c r="M979" s="3"/>
      <c r="N979" s="3"/>
      <c r="O979" s="3"/>
      <c r="P979" s="3"/>
      <c r="Q979" s="3"/>
      <c r="R979" s="3"/>
      <c r="S979" s="3"/>
      <c r="T979" s="3"/>
      <c r="U979" s="3"/>
      <c r="V979" s="3"/>
      <c r="W979" s="3"/>
      <c r="X979" s="3"/>
      <c r="Y979" s="3"/>
      <c r="Z979" s="3"/>
    </row>
    <row r="980" spans="1:26" ht="22.5" customHeight="1" x14ac:dyDescent="0.85">
      <c r="A980" s="166"/>
      <c r="B980" s="167"/>
      <c r="C980" s="167"/>
      <c r="D980" s="147"/>
      <c r="E980" s="147"/>
      <c r="F980" s="147"/>
      <c r="G980" s="147"/>
      <c r="H980" s="147"/>
      <c r="I980" s="147"/>
      <c r="J980" s="147"/>
      <c r="K980" s="3"/>
      <c r="L980" s="3"/>
      <c r="M980" s="3"/>
      <c r="N980" s="3"/>
      <c r="O980" s="3"/>
      <c r="P980" s="3"/>
      <c r="Q980" s="3"/>
      <c r="R980" s="3"/>
      <c r="S980" s="3"/>
      <c r="T980" s="3"/>
      <c r="U980" s="3"/>
      <c r="V980" s="3"/>
      <c r="W980" s="3"/>
      <c r="X980" s="3"/>
      <c r="Y980" s="3"/>
      <c r="Z980" s="3"/>
    </row>
    <row r="981" spans="1:26" ht="22.5" customHeight="1" x14ac:dyDescent="0.85">
      <c r="A981" s="166"/>
      <c r="B981" s="167"/>
      <c r="C981" s="167"/>
      <c r="D981" s="147"/>
      <c r="E981" s="147"/>
      <c r="F981" s="147"/>
      <c r="G981" s="147"/>
      <c r="H981" s="147"/>
      <c r="I981" s="147"/>
      <c r="J981" s="147"/>
      <c r="K981" s="3"/>
      <c r="L981" s="3"/>
      <c r="M981" s="3"/>
      <c r="N981" s="3"/>
      <c r="O981" s="3"/>
      <c r="P981" s="3"/>
      <c r="Q981" s="3"/>
      <c r="R981" s="3"/>
      <c r="S981" s="3"/>
      <c r="T981" s="3"/>
      <c r="U981" s="3"/>
      <c r="V981" s="3"/>
      <c r="W981" s="3"/>
      <c r="X981" s="3"/>
      <c r="Y981" s="3"/>
      <c r="Z981" s="3"/>
    </row>
    <row r="982" spans="1:26" ht="22.5" customHeight="1" x14ac:dyDescent="0.85">
      <c r="A982" s="166"/>
      <c r="B982" s="167"/>
      <c r="C982" s="167"/>
      <c r="D982" s="147"/>
      <c r="E982" s="147"/>
      <c r="F982" s="147"/>
      <c r="G982" s="147"/>
      <c r="H982" s="147"/>
      <c r="I982" s="147"/>
      <c r="J982" s="147"/>
      <c r="K982" s="3"/>
      <c r="L982" s="3"/>
      <c r="M982" s="3"/>
      <c r="N982" s="3"/>
      <c r="O982" s="3"/>
      <c r="P982" s="3"/>
      <c r="Q982" s="3"/>
      <c r="R982" s="3"/>
      <c r="S982" s="3"/>
      <c r="T982" s="3"/>
      <c r="U982" s="3"/>
      <c r="V982" s="3"/>
      <c r="W982" s="3"/>
      <c r="X982" s="3"/>
      <c r="Y982" s="3"/>
      <c r="Z982" s="3"/>
    </row>
    <row r="983" spans="1:26" ht="22.5" customHeight="1" x14ac:dyDescent="0.85">
      <c r="A983" s="166"/>
      <c r="B983" s="167"/>
      <c r="C983" s="167"/>
      <c r="D983" s="147"/>
      <c r="E983" s="147"/>
      <c r="F983" s="147"/>
      <c r="G983" s="147"/>
      <c r="H983" s="147"/>
      <c r="I983" s="147"/>
      <c r="J983" s="147"/>
      <c r="K983" s="3"/>
      <c r="L983" s="3"/>
      <c r="M983" s="3"/>
      <c r="N983" s="3"/>
      <c r="O983" s="3"/>
      <c r="P983" s="3"/>
      <c r="Q983" s="3"/>
      <c r="R983" s="3"/>
      <c r="S983" s="3"/>
      <c r="T983" s="3"/>
      <c r="U983" s="3"/>
      <c r="V983" s="3"/>
      <c r="W983" s="3"/>
      <c r="X983" s="3"/>
      <c r="Y983" s="3"/>
      <c r="Z983" s="3"/>
    </row>
    <row r="984" spans="1:26" ht="22.5" customHeight="1" x14ac:dyDescent="0.85">
      <c r="A984" s="166"/>
      <c r="B984" s="167"/>
      <c r="C984" s="167"/>
      <c r="D984" s="147"/>
      <c r="E984" s="147"/>
      <c r="F984" s="147"/>
      <c r="G984" s="147"/>
      <c r="H984" s="147"/>
      <c r="I984" s="147"/>
      <c r="J984" s="147"/>
      <c r="K984" s="3"/>
      <c r="L984" s="3"/>
      <c r="M984" s="3"/>
      <c r="N984" s="3"/>
      <c r="O984" s="3"/>
      <c r="P984" s="3"/>
      <c r="Q984" s="3"/>
      <c r="R984" s="3"/>
      <c r="S984" s="3"/>
      <c r="T984" s="3"/>
      <c r="U984" s="3"/>
      <c r="V984" s="3"/>
      <c r="W984" s="3"/>
      <c r="X984" s="3"/>
      <c r="Y984" s="3"/>
      <c r="Z984" s="3"/>
    </row>
    <row r="985" spans="1:26" ht="22.5" customHeight="1" x14ac:dyDescent="0.85">
      <c r="A985" s="166"/>
      <c r="B985" s="167"/>
      <c r="C985" s="167"/>
      <c r="D985" s="147"/>
      <c r="E985" s="147"/>
      <c r="F985" s="147"/>
      <c r="G985" s="147"/>
      <c r="H985" s="147"/>
      <c r="I985" s="147"/>
      <c r="J985" s="147"/>
      <c r="K985" s="3"/>
      <c r="L985" s="3"/>
      <c r="M985" s="3"/>
      <c r="N985" s="3"/>
      <c r="O985" s="3"/>
      <c r="P985" s="3"/>
      <c r="Q985" s="3"/>
      <c r="R985" s="3"/>
      <c r="S985" s="3"/>
      <c r="T985" s="3"/>
      <c r="U985" s="3"/>
      <c r="V985" s="3"/>
      <c r="W985" s="3"/>
      <c r="X985" s="3"/>
      <c r="Y985" s="3"/>
      <c r="Z985" s="3"/>
    </row>
    <row r="986" spans="1:26" ht="22.5" customHeight="1" x14ac:dyDescent="0.85">
      <c r="A986" s="166"/>
      <c r="B986" s="167"/>
      <c r="C986" s="167"/>
      <c r="D986" s="147"/>
      <c r="E986" s="147"/>
      <c r="F986" s="147"/>
      <c r="G986" s="147"/>
      <c r="H986" s="147"/>
      <c r="I986" s="147"/>
      <c r="J986" s="147"/>
      <c r="K986" s="3"/>
      <c r="L986" s="3"/>
      <c r="M986" s="3"/>
      <c r="N986" s="3"/>
      <c r="O986" s="3"/>
      <c r="P986" s="3"/>
      <c r="Q986" s="3"/>
      <c r="R986" s="3"/>
      <c r="S986" s="3"/>
      <c r="T986" s="3"/>
      <c r="U986" s="3"/>
      <c r="V986" s="3"/>
      <c r="W986" s="3"/>
      <c r="X986" s="3"/>
      <c r="Y986" s="3"/>
      <c r="Z986" s="3"/>
    </row>
    <row r="987" spans="1:26" ht="22.5" customHeight="1" x14ac:dyDescent="0.85">
      <c r="A987" s="166"/>
      <c r="B987" s="167"/>
      <c r="C987" s="167"/>
      <c r="D987" s="147"/>
      <c r="E987" s="147"/>
      <c r="F987" s="147"/>
      <c r="G987" s="147"/>
      <c r="H987" s="147"/>
      <c r="I987" s="147"/>
      <c r="J987" s="147"/>
      <c r="K987" s="3"/>
      <c r="L987" s="3"/>
      <c r="M987" s="3"/>
      <c r="N987" s="3"/>
      <c r="O987" s="3"/>
      <c r="P987" s="3"/>
      <c r="Q987" s="3"/>
      <c r="R987" s="3"/>
      <c r="S987" s="3"/>
      <c r="T987" s="3"/>
      <c r="U987" s="3"/>
      <c r="V987" s="3"/>
      <c r="W987" s="3"/>
      <c r="X987" s="3"/>
      <c r="Y987" s="3"/>
      <c r="Z987" s="3"/>
    </row>
    <row r="988" spans="1:26" ht="22.5" customHeight="1" x14ac:dyDescent="0.85">
      <c r="A988" s="166"/>
      <c r="B988" s="167"/>
      <c r="C988" s="167"/>
      <c r="D988" s="147"/>
      <c r="E988" s="147"/>
      <c r="F988" s="147"/>
      <c r="G988" s="147"/>
      <c r="H988" s="147"/>
      <c r="I988" s="147"/>
      <c r="J988" s="147"/>
      <c r="K988" s="3"/>
      <c r="L988" s="3"/>
      <c r="M988" s="3"/>
      <c r="N988" s="3"/>
      <c r="O988" s="3"/>
      <c r="P988" s="3"/>
      <c r="Q988" s="3"/>
      <c r="R988" s="3"/>
      <c r="S988" s="3"/>
      <c r="T988" s="3"/>
      <c r="U988" s="3"/>
      <c r="V988" s="3"/>
      <c r="W988" s="3"/>
      <c r="X988" s="3"/>
      <c r="Y988" s="3"/>
      <c r="Z988" s="3"/>
    </row>
    <row r="989" spans="1:26" ht="22.5" customHeight="1" x14ac:dyDescent="0.85">
      <c r="A989" s="166"/>
      <c r="B989" s="167"/>
      <c r="C989" s="167"/>
      <c r="D989" s="147"/>
      <c r="E989" s="147"/>
      <c r="F989" s="147"/>
      <c r="G989" s="147"/>
      <c r="H989" s="147"/>
      <c r="I989" s="147"/>
      <c r="J989" s="147"/>
      <c r="K989" s="3"/>
      <c r="L989" s="3"/>
      <c r="M989" s="3"/>
      <c r="N989" s="3"/>
      <c r="O989" s="3"/>
      <c r="P989" s="3"/>
      <c r="Q989" s="3"/>
      <c r="R989" s="3"/>
      <c r="S989" s="3"/>
      <c r="T989" s="3"/>
      <c r="U989" s="3"/>
      <c r="V989" s="3"/>
      <c r="W989" s="3"/>
      <c r="X989" s="3"/>
      <c r="Y989" s="3"/>
      <c r="Z989" s="3"/>
    </row>
    <row r="990" spans="1:26" ht="22.5" customHeight="1" x14ac:dyDescent="0.85">
      <c r="A990" s="166"/>
      <c r="B990" s="167"/>
      <c r="C990" s="167"/>
      <c r="D990" s="147"/>
      <c r="E990" s="147"/>
      <c r="F990" s="147"/>
      <c r="G990" s="147"/>
      <c r="H990" s="147"/>
      <c r="I990" s="147"/>
      <c r="J990" s="147"/>
      <c r="K990" s="3"/>
      <c r="L990" s="3"/>
      <c r="M990" s="3"/>
      <c r="N990" s="3"/>
      <c r="O990" s="3"/>
      <c r="P990" s="3"/>
      <c r="Q990" s="3"/>
      <c r="R990" s="3"/>
      <c r="S990" s="3"/>
      <c r="T990" s="3"/>
      <c r="U990" s="3"/>
      <c r="V990" s="3"/>
      <c r="W990" s="3"/>
      <c r="X990" s="3"/>
      <c r="Y990" s="3"/>
      <c r="Z990" s="3"/>
    </row>
    <row r="991" spans="1:26" ht="22.5" customHeight="1" x14ac:dyDescent="0.85">
      <c r="A991" s="166"/>
      <c r="B991" s="167"/>
      <c r="C991" s="167"/>
      <c r="D991" s="147"/>
      <c r="E991" s="147"/>
      <c r="F991" s="147"/>
      <c r="G991" s="147"/>
      <c r="H991" s="147"/>
      <c r="I991" s="147"/>
      <c r="J991" s="147"/>
      <c r="K991" s="3"/>
      <c r="L991" s="3"/>
      <c r="M991" s="3"/>
      <c r="N991" s="3"/>
      <c r="O991" s="3"/>
      <c r="P991" s="3"/>
      <c r="Q991" s="3"/>
      <c r="R991" s="3"/>
      <c r="S991" s="3"/>
      <c r="T991" s="3"/>
      <c r="U991" s="3"/>
      <c r="V991" s="3"/>
      <c r="W991" s="3"/>
      <c r="X991" s="3"/>
      <c r="Y991" s="3"/>
      <c r="Z991" s="3"/>
    </row>
    <row r="992" spans="1:26" ht="22.5" customHeight="1" x14ac:dyDescent="0.85">
      <c r="A992" s="166"/>
      <c r="B992" s="167"/>
      <c r="C992" s="167"/>
      <c r="D992" s="147"/>
      <c r="E992" s="147"/>
      <c r="F992" s="147"/>
      <c r="G992" s="147"/>
      <c r="H992" s="147"/>
      <c r="I992" s="147"/>
      <c r="J992" s="147"/>
      <c r="K992" s="3"/>
      <c r="L992" s="3"/>
      <c r="M992" s="3"/>
      <c r="N992" s="3"/>
      <c r="O992" s="3"/>
      <c r="P992" s="3"/>
      <c r="Q992" s="3"/>
      <c r="R992" s="3"/>
      <c r="S992" s="3"/>
      <c r="T992" s="3"/>
      <c r="U992" s="3"/>
      <c r="V992" s="3"/>
      <c r="W992" s="3"/>
      <c r="X992" s="3"/>
      <c r="Y992" s="3"/>
      <c r="Z992" s="3"/>
    </row>
    <row r="993" spans="1:26" ht="22.5" customHeight="1" x14ac:dyDescent="0.85">
      <c r="A993" s="166"/>
      <c r="B993" s="167"/>
      <c r="C993" s="167"/>
      <c r="D993" s="147"/>
      <c r="E993" s="147"/>
      <c r="F993" s="147"/>
      <c r="G993" s="147"/>
      <c r="H993" s="147"/>
      <c r="I993" s="147"/>
      <c r="J993" s="147"/>
      <c r="K993" s="3"/>
      <c r="L993" s="3"/>
      <c r="M993" s="3"/>
      <c r="N993" s="3"/>
      <c r="O993" s="3"/>
      <c r="P993" s="3"/>
      <c r="Q993" s="3"/>
      <c r="R993" s="3"/>
      <c r="S993" s="3"/>
      <c r="T993" s="3"/>
      <c r="U993" s="3"/>
      <c r="V993" s="3"/>
      <c r="W993" s="3"/>
      <c r="X993" s="3"/>
      <c r="Y993" s="3"/>
      <c r="Z993" s="3"/>
    </row>
    <row r="994" spans="1:26" ht="22.5" customHeight="1" x14ac:dyDescent="0.85">
      <c r="A994" s="166"/>
      <c r="B994" s="167"/>
      <c r="C994" s="167"/>
      <c r="D994" s="147"/>
      <c r="E994" s="147"/>
      <c r="F994" s="147"/>
      <c r="G994" s="147"/>
      <c r="H994" s="147"/>
      <c r="I994" s="147"/>
      <c r="J994" s="147"/>
      <c r="K994" s="3"/>
      <c r="L994" s="3"/>
      <c r="M994" s="3"/>
      <c r="N994" s="3"/>
      <c r="O994" s="3"/>
      <c r="P994" s="3"/>
      <c r="Q994" s="3"/>
      <c r="R994" s="3"/>
      <c r="S994" s="3"/>
      <c r="T994" s="3"/>
      <c r="U994" s="3"/>
      <c r="V994" s="3"/>
      <c r="W994" s="3"/>
      <c r="X994" s="3"/>
      <c r="Y994" s="3"/>
      <c r="Z994" s="3"/>
    </row>
    <row r="995" spans="1:26" ht="22.5" customHeight="1" x14ac:dyDescent="0.85">
      <c r="A995" s="166"/>
      <c r="B995" s="167"/>
      <c r="C995" s="167"/>
      <c r="D995" s="147"/>
      <c r="E995" s="147"/>
      <c r="F995" s="147"/>
      <c r="G995" s="147"/>
      <c r="H995" s="147"/>
      <c r="I995" s="147"/>
      <c r="J995" s="147"/>
      <c r="K995" s="3"/>
      <c r="L995" s="3"/>
      <c r="M995" s="3"/>
      <c r="N995" s="3"/>
      <c r="O995" s="3"/>
      <c r="P995" s="3"/>
      <c r="Q995" s="3"/>
      <c r="R995" s="3"/>
      <c r="S995" s="3"/>
      <c r="T995" s="3"/>
      <c r="U995" s="3"/>
      <c r="V995" s="3"/>
      <c r="W995" s="3"/>
      <c r="X995" s="3"/>
      <c r="Y995" s="3"/>
      <c r="Z995" s="3"/>
    </row>
    <row r="996" spans="1:26" ht="22.5" customHeight="1" x14ac:dyDescent="0.85">
      <c r="A996" s="166"/>
      <c r="B996" s="167"/>
      <c r="C996" s="167"/>
      <c r="D996" s="147"/>
      <c r="E996" s="147"/>
      <c r="F996" s="147"/>
      <c r="G996" s="147"/>
      <c r="H996" s="147"/>
      <c r="I996" s="147"/>
      <c r="J996" s="147"/>
      <c r="K996" s="3"/>
      <c r="L996" s="3"/>
      <c r="M996" s="3"/>
      <c r="N996" s="3"/>
      <c r="O996" s="3"/>
      <c r="P996" s="3"/>
      <c r="Q996" s="3"/>
      <c r="R996" s="3"/>
      <c r="S996" s="3"/>
      <c r="T996" s="3"/>
      <c r="U996" s="3"/>
      <c r="V996" s="3"/>
      <c r="W996" s="3"/>
      <c r="X996" s="3"/>
      <c r="Y996" s="3"/>
      <c r="Z996" s="3"/>
    </row>
    <row r="997" spans="1:26" ht="22.5" customHeight="1" x14ac:dyDescent="0.85">
      <c r="A997" s="166"/>
      <c r="B997" s="167"/>
      <c r="C997" s="167"/>
      <c r="D997" s="147"/>
      <c r="E997" s="147"/>
      <c r="F997" s="147"/>
      <c r="G997" s="147"/>
      <c r="H997" s="147"/>
      <c r="I997" s="147"/>
      <c r="J997" s="147"/>
      <c r="K997" s="3"/>
      <c r="L997" s="3"/>
      <c r="M997" s="3"/>
      <c r="N997" s="3"/>
      <c r="O997" s="3"/>
      <c r="P997" s="3"/>
      <c r="Q997" s="3"/>
      <c r="R997" s="3"/>
      <c r="S997" s="3"/>
      <c r="T997" s="3"/>
      <c r="U997" s="3"/>
      <c r="V997" s="3"/>
      <c r="W997" s="3"/>
      <c r="X997" s="3"/>
      <c r="Y997" s="3"/>
      <c r="Z997" s="3"/>
    </row>
    <row r="998" spans="1:26" ht="22.5" customHeight="1" x14ac:dyDescent="0.85">
      <c r="A998" s="166"/>
      <c r="B998" s="167"/>
      <c r="C998" s="167"/>
      <c r="D998" s="147"/>
      <c r="E998" s="147"/>
      <c r="F998" s="147"/>
      <c r="G998" s="147"/>
      <c r="H998" s="147"/>
      <c r="I998" s="147"/>
      <c r="J998" s="147"/>
      <c r="K998" s="3"/>
      <c r="L998" s="3"/>
      <c r="M998" s="3"/>
      <c r="N998" s="3"/>
      <c r="O998" s="3"/>
      <c r="P998" s="3"/>
      <c r="Q998" s="3"/>
      <c r="R998" s="3"/>
      <c r="S998" s="3"/>
      <c r="T998" s="3"/>
      <c r="U998" s="3"/>
      <c r="V998" s="3"/>
      <c r="W998" s="3"/>
      <c r="X998" s="3"/>
      <c r="Y998" s="3"/>
      <c r="Z998" s="3"/>
    </row>
    <row r="999" spans="1:26" ht="22.5" customHeight="1" x14ac:dyDescent="0.85">
      <c r="A999" s="166"/>
      <c r="B999" s="167"/>
      <c r="C999" s="167"/>
      <c r="D999" s="147"/>
      <c r="E999" s="147"/>
      <c r="F999" s="147"/>
      <c r="G999" s="147"/>
      <c r="H999" s="147"/>
      <c r="I999" s="147"/>
      <c r="J999" s="147"/>
      <c r="K999" s="3"/>
      <c r="L999" s="3"/>
      <c r="M999" s="3"/>
      <c r="N999" s="3"/>
      <c r="O999" s="3"/>
      <c r="P999" s="3"/>
      <c r="Q999" s="3"/>
      <c r="R999" s="3"/>
      <c r="S999" s="3"/>
      <c r="T999" s="3"/>
      <c r="U999" s="3"/>
      <c r="V999" s="3"/>
      <c r="W999" s="3"/>
      <c r="X999" s="3"/>
      <c r="Y999" s="3"/>
      <c r="Z999" s="3"/>
    </row>
    <row r="1000" spans="1:26" ht="22.5" customHeight="1" x14ac:dyDescent="0.85">
      <c r="A1000" s="166"/>
      <c r="B1000" s="167"/>
      <c r="C1000" s="167"/>
      <c r="D1000" s="147"/>
      <c r="E1000" s="147"/>
      <c r="F1000" s="147"/>
      <c r="G1000" s="147"/>
      <c r="H1000" s="147"/>
      <c r="I1000" s="147"/>
      <c r="J1000" s="147"/>
      <c r="K1000" s="3"/>
      <c r="L1000" s="3"/>
      <c r="M1000" s="3"/>
      <c r="N1000" s="3"/>
      <c r="O1000" s="3"/>
      <c r="P1000" s="3"/>
      <c r="Q1000" s="3"/>
      <c r="R1000" s="3"/>
      <c r="S1000" s="3"/>
      <c r="T1000" s="3"/>
      <c r="U1000" s="3"/>
      <c r="V1000" s="3"/>
      <c r="W1000" s="3"/>
      <c r="X1000" s="3"/>
      <c r="Y1000" s="3"/>
      <c r="Z1000" s="3"/>
    </row>
  </sheetData>
  <mergeCells count="13">
    <mergeCell ref="D14:M14"/>
    <mergeCell ref="A1:M1"/>
    <mergeCell ref="A2:M2"/>
    <mergeCell ref="D3:M3"/>
    <mergeCell ref="D4:M4"/>
    <mergeCell ref="D5:M5"/>
    <mergeCell ref="D6:M6"/>
    <mergeCell ref="D7:M7"/>
    <mergeCell ref="D8:M8"/>
    <mergeCell ref="D9:M9"/>
    <mergeCell ref="D10:M10"/>
    <mergeCell ref="D11:M11"/>
    <mergeCell ref="D12:M13"/>
  </mergeCells>
  <pageMargins left="0.7" right="0.7" top="0.75" bottom="0.75" header="0" footer="0"/>
  <pageSetup orientation="portrait"/>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25</vt:i4>
      </vt:variant>
    </vt:vector>
  </HeadingPairs>
  <TitlesOfParts>
    <vt:vector size="25" baseType="lpstr">
      <vt:lpstr>Workbook Intro</vt:lpstr>
      <vt:lpstr>SBT</vt:lpstr>
      <vt:lpstr>Visual Summary</vt:lpstr>
      <vt:lpstr>Co_Pollutants</vt:lpstr>
      <vt:lpstr>City of Albuquerque Data</vt:lpstr>
      <vt:lpstr>Bernalillo County Data</vt:lpstr>
      <vt:lpstr>Sandoval County Data</vt:lpstr>
      <vt:lpstr>Torrance County Data</vt:lpstr>
      <vt:lpstr>Valencia County Data</vt:lpstr>
      <vt:lpstr>Albuquerque MSA Data</vt:lpstr>
      <vt:lpstr>Conversion Factors and GWP</vt:lpstr>
      <vt:lpstr>Energy Data</vt:lpstr>
      <vt:lpstr>Renewable Energy Data </vt:lpstr>
      <vt:lpstr>Fugitive Emissions Data</vt:lpstr>
      <vt:lpstr>On-Road Data</vt:lpstr>
      <vt:lpstr>Transit Data</vt:lpstr>
      <vt:lpstr>Aviation Data</vt:lpstr>
      <vt:lpstr>Off-Road Data</vt:lpstr>
      <vt:lpstr>Railways Data</vt:lpstr>
      <vt:lpstr>Waste_Recycling Data</vt:lpstr>
      <vt:lpstr>Wastewater Data</vt:lpstr>
      <vt:lpstr>Industrial Processes Data</vt:lpstr>
      <vt:lpstr>Refrigerants Data</vt:lpstr>
      <vt:lpstr>AFOLU Data</vt:lpstr>
      <vt:lpstr>Trees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Main, Alice H.</cp:lastModifiedBy>
  <dcterms:created xsi:type="dcterms:W3CDTF">2017-06-13T22:06:50Z</dcterms:created>
  <dcterms:modified xsi:type="dcterms:W3CDTF">2025-10-23T16:42:56Z</dcterms:modified>
</cp:coreProperties>
</file>